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<sst xmlns="http://schemas.openxmlformats.org/spreadsheetml/2006/main" count="167822" uniqueCount="20735">
  <si>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</si>
  <si>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</si>
  <si>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</si>
  <si>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</si>
  <si>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</si>
  <si>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</si>
  <si>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</si>
  <si>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</si>
  <si>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</si>
  <si>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</si>
  <si>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</si>
  <si>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</si>
  <si>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</si>
  <si>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</si>
  <si>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</si>
  <si>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</si>
  <si>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</si>
  <si>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</si>
  <si>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</si>
  <si>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</si>
  <si>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</si>
  <si>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</si>
  <si>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</si>
  <si>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</si>
  <si>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</si>
  <si>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</si>
  <si>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</si>
  <si>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</si>
  <si>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</si>
  <si>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</si>
  <si>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</si>
  <si>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</si>
  <si>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</si>
  <si>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</si>
  <si>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</si>
  <si>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</si>
  <si>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</si>
  <si>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</si>
  <si>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</si>
  <si>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</si>
  <si>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</si>
  <si>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</si>
  <si>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</si>
  <si>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</si>
  <si>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</si>
  <si>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</si>
  <si>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</si>
  <si>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</si>
  <si>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Salas, Emma</t>
  </si>
  <si>
    <t>Lam, Kevin</t>
  </si>
  <si>
    <t>Santos, Marisol</t>
  </si>
  <si>
    <t>Tadepalli, Ashwin</t>
  </si>
  <si>
    <t>Jacobs, Alex</t>
  </si>
  <si>
    <t>Maltezos, Alexander</t>
  </si>
  <si>
    <t>Barrett, Samantha</t>
  </si>
  <si>
    <t>Hammond, Robert</t>
  </si>
  <si>
    <t>Saywack, Priam</t>
  </si>
  <si>
    <t>Hoque, Shatti</t>
  </si>
  <si>
    <t>Gardner III, George</t>
  </si>
  <si>
    <t>Barreda, Catherine</t>
  </si>
  <si>
    <t>Mui, Ernie</t>
  </si>
  <si>
    <t>Lee, Thomas</t>
  </si>
  <si>
    <t>Rubin, Jenn</t>
  </si>
  <si>
    <t>Flores, Irene</t>
  </si>
  <si>
    <t>McCormick, James</t>
  </si>
  <si>
    <t>Pepe, Lailah</t>
  </si>
  <si>
    <t>Schiff, Logan</t>
  </si>
  <si>
    <t>Ross, Jasmine</t>
  </si>
  <si>
    <t>Kelly, Dawn</t>
  </si>
  <si>
    <t>McCowen, Tamella</t>
  </si>
  <si>
    <t>Patel, Mona</t>
  </si>
  <si>
    <t>Crisona, Kathryn</t>
  </si>
  <si>
    <t>Wong, Humbert</t>
  </si>
  <si>
    <t>DeLong, Sarah</t>
  </si>
  <si>
    <t>Bailey, Michael</t>
  </si>
  <si>
    <t>Landry-Reyes, Jane</t>
  </si>
  <si>
    <t>Roman, Melissa</t>
  </si>
  <si>
    <t>Christian, Fitzroy</t>
  </si>
  <si>
    <t>Goncharov-Cruickshnk, Natalie</t>
  </si>
  <si>
    <t>Cisneros, Marisol</t>
  </si>
  <si>
    <t>McHugh Mills, Maura</t>
  </si>
  <si>
    <t>Namuche, Raquel</t>
  </si>
  <si>
    <t>Corsaro, Veronica</t>
  </si>
  <si>
    <t>Frizell, Catherine</t>
  </si>
  <si>
    <t>Cowen, Lindsay</t>
  </si>
  <si>
    <t>Vujica, Visnja</t>
  </si>
  <si>
    <t>Watson, Michael</t>
  </si>
  <si>
    <t>Kramer, Kramer</t>
  </si>
  <si>
    <t>Ortiz, Andrew</t>
  </si>
  <si>
    <t>Miller, Thomas</t>
  </si>
  <si>
    <t>Reardon, Elizabeth</t>
  </si>
  <si>
    <t>Chew, Thomas</t>
  </si>
  <si>
    <t>Costa, Stephanie</t>
  </si>
  <si>
    <t>Hardy, Le`Shera</t>
  </si>
  <si>
    <t>Hecht-Felella, Laura</t>
  </si>
  <si>
    <t>St. Louis, Bianca</t>
  </si>
  <si>
    <t>Gathing, Vance</t>
  </si>
  <si>
    <t>Drumm, Kristen</t>
  </si>
  <si>
    <t>Succop, Steven</t>
  </si>
  <si>
    <t>Betances, Gabriella</t>
  </si>
  <si>
    <t>Ukegbu, Ezi</t>
  </si>
  <si>
    <t>Ocana, Johanna</t>
  </si>
  <si>
    <t>Ijaz, Kulsoom</t>
  </si>
  <si>
    <t>Chen, Eugene</t>
  </si>
  <si>
    <t>De Silva, Natasia</t>
  </si>
  <si>
    <t>Nimis, Roland</t>
  </si>
  <si>
    <t>Cappellini, Bianca</t>
  </si>
  <si>
    <t>Hernandez, Karen</t>
  </si>
  <si>
    <t>Fischman, Jean</t>
  </si>
  <si>
    <t>Guadalupe, Marilyn</t>
  </si>
  <si>
    <t>Pettit, Stephanie</t>
  </si>
  <si>
    <t>Ma, Chiansan</t>
  </si>
  <si>
    <t>McDonald, John</t>
  </si>
  <si>
    <t>Feliz, Oswald</t>
  </si>
  <si>
    <t>Taylor, Mark</t>
  </si>
  <si>
    <t>Schafler, Eliza</t>
  </si>
  <si>
    <t>Breakstone, Chelsea</t>
  </si>
  <si>
    <t>Lowery, Liam</t>
  </si>
  <si>
    <t>Norton, Carolyn</t>
  </si>
  <si>
    <t>Gonzalez, Atenedoro</t>
  </si>
  <si>
    <t>Castro, Cristina</t>
  </si>
  <si>
    <t>Rosen, David</t>
  </si>
  <si>
    <t>Puleo Jr, Michael</t>
  </si>
  <si>
    <t>Falco, Fara</t>
  </si>
  <si>
    <t>Montoute, John</t>
  </si>
  <si>
    <t>Nilsson, Erik</t>
  </si>
  <si>
    <t>Burns, Erin</t>
  </si>
  <si>
    <t>Golden, Tashanna</t>
  </si>
  <si>
    <t>Fuentes, Maria</t>
  </si>
  <si>
    <t>Rave, Helen</t>
  </si>
  <si>
    <t>Garcia, Keiannis</t>
  </si>
  <si>
    <t>Treadwell, Nathan</t>
  </si>
  <si>
    <t>Kelly, Kitanya</t>
  </si>
  <si>
    <t>Almanzar, Milagros</t>
  </si>
  <si>
    <t>Mottley, Darlene</t>
  </si>
  <si>
    <t>Latterner, Matt</t>
  </si>
  <si>
    <t>Heller, Steven</t>
  </si>
  <si>
    <t>Porcelli, Ronald</t>
  </si>
  <si>
    <t>Briggs, John</t>
  </si>
  <si>
    <t>Vega, Rita</t>
  </si>
  <si>
    <t>James, Lelia</t>
  </si>
  <si>
    <t>Honan, Thomas</t>
  </si>
  <si>
    <t>Delgadillo, Omar</t>
  </si>
  <si>
    <t>Sharma, Sagar</t>
  </si>
  <si>
    <t>Hao, Lindsay</t>
  </si>
  <si>
    <t>Freeman, Daniel</t>
  </si>
  <si>
    <t>Mbame, Etondi</t>
  </si>
  <si>
    <t>Hong, Connie</t>
  </si>
  <si>
    <t>Restrepo-Serrano, Francois</t>
  </si>
  <si>
    <t>Abbas, Sayeda</t>
  </si>
  <si>
    <t>Katnani, Samar</t>
  </si>
  <si>
    <t>Xie, Vivian</t>
  </si>
  <si>
    <t>Stevens, Jean</t>
  </si>
  <si>
    <t>Pozo, Caridad</t>
  </si>
  <si>
    <t>Granfield, Rachel</t>
  </si>
  <si>
    <t>Castronovo, Julian</t>
  </si>
  <si>
    <t>Alvarez, Adriana</t>
  </si>
  <si>
    <t>Tan, Andrea</t>
  </si>
  <si>
    <t>Carrasco, Yazmin</t>
  </si>
  <si>
    <t>Smith, Sara</t>
  </si>
  <si>
    <t>Bowman, Cathy</t>
  </si>
  <si>
    <t>Caldwell-Kuru, Hazel</t>
  </si>
  <si>
    <t>Johnson, Emelia</t>
  </si>
  <si>
    <t>Santana, Bridgette</t>
  </si>
  <si>
    <t>Atuegbu, Chidera</t>
  </si>
  <si>
    <t>Farrell, Emily</t>
  </si>
  <si>
    <t>Osei, Dionne</t>
  </si>
  <si>
    <t>Ginsberg, Irene</t>
  </si>
  <si>
    <t>MacRae, John</t>
  </si>
  <si>
    <t>Fuller-Bennett, Reuben</t>
  </si>
  <si>
    <t>Krishnaswamy, Pavita</t>
  </si>
  <si>
    <t>Carwin, Mikailla</t>
  </si>
  <si>
    <t>Bromberg, Iris</t>
  </si>
  <si>
    <t>Sanderman, Robert</t>
  </si>
  <si>
    <t>Rookwood, Shardae</t>
  </si>
  <si>
    <t>Spencer, Eleanor</t>
  </si>
  <si>
    <t>Mulles, Carlos</t>
  </si>
  <si>
    <t>Gonzalez, Matias</t>
  </si>
  <si>
    <t>Vale, Yvonne</t>
  </si>
  <si>
    <t>Mendia-Yadaicela, Michelle</t>
  </si>
  <si>
    <t>Lee, Jooyeon</t>
  </si>
  <si>
    <t>Laureano, Luz</t>
  </si>
  <si>
    <t>James, Natalie</t>
  </si>
  <si>
    <t>McCune, Mary</t>
  </si>
  <si>
    <t>Massey, Randi</t>
  </si>
  <si>
    <t>Herrmann, Neil</t>
  </si>
  <si>
    <t>DeVolld, Angela</t>
  </si>
  <si>
    <t>Ascher, Ann</t>
  </si>
  <si>
    <t>Braudy, Erica</t>
  </si>
  <si>
    <t>Guzman, Michael</t>
  </si>
  <si>
    <t>Joly, Coco</t>
  </si>
  <si>
    <t>Batten, Michael</t>
  </si>
  <si>
    <t>Brutus, Jean-Pierre</t>
  </si>
  <si>
    <t>Diaz, Lino</t>
  </si>
  <si>
    <t>Catuira, Rochelle</t>
  </si>
  <si>
    <t>Wilkes, Nicole</t>
  </si>
  <si>
    <t>Evers, Erin</t>
  </si>
  <si>
    <t>Yamasaki, Emily Woo</t>
  </si>
  <si>
    <t>Basu, Shantonu</t>
  </si>
  <si>
    <t>Johnson, Chantal</t>
  </si>
  <si>
    <t>Villalobos, Tanya</t>
  </si>
  <si>
    <t>Lohr-Schmidt, Ilana</t>
  </si>
  <si>
    <t>Marchena, Ivan</t>
  </si>
  <si>
    <t>Reed, Jessica</t>
  </si>
  <si>
    <t>Elmore, Josh</t>
  </si>
  <si>
    <t>Bauer, Kai</t>
  </si>
  <si>
    <t>Vaz, Marie</t>
  </si>
  <si>
    <t>Surette, Gibb</t>
  </si>
  <si>
    <t>Clifford, Mun</t>
  </si>
  <si>
    <t>Barkley, Daniel</t>
  </si>
  <si>
    <t>Black, Rosalind</t>
  </si>
  <si>
    <t>Rhee, Bohee</t>
  </si>
  <si>
    <t>Anunkor, Ifeoma</t>
  </si>
  <si>
    <t>Guillaume, Naura</t>
  </si>
  <si>
    <t>Figueroa, Vianca</t>
  </si>
  <si>
    <t>Belhomme, Wilesca</t>
  </si>
  <si>
    <t>Sun, Dao</t>
  </si>
  <si>
    <t>He, Ricky</t>
  </si>
  <si>
    <t>Labossiere, Samantha</t>
  </si>
  <si>
    <t>Pangonis, Dustin</t>
  </si>
  <si>
    <t>Castillo, Angel</t>
  </si>
  <si>
    <t>Englard, Rubin</t>
  </si>
  <si>
    <t>Shah, Ami</t>
  </si>
  <si>
    <t>Ortiz, Matthew</t>
  </si>
  <si>
    <t>Odoemene, Udoka</t>
  </si>
  <si>
    <t>Molnar, Shandanette</t>
  </si>
  <si>
    <t>Gonzalez, Gabriela</t>
  </si>
  <si>
    <t>Dolin, Brett</t>
  </si>
  <si>
    <t>Ricart, Janet</t>
  </si>
  <si>
    <t>Henriquez, Luis</t>
  </si>
  <si>
    <t>Cepeda, Jeanette</t>
  </si>
  <si>
    <t>Gonzalez-Munoz, Rossana</t>
  </si>
  <si>
    <t>Geha, Nada</t>
  </si>
  <si>
    <t>Cook, Veronica</t>
  </si>
  <si>
    <t>Allen, Sharette</t>
  </si>
  <si>
    <t>Mercedes, Jannelys</t>
  </si>
  <si>
    <t>Carter, Corinthia</t>
  </si>
  <si>
    <t>Fukuda, Noriko</t>
  </si>
  <si>
    <t>Patel, Roopal</t>
  </si>
  <si>
    <t>Twersky, Jonathan</t>
  </si>
  <si>
    <t>Almanzar, Yocari</t>
  </si>
  <si>
    <t>Licharson, Tom</t>
  </si>
  <si>
    <t>Lin, Tina</t>
  </si>
  <si>
    <t>Isaias, Bianca</t>
  </si>
  <si>
    <t>Navarro, Norey</t>
  </si>
  <si>
    <t>Figaro, Nakesha</t>
  </si>
  <si>
    <t>Umoke, Jacob</t>
  </si>
  <si>
    <t>Bateman, Steven</t>
  </si>
  <si>
    <t>Shearer, Diane</t>
  </si>
  <si>
    <t>Carlier, Milton</t>
  </si>
  <si>
    <t>Faliks, Sarah</t>
  </si>
  <si>
    <t>Silliman, Stacey</t>
  </si>
  <si>
    <t>Tyler, Johnson</t>
  </si>
  <si>
    <t>Goyzueta, Anna</t>
  </si>
  <si>
    <t>Samuel, Somalia</t>
  </si>
  <si>
    <t>Loxley, Oliver</t>
  </si>
  <si>
    <t>Open</t>
  </si>
  <si>
    <t>Closed</t>
  </si>
  <si>
    <t>07/25/2018</t>
  </si>
  <si>
    <t>09/26/2019</t>
  </si>
  <si>
    <t>08/07/2018</t>
  </si>
  <si>
    <t>05/14/2019</t>
  </si>
  <si>
    <t>05/22/2019</t>
  </si>
  <si>
    <t>10/22/2019</t>
  </si>
  <si>
    <t>03/29/2019</t>
  </si>
  <si>
    <t>07/09/2019</t>
  </si>
  <si>
    <t>01/03/2018</t>
  </si>
  <si>
    <t>02/14/2019</t>
  </si>
  <si>
    <t>06/13/2019</t>
  </si>
  <si>
    <t>03/27/2019</t>
  </si>
  <si>
    <t>11/22/2019</t>
  </si>
  <si>
    <t>07/05/2019</t>
  </si>
  <si>
    <t>05/11/2018</t>
  </si>
  <si>
    <t>09/12/2019</t>
  </si>
  <si>
    <t>03/14/2019</t>
  </si>
  <si>
    <t>08/15/2019</t>
  </si>
  <si>
    <t>10/29/2019</t>
  </si>
  <si>
    <t>06/14/2017</t>
  </si>
  <si>
    <t>03/28/2019</t>
  </si>
  <si>
    <t>06/19/2019</t>
  </si>
  <si>
    <t>06/25/2019</t>
  </si>
  <si>
    <t>06/04/2018</t>
  </si>
  <si>
    <t>07/30/2019</t>
  </si>
  <si>
    <t>05/23/2019</t>
  </si>
  <si>
    <t>10/11/2019</t>
  </si>
  <si>
    <t>10/17/2018</t>
  </si>
  <si>
    <t>10/31/2019</t>
  </si>
  <si>
    <t>11/28/2018</t>
  </si>
  <si>
    <t>08/22/2019</t>
  </si>
  <si>
    <t>05/17/2019</t>
  </si>
  <si>
    <t>10/10/2019</t>
  </si>
  <si>
    <t>04/23/2019</t>
  </si>
  <si>
    <t>10/15/2019</t>
  </si>
  <si>
    <t>05/16/2019</t>
  </si>
  <si>
    <t>10/25/2019</t>
  </si>
  <si>
    <t>10/01/2019</t>
  </si>
  <si>
    <t>04/16/2019</t>
  </si>
  <si>
    <t>09/10/2019</t>
  </si>
  <si>
    <t>06/07/2019</t>
  </si>
  <si>
    <t>04/30/2019</t>
  </si>
  <si>
    <t>04/04/2019</t>
  </si>
  <si>
    <t>11/07/2019</t>
  </si>
  <si>
    <t>06/26/2019</t>
  </si>
  <si>
    <t>06/18/2015</t>
  </si>
  <si>
    <t>09/10/2018</t>
  </si>
  <si>
    <t>09/22/2016</t>
  </si>
  <si>
    <t>10/02/2018</t>
  </si>
  <si>
    <t>09/27/2019</t>
  </si>
  <si>
    <t>09/30/2019</t>
  </si>
  <si>
    <t>10/18/2019</t>
  </si>
  <si>
    <t>05/06/2019</t>
  </si>
  <si>
    <t>03/04/2019</t>
  </si>
  <si>
    <t>07/08/2019</t>
  </si>
  <si>
    <t>10/09/2018</t>
  </si>
  <si>
    <t>08/28/2019</t>
  </si>
  <si>
    <t>05/28/2019</t>
  </si>
  <si>
    <t>02/21/2019</t>
  </si>
  <si>
    <t>04/17/2019</t>
  </si>
  <si>
    <t>04/19/2019</t>
  </si>
  <si>
    <t>06/10/2019</t>
  </si>
  <si>
    <t>09/25/2019</t>
  </si>
  <si>
    <t>11/25/2019</t>
  </si>
  <si>
    <t>04/19/2018</t>
  </si>
  <si>
    <t>11/07/2018</t>
  </si>
  <si>
    <t>01/04/2019</t>
  </si>
  <si>
    <t>01/23/2019</t>
  </si>
  <si>
    <t>09/03/2019</t>
  </si>
  <si>
    <t>06/18/2019</t>
  </si>
  <si>
    <t>07/24/2019</t>
  </si>
  <si>
    <t>07/26/2019</t>
  </si>
  <si>
    <t>07/29/2019</t>
  </si>
  <si>
    <t>11/20/2019</t>
  </si>
  <si>
    <t>06/07/2018</t>
  </si>
  <si>
    <t>08/05/2019</t>
  </si>
  <si>
    <t>08/14/2019</t>
  </si>
  <si>
    <t>08/27/2019</t>
  </si>
  <si>
    <t>10/03/2019</t>
  </si>
  <si>
    <t>05/03/2019</t>
  </si>
  <si>
    <t>05/24/2019</t>
  </si>
  <si>
    <t>09/11/2019</t>
  </si>
  <si>
    <t>11/27/2017</t>
  </si>
  <si>
    <t>09/24/2019</t>
  </si>
  <si>
    <t>09/03/2018</t>
  </si>
  <si>
    <t>11/29/2018</t>
  </si>
  <si>
    <t>01/07/2019</t>
  </si>
  <si>
    <t>05/09/2017</t>
  </si>
  <si>
    <t>09/25/2018</t>
  </si>
  <si>
    <t>12/26/2018</t>
  </si>
  <si>
    <t>01/29/2019</t>
  </si>
  <si>
    <t>08/24/2018</t>
  </si>
  <si>
    <t>04/09/2019</t>
  </si>
  <si>
    <t>11/03/2016</t>
  </si>
  <si>
    <t>07/12/2018</t>
  </si>
  <si>
    <t>11/26/2018</t>
  </si>
  <si>
    <t>01/18/2019</t>
  </si>
  <si>
    <t>10/15/2018</t>
  </si>
  <si>
    <t>04/03/2018</t>
  </si>
  <si>
    <t>11/19/2018</t>
  </si>
  <si>
    <t>11/27/2018</t>
  </si>
  <si>
    <t>12/06/2018</t>
  </si>
  <si>
    <t>04/02/2019</t>
  </si>
  <si>
    <t>05/02/2019</t>
  </si>
  <si>
    <t>10/08/2019</t>
  </si>
  <si>
    <t>01/11/2019</t>
  </si>
  <si>
    <t>03/01/2018</t>
  </si>
  <si>
    <t>06/18/2018</t>
  </si>
  <si>
    <t>08/27/2018</t>
  </si>
  <si>
    <t>07/17/2019</t>
  </si>
  <si>
    <t>03/24/2017</t>
  </si>
  <si>
    <t>08/17/2017</t>
  </si>
  <si>
    <t>08/08/2019</t>
  </si>
  <si>
    <t>11/21/2018</t>
  </si>
  <si>
    <t>07/31/2019</t>
  </si>
  <si>
    <t>03/11/2019</t>
  </si>
  <si>
    <t>04/08/2019</t>
  </si>
  <si>
    <t>12/07/2018</t>
  </si>
  <si>
    <t>04/03/2019</t>
  </si>
  <si>
    <t>11/21/2019</t>
  </si>
  <si>
    <t>05/29/2015</t>
  </si>
  <si>
    <t>06/21/2016</t>
  </si>
  <si>
    <t>05/24/2018</t>
  </si>
  <si>
    <t>02/13/2019</t>
  </si>
  <si>
    <t>10/17/2016</t>
  </si>
  <si>
    <t>02/25/2019</t>
  </si>
  <si>
    <t>04/10/2019</t>
  </si>
  <si>
    <t>11/18/2016</t>
  </si>
  <si>
    <t>05/21/2017</t>
  </si>
  <si>
    <t>07/08/2016</t>
  </si>
  <si>
    <t>03/20/2017</t>
  </si>
  <si>
    <t>07/03/2018</t>
  </si>
  <si>
    <t>05/10/2018</t>
  </si>
  <si>
    <t>02/04/2019</t>
  </si>
  <si>
    <t>05/25/2017</t>
  </si>
  <si>
    <t>12/15/2018</t>
  </si>
  <si>
    <t>05/30/2019</t>
  </si>
  <si>
    <t>11/12/2019</t>
  </si>
  <si>
    <t>08/20/2019</t>
  </si>
  <si>
    <t>12/19/2018</t>
  </si>
  <si>
    <t>10/28/2017</t>
  </si>
  <si>
    <t>09/06/2017</t>
  </si>
  <si>
    <t>06/20/2018</t>
  </si>
  <si>
    <t>12/04/2017</t>
  </si>
  <si>
    <t>01/08/2019</t>
  </si>
  <si>
    <t>06/21/2019</t>
  </si>
  <si>
    <t>10/16/2019</t>
  </si>
  <si>
    <t>06/28/2017</t>
  </si>
  <si>
    <t>06/20/2017</t>
  </si>
  <si>
    <t>11/14/2018</t>
  </si>
  <si>
    <t>07/22/2019</t>
  </si>
  <si>
    <t>10/06/2017</t>
  </si>
  <si>
    <t>08/29/2019</t>
  </si>
  <si>
    <t>05/15/2019</t>
  </si>
  <si>
    <t>02/22/2018</t>
  </si>
  <si>
    <t>03/15/2019</t>
  </si>
  <si>
    <t>07/18/2019</t>
  </si>
  <si>
    <t>08/13/2019</t>
  </si>
  <si>
    <t>08/16/2019</t>
  </si>
  <si>
    <t>05/01/2016</t>
  </si>
  <si>
    <t>05/13/2019</t>
  </si>
  <si>
    <t>08/21/2018</t>
  </si>
  <si>
    <t>01/30/2017</t>
  </si>
  <si>
    <t>03/21/2019</t>
  </si>
  <si>
    <t>05/31/2019</t>
  </si>
  <si>
    <t>03/07/2019</t>
  </si>
  <si>
    <t>12/14/2018</t>
  </si>
  <si>
    <t>09/16/2019</t>
  </si>
  <si>
    <t>07/25/2019</t>
  </si>
  <si>
    <t>12/27/2018</t>
  </si>
  <si>
    <t>02/27/2019</t>
  </si>
  <si>
    <t>08/19/2019</t>
  </si>
  <si>
    <t>03/07/2016</t>
  </si>
  <si>
    <t>06/29/2016</t>
  </si>
  <si>
    <t>07/26/2016</t>
  </si>
  <si>
    <t>11/08/2018</t>
  </si>
  <si>
    <t>04/18/2019</t>
  </si>
  <si>
    <t>09/19/2019</t>
  </si>
  <si>
    <t>10/05/2016</t>
  </si>
  <si>
    <t>10/06/2016</t>
  </si>
  <si>
    <t>01/06/2017</t>
  </si>
  <si>
    <t>03/28/2018</t>
  </si>
  <si>
    <t>10/31/2018</t>
  </si>
  <si>
    <t>01/31/2019</t>
  </si>
  <si>
    <t>09/20/2019</t>
  </si>
  <si>
    <t>01/14/2019</t>
  </si>
  <si>
    <t>09/13/2019</t>
  </si>
  <si>
    <t>05/29/2019</t>
  </si>
  <si>
    <t>09/23/2019</t>
  </si>
  <si>
    <t>02/05/2019</t>
  </si>
  <si>
    <t>12/10/2018</t>
  </si>
  <si>
    <t>12/11/2017</t>
  </si>
  <si>
    <t>03/07/2018</t>
  </si>
  <si>
    <t>03/19/2018</t>
  </si>
  <si>
    <t>10/03/2018</t>
  </si>
  <si>
    <t>05/20/2019</t>
  </si>
  <si>
    <t>04/11/2019</t>
  </si>
  <si>
    <t>07/18/2017</t>
  </si>
  <si>
    <t>05/30/2018</t>
  </si>
  <si>
    <t>07/23/2019</t>
  </si>
  <si>
    <t>10/12/2018</t>
  </si>
  <si>
    <t>05/23/2016</t>
  </si>
  <si>
    <t>08/15/2016</t>
  </si>
  <si>
    <t>11/23/2016</t>
  </si>
  <si>
    <t>12/09/2016</t>
  </si>
  <si>
    <t>12/12/2016</t>
  </si>
  <si>
    <t>01/03/2017</t>
  </si>
  <si>
    <t>01/23/2018</t>
  </si>
  <si>
    <t>01/25/2018</t>
  </si>
  <si>
    <t>01/26/2018</t>
  </si>
  <si>
    <t>01/29/2018</t>
  </si>
  <si>
    <t>06/06/2018</t>
  </si>
  <si>
    <t>04/26/2019</t>
  </si>
  <si>
    <t>06/03/2019</t>
  </si>
  <si>
    <t>09/09/2019</t>
  </si>
  <si>
    <t>02/28/2019</t>
  </si>
  <si>
    <t>08/06/2019</t>
  </si>
  <si>
    <t>09/21/2015</t>
  </si>
  <si>
    <t>11/18/2019</t>
  </si>
  <si>
    <t>10/16/2018</t>
  </si>
  <si>
    <t>02/10/2016</t>
  </si>
  <si>
    <t>08/29/2018</t>
  </si>
  <si>
    <t>08/08/2017</t>
  </si>
  <si>
    <t>09/04/2019</t>
  </si>
  <si>
    <t>02/08/2019</t>
  </si>
  <si>
    <t>11/01/2019</t>
  </si>
  <si>
    <t>11/06/2019</t>
  </si>
  <si>
    <t>03/08/2018</t>
  </si>
  <si>
    <t>05/08/2019</t>
  </si>
  <si>
    <t>11/26/2019</t>
  </si>
  <si>
    <t>10/23/2019</t>
  </si>
  <si>
    <t>08/01/2018</t>
  </si>
  <si>
    <t>11/09/2018</t>
  </si>
  <si>
    <t>02/19/2019</t>
  </si>
  <si>
    <t>05/07/2019</t>
  </si>
  <si>
    <t>08/01/2019</t>
  </si>
  <si>
    <t>01/22/2019</t>
  </si>
  <si>
    <t>05/16/2017</t>
  </si>
  <si>
    <t>11/13/2019</t>
  </si>
  <si>
    <t>07/12/2019</t>
  </si>
  <si>
    <t>08/09/2019</t>
  </si>
  <si>
    <t>04/24/2019</t>
  </si>
  <si>
    <t>09/05/2018</t>
  </si>
  <si>
    <t>08/28/2018</t>
  </si>
  <si>
    <t>03/22/2019</t>
  </si>
  <si>
    <t>01/25/2019</t>
  </si>
  <si>
    <t>04/06/2018</t>
  </si>
  <si>
    <t>04/10/2018</t>
  </si>
  <si>
    <t>04/12/2018</t>
  </si>
  <si>
    <t>03/19/2019</t>
  </si>
  <si>
    <t>10/26/2018</t>
  </si>
  <si>
    <t>09/21/2018</t>
  </si>
  <si>
    <t>01/16/2019</t>
  </si>
  <si>
    <t>11/30/2018</t>
  </si>
  <si>
    <t>04/01/2019</t>
  </si>
  <si>
    <t>12/24/2018</t>
  </si>
  <si>
    <t>10/30/2018</t>
  </si>
  <si>
    <t>07/10/2018</t>
  </si>
  <si>
    <t>12/20/2018</t>
  </si>
  <si>
    <t>09/30/2016</t>
  </si>
  <si>
    <t>04/17/2018</t>
  </si>
  <si>
    <t>07/01/2016</t>
  </si>
  <si>
    <t>12/28/2017</t>
  </si>
  <si>
    <t>11/04/2019</t>
  </si>
  <si>
    <t>09/02/2016</t>
  </si>
  <si>
    <t>03/06/2019</t>
  </si>
  <si>
    <t>12/16/2015</t>
  </si>
  <si>
    <t>04/18/2018</t>
  </si>
  <si>
    <t>03/20/2019</t>
  </si>
  <si>
    <t>09/19/2017</t>
  </si>
  <si>
    <t>02/28/2016</t>
  </si>
  <si>
    <t>06/06/2016</t>
  </si>
  <si>
    <t>08/16/2017</t>
  </si>
  <si>
    <t>10/17/2017</t>
  </si>
  <si>
    <t>03/15/2018</t>
  </si>
  <si>
    <t>06/23/2015</t>
  </si>
  <si>
    <t>07/07/2017</t>
  </si>
  <si>
    <t>07/10/2017</t>
  </si>
  <si>
    <t>08/09/2018</t>
  </si>
  <si>
    <t>05/02/2017</t>
  </si>
  <si>
    <t>04/27/2017</t>
  </si>
  <si>
    <t>08/03/2016</t>
  </si>
  <si>
    <t>01/17/2019</t>
  </si>
  <si>
    <t>03/11/2016</t>
  </si>
  <si>
    <t>12/15/2017</t>
  </si>
  <si>
    <t>01/30/2019</t>
  </si>
  <si>
    <t>01/13/2017</t>
  </si>
  <si>
    <t>04/05/2019</t>
  </si>
  <si>
    <t>04/12/2019</t>
  </si>
  <si>
    <t>08/16/2018</t>
  </si>
  <si>
    <t>09/07/2017</t>
  </si>
  <si>
    <t>09/17/2019</t>
  </si>
  <si>
    <t>05/04/2017</t>
  </si>
  <si>
    <t>08/23/2019</t>
  </si>
  <si>
    <t>04/13/2018</t>
  </si>
  <si>
    <t>03/05/2019</t>
  </si>
  <si>
    <t>02/15/2019</t>
  </si>
  <si>
    <t>07/31/2018</t>
  </si>
  <si>
    <t>11/08/2019</t>
  </si>
  <si>
    <t>06/02/2017</t>
  </si>
  <si>
    <t>12/29/2017</t>
  </si>
  <si>
    <t>06/04/2019</t>
  </si>
  <si>
    <t>12/12/2017</t>
  </si>
  <si>
    <t>09/07/2018</t>
  </si>
  <si>
    <t>02/17/2016</t>
  </si>
  <si>
    <t>10/24/2019</t>
  </si>
  <si>
    <t>09/02/2015</t>
  </si>
  <si>
    <t>08/17/2018</t>
  </si>
  <si>
    <t>10/10/2016</t>
  </si>
  <si>
    <t>12/27/2016</t>
  </si>
  <si>
    <t>08/08/2018</t>
  </si>
  <si>
    <t>10/11/2018</t>
  </si>
  <si>
    <t>10/17/2019</t>
  </si>
  <si>
    <t>12/05/2016</t>
  </si>
  <si>
    <t>10/01/2018</t>
  </si>
  <si>
    <t>03/12/2019</t>
  </si>
  <si>
    <t>08/30/2019</t>
  </si>
  <si>
    <t>03/22/2018</t>
  </si>
  <si>
    <t>03/26/2018</t>
  </si>
  <si>
    <t>02/06/2019</t>
  </si>
  <si>
    <t>05/16/2018</t>
  </si>
  <si>
    <t>02/06/2018</t>
  </si>
  <si>
    <t>11/16/2015</t>
  </si>
  <si>
    <t>09/11/2018</t>
  </si>
  <si>
    <t>01/03/2019</t>
  </si>
  <si>
    <t>11/16/2018</t>
  </si>
  <si>
    <t>06/12/2019</t>
  </si>
  <si>
    <t>08/03/2018</t>
  </si>
  <si>
    <t>10/24/2018</t>
  </si>
  <si>
    <t>10/03/2017</t>
  </si>
  <si>
    <t>06/12/2018</t>
  </si>
  <si>
    <t>11/13/2018</t>
  </si>
  <si>
    <t>06/01/2016</t>
  </si>
  <si>
    <t>02/27/2017</t>
  </si>
  <si>
    <t>06/14/2018</t>
  </si>
  <si>
    <t>09/04/2018</t>
  </si>
  <si>
    <t>11/27/2019</t>
  </si>
  <si>
    <t>04/04/2018</t>
  </si>
  <si>
    <t>04/29/2019</t>
  </si>
  <si>
    <t>07/02/2019</t>
  </si>
  <si>
    <t>04/25/2019</t>
  </si>
  <si>
    <t>06/29/2018</t>
  </si>
  <si>
    <t>05/09/2018</t>
  </si>
  <si>
    <t>06/07/2016</t>
  </si>
  <si>
    <t>01/28/2019</t>
  </si>
  <si>
    <t>07/24/2018</t>
  </si>
  <si>
    <t>01/09/2019</t>
  </si>
  <si>
    <t>09/14/2018</t>
  </si>
  <si>
    <t>12/13/2017</t>
  </si>
  <si>
    <t>02/20/2018</t>
  </si>
  <si>
    <t>05/09/2019</t>
  </si>
  <si>
    <t>07/05/2018</t>
  </si>
  <si>
    <t>06/06/2019</t>
  </si>
  <si>
    <t>01/02/2019</t>
  </si>
  <si>
    <t>11/15/2019</t>
  </si>
  <si>
    <t>07/24/2017</t>
  </si>
  <si>
    <t>05/01/2019</t>
  </si>
  <si>
    <t>07/11/2019</t>
  </si>
  <si>
    <t>01/24/2019</t>
  </si>
  <si>
    <t>04/22/2019</t>
  </si>
  <si>
    <t>05/29/2018</t>
  </si>
  <si>
    <t>04/16/2018</t>
  </si>
  <si>
    <t>07/16/2018</t>
  </si>
  <si>
    <t>07/19/2019</t>
  </si>
  <si>
    <t>12/04/2018</t>
  </si>
  <si>
    <t>11/01/2017</t>
  </si>
  <si>
    <t>08/15/2018</t>
  </si>
  <si>
    <t>12/09/2017</t>
  </si>
  <si>
    <t>02/05/2018</t>
  </si>
  <si>
    <t>10/05/2018</t>
  </si>
  <si>
    <t>07/22/2015</t>
  </si>
  <si>
    <t>12/17/2018</t>
  </si>
  <si>
    <t>01/19/2018</t>
  </si>
  <si>
    <t>04/19/2016</t>
  </si>
  <si>
    <t>11/19/2019</t>
  </si>
  <si>
    <t>02/07/2019</t>
  </si>
  <si>
    <t>12/13/2018</t>
  </si>
  <si>
    <t>03/01/2019</t>
  </si>
  <si>
    <t>08/12/2019</t>
  </si>
  <si>
    <t>04/30/2018</t>
  </si>
  <si>
    <t>02/21/2018</t>
  </si>
  <si>
    <t>10/23/2018</t>
  </si>
  <si>
    <t>09/12/2016</t>
  </si>
  <si>
    <t>04/06/2016</t>
  </si>
  <si>
    <t>08/25/2015</t>
  </si>
  <si>
    <t>08/24/2016</t>
  </si>
  <si>
    <t>07/26/2017</t>
  </si>
  <si>
    <t>12/22/2016</t>
  </si>
  <si>
    <t>09/11/2017</t>
  </si>
  <si>
    <t>07/06/2017</t>
  </si>
  <si>
    <t>10/02/2019</t>
  </si>
  <si>
    <t>12/05/2018</t>
  </si>
  <si>
    <t>01/10/2019</t>
  </si>
  <si>
    <t>04/05/2018</t>
  </si>
  <si>
    <t>03/23/2017</t>
  </si>
  <si>
    <t>04/20/2016</t>
  </si>
  <si>
    <t>01/05/2018</t>
  </si>
  <si>
    <t>03/27/2017</t>
  </si>
  <si>
    <t>04/26/2016</t>
  </si>
  <si>
    <t>12/16/2016</t>
  </si>
  <si>
    <t>09/29/2018</t>
  </si>
  <si>
    <t>06/26/2018</t>
  </si>
  <si>
    <t>07/16/2019</t>
  </si>
  <si>
    <t>03/30/2017</t>
  </si>
  <si>
    <t>03/21/2018</t>
  </si>
  <si>
    <t>07/03/2019</t>
  </si>
  <si>
    <t>10/04/2019</t>
  </si>
  <si>
    <t>12/14/2016</t>
  </si>
  <si>
    <t>05/18/2018</t>
  </si>
  <si>
    <t>11/28/2017</t>
  </si>
  <si>
    <t>04/25/2017</t>
  </si>
  <si>
    <t>09/06/2019</t>
  </si>
  <si>
    <t>06/12/2017</t>
  </si>
  <si>
    <t>09/19/2018</t>
  </si>
  <si>
    <t>07/18/2018</t>
  </si>
  <si>
    <t>05/01/2018</t>
  </si>
  <si>
    <t>04/20/2018</t>
  </si>
  <si>
    <t>06/30/2018</t>
  </si>
  <si>
    <t>08/07/2019</t>
  </si>
  <si>
    <t>03/20/2018</t>
  </si>
  <si>
    <t>05/31/2018</t>
  </si>
  <si>
    <t>08/25/2017</t>
  </si>
  <si>
    <t>01/14/2016</t>
  </si>
  <si>
    <t>01/27/2019</t>
  </si>
  <si>
    <t>03/31/2016</t>
  </si>
  <si>
    <t>03/05/2018</t>
  </si>
  <si>
    <t>04/15/2016</t>
  </si>
  <si>
    <t>12/12/2018</t>
  </si>
  <si>
    <t>07/06/2018</t>
  </si>
  <si>
    <t>02/13/2018</t>
  </si>
  <si>
    <t>12/21/2018</t>
  </si>
  <si>
    <t>08/23/2018</t>
  </si>
  <si>
    <t>08/21/2017</t>
  </si>
  <si>
    <t>11/15/2018</t>
  </si>
  <si>
    <t>03/22/2017</t>
  </si>
  <si>
    <t>04/02/2018</t>
  </si>
  <si>
    <t>03/25/2019</t>
  </si>
  <si>
    <t>02/11/2019</t>
  </si>
  <si>
    <t>05/02/2018</t>
  </si>
  <si>
    <t>11/01/2018</t>
  </si>
  <si>
    <t>06/15/2016</t>
  </si>
  <si>
    <t>10/10/2018</t>
  </si>
  <si>
    <t>06/28/2019</t>
  </si>
  <si>
    <t>09/26/2018</t>
  </si>
  <si>
    <t>09/01/2016</t>
  </si>
  <si>
    <t>11/14/2019</t>
  </si>
  <si>
    <t>09/27/2016</t>
  </si>
  <si>
    <t>10/30/2017</t>
  </si>
  <si>
    <t>07/01/2019</t>
  </si>
  <si>
    <t>06/21/2018</t>
  </si>
  <si>
    <t>05/25/2018</t>
  </si>
  <si>
    <t>06/06/2017</t>
  </si>
  <si>
    <t>12/20/2016</t>
  </si>
  <si>
    <t>10/29/2018</t>
  </si>
  <si>
    <t>08/02/2017</t>
  </si>
  <si>
    <t>07/20/2018</t>
  </si>
  <si>
    <t>12/21/2016</t>
  </si>
  <si>
    <t>06/27/2018</t>
  </si>
  <si>
    <t>04/20/2017</t>
  </si>
  <si>
    <t>11/10/2019</t>
  </si>
  <si>
    <t>03/26/2019</t>
  </si>
  <si>
    <t>03/08/2019</t>
  </si>
  <si>
    <t>12/13/2016</t>
  </si>
  <si>
    <t>03/09/2018</t>
  </si>
  <si>
    <t>02/24/2017</t>
  </si>
  <si>
    <t>10/18/2018</t>
  </si>
  <si>
    <t>12/18/2017</t>
  </si>
  <si>
    <t>09/27/2018</t>
  </si>
  <si>
    <t>04/29/2016</t>
  </si>
  <si>
    <t>05/04/2018</t>
  </si>
  <si>
    <t>10/09/2019</t>
  </si>
  <si>
    <t>11/16/2017</t>
  </si>
  <si>
    <t>07/12/2017</t>
  </si>
  <si>
    <t>01/01/2018</t>
  </si>
  <si>
    <t>05/23/2017</t>
  </si>
  <si>
    <t>03/16/2018</t>
  </si>
  <si>
    <t>12/01/2017</t>
  </si>
  <si>
    <t>11/21/2017</t>
  </si>
  <si>
    <t>07/10/2019</t>
  </si>
  <si>
    <t>03/06/2018</t>
  </si>
  <si>
    <t>12/31/2018</t>
  </si>
  <si>
    <t>03/13/2019</t>
  </si>
  <si>
    <t>05/30/2017</t>
  </si>
  <si>
    <t>07/13/2017</t>
  </si>
  <si>
    <t>08/22/2018</t>
  </si>
  <si>
    <t>06/13/2018</t>
  </si>
  <si>
    <t>10/21/2019</t>
  </si>
  <si>
    <t>04/27/2018</t>
  </si>
  <si>
    <t>12/18/2018</t>
  </si>
  <si>
    <t>02/21/2017</t>
  </si>
  <si>
    <t>07/15/2019</t>
  </si>
  <si>
    <t>02/20/2019</t>
  </si>
  <si>
    <t>06/27/2019</t>
  </si>
  <si>
    <t>01/24/2018</t>
  </si>
  <si>
    <t>03/14/2018</t>
  </si>
  <si>
    <t>12/28/2018</t>
  </si>
  <si>
    <t>08/13/2018</t>
  </si>
  <si>
    <t>01/30/2018</t>
  </si>
  <si>
    <t>01/15/2019</t>
  </si>
  <si>
    <t>09/28/2017</t>
  </si>
  <si>
    <t>12/06/2016</t>
  </si>
  <si>
    <t>09/13/2018</t>
  </si>
  <si>
    <t>06/20/2019</t>
  </si>
  <si>
    <t>11/22/2017</t>
  </si>
  <si>
    <t>05/05/2017</t>
  </si>
  <si>
    <t>03/09/2016</t>
  </si>
  <si>
    <t>02/14/2017</t>
  </si>
  <si>
    <t>08/30/2017</t>
  </si>
  <si>
    <t>08/10/2017</t>
  </si>
  <si>
    <t>07/02/2018</t>
  </si>
  <si>
    <t>09/24/2018</t>
  </si>
  <si>
    <t>07/27/2017</t>
  </si>
  <si>
    <t>06/30/2017</t>
  </si>
  <si>
    <t>05/26/2017</t>
  </si>
  <si>
    <t>03/23/2018</t>
  </si>
  <si>
    <t>08/30/2018</t>
  </si>
  <si>
    <t>05/23/2018</t>
  </si>
  <si>
    <t>12/21/2015</t>
  </si>
  <si>
    <t>06/13/2017</t>
  </si>
  <si>
    <t>04/15/2019</t>
  </si>
  <si>
    <t>03/21/2017</t>
  </si>
  <si>
    <t>08/21/2019</t>
  </si>
  <si>
    <t>12/04/2015</t>
  </si>
  <si>
    <t>06/09/2015</t>
  </si>
  <si>
    <t>11/10/2016</t>
  </si>
  <si>
    <t>11/17/2015</t>
  </si>
  <si>
    <t>02/01/2019</t>
  </si>
  <si>
    <t>06/24/2019</t>
  </si>
  <si>
    <t>03/08/2016</t>
  </si>
  <si>
    <t>01/19/2017</t>
  </si>
  <si>
    <t>02/22/2019</t>
  </si>
  <si>
    <t>12/20/2017</t>
  </si>
  <si>
    <t>03/14/2016</t>
  </si>
  <si>
    <t>03/18/2019</t>
  </si>
  <si>
    <t>01/02/2018</t>
  </si>
  <si>
    <t>02/16/2018</t>
  </si>
  <si>
    <t>08/06/2018</t>
  </si>
  <si>
    <t>06/19/2018</t>
  </si>
  <si>
    <t>06/22/2017</t>
  </si>
  <si>
    <t>10/25/2017</t>
  </si>
  <si>
    <t>06/14/2019</t>
  </si>
  <si>
    <t>10/05/2017</t>
  </si>
  <si>
    <t>05/08/2017</t>
  </si>
  <si>
    <t>12/26/2017</t>
  </si>
  <si>
    <t>09/14/2017</t>
  </si>
  <si>
    <t>09/06/2018</t>
  </si>
  <si>
    <t>03/12/2017</t>
  </si>
  <si>
    <t>08/10/2016</t>
  </si>
  <si>
    <t>09/05/2019</t>
  </si>
  <si>
    <t>04/11/2017</t>
  </si>
  <si>
    <t>07/30/2018</t>
  </si>
  <si>
    <t>04/09/2018</t>
  </si>
  <si>
    <t>06/01/2018</t>
  </si>
  <si>
    <t>05/07/2016</t>
  </si>
  <si>
    <t>01/18/2018</t>
  </si>
  <si>
    <t>10/07/2016</t>
  </si>
  <si>
    <t>06/29/2017</t>
  </si>
  <si>
    <t>10/23/2017</t>
  </si>
  <si>
    <t>01/18/2017</t>
  </si>
  <si>
    <t>08/14/2018</t>
  </si>
  <si>
    <t>01/11/2018</t>
  </si>
  <si>
    <t>03/30/2016</t>
  </si>
  <si>
    <t>08/15/2017</t>
  </si>
  <si>
    <t>05/19/2017</t>
  </si>
  <si>
    <t>07/17/2018</t>
  </si>
  <si>
    <t>10/27/2017</t>
  </si>
  <si>
    <t>08/14/2015</t>
  </si>
  <si>
    <t>10/03/2016</t>
  </si>
  <si>
    <t>03/03/2016</t>
  </si>
  <si>
    <t>08/31/2016</t>
  </si>
  <si>
    <t>02/28/2018</t>
  </si>
  <si>
    <t>01/11/2016</t>
  </si>
  <si>
    <t>03/17/2016</t>
  </si>
  <si>
    <t>11/03/2018</t>
  </si>
  <si>
    <t>10/07/2019</t>
  </si>
  <si>
    <t>10/28/2019</t>
  </si>
  <si>
    <t>10/25/2018</t>
  </si>
  <si>
    <t>03/12/2018</t>
  </si>
  <si>
    <t>03/02/2018</t>
  </si>
  <si>
    <t>08/01/2017</t>
  </si>
  <si>
    <t>07/17/2017</t>
  </si>
  <si>
    <t>09/21/2016</t>
  </si>
  <si>
    <t>12/15/2015</t>
  </si>
  <si>
    <t>11/17/2018</t>
  </si>
  <si>
    <t>09/12/2017</t>
  </si>
  <si>
    <t>02/26/2018</t>
  </si>
  <si>
    <t>01/22/2018</t>
  </si>
  <si>
    <t>12/10/2013</t>
  </si>
  <si>
    <t>09/18/2018</t>
  </si>
  <si>
    <t>08/10/2015</t>
  </si>
  <si>
    <t>12/11/2018</t>
  </si>
  <si>
    <t>05/10/2016</t>
  </si>
  <si>
    <t>12/14/2017</t>
  </si>
  <si>
    <t>08/07/2017</t>
  </si>
  <si>
    <t>12/21/2017</t>
  </si>
  <si>
    <t>02/02/2018</t>
  </si>
  <si>
    <t>05/21/2019</t>
  </si>
  <si>
    <t>10/04/2018</t>
  </si>
  <si>
    <t>02/01/2018</t>
  </si>
  <si>
    <t>07/21/2017</t>
  </si>
  <si>
    <t>02/07/2017</t>
  </si>
  <si>
    <t>11/20/2015</t>
  </si>
  <si>
    <t>08/11/2017</t>
  </si>
  <si>
    <t>05/12/2017</t>
  </si>
  <si>
    <t>02/06/2017</t>
  </si>
  <si>
    <t>08/22/2017</t>
  </si>
  <si>
    <t>08/02/2019</t>
  </si>
  <si>
    <t>08/01/2016</t>
  </si>
  <si>
    <t>01/04/2017</t>
  </si>
  <si>
    <t>11/23/2019</t>
  </si>
  <si>
    <t>02/26/2019</t>
  </si>
  <si>
    <t>07/19/2018</t>
  </si>
  <si>
    <t>07/27/2018</t>
  </si>
  <si>
    <t>07/09/2018</t>
  </si>
  <si>
    <t>04/23/2018</t>
  </si>
  <si>
    <t>03/29/2018</t>
  </si>
  <si>
    <t>03/30/2018</t>
  </si>
  <si>
    <t>11/05/2018</t>
  </si>
  <si>
    <t>01/31/2017</t>
  </si>
  <si>
    <t>10/31/2017</t>
  </si>
  <si>
    <t>06/01/2017</t>
  </si>
  <si>
    <t>08/23/2017</t>
  </si>
  <si>
    <t>07/08/2015</t>
  </si>
  <si>
    <t>08/16/2016</t>
  </si>
  <si>
    <t>03/13/2018</t>
  </si>
  <si>
    <t>08/12/2016</t>
  </si>
  <si>
    <t>06/24/2016</t>
  </si>
  <si>
    <t>07/25/2017</t>
  </si>
  <si>
    <t>04/17/2015</t>
  </si>
  <si>
    <t>02/15/2017</t>
  </si>
  <si>
    <t>04/26/2017</t>
  </si>
  <si>
    <t>11/22/2016</t>
  </si>
  <si>
    <t>10/24/2017</t>
  </si>
  <si>
    <t>11/16/2016</t>
  </si>
  <si>
    <t>12/08/2016</t>
  </si>
  <si>
    <t>05/07/2018</t>
  </si>
  <si>
    <t>05/21/2018</t>
  </si>
  <si>
    <t>12/31/2015</t>
  </si>
  <si>
    <t>04/05/2017</t>
  </si>
  <si>
    <t>05/18/2017</t>
  </si>
  <si>
    <t>01/12/2018</t>
  </si>
  <si>
    <t>08/26/2019</t>
  </si>
  <si>
    <t>02/16/2019</t>
  </si>
  <si>
    <t>05/08/2018</t>
  </si>
  <si>
    <t>12/01/2015</t>
  </si>
  <si>
    <t>05/12/2016</t>
  </si>
  <si>
    <t>02/15/2018</t>
  </si>
  <si>
    <t>04/18/2017</t>
  </si>
  <si>
    <t>10/22/2018</t>
  </si>
  <si>
    <t>06/02/2016</t>
  </si>
  <si>
    <t>04/03/2017</t>
  </si>
  <si>
    <t>11/29/2017</t>
  </si>
  <si>
    <t>11/02/2017</t>
  </si>
  <si>
    <t>02/10/2017</t>
  </si>
  <si>
    <t>06/25/2015</t>
  </si>
  <si>
    <t>05/24/2017</t>
  </si>
  <si>
    <t>04/18/2016</t>
  </si>
  <si>
    <t>02/29/2016</t>
  </si>
  <si>
    <t>01/26/2017</t>
  </si>
  <si>
    <t>10/19/2018</t>
  </si>
  <si>
    <t>12/08/2015</t>
  </si>
  <si>
    <t>07/26/2018</t>
  </si>
  <si>
    <t>05/17/2017</t>
  </si>
  <si>
    <t>05/17/2018</t>
  </si>
  <si>
    <t>02/08/2016</t>
  </si>
  <si>
    <t>04/07/2017</t>
  </si>
  <si>
    <t>11/30/2017</t>
  </si>
  <si>
    <t>07/03/2017</t>
  </si>
  <si>
    <t>02/01/2017</t>
  </si>
  <si>
    <t>12/07/2016</t>
  </si>
  <si>
    <t>06/07/2017</t>
  </si>
  <si>
    <t>07/11/2016</t>
  </si>
  <si>
    <t>07/23/2018</t>
  </si>
  <si>
    <t>09/17/2018</t>
  </si>
  <si>
    <t>05/24/2016</t>
  </si>
  <si>
    <t>02/16/2016</t>
  </si>
  <si>
    <t>01/10/2017</t>
  </si>
  <si>
    <t>11/14/2017</t>
  </si>
  <si>
    <t>04/10/2017</t>
  </si>
  <si>
    <t>11/06/2017</t>
  </si>
  <si>
    <t>01/21/2012</t>
  </si>
  <si>
    <t>04/01/2013</t>
  </si>
  <si>
    <t>08/20/2018</t>
  </si>
  <si>
    <t>12/24/2015</t>
  </si>
  <si>
    <t>09/29/2017</t>
  </si>
  <si>
    <t>06/25/2018</t>
  </si>
  <si>
    <t>12/19/2016</t>
  </si>
  <si>
    <t>09/01/2018</t>
  </si>
  <si>
    <t>02/07/2018</t>
  </si>
  <si>
    <t>07/05/2017</t>
  </si>
  <si>
    <t>09/01/2017</t>
  </si>
  <si>
    <t>11/02/2018</t>
  </si>
  <si>
    <t>05/22/2018</t>
  </si>
  <si>
    <t>05/20/2016</t>
  </si>
  <si>
    <t>06/01/2015</t>
  </si>
  <si>
    <t>05/15/2017</t>
  </si>
  <si>
    <t>07/13/2018</t>
  </si>
  <si>
    <t>05/11/2017</t>
  </si>
  <si>
    <t>07/07/2016</t>
  </si>
  <si>
    <t>05/03/2018</t>
  </si>
  <si>
    <t>09/12/2018</t>
  </si>
  <si>
    <t>06/05/2018</t>
  </si>
  <si>
    <t>08/09/2016</t>
  </si>
  <si>
    <t>10/28/2016</t>
  </si>
  <si>
    <t>06/12/2015</t>
  </si>
  <si>
    <t>11/20/2018</t>
  </si>
  <si>
    <t>01/12/2017</t>
  </si>
  <si>
    <t>12/30/2016</t>
  </si>
  <si>
    <t>03/03/2017</t>
  </si>
  <si>
    <t>11/02/2015</t>
  </si>
  <si>
    <t>06/19/2017</t>
  </si>
  <si>
    <t>11/17/2016</t>
  </si>
  <si>
    <t>01/16/2018</t>
  </si>
  <si>
    <t>12/06/2017</t>
  </si>
  <si>
    <t>12/02/2015</t>
  </si>
  <si>
    <t>05/22/2017</t>
  </si>
  <si>
    <t>01/04/2018</t>
  </si>
  <si>
    <t>04/25/2018</t>
  </si>
  <si>
    <t>01/06/2016</t>
  </si>
  <si>
    <t>01/10/2018</t>
  </si>
  <si>
    <t>11/29/2016</t>
  </si>
  <si>
    <t>04/27/2016</t>
  </si>
  <si>
    <t>01/05/2017</t>
  </si>
  <si>
    <t>03/15/2017</t>
  </si>
  <si>
    <t>05/03/2017</t>
  </si>
  <si>
    <t>05/14/2018</t>
  </si>
  <si>
    <t>04/11/2016</t>
  </si>
  <si>
    <t>12/29/2014</t>
  </si>
  <si>
    <t>10/13/2016</t>
  </si>
  <si>
    <t>05/04/2016</t>
  </si>
  <si>
    <t>06/05/2019</t>
  </si>
  <si>
    <t>04/11/2018</t>
  </si>
  <si>
    <t>12/27/2017</t>
  </si>
  <si>
    <t>05/15/2018</t>
  </si>
  <si>
    <t>09/18/2019</t>
  </si>
  <si>
    <t>06/17/2019</t>
  </si>
  <si>
    <t>10/13/2017</t>
  </si>
  <si>
    <t>04/05/2016</t>
  </si>
  <si>
    <t>08/28/2017</t>
  </si>
  <si>
    <t>09/22/2015</t>
  </si>
  <si>
    <t>06/08/2017</t>
  </si>
  <si>
    <t>04/07/2016</t>
  </si>
  <si>
    <t>01/29/2016</t>
  </si>
  <si>
    <t>02/08/2018</t>
  </si>
  <si>
    <t>01/20/2016</t>
  </si>
  <si>
    <t>03/28/2017</t>
  </si>
  <si>
    <t>09/18/2017</t>
  </si>
  <si>
    <t>04/13/2016</t>
  </si>
  <si>
    <t>09/21/2017</t>
  </si>
  <si>
    <t>05/19/2016</t>
  </si>
  <si>
    <t>11/24/2019</t>
  </si>
  <si>
    <t>10/11/2016</t>
  </si>
  <si>
    <t>07/20/2017</t>
  </si>
  <si>
    <t>03/10/2017</t>
  </si>
  <si>
    <t>02/12/2019</t>
  </si>
  <si>
    <t>09/15/2017</t>
  </si>
  <si>
    <t>12/22/2017</t>
  </si>
  <si>
    <t>08/29/2017</t>
  </si>
  <si>
    <t>08/11/2019</t>
  </si>
  <si>
    <t>06/15/2018</t>
  </si>
  <si>
    <t>09/25/2017</t>
  </si>
  <si>
    <t>03/10/2016</t>
  </si>
  <si>
    <t>01/20/2017</t>
  </si>
  <si>
    <t>03/02/2017</t>
  </si>
  <si>
    <t>10/13/2015</t>
  </si>
  <si>
    <t>05/14/2017</t>
  </si>
  <si>
    <t>10/24/2016</t>
  </si>
  <si>
    <t>10/19/2016</t>
  </si>
  <si>
    <t>02/09/2016</t>
  </si>
  <si>
    <t>06/26/2017</t>
  </si>
  <si>
    <t>07/13/2015</t>
  </si>
  <si>
    <t>02/02/2017</t>
  </si>
  <si>
    <t>02/11/2018</t>
  </si>
  <si>
    <t>12/07/2015</t>
  </si>
  <si>
    <t>04/24/2018</t>
  </si>
  <si>
    <t>11/18/2017</t>
  </si>
  <si>
    <t>06/11/2018</t>
  </si>
  <si>
    <t>05/27/2019</t>
  </si>
  <si>
    <t>03/02/2016</t>
  </si>
  <si>
    <t>06/08/2015</t>
  </si>
  <si>
    <t>06/28/2016</t>
  </si>
  <si>
    <t>05/02/2016</t>
  </si>
  <si>
    <t>10/19/2017</t>
  </si>
  <si>
    <t>05/01/2015</t>
  </si>
  <si>
    <t>09/28/2018</t>
  </si>
  <si>
    <t>05/31/2016</t>
  </si>
  <si>
    <t>02/27/2018</t>
  </si>
  <si>
    <t>09/08/2017</t>
  </si>
  <si>
    <t>07/15/2016</t>
  </si>
  <si>
    <t>03/17/2017</t>
  </si>
  <si>
    <t>06/05/2017</t>
  </si>
  <si>
    <t>05/18/2016</t>
  </si>
  <si>
    <t>12/07/2017</t>
  </si>
  <si>
    <t>11/04/2018</t>
  </si>
  <si>
    <t>12/30/2015</t>
  </si>
  <si>
    <t>09/08/2015</t>
  </si>
  <si>
    <t>10/26/2016</t>
  </si>
  <si>
    <t>05/27/2017</t>
  </si>
  <si>
    <t>04/26/2018</t>
  </si>
  <si>
    <t>10/02/2017</t>
  </si>
  <si>
    <t>06/21/2017</t>
  </si>
  <si>
    <t>06/23/2017</t>
  </si>
  <si>
    <t>04/13/2017</t>
  </si>
  <si>
    <t>08/31/2018</t>
  </si>
  <si>
    <t>06/17/2015</t>
  </si>
  <si>
    <t>10/30/2019</t>
  </si>
  <si>
    <t>07/19/2017</t>
  </si>
  <si>
    <t>01/09/2017</t>
  </si>
  <si>
    <t>02/04/2016</t>
  </si>
  <si>
    <t>01/04/2016</t>
  </si>
  <si>
    <t>11/12/2018</t>
  </si>
  <si>
    <t>06/16/2017</t>
  </si>
  <si>
    <t>03/31/2017</t>
  </si>
  <si>
    <t>10/26/2017</t>
  </si>
  <si>
    <t>02/23/2016</t>
  </si>
  <si>
    <t>11/15/2017</t>
  </si>
  <si>
    <t>04/25/2016</t>
  </si>
  <si>
    <t>05/01/2017</t>
  </si>
  <si>
    <t>09/21/2019</t>
  </si>
  <si>
    <t>11/09/2017</t>
  </si>
  <si>
    <t>02/14/2018</t>
  </si>
  <si>
    <t>09/28/2016</t>
  </si>
  <si>
    <t>03/27/2018</t>
  </si>
  <si>
    <t>08/14/2017</t>
  </si>
  <si>
    <t>03/15/2015</t>
  </si>
  <si>
    <t>04/28/2016</t>
  </si>
  <si>
    <t>09/20/2018</t>
  </si>
  <si>
    <t>08/18/2017</t>
  </si>
  <si>
    <t>10/21/2016</t>
  </si>
  <si>
    <t>02/19/2017</t>
  </si>
  <si>
    <t>05/20/2017</t>
  </si>
  <si>
    <t>02/28/2017</t>
  </si>
  <si>
    <t>01/16/2015</t>
  </si>
  <si>
    <t>09/26/2016</t>
  </si>
  <si>
    <t>05/10/2019</t>
  </si>
  <si>
    <t>03/08/2017</t>
  </si>
  <si>
    <t>06/22/2016</t>
  </si>
  <si>
    <t>03/06/2015</t>
  </si>
  <si>
    <t>06/28/2018</t>
  </si>
  <si>
    <t>02/09/2018</t>
  </si>
  <si>
    <t>12/31/2014</t>
  </si>
  <si>
    <t>02/17/2019</t>
  </si>
  <si>
    <t>10/12/2017</t>
  </si>
  <si>
    <t>05/31/2017</t>
  </si>
  <si>
    <t>09/27/2017</t>
  </si>
  <si>
    <t>01/17/2018</t>
  </si>
  <si>
    <t>04/14/2016</t>
  </si>
  <si>
    <t>04/19/2017</t>
  </si>
  <si>
    <t>04/04/2017</t>
  </si>
  <si>
    <t>02/10/2015</t>
  </si>
  <si>
    <t>08/04/2017</t>
  </si>
  <si>
    <t>06/09/2017</t>
  </si>
  <si>
    <t>04/17/2017</t>
  </si>
  <si>
    <t>12/03/2018</t>
  </si>
  <si>
    <t>09/20/2017</t>
  </si>
  <si>
    <t>05/08/2016</t>
  </si>
  <si>
    <t>08/25/2016</t>
  </si>
  <si>
    <t>03/04/2016</t>
  </si>
  <si>
    <t>04/06/2017</t>
  </si>
  <si>
    <t>10/20/2017</t>
  </si>
  <si>
    <t>07/20/2016</t>
  </si>
  <si>
    <t>03/09/2017</t>
  </si>
  <si>
    <t>06/15/2017</t>
  </si>
  <si>
    <t>07/28/2017</t>
  </si>
  <si>
    <t>01/31/2018</t>
  </si>
  <si>
    <t>11/29/2019</t>
  </si>
  <si>
    <t>01/05/2019</t>
  </si>
  <si>
    <t>08/12/2015</t>
  </si>
  <si>
    <t>09/23/2016</t>
  </si>
  <si>
    <t>05/25/2016</t>
  </si>
  <si>
    <t>07/14/2019</t>
  </si>
  <si>
    <t>08/18/2019</t>
  </si>
  <si>
    <t>12/02/2019</t>
  </si>
  <si>
    <t>09/15/2019</t>
  </si>
  <si>
    <t>10/20/2019</t>
  </si>
  <si>
    <t>11/03/2019</t>
  </si>
  <si>
    <t>11/02/2019</t>
  </si>
  <si>
    <t>12/03/2019</t>
  </si>
  <si>
    <t>08/04/2019</t>
  </si>
  <si>
    <t>Christine</t>
  </si>
  <si>
    <t>Marquise</t>
  </si>
  <si>
    <t>Angelica</t>
  </si>
  <si>
    <t>Nicole</t>
  </si>
  <si>
    <t>Lorna</t>
  </si>
  <si>
    <t>Elicha</t>
  </si>
  <si>
    <t>Michael</t>
  </si>
  <si>
    <t>Lisa</t>
  </si>
  <si>
    <t>John</t>
  </si>
  <si>
    <t>Maria</t>
  </si>
  <si>
    <t>Elizabeth</t>
  </si>
  <si>
    <t>Tiffany</t>
  </si>
  <si>
    <t>Jamilah</t>
  </si>
  <si>
    <t>Karen</t>
  </si>
  <si>
    <t>Mallchandra</t>
  </si>
  <si>
    <t>Jessica</t>
  </si>
  <si>
    <t>Katia</t>
  </si>
  <si>
    <t>Mohammad</t>
  </si>
  <si>
    <t>Shahnaz</t>
  </si>
  <si>
    <t>Robeela</t>
  </si>
  <si>
    <t>Amoy</t>
  </si>
  <si>
    <t>Diana</t>
  </si>
  <si>
    <t>Leidy Yesenia Escandon</t>
  </si>
  <si>
    <t>Hemwattee</t>
  </si>
  <si>
    <t>Onia</t>
  </si>
  <si>
    <t>Estela</t>
  </si>
  <si>
    <t>Christina</t>
  </si>
  <si>
    <t>Loretta</t>
  </si>
  <si>
    <t>Frederick</t>
  </si>
  <si>
    <t>Lakya</t>
  </si>
  <si>
    <t>Arbia</t>
  </si>
  <si>
    <t>Emilia</t>
  </si>
  <si>
    <t>Mylah</t>
  </si>
  <si>
    <t>Frank</t>
  </si>
  <si>
    <t>Pamela</t>
  </si>
  <si>
    <t>Eliana</t>
  </si>
  <si>
    <t>Anthony</t>
  </si>
  <si>
    <t>Shu Ling</t>
  </si>
  <si>
    <t>Lakisha</t>
  </si>
  <si>
    <t>Mariela</t>
  </si>
  <si>
    <t>Rebecca</t>
  </si>
  <si>
    <t>Nagina</t>
  </si>
  <si>
    <t>Raaheela</t>
  </si>
  <si>
    <t>Diane</t>
  </si>
  <si>
    <t>Paul</t>
  </si>
  <si>
    <t>Abdelaali</t>
  </si>
  <si>
    <t>Teresa</t>
  </si>
  <si>
    <t>Paulette</t>
  </si>
  <si>
    <t>Bridget</t>
  </si>
  <si>
    <t>Gregory</t>
  </si>
  <si>
    <t>Jennifer</t>
  </si>
  <si>
    <t>Brendan</t>
  </si>
  <si>
    <t>Shernelle</t>
  </si>
  <si>
    <t>Thashana</t>
  </si>
  <si>
    <t>Jaquonne</t>
  </si>
  <si>
    <t>Darren</t>
  </si>
  <si>
    <t>Thomas</t>
  </si>
  <si>
    <t>Katie</t>
  </si>
  <si>
    <t>Margo</t>
  </si>
  <si>
    <t>Abibatu</t>
  </si>
  <si>
    <t>Robert</t>
  </si>
  <si>
    <t>Kearra</t>
  </si>
  <si>
    <t>Dorothy</t>
  </si>
  <si>
    <t>Andrea</t>
  </si>
  <si>
    <t>Brenda</t>
  </si>
  <si>
    <t>Sidi</t>
  </si>
  <si>
    <t>Tanya</t>
  </si>
  <si>
    <t>Tony</t>
  </si>
  <si>
    <t>Bertin</t>
  </si>
  <si>
    <t>James</t>
  </si>
  <si>
    <t>Shavien</t>
  </si>
  <si>
    <t>Reggie</t>
  </si>
  <si>
    <t>Luis</t>
  </si>
  <si>
    <t>Rachel</t>
  </si>
  <si>
    <t>Christopher</t>
  </si>
  <si>
    <t>Patricia</t>
  </si>
  <si>
    <t>Cheryl</t>
  </si>
  <si>
    <t>Trudy</t>
  </si>
  <si>
    <t>Antoine</t>
  </si>
  <si>
    <t>Whitney</t>
  </si>
  <si>
    <t>Roberta</t>
  </si>
  <si>
    <t>Tumininu</t>
  </si>
  <si>
    <t>Shemaine</t>
  </si>
  <si>
    <t>Cynthia</t>
  </si>
  <si>
    <t>Monique</t>
  </si>
  <si>
    <t>Sharon</t>
  </si>
  <si>
    <t>Tammie</t>
  </si>
  <si>
    <t>Lauren</t>
  </si>
  <si>
    <t>Georgette</t>
  </si>
  <si>
    <t>Oscar</t>
  </si>
  <si>
    <t>David</t>
  </si>
  <si>
    <t>Olga</t>
  </si>
  <si>
    <t>Ruth</t>
  </si>
  <si>
    <t>Darlyne</t>
  </si>
  <si>
    <t>Sonia</t>
  </si>
  <si>
    <t>Celestine</t>
  </si>
  <si>
    <t>Jocelyne</t>
  </si>
  <si>
    <t>Alex</t>
  </si>
  <si>
    <t>Hovac</t>
  </si>
  <si>
    <t>Sherley</t>
  </si>
  <si>
    <t>Waanibe</t>
  </si>
  <si>
    <t>Deborah</t>
  </si>
  <si>
    <t>Janea</t>
  </si>
  <si>
    <t>Judy</t>
  </si>
  <si>
    <t>Yvonne</t>
  </si>
  <si>
    <t>Fredrena</t>
  </si>
  <si>
    <t>Ephemie</t>
  </si>
  <si>
    <t>Emily</t>
  </si>
  <si>
    <t>Evelyn</t>
  </si>
  <si>
    <t>Mustafa</t>
  </si>
  <si>
    <t>Alicia</t>
  </si>
  <si>
    <t>Samuel</t>
  </si>
  <si>
    <t>Cassandra</t>
  </si>
  <si>
    <t>Cristal</t>
  </si>
  <si>
    <t>Yadira</t>
  </si>
  <si>
    <t>Vincent</t>
  </si>
  <si>
    <t>Raphel</t>
  </si>
  <si>
    <t>Binbing</t>
  </si>
  <si>
    <t>Denise</t>
  </si>
  <si>
    <t>Rafael</t>
  </si>
  <si>
    <t>Renison</t>
  </si>
  <si>
    <t>Elisa</t>
  </si>
  <si>
    <t>Nilsa</t>
  </si>
  <si>
    <t>George</t>
  </si>
  <si>
    <t>Saul</t>
  </si>
  <si>
    <t>Albert</t>
  </si>
  <si>
    <t>Rafiah</t>
  </si>
  <si>
    <t>Jose</t>
  </si>
  <si>
    <t>Pearlina</t>
  </si>
  <si>
    <t>Veronica</t>
  </si>
  <si>
    <t>Yesenia</t>
  </si>
  <si>
    <t>Sadatu</t>
  </si>
  <si>
    <t>Walik</t>
  </si>
  <si>
    <t>Donna</t>
  </si>
  <si>
    <t>Agnes</t>
  </si>
  <si>
    <t>Kezira</t>
  </si>
  <si>
    <t>Destiny</t>
  </si>
  <si>
    <t>Barbara</t>
  </si>
  <si>
    <t>Mabel</t>
  </si>
  <si>
    <t>Michelle</t>
  </si>
  <si>
    <t>Viola</t>
  </si>
  <si>
    <t>Ed</t>
  </si>
  <si>
    <t>Takeisha</t>
  </si>
  <si>
    <t>Anita</t>
  </si>
  <si>
    <t>Jerome</t>
  </si>
  <si>
    <t>Julia</t>
  </si>
  <si>
    <t>Ellison</t>
  </si>
  <si>
    <t>Abielene</t>
  </si>
  <si>
    <t>Priscilla</t>
  </si>
  <si>
    <t>Diogenes</t>
  </si>
  <si>
    <t>Myra</t>
  </si>
  <si>
    <t>Lovasia</t>
  </si>
  <si>
    <t>Julisa</t>
  </si>
  <si>
    <t>Dulce</t>
  </si>
  <si>
    <t>Dudley</t>
  </si>
  <si>
    <t>Fatima</t>
  </si>
  <si>
    <t>Crystal</t>
  </si>
  <si>
    <t>Andres</t>
  </si>
  <si>
    <t>Charisse</t>
  </si>
  <si>
    <t>Adrienne</t>
  </si>
  <si>
    <t>Simone</t>
  </si>
  <si>
    <t>Joshua</t>
  </si>
  <si>
    <t>Lewis</t>
  </si>
  <si>
    <t>Kevin</t>
  </si>
  <si>
    <t>Lilith</t>
  </si>
  <si>
    <t>Jillian</t>
  </si>
  <si>
    <t>Emmanuel</t>
  </si>
  <si>
    <t>Alasia</t>
  </si>
  <si>
    <t>Martin</t>
  </si>
  <si>
    <t>Il</t>
  </si>
  <si>
    <t>Heba</t>
  </si>
  <si>
    <t>Mustapha</t>
  </si>
  <si>
    <t>Julianne</t>
  </si>
  <si>
    <t>Sarah</t>
  </si>
  <si>
    <t>Charise</t>
  </si>
  <si>
    <t>Roger</t>
  </si>
  <si>
    <t>Primanedga</t>
  </si>
  <si>
    <t>Ramon</t>
  </si>
  <si>
    <t>Honori</t>
  </si>
  <si>
    <t>Sheri</t>
  </si>
  <si>
    <t>Sonya</t>
  </si>
  <si>
    <t>Juan</t>
  </si>
  <si>
    <t>Bonnie</t>
  </si>
  <si>
    <t>Lissa</t>
  </si>
  <si>
    <t>Charmise</t>
  </si>
  <si>
    <t>Courtney</t>
  </si>
  <si>
    <t>Stephanie</t>
  </si>
  <si>
    <t>Monica</t>
  </si>
  <si>
    <t>Serrina</t>
  </si>
  <si>
    <t>Shonniece</t>
  </si>
  <si>
    <t>Carolin</t>
  </si>
  <si>
    <t>Shanequa</t>
  </si>
  <si>
    <t>Lucia</t>
  </si>
  <si>
    <t>Ruby</t>
  </si>
  <si>
    <t>Carl</t>
  </si>
  <si>
    <t>Luisa</t>
  </si>
  <si>
    <t>Kim</t>
  </si>
  <si>
    <t>Denice</t>
  </si>
  <si>
    <t>Rigoberto</t>
  </si>
  <si>
    <t>Carlos</t>
  </si>
  <si>
    <t>Lydia</t>
  </si>
  <si>
    <t>Aminata</t>
  </si>
  <si>
    <t>Mariama</t>
  </si>
  <si>
    <t>Fanta</t>
  </si>
  <si>
    <t>Luz</t>
  </si>
  <si>
    <t>Joachim</t>
  </si>
  <si>
    <t>Alejandro</t>
  </si>
  <si>
    <t>Guillermo</t>
  </si>
  <si>
    <t>Gina</t>
  </si>
  <si>
    <t>Daniel</t>
  </si>
  <si>
    <t>Benecia</t>
  </si>
  <si>
    <t>Starquaisa</t>
  </si>
  <si>
    <t>Marlene</t>
  </si>
  <si>
    <t>Natividad</t>
  </si>
  <si>
    <t>Nathalia</t>
  </si>
  <si>
    <t>Gerard</t>
  </si>
  <si>
    <t>Mars</t>
  </si>
  <si>
    <t>Josephina</t>
  </si>
  <si>
    <t>Genevieve</t>
  </si>
  <si>
    <t>Natalya</t>
  </si>
  <si>
    <t>Elvira</t>
  </si>
  <si>
    <t>Ana</t>
  </si>
  <si>
    <t>Dorcas</t>
  </si>
  <si>
    <t>Henrietta</t>
  </si>
  <si>
    <t>Abdullai</t>
  </si>
  <si>
    <t>Joseph</t>
  </si>
  <si>
    <t>Dolores</t>
  </si>
  <si>
    <t>Isatu</t>
  </si>
  <si>
    <t>Mary</t>
  </si>
  <si>
    <t>Gabby</t>
  </si>
  <si>
    <t>Pedro</t>
  </si>
  <si>
    <t>Josue</t>
  </si>
  <si>
    <t>Edgardo</t>
  </si>
  <si>
    <t>Nancy</t>
  </si>
  <si>
    <t>Valicia</t>
  </si>
  <si>
    <t>YRALDA</t>
  </si>
  <si>
    <t>Lesley</t>
  </si>
  <si>
    <t>Sandra</t>
  </si>
  <si>
    <t>Valerie</t>
  </si>
  <si>
    <t>Rita</t>
  </si>
  <si>
    <t>Halimeh</t>
  </si>
  <si>
    <t>Renauld</t>
  </si>
  <si>
    <t>Carloyn</t>
  </si>
  <si>
    <t>Deshawn</t>
  </si>
  <si>
    <t>Victor</t>
  </si>
  <si>
    <t>Jimmy</t>
  </si>
  <si>
    <t>Elsie</t>
  </si>
  <si>
    <t>Linda</t>
  </si>
  <si>
    <t>Alina</t>
  </si>
  <si>
    <t>Jefferson</t>
  </si>
  <si>
    <t>Erika</t>
  </si>
  <si>
    <t>Salisha</t>
  </si>
  <si>
    <t>Otasowie</t>
  </si>
  <si>
    <t>Asia</t>
  </si>
  <si>
    <t>Shamik</t>
  </si>
  <si>
    <t>Shakena</t>
  </si>
  <si>
    <t>Tanisha</t>
  </si>
  <si>
    <t>Letisha</t>
  </si>
  <si>
    <t>Danielle</t>
  </si>
  <si>
    <t>Alka</t>
  </si>
  <si>
    <t>Margarita</t>
  </si>
  <si>
    <t>Ferney</t>
  </si>
  <si>
    <t>Nicolette</t>
  </si>
  <si>
    <t>Oumaima</t>
  </si>
  <si>
    <t>Cristian</t>
  </si>
  <si>
    <t>Jenny</t>
  </si>
  <si>
    <t>Troy</t>
  </si>
  <si>
    <t>Rosa</t>
  </si>
  <si>
    <t>Blanca</t>
  </si>
  <si>
    <t>Miguel</t>
  </si>
  <si>
    <t>Alba</t>
  </si>
  <si>
    <t>Brannon</t>
  </si>
  <si>
    <t>Yaribel</t>
  </si>
  <si>
    <t>Natacha</t>
  </si>
  <si>
    <t>Dania</t>
  </si>
  <si>
    <t>Raquel</t>
  </si>
  <si>
    <t>Ramona</t>
  </si>
  <si>
    <t>Modesto</t>
  </si>
  <si>
    <t>Angelina</t>
  </si>
  <si>
    <t>Jasmine</t>
  </si>
  <si>
    <t>Georgina</t>
  </si>
  <si>
    <t>Amjad</t>
  </si>
  <si>
    <t>Nadia</t>
  </si>
  <si>
    <t>Venus</t>
  </si>
  <si>
    <t>Lillian</t>
  </si>
  <si>
    <t>Julie</t>
  </si>
  <si>
    <t>Alan</t>
  </si>
  <si>
    <t>Catalano</t>
  </si>
  <si>
    <t>Jon</t>
  </si>
  <si>
    <t>Carolyn</t>
  </si>
  <si>
    <t>Nikitia</t>
  </si>
  <si>
    <t>India</t>
  </si>
  <si>
    <t>Terrance</t>
  </si>
  <si>
    <t>Hendrick</t>
  </si>
  <si>
    <t>Taffi</t>
  </si>
  <si>
    <t>Noel</t>
  </si>
  <si>
    <t>Janette</t>
  </si>
  <si>
    <t>Justin</t>
  </si>
  <si>
    <t>Glenda</t>
  </si>
  <si>
    <t>Wakina</t>
  </si>
  <si>
    <t>Phil</t>
  </si>
  <si>
    <t>Charmine</t>
  </si>
  <si>
    <t>Florinda</t>
  </si>
  <si>
    <t>Nelly</t>
  </si>
  <si>
    <t>Benanacio</t>
  </si>
  <si>
    <t>Maureen</t>
  </si>
  <si>
    <t>Abu</t>
  </si>
  <si>
    <t>Monisa</t>
  </si>
  <si>
    <t>Leesa</t>
  </si>
  <si>
    <t>Yinxiu</t>
  </si>
  <si>
    <t>Gilbert</t>
  </si>
  <si>
    <t>Mi Ran</t>
  </si>
  <si>
    <t>Florencia</t>
  </si>
  <si>
    <t>Carmen</t>
  </si>
  <si>
    <t>Tavika</t>
  </si>
  <si>
    <t>Elsa</t>
  </si>
  <si>
    <t>Natori</t>
  </si>
  <si>
    <t>Felesha</t>
  </si>
  <si>
    <t>Yacily</t>
  </si>
  <si>
    <t>Akasha</t>
  </si>
  <si>
    <t>Cesar</t>
  </si>
  <si>
    <t>Genitha</t>
  </si>
  <si>
    <t>Chiquana</t>
  </si>
  <si>
    <t>Louise</t>
  </si>
  <si>
    <t>Christian</t>
  </si>
  <si>
    <t>Esther</t>
  </si>
  <si>
    <t>Ysmenia</t>
  </si>
  <si>
    <t>Diamond</t>
  </si>
  <si>
    <t>Jin</t>
  </si>
  <si>
    <t>Ricarda</t>
  </si>
  <si>
    <t>Davon</t>
  </si>
  <si>
    <t>Marcia</t>
  </si>
  <si>
    <t>Teddie</t>
  </si>
  <si>
    <t>Dean</t>
  </si>
  <si>
    <t>Susana</t>
  </si>
  <si>
    <t>Delsy</t>
  </si>
  <si>
    <t>Kinny</t>
  </si>
  <si>
    <t>Marina</t>
  </si>
  <si>
    <t>Shakal</t>
  </si>
  <si>
    <t>Rodney</t>
  </si>
  <si>
    <t>Lynn Marie</t>
  </si>
  <si>
    <t>Gracemarie</t>
  </si>
  <si>
    <t>Tina</t>
  </si>
  <si>
    <t>Yocelyn</t>
  </si>
  <si>
    <t>Doretha</t>
  </si>
  <si>
    <t>Leroy</t>
  </si>
  <si>
    <t>Vernice</t>
  </si>
  <si>
    <t>Debra</t>
  </si>
  <si>
    <t>Basilio</t>
  </si>
  <si>
    <t>Domanique</t>
  </si>
  <si>
    <t>Ann</t>
  </si>
  <si>
    <t>Ross</t>
  </si>
  <si>
    <t>Jacqueline</t>
  </si>
  <si>
    <t>Celia</t>
  </si>
  <si>
    <t>Socorro</t>
  </si>
  <si>
    <t>Paula</t>
  </si>
  <si>
    <t>Asmahan</t>
  </si>
  <si>
    <t>Kathleen</t>
  </si>
  <si>
    <t>Verine</t>
  </si>
  <si>
    <t>Leanna</t>
  </si>
  <si>
    <t>Evelyne</t>
  </si>
  <si>
    <t>Marvilin</t>
  </si>
  <si>
    <t>Racquel</t>
  </si>
  <si>
    <t>Cardel</t>
  </si>
  <si>
    <t>Rosilyn</t>
  </si>
  <si>
    <t>Bernarda</t>
  </si>
  <si>
    <t>Sandy</t>
  </si>
  <si>
    <t>Valesia</t>
  </si>
  <si>
    <t>Samantha</t>
  </si>
  <si>
    <t>Matilde</t>
  </si>
  <si>
    <t>Latice</t>
  </si>
  <si>
    <t>Darchelle</t>
  </si>
  <si>
    <t>Shaka</t>
  </si>
  <si>
    <t>Janice</t>
  </si>
  <si>
    <t>Melba</t>
  </si>
  <si>
    <t>Maha</t>
  </si>
  <si>
    <t>Naida</t>
  </si>
  <si>
    <t>Zachary</t>
  </si>
  <si>
    <t>Gael</t>
  </si>
  <si>
    <t>Amada</t>
  </si>
  <si>
    <t>Afia</t>
  </si>
  <si>
    <t>Gloria</t>
  </si>
  <si>
    <t>Mallery</t>
  </si>
  <si>
    <t>Johannie</t>
  </si>
  <si>
    <t>Armando</t>
  </si>
  <si>
    <t>Tariq</t>
  </si>
  <si>
    <t>Abigail</t>
  </si>
  <si>
    <t>Mark</t>
  </si>
  <si>
    <t>Patrice</t>
  </si>
  <si>
    <t>Karyn</t>
  </si>
  <si>
    <t>Ingrid</t>
  </si>
  <si>
    <t>Llyaseni</t>
  </si>
  <si>
    <t>Westly</t>
  </si>
  <si>
    <t>Leah</t>
  </si>
  <si>
    <t>Shakema</t>
  </si>
  <si>
    <t>Gary</t>
  </si>
  <si>
    <t>Quyen</t>
  </si>
  <si>
    <t>Dawn</t>
  </si>
  <si>
    <t>Anne</t>
  </si>
  <si>
    <t>Matthew</t>
  </si>
  <si>
    <t>Keiana</t>
  </si>
  <si>
    <t>Roman</t>
  </si>
  <si>
    <t>Adrianne</t>
  </si>
  <si>
    <t>Miriam</t>
  </si>
  <si>
    <t>Alfredo</t>
  </si>
  <si>
    <t>Shanika</t>
  </si>
  <si>
    <t>Kerry</t>
  </si>
  <si>
    <t>Musah</t>
  </si>
  <si>
    <t>Toby</t>
  </si>
  <si>
    <t>Janiene</t>
  </si>
  <si>
    <t>Queyen</t>
  </si>
  <si>
    <t>Nadine</t>
  </si>
  <si>
    <t>Cristina</t>
  </si>
  <si>
    <t>Yolanda</t>
  </si>
  <si>
    <t>Cleophuss</t>
  </si>
  <si>
    <t>Mohammed</t>
  </si>
  <si>
    <t>Alexander</t>
  </si>
  <si>
    <t>Jacquelin</t>
  </si>
  <si>
    <t>Teshawna</t>
  </si>
  <si>
    <t>Steven</t>
  </si>
  <si>
    <t>Latoya</t>
  </si>
  <si>
    <t>Lei</t>
  </si>
  <si>
    <t>Kathy</t>
  </si>
  <si>
    <t>Nii</t>
  </si>
  <si>
    <t>Mercedes</t>
  </si>
  <si>
    <t>Althea</t>
  </si>
  <si>
    <t>Jesus</t>
  </si>
  <si>
    <t>Shamark</t>
  </si>
  <si>
    <t>Darlene</t>
  </si>
  <si>
    <t>Norma</t>
  </si>
  <si>
    <t>Joy</t>
  </si>
  <si>
    <t>Chastity</t>
  </si>
  <si>
    <t>Allysa</t>
  </si>
  <si>
    <t>Maxine</t>
  </si>
  <si>
    <t>Test</t>
  </si>
  <si>
    <t>Tieara</t>
  </si>
  <si>
    <t>Faisa</t>
  </si>
  <si>
    <t>Brunella</t>
  </si>
  <si>
    <t>Rose</t>
  </si>
  <si>
    <t>Santa</t>
  </si>
  <si>
    <t>Geneva</t>
  </si>
  <si>
    <t>Geraldine</t>
  </si>
  <si>
    <t>Chaka</t>
  </si>
  <si>
    <t>Gwendolyn</t>
  </si>
  <si>
    <t>Noemi</t>
  </si>
  <si>
    <t>Heeadai</t>
  </si>
  <si>
    <t>Emma</t>
  </si>
  <si>
    <t>Jennette</t>
  </si>
  <si>
    <t>Loletta</t>
  </si>
  <si>
    <t>Talitha</t>
  </si>
  <si>
    <t>Tabitha</t>
  </si>
  <si>
    <t>Stephany</t>
  </si>
  <si>
    <t>Essence</t>
  </si>
  <si>
    <t>Nikeya</t>
  </si>
  <si>
    <t>Dominique</t>
  </si>
  <si>
    <t>Dalmi</t>
  </si>
  <si>
    <t>Candice</t>
  </si>
  <si>
    <t>Halima</t>
  </si>
  <si>
    <t>Paris</t>
  </si>
  <si>
    <t>Lovado</t>
  </si>
  <si>
    <t>Amanda</t>
  </si>
  <si>
    <t>Dawna</t>
  </si>
  <si>
    <t>Gladysmir</t>
  </si>
  <si>
    <t>Genesis</t>
  </si>
  <si>
    <t>Beverly</t>
  </si>
  <si>
    <t>Shakirah</t>
  </si>
  <si>
    <t>Antoinette</t>
  </si>
  <si>
    <t>Ron</t>
  </si>
  <si>
    <t>Izaida</t>
  </si>
  <si>
    <t>Helene</t>
  </si>
  <si>
    <t>Nastassja</t>
  </si>
  <si>
    <t>Zunilda</t>
  </si>
  <si>
    <t>Tiyanna</t>
  </si>
  <si>
    <t>Demi</t>
  </si>
  <si>
    <t>Martha</t>
  </si>
  <si>
    <t>Elsy</t>
  </si>
  <si>
    <t>Delroy</t>
  </si>
  <si>
    <t>Shavonia</t>
  </si>
  <si>
    <t>Shavon</t>
  </si>
  <si>
    <t>Marie</t>
  </si>
  <si>
    <t>Jason</t>
  </si>
  <si>
    <t>Hosnahara</t>
  </si>
  <si>
    <t>Donell</t>
  </si>
  <si>
    <t>Ladora</t>
  </si>
  <si>
    <t>Norman</t>
  </si>
  <si>
    <t>Nkrumah</t>
  </si>
  <si>
    <t>Lourenco</t>
  </si>
  <si>
    <t>Antonio</t>
  </si>
  <si>
    <t>Jaime</t>
  </si>
  <si>
    <t>Aaron</t>
  </si>
  <si>
    <t>Abdul</t>
  </si>
  <si>
    <t>Edward</t>
  </si>
  <si>
    <t>Lubin</t>
  </si>
  <si>
    <t>Sheena</t>
  </si>
  <si>
    <t>Felipa</t>
  </si>
  <si>
    <t>Silvia</t>
  </si>
  <si>
    <t>Natena</t>
  </si>
  <si>
    <t>Melanie</t>
  </si>
  <si>
    <t>Virgilio</t>
  </si>
  <si>
    <t>Marisol</t>
  </si>
  <si>
    <t>Gabriela</t>
  </si>
  <si>
    <t>Tshura</t>
  </si>
  <si>
    <t>Lorraine</t>
  </si>
  <si>
    <t>Lucero</t>
  </si>
  <si>
    <t>April</t>
  </si>
  <si>
    <t>Hilda</t>
  </si>
  <si>
    <t>Timothy</t>
  </si>
  <si>
    <t>Fredy</t>
  </si>
  <si>
    <t>Dilcia</t>
  </si>
  <si>
    <t>Wanda</t>
  </si>
  <si>
    <t>Andrej</t>
  </si>
  <si>
    <t>Clifford</t>
  </si>
  <si>
    <t>Nina</t>
  </si>
  <si>
    <t>Iraida</t>
  </si>
  <si>
    <t>Sikhumbuzo</t>
  </si>
  <si>
    <t>Maisie</t>
  </si>
  <si>
    <t>Sophia</t>
  </si>
  <si>
    <t>Julius</t>
  </si>
  <si>
    <t>Theresa</t>
  </si>
  <si>
    <t>Flavia</t>
  </si>
  <si>
    <t>Ayanna</t>
  </si>
  <si>
    <t>Todd</t>
  </si>
  <si>
    <t>Sekou</t>
  </si>
  <si>
    <t>Jahaira</t>
  </si>
  <si>
    <t>Contrese</t>
  </si>
  <si>
    <t>Susalin</t>
  </si>
  <si>
    <t>Armida</t>
  </si>
  <si>
    <t>Arinola</t>
  </si>
  <si>
    <t>Anderson</t>
  </si>
  <si>
    <t>Jeanette</t>
  </si>
  <si>
    <t>Petal</t>
  </si>
  <si>
    <t>Riolesty</t>
  </si>
  <si>
    <t>Devin</t>
  </si>
  <si>
    <t>Michele</t>
  </si>
  <si>
    <t>Vantasia</t>
  </si>
  <si>
    <t>Valencia</t>
  </si>
  <si>
    <t>Mariam</t>
  </si>
  <si>
    <t>Liza</t>
  </si>
  <si>
    <t>Ovidian</t>
  </si>
  <si>
    <t>Shannon</t>
  </si>
  <si>
    <t>Momodou</t>
  </si>
  <si>
    <t>Erica</t>
  </si>
  <si>
    <t>Tamara</t>
  </si>
  <si>
    <t>Jade</t>
  </si>
  <si>
    <t>Luzelbi</t>
  </si>
  <si>
    <t>Bienvenida</t>
  </si>
  <si>
    <t>Leisa</t>
  </si>
  <si>
    <t>Daniela</t>
  </si>
  <si>
    <t>Tasha</t>
  </si>
  <si>
    <t>Lisbeth</t>
  </si>
  <si>
    <t>Richard</t>
  </si>
  <si>
    <t>Emmett</t>
  </si>
  <si>
    <t>Laura</t>
  </si>
  <si>
    <t>Chauncey</t>
  </si>
  <si>
    <t>Rosemae</t>
  </si>
  <si>
    <t>Mirely</t>
  </si>
  <si>
    <t>Lourdes</t>
  </si>
  <si>
    <t>Charlotte</t>
  </si>
  <si>
    <t>Lequida</t>
  </si>
  <si>
    <t>Frantonya</t>
  </si>
  <si>
    <t>Floralba</t>
  </si>
  <si>
    <t>Howard</t>
  </si>
  <si>
    <t>Scears</t>
  </si>
  <si>
    <t>Roberto</t>
  </si>
  <si>
    <t>Metania</t>
  </si>
  <si>
    <t>Hope</t>
  </si>
  <si>
    <t>Taniesha</t>
  </si>
  <si>
    <t>Dorren</t>
  </si>
  <si>
    <t>Hesham</t>
  </si>
  <si>
    <t>Shah</t>
  </si>
  <si>
    <t>Gail</t>
  </si>
  <si>
    <t>Reynaldo</t>
  </si>
  <si>
    <t>Hao Ran</t>
  </si>
  <si>
    <t>Wayne</t>
  </si>
  <si>
    <t>Loida</t>
  </si>
  <si>
    <t>Williemae</t>
  </si>
  <si>
    <t>Abeba</t>
  </si>
  <si>
    <t>Ryanna</t>
  </si>
  <si>
    <t>Demarie</t>
  </si>
  <si>
    <t>Redis</t>
  </si>
  <si>
    <t>Merlyn</t>
  </si>
  <si>
    <t>Mahnaz</t>
  </si>
  <si>
    <t>Bertha</t>
  </si>
  <si>
    <t>Tedroy</t>
  </si>
  <si>
    <t>Angel</t>
  </si>
  <si>
    <t>Flora</t>
  </si>
  <si>
    <t>Gladys</t>
  </si>
  <si>
    <t>Kimberly</t>
  </si>
  <si>
    <t>Natasha</t>
  </si>
  <si>
    <t>Julian</t>
  </si>
  <si>
    <t>Rosalida</t>
  </si>
  <si>
    <t>Maximo</t>
  </si>
  <si>
    <t>Francilia</t>
  </si>
  <si>
    <t>Malana</t>
  </si>
  <si>
    <t>Zeribel</t>
  </si>
  <si>
    <t>Yiny</t>
  </si>
  <si>
    <t>Mary Ann</t>
  </si>
  <si>
    <t>Jessie</t>
  </si>
  <si>
    <t>Cora</t>
  </si>
  <si>
    <t>Chenille</t>
  </si>
  <si>
    <t>Mecca</t>
  </si>
  <si>
    <t>Willie</t>
  </si>
  <si>
    <t>Arissa</t>
  </si>
  <si>
    <t>Yvette</t>
  </si>
  <si>
    <t>Geraldina</t>
  </si>
  <si>
    <t>Nichole</t>
  </si>
  <si>
    <t>Pelagio</t>
  </si>
  <si>
    <t>Nuria</t>
  </si>
  <si>
    <t>Brunilda</t>
  </si>
  <si>
    <t>Nakia</t>
  </si>
  <si>
    <t>Katty</t>
  </si>
  <si>
    <t>Orlando</t>
  </si>
  <si>
    <t>Katherine</t>
  </si>
  <si>
    <t>Isabel</t>
  </si>
  <si>
    <t>Damary</t>
  </si>
  <si>
    <t>Juceyna</t>
  </si>
  <si>
    <t>Starsheema</t>
  </si>
  <si>
    <t>Ibrahim</t>
  </si>
  <si>
    <t>Annette</t>
  </si>
  <si>
    <t>Eulalia</t>
  </si>
  <si>
    <t>Fidel</t>
  </si>
  <si>
    <t>Letice</t>
  </si>
  <si>
    <t>Eddelyn</t>
  </si>
  <si>
    <t>Lena</t>
  </si>
  <si>
    <t>Vivian</t>
  </si>
  <si>
    <t>Amoo</t>
  </si>
  <si>
    <t>Akhtar</t>
  </si>
  <si>
    <t>Konrad</t>
  </si>
  <si>
    <t>Winell</t>
  </si>
  <si>
    <t>Ampara</t>
  </si>
  <si>
    <t>Charlene</t>
  </si>
  <si>
    <t>Ildin</t>
  </si>
  <si>
    <t>Nathan</t>
  </si>
  <si>
    <t>Belkis</t>
  </si>
  <si>
    <t>Pura</t>
  </si>
  <si>
    <t>Joan</t>
  </si>
  <si>
    <t>Jelecia</t>
  </si>
  <si>
    <t>Eduvigis</t>
  </si>
  <si>
    <t>Isi</t>
  </si>
  <si>
    <t>Celiana</t>
  </si>
  <si>
    <t>Anna</t>
  </si>
  <si>
    <t>Bernice</t>
  </si>
  <si>
    <t>Zelda</t>
  </si>
  <si>
    <t>Yahaira</t>
  </si>
  <si>
    <t>Migdalia</t>
  </si>
  <si>
    <t>Viela</t>
  </si>
  <si>
    <t>Mariah</t>
  </si>
  <si>
    <t>Adriana</t>
  </si>
  <si>
    <t>Israel</t>
  </si>
  <si>
    <t>Latisha</t>
  </si>
  <si>
    <t>Fausto</t>
  </si>
  <si>
    <t>Angela</t>
  </si>
  <si>
    <t>Aquilina</t>
  </si>
  <si>
    <t>Hong Rui</t>
  </si>
  <si>
    <t>Loi Sao</t>
  </si>
  <si>
    <t>Letha</t>
  </si>
  <si>
    <t>Betty</t>
  </si>
  <si>
    <t>Keysha</t>
  </si>
  <si>
    <t>Shoumei</t>
  </si>
  <si>
    <t>Yesica</t>
  </si>
  <si>
    <t>Seerat</t>
  </si>
  <si>
    <t>Cherly</t>
  </si>
  <si>
    <t>Dolore</t>
  </si>
  <si>
    <t>Dominiqua</t>
  </si>
  <si>
    <t>Dianna</t>
  </si>
  <si>
    <t>Marva</t>
  </si>
  <si>
    <t>Hanirka</t>
  </si>
  <si>
    <t>Brian</t>
  </si>
  <si>
    <t>Walter</t>
  </si>
  <si>
    <t>Julio</t>
  </si>
  <si>
    <t>Celenio</t>
  </si>
  <si>
    <t>Byron</t>
  </si>
  <si>
    <t>Marjorie</t>
  </si>
  <si>
    <t>Rafaelina</t>
  </si>
  <si>
    <t>Peta</t>
  </si>
  <si>
    <t>Ellen</t>
  </si>
  <si>
    <t>Dionne</t>
  </si>
  <si>
    <t>Hanan</t>
  </si>
  <si>
    <t>Danesha</t>
  </si>
  <si>
    <t>Olivia</t>
  </si>
  <si>
    <t>Tiara</t>
  </si>
  <si>
    <t>Carlena</t>
  </si>
  <si>
    <t>Maxima</t>
  </si>
  <si>
    <t>Andrelle</t>
  </si>
  <si>
    <t>MARIA</t>
  </si>
  <si>
    <t>Dedra</t>
  </si>
  <si>
    <t>Maribel</t>
  </si>
  <si>
    <t>Duanny</t>
  </si>
  <si>
    <t>Brooke</t>
  </si>
  <si>
    <t>Gisela</t>
  </si>
  <si>
    <t>Diego</t>
  </si>
  <si>
    <t>Farah</t>
  </si>
  <si>
    <t>Edgar</t>
  </si>
  <si>
    <t>Chervon</t>
  </si>
  <si>
    <t>Mahranie</t>
  </si>
  <si>
    <t>Wardell</t>
  </si>
  <si>
    <t>William</t>
  </si>
  <si>
    <t>Manisha</t>
  </si>
  <si>
    <t>Rosaria</t>
  </si>
  <si>
    <t>Belinda</t>
  </si>
  <si>
    <t>Josefa</t>
  </si>
  <si>
    <t>Frances</t>
  </si>
  <si>
    <t>Caroline</t>
  </si>
  <si>
    <t>Ai</t>
  </si>
  <si>
    <t>Shaquana</t>
  </si>
  <si>
    <t>Lucy</t>
  </si>
  <si>
    <t>Sollinda</t>
  </si>
  <si>
    <t>Rebeca</t>
  </si>
  <si>
    <t>Cameyo</t>
  </si>
  <si>
    <t>Ada</t>
  </si>
  <si>
    <t>Sylvia</t>
  </si>
  <si>
    <t>Stanford</t>
  </si>
  <si>
    <t>Mirella</t>
  </si>
  <si>
    <t>Yoani</t>
  </si>
  <si>
    <t>Penny</t>
  </si>
  <si>
    <t>Rosita</t>
  </si>
  <si>
    <t>Manuel</t>
  </si>
  <si>
    <t>Tracey</t>
  </si>
  <si>
    <t>Francia</t>
  </si>
  <si>
    <t>Beth</t>
  </si>
  <si>
    <t>Asuncion</t>
  </si>
  <si>
    <t>Josephine</t>
  </si>
  <si>
    <t>Elina</t>
  </si>
  <si>
    <t>Jae</t>
  </si>
  <si>
    <t>Renee</t>
  </si>
  <si>
    <t>Latroya</t>
  </si>
  <si>
    <t>Johny</t>
  </si>
  <si>
    <t>Joyette</t>
  </si>
  <si>
    <t>Rosaly</t>
  </si>
  <si>
    <t>Kyoung Nim</t>
  </si>
  <si>
    <t>Darneice</t>
  </si>
  <si>
    <t>Rahtisha</t>
  </si>
  <si>
    <t>Hasna</t>
  </si>
  <si>
    <t>Alfred</t>
  </si>
  <si>
    <t>Benito</t>
  </si>
  <si>
    <t>Joanne</t>
  </si>
  <si>
    <t>Lila</t>
  </si>
  <si>
    <t>Blessing</t>
  </si>
  <si>
    <t>Mildred</t>
  </si>
  <si>
    <t>Shu Tim</t>
  </si>
  <si>
    <t>Juanita</t>
  </si>
  <si>
    <t>Ivan</t>
  </si>
  <si>
    <t>Collette</t>
  </si>
  <si>
    <t>Natalia</t>
  </si>
  <si>
    <t>Trelane</t>
  </si>
  <si>
    <t>Aida</t>
  </si>
  <si>
    <t>Raul</t>
  </si>
  <si>
    <t>Keith</t>
  </si>
  <si>
    <t>Michiko</t>
  </si>
  <si>
    <t>Shirley</t>
  </si>
  <si>
    <t>Misae</t>
  </si>
  <si>
    <t>Malisha</t>
  </si>
  <si>
    <t>Danny</t>
  </si>
  <si>
    <t>Emely</t>
  </si>
  <si>
    <t>Ivette</t>
  </si>
  <si>
    <t>Zoiky</t>
  </si>
  <si>
    <t>Loriane</t>
  </si>
  <si>
    <t>Ralph</t>
  </si>
  <si>
    <t>Aurelia</t>
  </si>
  <si>
    <t>Paralee</t>
  </si>
  <si>
    <t>Trina</t>
  </si>
  <si>
    <t>Modesta</t>
  </si>
  <si>
    <t>Diahann</t>
  </si>
  <si>
    <t>Otilio</t>
  </si>
  <si>
    <t>Miasia</t>
  </si>
  <si>
    <t>Kenia</t>
  </si>
  <si>
    <t>Baka</t>
  </si>
  <si>
    <t>Esperanza</t>
  </si>
  <si>
    <t>Lynette</t>
  </si>
  <si>
    <t>Candida</t>
  </si>
  <si>
    <t>Maruja</t>
  </si>
  <si>
    <t>Eileen</t>
  </si>
  <si>
    <t>Lucindia</t>
  </si>
  <si>
    <t>Catherine</t>
  </si>
  <si>
    <t>Fredman</t>
  </si>
  <si>
    <t>Mokdul</t>
  </si>
  <si>
    <t>Madelyn</t>
  </si>
  <si>
    <t>Rodolfo</t>
  </si>
  <si>
    <t>Cecilia</t>
  </si>
  <si>
    <t>Aurea</t>
  </si>
  <si>
    <t>Juana</t>
  </si>
  <si>
    <t>Yolande</t>
  </si>
  <si>
    <t>Felicia</t>
  </si>
  <si>
    <t>Flor</t>
  </si>
  <si>
    <t>Dante</t>
  </si>
  <si>
    <t>Nairoby</t>
  </si>
  <si>
    <t>Traci</t>
  </si>
  <si>
    <t>Toshima</t>
  </si>
  <si>
    <t>AYDA</t>
  </si>
  <si>
    <t>Abdulai</t>
  </si>
  <si>
    <t>Yuberkis</t>
  </si>
  <si>
    <t>Jorge</t>
  </si>
  <si>
    <t>Musu</t>
  </si>
  <si>
    <t>Braulia</t>
  </si>
  <si>
    <t>Alma</t>
  </si>
  <si>
    <t>Fiordaliza</t>
  </si>
  <si>
    <t>Abdou</t>
  </si>
  <si>
    <t>Ruth Ann</t>
  </si>
  <si>
    <t>Jhonny</t>
  </si>
  <si>
    <t>Tyeonna</t>
  </si>
  <si>
    <t>Rosanna</t>
  </si>
  <si>
    <t>Miguelina</t>
  </si>
  <si>
    <t>Leonora</t>
  </si>
  <si>
    <t>Jeannette</t>
  </si>
  <si>
    <t>Barreiro</t>
  </si>
  <si>
    <t>Fei</t>
  </si>
  <si>
    <t>Monirul</t>
  </si>
  <si>
    <t>Lakeshia</t>
  </si>
  <si>
    <t>Larry</t>
  </si>
  <si>
    <t>Eli</t>
  </si>
  <si>
    <t>Akitsu</t>
  </si>
  <si>
    <t>Ahmed</t>
  </si>
  <si>
    <t>Ousmane</t>
  </si>
  <si>
    <t>Ventesa</t>
  </si>
  <si>
    <t>Cecelia</t>
  </si>
  <si>
    <t>Engracia</t>
  </si>
  <si>
    <t>Amelia</t>
  </si>
  <si>
    <t>Rossmery</t>
  </si>
  <si>
    <t>Zoila</t>
  </si>
  <si>
    <t>Myrna</t>
  </si>
  <si>
    <t>Eddine</t>
  </si>
  <si>
    <t>Robin</t>
  </si>
  <si>
    <t>Morillo</t>
  </si>
  <si>
    <t>Tyrone</t>
  </si>
  <si>
    <t>Milagros</t>
  </si>
  <si>
    <t>Malika</t>
  </si>
  <si>
    <t>Zulema</t>
  </si>
  <si>
    <t>Wendy</t>
  </si>
  <si>
    <t>Felia</t>
  </si>
  <si>
    <t>Krystle</t>
  </si>
  <si>
    <t>Euginia</t>
  </si>
  <si>
    <t>Faith</t>
  </si>
  <si>
    <t>Jean</t>
  </si>
  <si>
    <t>Milady</t>
  </si>
  <si>
    <t>Alida</t>
  </si>
  <si>
    <t>Ligia</t>
  </si>
  <si>
    <t>Iluminada</t>
  </si>
  <si>
    <t>Elia</t>
  </si>
  <si>
    <t>Yovanni</t>
  </si>
  <si>
    <t>Debbie</t>
  </si>
  <si>
    <t>Nilo</t>
  </si>
  <si>
    <t>Malik</t>
  </si>
  <si>
    <t>Sade</t>
  </si>
  <si>
    <t>Leonicia</t>
  </si>
  <si>
    <t>Zaida</t>
  </si>
  <si>
    <t>Nefertari</t>
  </si>
  <si>
    <t>Amarilis</t>
  </si>
  <si>
    <t>Raisa</t>
  </si>
  <si>
    <t>Nilda</t>
  </si>
  <si>
    <t>Tyesha</t>
  </si>
  <si>
    <t>Abla</t>
  </si>
  <si>
    <t>Yajaira</t>
  </si>
  <si>
    <t>Ketty</t>
  </si>
  <si>
    <t>Temistocles</t>
  </si>
  <si>
    <t>Heather</t>
  </si>
  <si>
    <t>Betsy</t>
  </si>
  <si>
    <t>Antonia</t>
  </si>
  <si>
    <t>Blu</t>
  </si>
  <si>
    <t>Jardi</t>
  </si>
  <si>
    <t>Margirita</t>
  </si>
  <si>
    <t>Hussain</t>
  </si>
  <si>
    <t>Dalia</t>
  </si>
  <si>
    <t>Sebastian</t>
  </si>
  <si>
    <t>Sheila</t>
  </si>
  <si>
    <t>Haydee</t>
  </si>
  <si>
    <t>Patric</t>
  </si>
  <si>
    <t>Tania</t>
  </si>
  <si>
    <t>Star</t>
  </si>
  <si>
    <t>Odette</t>
  </si>
  <si>
    <t>Francisca</t>
  </si>
  <si>
    <t>Rachelle</t>
  </si>
  <si>
    <t>Santiago</t>
  </si>
  <si>
    <t>Adalberto</t>
  </si>
  <si>
    <t>Yudelka</t>
  </si>
  <si>
    <t>Lizmary</t>
  </si>
  <si>
    <t>Prakash</t>
  </si>
  <si>
    <t>Estelle</t>
  </si>
  <si>
    <t>Dail</t>
  </si>
  <si>
    <t>Raheela</t>
  </si>
  <si>
    <t>Fossillon</t>
  </si>
  <si>
    <t>Michel</t>
  </si>
  <si>
    <t>Carol</t>
  </si>
  <si>
    <t>Oida</t>
  </si>
  <si>
    <t>Carolina</t>
  </si>
  <si>
    <t>Pearlene</t>
  </si>
  <si>
    <t>Jesusa</t>
  </si>
  <si>
    <t>Vicente</t>
  </si>
  <si>
    <t>Phyllis</t>
  </si>
  <si>
    <t>Hector</t>
  </si>
  <si>
    <t>Dannielle</t>
  </si>
  <si>
    <t>Eula</t>
  </si>
  <si>
    <t>Marilyn</t>
  </si>
  <si>
    <t>Raylene</t>
  </si>
  <si>
    <t>Clarence</t>
  </si>
  <si>
    <t>Germaine</t>
  </si>
  <si>
    <t>Valentina</t>
  </si>
  <si>
    <t>Edith</t>
  </si>
  <si>
    <t>Govchlya</t>
  </si>
  <si>
    <t>Gordon</t>
  </si>
  <si>
    <t>Kalven</t>
  </si>
  <si>
    <t>Lonnie</t>
  </si>
  <si>
    <t>Tameeka</t>
  </si>
  <si>
    <t>Erasmo</t>
  </si>
  <si>
    <t>Damaris</t>
  </si>
  <si>
    <t>Felicita</t>
  </si>
  <si>
    <t>Maricela</t>
  </si>
  <si>
    <t>Jum Sim</t>
  </si>
  <si>
    <t>Magdalia</t>
  </si>
  <si>
    <t>Doris</t>
  </si>
  <si>
    <t>Chaztatii</t>
  </si>
  <si>
    <t>Clayton</t>
  </si>
  <si>
    <t>Fresi</t>
  </si>
  <si>
    <t>Avian</t>
  </si>
  <si>
    <t>Joslyn</t>
  </si>
  <si>
    <t>LUCRETIA</t>
  </si>
  <si>
    <t>Shiaisha</t>
  </si>
  <si>
    <t>Marcela</t>
  </si>
  <si>
    <t>Irma</t>
  </si>
  <si>
    <t>Leonida</t>
  </si>
  <si>
    <t>Hernando</t>
  </si>
  <si>
    <t>Bernard</t>
  </si>
  <si>
    <t>Lupe</t>
  </si>
  <si>
    <t>Beatrice</t>
  </si>
  <si>
    <t>Kurks</t>
  </si>
  <si>
    <t>Leslie</t>
  </si>
  <si>
    <t>Graciela</t>
  </si>
  <si>
    <t>Herbert</t>
  </si>
  <si>
    <t>Deanna</t>
  </si>
  <si>
    <t>Dorothea</t>
  </si>
  <si>
    <t>Gustavo</t>
  </si>
  <si>
    <t>Joyce</t>
  </si>
  <si>
    <t>Sara</t>
  </si>
  <si>
    <t>Elba</t>
  </si>
  <si>
    <t>Gerald</t>
  </si>
  <si>
    <t>Victoria</t>
  </si>
  <si>
    <t>Alik</t>
  </si>
  <si>
    <t>Zenaida</t>
  </si>
  <si>
    <t>Jackie</t>
  </si>
  <si>
    <t>Madeline</t>
  </si>
  <si>
    <t>Darell</t>
  </si>
  <si>
    <t>Latania</t>
  </si>
  <si>
    <t>Clyde</t>
  </si>
  <si>
    <t>Everton</t>
  </si>
  <si>
    <t>Peter</t>
  </si>
  <si>
    <t>Obiaba</t>
  </si>
  <si>
    <t>Bassam</t>
  </si>
  <si>
    <t>Myrtle</t>
  </si>
  <si>
    <t>Abdoulaye</t>
  </si>
  <si>
    <t>Shavell</t>
  </si>
  <si>
    <t>Francisaca</t>
  </si>
  <si>
    <t>Tammy</t>
  </si>
  <si>
    <t>Bernadette</t>
  </si>
  <si>
    <t>Escarlet</t>
  </si>
  <si>
    <t>Jennifer Cruz</t>
  </si>
  <si>
    <t>Francisco</t>
  </si>
  <si>
    <t>Kelly</t>
  </si>
  <si>
    <t>Shanelle</t>
  </si>
  <si>
    <t>Serena</t>
  </si>
  <si>
    <t>Suzanne</t>
  </si>
  <si>
    <t>Fred</t>
  </si>
  <si>
    <t>Evette</t>
  </si>
  <si>
    <t>Nereyda</t>
  </si>
  <si>
    <t>Adolfo</t>
  </si>
  <si>
    <t>Aneicia</t>
  </si>
  <si>
    <t>Nene</t>
  </si>
  <si>
    <t>Lorenzo</t>
  </si>
  <si>
    <t>Carrie</t>
  </si>
  <si>
    <t>Archie</t>
  </si>
  <si>
    <t>Rene</t>
  </si>
  <si>
    <t>Maritza</t>
  </si>
  <si>
    <t>Virginia</t>
  </si>
  <si>
    <t>Wilburn</t>
  </si>
  <si>
    <t>Marta</t>
  </si>
  <si>
    <t>Tamareya</t>
  </si>
  <si>
    <t>Hannah</t>
  </si>
  <si>
    <t>Yeisy</t>
  </si>
  <si>
    <t>Melania</t>
  </si>
  <si>
    <t>Elinor</t>
  </si>
  <si>
    <t>Nathaniel</t>
  </si>
  <si>
    <t>Margia</t>
  </si>
  <si>
    <t>Austin</t>
  </si>
  <si>
    <t>Raymond</t>
  </si>
  <si>
    <t>Charles</t>
  </si>
  <si>
    <t>Kin Sau</t>
  </si>
  <si>
    <t>HIRAM</t>
  </si>
  <si>
    <t>Alfonso</t>
  </si>
  <si>
    <t>Widisaberto</t>
  </si>
  <si>
    <t>Beverley</t>
  </si>
  <si>
    <t>Gloribel</t>
  </si>
  <si>
    <t>Mariatou</t>
  </si>
  <si>
    <t>Roma</t>
  </si>
  <si>
    <t>Eddie</t>
  </si>
  <si>
    <t>Bernandino</t>
  </si>
  <si>
    <t>Yoon Mo</t>
  </si>
  <si>
    <t>Pilar</t>
  </si>
  <si>
    <t>Akua</t>
  </si>
  <si>
    <t>Zhenyang</t>
  </si>
  <si>
    <t>Nargiza</t>
  </si>
  <si>
    <t>Cherry-Ann</t>
  </si>
  <si>
    <t>Rafaela</t>
  </si>
  <si>
    <t>Shui Jin</t>
  </si>
  <si>
    <t>Sakeena</t>
  </si>
  <si>
    <t>Beryl</t>
  </si>
  <si>
    <t>Livia</t>
  </si>
  <si>
    <t>Hamid</t>
  </si>
  <si>
    <t>Marcos</t>
  </si>
  <si>
    <t>Magaly</t>
  </si>
  <si>
    <t>Cherese</t>
  </si>
  <si>
    <t>Annmarie</t>
  </si>
  <si>
    <t>Sybil</t>
  </si>
  <si>
    <t>Corine</t>
  </si>
  <si>
    <t>Stephen</t>
  </si>
  <si>
    <t>Melvin</t>
  </si>
  <si>
    <t>Altagracia</t>
  </si>
  <si>
    <t>Sultane</t>
  </si>
  <si>
    <t>Sidney</t>
  </si>
  <si>
    <t>Eleanor</t>
  </si>
  <si>
    <t>Pierre</t>
  </si>
  <si>
    <t>Ganna</t>
  </si>
  <si>
    <t>Gilberto</t>
  </si>
  <si>
    <t>Shouhui</t>
  </si>
  <si>
    <t>Cecily</t>
  </si>
  <si>
    <t>JOSEPH</t>
  </si>
  <si>
    <t>Mireya</t>
  </si>
  <si>
    <t>Felix</t>
  </si>
  <si>
    <t>Sylvester</t>
  </si>
  <si>
    <t>Minerva</t>
  </si>
  <si>
    <t>Selena</t>
  </si>
  <si>
    <t>Zulma</t>
  </si>
  <si>
    <t>Nicholas</t>
  </si>
  <si>
    <t>Riquilin</t>
  </si>
  <si>
    <t>Almetia</t>
  </si>
  <si>
    <t>Mst. Farida</t>
  </si>
  <si>
    <t>Thelma</t>
  </si>
  <si>
    <t>Chin</t>
  </si>
  <si>
    <t>Salahuddin</t>
  </si>
  <si>
    <t>Bienvenido</t>
  </si>
  <si>
    <t>Joel</t>
  </si>
  <si>
    <t>Brender</t>
  </si>
  <si>
    <t>Cappucine</t>
  </si>
  <si>
    <t>Bart</t>
  </si>
  <si>
    <t>Delores</t>
  </si>
  <si>
    <t>Moses</t>
  </si>
  <si>
    <t>Ines</t>
  </si>
  <si>
    <t>Agatha</t>
  </si>
  <si>
    <t>Dora</t>
  </si>
  <si>
    <t>Ninoska</t>
  </si>
  <si>
    <t>Eucarina</t>
  </si>
  <si>
    <t>Jerry</t>
  </si>
  <si>
    <t>Shaon</t>
  </si>
  <si>
    <t>Enrique</t>
  </si>
  <si>
    <t>Iris</t>
  </si>
  <si>
    <t>Ernesto</t>
  </si>
  <si>
    <t>Violanda</t>
  </si>
  <si>
    <t>Kamal</t>
  </si>
  <si>
    <t>Soribel</t>
  </si>
  <si>
    <t>Eva</t>
  </si>
  <si>
    <t>Deline</t>
  </si>
  <si>
    <t>Isha</t>
  </si>
  <si>
    <t>Johnnie</t>
  </si>
  <si>
    <t>Elva</t>
  </si>
  <si>
    <t>Carlina</t>
  </si>
  <si>
    <t>Alexandra</t>
  </si>
  <si>
    <t>Chantal</t>
  </si>
  <si>
    <t>Rolando</t>
  </si>
  <si>
    <t>Rhea</t>
  </si>
  <si>
    <t>Zoraida</t>
  </si>
  <si>
    <t>Mario</t>
  </si>
  <si>
    <t>Wilner</t>
  </si>
  <si>
    <t>Margaret</t>
  </si>
  <si>
    <t>Waidi</t>
  </si>
  <si>
    <t>Hattie</t>
  </si>
  <si>
    <t>Tamika</t>
  </si>
  <si>
    <t>Leola</t>
  </si>
  <si>
    <t>Monte</t>
  </si>
  <si>
    <t>Harvey</t>
  </si>
  <si>
    <t>Cindy</t>
  </si>
  <si>
    <t>Fernando</t>
  </si>
  <si>
    <t>Dipsy</t>
  </si>
  <si>
    <t>Russell</t>
  </si>
  <si>
    <t>Doug</t>
  </si>
  <si>
    <t>Sandreana</t>
  </si>
  <si>
    <t>Benita</t>
  </si>
  <si>
    <t>Davene</t>
  </si>
  <si>
    <t>Genovera</t>
  </si>
  <si>
    <t>I</t>
  </si>
  <si>
    <t>Craig</t>
  </si>
  <si>
    <t>Rhonda</t>
  </si>
  <si>
    <t>Tori</t>
  </si>
  <si>
    <t>Carlton</t>
  </si>
  <si>
    <t>Emilio</t>
  </si>
  <si>
    <t>Magnolia</t>
  </si>
  <si>
    <t>Wandy</t>
  </si>
  <si>
    <t>Roxanne</t>
  </si>
  <si>
    <t>Florentina</t>
  </si>
  <si>
    <t>Lawrence</t>
  </si>
  <si>
    <t>Freddy</t>
  </si>
  <si>
    <t>Stefanie</t>
  </si>
  <si>
    <t>Mariana</t>
  </si>
  <si>
    <t>Serrafin</t>
  </si>
  <si>
    <t>Millie</t>
  </si>
  <si>
    <t>Ivo</t>
  </si>
  <si>
    <t>Wilfredo</t>
  </si>
  <si>
    <t>Sursattie</t>
  </si>
  <si>
    <t>Ida</t>
  </si>
  <si>
    <t>Agustin</t>
  </si>
  <si>
    <t>CAROLYN</t>
  </si>
  <si>
    <t>Rebekah</t>
  </si>
  <si>
    <t>Leonard</t>
  </si>
  <si>
    <t>Morris</t>
  </si>
  <si>
    <t>Crimilda</t>
  </si>
  <si>
    <t>Denie</t>
  </si>
  <si>
    <t>Ibrahima</t>
  </si>
  <si>
    <t>Jeanne</t>
  </si>
  <si>
    <t>Mamie</t>
  </si>
  <si>
    <t>Brigida</t>
  </si>
  <si>
    <t>Dellayris</t>
  </si>
  <si>
    <t>Eusebio</t>
  </si>
  <si>
    <t>Reinaldo</t>
  </si>
  <si>
    <t>Waleska</t>
  </si>
  <si>
    <t>Shiroon</t>
  </si>
  <si>
    <t>Ydalia</t>
  </si>
  <si>
    <t>Evita</t>
  </si>
  <si>
    <t>Helen</t>
  </si>
  <si>
    <t>Liautaud</t>
  </si>
  <si>
    <t>Devi</t>
  </si>
  <si>
    <t>Sharina</t>
  </si>
  <si>
    <t>Margareth</t>
  </si>
  <si>
    <t>Nery</t>
  </si>
  <si>
    <t>Yovani</t>
  </si>
  <si>
    <t>Mayra</t>
  </si>
  <si>
    <t>Faye</t>
  </si>
  <si>
    <t>Adara</t>
  </si>
  <si>
    <t>Donisha</t>
  </si>
  <si>
    <t>Steve</t>
  </si>
  <si>
    <t>Mirian</t>
  </si>
  <si>
    <t>Marieme</t>
  </si>
  <si>
    <t>Moyosore</t>
  </si>
  <si>
    <t>Kneysha</t>
  </si>
  <si>
    <t>Neris</t>
  </si>
  <si>
    <t>Ernestina</t>
  </si>
  <si>
    <t>Dennis</t>
  </si>
  <si>
    <t>Donald</t>
  </si>
  <si>
    <t>Man Hop</t>
  </si>
  <si>
    <t>Shamima</t>
  </si>
  <si>
    <t>Harry</t>
  </si>
  <si>
    <t>Celeste</t>
  </si>
  <si>
    <t>Kenny</t>
  </si>
  <si>
    <t>Ana Maria</t>
  </si>
  <si>
    <t>Aleida</t>
  </si>
  <si>
    <t>Bernardino</t>
  </si>
  <si>
    <t>Claudia</t>
  </si>
  <si>
    <t>Salvador</t>
  </si>
  <si>
    <t>Krystyna</t>
  </si>
  <si>
    <t>Akheem</t>
  </si>
  <si>
    <t>Bridgette</t>
  </si>
  <si>
    <t>Davie</t>
  </si>
  <si>
    <t>Adel</t>
  </si>
  <si>
    <t>Choi Haug</t>
  </si>
  <si>
    <t>Vilma</t>
  </si>
  <si>
    <t>Elbia</t>
  </si>
  <si>
    <t>Jay</t>
  </si>
  <si>
    <t>Megnal</t>
  </si>
  <si>
    <t>Josefina</t>
  </si>
  <si>
    <t>Magdalena</t>
  </si>
  <si>
    <t>En</t>
  </si>
  <si>
    <t>Warren</t>
  </si>
  <si>
    <t>Haoua</t>
  </si>
  <si>
    <t>Zhen Guang</t>
  </si>
  <si>
    <t>Norkis</t>
  </si>
  <si>
    <t>Rogerio</t>
  </si>
  <si>
    <t>Sergio</t>
  </si>
  <si>
    <t>Andreniki</t>
  </si>
  <si>
    <t>Diandre</t>
  </si>
  <si>
    <t>Zhu Ren</t>
  </si>
  <si>
    <t>Angie</t>
  </si>
  <si>
    <t>Rosemarie</t>
  </si>
  <si>
    <t>Esramo</t>
  </si>
  <si>
    <t>Ansar</t>
  </si>
  <si>
    <t>Maleja</t>
  </si>
  <si>
    <t>Darliana</t>
  </si>
  <si>
    <t>Lissette</t>
  </si>
  <si>
    <t>Tomika</t>
  </si>
  <si>
    <t>Quinto</t>
  </si>
  <si>
    <t>Clara</t>
  </si>
  <si>
    <t>Giovanni</t>
  </si>
  <si>
    <t>Hanika</t>
  </si>
  <si>
    <t>Yarisa</t>
  </si>
  <si>
    <t>Bill</t>
  </si>
  <si>
    <t>Alexandria</t>
  </si>
  <si>
    <t>Damon</t>
  </si>
  <si>
    <t>Tomas</t>
  </si>
  <si>
    <t>Yara</t>
  </si>
  <si>
    <t>Solomon</t>
  </si>
  <si>
    <t>Mariel</t>
  </si>
  <si>
    <t>Judith</t>
  </si>
  <si>
    <t>Claudette</t>
  </si>
  <si>
    <t>Alexis</t>
  </si>
  <si>
    <t>Janet</t>
  </si>
  <si>
    <t>Vernon</t>
  </si>
  <si>
    <t>Arcides</t>
  </si>
  <si>
    <t>Gayle</t>
  </si>
  <si>
    <t>Kafele</t>
  </si>
  <si>
    <t>Jamal</t>
  </si>
  <si>
    <t>Nelson</t>
  </si>
  <si>
    <t>Danette</t>
  </si>
  <si>
    <t>Kafaba</t>
  </si>
  <si>
    <t>Jack</t>
  </si>
  <si>
    <t>Elena</t>
  </si>
  <si>
    <t>Bashira</t>
  </si>
  <si>
    <t>Hongjie</t>
  </si>
  <si>
    <t>Allen</t>
  </si>
  <si>
    <t>Kelli</t>
  </si>
  <si>
    <t>Sondra</t>
  </si>
  <si>
    <t>Aura</t>
  </si>
  <si>
    <t>In Sun</t>
  </si>
  <si>
    <t>Meliton</t>
  </si>
  <si>
    <t>Tasliym</t>
  </si>
  <si>
    <t>Amparo</t>
  </si>
  <si>
    <t>Blaise</t>
  </si>
  <si>
    <t>Kairy</t>
  </si>
  <si>
    <t>Chetree</t>
  </si>
  <si>
    <t>Darryl</t>
  </si>
  <si>
    <t>Odalis</t>
  </si>
  <si>
    <t>Florence</t>
  </si>
  <si>
    <t>Patrick</t>
  </si>
  <si>
    <t>Saeed</t>
  </si>
  <si>
    <t>Aracelis</t>
  </si>
  <si>
    <t>Zul-qarnain</t>
  </si>
  <si>
    <t>Terry</t>
  </si>
  <si>
    <t>Cherilyn</t>
  </si>
  <si>
    <t>Tracy</t>
  </si>
  <si>
    <t>Bangally</t>
  </si>
  <si>
    <t>Nikita</t>
  </si>
  <si>
    <t>Vera</t>
  </si>
  <si>
    <t>Oleen</t>
  </si>
  <si>
    <t>Sabrina</t>
  </si>
  <si>
    <t>Alvin</t>
  </si>
  <si>
    <t>Jeffrey</t>
  </si>
  <si>
    <t>Rosalia</t>
  </si>
  <si>
    <t>Daniella</t>
  </si>
  <si>
    <t>Rosalind</t>
  </si>
  <si>
    <t>Tomicka</t>
  </si>
  <si>
    <t>Erica Gomez</t>
  </si>
  <si>
    <t>Md.</t>
  </si>
  <si>
    <t>Alpha</t>
  </si>
  <si>
    <t>Dimaris</t>
  </si>
  <si>
    <t>Obed</t>
  </si>
  <si>
    <t>Bennie</t>
  </si>
  <si>
    <t>Prestina</t>
  </si>
  <si>
    <t>Glendora</t>
  </si>
  <si>
    <t>Liz</t>
  </si>
  <si>
    <t>Rashawn</t>
  </si>
  <si>
    <t>Concetta</t>
  </si>
  <si>
    <t>Dimas</t>
  </si>
  <si>
    <t>Susan</t>
  </si>
  <si>
    <t>Yiraldy</t>
  </si>
  <si>
    <t>Andreen</t>
  </si>
  <si>
    <t>Babacar</t>
  </si>
  <si>
    <t>Taisha</t>
  </si>
  <si>
    <t>Zobeida</t>
  </si>
  <si>
    <t>Humberto</t>
  </si>
  <si>
    <t>Jonathan</t>
  </si>
  <si>
    <t>Vernetta</t>
  </si>
  <si>
    <t>Jacinto</t>
  </si>
  <si>
    <t>Gertrude</t>
  </si>
  <si>
    <t>Abeda</t>
  </si>
  <si>
    <t>Yoely</t>
  </si>
  <si>
    <t>Yanuaria</t>
  </si>
  <si>
    <t>Reyna</t>
  </si>
  <si>
    <t>Eveline</t>
  </si>
  <si>
    <t>Joaris</t>
  </si>
  <si>
    <t>Zipporah</t>
  </si>
  <si>
    <t>Monira</t>
  </si>
  <si>
    <t>Annie</t>
  </si>
  <si>
    <t>Bryant</t>
  </si>
  <si>
    <t>Fleurida</t>
  </si>
  <si>
    <t>Teonila</t>
  </si>
  <si>
    <t>Manuelita</t>
  </si>
  <si>
    <t>Lucrecia</t>
  </si>
  <si>
    <t>Martiza</t>
  </si>
  <si>
    <t>Rosalba</t>
  </si>
  <si>
    <t>Marisa</t>
  </si>
  <si>
    <t>Jhana</t>
  </si>
  <si>
    <t>Lekisha</t>
  </si>
  <si>
    <t>Elonis</t>
  </si>
  <si>
    <t>Sokhna</t>
  </si>
  <si>
    <t>Digna</t>
  </si>
  <si>
    <t>Sylvi</t>
  </si>
  <si>
    <t>Ernest</t>
  </si>
  <si>
    <t>Frankie</t>
  </si>
  <si>
    <t>Mariano</t>
  </si>
  <si>
    <t>Irene</t>
  </si>
  <si>
    <t>Shawnie</t>
  </si>
  <si>
    <t>Jacquelynn</t>
  </si>
  <si>
    <t>Ysabel</t>
  </si>
  <si>
    <t>Febrina</t>
  </si>
  <si>
    <t>Natalie</t>
  </si>
  <si>
    <t>Ever</t>
  </si>
  <si>
    <t>Outmane</t>
  </si>
  <si>
    <t>Domg</t>
  </si>
  <si>
    <t>Alara</t>
  </si>
  <si>
    <t>Akira</t>
  </si>
  <si>
    <t>Latesha</t>
  </si>
  <si>
    <t>Suzie</t>
  </si>
  <si>
    <t>Jane</t>
  </si>
  <si>
    <t>Ymelda</t>
  </si>
  <si>
    <t>Indra</t>
  </si>
  <si>
    <t>Zorina</t>
  </si>
  <si>
    <t>Alice</t>
  </si>
  <si>
    <t>Amina</t>
  </si>
  <si>
    <t>Bertico</t>
  </si>
  <si>
    <t>Glenys</t>
  </si>
  <si>
    <t>Jenaire</t>
  </si>
  <si>
    <t>Nemesis</t>
  </si>
  <si>
    <t>Fatawu</t>
  </si>
  <si>
    <t>Therese</t>
  </si>
  <si>
    <t>Naika</t>
  </si>
  <si>
    <t>Fanny</t>
  </si>
  <si>
    <t>Cheik</t>
  </si>
  <si>
    <t>Geni</t>
  </si>
  <si>
    <t>Garo</t>
  </si>
  <si>
    <t>Gabino</t>
  </si>
  <si>
    <t>Stevenson</t>
  </si>
  <si>
    <t>Chekesha</t>
  </si>
  <si>
    <t>Yanelys</t>
  </si>
  <si>
    <t>Yudalka</t>
  </si>
  <si>
    <t>Jacinta</t>
  </si>
  <si>
    <t>Dalcio</t>
  </si>
  <si>
    <t>Ikima</t>
  </si>
  <si>
    <t>Nanette</t>
  </si>
  <si>
    <t>Khmari</t>
  </si>
  <si>
    <t>Atashia</t>
  </si>
  <si>
    <t>Cathi</t>
  </si>
  <si>
    <t>Leonides</t>
  </si>
  <si>
    <t>Amalia</t>
  </si>
  <si>
    <t>Pinkrose</t>
  </si>
  <si>
    <t>Marcel</t>
  </si>
  <si>
    <t>Miladys</t>
  </si>
  <si>
    <t>Shalysha</t>
  </si>
  <si>
    <t>Viviana</t>
  </si>
  <si>
    <t>Melody</t>
  </si>
  <si>
    <t>Dorreen</t>
  </si>
  <si>
    <t>MD</t>
  </si>
  <si>
    <t>Narciso</t>
  </si>
  <si>
    <t>Delta</t>
  </si>
  <si>
    <t>Ivelisse</t>
  </si>
  <si>
    <t>Charmaine</t>
  </si>
  <si>
    <t>Ena</t>
  </si>
  <si>
    <t>Janie</t>
  </si>
  <si>
    <t>Delfina</t>
  </si>
  <si>
    <t>Fang</t>
  </si>
  <si>
    <t>Oneida</t>
  </si>
  <si>
    <t>Mavis</t>
  </si>
  <si>
    <t>Jamiylah</t>
  </si>
  <si>
    <t>Shpendi</t>
  </si>
  <si>
    <t>Melissa</t>
  </si>
  <si>
    <t>Rosalina</t>
  </si>
  <si>
    <t>Dalila</t>
  </si>
  <si>
    <t>Lola</t>
  </si>
  <si>
    <t>Baryse</t>
  </si>
  <si>
    <t>Winston</t>
  </si>
  <si>
    <t>Jewel</t>
  </si>
  <si>
    <t>Earline</t>
  </si>
  <si>
    <t>Obeb</t>
  </si>
  <si>
    <t>Justina</t>
  </si>
  <si>
    <t>Lishan</t>
  </si>
  <si>
    <t>Ray</t>
  </si>
  <si>
    <t>Richardson</t>
  </si>
  <si>
    <t>Desiree</t>
  </si>
  <si>
    <t>Braulio</t>
  </si>
  <si>
    <t>Daouda</t>
  </si>
  <si>
    <t>Mikhail</t>
  </si>
  <si>
    <t>Murris</t>
  </si>
  <si>
    <t>Sharif</t>
  </si>
  <si>
    <t>Termaine</t>
  </si>
  <si>
    <t>Didgeral</t>
  </si>
  <si>
    <t>Naheed</t>
  </si>
  <si>
    <t>Javon</t>
  </si>
  <si>
    <t>Velvet</t>
  </si>
  <si>
    <t>Ebony</t>
  </si>
  <si>
    <t>Norberto</t>
  </si>
  <si>
    <t>Md</t>
  </si>
  <si>
    <t>Octavio</t>
  </si>
  <si>
    <t>Ernie</t>
  </si>
  <si>
    <t>Hermilyn</t>
  </si>
  <si>
    <t>Albania</t>
  </si>
  <si>
    <t>Deonna</t>
  </si>
  <si>
    <t>Albita</t>
  </si>
  <si>
    <t>Idowy</t>
  </si>
  <si>
    <t>Adiel</t>
  </si>
  <si>
    <t>Ridwane</t>
  </si>
  <si>
    <t>Ireen</t>
  </si>
  <si>
    <t>Ruben</t>
  </si>
  <si>
    <t>Linessa</t>
  </si>
  <si>
    <t>Joann</t>
  </si>
  <si>
    <t>Johnny</t>
  </si>
  <si>
    <t>Ariminta</t>
  </si>
  <si>
    <t>Sharren</t>
  </si>
  <si>
    <t>Allison</t>
  </si>
  <si>
    <t>Leidy</t>
  </si>
  <si>
    <t>Kassandra</t>
  </si>
  <si>
    <t>Bartola</t>
  </si>
  <si>
    <t>Haja</t>
  </si>
  <si>
    <t>Damien</t>
  </si>
  <si>
    <t>Conchita</t>
  </si>
  <si>
    <t>Latanya</t>
  </si>
  <si>
    <t>Gul</t>
  </si>
  <si>
    <t>Tamar</t>
  </si>
  <si>
    <t>Anila</t>
  </si>
  <si>
    <t>Shunelle</t>
  </si>
  <si>
    <t>Kysha</t>
  </si>
  <si>
    <t>Dagoberto</t>
  </si>
  <si>
    <t>Saundra</t>
  </si>
  <si>
    <t>Faruk</t>
  </si>
  <si>
    <t>Lavinia</t>
  </si>
  <si>
    <t>Isidra</t>
  </si>
  <si>
    <t>Teodora</t>
  </si>
  <si>
    <t>Arisleyda</t>
  </si>
  <si>
    <t>Trach</t>
  </si>
  <si>
    <t>Nathylin</t>
  </si>
  <si>
    <t>Daewoo</t>
  </si>
  <si>
    <t>Otha</t>
  </si>
  <si>
    <t>Hildania</t>
  </si>
  <si>
    <t>La-Dawn</t>
  </si>
  <si>
    <t>Yomaira</t>
  </si>
  <si>
    <t>Daina</t>
  </si>
  <si>
    <t>Marilu</t>
  </si>
  <si>
    <t>Angellica</t>
  </si>
  <si>
    <t>Sheniqua</t>
  </si>
  <si>
    <t>Lupita</t>
  </si>
  <si>
    <t>Md. Assaduzzaman</t>
  </si>
  <si>
    <t>Ramira</t>
  </si>
  <si>
    <t>Yojanna</t>
  </si>
  <si>
    <t>Colleen</t>
  </si>
  <si>
    <t>Vicky</t>
  </si>
  <si>
    <t>Nurun</t>
  </si>
  <si>
    <t>Sajjad</t>
  </si>
  <si>
    <t>Jeremy</t>
  </si>
  <si>
    <t>Marien</t>
  </si>
  <si>
    <t>Delkaris</t>
  </si>
  <si>
    <t>Benjamin</t>
  </si>
  <si>
    <t>Ediltrudis</t>
  </si>
  <si>
    <t>Sucre</t>
  </si>
  <si>
    <t>Judelca</t>
  </si>
  <si>
    <t>Lorgia</t>
  </si>
  <si>
    <t>Mau Fong</t>
  </si>
  <si>
    <t>Yeimy</t>
  </si>
  <si>
    <t>Sabrena</t>
  </si>
  <si>
    <t>Brette</t>
  </si>
  <si>
    <t>Keriesa</t>
  </si>
  <si>
    <t>Anselma</t>
  </si>
  <si>
    <t>Saabirah</t>
  </si>
  <si>
    <t>Giacinta</t>
  </si>
  <si>
    <t>Gemma</t>
  </si>
  <si>
    <t>Andre</t>
  </si>
  <si>
    <t>Louis</t>
  </si>
  <si>
    <t>Shauna</t>
  </si>
  <si>
    <t>Erdal</t>
  </si>
  <si>
    <t>Narcisa</t>
  </si>
  <si>
    <t>Danilo</t>
  </si>
  <si>
    <t>Daisy</t>
  </si>
  <si>
    <t>Laverne</t>
  </si>
  <si>
    <t>Marcelina</t>
  </si>
  <si>
    <t>Timmy</t>
  </si>
  <si>
    <t>Alvita</t>
  </si>
  <si>
    <t>Danamarie</t>
  </si>
  <si>
    <t>Shaunte</t>
  </si>
  <si>
    <t>Hazel</t>
  </si>
  <si>
    <t>Miklos</t>
  </si>
  <si>
    <t>Eloise</t>
  </si>
  <si>
    <t>Curtis</t>
  </si>
  <si>
    <t>Afrikah</t>
  </si>
  <si>
    <t>Mardoqueo</t>
  </si>
  <si>
    <t>SUE JIN</t>
  </si>
  <si>
    <t>Othoniel</t>
  </si>
  <si>
    <t>Syeida</t>
  </si>
  <si>
    <t>Konah</t>
  </si>
  <si>
    <t>Susie</t>
  </si>
  <si>
    <t>Dolly</t>
  </si>
  <si>
    <t>Kelcey</t>
  </si>
  <si>
    <t>Suleika</t>
  </si>
  <si>
    <t>Michaela</t>
  </si>
  <si>
    <t>Inocencio</t>
  </si>
  <si>
    <t>Raliat</t>
  </si>
  <si>
    <t>Britney</t>
  </si>
  <si>
    <t>Heeja</t>
  </si>
  <si>
    <t>Tameka</t>
  </si>
  <si>
    <t>Nija</t>
  </si>
  <si>
    <t>Rudolph</t>
  </si>
  <si>
    <t>Ghislaine</t>
  </si>
  <si>
    <t>Mattie</t>
  </si>
  <si>
    <t>Young Tae</t>
  </si>
  <si>
    <t>Maryeling</t>
  </si>
  <si>
    <t>Stella</t>
  </si>
  <si>
    <t>Xenia</t>
  </si>
  <si>
    <t>Alzira</t>
  </si>
  <si>
    <t>Blondy</t>
  </si>
  <si>
    <t>Lilliam</t>
  </si>
  <si>
    <t>Eudacia</t>
  </si>
  <si>
    <t>Eufemia</t>
  </si>
  <si>
    <t>Placido</t>
  </si>
  <si>
    <t>Nellie</t>
  </si>
  <si>
    <t>Aleysi</t>
  </si>
  <si>
    <t>Aracelly</t>
  </si>
  <si>
    <t>Suzan</t>
  </si>
  <si>
    <t>Mahbub</t>
  </si>
  <si>
    <t>Kathryn</t>
  </si>
  <si>
    <t>Andrew</t>
  </si>
  <si>
    <t>Massa</t>
  </si>
  <si>
    <t>Ajulet</t>
  </si>
  <si>
    <t>Lelar</t>
  </si>
  <si>
    <t>Joe</t>
  </si>
  <si>
    <t>Karla</t>
  </si>
  <si>
    <t>Yuriy</t>
  </si>
  <si>
    <t>Kiley</t>
  </si>
  <si>
    <t>Lloyd</t>
  </si>
  <si>
    <t>Julissa</t>
  </si>
  <si>
    <t>Rosa Marie</t>
  </si>
  <si>
    <t>Moresia</t>
  </si>
  <si>
    <t>Khristen</t>
  </si>
  <si>
    <t>Heth</t>
  </si>
  <si>
    <t>Dalia Jaqueline</t>
  </si>
  <si>
    <t>Gema</t>
  </si>
  <si>
    <t>Jully</t>
  </si>
  <si>
    <t>Bweela</t>
  </si>
  <si>
    <t>Ara</t>
  </si>
  <si>
    <t>Dannille</t>
  </si>
  <si>
    <t>Marcus</t>
  </si>
  <si>
    <t>Yaniris</t>
  </si>
  <si>
    <t>Gueye</t>
  </si>
  <si>
    <t>Branden</t>
  </si>
  <si>
    <t>Joselin</t>
  </si>
  <si>
    <t>Venita</t>
  </si>
  <si>
    <t>Waquar</t>
  </si>
  <si>
    <t>Daelee</t>
  </si>
  <si>
    <t>Nila</t>
  </si>
  <si>
    <t>Venice</t>
  </si>
  <si>
    <t>Helga</t>
  </si>
  <si>
    <t>Heavenly</t>
  </si>
  <si>
    <t>Jephtah</t>
  </si>
  <si>
    <t>Iyakka</t>
  </si>
  <si>
    <t>Delphine</t>
  </si>
  <si>
    <t>Erneticia</t>
  </si>
  <si>
    <t>Rosario</t>
  </si>
  <si>
    <t>Lillie</t>
  </si>
  <si>
    <t>Araceli</t>
  </si>
  <si>
    <t>Tara</t>
  </si>
  <si>
    <t>Cleveland</t>
  </si>
  <si>
    <t>Beatriz</t>
  </si>
  <si>
    <t>Aurora</t>
  </si>
  <si>
    <t>Juliana</t>
  </si>
  <si>
    <t>Tanachi</t>
  </si>
  <si>
    <t>Idayat</t>
  </si>
  <si>
    <t>Lysa</t>
  </si>
  <si>
    <t>Lidia</t>
  </si>
  <si>
    <t>Desmond</t>
  </si>
  <si>
    <t>Carmela</t>
  </si>
  <si>
    <t>Deyaniris</t>
  </si>
  <si>
    <t>Alphonso</t>
  </si>
  <si>
    <t>Julien</t>
  </si>
  <si>
    <t>Savannah</t>
  </si>
  <si>
    <t>ELsa</t>
  </si>
  <si>
    <t>Maura</t>
  </si>
  <si>
    <t>Ronald</t>
  </si>
  <si>
    <t>Regina</t>
  </si>
  <si>
    <t>Afra</t>
  </si>
  <si>
    <t>Martine</t>
  </si>
  <si>
    <t>Edwardo</t>
  </si>
  <si>
    <t>Violet</t>
  </si>
  <si>
    <t>Lilliana</t>
  </si>
  <si>
    <t>Angelique</t>
  </si>
  <si>
    <t>Mirbahar</t>
  </si>
  <si>
    <t>Engels</t>
  </si>
  <si>
    <t>Afua</t>
  </si>
  <si>
    <t>Isheen</t>
  </si>
  <si>
    <t>Fania</t>
  </si>
  <si>
    <t>Peace</t>
  </si>
  <si>
    <t>Natoya</t>
  </si>
  <si>
    <t>Aixa</t>
  </si>
  <si>
    <t>Johnie</t>
  </si>
  <si>
    <t>Naomi</t>
  </si>
  <si>
    <t>Dilenia</t>
  </si>
  <si>
    <t>Marilenis</t>
  </si>
  <si>
    <t>Gino</t>
  </si>
  <si>
    <t>Elvida</t>
  </si>
  <si>
    <t>Angelia</t>
  </si>
  <si>
    <t>Jaytee</t>
  </si>
  <si>
    <t>Juliet</t>
  </si>
  <si>
    <t>Flerida</t>
  </si>
  <si>
    <t>Osvaldo</t>
  </si>
  <si>
    <t>Argentina</t>
  </si>
  <si>
    <t>Marsie</t>
  </si>
  <si>
    <t>Hernan</t>
  </si>
  <si>
    <t>Minghang</t>
  </si>
  <si>
    <t>Eugene</t>
  </si>
  <si>
    <t>Boris</t>
  </si>
  <si>
    <t>Knolly</t>
  </si>
  <si>
    <t>Dalmar</t>
  </si>
  <si>
    <t>Valerine</t>
  </si>
  <si>
    <t>Vandella</t>
  </si>
  <si>
    <t>Frederica</t>
  </si>
  <si>
    <t>Marleny</t>
  </si>
  <si>
    <t>Nikcole</t>
  </si>
  <si>
    <t>Roderick</t>
  </si>
  <si>
    <t>Cielo</t>
  </si>
  <si>
    <t>Jai</t>
  </si>
  <si>
    <t>Mayai</t>
  </si>
  <si>
    <t>Jere</t>
  </si>
  <si>
    <t>Calvin</t>
  </si>
  <si>
    <t>Sirilo</t>
  </si>
  <si>
    <t>Maurenee</t>
  </si>
  <si>
    <t>Alisha</t>
  </si>
  <si>
    <t>Lina</t>
  </si>
  <si>
    <t>Elaine</t>
  </si>
  <si>
    <t>Sean</t>
  </si>
  <si>
    <t>Nelia</t>
  </si>
  <si>
    <t>Phyliss</t>
  </si>
  <si>
    <t>Davika</t>
  </si>
  <si>
    <t>Abir</t>
  </si>
  <si>
    <t>Venida</t>
  </si>
  <si>
    <t>Souleymane</t>
  </si>
  <si>
    <t>Claritza</t>
  </si>
  <si>
    <t>Eugenia</t>
  </si>
  <si>
    <t>Marian Valdez</t>
  </si>
  <si>
    <t>Corrine</t>
  </si>
  <si>
    <t>Souher</t>
  </si>
  <si>
    <t>Norris</t>
  </si>
  <si>
    <t>Kendra</t>
  </si>
  <si>
    <t>Delsia</t>
  </si>
  <si>
    <t>Rosemary</t>
  </si>
  <si>
    <t>Kofi</t>
  </si>
  <si>
    <t>Madaline</t>
  </si>
  <si>
    <t>Selwyn</t>
  </si>
  <si>
    <t>Janelle</t>
  </si>
  <si>
    <t>Salvatore</t>
  </si>
  <si>
    <t>Tijuanna</t>
  </si>
  <si>
    <t>Ted</t>
  </si>
  <si>
    <t>Kwaku</t>
  </si>
  <si>
    <t>Leonardo</t>
  </si>
  <si>
    <t>Antonai</t>
  </si>
  <si>
    <t>Kenneth</t>
  </si>
  <si>
    <t>Mujahid</t>
  </si>
  <si>
    <t>Young</t>
  </si>
  <si>
    <t>Zora</t>
  </si>
  <si>
    <t>Carmel</t>
  </si>
  <si>
    <t>Stann</t>
  </si>
  <si>
    <t>Coral</t>
  </si>
  <si>
    <t>Armanda</t>
  </si>
  <si>
    <t>Kenneshea</t>
  </si>
  <si>
    <t>Nemesia</t>
  </si>
  <si>
    <t>Reginald</t>
  </si>
  <si>
    <t>Jia Na</t>
  </si>
  <si>
    <t>Dusley</t>
  </si>
  <si>
    <t>Leanice</t>
  </si>
  <si>
    <t>Marcelo</t>
  </si>
  <si>
    <t>Amy</t>
  </si>
  <si>
    <t>Amaury</t>
  </si>
  <si>
    <t>Tanja</t>
  </si>
  <si>
    <t>Dane</t>
  </si>
  <si>
    <t>SABRINA</t>
  </si>
  <si>
    <t>Harrold</t>
  </si>
  <si>
    <t>Yines</t>
  </si>
  <si>
    <t>Tauhid</t>
  </si>
  <si>
    <t>Emerson</t>
  </si>
  <si>
    <t>Ariel</t>
  </si>
  <si>
    <t>Guerlyne</t>
  </si>
  <si>
    <t>Sam</t>
  </si>
  <si>
    <t>Hunter</t>
  </si>
  <si>
    <t>Olayemi</t>
  </si>
  <si>
    <t>Rochelle</t>
  </si>
  <si>
    <t>Zomara</t>
  </si>
  <si>
    <t>Edilberto</t>
  </si>
  <si>
    <t>Heriberto</t>
  </si>
  <si>
    <t>Thomisina</t>
  </si>
  <si>
    <t>Le-Shaun</t>
  </si>
  <si>
    <t>Lyudmila</t>
  </si>
  <si>
    <t>Lalina</t>
  </si>
  <si>
    <t>Camille</t>
  </si>
  <si>
    <t>Kelvin</t>
  </si>
  <si>
    <t>Chord Ling</t>
  </si>
  <si>
    <t>Vere</t>
  </si>
  <si>
    <t>Dino</t>
  </si>
  <si>
    <t>Latif</t>
  </si>
  <si>
    <t>Adam</t>
  </si>
  <si>
    <t>Edna</t>
  </si>
  <si>
    <t>Trent</t>
  </si>
  <si>
    <t>Qing Hai</t>
  </si>
  <si>
    <t>Grisel</t>
  </si>
  <si>
    <t>Deana</t>
  </si>
  <si>
    <t>S</t>
  </si>
  <si>
    <t>Erick</t>
  </si>
  <si>
    <t>MaryAnn</t>
  </si>
  <si>
    <t>Magino</t>
  </si>
  <si>
    <t>Efrain</t>
  </si>
  <si>
    <t>Sherry</t>
  </si>
  <si>
    <t>Hamdaani</t>
  </si>
  <si>
    <t>Myranda</t>
  </si>
  <si>
    <t>Shorok</t>
  </si>
  <si>
    <t>Joanna</t>
  </si>
  <si>
    <t>Anizamara</t>
  </si>
  <si>
    <t>Adelina</t>
  </si>
  <si>
    <t>Della</t>
  </si>
  <si>
    <t>Alvaro</t>
  </si>
  <si>
    <t>Patria</t>
  </si>
  <si>
    <t>Johanna</t>
  </si>
  <si>
    <t>Aludin</t>
  </si>
  <si>
    <t>Fressali</t>
  </si>
  <si>
    <t>Marcella</t>
  </si>
  <si>
    <t>Rocio</t>
  </si>
  <si>
    <t>Keesha</t>
  </si>
  <si>
    <t>Desery</t>
  </si>
  <si>
    <t>Amadou</t>
  </si>
  <si>
    <t>Charline</t>
  </si>
  <si>
    <t>Martina</t>
  </si>
  <si>
    <t>Eloisa</t>
  </si>
  <si>
    <t>Claribel</t>
  </si>
  <si>
    <t>Kanayo</t>
  </si>
  <si>
    <t>Fidelis</t>
  </si>
  <si>
    <t>Doreen</t>
  </si>
  <si>
    <t>Sahbi</t>
  </si>
  <si>
    <t>Trevor</t>
  </si>
  <si>
    <t>Crisanta</t>
  </si>
  <si>
    <t>Xiu Hua</t>
  </si>
  <si>
    <t>Hai</t>
  </si>
  <si>
    <t>Imelda</t>
  </si>
  <si>
    <t>Audrey</t>
  </si>
  <si>
    <t>Yukie</t>
  </si>
  <si>
    <t>Nidia</t>
  </si>
  <si>
    <t>Domingo</t>
  </si>
  <si>
    <t>Jodi</t>
  </si>
  <si>
    <t>Anny</t>
  </si>
  <si>
    <t>Connie</t>
  </si>
  <si>
    <t>Arthur</t>
  </si>
  <si>
    <t>Yanet</t>
  </si>
  <si>
    <t>Lateef</t>
  </si>
  <si>
    <t>Dazil</t>
  </si>
  <si>
    <t>Litz</t>
  </si>
  <si>
    <t>Yuverky</t>
  </si>
  <si>
    <t>Tenisha</t>
  </si>
  <si>
    <t>Myriam</t>
  </si>
  <si>
    <t>Regla</t>
  </si>
  <si>
    <t>Evelina</t>
  </si>
  <si>
    <t>Aysha</t>
  </si>
  <si>
    <t>Roc</t>
  </si>
  <si>
    <t>Rui</t>
  </si>
  <si>
    <t>Tyhessia</t>
  </si>
  <si>
    <t>Soto</t>
  </si>
  <si>
    <t>Towanda</t>
  </si>
  <si>
    <t>Afiya</t>
  </si>
  <si>
    <t>Tanita</t>
  </si>
  <si>
    <t>Chanette</t>
  </si>
  <si>
    <t>Alsacia</t>
  </si>
  <si>
    <t>Carolla</t>
  </si>
  <si>
    <t>Rosmira</t>
  </si>
  <si>
    <t>Tonia</t>
  </si>
  <si>
    <t>Jermaine</t>
  </si>
  <si>
    <t>Felipe</t>
  </si>
  <si>
    <t>Shani</t>
  </si>
  <si>
    <t>Eric</t>
  </si>
  <si>
    <t>Ariana</t>
  </si>
  <si>
    <t>Daysi</t>
  </si>
  <si>
    <t>Maude</t>
  </si>
  <si>
    <t>Waldemar</t>
  </si>
  <si>
    <t>Bonaerge</t>
  </si>
  <si>
    <t>Jokeyda</t>
  </si>
  <si>
    <t>Wilson</t>
  </si>
  <si>
    <t>Salina</t>
  </si>
  <si>
    <t>Alva</t>
  </si>
  <si>
    <t>Loulou</t>
  </si>
  <si>
    <t>Hossin</t>
  </si>
  <si>
    <t>Yannette</t>
  </si>
  <si>
    <t>Bryan</t>
  </si>
  <si>
    <t>Stacy</t>
  </si>
  <si>
    <t>Tameca</t>
  </si>
  <si>
    <t>Kaileah</t>
  </si>
  <si>
    <t>Josheema</t>
  </si>
  <si>
    <t>Meris</t>
  </si>
  <si>
    <t>Shatasha</t>
  </si>
  <si>
    <t>Nermine</t>
  </si>
  <si>
    <t>Angelita</t>
  </si>
  <si>
    <t>Francesca</t>
  </si>
  <si>
    <t>Dandio</t>
  </si>
  <si>
    <t>Basiliza</t>
  </si>
  <si>
    <t>Omayra</t>
  </si>
  <si>
    <t>Cosme</t>
  </si>
  <si>
    <t>Venetta</t>
  </si>
  <si>
    <t>June</t>
  </si>
  <si>
    <t>Bibiana</t>
  </si>
  <si>
    <t>Salamata</t>
  </si>
  <si>
    <t>Jill</t>
  </si>
  <si>
    <t>Deshaun</t>
  </si>
  <si>
    <t>Mayleen</t>
  </si>
  <si>
    <t>Lee</t>
  </si>
  <si>
    <t>Rachael</t>
  </si>
  <si>
    <t>Gretchen</t>
  </si>
  <si>
    <t>Nakkisha</t>
  </si>
  <si>
    <t>Pablo</t>
  </si>
  <si>
    <t>Ofelia</t>
  </si>
  <si>
    <t>Sherrie</t>
  </si>
  <si>
    <t>Melius</t>
  </si>
  <si>
    <t>Diamante</t>
  </si>
  <si>
    <t>Preye</t>
  </si>
  <si>
    <t>Laurie</t>
  </si>
  <si>
    <t>Zorro</t>
  </si>
  <si>
    <t>Sirajul</t>
  </si>
  <si>
    <t>Thelshea</t>
  </si>
  <si>
    <t>Ilza</t>
  </si>
  <si>
    <t>Bianca</t>
  </si>
  <si>
    <t>Farkunda</t>
  </si>
  <si>
    <t>Bin</t>
  </si>
  <si>
    <t>Siegfried</t>
  </si>
  <si>
    <t>Anang</t>
  </si>
  <si>
    <t>Mesha</t>
  </si>
  <si>
    <t>Sian</t>
  </si>
  <si>
    <t>Takisha</t>
  </si>
  <si>
    <t>Virgilla</t>
  </si>
  <si>
    <t>Shameeka</t>
  </si>
  <si>
    <t>Vinessa</t>
  </si>
  <si>
    <t>Edwin</t>
  </si>
  <si>
    <t>Eulogia</t>
  </si>
  <si>
    <t>Rochell</t>
  </si>
  <si>
    <t>Clarice</t>
  </si>
  <si>
    <t>Oluwatosin</t>
  </si>
  <si>
    <t>Lara</t>
  </si>
  <si>
    <t>Melva</t>
  </si>
  <si>
    <t>Noah</t>
  </si>
  <si>
    <t>Jenneha</t>
  </si>
  <si>
    <t>Quantika</t>
  </si>
  <si>
    <t>Clarissa</t>
  </si>
  <si>
    <t>Willinda</t>
  </si>
  <si>
    <t>Washington</t>
  </si>
  <si>
    <t>Tenae</t>
  </si>
  <si>
    <t>Alejandra</t>
  </si>
  <si>
    <t>Aldena</t>
  </si>
  <si>
    <t>Carla</t>
  </si>
  <si>
    <t>Saralyn</t>
  </si>
  <si>
    <t>Moduju</t>
  </si>
  <si>
    <t>Seifeldin</t>
  </si>
  <si>
    <t>Dian</t>
  </si>
  <si>
    <t>Latrice</t>
  </si>
  <si>
    <t>Carline</t>
  </si>
  <si>
    <t>Ziola</t>
  </si>
  <si>
    <t>Dylan</t>
  </si>
  <si>
    <t>Octavia</t>
  </si>
  <si>
    <t>Faizullah</t>
  </si>
  <si>
    <t>Celenia`</t>
  </si>
  <si>
    <t>Leoncio</t>
  </si>
  <si>
    <t>Vladimir</t>
  </si>
  <si>
    <t>Bishaisth</t>
  </si>
  <si>
    <t>Rufus</t>
  </si>
  <si>
    <t>Shakeema</t>
  </si>
  <si>
    <t>Linneth</t>
  </si>
  <si>
    <t>Nedia</t>
  </si>
  <si>
    <t>Johnathan</t>
  </si>
  <si>
    <t>Angelo</t>
  </si>
  <si>
    <t>Rahman</t>
  </si>
  <si>
    <t>Seon</t>
  </si>
  <si>
    <t>Eduarda</t>
  </si>
  <si>
    <t>Phillip</t>
  </si>
  <si>
    <t>Sanjoy</t>
  </si>
  <si>
    <t>Evetta</t>
  </si>
  <si>
    <t>Jeannine</t>
  </si>
  <si>
    <t>Rodriene</t>
  </si>
  <si>
    <t>Alaina</t>
  </si>
  <si>
    <t>Cinthia</t>
  </si>
  <si>
    <t>Catalina</t>
  </si>
  <si>
    <t>Kelita</t>
  </si>
  <si>
    <t>Selvyn</t>
  </si>
  <si>
    <t>Khadijah</t>
  </si>
  <si>
    <t>Joi</t>
  </si>
  <si>
    <t>Fatou</t>
  </si>
  <si>
    <t>Lucitania</t>
  </si>
  <si>
    <t>Mitchell</t>
  </si>
  <si>
    <t>Don</t>
  </si>
  <si>
    <t>Jannette</t>
  </si>
  <si>
    <t>Geri</t>
  </si>
  <si>
    <t>Lourita</t>
  </si>
  <si>
    <t>Tawana</t>
  </si>
  <si>
    <t>Stanley</t>
  </si>
  <si>
    <t>Abelardo</t>
  </si>
  <si>
    <t>Leston</t>
  </si>
  <si>
    <t>Hagie</t>
  </si>
  <si>
    <t>Christin</t>
  </si>
  <si>
    <t>Yvonnia</t>
  </si>
  <si>
    <t>Elizet</t>
  </si>
  <si>
    <t>Winifred</t>
  </si>
  <si>
    <t>Yrenes</t>
  </si>
  <si>
    <t>Gretelle</t>
  </si>
  <si>
    <t>Antonnette</t>
  </si>
  <si>
    <t>Suzette</t>
  </si>
  <si>
    <t>Kyianna</t>
  </si>
  <si>
    <t>Juanne</t>
  </si>
  <si>
    <t>Janean</t>
  </si>
  <si>
    <t>Cathy</t>
  </si>
  <si>
    <t>You Ying</t>
  </si>
  <si>
    <t>Germania</t>
  </si>
  <si>
    <t>Peggy</t>
  </si>
  <si>
    <t>Belgica</t>
  </si>
  <si>
    <t>Erenia</t>
  </si>
  <si>
    <t>Tashawna</t>
  </si>
  <si>
    <t>Magdalen</t>
  </si>
  <si>
    <t>Starlena</t>
  </si>
  <si>
    <t>Matt</t>
  </si>
  <si>
    <t>Phon</t>
  </si>
  <si>
    <t>Nijha</t>
  </si>
  <si>
    <t>Teasha</t>
  </si>
  <si>
    <t>Shanikqua</t>
  </si>
  <si>
    <t>Hyacinth</t>
  </si>
  <si>
    <t>Sherifat</t>
  </si>
  <si>
    <t>Clive</t>
  </si>
  <si>
    <t>Tishawna</t>
  </si>
  <si>
    <t>Helena</t>
  </si>
  <si>
    <t>Sedina</t>
  </si>
  <si>
    <t>Sherina</t>
  </si>
  <si>
    <t>Gautam</t>
  </si>
  <si>
    <t>Blanch</t>
  </si>
  <si>
    <t>Guillermina</t>
  </si>
  <si>
    <t>Shaniyia</t>
  </si>
  <si>
    <t>Jazmel</t>
  </si>
  <si>
    <t>Vanessa</t>
  </si>
  <si>
    <t>Santana</t>
  </si>
  <si>
    <t>Lurilla</t>
  </si>
  <si>
    <t>Abdallah</t>
  </si>
  <si>
    <t>Max</t>
  </si>
  <si>
    <t>Perri</t>
  </si>
  <si>
    <t>JASON</t>
  </si>
  <si>
    <t>Sana</t>
  </si>
  <si>
    <t>Kyla</t>
  </si>
  <si>
    <t>Lennie</t>
  </si>
  <si>
    <t>Brent</t>
  </si>
  <si>
    <t>Ytalina</t>
  </si>
  <si>
    <t>Alton</t>
  </si>
  <si>
    <t>Nilma</t>
  </si>
  <si>
    <t>Alison</t>
  </si>
  <si>
    <t>Artist</t>
  </si>
  <si>
    <t>Sujeny</t>
  </si>
  <si>
    <t>Elana</t>
  </si>
  <si>
    <t>Luis Angel</t>
  </si>
  <si>
    <t>Uguis</t>
  </si>
  <si>
    <t>Dongqing</t>
  </si>
  <si>
    <t>Lester</t>
  </si>
  <si>
    <t>Ramiro</t>
  </si>
  <si>
    <t>Yudania</t>
  </si>
  <si>
    <t>Nathalie</t>
  </si>
  <si>
    <t>Valery</t>
  </si>
  <si>
    <t>Ervin</t>
  </si>
  <si>
    <t>Devora-Orit</t>
  </si>
  <si>
    <t>Edda</t>
  </si>
  <si>
    <t>Bethsy</t>
  </si>
  <si>
    <t>Herlin</t>
  </si>
  <si>
    <t>Keneeda</t>
  </si>
  <si>
    <t>cassandra</t>
  </si>
  <si>
    <t>Tonya</t>
  </si>
  <si>
    <t>Valeriy</t>
  </si>
  <si>
    <t>Lilia</t>
  </si>
  <si>
    <t>Darrell</t>
  </si>
  <si>
    <t>Shakeya</t>
  </si>
  <si>
    <t>Ouassa</t>
  </si>
  <si>
    <t>Idrissa</t>
  </si>
  <si>
    <t>Paulino</t>
  </si>
  <si>
    <t>Bertho</t>
  </si>
  <si>
    <t>Shelly Ann</t>
  </si>
  <si>
    <t>Aleksandra</t>
  </si>
  <si>
    <t>Marsha</t>
  </si>
  <si>
    <t>Chrysanthius</t>
  </si>
  <si>
    <t>Sonny</t>
  </si>
  <si>
    <t>Yovanny</t>
  </si>
  <si>
    <t>Buthaynah</t>
  </si>
  <si>
    <t>Yanira</t>
  </si>
  <si>
    <t>Ashley</t>
  </si>
  <si>
    <t>Shaun</t>
  </si>
  <si>
    <t>Stardasha</t>
  </si>
  <si>
    <t>Jeremiah</t>
  </si>
  <si>
    <t>Jhon</t>
  </si>
  <si>
    <t>Mamuna</t>
  </si>
  <si>
    <t>Neri</t>
  </si>
  <si>
    <t>Ari</t>
  </si>
  <si>
    <t>Trilbie</t>
  </si>
  <si>
    <t>Grace</t>
  </si>
  <si>
    <t>Towpee</t>
  </si>
  <si>
    <t>Kiera</t>
  </si>
  <si>
    <t>Fitzroy</t>
  </si>
  <si>
    <t>Caridad</t>
  </si>
  <si>
    <t>Wilhelmina</t>
  </si>
  <si>
    <t>Osei</t>
  </si>
  <si>
    <t>Ricardo</t>
  </si>
  <si>
    <t>Jewell</t>
  </si>
  <si>
    <t>Belva</t>
  </si>
  <si>
    <t>Camella</t>
  </si>
  <si>
    <t>Rukiya</t>
  </si>
  <si>
    <t>Mazie</t>
  </si>
  <si>
    <t>Alec</t>
  </si>
  <si>
    <t>Theodore</t>
  </si>
  <si>
    <t>Vicenta</t>
  </si>
  <si>
    <t>Radasha</t>
  </si>
  <si>
    <t>Gwenda</t>
  </si>
  <si>
    <t>Asseth</t>
  </si>
  <si>
    <t>Nickcole</t>
  </si>
  <si>
    <t>Randy</t>
  </si>
  <si>
    <t>Kameeka</t>
  </si>
  <si>
    <t>Desra</t>
  </si>
  <si>
    <t>Glenny</t>
  </si>
  <si>
    <t>Chesevah</t>
  </si>
  <si>
    <t>Alnardo</t>
  </si>
  <si>
    <t>Shelia</t>
  </si>
  <si>
    <t>Allan</t>
  </si>
  <si>
    <t>Shelease</t>
  </si>
  <si>
    <t>Jezena</t>
  </si>
  <si>
    <t>Jeavon</t>
  </si>
  <si>
    <t>Nana</t>
  </si>
  <si>
    <t>Bolivar</t>
  </si>
  <si>
    <t>Lattina</t>
  </si>
  <si>
    <t>Darrylin</t>
  </si>
  <si>
    <t>Nicolina</t>
  </si>
  <si>
    <t>Harold</t>
  </si>
  <si>
    <t>Rossana</t>
  </si>
  <si>
    <t>Leslyn</t>
  </si>
  <si>
    <t>Chaunte</t>
  </si>
  <si>
    <t>MIchelle</t>
  </si>
  <si>
    <t>Philip</t>
  </si>
  <si>
    <t>Sharena</t>
  </si>
  <si>
    <t>Ella</t>
  </si>
  <si>
    <t>Morgen</t>
  </si>
  <si>
    <t>Cristobal</t>
  </si>
  <si>
    <t>Grecia</t>
  </si>
  <si>
    <t>Kimmi</t>
  </si>
  <si>
    <t>Jules</t>
  </si>
  <si>
    <t>Janith</t>
  </si>
  <si>
    <t>Lucienne</t>
  </si>
  <si>
    <t>Suranyely</t>
  </si>
  <si>
    <t>Kwadwo</t>
  </si>
  <si>
    <t>Ravi</t>
  </si>
  <si>
    <t>Milagro</t>
  </si>
  <si>
    <t>Delia</t>
  </si>
  <si>
    <t>Becky</t>
  </si>
  <si>
    <t>Alberto</t>
  </si>
  <si>
    <t>Winona</t>
  </si>
  <si>
    <t>Othniel</t>
  </si>
  <si>
    <t>Shanice</t>
  </si>
  <si>
    <t>Graham</t>
  </si>
  <si>
    <t>Rolanda</t>
  </si>
  <si>
    <t>Xinque</t>
  </si>
  <si>
    <t>Janarys</t>
  </si>
  <si>
    <t>Mikkia</t>
  </si>
  <si>
    <t>Pauline</t>
  </si>
  <si>
    <t>Paola</t>
  </si>
  <si>
    <t>Donnika</t>
  </si>
  <si>
    <t>Ramesh</t>
  </si>
  <si>
    <t>Edie</t>
  </si>
  <si>
    <t>Renier</t>
  </si>
  <si>
    <t>Zondra</t>
  </si>
  <si>
    <t>Antonieta</t>
  </si>
  <si>
    <t>Dakeisha</t>
  </si>
  <si>
    <t>Sanabe</t>
  </si>
  <si>
    <t>Loana</t>
  </si>
  <si>
    <t>Louisia</t>
  </si>
  <si>
    <t>Bukunmi</t>
  </si>
  <si>
    <t>Jackson</t>
  </si>
  <si>
    <t>Jocelyn</t>
  </si>
  <si>
    <t>Ernestine</t>
  </si>
  <si>
    <t>DuAne</t>
  </si>
  <si>
    <t>Bukola</t>
  </si>
  <si>
    <t>Isaac</t>
  </si>
  <si>
    <t>Ezequiel</t>
  </si>
  <si>
    <t>Nora</t>
  </si>
  <si>
    <t>Maebell</t>
  </si>
  <si>
    <t>Savanna</t>
  </si>
  <si>
    <t>Everett</t>
  </si>
  <si>
    <t>Maete</t>
  </si>
  <si>
    <t>Ghislain</t>
  </si>
  <si>
    <t>Sergei</t>
  </si>
  <si>
    <t>Lisette</t>
  </si>
  <si>
    <t>Eduardo</t>
  </si>
  <si>
    <t>Shahera</t>
  </si>
  <si>
    <t>Mayi</t>
  </si>
  <si>
    <t>Baboo</t>
  </si>
  <si>
    <t>Mehira</t>
  </si>
  <si>
    <t>Kieran</t>
  </si>
  <si>
    <t>Charity</t>
  </si>
  <si>
    <t>Arlene</t>
  </si>
  <si>
    <t>Icemae</t>
  </si>
  <si>
    <t>Lucita</t>
  </si>
  <si>
    <t>Garcia</t>
  </si>
  <si>
    <t>Aisha</t>
  </si>
  <si>
    <t>Brandon</t>
  </si>
  <si>
    <t>Mudasiru</t>
  </si>
  <si>
    <t>Shakenya</t>
  </si>
  <si>
    <t>Deneen</t>
  </si>
  <si>
    <t>Moises</t>
  </si>
  <si>
    <t>Ramsey</t>
  </si>
  <si>
    <t>Altagrace</t>
  </si>
  <si>
    <t>Jake</t>
  </si>
  <si>
    <t>Ben</t>
  </si>
  <si>
    <t>Shelley</t>
  </si>
  <si>
    <t>Colin</t>
  </si>
  <si>
    <t>Franklin</t>
  </si>
  <si>
    <t>Makuna</t>
  </si>
  <si>
    <t>Junie</t>
  </si>
  <si>
    <t>Vertell</t>
  </si>
  <si>
    <t>Dioris</t>
  </si>
  <si>
    <t>Vanderlyn</t>
  </si>
  <si>
    <t>Katy</t>
  </si>
  <si>
    <t>Darnell</t>
  </si>
  <si>
    <t>Maretta</t>
  </si>
  <si>
    <t>Alyssa</t>
  </si>
  <si>
    <t>Evangelista</t>
  </si>
  <si>
    <t>Jamie</t>
  </si>
  <si>
    <t>Sydnee</t>
  </si>
  <si>
    <t>Tajia</t>
  </si>
  <si>
    <t>Merisca</t>
  </si>
  <si>
    <t>Tamishia</t>
  </si>
  <si>
    <t>Hassan</t>
  </si>
  <si>
    <t>Sherry-Ann</t>
  </si>
  <si>
    <t>Mandy</t>
  </si>
  <si>
    <t>Lucianne</t>
  </si>
  <si>
    <t>Marea</t>
  </si>
  <si>
    <t>Palma</t>
  </si>
  <si>
    <t>Johnnymae</t>
  </si>
  <si>
    <t>Tanica</t>
  </si>
  <si>
    <t>Edisa</t>
  </si>
  <si>
    <t>Renet</t>
  </si>
  <si>
    <t>Bleuberthol</t>
  </si>
  <si>
    <t>Karl</t>
  </si>
  <si>
    <t>Claude</t>
  </si>
  <si>
    <t>Candyce</t>
  </si>
  <si>
    <t>WHITNEY</t>
  </si>
  <si>
    <t>Duane</t>
  </si>
  <si>
    <t>Suheylee</t>
  </si>
  <si>
    <t>Joalsi</t>
  </si>
  <si>
    <t>Tranae</t>
  </si>
  <si>
    <t>Teresita</t>
  </si>
  <si>
    <t>Dale</t>
  </si>
  <si>
    <t>Aquanetta</t>
  </si>
  <si>
    <t>Wilmer</t>
  </si>
  <si>
    <t>Deidre</t>
  </si>
  <si>
    <t>Molly</t>
  </si>
  <si>
    <t>Suzanna</t>
  </si>
  <si>
    <t>Claire</t>
  </si>
  <si>
    <t>Sernomia</t>
  </si>
  <si>
    <t>Roselina</t>
  </si>
  <si>
    <t>Aiden</t>
  </si>
  <si>
    <t>Eliane</t>
  </si>
  <si>
    <t>Morenike</t>
  </si>
  <si>
    <t>Ednice</t>
  </si>
  <si>
    <t>Vaughn</t>
  </si>
  <si>
    <t>Rob</t>
  </si>
  <si>
    <t>Jervine</t>
  </si>
  <si>
    <t>Shoshana</t>
  </si>
  <si>
    <t>Eliyahu</t>
  </si>
  <si>
    <t>Jeanty</t>
  </si>
  <si>
    <t>Kara</t>
  </si>
  <si>
    <t>Gabriella</t>
  </si>
  <si>
    <t>Malasia</t>
  </si>
  <si>
    <t>Milly</t>
  </si>
  <si>
    <t>Kaitlin</t>
  </si>
  <si>
    <t>Susanna</t>
  </si>
  <si>
    <t>Marley</t>
  </si>
  <si>
    <t>Shawn</t>
  </si>
  <si>
    <t>Gerardo</t>
  </si>
  <si>
    <t>Shiba</t>
  </si>
  <si>
    <t>Xonana</t>
  </si>
  <si>
    <t>Marco</t>
  </si>
  <si>
    <t>Nydia</t>
  </si>
  <si>
    <t>Sing Hang</t>
  </si>
  <si>
    <t>Marc</t>
  </si>
  <si>
    <t>Harrison</t>
  </si>
  <si>
    <t>Kayla</t>
  </si>
  <si>
    <t>Lily</t>
  </si>
  <si>
    <t>Ryan</t>
  </si>
  <si>
    <t>Aimee</t>
  </si>
  <si>
    <t>Natsumi</t>
  </si>
  <si>
    <t>Ximena</t>
  </si>
  <si>
    <t>Chinequa</t>
  </si>
  <si>
    <t>Kristen</t>
  </si>
  <si>
    <t>Shavonne</t>
  </si>
  <si>
    <t>Akemi</t>
  </si>
  <si>
    <t>Tiffani</t>
  </si>
  <si>
    <t>Barton</t>
  </si>
  <si>
    <t>Maryline</t>
  </si>
  <si>
    <t>Nedra</t>
  </si>
  <si>
    <t>Josh</t>
  </si>
  <si>
    <t>Leoney</t>
  </si>
  <si>
    <t>Tanis</t>
  </si>
  <si>
    <t>Jorinda</t>
  </si>
  <si>
    <t>Nucleo</t>
  </si>
  <si>
    <t>Jarrett</t>
  </si>
  <si>
    <t>Iho</t>
  </si>
  <si>
    <t>Fabian</t>
  </si>
  <si>
    <t>Dirk</t>
  </si>
  <si>
    <t>Dara</t>
  </si>
  <si>
    <t>Yamit</t>
  </si>
  <si>
    <t>Terrence</t>
  </si>
  <si>
    <t>Sakura</t>
  </si>
  <si>
    <t>Padilla</t>
  </si>
  <si>
    <t>Robinson</t>
  </si>
  <si>
    <t>Caraballo</t>
  </si>
  <si>
    <t>Abrams</t>
  </si>
  <si>
    <t>Nurse</t>
  </si>
  <si>
    <t>Rodgers</t>
  </si>
  <si>
    <t>Munera</t>
  </si>
  <si>
    <t>Adams</t>
  </si>
  <si>
    <t>Romano</t>
  </si>
  <si>
    <t>Velasquez</t>
  </si>
  <si>
    <t>Tejada</t>
  </si>
  <si>
    <t>Kenchen</t>
  </si>
  <si>
    <t>Burton</t>
  </si>
  <si>
    <t>Williams</t>
  </si>
  <si>
    <t>Datt</t>
  </si>
  <si>
    <t>Aviles</t>
  </si>
  <si>
    <t>Felton</t>
  </si>
  <si>
    <t>Hossain</t>
  </si>
  <si>
    <t>Choudhury</t>
  </si>
  <si>
    <t>Bajwa</t>
  </si>
  <si>
    <t>Suarez</t>
  </si>
  <si>
    <t>Ishrie</t>
  </si>
  <si>
    <t>Resmin</t>
  </si>
  <si>
    <t>Navarro</t>
  </si>
  <si>
    <t>Valle</t>
  </si>
  <si>
    <t>Munoz</t>
  </si>
  <si>
    <t>Ansbro-Saghirashvili</t>
  </si>
  <si>
    <t>McGrane</t>
  </si>
  <si>
    <t>Stewart</t>
  </si>
  <si>
    <t>Balletta</t>
  </si>
  <si>
    <t>Yazid</t>
  </si>
  <si>
    <t>Moreno</t>
  </si>
  <si>
    <t>Hojilla</t>
  </si>
  <si>
    <t>Diaz</t>
  </si>
  <si>
    <t>Narcisse</t>
  </si>
  <si>
    <t>Hernandez</t>
  </si>
  <si>
    <t>Mejia De Espejo</t>
  </si>
  <si>
    <t>Yang</t>
  </si>
  <si>
    <t>Seabrook</t>
  </si>
  <si>
    <t>Gonzalez</t>
  </si>
  <si>
    <t>Spector</t>
  </si>
  <si>
    <t>Mashriqi</t>
  </si>
  <si>
    <t>Singleton</t>
  </si>
  <si>
    <t>Medina</t>
  </si>
  <si>
    <t>Portilla</t>
  </si>
  <si>
    <t>Rusiecki</t>
  </si>
  <si>
    <t>Starvage</t>
  </si>
  <si>
    <t>Touzani</t>
  </si>
  <si>
    <t>Holmes</t>
  </si>
  <si>
    <t>Durham</t>
  </si>
  <si>
    <t>Black</t>
  </si>
  <si>
    <t>Delaine</t>
  </si>
  <si>
    <t>Hicks</t>
  </si>
  <si>
    <t>Van Benschoten</t>
  </si>
  <si>
    <t>Buckley</t>
  </si>
  <si>
    <t>Griffith</t>
  </si>
  <si>
    <t>Jacobs</t>
  </si>
  <si>
    <t>Cooper</t>
  </si>
  <si>
    <t>Jouvert</t>
  </si>
  <si>
    <t>Rush</t>
  </si>
  <si>
    <t>McMurtry Somerville</t>
  </si>
  <si>
    <t>Konteh</t>
  </si>
  <si>
    <t>McCartney</t>
  </si>
  <si>
    <t>Wynn</t>
  </si>
  <si>
    <t>McCullovgh</t>
  </si>
  <si>
    <t>Somorin</t>
  </si>
  <si>
    <t>Hunte</t>
  </si>
  <si>
    <t>Johnson</t>
  </si>
  <si>
    <t>Garduno</t>
  </si>
  <si>
    <t>Risbrook</t>
  </si>
  <si>
    <t>Mccolley</t>
  </si>
  <si>
    <t>Parker</t>
  </si>
  <si>
    <t>Coletta</t>
  </si>
  <si>
    <t>Blowe</t>
  </si>
  <si>
    <t>Santos</t>
  </si>
  <si>
    <t>Cardenas</t>
  </si>
  <si>
    <t>Carbonell</t>
  </si>
  <si>
    <t>Manning</t>
  </si>
  <si>
    <t>Armstrong</t>
  </si>
  <si>
    <t>Rowe</t>
  </si>
  <si>
    <t>Brown</t>
  </si>
  <si>
    <t>Butler</t>
  </si>
  <si>
    <t>Adesanya</t>
  </si>
  <si>
    <t>Amankwah</t>
  </si>
  <si>
    <t>Lindo</t>
  </si>
  <si>
    <t>Reese</t>
  </si>
  <si>
    <t>Kemp</t>
  </si>
  <si>
    <t>Torres</t>
  </si>
  <si>
    <t>Perez</t>
  </si>
  <si>
    <t>Lifshits</t>
  </si>
  <si>
    <t>Gangi</t>
  </si>
  <si>
    <t>Chrisme</t>
  </si>
  <si>
    <t>Andrews</t>
  </si>
  <si>
    <t>Mejia</t>
  </si>
  <si>
    <t>Skeete</t>
  </si>
  <si>
    <t>Drakes</t>
  </si>
  <si>
    <t>Jones</t>
  </si>
  <si>
    <t>Altgibers</t>
  </si>
  <si>
    <t>Bell</t>
  </si>
  <si>
    <t>Clarke</t>
  </si>
  <si>
    <t>McQueen</t>
  </si>
  <si>
    <t>Bourjonny</t>
  </si>
  <si>
    <t>Ruzzo</t>
  </si>
  <si>
    <t>Mason</t>
  </si>
  <si>
    <t>Evans Joseph</t>
  </si>
  <si>
    <t>Hamdown</t>
  </si>
  <si>
    <t>Hamdoun</t>
  </si>
  <si>
    <t>Stalling</t>
  </si>
  <si>
    <t>Bullod</t>
  </si>
  <si>
    <t>Sykes</t>
  </si>
  <si>
    <t>Calderon</t>
  </si>
  <si>
    <t>Caban</t>
  </si>
  <si>
    <t>Gorham</t>
  </si>
  <si>
    <t>Faison</t>
  </si>
  <si>
    <t>Resto</t>
  </si>
  <si>
    <t>Xie</t>
  </si>
  <si>
    <t>Fogarty</t>
  </si>
  <si>
    <t>Rodriguez</t>
  </si>
  <si>
    <t>Violani</t>
  </si>
  <si>
    <t>Wever</t>
  </si>
  <si>
    <t>Vogel</t>
  </si>
  <si>
    <t>Nazario</t>
  </si>
  <si>
    <t>Sudin</t>
  </si>
  <si>
    <t>Oseid</t>
  </si>
  <si>
    <t>Marcano</t>
  </si>
  <si>
    <t>Negron</t>
  </si>
  <si>
    <t>Kahan</t>
  </si>
  <si>
    <t>Dickson</t>
  </si>
  <si>
    <t>Creighton</t>
  </si>
  <si>
    <t>Usman</t>
  </si>
  <si>
    <t>Knowles</t>
  </si>
  <si>
    <t>Matthews</t>
  </si>
  <si>
    <t>Patrong</t>
  </si>
  <si>
    <t>Bishop</t>
  </si>
  <si>
    <t>Brazell</t>
  </si>
  <si>
    <t>Fraser</t>
  </si>
  <si>
    <t>Drayton</t>
  </si>
  <si>
    <t>Roth</t>
  </si>
  <si>
    <t>Walkes</t>
  </si>
  <si>
    <t>Omatyar</t>
  </si>
  <si>
    <t>Otho</t>
  </si>
  <si>
    <t>Mcknight</t>
  </si>
  <si>
    <t>Edwards</t>
  </si>
  <si>
    <t>Khan</t>
  </si>
  <si>
    <t>Commiso</t>
  </si>
  <si>
    <t>Mahon</t>
  </si>
  <si>
    <t>Patterson</t>
  </si>
  <si>
    <t>Jolley</t>
  </si>
  <si>
    <t>De La Cruz</t>
  </si>
  <si>
    <t>Ceneus</t>
  </si>
  <si>
    <t>Poe</t>
  </si>
  <si>
    <t>Khatib</t>
  </si>
  <si>
    <t>Stone</t>
  </si>
  <si>
    <t>Hendy-Hogan</t>
  </si>
  <si>
    <t>Darby</t>
  </si>
  <si>
    <t>White</t>
  </si>
  <si>
    <t>Caldwell</t>
  </si>
  <si>
    <t>Clark</t>
  </si>
  <si>
    <t>Steinmetz</t>
  </si>
  <si>
    <t>Shapiro</t>
  </si>
  <si>
    <t>Harris</t>
  </si>
  <si>
    <t>Boyko</t>
  </si>
  <si>
    <t>Shehata</t>
  </si>
  <si>
    <t>Bouatrouss</t>
  </si>
  <si>
    <t>Regula</t>
  </si>
  <si>
    <t>Sepuya</t>
  </si>
  <si>
    <t>Smith</t>
  </si>
  <si>
    <t>Rivera</t>
  </si>
  <si>
    <t>Jimenez</t>
  </si>
  <si>
    <t>Kahn</t>
  </si>
  <si>
    <t>Bassett</t>
  </si>
  <si>
    <t>Sepulveda</t>
  </si>
  <si>
    <t>Cruz</t>
  </si>
  <si>
    <t>Paula de Garcia</t>
  </si>
  <si>
    <t>Scullark</t>
  </si>
  <si>
    <t>Casiano</t>
  </si>
  <si>
    <t>Taylor</t>
  </si>
  <si>
    <t>Peals</t>
  </si>
  <si>
    <t>Zhou</t>
  </si>
  <si>
    <t>Herrera</t>
  </si>
  <si>
    <t>Ali</t>
  </si>
  <si>
    <t>Pimental</t>
  </si>
  <si>
    <t>Ortega</t>
  </si>
  <si>
    <t>Statuto</t>
  </si>
  <si>
    <t>Rossi</t>
  </si>
  <si>
    <t>Belen</t>
  </si>
  <si>
    <t>DeLeon</t>
  </si>
  <si>
    <t>Saavedra</t>
  </si>
  <si>
    <t>Salaman</t>
  </si>
  <si>
    <t>Flores</t>
  </si>
  <si>
    <t>Longmore</t>
  </si>
  <si>
    <t>Conway</t>
  </si>
  <si>
    <t>Doumbouya</t>
  </si>
  <si>
    <t>Camara</t>
  </si>
  <si>
    <t>Doumbia</t>
  </si>
  <si>
    <t>Camacho</t>
  </si>
  <si>
    <t>Ferrari</t>
  </si>
  <si>
    <t>Lliguichuzhca</t>
  </si>
  <si>
    <t>Laboy</t>
  </si>
  <si>
    <t>Hidalgo</t>
  </si>
  <si>
    <t>Monegro</t>
  </si>
  <si>
    <t>Jose De Garcia</t>
  </si>
  <si>
    <t>Alvarado</t>
  </si>
  <si>
    <t>Fajardo</t>
  </si>
  <si>
    <t>Casado</t>
  </si>
  <si>
    <t>Lopez</t>
  </si>
  <si>
    <t>Cannon</t>
  </si>
  <si>
    <t>Kotlyarenko</t>
  </si>
  <si>
    <t>Headrington</t>
  </si>
  <si>
    <t>Guzman</t>
  </si>
  <si>
    <t>Amponsah</t>
  </si>
  <si>
    <t>Gyimah</t>
  </si>
  <si>
    <t>Sallah</t>
  </si>
  <si>
    <t>Collins</t>
  </si>
  <si>
    <t>Tejeda</t>
  </si>
  <si>
    <t>Bangura</t>
  </si>
  <si>
    <t>Jessup</t>
  </si>
  <si>
    <t>Solis</t>
  </si>
  <si>
    <t>Buret</t>
  </si>
  <si>
    <t>Castillo</t>
  </si>
  <si>
    <t>Thompson</t>
  </si>
  <si>
    <t>CRUZ</t>
  </si>
  <si>
    <t>Quero</t>
  </si>
  <si>
    <t>Unger</t>
  </si>
  <si>
    <t>Dematos</t>
  </si>
  <si>
    <t>Picarello</t>
  </si>
  <si>
    <t>Carbucia</t>
  </si>
  <si>
    <t>Morabito</t>
  </si>
  <si>
    <t>Abuzahrieh</t>
  </si>
  <si>
    <t>Gregg</t>
  </si>
  <si>
    <t>Zeitler</t>
  </si>
  <si>
    <t>Quinteros</t>
  </si>
  <si>
    <t>Yu</t>
  </si>
  <si>
    <t>Manneh</t>
  </si>
  <si>
    <t>Maniscalco</t>
  </si>
  <si>
    <t>Ghalib</t>
  </si>
  <si>
    <t>Jacob</t>
  </si>
  <si>
    <t>Amadeo</t>
  </si>
  <si>
    <t>Olatidoye</t>
  </si>
  <si>
    <t>Ricks</t>
  </si>
  <si>
    <t>Romero</t>
  </si>
  <si>
    <t>Davis</t>
  </si>
  <si>
    <t>Middleton</t>
  </si>
  <si>
    <t>Davies</t>
  </si>
  <si>
    <t>McShane</t>
  </si>
  <si>
    <t>Sham</t>
  </si>
  <si>
    <t>Avelino</t>
  </si>
  <si>
    <t>Nolan</t>
  </si>
  <si>
    <t>Gaston-Alaoui</t>
  </si>
  <si>
    <t>Batista</t>
  </si>
  <si>
    <t>Galan-Batista</t>
  </si>
  <si>
    <t>Cook</t>
  </si>
  <si>
    <t>Genao</t>
  </si>
  <si>
    <t>Franco</t>
  </si>
  <si>
    <t>Beltre</t>
  </si>
  <si>
    <t>Pena</t>
  </si>
  <si>
    <t>Montes De Oca</t>
  </si>
  <si>
    <t>Morales</t>
  </si>
  <si>
    <t>Solano</t>
  </si>
  <si>
    <t>Wynns</t>
  </si>
  <si>
    <t>Collado</t>
  </si>
  <si>
    <t>Peralta</t>
  </si>
  <si>
    <t>Taveras</t>
  </si>
  <si>
    <t>Ithier</t>
  </si>
  <si>
    <t>Reyes Fernandez</t>
  </si>
  <si>
    <t>Qayyem</t>
  </si>
  <si>
    <t>Klapper</t>
  </si>
  <si>
    <t>Mota</t>
  </si>
  <si>
    <t>Otra</t>
  </si>
  <si>
    <t>Muriel</t>
  </si>
  <si>
    <t>Justiniano</t>
  </si>
  <si>
    <t>Peng</t>
  </si>
  <si>
    <t>Covington</t>
  </si>
  <si>
    <t>carlesimo</t>
  </si>
  <si>
    <t>Pacht</t>
  </si>
  <si>
    <t>Weigand</t>
  </si>
  <si>
    <t>Waldman</t>
  </si>
  <si>
    <t>Burke</t>
  </si>
  <si>
    <t>Chaphe</t>
  </si>
  <si>
    <t>Portela</t>
  </si>
  <si>
    <t>Campbell</t>
  </si>
  <si>
    <t>Handy</t>
  </si>
  <si>
    <t>Apuy</t>
  </si>
  <si>
    <t>Cruz Lopez</t>
  </si>
  <si>
    <t>Willis</t>
  </si>
  <si>
    <t>Pinckney</t>
  </si>
  <si>
    <t>de Aza</t>
  </si>
  <si>
    <t>Ward</t>
  </si>
  <si>
    <t>Settles</t>
  </si>
  <si>
    <t>Maloney</t>
  </si>
  <si>
    <t>Reynoso</t>
  </si>
  <si>
    <t>Koroma</t>
  </si>
  <si>
    <t>Santini</t>
  </si>
  <si>
    <t>Walker</t>
  </si>
  <si>
    <t>Wang</t>
  </si>
  <si>
    <t>Berry</t>
  </si>
  <si>
    <t>Tolento</t>
  </si>
  <si>
    <t>Aguilar</t>
  </si>
  <si>
    <t>Perdomo</t>
  </si>
  <si>
    <t>Sanchez</t>
  </si>
  <si>
    <t>Varbero</t>
  </si>
  <si>
    <t>Kennedy</t>
  </si>
  <si>
    <t>Feliciano</t>
  </si>
  <si>
    <t>Lucas</t>
  </si>
  <si>
    <t>Elmore</t>
  </si>
  <si>
    <t>Fuerte</t>
  </si>
  <si>
    <t>Carpenter</t>
  </si>
  <si>
    <t>Mackey</t>
  </si>
  <si>
    <t>Maldonado</t>
  </si>
  <si>
    <t>Gibbs</t>
  </si>
  <si>
    <t>Grimes</t>
  </si>
  <si>
    <t>Spencer</t>
  </si>
  <si>
    <t>Baus</t>
  </si>
  <si>
    <t>Colon</t>
  </si>
  <si>
    <t>Jemima</t>
  </si>
  <si>
    <t>Reid</t>
  </si>
  <si>
    <t>Chen</t>
  </si>
  <si>
    <t>Gil</t>
  </si>
  <si>
    <t>Applewhite</t>
  </si>
  <si>
    <t>King</t>
  </si>
  <si>
    <t>Warmack</t>
  </si>
  <si>
    <t>Arias</t>
  </si>
  <si>
    <t>Aquino</t>
  </si>
  <si>
    <t>Del Pilar Cabrera</t>
  </si>
  <si>
    <t>Germoso</t>
  </si>
  <si>
    <t>Fernandez</t>
  </si>
  <si>
    <t>Newell</t>
  </si>
  <si>
    <t>Burrowes</t>
  </si>
  <si>
    <t>Mascuzzio</t>
  </si>
  <si>
    <t>Berroa</t>
  </si>
  <si>
    <t>Worrell</t>
  </si>
  <si>
    <t>Cahill</t>
  </si>
  <si>
    <t>Jiggetts</t>
  </si>
  <si>
    <t>Febus</t>
  </si>
  <si>
    <t>Reece</t>
  </si>
  <si>
    <t>Hussein</t>
  </si>
  <si>
    <t>Banovich</t>
  </si>
  <si>
    <t>Beltrain</t>
  </si>
  <si>
    <t>Gnahoure</t>
  </si>
  <si>
    <t>Hampton</t>
  </si>
  <si>
    <t>Combs</t>
  </si>
  <si>
    <t>Rainey</t>
  </si>
  <si>
    <t>Henry</t>
  </si>
  <si>
    <t>Gomez</t>
  </si>
  <si>
    <t>Bland</t>
  </si>
  <si>
    <t>Kippins</t>
  </si>
  <si>
    <t>Castro</t>
  </si>
  <si>
    <t>Brunson</t>
  </si>
  <si>
    <t>Luncheon</t>
  </si>
  <si>
    <t>Tyler</t>
  </si>
  <si>
    <t>Mekki</t>
  </si>
  <si>
    <t>Crenshaw</t>
  </si>
  <si>
    <t>Joubert</t>
  </si>
  <si>
    <t>De Rojas</t>
  </si>
  <si>
    <t>Gaston</t>
  </si>
  <si>
    <t>Nicolas</t>
  </si>
  <si>
    <t>DeChabert</t>
  </si>
  <si>
    <t>Chavez</t>
  </si>
  <si>
    <t>Owusuah</t>
  </si>
  <si>
    <t>Ayala</t>
  </si>
  <si>
    <t>Tolliver</t>
  </si>
  <si>
    <t>Morrison</t>
  </si>
  <si>
    <t>Holley</t>
  </si>
  <si>
    <t>Burdier</t>
  </si>
  <si>
    <t>Goodwin</t>
  </si>
  <si>
    <t>Maqsood</t>
  </si>
  <si>
    <t>Diaz-Migoyo</t>
  </si>
  <si>
    <t>Chung</t>
  </si>
  <si>
    <t>Martinez</t>
  </si>
  <si>
    <t>Abreu Negron</t>
  </si>
  <si>
    <t>Bannister</t>
  </si>
  <si>
    <t>Love</t>
  </si>
  <si>
    <t>Hong</t>
  </si>
  <si>
    <t>Obie</t>
  </si>
  <si>
    <t>Lane</t>
  </si>
  <si>
    <t>Acosta</t>
  </si>
  <si>
    <t>Fashionne</t>
  </si>
  <si>
    <t>Ynfante</t>
  </si>
  <si>
    <t>Hibbert</t>
  </si>
  <si>
    <t>Marchena</t>
  </si>
  <si>
    <t>Burney</t>
  </si>
  <si>
    <t>May</t>
  </si>
  <si>
    <t>Fuseini</t>
  </si>
  <si>
    <t>Pagan</t>
  </si>
  <si>
    <t>Somers</t>
  </si>
  <si>
    <t>Costa</t>
  </si>
  <si>
    <t>Donoso</t>
  </si>
  <si>
    <t>Lovett</t>
  </si>
  <si>
    <t>Basith</t>
  </si>
  <si>
    <t>Ortiz</t>
  </si>
  <si>
    <t>Parnell</t>
  </si>
  <si>
    <t>Inoa</t>
  </si>
  <si>
    <t>Zhang</t>
  </si>
  <si>
    <t>Vanderhorst</t>
  </si>
  <si>
    <t>Okai</t>
  </si>
  <si>
    <t>Adega</t>
  </si>
  <si>
    <t>Pierce</t>
  </si>
  <si>
    <t>Velez</t>
  </si>
  <si>
    <t>Santiesteban</t>
  </si>
  <si>
    <t>Reyes Sonhouse</t>
  </si>
  <si>
    <t>Hauser</t>
  </si>
  <si>
    <t>Ventura</t>
  </si>
  <si>
    <t>Wright</t>
  </si>
  <si>
    <t>Burgos</t>
  </si>
  <si>
    <t>Miles Henry</t>
  </si>
  <si>
    <t>Vargas</t>
  </si>
  <si>
    <t>A Test</t>
  </si>
  <si>
    <t>Little</t>
  </si>
  <si>
    <t>Russo</t>
  </si>
  <si>
    <t>Turner</t>
  </si>
  <si>
    <t>Crucey</t>
  </si>
  <si>
    <t>Palermo</t>
  </si>
  <si>
    <t>Royal</t>
  </si>
  <si>
    <t>Marcol</t>
  </si>
  <si>
    <t>Harvel</t>
  </si>
  <si>
    <t>Tucker</t>
  </si>
  <si>
    <t>Rowland</t>
  </si>
  <si>
    <t>Machuca</t>
  </si>
  <si>
    <t>Lugo</t>
  </si>
  <si>
    <t>Rambudhan</t>
  </si>
  <si>
    <t>Davila</t>
  </si>
  <si>
    <t>Nunes</t>
  </si>
  <si>
    <t>Saunders</t>
  </si>
  <si>
    <t>Kinsey</t>
  </si>
  <si>
    <t>Villavicencio</t>
  </si>
  <si>
    <t>Nunez</t>
  </si>
  <si>
    <t>Hartridge</t>
  </si>
  <si>
    <t>Estavez</t>
  </si>
  <si>
    <t>Al Nehmi</t>
  </si>
  <si>
    <t>Moody</t>
  </si>
  <si>
    <t>Denis</t>
  </si>
  <si>
    <t>Ramos</t>
  </si>
  <si>
    <t>Watkins</t>
  </si>
  <si>
    <t>Burgess</t>
  </si>
  <si>
    <t>Ramirez</t>
  </si>
  <si>
    <t>Borrero</t>
  </si>
  <si>
    <t>Dixon</t>
  </si>
  <si>
    <t>Silverio</t>
  </si>
  <si>
    <t>Cameron</t>
  </si>
  <si>
    <t>Blackman</t>
  </si>
  <si>
    <t>Boddie</t>
  </si>
  <si>
    <t>Pandydiego</t>
  </si>
  <si>
    <t>Baker</t>
  </si>
  <si>
    <t>Deleon</t>
  </si>
  <si>
    <t>Bradshaw</t>
  </si>
  <si>
    <t>Rosado</t>
  </si>
  <si>
    <t>Sharp</t>
  </si>
  <si>
    <t>Akter</t>
  </si>
  <si>
    <t>Salaam</t>
  </si>
  <si>
    <t>Merced</t>
  </si>
  <si>
    <t>Copeland</t>
  </si>
  <si>
    <t>Surgeon</t>
  </si>
  <si>
    <t>Powell</t>
  </si>
  <si>
    <t>Almeida</t>
  </si>
  <si>
    <t>Steinberg</t>
  </si>
  <si>
    <t>Skinner</t>
  </si>
  <si>
    <t>Valentine</t>
  </si>
  <si>
    <t>Abskhairoun</t>
  </si>
  <si>
    <t>Richards</t>
  </si>
  <si>
    <t>Wheeler</t>
  </si>
  <si>
    <t>Mullings</t>
  </si>
  <si>
    <t>Quevedo</t>
  </si>
  <si>
    <t>Kollie</t>
  </si>
  <si>
    <t>Bellber</t>
  </si>
  <si>
    <t>Silva</t>
  </si>
  <si>
    <t>Wade</t>
  </si>
  <si>
    <t>Wignon</t>
  </si>
  <si>
    <t>Caple</t>
  </si>
  <si>
    <t>Sumler</t>
  </si>
  <si>
    <t>Garcia Valdez</t>
  </si>
  <si>
    <t>Barrett</t>
  </si>
  <si>
    <t>Almonte</t>
  </si>
  <si>
    <t>Chapman</t>
  </si>
  <si>
    <t>Leon</t>
  </si>
  <si>
    <t>Dejesus</t>
  </si>
  <si>
    <t>Klewicki</t>
  </si>
  <si>
    <t>Simeon</t>
  </si>
  <si>
    <t>Estrella</t>
  </si>
  <si>
    <t>Kunene</t>
  </si>
  <si>
    <t>Hodgson</t>
  </si>
  <si>
    <t>Reyes</t>
  </si>
  <si>
    <t>Marti</t>
  </si>
  <si>
    <t>Decarmine</t>
  </si>
  <si>
    <t>Browne</t>
  </si>
  <si>
    <t>Pacifico</t>
  </si>
  <si>
    <t>Freeman</t>
  </si>
  <si>
    <t>Bermudez</t>
  </si>
  <si>
    <t>Cabrera</t>
  </si>
  <si>
    <t>Cummings</t>
  </si>
  <si>
    <t>Segal</t>
  </si>
  <si>
    <t>Fofana</t>
  </si>
  <si>
    <t>Cumba</t>
  </si>
  <si>
    <t>Canady</t>
  </si>
  <si>
    <t>Quespaz</t>
  </si>
  <si>
    <t>Melendez</t>
  </si>
  <si>
    <t>Jenkins</t>
  </si>
  <si>
    <t>Brooks</t>
  </si>
  <si>
    <t>Barlon</t>
  </si>
  <si>
    <t>Slew</t>
  </si>
  <si>
    <t>Nater</t>
  </si>
  <si>
    <t>Dunlock</t>
  </si>
  <si>
    <t>Mojica</t>
  </si>
  <si>
    <t>Jackman</t>
  </si>
  <si>
    <t>McKelvey</t>
  </si>
  <si>
    <t>Leitch</t>
  </si>
  <si>
    <t>Frazier</t>
  </si>
  <si>
    <t>Meracdo</t>
  </si>
  <si>
    <t>Battle</t>
  </si>
  <si>
    <t>Dotts</t>
  </si>
  <si>
    <t>Sidibe</t>
  </si>
  <si>
    <t>Engesser</t>
  </si>
  <si>
    <t>Landrau</t>
  </si>
  <si>
    <t>Broadhead</t>
  </si>
  <si>
    <t>Sonko</t>
  </si>
  <si>
    <t>Isler</t>
  </si>
  <si>
    <t>Shaw</t>
  </si>
  <si>
    <t>Briggs</t>
  </si>
  <si>
    <t>Basurto</t>
  </si>
  <si>
    <t>De Jesus</t>
  </si>
  <si>
    <t>Cruz Balbi</t>
  </si>
  <si>
    <t>Pappas</t>
  </si>
  <si>
    <t>Carbajal</t>
  </si>
  <si>
    <t>Melville Johnson</t>
  </si>
  <si>
    <t>Matoes</t>
  </si>
  <si>
    <t>Connolly</t>
  </si>
  <si>
    <t>Piper</t>
  </si>
  <si>
    <t>Svendsen Jr.</t>
  </si>
  <si>
    <t>Alvarez</t>
  </si>
  <si>
    <t>Threets</t>
  </si>
  <si>
    <t>Aristomene</t>
  </si>
  <si>
    <t>Robles</t>
  </si>
  <si>
    <t>Dodard</t>
  </si>
  <si>
    <t>Hill</t>
  </si>
  <si>
    <t>Toste</t>
  </si>
  <si>
    <t>Dyer</t>
  </si>
  <si>
    <t>Cox Lawson</t>
  </si>
  <si>
    <t>Whyte</t>
  </si>
  <si>
    <t>Esquivel</t>
  </si>
  <si>
    <t>Bean</t>
  </si>
  <si>
    <t>Carrion</t>
  </si>
  <si>
    <t>Gallagher</t>
  </si>
  <si>
    <t>Murray</t>
  </si>
  <si>
    <t>Ocasio</t>
  </si>
  <si>
    <t>Croom</t>
  </si>
  <si>
    <t>Tarantola</t>
  </si>
  <si>
    <t>Pinero</t>
  </si>
  <si>
    <t>Cochran</t>
  </si>
  <si>
    <t>Elharras</t>
  </si>
  <si>
    <t>Luciano</t>
  </si>
  <si>
    <t>Haque</t>
  </si>
  <si>
    <t>Tavarez</t>
  </si>
  <si>
    <t>Nesbitt</t>
  </si>
  <si>
    <t>Sun</t>
  </si>
  <si>
    <t>Nesmith</t>
  </si>
  <si>
    <t>Cuatle</t>
  </si>
  <si>
    <t>Pressley</t>
  </si>
  <si>
    <t>Sellassie</t>
  </si>
  <si>
    <t>McDowell-Butts</t>
  </si>
  <si>
    <t>Hamer</t>
  </si>
  <si>
    <t>Galvez</t>
  </si>
  <si>
    <t>Brache</t>
  </si>
  <si>
    <t>Kerr</t>
  </si>
  <si>
    <t>Mayo</t>
  </si>
  <si>
    <t>Jean-Simon</t>
  </si>
  <si>
    <t>Fleming</t>
  </si>
  <si>
    <t>Veras</t>
  </si>
  <si>
    <t>Suber</t>
  </si>
  <si>
    <t>Azerbarzin</t>
  </si>
  <si>
    <t>Shivers</t>
  </si>
  <si>
    <t>Jordan</t>
  </si>
  <si>
    <t>Izepia</t>
  </si>
  <si>
    <t>Kimbo</t>
  </si>
  <si>
    <t>Kenneh</t>
  </si>
  <si>
    <t>Sutherland</t>
  </si>
  <si>
    <t>Marrero</t>
  </si>
  <si>
    <t>Nivar</t>
  </si>
  <si>
    <t>Cisneros</t>
  </si>
  <si>
    <t>Linen</t>
  </si>
  <si>
    <t>Slove</t>
  </si>
  <si>
    <t>Wells</t>
  </si>
  <si>
    <t>Phillips</t>
  </si>
  <si>
    <t>Blyden</t>
  </si>
  <si>
    <t>Speller</t>
  </si>
  <si>
    <t>De Luna</t>
  </si>
  <si>
    <t>Blue</t>
  </si>
  <si>
    <t>Cordero</t>
  </si>
  <si>
    <t>Velastegui</t>
  </si>
  <si>
    <t>Jamison</t>
  </si>
  <si>
    <t>Ifill</t>
  </si>
  <si>
    <t>Imbert</t>
  </si>
  <si>
    <t>Neely</t>
  </si>
  <si>
    <t>Berra</t>
  </si>
  <si>
    <t>Moreau</t>
  </si>
  <si>
    <t>Simmons</t>
  </si>
  <si>
    <t>Sow</t>
  </si>
  <si>
    <t>Figueroa</t>
  </si>
  <si>
    <t>Telford</t>
  </si>
  <si>
    <t>Mendoza</t>
  </si>
  <si>
    <t>Casilla</t>
  </si>
  <si>
    <t>McCarter-Yates</t>
  </si>
  <si>
    <t>Holman</t>
  </si>
  <si>
    <t>Lozano Soto</t>
  </si>
  <si>
    <t>Akinyele</t>
  </si>
  <si>
    <t>Keyes</t>
  </si>
  <si>
    <t>Grayson</t>
  </si>
  <si>
    <t>Lantigua</t>
  </si>
  <si>
    <t>Liriano</t>
  </si>
  <si>
    <t>Byfield</t>
  </si>
  <si>
    <t>Morgan</t>
  </si>
  <si>
    <t>Ulloa</t>
  </si>
  <si>
    <t>Konate</t>
  </si>
  <si>
    <t>Lyons</t>
  </si>
  <si>
    <t>Swain</t>
  </si>
  <si>
    <t>Walton</t>
  </si>
  <si>
    <t>Colasso</t>
  </si>
  <si>
    <t>Hazelton</t>
  </si>
  <si>
    <t>Belliard</t>
  </si>
  <si>
    <t>Caballero</t>
  </si>
  <si>
    <t>Gaines</t>
  </si>
  <si>
    <t>Fenton</t>
  </si>
  <si>
    <t>Esquerdo</t>
  </si>
  <si>
    <t>Barrionuevo</t>
  </si>
  <si>
    <t>Merino Herrera</t>
  </si>
  <si>
    <t>Bernal</t>
  </si>
  <si>
    <t>Cardona</t>
  </si>
  <si>
    <t>Huarneck</t>
  </si>
  <si>
    <t>Yan</t>
  </si>
  <si>
    <t>Paca</t>
  </si>
  <si>
    <t>Pang</t>
  </si>
  <si>
    <t>Echevarria</t>
  </si>
  <si>
    <t>Men</t>
  </si>
  <si>
    <t>Hanes</t>
  </si>
  <si>
    <t>Dargan</t>
  </si>
  <si>
    <t>Baxter</t>
  </si>
  <si>
    <t>Cawley</t>
  </si>
  <si>
    <t>Reynolds</t>
  </si>
  <si>
    <t>Vilsaint</t>
  </si>
  <si>
    <t>Kerney</t>
  </si>
  <si>
    <t>Seecharan</t>
  </si>
  <si>
    <t>Rivas</t>
  </si>
  <si>
    <t>Miller</t>
  </si>
  <si>
    <t>Parrish</t>
  </si>
  <si>
    <t>Cartagena</t>
  </si>
  <si>
    <t>Trotman</t>
  </si>
  <si>
    <t>Segura</t>
  </si>
  <si>
    <t>Upegui</t>
  </si>
  <si>
    <t>Salcedo</t>
  </si>
  <si>
    <t>Pineda</t>
  </si>
  <si>
    <t>Channa</t>
  </si>
  <si>
    <t>Gray</t>
  </si>
  <si>
    <t>Nugent</t>
  </si>
  <si>
    <t>Barnes</t>
  </si>
  <si>
    <t>McColley</t>
  </si>
  <si>
    <t>Gay Campbell</t>
  </si>
  <si>
    <t>Osman</t>
  </si>
  <si>
    <t>Francis</t>
  </si>
  <si>
    <t>Page</t>
  </si>
  <si>
    <t>Sharpe</t>
  </si>
  <si>
    <t>Marmolejos</t>
  </si>
  <si>
    <t>Yusuf</t>
  </si>
  <si>
    <t>Griffin</t>
  </si>
  <si>
    <t>DUBON</t>
  </si>
  <si>
    <t>Coleman</t>
  </si>
  <si>
    <t>Eraham</t>
  </si>
  <si>
    <t>Isidoro</t>
  </si>
  <si>
    <t>Escalante</t>
  </si>
  <si>
    <t>Dowdell</t>
  </si>
  <si>
    <t>Checo</t>
  </si>
  <si>
    <t>Molina</t>
  </si>
  <si>
    <t>Aguiar</t>
  </si>
  <si>
    <t>Iturbides</t>
  </si>
  <si>
    <t>Nayyar</t>
  </si>
  <si>
    <t>Virella</t>
  </si>
  <si>
    <t>Whitfield</t>
  </si>
  <si>
    <t>Vazquez</t>
  </si>
  <si>
    <t>Findley</t>
  </si>
  <si>
    <t>Sawh</t>
  </si>
  <si>
    <t>Myers</t>
  </si>
  <si>
    <t>Simon</t>
  </si>
  <si>
    <t>McCurdy</t>
  </si>
  <si>
    <t>Ruiz</t>
  </si>
  <si>
    <t>Mendez</t>
  </si>
  <si>
    <t>Nieves</t>
  </si>
  <si>
    <t>Alcindor</t>
  </si>
  <si>
    <t>Xin</t>
  </si>
  <si>
    <t>Baltazer</t>
  </si>
  <si>
    <t>Carter</t>
  </si>
  <si>
    <t>Arroyo</t>
  </si>
  <si>
    <t>Pacheco</t>
  </si>
  <si>
    <t>Lemus</t>
  </si>
  <si>
    <t>Bettis</t>
  </si>
  <si>
    <t>Baez</t>
  </si>
  <si>
    <t>Parchment</t>
  </si>
  <si>
    <t>Adames</t>
  </si>
  <si>
    <t>Lopez Torres</t>
  </si>
  <si>
    <t>Quiles</t>
  </si>
  <si>
    <t>Salome</t>
  </si>
  <si>
    <t>Newkirk</t>
  </si>
  <si>
    <t>Westwood</t>
  </si>
  <si>
    <t>Piro</t>
  </si>
  <si>
    <t>Contreras</t>
  </si>
  <si>
    <t>Abreu</t>
  </si>
  <si>
    <t>Moore</t>
  </si>
  <si>
    <t>Mcgeachy</t>
  </si>
  <si>
    <t>Saint Louis</t>
  </si>
  <si>
    <t>Bougouneau</t>
  </si>
  <si>
    <t>Jheong</t>
  </si>
  <si>
    <t>Foster</t>
  </si>
  <si>
    <t>Raines</t>
  </si>
  <si>
    <t>Levites</t>
  </si>
  <si>
    <t>Baououi</t>
  </si>
  <si>
    <t>Zapata</t>
  </si>
  <si>
    <t>Evans</t>
  </si>
  <si>
    <t>Osemwekha</t>
  </si>
  <si>
    <t>Quinones</t>
  </si>
  <si>
    <t>Braun</t>
  </si>
  <si>
    <t>Ip</t>
  </si>
  <si>
    <t>Duncan</t>
  </si>
  <si>
    <t>Elias</t>
  </si>
  <si>
    <t>Loumsby</t>
  </si>
  <si>
    <t>Borovikova</t>
  </si>
  <si>
    <t>Polk</t>
  </si>
  <si>
    <t>Hamiduzzaman</t>
  </si>
  <si>
    <t>Tavares</t>
  </si>
  <si>
    <t>Antonelli</t>
  </si>
  <si>
    <t>Clavijo</t>
  </si>
  <si>
    <t>Dilone</t>
  </si>
  <si>
    <t>Hassell</t>
  </si>
  <si>
    <t>Panora</t>
  </si>
  <si>
    <t>Delacruz</t>
  </si>
  <si>
    <t>Hamilton</t>
  </si>
  <si>
    <t>Waiters</t>
  </si>
  <si>
    <t>Vidal</t>
  </si>
  <si>
    <t>Banks</t>
  </si>
  <si>
    <t>Byrd</t>
  </si>
  <si>
    <t>Calise</t>
  </si>
  <si>
    <t>McClucksey</t>
  </si>
  <si>
    <t>Robinison</t>
  </si>
  <si>
    <t>Zollo</t>
  </si>
  <si>
    <t>Osbourne Garlinton</t>
  </si>
  <si>
    <t>Dminguez</t>
  </si>
  <si>
    <t>Terranova</t>
  </si>
  <si>
    <t>Carver</t>
  </si>
  <si>
    <t>Varaques</t>
  </si>
  <si>
    <t>Lockward</t>
  </si>
  <si>
    <t>Pastrana</t>
  </si>
  <si>
    <t>Salinas</t>
  </si>
  <si>
    <t>Enriquez</t>
  </si>
  <si>
    <t>Badala</t>
  </si>
  <si>
    <t>Fernanders</t>
  </si>
  <si>
    <t>Ojo</t>
  </si>
  <si>
    <t>Giddings</t>
  </si>
  <si>
    <t>Bossa -Venecia</t>
  </si>
  <si>
    <t>Lowe</t>
  </si>
  <si>
    <t>Acevedo</t>
  </si>
  <si>
    <t>Salgado</t>
  </si>
  <si>
    <t>Gouraige</t>
  </si>
  <si>
    <t>Makha</t>
  </si>
  <si>
    <t>Brathwaite</t>
  </si>
  <si>
    <t>Deaza</t>
  </si>
  <si>
    <t>Askew-Thomas</t>
  </si>
  <si>
    <t>Panama</t>
  </si>
  <si>
    <t>Garner</t>
  </si>
  <si>
    <t>Oakley</t>
  </si>
  <si>
    <t>Daley</t>
  </si>
  <si>
    <t>MAYANCELA</t>
  </si>
  <si>
    <t>Kabba</t>
  </si>
  <si>
    <t>Fortune</t>
  </si>
  <si>
    <t>Fermin</t>
  </si>
  <si>
    <t>Benu</t>
  </si>
  <si>
    <t>Mirla</t>
  </si>
  <si>
    <t>Bratton</t>
  </si>
  <si>
    <t>Moronta</t>
  </si>
  <si>
    <t>Nicholson</t>
  </si>
  <si>
    <t>Paula Martinez</t>
  </si>
  <si>
    <t>Jallow</t>
  </si>
  <si>
    <t>Pio</t>
  </si>
  <si>
    <t>Billingsley</t>
  </si>
  <si>
    <t>Mateo</t>
  </si>
  <si>
    <t>Linares</t>
  </si>
  <si>
    <t>Pitroipa</t>
  </si>
  <si>
    <t>Bovian</t>
  </si>
  <si>
    <t>Feliz</t>
  </si>
  <si>
    <t>Falconi</t>
  </si>
  <si>
    <t>Montalvo</t>
  </si>
  <si>
    <t>Rojas</t>
  </si>
  <si>
    <t>Garcia Collado</t>
  </si>
  <si>
    <t>Segundo</t>
  </si>
  <si>
    <t>Xu</t>
  </si>
  <si>
    <t>Islam</t>
  </si>
  <si>
    <t>Warnick</t>
  </si>
  <si>
    <t>House</t>
  </si>
  <si>
    <t>Nakamura</t>
  </si>
  <si>
    <t>Gado</t>
  </si>
  <si>
    <t>Landa</t>
  </si>
  <si>
    <t>Diatta</t>
  </si>
  <si>
    <t>paez</t>
  </si>
  <si>
    <t>Hewitt</t>
  </si>
  <si>
    <t>Curry</t>
  </si>
  <si>
    <t>Reyes Abreu</t>
  </si>
  <si>
    <t>Urena</t>
  </si>
  <si>
    <t>McCarthy</t>
  </si>
  <si>
    <t>Encarnacion</t>
  </si>
  <si>
    <t>Franco-Delawrence</t>
  </si>
  <si>
    <t>Greene</t>
  </si>
  <si>
    <t>Lugay</t>
  </si>
  <si>
    <t>Suru</t>
  </si>
  <si>
    <t>York</t>
  </si>
  <si>
    <t>Paez</t>
  </si>
  <si>
    <t>Hayslett</t>
  </si>
  <si>
    <t>Benacio</t>
  </si>
  <si>
    <t>Castanos</t>
  </si>
  <si>
    <t>Dominguez</t>
  </si>
  <si>
    <t>Rogers</t>
  </si>
  <si>
    <t>Chambers</t>
  </si>
  <si>
    <t>Headlan</t>
  </si>
  <si>
    <t>Reeves</t>
  </si>
  <si>
    <t>Mestizo</t>
  </si>
  <si>
    <t>Burrows</t>
  </si>
  <si>
    <t>Vanwagoner</t>
  </si>
  <si>
    <t>Clerveau</t>
  </si>
  <si>
    <t>Duran</t>
  </si>
  <si>
    <t>Subren</t>
  </si>
  <si>
    <t>Garcia Cruz</t>
  </si>
  <si>
    <t>Argentin</t>
  </si>
  <si>
    <t>Sosa</t>
  </si>
  <si>
    <t>Patrone</t>
  </si>
  <si>
    <t>Fish</t>
  </si>
  <si>
    <t>Villanueva</t>
  </si>
  <si>
    <t>Montolio</t>
  </si>
  <si>
    <t>Best</t>
  </si>
  <si>
    <t>Falu</t>
  </si>
  <si>
    <t>Gibson</t>
  </si>
  <si>
    <t>Scott</t>
  </si>
  <si>
    <t>Sullivan</t>
  </si>
  <si>
    <t>Florentino</t>
  </si>
  <si>
    <t>Carbuccia</t>
  </si>
  <si>
    <t>Caldero</t>
  </si>
  <si>
    <t>Preciado</t>
  </si>
  <si>
    <t>Commissiong</t>
  </si>
  <si>
    <t>Mellado</t>
  </si>
  <si>
    <t>Rendon</t>
  </si>
  <si>
    <t>Crawford</t>
  </si>
  <si>
    <t>Roberts</t>
  </si>
  <si>
    <t>Adodo-Addeh</t>
  </si>
  <si>
    <t>Dowell</t>
  </si>
  <si>
    <t>Marcucci</t>
  </si>
  <si>
    <t>Gil Abreu</t>
  </si>
  <si>
    <t>Green</t>
  </si>
  <si>
    <t>Rijo</t>
  </si>
  <si>
    <t>Despinosse</t>
  </si>
  <si>
    <t>Curley</t>
  </si>
  <si>
    <t>Campfield</t>
  </si>
  <si>
    <t>Budnetz</t>
  </si>
  <si>
    <t>Bonner</t>
  </si>
  <si>
    <t>Muller</t>
  </si>
  <si>
    <t xml:space="preserve">Ruby </t>
  </si>
  <si>
    <t>Abuzaid</t>
  </si>
  <si>
    <t>Colon-Sierra</t>
  </si>
  <si>
    <t>Shuler</t>
  </si>
  <si>
    <t>Cepeda</t>
  </si>
  <si>
    <t>Castano</t>
  </si>
  <si>
    <t>Tenzer</t>
  </si>
  <si>
    <t>Bershadsky</t>
  </si>
  <si>
    <t>Serrano</t>
  </si>
  <si>
    <t>Nadeau</t>
  </si>
  <si>
    <t>Mercado</t>
  </si>
  <si>
    <t>Hillman</t>
  </si>
  <si>
    <t>Paredes</t>
  </si>
  <si>
    <t>Spruce</t>
  </si>
  <si>
    <t>Cachola</t>
  </si>
  <si>
    <t>Familia</t>
  </si>
  <si>
    <t>Bradley</t>
  </si>
  <si>
    <t>Delgado</t>
  </si>
  <si>
    <t>Plaza</t>
  </si>
  <si>
    <t>Durandisse</t>
  </si>
  <si>
    <t>Willson</t>
  </si>
  <si>
    <t>Jarrell</t>
  </si>
  <si>
    <t>Pondicchello</t>
  </si>
  <si>
    <t>Cifuentes</t>
  </si>
  <si>
    <t>Brewster-Simmons</t>
  </si>
  <si>
    <t>Pizarro</t>
  </si>
  <si>
    <t>Canavatchel</t>
  </si>
  <si>
    <t>Sotomayor</t>
  </si>
  <si>
    <t>Roldan</t>
  </si>
  <si>
    <t>Meza</t>
  </si>
  <si>
    <t>Savattere</t>
  </si>
  <si>
    <t>Porro</t>
  </si>
  <si>
    <t>Guerrero</t>
  </si>
  <si>
    <t>Javier</t>
  </si>
  <si>
    <t>Aleman</t>
  </si>
  <si>
    <t>Kennerly</t>
  </si>
  <si>
    <t>Mortimer</t>
  </si>
  <si>
    <t>Saffore</t>
  </si>
  <si>
    <t>Mullins</t>
  </si>
  <si>
    <t>Josey Jr.</t>
  </si>
  <si>
    <t>Gooding</t>
  </si>
  <si>
    <t>Lumchan</t>
  </si>
  <si>
    <t>Duesbury</t>
  </si>
  <si>
    <t>Montero</t>
  </si>
  <si>
    <t>Zraick</t>
  </si>
  <si>
    <t>Guillen</t>
  </si>
  <si>
    <t>Hankerson</t>
  </si>
  <si>
    <t>Zarzuela</t>
  </si>
  <si>
    <t>Yim</t>
  </si>
  <si>
    <t>Cornielle</t>
  </si>
  <si>
    <t>Barreto</t>
  </si>
  <si>
    <t>Rotger</t>
  </si>
  <si>
    <t>Kruglova</t>
  </si>
  <si>
    <t>Gadson</t>
  </si>
  <si>
    <t>Randolph</t>
  </si>
  <si>
    <t>Jones (HO)</t>
  </si>
  <si>
    <t>Jones (NP)</t>
  </si>
  <si>
    <t>Hiciano</t>
  </si>
  <si>
    <t>Miranda</t>
  </si>
  <si>
    <t>Bailey</t>
  </si>
  <si>
    <t>Cervantes</t>
  </si>
  <si>
    <t>Boatswain</t>
  </si>
  <si>
    <t>DE ROSARIO</t>
  </si>
  <si>
    <t>McCain</t>
  </si>
  <si>
    <t>Richiez</t>
  </si>
  <si>
    <t>Lazu</t>
  </si>
  <si>
    <t>Lopes Malave</t>
  </si>
  <si>
    <t>Woody</t>
  </si>
  <si>
    <t>Golson</t>
  </si>
  <si>
    <t>Stribling</t>
  </si>
  <si>
    <t>Pearsall</t>
  </si>
  <si>
    <t>Matos</t>
  </si>
  <si>
    <t>Pitter</t>
  </si>
  <si>
    <t>Watson</t>
  </si>
  <si>
    <t>McCants</t>
  </si>
  <si>
    <t>Hilario</t>
  </si>
  <si>
    <t>Webbert</t>
  </si>
  <si>
    <t>Moya</t>
  </si>
  <si>
    <t>Vasquez</t>
  </si>
  <si>
    <t>Plowden</t>
  </si>
  <si>
    <t>watson</t>
  </si>
  <si>
    <t>Brito</t>
  </si>
  <si>
    <t>Rushmore</t>
  </si>
  <si>
    <t>Breytman</t>
  </si>
  <si>
    <t>Quispe</t>
  </si>
  <si>
    <t>Lindsay</t>
  </si>
  <si>
    <t>Collazo</t>
  </si>
  <si>
    <t>Arocho</t>
  </si>
  <si>
    <t>Mungin</t>
  </si>
  <si>
    <t>Atell</t>
  </si>
  <si>
    <t>McKenzie</t>
  </si>
  <si>
    <t>Key</t>
  </si>
  <si>
    <t>Fairall</t>
  </si>
  <si>
    <t>Caughey</t>
  </si>
  <si>
    <t>Mulayev</t>
  </si>
  <si>
    <t>Wesley</t>
  </si>
  <si>
    <t>Horton</t>
  </si>
  <si>
    <t>Recabarren</t>
  </si>
  <si>
    <t>Webster</t>
  </si>
  <si>
    <t>Ofner</t>
  </si>
  <si>
    <t>Ofulue</t>
  </si>
  <si>
    <t>Mozeb</t>
  </si>
  <si>
    <t>Harper</t>
  </si>
  <si>
    <t>Estevez</t>
  </si>
  <si>
    <t>Gaskin</t>
  </si>
  <si>
    <t>Mbow</t>
  </si>
  <si>
    <t>Galan</t>
  </si>
  <si>
    <t>Olmo</t>
  </si>
  <si>
    <t>Bailley</t>
  </si>
  <si>
    <t>Filion</t>
  </si>
  <si>
    <t>Lemson</t>
  </si>
  <si>
    <t>Cornell</t>
  </si>
  <si>
    <t>Betances</t>
  </si>
  <si>
    <t>Whint</t>
  </si>
  <si>
    <t>Pless</t>
  </si>
  <si>
    <t>Woods</t>
  </si>
  <si>
    <t>Fothergill</t>
  </si>
  <si>
    <t>Gates</t>
  </si>
  <si>
    <t>Alcantara</t>
  </si>
  <si>
    <t>Treitedny</t>
  </si>
  <si>
    <t>McClendon</t>
  </si>
  <si>
    <t>Muniz</t>
  </si>
  <si>
    <t>Baldwin</t>
  </si>
  <si>
    <t>Fisher</t>
  </si>
  <si>
    <t>Elvin</t>
  </si>
  <si>
    <t>Modica</t>
  </si>
  <si>
    <t>Concepcion</t>
  </si>
  <si>
    <t>Garcia-Pichardo</t>
  </si>
  <si>
    <t>Hajek</t>
  </si>
  <si>
    <t>Novak</t>
  </si>
  <si>
    <t>Boria</t>
  </si>
  <si>
    <t>Carnegie</t>
  </si>
  <si>
    <t>Blanco</t>
  </si>
  <si>
    <t>Dem</t>
  </si>
  <si>
    <t>Rondon Nunez</t>
  </si>
  <si>
    <t>De Los Santos</t>
  </si>
  <si>
    <t>Clemencia</t>
  </si>
  <si>
    <t>Jimenez Perez</t>
  </si>
  <si>
    <t>Porter</t>
  </si>
  <si>
    <t>Tanco</t>
  </si>
  <si>
    <t>Henderson</t>
  </si>
  <si>
    <t>Zabala</t>
  </si>
  <si>
    <t>Texidor</t>
  </si>
  <si>
    <t>Khoury</t>
  </si>
  <si>
    <t>Payamps</t>
  </si>
  <si>
    <t>Morla de Agosto</t>
  </si>
  <si>
    <t>Dirubba</t>
  </si>
  <si>
    <t>Ajumobi-Obe</t>
  </si>
  <si>
    <t>Aristyl</t>
  </si>
  <si>
    <t>Wong</t>
  </si>
  <si>
    <t>ROMAN</t>
  </si>
  <si>
    <t>Cantos</t>
  </si>
  <si>
    <t>Diallo</t>
  </si>
  <si>
    <t>Cendena</t>
  </si>
  <si>
    <t>Baldayac</t>
  </si>
  <si>
    <t>McDermott</t>
  </si>
  <si>
    <t>Higgins</t>
  </si>
  <si>
    <t>Quezada</t>
  </si>
  <si>
    <t>St. Louis</t>
  </si>
  <si>
    <t>Kee</t>
  </si>
  <si>
    <t>Smalls</t>
  </si>
  <si>
    <t>Montano</t>
  </si>
  <si>
    <t>De La Cruz Granado</t>
  </si>
  <si>
    <t>Donaldson</t>
  </si>
  <si>
    <t>Fan</t>
  </si>
  <si>
    <t>Mukhamadieva</t>
  </si>
  <si>
    <t>Mayers</t>
  </si>
  <si>
    <t>Lopez De Hernandez</t>
  </si>
  <si>
    <t>Sims</t>
  </si>
  <si>
    <t>Linton</t>
  </si>
  <si>
    <t>Cuadrado</t>
  </si>
  <si>
    <t>Yancey</t>
  </si>
  <si>
    <t>Stackhouse</t>
  </si>
  <si>
    <t>Afzali</t>
  </si>
  <si>
    <t>Calcano</t>
  </si>
  <si>
    <t>Almanzar</t>
  </si>
  <si>
    <t>Wrisdon</t>
  </si>
  <si>
    <t>Ruebenstahl</t>
  </si>
  <si>
    <t>Ombongo-Golden</t>
  </si>
  <si>
    <t>Sebyatika</t>
  </si>
  <si>
    <t>De Pena</t>
  </si>
  <si>
    <t>Trowell</t>
  </si>
  <si>
    <t>De Leon</t>
  </si>
  <si>
    <t>DiPaola</t>
  </si>
  <si>
    <t>Guadelupe</t>
  </si>
  <si>
    <t>Telusma</t>
  </si>
  <si>
    <t>DeLuCa</t>
  </si>
  <si>
    <t>Velazquez</t>
  </si>
  <si>
    <t>Laureano</t>
  </si>
  <si>
    <t>Rosemond</t>
  </si>
  <si>
    <t>MCKEON</t>
  </si>
  <si>
    <t>Huertas</t>
  </si>
  <si>
    <t>Carrillo</t>
  </si>
  <si>
    <t>Wallington</t>
  </si>
  <si>
    <t>McNear</t>
  </si>
  <si>
    <t>Espinosa</t>
  </si>
  <si>
    <t>De Fran</t>
  </si>
  <si>
    <t>Espinal</t>
  </si>
  <si>
    <t>Osbourne Garlington</t>
  </si>
  <si>
    <t>Dickey</t>
  </si>
  <si>
    <t>Yeasmin</t>
  </si>
  <si>
    <t>An</t>
  </si>
  <si>
    <t>Chaparro</t>
  </si>
  <si>
    <t>Diaz Quiles</t>
  </si>
  <si>
    <t>Carney</t>
  </si>
  <si>
    <t>Carvajal</t>
  </si>
  <si>
    <t>Blalock</t>
  </si>
  <si>
    <t>Vecchione</t>
  </si>
  <si>
    <t>Dupree</t>
  </si>
  <si>
    <t>Peacock</t>
  </si>
  <si>
    <t>Guido</t>
  </si>
  <si>
    <t>Del Rosario</t>
  </si>
  <si>
    <t>Gonell</t>
  </si>
  <si>
    <t>Floyd</t>
  </si>
  <si>
    <t>Oyola</t>
  </si>
  <si>
    <t>Fowler</t>
  </si>
  <si>
    <t>Doolen</t>
  </si>
  <si>
    <t>Gautier</t>
  </si>
  <si>
    <t>Tillman</t>
  </si>
  <si>
    <t>Cheeks</t>
  </si>
  <si>
    <t>Jacobsen</t>
  </si>
  <si>
    <t>Simo</t>
  </si>
  <si>
    <t>Rosell</t>
  </si>
  <si>
    <t>Genao-Antonio</t>
  </si>
  <si>
    <t>Vega</t>
  </si>
  <si>
    <t>Uddin</t>
  </si>
  <si>
    <t>Aurich</t>
  </si>
  <si>
    <t>McNatt</t>
  </si>
  <si>
    <t>Parra</t>
  </si>
  <si>
    <t>Storms</t>
  </si>
  <si>
    <t>Murphy</t>
  </si>
  <si>
    <t>Arguelles</t>
  </si>
  <si>
    <t>Oliver</t>
  </si>
  <si>
    <t>Dotson</t>
  </si>
  <si>
    <t>Coburn</t>
  </si>
  <si>
    <t>DelCarmen</t>
  </si>
  <si>
    <t>Feagin</t>
  </si>
  <si>
    <t>Guthridge</t>
  </si>
  <si>
    <t>Lightle</t>
  </si>
  <si>
    <t>Tapia</t>
  </si>
  <si>
    <t>Sanguinetti</t>
  </si>
  <si>
    <t>McCune</t>
  </si>
  <si>
    <t>Bouchereau</t>
  </si>
  <si>
    <t>Grullon</t>
  </si>
  <si>
    <t>Goch</t>
  </si>
  <si>
    <t>Osorio</t>
  </si>
  <si>
    <t>Joa</t>
  </si>
  <si>
    <t>Dubresil</t>
  </si>
  <si>
    <t>Neville</t>
  </si>
  <si>
    <t>Shaffner</t>
  </si>
  <si>
    <t>Cobb</t>
  </si>
  <si>
    <t>Falilatou</t>
  </si>
  <si>
    <t>Gossett</t>
  </si>
  <si>
    <t>Perkins</t>
  </si>
  <si>
    <t>Wanko</t>
  </si>
  <si>
    <t>Sample</t>
  </si>
  <si>
    <t>Estrada</t>
  </si>
  <si>
    <t>Berrios</t>
  </si>
  <si>
    <t>Britton</t>
  </si>
  <si>
    <t>Jiminian</t>
  </si>
  <si>
    <t>Delgado-Rolon</t>
  </si>
  <si>
    <t>Dones</t>
  </si>
  <si>
    <t>Horning</t>
  </si>
  <si>
    <t>Belches</t>
  </si>
  <si>
    <t>Holder</t>
  </si>
  <si>
    <t>Minot</t>
  </si>
  <si>
    <t>Polanco</t>
  </si>
  <si>
    <t>Valerio</t>
  </si>
  <si>
    <t>Parada</t>
  </si>
  <si>
    <t>Brea</t>
  </si>
  <si>
    <t>Murillo</t>
  </si>
  <si>
    <t>Toribio</t>
  </si>
  <si>
    <t>Keitt</t>
  </si>
  <si>
    <t>Ospina</t>
  </si>
  <si>
    <t>Read</t>
  </si>
  <si>
    <t>Valentin</t>
  </si>
  <si>
    <t>Long</t>
  </si>
  <si>
    <t>Rolon</t>
  </si>
  <si>
    <t>Sperraza</t>
  </si>
  <si>
    <t>Orlic</t>
  </si>
  <si>
    <t>Dhanraj Smith</t>
  </si>
  <si>
    <t>PICCOLI</t>
  </si>
  <si>
    <t>Boyer</t>
  </si>
  <si>
    <t>Andujar</t>
  </si>
  <si>
    <t>Hovey</t>
  </si>
  <si>
    <t>Stevens</t>
  </si>
  <si>
    <t>Nerys</t>
  </si>
  <si>
    <t>Ponce</t>
  </si>
  <si>
    <t>Hudson</t>
  </si>
  <si>
    <t>Goode</t>
  </si>
  <si>
    <t>DePompo</t>
  </si>
  <si>
    <t>Estremera</t>
  </si>
  <si>
    <t>Calix</t>
  </si>
  <si>
    <t>Ashmid</t>
  </si>
  <si>
    <t>Coley</t>
  </si>
  <si>
    <t>Vallejo</t>
  </si>
  <si>
    <t>Bestman</t>
  </si>
  <si>
    <t>Monrose</t>
  </si>
  <si>
    <t>Bracy</t>
  </si>
  <si>
    <t>Arouna</t>
  </si>
  <si>
    <t>Tsimaras</t>
  </si>
  <si>
    <t>Minier</t>
  </si>
  <si>
    <t>Boone</t>
  </si>
  <si>
    <t>Arce</t>
  </si>
  <si>
    <t>Elliott</t>
  </si>
  <si>
    <t>Butler Colon</t>
  </si>
  <si>
    <t>Gomes</t>
  </si>
  <si>
    <t>Riccobono</t>
  </si>
  <si>
    <t>Lemelin</t>
  </si>
  <si>
    <t>Triola</t>
  </si>
  <si>
    <t>Pizicas</t>
  </si>
  <si>
    <t>Mirambeaux</t>
  </si>
  <si>
    <t>Meeks</t>
  </si>
  <si>
    <t>Bockman</t>
  </si>
  <si>
    <t>Omolayo</t>
  </si>
  <si>
    <t>Tomala</t>
  </si>
  <si>
    <t>Rosavilela</t>
  </si>
  <si>
    <t>Respes</t>
  </si>
  <si>
    <t>Fagan</t>
  </si>
  <si>
    <t>Cheng</t>
  </si>
  <si>
    <t>Werts</t>
  </si>
  <si>
    <t>Suazo</t>
  </si>
  <si>
    <t>Maccow</t>
  </si>
  <si>
    <t>Bozek</t>
  </si>
  <si>
    <t>Shabazz</t>
  </si>
  <si>
    <t>Landis</t>
  </si>
  <si>
    <t>Alleyne</t>
  </si>
  <si>
    <t>Emam</t>
  </si>
  <si>
    <t>Gilliam</t>
  </si>
  <si>
    <t>Tao</t>
  </si>
  <si>
    <t>Cabral</t>
  </si>
  <si>
    <t>Minns</t>
  </si>
  <si>
    <t>Palomino</t>
  </si>
  <si>
    <t>Hinson</t>
  </si>
  <si>
    <t>Stuckey</t>
  </si>
  <si>
    <t>Gardner</t>
  </si>
  <si>
    <t>Rosas</t>
  </si>
  <si>
    <t>Bautista</t>
  </si>
  <si>
    <t>Ouedraogo</t>
  </si>
  <si>
    <t>Kinsey-Clark</t>
  </si>
  <si>
    <t>Guillebeaux</t>
  </si>
  <si>
    <t>Romain</t>
  </si>
  <si>
    <t>Carrasco</t>
  </si>
  <si>
    <t>Rodrigues</t>
  </si>
  <si>
    <t>Oliva</t>
  </si>
  <si>
    <t>Philp</t>
  </si>
  <si>
    <t>McNeill</t>
  </si>
  <si>
    <t>Li</t>
  </si>
  <si>
    <t>Adu</t>
  </si>
  <si>
    <t>Mejias</t>
  </si>
  <si>
    <t>Adlam</t>
  </si>
  <si>
    <t>Zarsuela</t>
  </si>
  <si>
    <t>Correa</t>
  </si>
  <si>
    <t>Larossa</t>
  </si>
  <si>
    <t>Bowen</t>
  </si>
  <si>
    <t>Faini</t>
  </si>
  <si>
    <t>Miner</t>
  </si>
  <si>
    <t>Hough</t>
  </si>
  <si>
    <t>Parken</t>
  </si>
  <si>
    <t>Martinez Guzman</t>
  </si>
  <si>
    <t>Goffe</t>
  </si>
  <si>
    <t>Alamo</t>
  </si>
  <si>
    <t>Webster-Blair</t>
  </si>
  <si>
    <t>Odems</t>
  </si>
  <si>
    <t>Lindsey</t>
  </si>
  <si>
    <t>Marizan</t>
  </si>
  <si>
    <t>Gual</t>
  </si>
  <si>
    <t>Pinnock</t>
  </si>
  <si>
    <t>Rondon</t>
  </si>
  <si>
    <t>Fullard</t>
  </si>
  <si>
    <t>Chestnut</t>
  </si>
  <si>
    <t>Saravia</t>
  </si>
  <si>
    <t>Kirama</t>
  </si>
  <si>
    <t>Jose Rosado</t>
  </si>
  <si>
    <t>Whiten</t>
  </si>
  <si>
    <t>Gadaou</t>
  </si>
  <si>
    <t>Gerber</t>
  </si>
  <si>
    <t>McKinnon</t>
  </si>
  <si>
    <t>Horsham</t>
  </si>
  <si>
    <t>Zou</t>
  </si>
  <si>
    <t>de Souza-King</t>
  </si>
  <si>
    <t>Gittens</t>
  </si>
  <si>
    <t>Nassralla</t>
  </si>
  <si>
    <t>Snipes</t>
  </si>
  <si>
    <t>Springer</t>
  </si>
  <si>
    <t>Pereyra</t>
  </si>
  <si>
    <t>Cintron Cosme</t>
  </si>
  <si>
    <t>Fagen</t>
  </si>
  <si>
    <t>Choe</t>
  </si>
  <si>
    <t>Trujillo</t>
  </si>
  <si>
    <t>Castro- Escarraman</t>
  </si>
  <si>
    <t>Arellano</t>
  </si>
  <si>
    <t>Stubbs</t>
  </si>
  <si>
    <t>Hydara</t>
  </si>
  <si>
    <t>Marajh</t>
  </si>
  <si>
    <t>Charneco</t>
  </si>
  <si>
    <t>Guerin</t>
  </si>
  <si>
    <t>Surie Veras</t>
  </si>
  <si>
    <t>Millan</t>
  </si>
  <si>
    <t>Satous</t>
  </si>
  <si>
    <t>Waithe</t>
  </si>
  <si>
    <t>leonard</t>
  </si>
  <si>
    <t>Delaney</t>
  </si>
  <si>
    <t>Medrano</t>
  </si>
  <si>
    <t>Ashwood</t>
  </si>
  <si>
    <t>Sandoval</t>
  </si>
  <si>
    <t>Jalloh</t>
  </si>
  <si>
    <t>Mo</t>
  </si>
  <si>
    <t>Gaumond</t>
  </si>
  <si>
    <t>Abdu-Shahid</t>
  </si>
  <si>
    <t>Owens</t>
  </si>
  <si>
    <t>Pratt</t>
  </si>
  <si>
    <t>Augustus</t>
  </si>
  <si>
    <t>Bethea</t>
  </si>
  <si>
    <t>Denton</t>
  </si>
  <si>
    <t>Price</t>
  </si>
  <si>
    <t>Walcott</t>
  </si>
  <si>
    <t>Regis</t>
  </si>
  <si>
    <t>Sultana</t>
  </si>
  <si>
    <t>Fadeyi</t>
  </si>
  <si>
    <t>Bardai</t>
  </si>
  <si>
    <t>Musillo</t>
  </si>
  <si>
    <t>Rosas-Mejia</t>
  </si>
  <si>
    <t>Gassama</t>
  </si>
  <si>
    <t>Luna</t>
  </si>
  <si>
    <t>Uriel</t>
  </si>
  <si>
    <t>German</t>
  </si>
  <si>
    <t>Nublett</t>
  </si>
  <si>
    <t>Barry</t>
  </si>
  <si>
    <t>Bamaca</t>
  </si>
  <si>
    <t>Nembhard</t>
  </si>
  <si>
    <t>Hickson</t>
  </si>
  <si>
    <t>Fong</t>
  </si>
  <si>
    <t>Solis Verdesoto</t>
  </si>
  <si>
    <t>Francois</t>
  </si>
  <si>
    <t>Berkeley</t>
  </si>
  <si>
    <t>Nixon</t>
  </si>
  <si>
    <t>Lentini</t>
  </si>
  <si>
    <t>Hayes</t>
  </si>
  <si>
    <t>McCool</t>
  </si>
  <si>
    <t>Custodio</t>
  </si>
  <si>
    <t>Vallecillo</t>
  </si>
  <si>
    <t>Rosales</t>
  </si>
  <si>
    <t>Ebanks</t>
  </si>
  <si>
    <t>Douglas</t>
  </si>
  <si>
    <t>Thiam</t>
  </si>
  <si>
    <t>Tweel</t>
  </si>
  <si>
    <t>Stokes</t>
  </si>
  <si>
    <t>Di Giorno</t>
  </si>
  <si>
    <t>Bonneau</t>
  </si>
  <si>
    <t>Orta</t>
  </si>
  <si>
    <t>Avecillas</t>
  </si>
  <si>
    <t>Carroll</t>
  </si>
  <si>
    <t>Mickens</t>
  </si>
  <si>
    <t>Huitzil Paleta</t>
  </si>
  <si>
    <t>McLawrence</t>
  </si>
  <si>
    <t>Azanero</t>
  </si>
  <si>
    <t>Oropeza</t>
  </si>
  <si>
    <t>Buntin</t>
  </si>
  <si>
    <t>Grullon Pena</t>
  </si>
  <si>
    <t>Knight</t>
  </si>
  <si>
    <t>Portes</t>
  </si>
  <si>
    <t>Novas</t>
  </si>
  <si>
    <t>Figaro</t>
  </si>
  <si>
    <t>Gainer</t>
  </si>
  <si>
    <t>Taylor Toulson</t>
  </si>
  <si>
    <t>Tzul-Pacheco</t>
  </si>
  <si>
    <t>Bostick</t>
  </si>
  <si>
    <t>Varela</t>
  </si>
  <si>
    <t>Deoleo</t>
  </si>
  <si>
    <t>Penn</t>
  </si>
  <si>
    <t>Dickerson</t>
  </si>
  <si>
    <t>Hawkins</t>
  </si>
  <si>
    <t>Asencio</t>
  </si>
  <si>
    <t>Pardo</t>
  </si>
  <si>
    <t>Dunn-Moodie</t>
  </si>
  <si>
    <t>Rollock</t>
  </si>
  <si>
    <t>Weekes</t>
  </si>
  <si>
    <t>Vanable</t>
  </si>
  <si>
    <t>Wallace</t>
  </si>
  <si>
    <t>Seye</t>
  </si>
  <si>
    <t>Galindo</t>
  </si>
  <si>
    <t>Scippio</t>
  </si>
  <si>
    <t>Inciarrano</t>
  </si>
  <si>
    <t>Harris - Fenton</t>
  </si>
  <si>
    <t>Guerra</t>
  </si>
  <si>
    <t>Madden</t>
  </si>
  <si>
    <t>Warfield</t>
  </si>
  <si>
    <t>Steele</t>
  </si>
  <si>
    <t>Rosello</t>
  </si>
  <si>
    <t>Bouzid</t>
  </si>
  <si>
    <t>Leget</t>
  </si>
  <si>
    <t>Audain</t>
  </si>
  <si>
    <t>Pimentel</t>
  </si>
  <si>
    <t>Caesar</t>
  </si>
  <si>
    <t>Woodall</t>
  </si>
  <si>
    <t>Summers</t>
  </si>
  <si>
    <t>Scalia</t>
  </si>
  <si>
    <t>Millerick</t>
  </si>
  <si>
    <t>Ram</t>
  </si>
  <si>
    <t>Jesup</t>
  </si>
  <si>
    <t>Ramnarine</t>
  </si>
  <si>
    <t>Marshall</t>
  </si>
  <si>
    <t>Perry</t>
  </si>
  <si>
    <t>Gutierrez</t>
  </si>
  <si>
    <t>Laikin</t>
  </si>
  <si>
    <t>Ferreira</t>
  </si>
  <si>
    <t>Kreimer</t>
  </si>
  <si>
    <t>Vielot</t>
  </si>
  <si>
    <t>Ruddock</t>
  </si>
  <si>
    <t>Mesa</t>
  </si>
  <si>
    <t>Soumahoro</t>
  </si>
  <si>
    <t>Ziegler</t>
  </si>
  <si>
    <t>Ohanian</t>
  </si>
  <si>
    <t>Love Garris</t>
  </si>
  <si>
    <t>McDuffie</t>
  </si>
  <si>
    <t>Whetstone</t>
  </si>
  <si>
    <t>Saquic</t>
  </si>
  <si>
    <t>Baptiste</t>
  </si>
  <si>
    <t>Pestano</t>
  </si>
  <si>
    <t>Deterville</t>
  </si>
  <si>
    <t>Jeffries</t>
  </si>
  <si>
    <t>Charles Garrett</t>
  </si>
  <si>
    <t>Carreras</t>
  </si>
  <si>
    <t>KHAN</t>
  </si>
  <si>
    <t>Benitez</t>
  </si>
  <si>
    <t>Dunn</t>
  </si>
  <si>
    <t>Seongbae</t>
  </si>
  <si>
    <t>Mata</t>
  </si>
  <si>
    <t>Tidwell</t>
  </si>
  <si>
    <t>Ledesma</t>
  </si>
  <si>
    <t>Cheuque</t>
  </si>
  <si>
    <t>Luzon</t>
  </si>
  <si>
    <t>Lin</t>
  </si>
  <si>
    <t>Salazar</t>
  </si>
  <si>
    <t>Morman</t>
  </si>
  <si>
    <t>Strickland</t>
  </si>
  <si>
    <t>Lala</t>
  </si>
  <si>
    <t>Portella</t>
  </si>
  <si>
    <t>Weinstein</t>
  </si>
  <si>
    <t>Fletcher</t>
  </si>
  <si>
    <t>Deare</t>
  </si>
  <si>
    <t>Vanterpool</t>
  </si>
  <si>
    <t>Dingle</t>
  </si>
  <si>
    <t>Irizarry-Jacobs</t>
  </si>
  <si>
    <t>Girard</t>
  </si>
  <si>
    <t>Elvy</t>
  </si>
  <si>
    <t>Bido</t>
  </si>
  <si>
    <t>O'Conner Middleton</t>
  </si>
  <si>
    <t>Cortez</t>
  </si>
  <si>
    <t>Cintron</t>
  </si>
  <si>
    <t>Caquias Ramos</t>
  </si>
  <si>
    <t>Recinos</t>
  </si>
  <si>
    <t>Christinis</t>
  </si>
  <si>
    <t>Diabate</t>
  </si>
  <si>
    <t>Yakubov</t>
  </si>
  <si>
    <t>Swartzon</t>
  </si>
  <si>
    <t>Fordham</t>
  </si>
  <si>
    <t>Easterlin</t>
  </si>
  <si>
    <t>Soriano</t>
  </si>
  <si>
    <t>Haughton</t>
  </si>
  <si>
    <t>Saylor</t>
  </si>
  <si>
    <t>Beckles</t>
  </si>
  <si>
    <t>Pryce</t>
  </si>
  <si>
    <t>Bedoya</t>
  </si>
  <si>
    <t>Bowie</t>
  </si>
  <si>
    <t>Locklear</t>
  </si>
  <si>
    <t>Pareja</t>
  </si>
  <si>
    <t>Cox</t>
  </si>
  <si>
    <t>Deas</t>
  </si>
  <si>
    <t>McQuilkin</t>
  </si>
  <si>
    <t>Ojebe</t>
  </si>
  <si>
    <t>Eshkenazi</t>
  </si>
  <si>
    <t>Rocha</t>
  </si>
  <si>
    <t>Machioudi</t>
  </si>
  <si>
    <t>Almaguer</t>
  </si>
  <si>
    <t>McCall</t>
  </si>
  <si>
    <t>Pearson</t>
  </si>
  <si>
    <t>Holliday</t>
  </si>
  <si>
    <t>Calabrese</t>
  </si>
  <si>
    <t>Sosa Salcedo</t>
  </si>
  <si>
    <t>Sancya</t>
  </si>
  <si>
    <t>Hargett</t>
  </si>
  <si>
    <t>Sillah</t>
  </si>
  <si>
    <t>Moona</t>
  </si>
  <si>
    <t>Lightstone</t>
  </si>
  <si>
    <t>D'Agenlo</t>
  </si>
  <si>
    <t>Pandya</t>
  </si>
  <si>
    <t>Potter</t>
  </si>
  <si>
    <t>Cardena</t>
  </si>
  <si>
    <t>Seelig</t>
  </si>
  <si>
    <t>Salas</t>
  </si>
  <si>
    <t>Ahamed</t>
  </si>
  <si>
    <t>Avalo</t>
  </si>
  <si>
    <t>Yearwood</t>
  </si>
  <si>
    <t>Teye-Okofo</t>
  </si>
  <si>
    <t>Mazara</t>
  </si>
  <si>
    <t>Phung</t>
  </si>
  <si>
    <t>Flowers</t>
  </si>
  <si>
    <t>Malu</t>
  </si>
  <si>
    <t>Hichez Medina</t>
  </si>
  <si>
    <t>Rolling</t>
  </si>
  <si>
    <t>Pujols</t>
  </si>
  <si>
    <t>Madera</t>
  </si>
  <si>
    <t>Furs</t>
  </si>
  <si>
    <t>Riley</t>
  </si>
  <si>
    <t>Hopson</t>
  </si>
  <si>
    <t>Boylan</t>
  </si>
  <si>
    <t>Garcia-Carrazco</t>
  </si>
  <si>
    <t>Piedrahita</t>
  </si>
  <si>
    <t>Fields</t>
  </si>
  <si>
    <t>Agard</t>
  </si>
  <si>
    <t>Muller-Cowan</t>
  </si>
  <si>
    <t>Poteat</t>
  </si>
  <si>
    <t>Samuels</t>
  </si>
  <si>
    <t>Nahar</t>
  </si>
  <si>
    <t>Akbar</t>
  </si>
  <si>
    <t>Nimmons</t>
  </si>
  <si>
    <t>Soskind</t>
  </si>
  <si>
    <t>Schaller</t>
  </si>
  <si>
    <t>Lora</t>
  </si>
  <si>
    <t>Wainwright</t>
  </si>
  <si>
    <t>Cramer</t>
  </si>
  <si>
    <t>Gaton</t>
  </si>
  <si>
    <t>Lockett</t>
  </si>
  <si>
    <t>Bookman</t>
  </si>
  <si>
    <t>Hines</t>
  </si>
  <si>
    <t>Yip</t>
  </si>
  <si>
    <t>Vaca</t>
  </si>
  <si>
    <t>Campos</t>
  </si>
  <si>
    <t>Morningstar</t>
  </si>
  <si>
    <t>Willocle</t>
  </si>
  <si>
    <t>Gregoire</t>
  </si>
  <si>
    <t>Sayers Joseph</t>
  </si>
  <si>
    <t>Weitzman</t>
  </si>
  <si>
    <t>Emanuel</t>
  </si>
  <si>
    <t>Marrone</t>
  </si>
  <si>
    <t>Gambino</t>
  </si>
  <si>
    <t>Christmas</t>
  </si>
  <si>
    <t>Mims</t>
  </si>
  <si>
    <t>Colinet</t>
  </si>
  <si>
    <t>Birney</t>
  </si>
  <si>
    <t>Harmon</t>
  </si>
  <si>
    <t>Dorsey</t>
  </si>
  <si>
    <t>Rock</t>
  </si>
  <si>
    <t>Rosquist</t>
  </si>
  <si>
    <t>Sarak</t>
  </si>
  <si>
    <t>Owolabi</t>
  </si>
  <si>
    <t>Yumor</t>
  </si>
  <si>
    <t>McNish</t>
  </si>
  <si>
    <t>Tineo</t>
  </si>
  <si>
    <t>Chancy</t>
  </si>
  <si>
    <t>Marte</t>
  </si>
  <si>
    <t>Scott-Biris</t>
  </si>
  <si>
    <t>Samura</t>
  </si>
  <si>
    <t>Huston</t>
  </si>
  <si>
    <t>Coronel</t>
  </si>
  <si>
    <t>Michelus</t>
  </si>
  <si>
    <t>Hazell</t>
  </si>
  <si>
    <t>Silva Sideris</t>
  </si>
  <si>
    <t>Chavarria</t>
  </si>
  <si>
    <t>Pek</t>
  </si>
  <si>
    <t>Hostos</t>
  </si>
  <si>
    <t>Yacolino</t>
  </si>
  <si>
    <t>Rice</t>
  </si>
  <si>
    <t>sanchez</t>
  </si>
  <si>
    <t>Egunen</t>
  </si>
  <si>
    <t>Hatcher</t>
  </si>
  <si>
    <t>Alam</t>
  </si>
  <si>
    <t>CHOUNG</t>
  </si>
  <si>
    <t>Mead</t>
  </si>
  <si>
    <t>Monroe</t>
  </si>
  <si>
    <t>Suissa</t>
  </si>
  <si>
    <t>Gbarlea</t>
  </si>
  <si>
    <t>Omadhan</t>
  </si>
  <si>
    <t>Echenique</t>
  </si>
  <si>
    <t>Almestica</t>
  </si>
  <si>
    <t>Bennett</t>
  </si>
  <si>
    <t>Adeleye</t>
  </si>
  <si>
    <t>Lynch</t>
  </si>
  <si>
    <t>Maxey</t>
  </si>
  <si>
    <t>Smiley</t>
  </si>
  <si>
    <t>Meetze</t>
  </si>
  <si>
    <t>Cuesta-Guiffre</t>
  </si>
  <si>
    <t>Watt</t>
  </si>
  <si>
    <t>Scales</t>
  </si>
  <si>
    <t>Munroe</t>
  </si>
  <si>
    <t>Magloire</t>
  </si>
  <si>
    <t>Farrell</t>
  </si>
  <si>
    <t>Olabiyi</t>
  </si>
  <si>
    <t>Henriquez</t>
  </si>
  <si>
    <t>Pompeu</t>
  </si>
  <si>
    <t>Huerta</t>
  </si>
  <si>
    <t>Muia</t>
  </si>
  <si>
    <t>Singh</t>
  </si>
  <si>
    <t>Biggs</t>
  </si>
  <si>
    <t>Blondet</t>
  </si>
  <si>
    <t>Debnam</t>
  </si>
  <si>
    <t>Marrow</t>
  </si>
  <si>
    <t>Weiner</t>
  </si>
  <si>
    <t>Madison</t>
  </si>
  <si>
    <t>Swaray</t>
  </si>
  <si>
    <t>Loadholt</t>
  </si>
  <si>
    <t>Noe</t>
  </si>
  <si>
    <t>Cherry-Donaldson</t>
  </si>
  <si>
    <t>Sanders</t>
  </si>
  <si>
    <t>Robletto</t>
  </si>
  <si>
    <t>Choy</t>
  </si>
  <si>
    <t>Carrington</t>
  </si>
  <si>
    <t>Vicidomini</t>
  </si>
  <si>
    <t>Lyashchenko</t>
  </si>
  <si>
    <t>Chatman</t>
  </si>
  <si>
    <t>Speer</t>
  </si>
  <si>
    <t>Asante</t>
  </si>
  <si>
    <t>Cadet</t>
  </si>
  <si>
    <t>Lino</t>
  </si>
  <si>
    <t>Browne-James</t>
  </si>
  <si>
    <t>Cuevas Espinoza</t>
  </si>
  <si>
    <t>Young-Mark</t>
  </si>
  <si>
    <t>Romero Castro</t>
  </si>
  <si>
    <t>Spielmann</t>
  </si>
  <si>
    <t>Steptoe</t>
  </si>
  <si>
    <t>Wikstrom</t>
  </si>
  <si>
    <t>Malanik</t>
  </si>
  <si>
    <t>Jang</t>
  </si>
  <si>
    <t>Arcentales</t>
  </si>
  <si>
    <t>England</t>
  </si>
  <si>
    <t>Larson</t>
  </si>
  <si>
    <t>Wortman</t>
  </si>
  <si>
    <t>Fiallos</t>
  </si>
  <si>
    <t>Alkhassane</t>
  </si>
  <si>
    <t>Blamo</t>
  </si>
  <si>
    <t>McCowin</t>
  </si>
  <si>
    <t>Mamolar</t>
  </si>
  <si>
    <t>Chowdhury</t>
  </si>
  <si>
    <t>Weche</t>
  </si>
  <si>
    <t>Thompson-Dean Bailey</t>
  </si>
  <si>
    <t>Izquierdo</t>
  </si>
  <si>
    <t>Wray</t>
  </si>
  <si>
    <t>Groce</t>
  </si>
  <si>
    <t>Theme</t>
  </si>
  <si>
    <t>Portuondo</t>
  </si>
  <si>
    <t>Neal</t>
  </si>
  <si>
    <t>Bawuah</t>
  </si>
  <si>
    <t>Sandiford</t>
  </si>
  <si>
    <t>Guilaouogui</t>
  </si>
  <si>
    <t>Valverde</t>
  </si>
  <si>
    <t>Hartzog</t>
  </si>
  <si>
    <t>Nassar</t>
  </si>
  <si>
    <t>Companzano</t>
  </si>
  <si>
    <t>Defreitas</t>
  </si>
  <si>
    <t>Irizzary</t>
  </si>
  <si>
    <t>Eady</t>
  </si>
  <si>
    <t>Palaez</t>
  </si>
  <si>
    <t>de Torres</t>
  </si>
  <si>
    <t>Pickens</t>
  </si>
  <si>
    <t>Lawal</t>
  </si>
  <si>
    <t>Vanible</t>
  </si>
  <si>
    <t>Grant</t>
  </si>
  <si>
    <t>Sankar</t>
  </si>
  <si>
    <t>Bobea</t>
  </si>
  <si>
    <t>Hierro</t>
  </si>
  <si>
    <t>Barfield</t>
  </si>
  <si>
    <t>Kinoo</t>
  </si>
  <si>
    <t>Addison</t>
  </si>
  <si>
    <t>Waller</t>
  </si>
  <si>
    <t>Bragg</t>
  </si>
  <si>
    <t>D'Orazio</t>
  </si>
  <si>
    <t>Hooks</t>
  </si>
  <si>
    <t>Bastieu</t>
  </si>
  <si>
    <t>Hailstalk</t>
  </si>
  <si>
    <t>Grate</t>
  </si>
  <si>
    <t>Small</t>
  </si>
  <si>
    <t>Glen</t>
  </si>
  <si>
    <t>Dobbelaere</t>
  </si>
  <si>
    <t>Toussaint</t>
  </si>
  <si>
    <t>Truick</t>
  </si>
  <si>
    <t>Schwartz</t>
  </si>
  <si>
    <t>Blake</t>
  </si>
  <si>
    <t>Jahangir Hossain</t>
  </si>
  <si>
    <t>Dor</t>
  </si>
  <si>
    <t>DelRio</t>
  </si>
  <si>
    <t>Opare</t>
  </si>
  <si>
    <t>Monserrate</t>
  </si>
  <si>
    <t>Gonzales</t>
  </si>
  <si>
    <t>MacPepple</t>
  </si>
  <si>
    <t>Seabrooks</t>
  </si>
  <si>
    <t>Oliveros</t>
  </si>
  <si>
    <t>Sealy</t>
  </si>
  <si>
    <t>Villalona</t>
  </si>
  <si>
    <t>Vlado</t>
  </si>
  <si>
    <t>De la Rosa</t>
  </si>
  <si>
    <t>Serpa</t>
  </si>
  <si>
    <t>Spurgeon</t>
  </si>
  <si>
    <t>Waul</t>
  </si>
  <si>
    <t>de Estevez</t>
  </si>
  <si>
    <t>Webber</t>
  </si>
  <si>
    <t>Fitzgerald</t>
  </si>
  <si>
    <t>Vegazo</t>
  </si>
  <si>
    <t>Irizarry</t>
  </si>
  <si>
    <t>Lantigua-Franco</t>
  </si>
  <si>
    <t>Mosquera</t>
  </si>
  <si>
    <t>Zhao</t>
  </si>
  <si>
    <t>Korostyshevskiy</t>
  </si>
  <si>
    <t>Cliford</t>
  </si>
  <si>
    <t>Compton</t>
  </si>
  <si>
    <t>Konzelman</t>
  </si>
  <si>
    <t>Bensai</t>
  </si>
  <si>
    <t>Bancroft</t>
  </si>
  <si>
    <t>Mena</t>
  </si>
  <si>
    <t>Clare</t>
  </si>
  <si>
    <t>Wiggins</t>
  </si>
  <si>
    <t>Bowe</t>
  </si>
  <si>
    <t>Diaz Guadalupe</t>
  </si>
  <si>
    <t>Cano</t>
  </si>
  <si>
    <t>Roach</t>
  </si>
  <si>
    <t>Littles</t>
  </si>
  <si>
    <t>Polo</t>
  </si>
  <si>
    <t>Holland Upsher</t>
  </si>
  <si>
    <t>Reinoso</t>
  </si>
  <si>
    <t>Cousins</t>
  </si>
  <si>
    <t>Serrata</t>
  </si>
  <si>
    <t>Singley</t>
  </si>
  <si>
    <t>Cribillero</t>
  </si>
  <si>
    <t>Billini</t>
  </si>
  <si>
    <t>Amurrio</t>
  </si>
  <si>
    <t>Prater</t>
  </si>
  <si>
    <t>Heslin</t>
  </si>
  <si>
    <t>Coello</t>
  </si>
  <si>
    <t>Seymore</t>
  </si>
  <si>
    <t>Nagaki</t>
  </si>
  <si>
    <t>Ramdath</t>
  </si>
  <si>
    <t>Cousin</t>
  </si>
  <si>
    <t>Ackah</t>
  </si>
  <si>
    <t>Corporan</t>
  </si>
  <si>
    <t>Brujan</t>
  </si>
  <si>
    <t>Flete</t>
  </si>
  <si>
    <t>Bah</t>
  </si>
  <si>
    <t>Gaviria</t>
  </si>
  <si>
    <t>Linsalato</t>
  </si>
  <si>
    <t>Hinkson</t>
  </si>
  <si>
    <t>Santero</t>
  </si>
  <si>
    <t>Fallah</t>
  </si>
  <si>
    <t>Welch</t>
  </si>
  <si>
    <t>Soliman</t>
  </si>
  <si>
    <t>Lewin</t>
  </si>
  <si>
    <t>Gillen</t>
  </si>
  <si>
    <t>Thorn Taber</t>
  </si>
  <si>
    <t>Sancho</t>
  </si>
  <si>
    <t>Keene</t>
  </si>
  <si>
    <t>McKay</t>
  </si>
  <si>
    <t>Muhammad</t>
  </si>
  <si>
    <t>Metayer</t>
  </si>
  <si>
    <t>Sierra</t>
  </si>
  <si>
    <t>Saglembeni</t>
  </si>
  <si>
    <t>Sidorovich</t>
  </si>
  <si>
    <t>Palmer</t>
  </si>
  <si>
    <t>Addae</t>
  </si>
  <si>
    <t>Giannatasio</t>
  </si>
  <si>
    <t>Fare</t>
  </si>
  <si>
    <t>Hardamon</t>
  </si>
  <si>
    <t>Ruffin-Robinson</t>
  </si>
  <si>
    <t>Weber</t>
  </si>
  <si>
    <t>Harewood</t>
  </si>
  <si>
    <t>Brewer</t>
  </si>
  <si>
    <t>Allums</t>
  </si>
  <si>
    <t>Cumberbatch</t>
  </si>
  <si>
    <t>Bonilla</t>
  </si>
  <si>
    <t>Stafford</t>
  </si>
  <si>
    <t>Hogan</t>
  </si>
  <si>
    <t>Jiang</t>
  </si>
  <si>
    <t>Shelton</t>
  </si>
  <si>
    <t>Dabu</t>
  </si>
  <si>
    <t>Poirier</t>
  </si>
  <si>
    <t>Hairston</t>
  </si>
  <si>
    <t>Ganz</t>
  </si>
  <si>
    <t>SUAREZ</t>
  </si>
  <si>
    <t>Talukdar</t>
  </si>
  <si>
    <t>Sumpter</t>
  </si>
  <si>
    <t>Canton</t>
  </si>
  <si>
    <t>Lisbon</t>
  </si>
  <si>
    <t>Mcgowan</t>
  </si>
  <si>
    <t>McKellar</t>
  </si>
  <si>
    <t>Abiodun</t>
  </si>
  <si>
    <t>Dufflart</t>
  </si>
  <si>
    <t>Canales</t>
  </si>
  <si>
    <t>Mays</t>
  </si>
  <si>
    <t>Altreche</t>
  </si>
  <si>
    <t>Clemons</t>
  </si>
  <si>
    <t>Akilov</t>
  </si>
  <si>
    <t>Oyebade</t>
  </si>
  <si>
    <t>Paraison</t>
  </si>
  <si>
    <t>Farrar</t>
  </si>
  <si>
    <t>Ma</t>
  </si>
  <si>
    <t>Lotmore</t>
  </si>
  <si>
    <t>Perera</t>
  </si>
  <si>
    <t>Arnold</t>
  </si>
  <si>
    <t>Thornhill- Kinch</t>
  </si>
  <si>
    <t>Rodriguez Rodado</t>
  </si>
  <si>
    <t>Qiu</t>
  </si>
  <si>
    <t>Zaman</t>
  </si>
  <si>
    <t>Alston</t>
  </si>
  <si>
    <t>St. Jean</t>
  </si>
  <si>
    <t>Basile</t>
  </si>
  <si>
    <t>Fernandez-McCall</t>
  </si>
  <si>
    <t>Nilsen</t>
  </si>
  <si>
    <t>Acosta-De la Cruz</t>
  </si>
  <si>
    <t>Soler</t>
  </si>
  <si>
    <t>Lowery</t>
  </si>
  <si>
    <t>Escobar</t>
  </si>
  <si>
    <t>Morain</t>
  </si>
  <si>
    <t>Ogutu</t>
  </si>
  <si>
    <t>Bodie</t>
  </si>
  <si>
    <t>Ripalda</t>
  </si>
  <si>
    <t>Hiraldo</t>
  </si>
  <si>
    <t>Ellis</t>
  </si>
  <si>
    <t>Icobelli</t>
  </si>
  <si>
    <t>Nwaoha</t>
  </si>
  <si>
    <t>Pichardo</t>
  </si>
  <si>
    <t>Nunez de Arias</t>
  </si>
  <si>
    <t>Ullah</t>
  </si>
  <si>
    <t>Levi</t>
  </si>
  <si>
    <t>Wellington</t>
  </si>
  <si>
    <t>Cain</t>
  </si>
  <si>
    <t>Carmona</t>
  </si>
  <si>
    <t>Haynes</t>
  </si>
  <si>
    <t>Heard</t>
  </si>
  <si>
    <t>Berreta</t>
  </si>
  <si>
    <t>Fernanadez</t>
  </si>
  <si>
    <t>Orona</t>
  </si>
  <si>
    <t>Onwuachi</t>
  </si>
  <si>
    <t>Baity</t>
  </si>
  <si>
    <t>Terris</t>
  </si>
  <si>
    <t>Pascual</t>
  </si>
  <si>
    <t>Morton</t>
  </si>
  <si>
    <t>Grayaa</t>
  </si>
  <si>
    <t>Frost</t>
  </si>
  <si>
    <t>Ye</t>
  </si>
  <si>
    <t>Tao Tao</t>
  </si>
  <si>
    <t>Matty</t>
  </si>
  <si>
    <t>Cole</t>
  </si>
  <si>
    <t>Leger</t>
  </si>
  <si>
    <t>Hoezadey</t>
  </si>
  <si>
    <t>Fite</t>
  </si>
  <si>
    <t>Faulk</t>
  </si>
  <si>
    <t>Condon</t>
  </si>
  <si>
    <t>French</t>
  </si>
  <si>
    <t>Marquez</t>
  </si>
  <si>
    <t>Soacha</t>
  </si>
  <si>
    <t>Benjumea</t>
  </si>
  <si>
    <t>Pou</t>
  </si>
  <si>
    <t>Santorelli</t>
  </si>
  <si>
    <t>Schneider</t>
  </si>
  <si>
    <t>Dunkin</t>
  </si>
  <si>
    <t>Villalba</t>
  </si>
  <si>
    <t>Alcequier</t>
  </si>
  <si>
    <t>Schwing</t>
  </si>
  <si>
    <t>Bueno</t>
  </si>
  <si>
    <t>Burgas</t>
  </si>
  <si>
    <t>Peterkin</t>
  </si>
  <si>
    <t>Cancel</t>
  </si>
  <si>
    <t>Zorrilla</t>
  </si>
  <si>
    <t>Zarate</t>
  </si>
  <si>
    <t>Fontanez</t>
  </si>
  <si>
    <t>Khanam</t>
  </si>
  <si>
    <t>Magny</t>
  </si>
  <si>
    <t>Wu</t>
  </si>
  <si>
    <t>Saint-Pierre</t>
  </si>
  <si>
    <t>Blanchard</t>
  </si>
  <si>
    <t>Williamson</t>
  </si>
  <si>
    <t>Haduch</t>
  </si>
  <si>
    <t>Larkin</t>
  </si>
  <si>
    <t>Chavis</t>
  </si>
  <si>
    <t>Deeges</t>
  </si>
  <si>
    <t>Glenn</t>
  </si>
  <si>
    <t>Montoya</t>
  </si>
  <si>
    <t>Hucey</t>
  </si>
  <si>
    <t>Thacher</t>
  </si>
  <si>
    <t>Hinton</t>
  </si>
  <si>
    <t>Adshead</t>
  </si>
  <si>
    <t>Blanc</t>
  </si>
  <si>
    <t>Harsch</t>
  </si>
  <si>
    <t>Carrasquillo</t>
  </si>
  <si>
    <t>loadholt</t>
  </si>
  <si>
    <t>Kelley</t>
  </si>
  <si>
    <t>Mola</t>
  </si>
  <si>
    <t>Dupre</t>
  </si>
  <si>
    <t>Miller Moore</t>
  </si>
  <si>
    <t>Haywood</t>
  </si>
  <si>
    <t>Layens</t>
  </si>
  <si>
    <t>Khoudp</t>
  </si>
  <si>
    <t>Galvan</t>
  </si>
  <si>
    <t>Schrader</t>
  </si>
  <si>
    <t>Edwards-Joseph</t>
  </si>
  <si>
    <t>Fuqua</t>
  </si>
  <si>
    <t>McGreer</t>
  </si>
  <si>
    <t>Diakite</t>
  </si>
  <si>
    <t>Bolanos</t>
  </si>
  <si>
    <t>Bello</t>
  </si>
  <si>
    <t>Cerio</t>
  </si>
  <si>
    <t>Vega-Garcia</t>
  </si>
  <si>
    <t>Guillem</t>
  </si>
  <si>
    <t>Moran</t>
  </si>
  <si>
    <t>Govan</t>
  </si>
  <si>
    <t>Kerwick</t>
  </si>
  <si>
    <t>Canjura</t>
  </si>
  <si>
    <t>Salzman</t>
  </si>
  <si>
    <t>Tirado</t>
  </si>
  <si>
    <t>Schaer</t>
  </si>
  <si>
    <t>D. Chauca</t>
  </si>
  <si>
    <t>Wilkinson</t>
  </si>
  <si>
    <t>Smartt</t>
  </si>
  <si>
    <t>Otero</t>
  </si>
  <si>
    <t>Stephenson</t>
  </si>
  <si>
    <t>Pittman</t>
  </si>
  <si>
    <t>Araile</t>
  </si>
  <si>
    <t>Richter</t>
  </si>
  <si>
    <t>Weston</t>
  </si>
  <si>
    <t>Woolford</t>
  </si>
  <si>
    <t>Nuredin</t>
  </si>
  <si>
    <t>Wojtylak</t>
  </si>
  <si>
    <t>Joakim</t>
  </si>
  <si>
    <t>Almonor</t>
  </si>
  <si>
    <t>Vergez</t>
  </si>
  <si>
    <t>Baldera</t>
  </si>
  <si>
    <t>Couvertier</t>
  </si>
  <si>
    <t>Poole</t>
  </si>
  <si>
    <t>De Pasquale</t>
  </si>
  <si>
    <t>St Louis</t>
  </si>
  <si>
    <t>Prince</t>
  </si>
  <si>
    <t>Gbeworo</t>
  </si>
  <si>
    <t>Audige</t>
  </si>
  <si>
    <t>Nistor</t>
  </si>
  <si>
    <t>Livermore</t>
  </si>
  <si>
    <t>Hoque</t>
  </si>
  <si>
    <t>Bohannon</t>
  </si>
  <si>
    <t>Gadsden</t>
  </si>
  <si>
    <t>Villar</t>
  </si>
  <si>
    <t>Laroche</t>
  </si>
  <si>
    <t>Villa-Ruiz</t>
  </si>
  <si>
    <t>Robbins</t>
  </si>
  <si>
    <t>Dewale</t>
  </si>
  <si>
    <t>Groenwood</t>
  </si>
  <si>
    <t>Sena</t>
  </si>
  <si>
    <t>Bain</t>
  </si>
  <si>
    <t>Purvis</t>
  </si>
  <si>
    <t>Foxe</t>
  </si>
  <si>
    <t>Tawiah</t>
  </si>
  <si>
    <t>Tiabo</t>
  </si>
  <si>
    <t>Sexton</t>
  </si>
  <si>
    <t>Adjeyi</t>
  </si>
  <si>
    <t>McKinney</t>
  </si>
  <si>
    <t>Aponte</t>
  </si>
  <si>
    <t>Newton</t>
  </si>
  <si>
    <t>Olabiwonnu</t>
  </si>
  <si>
    <t>Nussbaum</t>
  </si>
  <si>
    <t>Smith- Hewitt</t>
  </si>
  <si>
    <t>Mease</t>
  </si>
  <si>
    <t>Faulkner</t>
  </si>
  <si>
    <t>Andino</t>
  </si>
  <si>
    <t>Bee</t>
  </si>
  <si>
    <t>Alfuqaha</t>
  </si>
  <si>
    <t>Bowman</t>
  </si>
  <si>
    <t>Fendley</t>
  </si>
  <si>
    <t>Adigun</t>
  </si>
  <si>
    <t>Hamza</t>
  </si>
  <si>
    <t>Coleman Raybe</t>
  </si>
  <si>
    <t>Fell</t>
  </si>
  <si>
    <t>Escoto</t>
  </si>
  <si>
    <t>Sylvster</t>
  </si>
  <si>
    <t>Ramos Ceballos</t>
  </si>
  <si>
    <t>Addico</t>
  </si>
  <si>
    <t>Moultrie</t>
  </si>
  <si>
    <t>Noorata</t>
  </si>
  <si>
    <t>Bashar</t>
  </si>
  <si>
    <t>Jourdain</t>
  </si>
  <si>
    <t>Manzanillo</t>
  </si>
  <si>
    <t>Peeke</t>
  </si>
  <si>
    <t>Harryram</t>
  </si>
  <si>
    <t>Velaquez</t>
  </si>
  <si>
    <t>Rookwood</t>
  </si>
  <si>
    <t>Manosalvas</t>
  </si>
  <si>
    <t>Manoslavas</t>
  </si>
  <si>
    <t>Coppotelli</t>
  </si>
  <si>
    <t>Pelegrin</t>
  </si>
  <si>
    <t>Dawodu</t>
  </si>
  <si>
    <t>Ciancimino</t>
  </si>
  <si>
    <t>Philbert</t>
  </si>
  <si>
    <t>Jean-Jacques</t>
  </si>
  <si>
    <t>Napoleon</t>
  </si>
  <si>
    <t>Merritt</t>
  </si>
  <si>
    <t>Bates</t>
  </si>
  <si>
    <t>Martillo Cruz</t>
  </si>
  <si>
    <t>Augustin</t>
  </si>
  <si>
    <t>Hyndman</t>
  </si>
  <si>
    <t>Montanaro</t>
  </si>
  <si>
    <t>Macias</t>
  </si>
  <si>
    <t>Lawtone-Bowles</t>
  </si>
  <si>
    <t>Holden</t>
  </si>
  <si>
    <t>Burnett</t>
  </si>
  <si>
    <t>Dieudonne</t>
  </si>
  <si>
    <t>Castaneda</t>
  </si>
  <si>
    <t>Edmonds</t>
  </si>
  <si>
    <t>Trigueno</t>
  </si>
  <si>
    <t>Bouley</t>
  </si>
  <si>
    <t>Tlatelpa</t>
  </si>
  <si>
    <t>McDonald</t>
  </si>
  <si>
    <t>Halberstam</t>
  </si>
  <si>
    <t>Hafeez</t>
  </si>
  <si>
    <t>Bourne</t>
  </si>
  <si>
    <t>Salamone</t>
  </si>
  <si>
    <t>Catedral</t>
  </si>
  <si>
    <t>Shegog</t>
  </si>
  <si>
    <t>Paige</t>
  </si>
  <si>
    <t>Alexandre</t>
  </si>
  <si>
    <t>MacNeil</t>
  </si>
  <si>
    <t>Frimpong</t>
  </si>
  <si>
    <t>Cupid</t>
  </si>
  <si>
    <t>Simaha</t>
  </si>
  <si>
    <t>Prescott</t>
  </si>
  <si>
    <t>McLaughlin</t>
  </si>
  <si>
    <t>De Aza</t>
  </si>
  <si>
    <t>Osuala</t>
  </si>
  <si>
    <t>Buchanan</t>
  </si>
  <si>
    <t>Ordonez</t>
  </si>
  <si>
    <t>Crespo</t>
  </si>
  <si>
    <t>Ferrence</t>
  </si>
  <si>
    <t>Rochez</t>
  </si>
  <si>
    <t>Stephens</t>
  </si>
  <si>
    <t>Tuitt</t>
  </si>
  <si>
    <t>Cotter</t>
  </si>
  <si>
    <t>Stein</t>
  </si>
  <si>
    <t>Bejjani</t>
  </si>
  <si>
    <t>Schiebel</t>
  </si>
  <si>
    <t>Herrera Avalos</t>
  </si>
  <si>
    <t>Capers</t>
  </si>
  <si>
    <t>Saneaux</t>
  </si>
  <si>
    <t>Toombs</t>
  </si>
  <si>
    <t>Cody</t>
  </si>
  <si>
    <t>Koufie</t>
  </si>
  <si>
    <t>Bond</t>
  </si>
  <si>
    <t>Laird</t>
  </si>
  <si>
    <t>Quach</t>
  </si>
  <si>
    <t>Harley</t>
  </si>
  <si>
    <t>Omisola</t>
  </si>
  <si>
    <t>Franks</t>
  </si>
  <si>
    <t>Logan</t>
  </si>
  <si>
    <t>Munzer</t>
  </si>
  <si>
    <t>Streety</t>
  </si>
  <si>
    <t>Polito</t>
  </si>
  <si>
    <t>Tolentino</t>
  </si>
  <si>
    <t>Mendoza-Matthews</t>
  </si>
  <si>
    <t>Fogarthy</t>
  </si>
  <si>
    <t>Chase</t>
  </si>
  <si>
    <t>Baksh</t>
  </si>
  <si>
    <t>Dacchille</t>
  </si>
  <si>
    <t>Fortuna</t>
  </si>
  <si>
    <t>Grasso</t>
  </si>
  <si>
    <t>Nuralan</t>
  </si>
  <si>
    <t>Abbruscato</t>
  </si>
  <si>
    <t>Chandler Coard</t>
  </si>
  <si>
    <t>Iglesias</t>
  </si>
  <si>
    <t>Lam Chang</t>
  </si>
  <si>
    <t>d'Agestino</t>
  </si>
  <si>
    <t>Ziskind</t>
  </si>
  <si>
    <t>Zeba</t>
  </si>
  <si>
    <t>Englander</t>
  </si>
  <si>
    <t>Leavitt</t>
  </si>
  <si>
    <t>Katzman</t>
  </si>
  <si>
    <t>OWENS</t>
  </si>
  <si>
    <t>Igantovich</t>
  </si>
  <si>
    <t>Jaffery</t>
  </si>
  <si>
    <t>Nance</t>
  </si>
  <si>
    <t>Manon</t>
  </si>
  <si>
    <t>Quiros</t>
  </si>
  <si>
    <t>Belgrave</t>
  </si>
  <si>
    <t>Nealon</t>
  </si>
  <si>
    <t>Thornton</t>
  </si>
  <si>
    <t>Lamberty</t>
  </si>
  <si>
    <t>Sasson</t>
  </si>
  <si>
    <t>Grier</t>
  </si>
  <si>
    <t>Ogburn</t>
  </si>
  <si>
    <t>Huang</t>
  </si>
  <si>
    <t>McClarin</t>
  </si>
  <si>
    <t>Walsh</t>
  </si>
  <si>
    <t>Sheen</t>
  </si>
  <si>
    <t>Johns</t>
  </si>
  <si>
    <t>Allsop</t>
  </si>
  <si>
    <t>Reyes Ruiz</t>
  </si>
  <si>
    <t>Boatright</t>
  </si>
  <si>
    <t>Skeet</t>
  </si>
  <si>
    <t>Bowen Nichols</t>
  </si>
  <si>
    <t>Pabon</t>
  </si>
  <si>
    <t>Lilley</t>
  </si>
  <si>
    <t>Ahfor</t>
  </si>
  <si>
    <t>cline</t>
  </si>
  <si>
    <t>Vegerano</t>
  </si>
  <si>
    <t>Wheelock</t>
  </si>
  <si>
    <t>Valles</t>
  </si>
  <si>
    <t>Burkhalter</t>
  </si>
  <si>
    <t>Bramble</t>
  </si>
  <si>
    <t>Gatling</t>
  </si>
  <si>
    <t>Mullin</t>
  </si>
  <si>
    <t>Frye</t>
  </si>
  <si>
    <t>Belin</t>
  </si>
  <si>
    <t>Witherspoon</t>
  </si>
  <si>
    <t>Gilchrist</t>
  </si>
  <si>
    <t>Traore</t>
  </si>
  <si>
    <t>Guity</t>
  </si>
  <si>
    <t>D'Arcangelo</t>
  </si>
  <si>
    <t>Booker</t>
  </si>
  <si>
    <t>Siva</t>
  </si>
  <si>
    <t>Colbert</t>
  </si>
  <si>
    <t>Agastra</t>
  </si>
  <si>
    <t>Moss</t>
  </si>
  <si>
    <t>Leed</t>
  </si>
  <si>
    <t>Villegas</t>
  </si>
  <si>
    <t>Denehan</t>
  </si>
  <si>
    <t>Cockfield</t>
  </si>
  <si>
    <t>Galdamez</t>
  </si>
  <si>
    <t>Cotton</t>
  </si>
  <si>
    <t>Sampson</t>
  </si>
  <si>
    <t>O'Briant</t>
  </si>
  <si>
    <t>Sanoe</t>
  </si>
  <si>
    <t>Federgrun</t>
  </si>
  <si>
    <t>Wofah</t>
  </si>
  <si>
    <t>Najera</t>
  </si>
  <si>
    <t>Seward</t>
  </si>
  <si>
    <t>Snype</t>
  </si>
  <si>
    <t>Josephs</t>
  </si>
  <si>
    <t>Boasiako</t>
  </si>
  <si>
    <t>Mercer</t>
  </si>
  <si>
    <t>Service</t>
  </si>
  <si>
    <t>Jefferey</t>
  </si>
  <si>
    <t>VArgas</t>
  </si>
  <si>
    <t>McIntosh</t>
  </si>
  <si>
    <t>Bowes</t>
  </si>
  <si>
    <t>Korbal</t>
  </si>
  <si>
    <t>Kusiak Carey</t>
  </si>
  <si>
    <t>Laguer</t>
  </si>
  <si>
    <t>Pope</t>
  </si>
  <si>
    <t>Oguamanam</t>
  </si>
  <si>
    <t>Murphey</t>
  </si>
  <si>
    <t>Anarffi-Yamoah</t>
  </si>
  <si>
    <t>Lilly</t>
  </si>
  <si>
    <t>Newby</t>
  </si>
  <si>
    <t>Yapp</t>
  </si>
  <si>
    <t>Frizzelle</t>
  </si>
  <si>
    <t>Vega-Rivera</t>
  </si>
  <si>
    <t>Boakye</t>
  </si>
  <si>
    <t>Chang</t>
  </si>
  <si>
    <t>Quiroz</t>
  </si>
  <si>
    <t>Mendiola</t>
  </si>
  <si>
    <t>Captain</t>
  </si>
  <si>
    <t>McHenry</t>
  </si>
  <si>
    <t>Triliegi</t>
  </si>
  <si>
    <t>Catellanos</t>
  </si>
  <si>
    <t>Wise</t>
  </si>
  <si>
    <t>Shepherd</t>
  </si>
  <si>
    <t>Wyche</t>
  </si>
  <si>
    <t>Harper-Vanrabenswaay</t>
  </si>
  <si>
    <t>Azenabor</t>
  </si>
  <si>
    <t>Kevelier</t>
  </si>
  <si>
    <t>Davidson</t>
  </si>
  <si>
    <t>Bogdanova</t>
  </si>
  <si>
    <t>Sem-Adtorgenu</t>
  </si>
  <si>
    <t>Bromell</t>
  </si>
  <si>
    <t>Vivar</t>
  </si>
  <si>
    <t>Caro</t>
  </si>
  <si>
    <t>Callender</t>
  </si>
  <si>
    <t>Chappell</t>
  </si>
  <si>
    <t>Allmond</t>
  </si>
  <si>
    <t>Skloot</t>
  </si>
  <si>
    <t>Lombard</t>
  </si>
  <si>
    <t>Buckle</t>
  </si>
  <si>
    <t>Pesquera</t>
  </si>
  <si>
    <t>Okomeng</t>
  </si>
  <si>
    <t>Blank</t>
  </si>
  <si>
    <t>Payero</t>
  </si>
  <si>
    <t>Atkinson</t>
  </si>
  <si>
    <t>Sawyer</t>
  </si>
  <si>
    <t>Brinson</t>
  </si>
  <si>
    <t>Cundiff</t>
  </si>
  <si>
    <t>Winston-Orr</t>
  </si>
  <si>
    <t>Worthen</t>
  </si>
  <si>
    <t>Daux</t>
  </si>
  <si>
    <t>Francisquini</t>
  </si>
  <si>
    <t>Shrestha</t>
  </si>
  <si>
    <t>Pellot</t>
  </si>
  <si>
    <t>Obregon</t>
  </si>
  <si>
    <t>Mainor</t>
  </si>
  <si>
    <t>Hargrove</t>
  </si>
  <si>
    <t>Cortorreal</t>
  </si>
  <si>
    <t>Herrington</t>
  </si>
  <si>
    <t>Minaya</t>
  </si>
  <si>
    <t>Dubois</t>
  </si>
  <si>
    <t>Ojumu</t>
  </si>
  <si>
    <t>Quinn</t>
  </si>
  <si>
    <t>Goodridge</t>
  </si>
  <si>
    <t>Blaimayer</t>
  </si>
  <si>
    <t>Spring</t>
  </si>
  <si>
    <t>Casteneda</t>
  </si>
  <si>
    <t>Makinde</t>
  </si>
  <si>
    <t>Levine</t>
  </si>
  <si>
    <t>Merino</t>
  </si>
  <si>
    <t>Puello</t>
  </si>
  <si>
    <t>Nasert</t>
  </si>
  <si>
    <t>Boomer</t>
  </si>
  <si>
    <t>Ruedy</t>
  </si>
  <si>
    <t>Rall</t>
  </si>
  <si>
    <t>Lebron</t>
  </si>
  <si>
    <t>Amezquita</t>
  </si>
  <si>
    <t>Hogans</t>
  </si>
  <si>
    <t>Tellado</t>
  </si>
  <si>
    <t>Fonji</t>
  </si>
  <si>
    <t>Serebriakov</t>
  </si>
  <si>
    <t>Durante</t>
  </si>
  <si>
    <t>Leach</t>
  </si>
  <si>
    <t>Mcrae</t>
  </si>
  <si>
    <t>Daniels</t>
  </si>
  <si>
    <t>Genoves</t>
  </si>
  <si>
    <t>Manigault</t>
  </si>
  <si>
    <t>Bibins</t>
  </si>
  <si>
    <t>Majors</t>
  </si>
  <si>
    <t>Davila-Richards</t>
  </si>
  <si>
    <t>Huggins</t>
  </si>
  <si>
    <t>Downes</t>
  </si>
  <si>
    <t>Willmorth</t>
  </si>
  <si>
    <t>Paeleus</t>
  </si>
  <si>
    <t>Dearth</t>
  </si>
  <si>
    <t>Lozada</t>
  </si>
  <si>
    <t>Apolinario</t>
  </si>
  <si>
    <t>Pounding</t>
  </si>
  <si>
    <t>Saheed</t>
  </si>
  <si>
    <t>Parson</t>
  </si>
  <si>
    <t>Rubinstein</t>
  </si>
  <si>
    <t>Crespo-Ramos</t>
  </si>
  <si>
    <t>Yates</t>
  </si>
  <si>
    <t>St.Hill</t>
  </si>
  <si>
    <t>Rollgier-Marshall</t>
  </si>
  <si>
    <t>West</t>
  </si>
  <si>
    <t>Abdullah</t>
  </si>
  <si>
    <t>Gras</t>
  </si>
  <si>
    <t>Blondell</t>
  </si>
  <si>
    <t>Tovar</t>
  </si>
  <si>
    <t>Redmond</t>
  </si>
  <si>
    <t>Robateau</t>
  </si>
  <si>
    <t>Mattis</t>
  </si>
  <si>
    <t>Aime</t>
  </si>
  <si>
    <t>Rothenberg</t>
  </si>
  <si>
    <t>Serby</t>
  </si>
  <si>
    <t>Correy</t>
  </si>
  <si>
    <t>Westbrook</t>
  </si>
  <si>
    <t>Samios</t>
  </si>
  <si>
    <t>Rougier-Marshall</t>
  </si>
  <si>
    <t>Mann</t>
  </si>
  <si>
    <t>Mtambuzi</t>
  </si>
  <si>
    <t>Saunders Burks</t>
  </si>
  <si>
    <t>Peters</t>
  </si>
  <si>
    <t>Lam</t>
  </si>
  <si>
    <t>Dinh</t>
  </si>
  <si>
    <t>Valeria</t>
  </si>
  <si>
    <t>Capell</t>
  </si>
  <si>
    <t>Sweets</t>
  </si>
  <si>
    <t>Crevelle</t>
  </si>
  <si>
    <t>Kellman</t>
  </si>
  <si>
    <t>Ifield</t>
  </si>
  <si>
    <t>Prado</t>
  </si>
  <si>
    <t>Wiscovitch</t>
  </si>
  <si>
    <t>Jubinsky</t>
  </si>
  <si>
    <t>Carlucci</t>
  </si>
  <si>
    <t>Turner-Matos</t>
  </si>
  <si>
    <t>Varfley</t>
  </si>
  <si>
    <t>Randall</t>
  </si>
  <si>
    <t>Sotiroff</t>
  </si>
  <si>
    <t>Colardo</t>
  </si>
  <si>
    <t>Desormeaux</t>
  </si>
  <si>
    <t>Corriders</t>
  </si>
  <si>
    <t>Cato</t>
  </si>
  <si>
    <t>Cornelius</t>
  </si>
  <si>
    <t>Rucker</t>
  </si>
  <si>
    <t>Frias</t>
  </si>
  <si>
    <t>Maillard</t>
  </si>
  <si>
    <t>Collier</t>
  </si>
  <si>
    <t>Paraez</t>
  </si>
  <si>
    <t>Pastorello</t>
  </si>
  <si>
    <t>Pariser</t>
  </si>
  <si>
    <t>Tolbert</t>
  </si>
  <si>
    <t>Okonji</t>
  </si>
  <si>
    <t>Letman</t>
  </si>
  <si>
    <t>Saun</t>
  </si>
  <si>
    <t>Pettus</t>
  </si>
  <si>
    <t>Dattaray</t>
  </si>
  <si>
    <t>Gil Poche</t>
  </si>
  <si>
    <t>Danenhower</t>
  </si>
  <si>
    <t>Radoncic</t>
  </si>
  <si>
    <t>Nigg</t>
  </si>
  <si>
    <t>Rollins</t>
  </si>
  <si>
    <t>Harden</t>
  </si>
  <si>
    <t>Hayardeny</t>
  </si>
  <si>
    <t>Pops</t>
  </si>
  <si>
    <t>Saturnin</t>
  </si>
  <si>
    <t>DAVIDSON- RHODES</t>
  </si>
  <si>
    <t>Fragoso</t>
  </si>
  <si>
    <t>Siri</t>
  </si>
  <si>
    <t>Leibowitz</t>
  </si>
  <si>
    <t>Sawney-Calliste</t>
  </si>
  <si>
    <t>Levandov</t>
  </si>
  <si>
    <t>Doesserie-Mitchell</t>
  </si>
  <si>
    <t>Aristy</t>
  </si>
  <si>
    <t>Mials</t>
  </si>
  <si>
    <t>Yepez</t>
  </si>
  <si>
    <t>Richmond</t>
  </si>
  <si>
    <t>Haft</t>
  </si>
  <si>
    <t>Hartley</t>
  </si>
  <si>
    <t>Roche</t>
  </si>
  <si>
    <t>Hinds</t>
  </si>
  <si>
    <t>Gervis</t>
  </si>
  <si>
    <t>Roseboro</t>
  </si>
  <si>
    <t>Bradford</t>
  </si>
  <si>
    <t>Blumenthal</t>
  </si>
  <si>
    <t>Hart</t>
  </si>
  <si>
    <t>Quarles</t>
  </si>
  <si>
    <t>Ferreria</t>
  </si>
  <si>
    <t>Cattaneo</t>
  </si>
  <si>
    <t>Macaldo</t>
  </si>
  <si>
    <t>Strong</t>
  </si>
  <si>
    <t>Meyer</t>
  </si>
  <si>
    <t>Lambert</t>
  </si>
  <si>
    <t>Fermin-Pena</t>
  </si>
  <si>
    <t>Tanner</t>
  </si>
  <si>
    <t>Providence</t>
  </si>
  <si>
    <t>McGhee</t>
  </si>
  <si>
    <t>Spain</t>
  </si>
  <si>
    <t>Qi</t>
  </si>
  <si>
    <t>Saladin</t>
  </si>
  <si>
    <t>Bauminger</t>
  </si>
  <si>
    <t>Simpson</t>
  </si>
  <si>
    <t>Winkler</t>
  </si>
  <si>
    <t>La Salle</t>
  </si>
  <si>
    <t>Hays</t>
  </si>
  <si>
    <t>Barreau</t>
  </si>
  <si>
    <t>Camilo</t>
  </si>
  <si>
    <t>Bassano</t>
  </si>
  <si>
    <t>McLennan</t>
  </si>
  <si>
    <t>Mancuso</t>
  </si>
  <si>
    <t>Apparicio</t>
  </si>
  <si>
    <t>Antigua</t>
  </si>
  <si>
    <t>Sarvis</t>
  </si>
  <si>
    <t>Zeno</t>
  </si>
  <si>
    <t>Biddle</t>
  </si>
  <si>
    <t>Schand</t>
  </si>
  <si>
    <t>Masako</t>
  </si>
  <si>
    <t>Bowens-Lamar</t>
  </si>
  <si>
    <t>Himidian</t>
  </si>
  <si>
    <t>Scrubb</t>
  </si>
  <si>
    <t>Langley</t>
  </si>
  <si>
    <t>Fripp</t>
  </si>
  <si>
    <t>Mueses</t>
  </si>
  <si>
    <t>Rivera Mendez</t>
  </si>
  <si>
    <t>Chan</t>
  </si>
  <si>
    <t>Moorer</t>
  </si>
  <si>
    <t>Devitt</t>
  </si>
  <si>
    <t>Byrnes</t>
  </si>
  <si>
    <t>Nygaard</t>
  </si>
  <si>
    <t>Crusco</t>
  </si>
  <si>
    <t>Hustus</t>
  </si>
  <si>
    <t>Shifrin</t>
  </si>
  <si>
    <t>Tanzil-Onne</t>
  </si>
  <si>
    <t>Scholl</t>
  </si>
  <si>
    <t>Lamar</t>
  </si>
  <si>
    <t>McClintock</t>
  </si>
  <si>
    <t>Outon</t>
  </si>
  <si>
    <t>Dooley</t>
  </si>
  <si>
    <t>Sneddon</t>
  </si>
  <si>
    <t>Bush</t>
  </si>
  <si>
    <t>Milliner</t>
  </si>
  <si>
    <t>Miyamoto</t>
  </si>
  <si>
    <t>Licthmore</t>
  </si>
  <si>
    <t>Midgette</t>
  </si>
  <si>
    <t>Tempey</t>
  </si>
  <si>
    <t>Zeidenberg</t>
  </si>
  <si>
    <t>Shea</t>
  </si>
  <si>
    <t>Chou</t>
  </si>
  <si>
    <t>Klein</t>
  </si>
  <si>
    <t>Jarvis</t>
  </si>
  <si>
    <t>Shoup</t>
  </si>
  <si>
    <t>Robillard</t>
  </si>
  <si>
    <t>Silverstein</t>
  </si>
  <si>
    <t>Flotteron</t>
  </si>
  <si>
    <t>Fuller</t>
  </si>
  <si>
    <t>Taguchi</t>
  </si>
  <si>
    <t>Mohorn</t>
  </si>
  <si>
    <t>Yuan</t>
  </si>
  <si>
    <t>Pause</t>
  </si>
  <si>
    <t>Soukamneuth</t>
  </si>
  <si>
    <t>Alpern Kol</t>
  </si>
  <si>
    <t>Donado</t>
  </si>
  <si>
    <t>Ewing</t>
  </si>
  <si>
    <t>Levental</t>
  </si>
  <si>
    <t>436 Beach 64th St</t>
  </si>
  <si>
    <t>6919 Hillmeyer Ave</t>
  </si>
  <si>
    <t>167 Beach 60th St</t>
  </si>
  <si>
    <t>443 Beach 67th St</t>
  </si>
  <si>
    <t>141 Beach 56th Pl</t>
  </si>
  <si>
    <t>1415 Mott Ave</t>
  </si>
  <si>
    <t>711C Seagirt Ave</t>
  </si>
  <si>
    <t>1130 Grassmere Ter</t>
  </si>
  <si>
    <t>249 Beach 15th St</t>
  </si>
  <si>
    <t>1420 Gateway Blvd</t>
  </si>
  <si>
    <t>125 Beach 17th St</t>
  </si>
  <si>
    <t>333 Beach 32nd St</t>
  </si>
  <si>
    <t>14707 N Conduit Ave</t>
  </si>
  <si>
    <t>10306 Remington St</t>
  </si>
  <si>
    <t>14710 105th Ave</t>
  </si>
  <si>
    <t>10704 Liverpool St</t>
  </si>
  <si>
    <t>9023 149th St</t>
  </si>
  <si>
    <t>107-04 Liverpool Street</t>
  </si>
  <si>
    <t>17515 144th Dr</t>
  </si>
  <si>
    <t>8815 168th St</t>
  </si>
  <si>
    <t>8822 Parsons Blvd</t>
  </si>
  <si>
    <t>8806 191st St</t>
  </si>
  <si>
    <t>13514 Hook Creek Blvd</t>
  </si>
  <si>
    <t>11724 126th St</t>
  </si>
  <si>
    <t>14920 124th St</t>
  </si>
  <si>
    <t>12121 103rd Ave</t>
  </si>
  <si>
    <t>7608 Glenmore Ave</t>
  </si>
  <si>
    <t>9728 76th St</t>
  </si>
  <si>
    <t>8610 Atlantic Ave</t>
  </si>
  <si>
    <t>11920 Union Tpke</t>
  </si>
  <si>
    <t>10436 196th St</t>
  </si>
  <si>
    <t>1711 Himrod St</t>
  </si>
  <si>
    <t>6730 75th St</t>
  </si>
  <si>
    <t>4146 68th St</t>
  </si>
  <si>
    <t>5926 48th Ave</t>
  </si>
  <si>
    <t>6615 Wetherole St</t>
  </si>
  <si>
    <t>9456 46th Ave</t>
  </si>
  <si>
    <t>9416 34th Rd</t>
  </si>
  <si>
    <t>9830 57th Ave</t>
  </si>
  <si>
    <t>10005 37th Ave</t>
  </si>
  <si>
    <t>9730 57th Ave</t>
  </si>
  <si>
    <t>6140 146th St</t>
  </si>
  <si>
    <t>15048 75th Ave</t>
  </si>
  <si>
    <t>16606 75th Ave</t>
  </si>
  <si>
    <t>1870 211th St</t>
  </si>
  <si>
    <t>4339 158th St</t>
  </si>
  <si>
    <t>3633 169th St</t>
  </si>
  <si>
    <t>2005 126th St</t>
  </si>
  <si>
    <t>13906 34th Rd</t>
  </si>
  <si>
    <t>3415 Parsons Blvd</t>
  </si>
  <si>
    <t>3216 137th St</t>
  </si>
  <si>
    <t>13955 35th Ave</t>
  </si>
  <si>
    <t>1465 Geneva Loop</t>
  </si>
  <si>
    <t>435 GRAND AVE</t>
  </si>
  <si>
    <t>571 Sterling Pl</t>
  </si>
  <si>
    <t>435 Grand Ave</t>
  </si>
  <si>
    <t>425 Grand Ave</t>
  </si>
  <si>
    <t>90 Downing St</t>
  </si>
  <si>
    <t>495 Sterling Pl</t>
  </si>
  <si>
    <t>284 Cooper St</t>
  </si>
  <si>
    <t>358 Knickerbocker Ave</t>
  </si>
  <si>
    <t>216 Rockaway Ave</t>
  </si>
  <si>
    <t>249 Thomas S Boyland St</t>
  </si>
  <si>
    <t>216 Rockaway ave</t>
  </si>
  <si>
    <t>542 Bainbridge St</t>
  </si>
  <si>
    <t>2192 Dean St</t>
  </si>
  <si>
    <t>1841 Atlantic Ave</t>
  </si>
  <si>
    <t>383 Lewis Ave</t>
  </si>
  <si>
    <t>295A Bainbridge St</t>
  </si>
  <si>
    <t>562 Bainbridge St</t>
  </si>
  <si>
    <t>21 Truxton St</t>
  </si>
  <si>
    <t>246 Bainbridge St</t>
  </si>
  <si>
    <t>217 Thomas S Boyland St</t>
  </si>
  <si>
    <t>1315 Eastern Pkwy</t>
  </si>
  <si>
    <t>1711 Fulton St</t>
  </si>
  <si>
    <t>1743 Prospect Pl</t>
  </si>
  <si>
    <t>496 Marion St</t>
  </si>
  <si>
    <t>179 Mother Gaston Blvd</t>
  </si>
  <si>
    <t>217 Hull St</t>
  </si>
  <si>
    <t>1639 Saint Marks Ave</t>
  </si>
  <si>
    <t>779 4th Ave</t>
  </si>
  <si>
    <t>15 B Dwight Street</t>
  </si>
  <si>
    <t>217 Van Brunt St</t>
  </si>
  <si>
    <t>46 Sullivan St</t>
  </si>
  <si>
    <t>922 E 15th St</t>
  </si>
  <si>
    <t>1317 E 14th St</t>
  </si>
  <si>
    <t>2511 Newkirk Ave</t>
  </si>
  <si>
    <t>120 E 19th St</t>
  </si>
  <si>
    <t>46 Linden Blvd</t>
  </si>
  <si>
    <t>310 E 25th St</t>
  </si>
  <si>
    <t>538 E 21st St</t>
  </si>
  <si>
    <t>585 E 21st St</t>
  </si>
  <si>
    <t>95 E 18th St</t>
  </si>
  <si>
    <t>2025 Regent Pl</t>
  </si>
  <si>
    <t>98 Linden Blvd</t>
  </si>
  <si>
    <t>566 Parkside Ave</t>
  </si>
  <si>
    <t>201 E 18th St</t>
  </si>
  <si>
    <t>1901 Dorchester Rd</t>
  </si>
  <si>
    <t>115 Ocean Ave</t>
  </si>
  <si>
    <t>1030 Carroll St</t>
  </si>
  <si>
    <t>572 Manhattan Ave</t>
  </si>
  <si>
    <t>232 Stuyvesant Ave</t>
  </si>
  <si>
    <t>761 44th St</t>
  </si>
  <si>
    <t>214 Wakeman Pl</t>
  </si>
  <si>
    <t>6623 Ridge Blvd</t>
  </si>
  <si>
    <t>4600 9th Ave</t>
  </si>
  <si>
    <t>902 47th St</t>
  </si>
  <si>
    <t>483 Pacific St</t>
  </si>
  <si>
    <t>568 Pacific St</t>
  </si>
  <si>
    <t>38 6th Ave</t>
  </si>
  <si>
    <t>444 State St</t>
  </si>
  <si>
    <t>163 Madison St</t>
  </si>
  <si>
    <t>64 Herkimer St</t>
  </si>
  <si>
    <t>140 17th St</t>
  </si>
  <si>
    <t>485 12th St</t>
  </si>
  <si>
    <t>232 schenectady ave</t>
  </si>
  <si>
    <t>1392 Sterling Pl</t>
  </si>
  <si>
    <t>372 New York Ave</t>
  </si>
  <si>
    <t>1350 Park Pl</t>
  </si>
  <si>
    <t>789 Saint Marks Ave</t>
  </si>
  <si>
    <t>694 Rockaway Ave</t>
  </si>
  <si>
    <t>257 Mother Gaston Blvd</t>
  </si>
  <si>
    <t>536 E 96th St</t>
  </si>
  <si>
    <t>391 Rockaway Pkwy</t>
  </si>
  <si>
    <t>1805 Pitkin Ave</t>
  </si>
  <si>
    <t>63 E 95th St</t>
  </si>
  <si>
    <t>214 E 94th St</t>
  </si>
  <si>
    <t>405 Rockaway Pkwy</t>
  </si>
  <si>
    <t>180 Grafton St</t>
  </si>
  <si>
    <t>53 Bushwick Ave</t>
  </si>
  <si>
    <t>1406 New York Ave</t>
  </si>
  <si>
    <t>1546 E 24th St</t>
  </si>
  <si>
    <t>333 Milford St</t>
  </si>
  <si>
    <t>376 Autumn Ave</t>
  </si>
  <si>
    <t>92 Crystal St</t>
  </si>
  <si>
    <t>271 Arlington Ave</t>
  </si>
  <si>
    <t>1049 Glenmore Ave</t>
  </si>
  <si>
    <t>212 Highland Pl</t>
  </si>
  <si>
    <t>903 Drew St</t>
  </si>
  <si>
    <t>675 Lincoln ave</t>
  </si>
  <si>
    <t>499 Linwood St</t>
  </si>
  <si>
    <t>419 Montauk Ave</t>
  </si>
  <si>
    <t>715 Riverdale Ave</t>
  </si>
  <si>
    <t>71 Pilling St</t>
  </si>
  <si>
    <t>604 Georgia Ave</t>
  </si>
  <si>
    <t>985 Halsey St</t>
  </si>
  <si>
    <t>241 Schenck Ave</t>
  </si>
  <si>
    <t>479 Pennsylvania Ave</t>
  </si>
  <si>
    <t>131 Eldert St</t>
  </si>
  <si>
    <t>272 Pennsylvania Ave</t>
  </si>
  <si>
    <t>350 Snediker Ave</t>
  </si>
  <si>
    <t>481 Williams Ave</t>
  </si>
  <si>
    <t>721 Willoughby Ave</t>
  </si>
  <si>
    <t>100 Pulaski St</t>
  </si>
  <si>
    <t>205 Montrose Ave</t>
  </si>
  <si>
    <t>927 Lenox Rd</t>
  </si>
  <si>
    <t>738 Albany Ave</t>
  </si>
  <si>
    <t>3611 12th St</t>
  </si>
  <si>
    <t>3433 30th St</t>
  </si>
  <si>
    <t>4318 42nd St</t>
  </si>
  <si>
    <t>4616 43rd Ave</t>
  </si>
  <si>
    <t>2834 48th St</t>
  </si>
  <si>
    <t>3421 37th St</t>
  </si>
  <si>
    <t>2719 44th Dr</t>
  </si>
  <si>
    <t>769 Bryant Ave</t>
  </si>
  <si>
    <t>4754 Richardson Ave</t>
  </si>
  <si>
    <t>4769 White Plains Rd</t>
  </si>
  <si>
    <t>135 W Kingsbridge Rd</t>
  </si>
  <si>
    <t>855 E 217th St</t>
  </si>
  <si>
    <t>50 W Gun Hill Rd</t>
  </si>
  <si>
    <t>2555 Boston Rd</t>
  </si>
  <si>
    <t>3216 Decatur Ave</t>
  </si>
  <si>
    <t>830 Magenta St</t>
  </si>
  <si>
    <t>3817 Dyre Ave</t>
  </si>
  <si>
    <t>3111 Heath Ave</t>
  </si>
  <si>
    <t>2337 Ellis Ave</t>
  </si>
  <si>
    <t>2112 Starling Ave</t>
  </si>
  <si>
    <t>2111 Southern Blvd</t>
  </si>
  <si>
    <t>803 E 182nd St</t>
  </si>
  <si>
    <t>853 Elsmere Pl</t>
  </si>
  <si>
    <t>1907 Southern Blvd</t>
  </si>
  <si>
    <t>952 Aldus St</t>
  </si>
  <si>
    <t>1345 Southern Blvd</t>
  </si>
  <si>
    <t>2543 Decatur Ave</t>
  </si>
  <si>
    <t>540 East 183rd Street</t>
  </si>
  <si>
    <t>240 E 194th St</t>
  </si>
  <si>
    <t>1475 Sheridan Ave</t>
  </si>
  <si>
    <t>1515 Selwyn Ave</t>
  </si>
  <si>
    <t>1711 Morris Ave</t>
  </si>
  <si>
    <t>1560 Grand Concourse</t>
  </si>
  <si>
    <t>2100 Tiebout Ave</t>
  </si>
  <si>
    <t>1060 Sheridan ave</t>
  </si>
  <si>
    <t>1060 Sheridan Ave</t>
  </si>
  <si>
    <t>360 E 166th St</t>
  </si>
  <si>
    <t>880 Tinton Ave</t>
  </si>
  <si>
    <t>1362 Grand Concourse</t>
  </si>
  <si>
    <t>1221 Sheridan Ave</t>
  </si>
  <si>
    <t>563 Cauldwell Ave</t>
  </si>
  <si>
    <t>653 Cauldwell Ave</t>
  </si>
  <si>
    <t>1940 Andrews Ave S</t>
  </si>
  <si>
    <t>1777 Grand Concourse</t>
  </si>
  <si>
    <t>2001 Morris Ave</t>
  </si>
  <si>
    <t>1652 Univ Ave</t>
  </si>
  <si>
    <t>1775 Davidson Ave</t>
  </si>
  <si>
    <t>1600 Sedgwick Ave</t>
  </si>
  <si>
    <t>1765 Townsend Ave</t>
  </si>
  <si>
    <t>1482 Montgomery Ave</t>
  </si>
  <si>
    <t>20 Richman Plz</t>
  </si>
  <si>
    <t>1632 Undercliff Ave</t>
  </si>
  <si>
    <t>2071 Walton Ave</t>
  </si>
  <si>
    <t>1111 Gerard Ave</t>
  </si>
  <si>
    <t>1434 Ogden Ave</t>
  </si>
  <si>
    <t>901 Walton Ave</t>
  </si>
  <si>
    <t>930 Ogden Ave</t>
  </si>
  <si>
    <t>1080 Anderson Ave</t>
  </si>
  <si>
    <t>1416 Walton Ave</t>
  </si>
  <si>
    <t>1544 Walton Ave</t>
  </si>
  <si>
    <t>1230 Woodycrest Ave</t>
  </si>
  <si>
    <t>1155 Grand Concourse</t>
  </si>
  <si>
    <t>47 Featherbed Ln</t>
  </si>
  <si>
    <t>751 Walton Ave</t>
  </si>
  <si>
    <t>888 Grand Concourse</t>
  </si>
  <si>
    <t>790 Grand Concourse</t>
  </si>
  <si>
    <t>255 E.138 Street</t>
  </si>
  <si>
    <t>460n Brielle Ave</t>
  </si>
  <si>
    <t>107 Caroline St</t>
  </si>
  <si>
    <t>166 Clove Rd</t>
  </si>
  <si>
    <t>624 Darlington Ave</t>
  </si>
  <si>
    <t>142 Hillcrest Ter</t>
  </si>
  <si>
    <t>16 Vulcan St</t>
  </si>
  <si>
    <t>196 Saint Marys Ave</t>
  </si>
  <si>
    <t>141 Park Hill Ave</t>
  </si>
  <si>
    <t>7 Navy Pier Ct</t>
  </si>
  <si>
    <t>506 Mosel Ave</t>
  </si>
  <si>
    <t>140 Park Hill Ave</t>
  </si>
  <si>
    <t>16 Vanderbilt Ave</t>
  </si>
  <si>
    <t>17 Old Town Rd</t>
  </si>
  <si>
    <t>195 Steuben St</t>
  </si>
  <si>
    <t>180 Broad St</t>
  </si>
  <si>
    <t>231 Steuben St</t>
  </si>
  <si>
    <t>533 Bay St</t>
  </si>
  <si>
    <t>262 Pulaski Ave</t>
  </si>
  <si>
    <t>172 Van Duzer St</t>
  </si>
  <si>
    <t>25 Henderson Ave</t>
  </si>
  <si>
    <t>388 Richmond Ter</t>
  </si>
  <si>
    <t>2 Hendricks Ave</t>
  </si>
  <si>
    <t>516 Howard Ave</t>
  </si>
  <si>
    <t>1806 1st ave</t>
  </si>
  <si>
    <t>200 E 65th Street</t>
  </si>
  <si>
    <t>14 Thayer St</t>
  </si>
  <si>
    <t>30 Sickles St</t>
  </si>
  <si>
    <t>2 Ellwood St</t>
  </si>
  <si>
    <t>113 Nassau St</t>
  </si>
  <si>
    <t>630 Lenox Ave</t>
  </si>
  <si>
    <t>58 E 117th St</t>
  </si>
  <si>
    <t>272 Sherman Ave</t>
  </si>
  <si>
    <t>5025 Broadway</t>
  </si>
  <si>
    <t>113 Sherman Ave</t>
  </si>
  <si>
    <t>110 Post Ave</t>
  </si>
  <si>
    <t>41 Park Ter W</t>
  </si>
  <si>
    <t>4861 Broadway</t>
  </si>
  <si>
    <t>546 Isham St</t>
  </si>
  <si>
    <t>5009 Broadway</t>
  </si>
  <si>
    <t>129 Sherman Ave</t>
  </si>
  <si>
    <t>580 Academy St</t>
  </si>
  <si>
    <t>506 W 178th St</t>
  </si>
  <si>
    <t>260 Audubon Ave</t>
  </si>
  <si>
    <t>353 Fort Washington Ave</t>
  </si>
  <si>
    <t>539 W 179th St</t>
  </si>
  <si>
    <t>621 W 171st St</t>
  </si>
  <si>
    <t>655 W 160th St</t>
  </si>
  <si>
    <t>100 Fort Washington Ave</t>
  </si>
  <si>
    <t>565 W 162nd St</t>
  </si>
  <si>
    <t>502 W 151st St</t>
  </si>
  <si>
    <t>127 E 107th St</t>
  </si>
  <si>
    <t>2167 2nd Ave</t>
  </si>
  <si>
    <t>1274 5th Ave</t>
  </si>
  <si>
    <t>1575 Lexington Ave</t>
  </si>
  <si>
    <t>51 E 97th St</t>
  </si>
  <si>
    <t>345 E 83rd St</t>
  </si>
  <si>
    <t>4 W 121st St</t>
  </si>
  <si>
    <t>155 W 81st St</t>
  </si>
  <si>
    <t>Po Box 230455</t>
  </si>
  <si>
    <t>1410 York Ave</t>
  </si>
  <si>
    <t>4 E 28th St</t>
  </si>
  <si>
    <t>265 LaFayette St</t>
  </si>
  <si>
    <t>315 Pulaski St</t>
  </si>
  <si>
    <t>55 Bowen St</t>
  </si>
  <si>
    <t>4055 College Point Blvd</t>
  </si>
  <si>
    <t>205 Sumpter St</t>
  </si>
  <si>
    <t>459 E 96th St</t>
  </si>
  <si>
    <t>2181 Strauss St</t>
  </si>
  <si>
    <t>1211 Southern Blvd</t>
  </si>
  <si>
    <t>220 W 167th St</t>
  </si>
  <si>
    <t>250 E 178th St</t>
  </si>
  <si>
    <t>1 W 182nd St</t>
  </si>
  <si>
    <t>2075 Creston Ave</t>
  </si>
  <si>
    <t>9427 Kings Hwy</t>
  </si>
  <si>
    <t>1741 Norman St</t>
  </si>
  <si>
    <t>13643 37th Ave</t>
  </si>
  <si>
    <t>611 Flatbush Ave</t>
  </si>
  <si>
    <t>444 Jamaica Ave</t>
  </si>
  <si>
    <t>312 Court St</t>
  </si>
  <si>
    <t>464 Howard Ave</t>
  </si>
  <si>
    <t>231 E 117th St</t>
  </si>
  <si>
    <t>2771 Marion Avenue</t>
  </si>
  <si>
    <t>2095 Mohegan Ave</t>
  </si>
  <si>
    <t>937 Victory Blvd</t>
  </si>
  <si>
    <t>725 Miller Ave</t>
  </si>
  <si>
    <t>25 W Tremont Ave</t>
  </si>
  <si>
    <t>899 Montgomery St</t>
  </si>
  <si>
    <t>675 Lincoln Ave</t>
  </si>
  <si>
    <t>57-63 Wadsworth Terrace</t>
  </si>
  <si>
    <t>549 Isham St</t>
  </si>
  <si>
    <t>99 Pine St</t>
  </si>
  <si>
    <t>671 Halsey St</t>
  </si>
  <si>
    <t>235 Ralph Ave</t>
  </si>
  <si>
    <t>3852 10th Ave</t>
  </si>
  <si>
    <t>325 E 194th St</t>
  </si>
  <si>
    <t>225 Park Hill Ave</t>
  </si>
  <si>
    <t>127 Miller Ave</t>
  </si>
  <si>
    <t>51 E 129th St # 55</t>
  </si>
  <si>
    <t>537 E 81st St</t>
  </si>
  <si>
    <t>4237 Union St</t>
  </si>
  <si>
    <t>902 Drew St</t>
  </si>
  <si>
    <t>15 Taxter Pl</t>
  </si>
  <si>
    <t>381 Sumpter St</t>
  </si>
  <si>
    <t>1895 Morris Ave</t>
  </si>
  <si>
    <t>49 Tapscott St (3B)</t>
  </si>
  <si>
    <t>49 Tapscott St</t>
  </si>
  <si>
    <t>227 23rd St</t>
  </si>
  <si>
    <t>454 E 119th St</t>
  </si>
  <si>
    <t>380 Schenck Ave</t>
  </si>
  <si>
    <t>1812 Palisade Pl</t>
  </si>
  <si>
    <t>588 Decatur St</t>
  </si>
  <si>
    <t>1352 Dickens St</t>
  </si>
  <si>
    <t>426 E 118th st</t>
  </si>
  <si>
    <t>430 Saratoga Ave</t>
  </si>
  <si>
    <t>261 Grantwood Ave</t>
  </si>
  <si>
    <t>2123 Boston Rd</t>
  </si>
  <si>
    <t>111 Laurel Ave</t>
  </si>
  <si>
    <t>1847 Univ Ave</t>
  </si>
  <si>
    <t>350 New Lots Ave</t>
  </si>
  <si>
    <t>1305 Delmar Loope</t>
  </si>
  <si>
    <t>1038 White Plains Rd</t>
  </si>
  <si>
    <t>860 Belmont Ave</t>
  </si>
  <si>
    <t>220 Audubon Ave</t>
  </si>
  <si>
    <t>311 E 193rd St</t>
  </si>
  <si>
    <t>27 Truxton St</t>
  </si>
  <si>
    <t>525 Hegeman Ave</t>
  </si>
  <si>
    <t>229 Seaman Ave</t>
  </si>
  <si>
    <t>2237 Dix Ave</t>
  </si>
  <si>
    <t>941 Hoe Ave</t>
  </si>
  <si>
    <t>60A Bainbridge St</t>
  </si>
  <si>
    <t>1160 Cromwell Ave</t>
  </si>
  <si>
    <t>486 Jersey St</t>
  </si>
  <si>
    <t>112 W 144th St</t>
  </si>
  <si>
    <t>1115 Anderson Ave</t>
  </si>
  <si>
    <t>37 Utica Ave</t>
  </si>
  <si>
    <t>1938 Clove Rd</t>
  </si>
  <si>
    <t>7027 65th Pl</t>
  </si>
  <si>
    <t>101-125 W 147th St</t>
  </si>
  <si>
    <t>1631 Saint Marks Ave</t>
  </si>
  <si>
    <t>651 Elton St</t>
  </si>
  <si>
    <t>1195 Anderson Ave</t>
  </si>
  <si>
    <t>575 Hancock st</t>
  </si>
  <si>
    <t>1604 Bedford Ave</t>
  </si>
  <si>
    <t>547 W 160th St</t>
  </si>
  <si>
    <t>167 W 83rd St</t>
  </si>
  <si>
    <t>1417 Grand Concourse</t>
  </si>
  <si>
    <t>3215 34th St</t>
  </si>
  <si>
    <t>941 Rogers Pl</t>
  </si>
  <si>
    <t>251 Mother Gaston Blvd</t>
  </si>
  <si>
    <t>101 W 165th St</t>
  </si>
  <si>
    <t>515 Hinsdale ST</t>
  </si>
  <si>
    <t>8531 120th St</t>
  </si>
  <si>
    <t>1555 Grand Concourse</t>
  </si>
  <si>
    <t>9264 218th PL</t>
  </si>
  <si>
    <t>508 W 136th St</t>
  </si>
  <si>
    <t>1170 Walton Ave</t>
  </si>
  <si>
    <t>225 Park HIll Ave</t>
  </si>
  <si>
    <t>5149 Almeda Ave</t>
  </si>
  <si>
    <t>711a Seagirt Ave</t>
  </si>
  <si>
    <t>2108 Ryer Ave</t>
  </si>
  <si>
    <t>1520 Sedgwick ave</t>
  </si>
  <si>
    <t>2 Elton St</t>
  </si>
  <si>
    <t>1352 Dickens St.</t>
  </si>
  <si>
    <t>2108 W 7th st</t>
  </si>
  <si>
    <t>425 E 153rd St</t>
  </si>
  <si>
    <t>674 Academy St</t>
  </si>
  <si>
    <t>523 W 162nd St</t>
  </si>
  <si>
    <t>737 Liberty Ave</t>
  </si>
  <si>
    <t>177 Sheffield Ave</t>
  </si>
  <si>
    <t>1010 Bryant Ave</t>
  </si>
  <si>
    <t>1230 woodycrest Ave</t>
  </si>
  <si>
    <t>178 Riverdale Ave</t>
  </si>
  <si>
    <t>1700 Hoe Avenue</t>
  </si>
  <si>
    <t>260 Park Hill Ave</t>
  </si>
  <si>
    <t>1320 Eastern Pkwy</t>
  </si>
  <si>
    <t>14220 Franklin Ave</t>
  </si>
  <si>
    <t>417 Pennsylvania Ave</t>
  </si>
  <si>
    <t>4331 45th St</t>
  </si>
  <si>
    <t>2304 Grand Ave</t>
  </si>
  <si>
    <t>185 Park Hill Ave</t>
  </si>
  <si>
    <t>980 Aldus St</t>
  </si>
  <si>
    <t>1415 Bristow St</t>
  </si>
  <si>
    <t>117 Sherman Ave</t>
  </si>
  <si>
    <t>283 Linden St</t>
  </si>
  <si>
    <t>215 E 164th St</t>
  </si>
  <si>
    <t>2017 Cornaga Ave</t>
  </si>
  <si>
    <t>198 Clarkson Ave</t>
  </si>
  <si>
    <t>127E 107 St</t>
  </si>
  <si>
    <t>65 Willoughby Ave</t>
  </si>
  <si>
    <t>1035 Anderson Ave</t>
  </si>
  <si>
    <t>22151 Braddock Ave</t>
  </si>
  <si>
    <t>15516 Cherry Ave</t>
  </si>
  <si>
    <t>538 Beach 68th st</t>
  </si>
  <si>
    <t>1307 Merriam Ave</t>
  </si>
  <si>
    <t>787 E 46th St</t>
  </si>
  <si>
    <t>1926 Longfellow Ave</t>
  </si>
  <si>
    <t>413 E 114th St</t>
  </si>
  <si>
    <t>7215 41st Ave</t>
  </si>
  <si>
    <t>1967 Bergen St</t>
  </si>
  <si>
    <t>139 Father Capodanno Blvd</t>
  </si>
  <si>
    <t>47 Montauk Ave</t>
  </si>
  <si>
    <t>414 E 94th St</t>
  </si>
  <si>
    <t>1072 Woodycrest Ave</t>
  </si>
  <si>
    <t>19 Mount Hope Pl</t>
  </si>
  <si>
    <t>165 Sherman Ave</t>
  </si>
  <si>
    <t>949 Ogden Ave</t>
  </si>
  <si>
    <t>558 Riverdale Ave</t>
  </si>
  <si>
    <t>13425 Maple Ave</t>
  </si>
  <si>
    <t>540 W 145th St</t>
  </si>
  <si>
    <t>40 W Mosholu Pkwy S</t>
  </si>
  <si>
    <t>825 Gerard Ave</t>
  </si>
  <si>
    <t>691 Halsey St</t>
  </si>
  <si>
    <t>1000 Anderson Ave</t>
  </si>
  <si>
    <t>3950 60th St</t>
  </si>
  <si>
    <t>55 Nagle Ave</t>
  </si>
  <si>
    <t>101 Post Ave</t>
  </si>
  <si>
    <t>530 W 178th St</t>
  </si>
  <si>
    <t>563 W 191st St</t>
  </si>
  <si>
    <t>707 Miller Ave</t>
  </si>
  <si>
    <t>363 E 163rd St</t>
  </si>
  <si>
    <t>202 Walker St</t>
  </si>
  <si>
    <t>745 E 242nd St</t>
  </si>
  <si>
    <t>8858 76th St</t>
  </si>
  <si>
    <t>12399 Flatlands Ave</t>
  </si>
  <si>
    <t>545 Edgecombe Ave</t>
  </si>
  <si>
    <t>555 14th Street</t>
  </si>
  <si>
    <t>14545 222nd St</t>
  </si>
  <si>
    <t>1405 5th Ave</t>
  </si>
  <si>
    <t>1738 Univ Ave</t>
  </si>
  <si>
    <t>1920 Walton Ave</t>
  </si>
  <si>
    <t>327 Fillmore St</t>
  </si>
  <si>
    <t>1932 Strauss St</t>
  </si>
  <si>
    <t>2038 Morris Ave</t>
  </si>
  <si>
    <t>14217 130th Ave</t>
  </si>
  <si>
    <t>1044 E 93rd St</t>
  </si>
  <si>
    <t>175 E 105th St</t>
  </si>
  <si>
    <t>28 Hill St</t>
  </si>
  <si>
    <t>1716 Nereid Ave</t>
  </si>
  <si>
    <t>11536 125th St</t>
  </si>
  <si>
    <t>624 Howard Ave</t>
  </si>
  <si>
    <t>380 E 18th St</t>
  </si>
  <si>
    <t>98 W 183rd St</t>
  </si>
  <si>
    <t>1920 Union St</t>
  </si>
  <si>
    <t>685e E 243rd St</t>
  </si>
  <si>
    <t>18364 Dunlop Ave</t>
  </si>
  <si>
    <t>158 E 119th St</t>
  </si>
  <si>
    <t>490 Lincoln Ave</t>
  </si>
  <si>
    <t>990 Anderson Ave</t>
  </si>
  <si>
    <t>1711 Fulton st</t>
  </si>
  <si>
    <t>908 Thomas S Boyland St</t>
  </si>
  <si>
    <t>79 Milford St</t>
  </si>
  <si>
    <t>1779 Southern BLVD</t>
  </si>
  <si>
    <t>1495 Grand Concourse</t>
  </si>
  <si>
    <t>13418 133rd Ave</t>
  </si>
  <si>
    <t>242 Mason Ave</t>
  </si>
  <si>
    <t>139 Beach 26th St</t>
  </si>
  <si>
    <t>2768 Webster Ave</t>
  </si>
  <si>
    <t>968 Bronx Park S</t>
  </si>
  <si>
    <t>1460 Sterling Pl</t>
  </si>
  <si>
    <t>3856 10th Ave</t>
  </si>
  <si>
    <t>316 Stuyvesant Ave</t>
  </si>
  <si>
    <t>1821 Univ Ave</t>
  </si>
  <si>
    <t>P.O Box 689</t>
  </si>
  <si>
    <t>412 Macon St</t>
  </si>
  <si>
    <t>864 Elton St</t>
  </si>
  <si>
    <t>1553 Dekalb Ave</t>
  </si>
  <si>
    <t>22 E 112th St</t>
  </si>
  <si>
    <t>40 Richman Plz</t>
  </si>
  <si>
    <t>25 utica Ave</t>
  </si>
  <si>
    <t>134 Beach 59th St</t>
  </si>
  <si>
    <t>878 Euclid Ave</t>
  </si>
  <si>
    <t>2307 Pitkin Ave</t>
  </si>
  <si>
    <t>2211 New Haven Ave</t>
  </si>
  <si>
    <t>112 E 103rd St</t>
  </si>
  <si>
    <t>331 E 109th St</t>
  </si>
  <si>
    <t>304 E 156th St</t>
  </si>
  <si>
    <t>753 Macon St</t>
  </si>
  <si>
    <t>8912 183rd St</t>
  </si>
  <si>
    <t>523 E 108th St</t>
  </si>
  <si>
    <t>1453 Walton Ave</t>
  </si>
  <si>
    <t>370 Morris Ave</t>
  </si>
  <si>
    <t>147 Scribner Ave</t>
  </si>
  <si>
    <t>2170 Atlantic Ave</t>
  </si>
  <si>
    <t>211 E 54th St</t>
  </si>
  <si>
    <t>3428 44th St</t>
  </si>
  <si>
    <t>2454 Tiebout Ave</t>
  </si>
  <si>
    <t>774 Rockaway Ave</t>
  </si>
  <si>
    <t>14144 182nd St</t>
  </si>
  <si>
    <t>3713 12th Ave</t>
  </si>
  <si>
    <t>2041 E 7th St</t>
  </si>
  <si>
    <t>3325 Neptune Ave</t>
  </si>
  <si>
    <t>498 Vermont St</t>
  </si>
  <si>
    <t>4135 53rd St</t>
  </si>
  <si>
    <t>434 Rogers Ave</t>
  </si>
  <si>
    <t>6685B Broadway</t>
  </si>
  <si>
    <t>601 W 189th St</t>
  </si>
  <si>
    <t>1004 Montgomery st</t>
  </si>
  <si>
    <t>25 Bond St</t>
  </si>
  <si>
    <t>1677 Saint Johns Pl</t>
  </si>
  <si>
    <t>558 Ralph Ave</t>
  </si>
  <si>
    <t>217 E 120th St</t>
  </si>
  <si>
    <t>75 Post Ave</t>
  </si>
  <si>
    <t>25 Post Ave</t>
  </si>
  <si>
    <t>2085 Lexington Ave</t>
  </si>
  <si>
    <t>1003 willmohr st</t>
  </si>
  <si>
    <t>190 W 170th St</t>
  </si>
  <si>
    <t>975 42nd St</t>
  </si>
  <si>
    <t>855 E 19th St</t>
  </si>
  <si>
    <t>609 W 196th St</t>
  </si>
  <si>
    <t>906 Mother Gaston Blvd</t>
  </si>
  <si>
    <t>4325 Hunter St</t>
  </si>
  <si>
    <t>410 Eastern Pkwy</t>
  </si>
  <si>
    <t>294 5th Ave</t>
  </si>
  <si>
    <t>2022 Benedict Ave</t>
  </si>
  <si>
    <t>11609 Francis Lewis Blvd</t>
  </si>
  <si>
    <t>1132 Loring Ave</t>
  </si>
  <si>
    <t>110 Seaman Ave</t>
  </si>
  <si>
    <t>1935 Bergen st</t>
  </si>
  <si>
    <t>1652 Popham Ave</t>
  </si>
  <si>
    <t>111 W 135th St</t>
  </si>
  <si>
    <t>556 W 181st St</t>
  </si>
  <si>
    <t>354 E 54th St</t>
  </si>
  <si>
    <t>6570 Booth St</t>
  </si>
  <si>
    <t>1501 Undercliff Ave</t>
  </si>
  <si>
    <t>1715 Walton Ave</t>
  </si>
  <si>
    <t>1545 Saint Marks Ave</t>
  </si>
  <si>
    <t>8775 172nd St</t>
  </si>
  <si>
    <t>20 W 190th St</t>
  </si>
  <si>
    <t>2322 Loring Pl N</t>
  </si>
  <si>
    <t>329 Beach 70th St</t>
  </si>
  <si>
    <t>1540 Walton Ave</t>
  </si>
  <si>
    <t>546 E 145th St</t>
  </si>
  <si>
    <t>1566 Eastern Pkwy</t>
  </si>
  <si>
    <t>5124 Beach Channel Dr</t>
  </si>
  <si>
    <t>345 Chauncey St</t>
  </si>
  <si>
    <t>1015 Gerard Ave</t>
  </si>
  <si>
    <t>107 Somers St</t>
  </si>
  <si>
    <t>20 Vandalia Ave</t>
  </si>
  <si>
    <t>902 Drew st</t>
  </si>
  <si>
    <t>1685 Topping Ave</t>
  </si>
  <si>
    <t>1409 Prospect Ave</t>
  </si>
  <si>
    <t>1935 Bergen St</t>
  </si>
  <si>
    <t>531 W 145th St</t>
  </si>
  <si>
    <t>640 Beach 69th St</t>
  </si>
  <si>
    <t>973 Saint Marks Ave</t>
  </si>
  <si>
    <t>343 Herzl St</t>
  </si>
  <si>
    <t>8 Rutland Rd</t>
  </si>
  <si>
    <t>1520 Sedgwick Ave</t>
  </si>
  <si>
    <t>228a Jersey St</t>
  </si>
  <si>
    <t>1315 Merriam Ave</t>
  </si>
  <si>
    <t>7002 Parsons Blvd</t>
  </si>
  <si>
    <t>1414 Walton Ave</t>
  </si>
  <si>
    <t>P.O. Box 840</t>
  </si>
  <si>
    <t>1841 Univ Ave</t>
  </si>
  <si>
    <t>11618 147th St</t>
  </si>
  <si>
    <t>765 Lincoln Ave</t>
  </si>
  <si>
    <t>1162 Washington Ave</t>
  </si>
  <si>
    <t>645 Prospect Ave</t>
  </si>
  <si>
    <t>34 Monroe Ave</t>
  </si>
  <si>
    <t>364 W 18th St</t>
  </si>
  <si>
    <t>165 Saint Marks Pl</t>
  </si>
  <si>
    <t>556 Thomas S Boyland St</t>
  </si>
  <si>
    <t>1534 Selwyn Ave</t>
  </si>
  <si>
    <t>1781 Riverside Dr</t>
  </si>
  <si>
    <t>30 E 95th St</t>
  </si>
  <si>
    <t>2226 Loring Pl N</t>
  </si>
  <si>
    <t>148 Marcus Garvey Blvd</t>
  </si>
  <si>
    <t>91 Junius St</t>
  </si>
  <si>
    <t>248 Audubon Ave</t>
  </si>
  <si>
    <t>1240 Walton Ave</t>
  </si>
  <si>
    <t>181 Beach 25th St</t>
  </si>
  <si>
    <t>549 Cleveland St</t>
  </si>
  <si>
    <t>16 Sandra Ln</t>
  </si>
  <si>
    <t>60 Hamilton Ave</t>
  </si>
  <si>
    <t>731 LInden blvd</t>
  </si>
  <si>
    <t>14420 41st ave</t>
  </si>
  <si>
    <t>11810 193rd St</t>
  </si>
  <si>
    <t>316 Troutman St</t>
  </si>
  <si>
    <t>48 Van Siclen Ave</t>
  </si>
  <si>
    <t>9102 Sutter Ave</t>
  </si>
  <si>
    <t>131 Broome St</t>
  </si>
  <si>
    <t>554 W 181st St</t>
  </si>
  <si>
    <t>277 Rockaway Pkwy</t>
  </si>
  <si>
    <t>1770 Davidson Ave</t>
  </si>
  <si>
    <t>8355 Austin St</t>
  </si>
  <si>
    <t>1197 Grand Concourse</t>
  </si>
  <si>
    <t>2277 Andrews Ave</t>
  </si>
  <si>
    <t>966 Saint Nicholas Ave</t>
  </si>
  <si>
    <t>13753 234th St</t>
  </si>
  <si>
    <t>3519 161st St</t>
  </si>
  <si>
    <t>91 Brook St</t>
  </si>
  <si>
    <t>200 Nagle Ave</t>
  </si>
  <si>
    <t>89 W Tremont Ave</t>
  </si>
  <si>
    <t>2328 28th Ave</t>
  </si>
  <si>
    <t>723 Hancock St</t>
  </si>
  <si>
    <t>327 Franklin Ave</t>
  </si>
  <si>
    <t>2055 Harrison Ave</t>
  </si>
  <si>
    <t>31 Aberdeen St</t>
  </si>
  <si>
    <t>1314 Eastern Pkwy</t>
  </si>
  <si>
    <t>291 Bainbridge St</t>
  </si>
  <si>
    <t>8 W 169th St</t>
  </si>
  <si>
    <t>437 Wyona St</t>
  </si>
  <si>
    <t>10204 89th St</t>
  </si>
  <si>
    <t>631 W 207th St</t>
  </si>
  <si>
    <t>2251 Dix Ave</t>
  </si>
  <si>
    <t>433 Rogers Ave</t>
  </si>
  <si>
    <t>207 Bainbridge St</t>
  </si>
  <si>
    <t>711 Macon St</t>
  </si>
  <si>
    <t>1221 Vyse Ave</t>
  </si>
  <si>
    <t>335 E 115th St # 7</t>
  </si>
  <si>
    <t>14623 220th St</t>
  </si>
  <si>
    <t>521 W 185th St</t>
  </si>
  <si>
    <t>4124 45th St</t>
  </si>
  <si>
    <t>6685 Broadway</t>
  </si>
  <si>
    <t>64 Austin Ave</t>
  </si>
  <si>
    <t>124 E 117th St</t>
  </si>
  <si>
    <t>143 Hull St</t>
  </si>
  <si>
    <t>132 Scribner Ave</t>
  </si>
  <si>
    <t>9411 Shore Rd</t>
  </si>
  <si>
    <t>5039 61st St</t>
  </si>
  <si>
    <t>2024 Bergen St</t>
  </si>
  <si>
    <t>385 Prospect Ave</t>
  </si>
  <si>
    <t>40 Gouverneur St</t>
  </si>
  <si>
    <t>11560 204th St</t>
  </si>
  <si>
    <t>130 Vandalia Ave</t>
  </si>
  <si>
    <t>498 Halsey St</t>
  </si>
  <si>
    <t>901 franklin ave</t>
  </si>
  <si>
    <t>550 Snediker Ave</t>
  </si>
  <si>
    <t>108 Norwood Ave</t>
  </si>
  <si>
    <t>739 E 242nd St</t>
  </si>
  <si>
    <t>2 Carroll Pl</t>
  </si>
  <si>
    <t>2816 Jerome Ave</t>
  </si>
  <si>
    <t>14 prospect ave</t>
  </si>
  <si>
    <t>1380 Univ Ave</t>
  </si>
  <si>
    <t>951 Hoe Ave</t>
  </si>
  <si>
    <t>1454 Grand Concourse</t>
  </si>
  <si>
    <t>1233 White Plains Rd</t>
  </si>
  <si>
    <t>90 Laurel Hill Ter</t>
  </si>
  <si>
    <t>344 E 148 Street</t>
  </si>
  <si>
    <t>580 W 215th St</t>
  </si>
  <si>
    <t>160 Vermilyea Ave</t>
  </si>
  <si>
    <t>452 53rd St</t>
  </si>
  <si>
    <t>1664 Davidson Ave</t>
  </si>
  <si>
    <t>2701 Grand Concourse</t>
  </si>
  <si>
    <t>520 Tinton Ave</t>
  </si>
  <si>
    <t>1535 Undercliff Ave</t>
  </si>
  <si>
    <t>1551 Sheridan Ave</t>
  </si>
  <si>
    <t>18 Jabcobus Place</t>
  </si>
  <si>
    <t>2575 Jerome Ave</t>
  </si>
  <si>
    <t>1933 Union St</t>
  </si>
  <si>
    <t>350 Vanderbilt Ave</t>
  </si>
  <si>
    <t>610 Academy St</t>
  </si>
  <si>
    <t>666 W 188th St</t>
  </si>
  <si>
    <t>25-31 Post Avenue</t>
  </si>
  <si>
    <t>4049 167th St</t>
  </si>
  <si>
    <t>3706 107th St</t>
  </si>
  <si>
    <t>13912 34th Rd</t>
  </si>
  <si>
    <t>1953 Sedgwick Ave</t>
  </si>
  <si>
    <t>135 Roff St</t>
  </si>
  <si>
    <t>99 Marble Hill Ave</t>
  </si>
  <si>
    <t>3310 Bayview Ave</t>
  </si>
  <si>
    <t>7414 Rockaway Blvd</t>
  </si>
  <si>
    <t>153 Vermilyea Ave</t>
  </si>
  <si>
    <t>10 Post Ave</t>
  </si>
  <si>
    <t>2932 Beach Channel Dr</t>
  </si>
  <si>
    <t>395 Troy Ave</t>
  </si>
  <si>
    <t>631 E 222nd St</t>
  </si>
  <si>
    <t>461 Milford St</t>
  </si>
  <si>
    <t>532 W 145th St</t>
  </si>
  <si>
    <t>1051 Anderson Ave</t>
  </si>
  <si>
    <t>858 Blake Ave</t>
  </si>
  <si>
    <t>517 W 212th St</t>
  </si>
  <si>
    <t>3366 Decatur Ave</t>
  </si>
  <si>
    <t>80 Bruckner Blvd</t>
  </si>
  <si>
    <t>16 Van Buren St</t>
  </si>
  <si>
    <t>168 Sherman Ave</t>
  </si>
  <si>
    <t>160 Park Hill Ave</t>
  </si>
  <si>
    <t>300 Vernon Ave</t>
  </si>
  <si>
    <t>1003 Willmohr St</t>
  </si>
  <si>
    <t>117 E 130th St</t>
  </si>
  <si>
    <t>2323 Walton Ave</t>
  </si>
  <si>
    <t>119 E 100th St</t>
  </si>
  <si>
    <t>180 E 18th St</t>
  </si>
  <si>
    <t>148 Corson Ave</t>
  </si>
  <si>
    <t>50 Legion St</t>
  </si>
  <si>
    <t>1390 Greene Ave</t>
  </si>
  <si>
    <t>835 Home St</t>
  </si>
  <si>
    <t>54 Bristol St</t>
  </si>
  <si>
    <t>10741 Sutphin Blvd</t>
  </si>
  <si>
    <t>1461 Commonwealth Ave</t>
  </si>
  <si>
    <t>14218 60th Ave</t>
  </si>
  <si>
    <t>1705 Zerega Ave</t>
  </si>
  <si>
    <t>941 Jerome ave</t>
  </si>
  <si>
    <t>14435 Roosevelt Ave</t>
  </si>
  <si>
    <t>294 Grove St</t>
  </si>
  <si>
    <t>1844 Stuart St</t>
  </si>
  <si>
    <t>232 Schenectady Ave</t>
  </si>
  <si>
    <t>392 Rockaway Pkwy</t>
  </si>
  <si>
    <t>749 Lafayette Ave</t>
  </si>
  <si>
    <t>3971 Gouverneur Ave</t>
  </si>
  <si>
    <t>226 W 144th St</t>
  </si>
  <si>
    <t>2695 Heath Ave</t>
  </si>
  <si>
    <t>1212 Grand Concourse</t>
  </si>
  <si>
    <t>1750 Sedgwick Ave</t>
  </si>
  <si>
    <t>315 E 102nd St</t>
  </si>
  <si>
    <t>8757 124th St</t>
  </si>
  <si>
    <t>1220 Shakespeare Ave</t>
  </si>
  <si>
    <t>5763 wadsworth terrace</t>
  </si>
  <si>
    <t>57-63 wadsworth terrace</t>
  </si>
  <si>
    <t>1950 Andrews Ave</t>
  </si>
  <si>
    <t>901 Walton Avenue</t>
  </si>
  <si>
    <t>146 Beach 59th St</t>
  </si>
  <si>
    <t>4 Hardy St</t>
  </si>
  <si>
    <t>296A Marion St</t>
  </si>
  <si>
    <t>530 Isham St</t>
  </si>
  <si>
    <t>6536 99th St</t>
  </si>
  <si>
    <t>3530 153rd St</t>
  </si>
  <si>
    <t>1523 123rd St</t>
  </si>
  <si>
    <t>429 Bergen St</t>
  </si>
  <si>
    <t>1985 Webster Ave</t>
  </si>
  <si>
    <t>13020 Inwood St</t>
  </si>
  <si>
    <t>37-25 6th Street</t>
  </si>
  <si>
    <t>385 Lewis Ave</t>
  </si>
  <si>
    <t>411 Westervelt Ave</t>
  </si>
  <si>
    <t>269 E Burnside Ave</t>
  </si>
  <si>
    <t>426 Harold Ave</t>
  </si>
  <si>
    <t>519 W 143rd St</t>
  </si>
  <si>
    <t>1500 Hoe Ave</t>
  </si>
  <si>
    <t>1880 Valentine Ave</t>
  </si>
  <si>
    <t>226 E 203rd St</t>
  </si>
  <si>
    <t>207 Schaefer st</t>
  </si>
  <si>
    <t>1262 Lafayette Ave</t>
  </si>
  <si>
    <t>1515 Metropolitan Ave</t>
  </si>
  <si>
    <t>220 Osgood Ave</t>
  </si>
  <si>
    <t>2109 1st Ave</t>
  </si>
  <si>
    <t>1752 Walton Ave</t>
  </si>
  <si>
    <t>1245 Grandview Pl</t>
  </si>
  <si>
    <t>1740 Prospect Pl</t>
  </si>
  <si>
    <t>711 W 180th St</t>
  </si>
  <si>
    <t>4960 Broadway</t>
  </si>
  <si>
    <t>7250 153rd St</t>
  </si>
  <si>
    <t>108 Central Ave</t>
  </si>
  <si>
    <t>152 Marcus Garvey Blvd</t>
  </si>
  <si>
    <t>10929 Sutphin Blvd</t>
  </si>
  <si>
    <t>8243 51st Ave</t>
  </si>
  <si>
    <t>3424 Gates Pl</t>
  </si>
  <si>
    <t>2776 Valentine Ave</t>
  </si>
  <si>
    <t>106 Gerry St</t>
  </si>
  <si>
    <t>2168 Fulton St</t>
  </si>
  <si>
    <t>1432 Pacific St</t>
  </si>
  <si>
    <t>468 Gates Ave</t>
  </si>
  <si>
    <t>643 Central Ave</t>
  </si>
  <si>
    <t>1129 Vyse Ave</t>
  </si>
  <si>
    <t>19 E 109th St</t>
  </si>
  <si>
    <t>477 Saratoga Ave</t>
  </si>
  <si>
    <t>95 Seaman Ave</t>
  </si>
  <si>
    <t>706 E 11th St</t>
  </si>
  <si>
    <t>63 Nichols Ave</t>
  </si>
  <si>
    <t>2111 Lafontaine Ave</t>
  </si>
  <si>
    <t>685 Academy St</t>
  </si>
  <si>
    <t>1175 Gerard Ave</t>
  </si>
  <si>
    <t>8806 parsons blvd</t>
  </si>
  <si>
    <t>395 Autumn Ave</t>
  </si>
  <si>
    <t>249 Thomas S Boyland st</t>
  </si>
  <si>
    <t>166 W 118th St</t>
  </si>
  <si>
    <t>64 Vermilyea Ave</t>
  </si>
  <si>
    <t>2244 Morris Ave</t>
  </si>
  <si>
    <t>2750 W 33rd St</t>
  </si>
  <si>
    <t>78 Van Duzer St</t>
  </si>
  <si>
    <t>1858 W 12th St</t>
  </si>
  <si>
    <t>25 Vermilyea Ave</t>
  </si>
  <si>
    <t>2243 Ryer Ave</t>
  </si>
  <si>
    <t>3420 78TH St</t>
  </si>
  <si>
    <t>1026 E 180th St</t>
  </si>
  <si>
    <t>205 Avenue C</t>
  </si>
  <si>
    <t>1326 Grand Concourse</t>
  </si>
  <si>
    <t>555 W 173rd St</t>
  </si>
  <si>
    <t>252 Sherman Ave</t>
  </si>
  <si>
    <t>545 Bradford St</t>
  </si>
  <si>
    <t>1892 Morris Ave</t>
  </si>
  <si>
    <t>790 Eldert Ln</t>
  </si>
  <si>
    <t>34-15 Parsons Blvd</t>
  </si>
  <si>
    <t>301 W 138TH ST</t>
  </si>
  <si>
    <t>248 Bainbridge st</t>
  </si>
  <si>
    <t>312 11th Ave</t>
  </si>
  <si>
    <t>271 67th st</t>
  </si>
  <si>
    <t>110 Rochester Ave</t>
  </si>
  <si>
    <t>830 Beck St</t>
  </si>
  <si>
    <t>2044 Bergen St</t>
  </si>
  <si>
    <t>1122 Herkimer St</t>
  </si>
  <si>
    <t>142 Brighton Ave</t>
  </si>
  <si>
    <t>24115 86th Ave</t>
  </si>
  <si>
    <t>144 Gatling Pl</t>
  </si>
  <si>
    <t>1355 Morris Ave</t>
  </si>
  <si>
    <t>911 Walton Ave</t>
  </si>
  <si>
    <t>48 Saint Marks Pl</t>
  </si>
  <si>
    <t>2263 64th St</t>
  </si>
  <si>
    <t>693 Flatbush Ave</t>
  </si>
  <si>
    <t>1466 Beach Ave</t>
  </si>
  <si>
    <t>3354 83rd St</t>
  </si>
  <si>
    <t>3551 95th St</t>
  </si>
  <si>
    <t>53 Luke Ct</t>
  </si>
  <si>
    <t>915 Kelly St</t>
  </si>
  <si>
    <t>2028 Morris Ave</t>
  </si>
  <si>
    <t>30 Richman Plz</t>
  </si>
  <si>
    <t>521-523 West 180th Street</t>
  </si>
  <si>
    <t>535 E 142nd St</t>
  </si>
  <si>
    <t>921 E 180th St</t>
  </si>
  <si>
    <t>110 W End Ave</t>
  </si>
  <si>
    <t>9213 76th St</t>
  </si>
  <si>
    <t>164 Winter Ave</t>
  </si>
  <si>
    <t>1336 Herkimer St</t>
  </si>
  <si>
    <t>436 49th St</t>
  </si>
  <si>
    <t>88 Seaman Ave</t>
  </si>
  <si>
    <t>175 Ardsley Loop</t>
  </si>
  <si>
    <t>1020 Gerard Ave</t>
  </si>
  <si>
    <t>19619 Jamaica Ave</t>
  </si>
  <si>
    <t>3530 94th St</t>
  </si>
  <si>
    <t>829 Halsey St</t>
  </si>
  <si>
    <t>779 Concourse Vlg E</t>
  </si>
  <si>
    <t>605 W 42nd St</t>
  </si>
  <si>
    <t>509 W 212th St</t>
  </si>
  <si>
    <t>2205 Creston Ave</t>
  </si>
  <si>
    <t>1855 Monroe Ave</t>
  </si>
  <si>
    <t>1370 Saint Nicholas Ave</t>
  </si>
  <si>
    <t>3629 191st St</t>
  </si>
  <si>
    <t>4135 149th St</t>
  </si>
  <si>
    <t>1505 Macombs Rd</t>
  </si>
  <si>
    <t>564 Williams Ave</t>
  </si>
  <si>
    <t>1122 Herkimer st</t>
  </si>
  <si>
    <t>1 Jacobus Pl</t>
  </si>
  <si>
    <t>1875 Univ Ave</t>
  </si>
  <si>
    <t>957 Aldus St</t>
  </si>
  <si>
    <t>5 Slosson Ter</t>
  </si>
  <si>
    <t>1254 Decatur St</t>
  </si>
  <si>
    <t>817 Union Ave</t>
  </si>
  <si>
    <t>182 Nagle Ave</t>
  </si>
  <si>
    <t>860 Riverside Dr</t>
  </si>
  <si>
    <t>14430 Roosevelt Ave</t>
  </si>
  <si>
    <t>10 Stanton St</t>
  </si>
  <si>
    <t>1460 Grand Concourse</t>
  </si>
  <si>
    <t>602 44th St</t>
  </si>
  <si>
    <t>1015 E 179th st</t>
  </si>
  <si>
    <t>737 Southern Blvd</t>
  </si>
  <si>
    <t>125 Marcy Pl</t>
  </si>
  <si>
    <t>211 W 101st St</t>
  </si>
  <si>
    <t>12 Bangor St</t>
  </si>
  <si>
    <t>133 Elliot Pl</t>
  </si>
  <si>
    <t>359 E 163rd St</t>
  </si>
  <si>
    <t>72 Villanova St</t>
  </si>
  <si>
    <t>10721 Jamaica Ave</t>
  </si>
  <si>
    <t>324 Beach 63rd Ar</t>
  </si>
  <si>
    <t>19154 115th Rd</t>
  </si>
  <si>
    <t>1377 Teller Ave</t>
  </si>
  <si>
    <t>2518 Seagirt Ave</t>
  </si>
  <si>
    <t>73 Vermilyea Ave</t>
  </si>
  <si>
    <t>13046 226th St</t>
  </si>
  <si>
    <t>4382 Furman Ave</t>
  </si>
  <si>
    <t>1339 Bristow St</t>
  </si>
  <si>
    <t>161 E 96th St</t>
  </si>
  <si>
    <t>620 W 182nd St</t>
  </si>
  <si>
    <t>329 Beach 86th St</t>
  </si>
  <si>
    <t>176 Nagle Ave # 182</t>
  </si>
  <si>
    <t>135 Terrace View Ave</t>
  </si>
  <si>
    <t>707 W 171st St</t>
  </si>
  <si>
    <t>535 W 151st St</t>
  </si>
  <si>
    <t>145 W Kingsbridge Rd</t>
  </si>
  <si>
    <t>1515 Macombs Rd</t>
  </si>
  <si>
    <t>650 W 173rd St</t>
  </si>
  <si>
    <t>751 Gerard Ave</t>
  </si>
  <si>
    <t>451 E 116th St</t>
  </si>
  <si>
    <t>115 Atkins Ave</t>
  </si>
  <si>
    <t>8645 Saint James Ave</t>
  </si>
  <si>
    <t>6637 53rd Ave</t>
  </si>
  <si>
    <t>1900 Hennessy Pl</t>
  </si>
  <si>
    <t>89-95 Seaman Avenue</t>
  </si>
  <si>
    <t>1704 Saint Johns Pl</t>
  </si>
  <si>
    <t>385 Chestnut St</t>
  </si>
  <si>
    <t>12 E 177th St</t>
  </si>
  <si>
    <t>1661 Saint Johns Pl</t>
  </si>
  <si>
    <t>9720 Kings Hwy</t>
  </si>
  <si>
    <t>9 E 124th St</t>
  </si>
  <si>
    <t>396 Saratoga Ave</t>
  </si>
  <si>
    <t>1447 Gipson St</t>
  </si>
  <si>
    <t>3063 Buhre Ave</t>
  </si>
  <si>
    <t>1652 Park Ave</t>
  </si>
  <si>
    <t>3534 Bronx Blvd</t>
  </si>
  <si>
    <t>350 Pennsylvania Ave</t>
  </si>
  <si>
    <t>248 Sherman Ave</t>
  </si>
  <si>
    <t>1011 Sheridan Ave</t>
  </si>
  <si>
    <t>219 Sullivan Pl</t>
  </si>
  <si>
    <t>5930 108th St</t>
  </si>
  <si>
    <t>408 Lincoln Ave</t>
  </si>
  <si>
    <t>37 Avon Pl</t>
  </si>
  <si>
    <t>1068 Gerard Ave</t>
  </si>
  <si>
    <t>1520 sedgwick ave</t>
  </si>
  <si>
    <t>2145 Amsterdam Ave</t>
  </si>
  <si>
    <t>35 E Clarke Pl</t>
  </si>
  <si>
    <t>2092 Dean St</t>
  </si>
  <si>
    <t>1005 Jerome Ave</t>
  </si>
  <si>
    <t>1064 Ward Ave</t>
  </si>
  <si>
    <t>1085 Walton ave</t>
  </si>
  <si>
    <t>109 E 59th St</t>
  </si>
  <si>
    <t>461 Dean St</t>
  </si>
  <si>
    <t>178 Rockaway Pkwy</t>
  </si>
  <si>
    <t>115 Marcy Pl</t>
  </si>
  <si>
    <t>750 Grand Concourse</t>
  </si>
  <si>
    <t>356 Sumpter St</t>
  </si>
  <si>
    <t>200 Rogers Ave</t>
  </si>
  <si>
    <t>811 Saint Johns Pl</t>
  </si>
  <si>
    <t>1074 Eastern Pkwy</t>
  </si>
  <si>
    <t>555 Lincoln Ave</t>
  </si>
  <si>
    <t>109 Laurel Ave</t>
  </si>
  <si>
    <t>355 E 187th St</t>
  </si>
  <si>
    <t>121 Sherman Ave</t>
  </si>
  <si>
    <t>2705 Marion Ave</t>
  </si>
  <si>
    <t>1860 Billingsley Ter</t>
  </si>
  <si>
    <t>2022 3rd Ave</t>
  </si>
  <si>
    <t>1070 Ogden Ave</t>
  </si>
  <si>
    <t>271 Hawthorne St</t>
  </si>
  <si>
    <t>485 17th St</t>
  </si>
  <si>
    <t>567 Macon St</t>
  </si>
  <si>
    <t>215 Targee St</t>
  </si>
  <si>
    <t>321 Milford St</t>
  </si>
  <si>
    <t>1039 Simpson St</t>
  </si>
  <si>
    <t>131 Jersey St</t>
  </si>
  <si>
    <t>1624 Madison Ave</t>
  </si>
  <si>
    <t>1360 Eastern Pkwy</t>
  </si>
  <si>
    <t>1115 1st Ave</t>
  </si>
  <si>
    <t>873 Intervale Ave</t>
  </si>
  <si>
    <t>945 E 163rd St</t>
  </si>
  <si>
    <t>55 W 100th St</t>
  </si>
  <si>
    <t>446 E 98th St</t>
  </si>
  <si>
    <t>40 Wyckoff St</t>
  </si>
  <si>
    <t>13720 45th Ave</t>
  </si>
  <si>
    <t>1201 Shakespeare Ave</t>
  </si>
  <si>
    <t>115 Hamilton Pl</t>
  </si>
  <si>
    <t>8510 148th St</t>
  </si>
  <si>
    <t>1004 Montgomery St</t>
  </si>
  <si>
    <t>1630 Macombs Rd</t>
  </si>
  <si>
    <t>748 Macdonough St</t>
  </si>
  <si>
    <t>458 Ruby St</t>
  </si>
  <si>
    <t>4455 Broadway</t>
  </si>
  <si>
    <t>119 Vermilyea Ave</t>
  </si>
  <si>
    <t>120 W 183rd St</t>
  </si>
  <si>
    <t>284 Eastern Pkwy</t>
  </si>
  <si>
    <t>393 Montauk Ave</t>
  </si>
  <si>
    <t>736 Willoughby Ave</t>
  </si>
  <si>
    <t>150 Hendricks Ave</t>
  </si>
  <si>
    <t>280 Park Hill Ave</t>
  </si>
  <si>
    <t>10 Kimberly Ln</t>
  </si>
  <si>
    <t>800 Hancock St</t>
  </si>
  <si>
    <t>7 Hegeman Ave</t>
  </si>
  <si>
    <t>643 Thieriot Ave</t>
  </si>
  <si>
    <t>598 W 191st St</t>
  </si>
  <si>
    <t>559 W 156th St</t>
  </si>
  <si>
    <t>78 Havemeyer St Apt 4</t>
  </si>
  <si>
    <t>1452 Beach Ave</t>
  </si>
  <si>
    <t>185 Saint Marks Pl</t>
  </si>
  <si>
    <t>220 W 149th St</t>
  </si>
  <si>
    <t>14308 Roosevelt Ave</t>
  </si>
  <si>
    <t>840 E 8th St</t>
  </si>
  <si>
    <t>347 E 119th St</t>
  </si>
  <si>
    <t>8 Navy Pier Ct</t>
  </si>
  <si>
    <t>501 W 189th St</t>
  </si>
  <si>
    <t>247 Audubon Ave</t>
  </si>
  <si>
    <t>950 Aldus St</t>
  </si>
  <si>
    <t>701 W 179th St</t>
  </si>
  <si>
    <t>2115 Honeywell Ave</t>
  </si>
  <si>
    <t>163 E 106th St</t>
  </si>
  <si>
    <t>20 Sherman Ave</t>
  </si>
  <si>
    <t>26-47A Far Rockaway</t>
  </si>
  <si>
    <t>3413 Avenue H</t>
  </si>
  <si>
    <t>21 Saint Pauls Ct</t>
  </si>
  <si>
    <t>2999 8th Ave</t>
  </si>
  <si>
    <t>282 E 35th St</t>
  </si>
  <si>
    <t>2187 Strauss St</t>
  </si>
  <si>
    <t>1410 New Haven Ave</t>
  </si>
  <si>
    <t>471 Hicks St</t>
  </si>
  <si>
    <t>2284 Grand Ave</t>
  </si>
  <si>
    <t>788 E 182nd ST</t>
  </si>
  <si>
    <t>6 E 167th St</t>
  </si>
  <si>
    <t>276 Greeley Ave</t>
  </si>
  <si>
    <t>48 Post Ave</t>
  </si>
  <si>
    <t>521 W 186th St</t>
  </si>
  <si>
    <t>2180 Grand Concourse</t>
  </si>
  <si>
    <t>711D Seagirt Ave</t>
  </si>
  <si>
    <t>2351 Pacific St</t>
  </si>
  <si>
    <t>23 Tessa Ct</t>
  </si>
  <si>
    <t>558 W 164th St</t>
  </si>
  <si>
    <t>866 E 178th St</t>
  </si>
  <si>
    <t>386 Autumn Ave</t>
  </si>
  <si>
    <t>12911 Jamaica Ave</t>
  </si>
  <si>
    <t>607 Flatbush Ave</t>
  </si>
  <si>
    <t>1170 Gerard Ave</t>
  </si>
  <si>
    <t>60 Thayer St</t>
  </si>
  <si>
    <t>257 Linden St</t>
  </si>
  <si>
    <t>170 Vermilyea Ave</t>
  </si>
  <si>
    <t>20 E 179th St</t>
  </si>
  <si>
    <t>14412 28th Ave</t>
  </si>
  <si>
    <t>8806 Parsons Blvd</t>
  </si>
  <si>
    <t>399 Kosciuszko St</t>
  </si>
  <si>
    <t>2985 Botanical Sq</t>
  </si>
  <si>
    <t>899 Westchester Ave</t>
  </si>
  <si>
    <t>327 43rd St</t>
  </si>
  <si>
    <t>3405 Putnam Pl</t>
  </si>
  <si>
    <t>228 Nagle Ave</t>
  </si>
  <si>
    <t>26 Post Ave</t>
  </si>
  <si>
    <t>207 Park Pl</t>
  </si>
  <si>
    <t>535 Jackson Ave</t>
  </si>
  <si>
    <t>1820 Phelan Pl</t>
  </si>
  <si>
    <t>177 E 117th st</t>
  </si>
  <si>
    <t>104 Vermilyea Ave</t>
  </si>
  <si>
    <t>174 Riverdale Ave</t>
  </si>
  <si>
    <t>1325 Lafayette Ave</t>
  </si>
  <si>
    <t>3510 Bainbridge Ave</t>
  </si>
  <si>
    <t>93 Arnold St</t>
  </si>
  <si>
    <t>722 Van Siclen Ave</t>
  </si>
  <si>
    <t>125 Sherman Avenue</t>
  </si>
  <si>
    <t>655 Morris Ave</t>
  </si>
  <si>
    <t>2305 2nd Ave</t>
  </si>
  <si>
    <t>760 Park Ave</t>
  </si>
  <si>
    <t>45 Twin Pines Dr</t>
  </si>
  <si>
    <t>230 President St</t>
  </si>
  <si>
    <t>1096 President St</t>
  </si>
  <si>
    <t>420 Watkins St</t>
  </si>
  <si>
    <t>96 Linwood St</t>
  </si>
  <si>
    <t>4466 21st St</t>
  </si>
  <si>
    <t>15 Jacobus Pl</t>
  </si>
  <si>
    <t>1805 Crotona Ave</t>
  </si>
  <si>
    <t>2018 Monterey Ave</t>
  </si>
  <si>
    <t>4567 W. Tremont Avenue</t>
  </si>
  <si>
    <t>1615 Walton Ave</t>
  </si>
  <si>
    <t>93 Scribner Ave</t>
  </si>
  <si>
    <t>11 Fort George Hill</t>
  </si>
  <si>
    <t>20-26 Bogardus Pl</t>
  </si>
  <si>
    <t>124 E 117th ST</t>
  </si>
  <si>
    <t>66 Post Ave</t>
  </si>
  <si>
    <t>272 Sherman ave</t>
  </si>
  <si>
    <t>251 E 105th St</t>
  </si>
  <si>
    <t>131 BROOME ST</t>
  </si>
  <si>
    <t>72 Richardson St</t>
  </si>
  <si>
    <t>711 Seagirt Avenue</t>
  </si>
  <si>
    <t>21810 Spencer Ave</t>
  </si>
  <si>
    <t>11714 Van Wyck Expy</t>
  </si>
  <si>
    <t>20214 Hollis Ave</t>
  </si>
  <si>
    <t>600 Ocean Ave</t>
  </si>
  <si>
    <t>1145 Morrison Ave</t>
  </si>
  <si>
    <t>1023 Southern Blvd</t>
  </si>
  <si>
    <t>255 E 176th St</t>
  </si>
  <si>
    <t>1100 Franklin Ave</t>
  </si>
  <si>
    <t>2170 Univ Ave</t>
  </si>
  <si>
    <t>900 Ogden Ave</t>
  </si>
  <si>
    <t>526 W 211th St</t>
  </si>
  <si>
    <t>1440 Freeport Loop</t>
  </si>
  <si>
    <t>660 Nereid Ave</t>
  </si>
  <si>
    <t>2242 Tiebout Ave</t>
  </si>
  <si>
    <t>1185 Grand Concourse</t>
  </si>
  <si>
    <t>180 Park Hill Ave</t>
  </si>
  <si>
    <t>645 Central Ave</t>
  </si>
  <si>
    <t>1510 Jesup Ave</t>
  </si>
  <si>
    <t>2160 dean st</t>
  </si>
  <si>
    <t>31 Park Ter W</t>
  </si>
  <si>
    <t>7313 70th St</t>
  </si>
  <si>
    <t>3757 Barnes Ave</t>
  </si>
  <si>
    <t>45 Pinehurst Ave</t>
  </si>
  <si>
    <t>211 Riverdale Ave</t>
  </si>
  <si>
    <t>318 E 126th St</t>
  </si>
  <si>
    <t>1951 Park Ave</t>
  </si>
  <si>
    <t>830 Elton Ave</t>
  </si>
  <si>
    <t>759 46th St</t>
  </si>
  <si>
    <t>123 E 129th St</t>
  </si>
  <si>
    <t>984 Halsey St</t>
  </si>
  <si>
    <t>595 W 207th St</t>
  </si>
  <si>
    <t>1777 grand concourse</t>
  </si>
  <si>
    <t>650 New Jersey Ave</t>
  </si>
  <si>
    <t>1827 Nostrand Ave</t>
  </si>
  <si>
    <t>7 Bell Slip</t>
  </si>
  <si>
    <t>58 Lewis Ave</t>
  </si>
  <si>
    <t>31 Mount Hope Pl # 30</t>
  </si>
  <si>
    <t>250 Beach 15th St</t>
  </si>
  <si>
    <t>184 Irving Ave</t>
  </si>
  <si>
    <t>1990 Lexington Ave</t>
  </si>
  <si>
    <t>618 Academy St</t>
  </si>
  <si>
    <t>36 Bedford Park Blvd E</t>
  </si>
  <si>
    <t>1873 Park Pl</t>
  </si>
  <si>
    <t>135 E 149th St</t>
  </si>
  <si>
    <t>481 W 165th St</t>
  </si>
  <si>
    <t>2 Elton st</t>
  </si>
  <si>
    <t>1008 Summit Ave</t>
  </si>
  <si>
    <t>2449 33rd St</t>
  </si>
  <si>
    <t>9608 57th Ave</t>
  </si>
  <si>
    <t>181 Rockaway Pkwy</t>
  </si>
  <si>
    <t>719 Chauncey St</t>
  </si>
  <si>
    <t>141 Hendricks Ave</t>
  </si>
  <si>
    <t>114 E 104th St</t>
  </si>
  <si>
    <t>17 Renwick Ave</t>
  </si>
  <si>
    <t>15754 21st Ave</t>
  </si>
  <si>
    <t>14210 Roosevelt Ave</t>
  </si>
  <si>
    <t>152 Sherman Avenue</t>
  </si>
  <si>
    <t>765 Lincon Ave</t>
  </si>
  <si>
    <t>516 W 156th St</t>
  </si>
  <si>
    <t>85 Bristol St</t>
  </si>
  <si>
    <t>890 Flushing Ave</t>
  </si>
  <si>
    <t>2386 Ryer Ave</t>
  </si>
  <si>
    <t>1760 Madison Ave</t>
  </si>
  <si>
    <t>333 3rd Ave</t>
  </si>
  <si>
    <t>2162 Valentine Ave</t>
  </si>
  <si>
    <t>2574 Bedford Ave</t>
  </si>
  <si>
    <t>79 W 182nd St</t>
  </si>
  <si>
    <t>1304 Merriam Ave</t>
  </si>
  <si>
    <t>16212 95th St</t>
  </si>
  <si>
    <t>1255 Blake Ave</t>
  </si>
  <si>
    <t>1284 Herkimer St</t>
  </si>
  <si>
    <t>1500 Hornell Loop</t>
  </si>
  <si>
    <t>628 E 17th St</t>
  </si>
  <si>
    <t>750 Rockaway Ave</t>
  </si>
  <si>
    <t>179 Riverdale Ave</t>
  </si>
  <si>
    <t>618 Livonia Ave</t>
  </si>
  <si>
    <t>67 Manhattan Ave</t>
  </si>
  <si>
    <t>1269 Grand Concourse</t>
  </si>
  <si>
    <t>119 Shotwell Ave</t>
  </si>
  <si>
    <t>520 Isham St</t>
  </si>
  <si>
    <t>340 E 112th St</t>
  </si>
  <si>
    <t>95 Linden Blvd</t>
  </si>
  <si>
    <t>275 E Gun Hill Rd</t>
  </si>
  <si>
    <t>1505 Grand Concourse</t>
  </si>
  <si>
    <t>1512 Townfend Ave</t>
  </si>
  <si>
    <t>1310 Sheridan Ave</t>
  </si>
  <si>
    <t>3230 93rd St</t>
  </si>
  <si>
    <t>198 Crescent St</t>
  </si>
  <si>
    <t>226 W Tremont Ave</t>
  </si>
  <si>
    <t>691 Gerard Ave</t>
  </si>
  <si>
    <t>517 W 160th St</t>
  </si>
  <si>
    <t>2342 Atlantic Ave</t>
  </si>
  <si>
    <t>6336 98th Pl</t>
  </si>
  <si>
    <t>58 Orchard St</t>
  </si>
  <si>
    <t>1397 Stanley Ave</t>
  </si>
  <si>
    <t>127 E 117th St</t>
  </si>
  <si>
    <t>468 City Island Ave</t>
  </si>
  <si>
    <t>1551 Sheridan Avenue</t>
  </si>
  <si>
    <t>400 Clinton Ave</t>
  </si>
  <si>
    <t>331 Beach 31st St</t>
  </si>
  <si>
    <t>14330 Roosevelt Ave</t>
  </si>
  <si>
    <t>2103 Honeywell Ave</t>
  </si>
  <si>
    <t>1146 Ogden Ave</t>
  </si>
  <si>
    <t>562 W 189th St</t>
  </si>
  <si>
    <t>595 Autumn Ave</t>
  </si>
  <si>
    <t>301 100th St</t>
  </si>
  <si>
    <t>124 E 176th St</t>
  </si>
  <si>
    <t>10 W 182nd St</t>
  </si>
  <si>
    <t>11 E 125th St</t>
  </si>
  <si>
    <t>4 E 107th St</t>
  </si>
  <si>
    <t>805 E New York Ave</t>
  </si>
  <si>
    <t>320 Vanderbilt Ave</t>
  </si>
  <si>
    <t>4170 Carpenter Ave</t>
  </si>
  <si>
    <t>3339 Park Ave</t>
  </si>
  <si>
    <t>350 65th St</t>
  </si>
  <si>
    <t>855 E 9th St</t>
  </si>
  <si>
    <t>1551 Williamsbridge Rd</t>
  </si>
  <si>
    <t>803 W 180th St</t>
  </si>
  <si>
    <t>825 Morrison Ave</t>
  </si>
  <si>
    <t>10-22 Fairview Ave</t>
  </si>
  <si>
    <t>85 Seaman Ave</t>
  </si>
  <si>
    <t>368 Bainbridge St</t>
  </si>
  <si>
    <t>420 W 206th St</t>
  </si>
  <si>
    <t>34 Castleton Ave</t>
  </si>
  <si>
    <t>274a 9th St</t>
  </si>
  <si>
    <t>505 Mcdonald Ave</t>
  </si>
  <si>
    <t>103 Vermilyea Ave</t>
  </si>
  <si>
    <t>34-15 Parsons B;vd</t>
  </si>
  <si>
    <t>165 Woltz Ave, Upper Floor</t>
  </si>
  <si>
    <t>772 Union St</t>
  </si>
  <si>
    <t>1254 Sherman Ave</t>
  </si>
  <si>
    <t>501 E 161st St</t>
  </si>
  <si>
    <t>1952 1st Ave</t>
  </si>
  <si>
    <t>509 Flatbush Ave</t>
  </si>
  <si>
    <t>2995 Botanical Sq</t>
  </si>
  <si>
    <t>39 Hegeman Ave</t>
  </si>
  <si>
    <t>630 Chauncey St</t>
  </si>
  <si>
    <t>2175 Ryer Ave</t>
  </si>
  <si>
    <t>2238 Morris Ave</t>
  </si>
  <si>
    <t>268a Jersey St</t>
  </si>
  <si>
    <t>10470 47th Ave</t>
  </si>
  <si>
    <t>1311 Merriam Ave</t>
  </si>
  <si>
    <t>796 Halsey St</t>
  </si>
  <si>
    <t>2714 Frederick Douglass Blvd</t>
  </si>
  <si>
    <t>82 Marion St</t>
  </si>
  <si>
    <t>191 Orchard St</t>
  </si>
  <si>
    <t>258 67th St</t>
  </si>
  <si>
    <t>1041 Longfellow Ave</t>
  </si>
  <si>
    <t>2176 Grand Ave</t>
  </si>
  <si>
    <t>63 Irving Pl</t>
  </si>
  <si>
    <t>541 Isham St</t>
  </si>
  <si>
    <t>1014 Gerard Ave</t>
  </si>
  <si>
    <t>524 E 119th St</t>
  </si>
  <si>
    <t>2830 Pitkin Ave</t>
  </si>
  <si>
    <t>445 Linwood St</t>
  </si>
  <si>
    <t>455 Linwood St</t>
  </si>
  <si>
    <t>615 W 184th St</t>
  </si>
  <si>
    <t>580 Maple St</t>
  </si>
  <si>
    <t>3115 95th St Bsmt</t>
  </si>
  <si>
    <t>501 W 184th St</t>
  </si>
  <si>
    <t>662 Decatur St</t>
  </si>
  <si>
    <t>825 Boynton Ave</t>
  </si>
  <si>
    <t>100 Belmont Pl</t>
  </si>
  <si>
    <t>434 Warwick St</t>
  </si>
  <si>
    <t>16 Arden St</t>
  </si>
  <si>
    <t>662 Halsey St</t>
  </si>
  <si>
    <t>2374 Amsterdam Ave</t>
  </si>
  <si>
    <t>743 Empire Blvd</t>
  </si>
  <si>
    <t>566a Bristol St</t>
  </si>
  <si>
    <t>1157 Intervale Ave</t>
  </si>
  <si>
    <t>344 Marion st</t>
  </si>
  <si>
    <t>704 Elton St</t>
  </si>
  <si>
    <t>561 W 179th St</t>
  </si>
  <si>
    <t>820 Colgate Ave</t>
  </si>
  <si>
    <t>19 Vermilyea Ave</t>
  </si>
  <si>
    <t>1285 Delmar Loop</t>
  </si>
  <si>
    <t>615 Hendrix St</t>
  </si>
  <si>
    <t>91 E 116th St</t>
  </si>
  <si>
    <t>9407 75th St</t>
  </si>
  <si>
    <t>149 E 118th St</t>
  </si>
  <si>
    <t>792 Sterling Pl</t>
  </si>
  <si>
    <t>775 Riverside Dr</t>
  </si>
  <si>
    <t>560 W 163rd St</t>
  </si>
  <si>
    <t>11245 Sea View Ave</t>
  </si>
  <si>
    <t>585 E 16th St</t>
  </si>
  <si>
    <t>1210 Elder Ave</t>
  </si>
  <si>
    <t>2976 Marion Ave</t>
  </si>
  <si>
    <t>1191 Boston Rd</t>
  </si>
  <si>
    <t>2076 Creston Ave</t>
  </si>
  <si>
    <t>34 Hillside Ave</t>
  </si>
  <si>
    <t>3736 10th Ave</t>
  </si>
  <si>
    <t>555 W 184th St</t>
  </si>
  <si>
    <t>2108 Amsterdam Ave</t>
  </si>
  <si>
    <t>2181 Pacific St</t>
  </si>
  <si>
    <t>155 E Mosholu Pkwy N</t>
  </si>
  <si>
    <t>15 W 139th St</t>
  </si>
  <si>
    <t>315 E 5th St</t>
  </si>
  <si>
    <t>2239 Creston Ave</t>
  </si>
  <si>
    <t>557 Bradford St</t>
  </si>
  <si>
    <t>117 E 118th St</t>
  </si>
  <si>
    <t>5929 Queens Blvd</t>
  </si>
  <si>
    <t>959 Metropolitan Ave</t>
  </si>
  <si>
    <t>291 Jersey St</t>
  </si>
  <si>
    <t>1940 Andrews Ave</t>
  </si>
  <si>
    <t>658 W 188th St</t>
  </si>
  <si>
    <t>510 Atlantic Ave</t>
  </si>
  <si>
    <t>430 New Jersey Ave</t>
  </si>
  <si>
    <t>855 Louisiana Ave</t>
  </si>
  <si>
    <t>1506 Walton Ave</t>
  </si>
  <si>
    <t>521 Fort Washington Ave</t>
  </si>
  <si>
    <t>2375 Southern Blvd</t>
  </si>
  <si>
    <t>959 Hegeman Ave</t>
  </si>
  <si>
    <t>125 E 118th St</t>
  </si>
  <si>
    <t>4706 49th St</t>
  </si>
  <si>
    <t>1692 Park Ave</t>
  </si>
  <si>
    <t>1356 Walton Ave</t>
  </si>
  <si>
    <t>1490 Boone Ave</t>
  </si>
  <si>
    <t>1685 Monroe Ave</t>
  </si>
  <si>
    <t>1704 Madison St</t>
  </si>
  <si>
    <t>524 86th Street 4R</t>
  </si>
  <si>
    <t>2772 PITKIN AVE</t>
  </si>
  <si>
    <t>9116 95th Ave</t>
  </si>
  <si>
    <t>1950 Bryant Ave</t>
  </si>
  <si>
    <t>9708 Kings Hwy</t>
  </si>
  <si>
    <t>420 Soundview Ave</t>
  </si>
  <si>
    <t>4513 10th Ave</t>
  </si>
  <si>
    <t>195 Benziger Ave</t>
  </si>
  <si>
    <t>865 Thomas S Boyland St</t>
  </si>
  <si>
    <t>164 E 104th St</t>
  </si>
  <si>
    <t>136 Seaman Ave</t>
  </si>
  <si>
    <t>229 Columbus Ave</t>
  </si>
  <si>
    <t>765 lincoln ave</t>
  </si>
  <si>
    <t>1331 Bay St</t>
  </si>
  <si>
    <t>3239 107th St</t>
  </si>
  <si>
    <t>1870 Crotona Ave</t>
  </si>
  <si>
    <t>14750 72nd Dr</t>
  </si>
  <si>
    <t>344 Marion St</t>
  </si>
  <si>
    <t>83 Crescent Ave</t>
  </si>
  <si>
    <t>2060 Crotona Pkwy</t>
  </si>
  <si>
    <t>281 Wadsworth Ave</t>
  </si>
  <si>
    <t>274 Forbell St</t>
  </si>
  <si>
    <t>330 Hinsdale St</t>
  </si>
  <si>
    <t>2029 Shore Blvd</t>
  </si>
  <si>
    <t>152 Sherman Ave</t>
  </si>
  <si>
    <t>274 E 93rd St</t>
  </si>
  <si>
    <t>104 W 83rd St</t>
  </si>
  <si>
    <t>115 E 115th St</t>
  </si>
  <si>
    <t>490 Williams Ave</t>
  </si>
  <si>
    <t>1485 Macombs Rd</t>
  </si>
  <si>
    <t>1679 Southern Blvd</t>
  </si>
  <si>
    <t>424 W 110th St</t>
  </si>
  <si>
    <t>166 E 109th St</t>
  </si>
  <si>
    <t>996 Hegeman Ave</t>
  </si>
  <si>
    <t>6110 Beach Front Rd</t>
  </si>
  <si>
    <t>1018 Eastern Pkwy</t>
  </si>
  <si>
    <t>801 Glenmore Ave</t>
  </si>
  <si>
    <t>420 Saint Marks Pl</t>
  </si>
  <si>
    <t>623 W 207th St</t>
  </si>
  <si>
    <t>560 W 160th St</t>
  </si>
  <si>
    <t>1675 Lincoln Pl</t>
  </si>
  <si>
    <t>443 Wyona St</t>
  </si>
  <si>
    <t>254 Seaman Ave</t>
  </si>
  <si>
    <t>2543 Beach Channel Dr</t>
  </si>
  <si>
    <t>8914 80th St</t>
  </si>
  <si>
    <t>34 Layton Ave</t>
  </si>
  <si>
    <t>603 Academy St</t>
  </si>
  <si>
    <t>1111 Grant Ave</t>
  </si>
  <si>
    <t>760 Eldert Ln</t>
  </si>
  <si>
    <t>100 W 83rd St</t>
  </si>
  <si>
    <t>146 Marcus Garvey Blvd</t>
  </si>
  <si>
    <t>304 W 148th St</t>
  </si>
  <si>
    <t>552 W 186th St</t>
  </si>
  <si>
    <t>3920 Broadway</t>
  </si>
  <si>
    <t>279 Halsey St</t>
  </si>
  <si>
    <t>57 Laurel Ave</t>
  </si>
  <si>
    <t>470 2nd Ave</t>
  </si>
  <si>
    <t>2952 Marion Ave</t>
  </si>
  <si>
    <t>69 W Burnside Ave</t>
  </si>
  <si>
    <t>702 44th St</t>
  </si>
  <si>
    <t>507 W 172nd St</t>
  </si>
  <si>
    <t>97 Macon St</t>
  </si>
  <si>
    <t>2403 41st St</t>
  </si>
  <si>
    <t>154 E 106th St</t>
  </si>
  <si>
    <t>1366 Ovington Ave</t>
  </si>
  <si>
    <t>3805 Crescent St</t>
  </si>
  <si>
    <t>1938 Bronxdale Ave</t>
  </si>
  <si>
    <t>1 Saint Pauls Ct</t>
  </si>
  <si>
    <t>169 Washington Park</t>
  </si>
  <si>
    <t>13318 145th St</t>
  </si>
  <si>
    <t>30 3rd St</t>
  </si>
  <si>
    <t>1480 Popham Ave</t>
  </si>
  <si>
    <t>511 W 172nd St</t>
  </si>
  <si>
    <t>215 E 117th St</t>
  </si>
  <si>
    <t>681 E 181st St</t>
  </si>
  <si>
    <t>2260 Webster Ave</t>
  </si>
  <si>
    <t>3304 143rd St</t>
  </si>
  <si>
    <t>216 Westervelt Ave</t>
  </si>
  <si>
    <t>19605 110th Ave</t>
  </si>
  <si>
    <t>95 Clinton St</t>
  </si>
  <si>
    <t>3133 90th St</t>
  </si>
  <si>
    <t>967 Sutter Ave</t>
  </si>
  <si>
    <t>2695 Briggs Ave</t>
  </si>
  <si>
    <t>987 Grant Ave</t>
  </si>
  <si>
    <t>260 Audubon ave</t>
  </si>
  <si>
    <t>2944 Beach Channel Dr</t>
  </si>
  <si>
    <t>1244 Grand Concourse</t>
  </si>
  <si>
    <t>1450 Jesup Ave</t>
  </si>
  <si>
    <t>336 E 117th St</t>
  </si>
  <si>
    <t>1954 Loring Pl S</t>
  </si>
  <si>
    <t>1382 Shakespeare Ave</t>
  </si>
  <si>
    <t>2818 38th Ave</t>
  </si>
  <si>
    <t>49 Curtis Pl</t>
  </si>
  <si>
    <t>3330 103rd St</t>
  </si>
  <si>
    <t>14 Court St</t>
  </si>
  <si>
    <t>231 steuben st</t>
  </si>
  <si>
    <t>2223 Cortelyou Rd</t>
  </si>
  <si>
    <t>1305 Nelson Ave</t>
  </si>
  <si>
    <t>881 Cauldwell Ave</t>
  </si>
  <si>
    <t>97 Crooke Ave</t>
  </si>
  <si>
    <t>387 Shepherd Ave</t>
  </si>
  <si>
    <t>4328 Murray St</t>
  </si>
  <si>
    <t>260 Howard Ave</t>
  </si>
  <si>
    <t>1120 Loring Ave</t>
  </si>
  <si>
    <t>2420 Morris Ave</t>
  </si>
  <si>
    <t>1415 Wythe Pl</t>
  </si>
  <si>
    <t>13 E 124th St</t>
  </si>
  <si>
    <t>521 Isham St</t>
  </si>
  <si>
    <t>382 Barbey St</t>
  </si>
  <si>
    <t>1490 Dumont Ave</t>
  </si>
  <si>
    <t>237 E 115th St</t>
  </si>
  <si>
    <t>227 Oder Ave</t>
  </si>
  <si>
    <t>1238 Simpson St</t>
  </si>
  <si>
    <t>9840 57th Ave</t>
  </si>
  <si>
    <t>629 E 3rd St</t>
  </si>
  <si>
    <t>1420 Crotona Park E</t>
  </si>
  <si>
    <t>9428 86th Rd</t>
  </si>
  <si>
    <t>723 125th St</t>
  </si>
  <si>
    <t>232 Otis Ave</t>
  </si>
  <si>
    <t>500 W 176th St</t>
  </si>
  <si>
    <t>1327 Southern Blvd</t>
  </si>
  <si>
    <t>631 E 220th St</t>
  </si>
  <si>
    <t>360 Cabrini Blvd</t>
  </si>
  <si>
    <t>2151 Morris Ave</t>
  </si>
  <si>
    <t>106 E 116th St</t>
  </si>
  <si>
    <t>10934 221st St</t>
  </si>
  <si>
    <t>2742 Mcintosh St</t>
  </si>
  <si>
    <t>13324 Sanford Ave</t>
  </si>
  <si>
    <t>54 S Elliott Pl</t>
  </si>
  <si>
    <t>1206 Bergen St</t>
  </si>
  <si>
    <t>1954 1st Ave</t>
  </si>
  <si>
    <t>101 sherman ave</t>
  </si>
  <si>
    <t>150 W 179th St</t>
  </si>
  <si>
    <t>1703 Putnam Ave</t>
  </si>
  <si>
    <t>1061 Rutland Rd</t>
  </si>
  <si>
    <t>107 E 129th St # 123</t>
  </si>
  <si>
    <t>2015 Foster Ave</t>
  </si>
  <si>
    <t>140 Cadman Plz W</t>
  </si>
  <si>
    <t>611 W 158th St</t>
  </si>
  <si>
    <t>1 Bennett Ave</t>
  </si>
  <si>
    <t>2051 Grand Ave</t>
  </si>
  <si>
    <t>5008 Broadway</t>
  </si>
  <si>
    <t>2787 Briggs Ave</t>
  </si>
  <si>
    <t>1036 President St</t>
  </si>
  <si>
    <t>841 Halsey St</t>
  </si>
  <si>
    <t>25 Saint Felix St</t>
  </si>
  <si>
    <t>92 Van Cortlandt Park S</t>
  </si>
  <si>
    <t>244 Richmond Ter</t>
  </si>
  <si>
    <t>3536 Hull Ave</t>
  </si>
  <si>
    <t>1944 Mcgraw Ave</t>
  </si>
  <si>
    <t>1001 Woodycrest Ave</t>
  </si>
  <si>
    <t>1454 Shakespeare Ave</t>
  </si>
  <si>
    <t>101 Daniel Low Ter</t>
  </si>
  <si>
    <t>2670 Bainbridge Ave</t>
  </si>
  <si>
    <t>119 Clark Ln</t>
  </si>
  <si>
    <t>117 Brook St</t>
  </si>
  <si>
    <t>19 Steuben St</t>
  </si>
  <si>
    <t>1705 Stanhope St</t>
  </si>
  <si>
    <t>921 Saint Marks Ave</t>
  </si>
  <si>
    <t>293 Martense St</t>
  </si>
  <si>
    <t>10921 Van Wyck Expy</t>
  </si>
  <si>
    <t>895 Mother gaston blvd</t>
  </si>
  <si>
    <t>997 Summit Ave</t>
  </si>
  <si>
    <t>2440 Walton Ave</t>
  </si>
  <si>
    <t>1952 2nd ave</t>
  </si>
  <si>
    <t>15110 35th Ave</t>
  </si>
  <si>
    <t>735 E 242nd St</t>
  </si>
  <si>
    <t>1 Edgar Ter</t>
  </si>
  <si>
    <t>235 E 117th St</t>
  </si>
  <si>
    <t>16611 144th Dr</t>
  </si>
  <si>
    <t>65 Post Ave</t>
  </si>
  <si>
    <t>11539 135th St</t>
  </si>
  <si>
    <t>1970 Walton Ave</t>
  </si>
  <si>
    <t>88-15 168th St</t>
  </si>
  <si>
    <t>19215b 69th Ave</t>
  </si>
  <si>
    <t>502 W 213th St</t>
  </si>
  <si>
    <t>2028 Cross Bronx Expy</t>
  </si>
  <si>
    <t>189 Sherman Ave</t>
  </si>
  <si>
    <t>149 E 96th St</t>
  </si>
  <si>
    <t>970 Belmont Ave</t>
  </si>
  <si>
    <t>110 Chauncey st</t>
  </si>
  <si>
    <t>13317 Sanford Ave</t>
  </si>
  <si>
    <t>200 Highland Blvd</t>
  </si>
  <si>
    <t>449 W 206th St</t>
  </si>
  <si>
    <t>2505 Bedford Ave</t>
  </si>
  <si>
    <t>1146 President St</t>
  </si>
  <si>
    <t>1169 E New York Ave</t>
  </si>
  <si>
    <t>310 Alexander Ave</t>
  </si>
  <si>
    <t>675 Decatur St</t>
  </si>
  <si>
    <t>1590 E 172nd St</t>
  </si>
  <si>
    <t>100 Cooper St</t>
  </si>
  <si>
    <t>221 E 106th St</t>
  </si>
  <si>
    <t>752 Glenmore Ave</t>
  </si>
  <si>
    <t>75 Thompson St</t>
  </si>
  <si>
    <t>227 Lott Ave</t>
  </si>
  <si>
    <t>490 E 189th St</t>
  </si>
  <si>
    <t>336 Elton St</t>
  </si>
  <si>
    <t>1208 Franklin Ave</t>
  </si>
  <si>
    <t>35 Thayer St</t>
  </si>
  <si>
    <t>152 E 84th St</t>
  </si>
  <si>
    <t>802 Belmont Ave</t>
  </si>
  <si>
    <t>662 6th Ave</t>
  </si>
  <si>
    <t>3405 108th St</t>
  </si>
  <si>
    <t>51 E 129th St</t>
  </si>
  <si>
    <t>612 Vermont St</t>
  </si>
  <si>
    <t>850 Amsterdam Ave</t>
  </si>
  <si>
    <t>2545 Linden Blvd</t>
  </si>
  <si>
    <t>108 E Clarke Pl</t>
  </si>
  <si>
    <t>632 Morris Ave</t>
  </si>
  <si>
    <t>656 W 204th St</t>
  </si>
  <si>
    <t>790 Riverside Dr</t>
  </si>
  <si>
    <t>533 Marcy Ave</t>
  </si>
  <si>
    <t>117 W 111th St</t>
  </si>
  <si>
    <t>7212 4th Ave</t>
  </si>
  <si>
    <t>14403 Barclay Ave</t>
  </si>
  <si>
    <t>14435 37th Ave</t>
  </si>
  <si>
    <t>595 E 170th St</t>
  </si>
  <si>
    <t>73-83 Vermilyea Avenue</t>
  </si>
  <si>
    <t>1342 Bushwick Ave</t>
  </si>
  <si>
    <t>388 Van Duzer St</t>
  </si>
  <si>
    <t>2195 Grand Concourse</t>
  </si>
  <si>
    <t>9863 Corona Ave</t>
  </si>
  <si>
    <t>2254 Haviland Ave</t>
  </si>
  <si>
    <t>458 E 143rd St</t>
  </si>
  <si>
    <t>9 Sherman Ave</t>
  </si>
  <si>
    <t>3505 Broadway</t>
  </si>
  <si>
    <t>1049 Montgomery St</t>
  </si>
  <si>
    <t>530 Exterior St</t>
  </si>
  <si>
    <t>110 E 176th St</t>
  </si>
  <si>
    <t>355 E 187TH ST</t>
  </si>
  <si>
    <t>1717 Walton Ave</t>
  </si>
  <si>
    <t>330 E 100th St</t>
  </si>
  <si>
    <t>9502 Kings Hwy</t>
  </si>
  <si>
    <t>234 Newport St</t>
  </si>
  <si>
    <t>1926 Crotona Pkwy</t>
  </si>
  <si>
    <t>69 Adams Ave</t>
  </si>
  <si>
    <t>33 Bionia Ave</t>
  </si>
  <si>
    <t>701 Bay St</t>
  </si>
  <si>
    <t>273 Saint Marks Pl</t>
  </si>
  <si>
    <t>9 Post Ave</t>
  </si>
  <si>
    <t>400 W 150th st</t>
  </si>
  <si>
    <t>4516 49th St</t>
  </si>
  <si>
    <t>15 Sandra Ln</t>
  </si>
  <si>
    <t>1920 Union ST</t>
  </si>
  <si>
    <t>670 E 32nd St</t>
  </si>
  <si>
    <t>5304 108th St</t>
  </si>
  <si>
    <t>3618 166th St</t>
  </si>
  <si>
    <t>950 Jennings St</t>
  </si>
  <si>
    <t>15 Post ave</t>
  </si>
  <si>
    <t>155 W 162nd St</t>
  </si>
  <si>
    <t>171 Clinton Ave</t>
  </si>
  <si>
    <t>1898 Bergen St</t>
  </si>
  <si>
    <t>51 E Houston St</t>
  </si>
  <si>
    <t>668 Brooklyn Ave</t>
  </si>
  <si>
    <t>210 Sherman Ave</t>
  </si>
  <si>
    <t>9112 175th St</t>
  </si>
  <si>
    <t>1647 Summerfield St</t>
  </si>
  <si>
    <t>1677 Prospect PL</t>
  </si>
  <si>
    <t>89 Thompson St</t>
  </si>
  <si>
    <t>65 Seaman Ave</t>
  </si>
  <si>
    <t>117 S 4th St</t>
  </si>
  <si>
    <t>1580 Thieriot Ave</t>
  </si>
  <si>
    <t>1 Beach 105th St</t>
  </si>
  <si>
    <t>516 47th Rd</t>
  </si>
  <si>
    <t>513 E 13th St</t>
  </si>
  <si>
    <t>1419 Jesup Ave</t>
  </si>
  <si>
    <t>111 Beach St</t>
  </si>
  <si>
    <t>46-10 Crane St</t>
  </si>
  <si>
    <t>342 21st St</t>
  </si>
  <si>
    <t>413 Jersey St</t>
  </si>
  <si>
    <t>30 Post Ave</t>
  </si>
  <si>
    <t>150 W 179th Street</t>
  </si>
  <si>
    <t>151 Daniel Low Ter</t>
  </si>
  <si>
    <t>875 Boynton Ave</t>
  </si>
  <si>
    <t>1798 Bedford Ave</t>
  </si>
  <si>
    <t>831 Bartholdi St</t>
  </si>
  <si>
    <t>615 W 164th St</t>
  </si>
  <si>
    <t>4411 Church Ave</t>
  </si>
  <si>
    <t>2095 Creston Ave</t>
  </si>
  <si>
    <t>482 Ridgewood Ave</t>
  </si>
  <si>
    <t>230 schenectady ave</t>
  </si>
  <si>
    <t>1325 Eastern Pkwy</t>
  </si>
  <si>
    <t>639 Eastern Pkwy</t>
  </si>
  <si>
    <t>542 Chauncey St</t>
  </si>
  <si>
    <t>461 Wales Ave</t>
  </si>
  <si>
    <t>570 W 204th St</t>
  </si>
  <si>
    <t>367 Madison St</t>
  </si>
  <si>
    <t>1442 Boston Rd</t>
  </si>
  <si>
    <t>478 Herzl St</t>
  </si>
  <si>
    <t>14 Macfarland Ave</t>
  </si>
  <si>
    <t>530 W 136th St</t>
  </si>
  <si>
    <t>1696 Vyse Ave</t>
  </si>
  <si>
    <t>341 E 19th St</t>
  </si>
  <si>
    <t>240 Howard Ave</t>
  </si>
  <si>
    <t>21 E 127th St</t>
  </si>
  <si>
    <t>205 Boerum St</t>
  </si>
  <si>
    <t>205 Boerum st</t>
  </si>
  <si>
    <t>2313 Loring Pl N</t>
  </si>
  <si>
    <t>1004 Hegeman Ave</t>
  </si>
  <si>
    <t>2979 Marion Ave</t>
  </si>
  <si>
    <t>519 E 88th St</t>
  </si>
  <si>
    <t>309 W 76th St</t>
  </si>
  <si>
    <t>199 Sherman Ave</t>
  </si>
  <si>
    <t>127 miller ave</t>
  </si>
  <si>
    <t>9823 Horace Harding Expy</t>
  </si>
  <si>
    <t>14707 35th Ave</t>
  </si>
  <si>
    <t>285 Schenectady Ave</t>
  </si>
  <si>
    <t>101 Sherman Avenue</t>
  </si>
  <si>
    <t>1637 Saint Marks Ave</t>
  </si>
  <si>
    <t>101 Hastings St</t>
  </si>
  <si>
    <t>100 W 163rd St</t>
  </si>
  <si>
    <t>530 W 122nd st</t>
  </si>
  <si>
    <t>2860 Ocean Ave</t>
  </si>
  <si>
    <t>776 Van Duzer St</t>
  </si>
  <si>
    <t>171 E 96th St</t>
  </si>
  <si>
    <t>299 Union Ave</t>
  </si>
  <si>
    <t>484 E Houston St</t>
  </si>
  <si>
    <t>577 Isham St</t>
  </si>
  <si>
    <t>3852 10th ave</t>
  </si>
  <si>
    <t>40 Meadow Pl</t>
  </si>
  <si>
    <t>9602 57th Ave</t>
  </si>
  <si>
    <t>4530 Broadway</t>
  </si>
  <si>
    <t>1695 Lexington Ave</t>
  </si>
  <si>
    <t>631 Beach 9th St</t>
  </si>
  <si>
    <t>209 Ralph Ave</t>
  </si>
  <si>
    <t>111 15th St</t>
  </si>
  <si>
    <t>5715 Shore Front Pkwy</t>
  </si>
  <si>
    <t>45 Victory Blvd</t>
  </si>
  <si>
    <t>2066 Morris Ave</t>
  </si>
  <si>
    <t>200 Garfield Pl</t>
  </si>
  <si>
    <t>600 W 186th St</t>
  </si>
  <si>
    <t>354 E Mosholu Pkwy S</t>
  </si>
  <si>
    <t>312 Beach 15th St</t>
  </si>
  <si>
    <t>330 Macdougal St</t>
  </si>
  <si>
    <t>1972 Walton Ave</t>
  </si>
  <si>
    <t>1153 Grand Concourse</t>
  </si>
  <si>
    <t>252 Sherman ave</t>
  </si>
  <si>
    <t>356 Arlington Ave</t>
  </si>
  <si>
    <t>87 Taft Ave</t>
  </si>
  <si>
    <t>267 W 152nd St</t>
  </si>
  <si>
    <t>605 Louisiana Ave</t>
  </si>
  <si>
    <t>16836 88th Ave</t>
  </si>
  <si>
    <t>9507 Kings Hwy</t>
  </si>
  <si>
    <t>4410 30th Ave</t>
  </si>
  <si>
    <t>3441 42nd St</t>
  </si>
  <si>
    <t>466 Marcy Ave</t>
  </si>
  <si>
    <t>1295 Blake Ave</t>
  </si>
  <si>
    <t>14719 230th St</t>
  </si>
  <si>
    <t>3405 Neptune Ave</t>
  </si>
  <si>
    <t>156 E 178th St</t>
  </si>
  <si>
    <t>125 Schroeders Ave</t>
  </si>
  <si>
    <t>45 Shepherd Ave</t>
  </si>
  <si>
    <t>482 Riverdale Ave</t>
  </si>
  <si>
    <t>2416 38th Ave</t>
  </si>
  <si>
    <t>160 Prospect Ave</t>
  </si>
  <si>
    <t>122 E 104th St</t>
  </si>
  <si>
    <t>43-45 Curtis Place</t>
  </si>
  <si>
    <t>231 Edgecome Avenue</t>
  </si>
  <si>
    <t>15804 Sanford Ave</t>
  </si>
  <si>
    <t>10147 95th St</t>
  </si>
  <si>
    <t>3071 Park Ave</t>
  </si>
  <si>
    <t>232 E 106th St</t>
  </si>
  <si>
    <t>4210 colden st</t>
  </si>
  <si>
    <t>299 Rockaway Pkwy</t>
  </si>
  <si>
    <t>1132 Halsey St</t>
  </si>
  <si>
    <t>117 Sherman Avenue</t>
  </si>
  <si>
    <t>13 E 9th St</t>
  </si>
  <si>
    <t>862 Southern Boulevard</t>
  </si>
  <si>
    <t>319 3rd St</t>
  </si>
  <si>
    <t>193 Chestnut St</t>
  </si>
  <si>
    <t>524 Vandalia Ave</t>
  </si>
  <si>
    <t>96 Baxter St</t>
  </si>
  <si>
    <t>8545 115th St</t>
  </si>
  <si>
    <t>13918 34th Rd</t>
  </si>
  <si>
    <t>4011 149th St</t>
  </si>
  <si>
    <t>42 Saint Felix St</t>
  </si>
  <si>
    <t>1534 Nelson Ave</t>
  </si>
  <si>
    <t>19215 A 64th Cir</t>
  </si>
  <si>
    <t>2516 Tratman Ave</t>
  </si>
  <si>
    <t>24559 148th Dr</t>
  </si>
  <si>
    <t>1062 Elton St</t>
  </si>
  <si>
    <t>280 Etna St</t>
  </si>
  <si>
    <t>1348 Sheridan Ave</t>
  </si>
  <si>
    <t>15 Post Ave</t>
  </si>
  <si>
    <t>5302 Browvale Ln</t>
  </si>
  <si>
    <t>1936 Prospect Pl</t>
  </si>
  <si>
    <t>961 42nd St</t>
  </si>
  <si>
    <t>202 Amboy St</t>
  </si>
  <si>
    <t>398 Crescent St</t>
  </si>
  <si>
    <t>5360 Broadway</t>
  </si>
  <si>
    <t>132 Ralph Ave</t>
  </si>
  <si>
    <t>58 E 132nd St</t>
  </si>
  <si>
    <t>1401 Grand Concourse</t>
  </si>
  <si>
    <t>1409 E 98th St</t>
  </si>
  <si>
    <t>1295 5th Ave</t>
  </si>
  <si>
    <t>177 Milford St</t>
  </si>
  <si>
    <t>357 E 193rd St</t>
  </si>
  <si>
    <t>149 E 96th st</t>
  </si>
  <si>
    <t>604 Lincoln Ave</t>
  </si>
  <si>
    <t>670 W 193rd St</t>
  </si>
  <si>
    <t>20 Bogardus Pl</t>
  </si>
  <si>
    <t>1617 Eastern Pkwy</t>
  </si>
  <si>
    <t>8607 101st St</t>
  </si>
  <si>
    <t>2922 Grand Concourse</t>
  </si>
  <si>
    <t>22 Foley St.</t>
  </si>
  <si>
    <t>140 Henry St</t>
  </si>
  <si>
    <t>9724 93rd St</t>
  </si>
  <si>
    <t>415 E 16th St</t>
  </si>
  <si>
    <t>63 Hull St</t>
  </si>
  <si>
    <t>4535 Park Ave</t>
  </si>
  <si>
    <t>120 Veronica Pl</t>
  </si>
  <si>
    <t>1752 Sterling Pl</t>
  </si>
  <si>
    <t>55 cooper st</t>
  </si>
  <si>
    <t>5024 31st Ave</t>
  </si>
  <si>
    <t>2483 W 16th St</t>
  </si>
  <si>
    <t>1570 Eastern Pkwy</t>
  </si>
  <si>
    <t>427 Fort Washington Ave</t>
  </si>
  <si>
    <t>462 E 115th St</t>
  </si>
  <si>
    <t>222 Sheridan Ave</t>
  </si>
  <si>
    <t>2099 Forest Ave</t>
  </si>
  <si>
    <t>319 E 91st St</t>
  </si>
  <si>
    <t>120 Beach 19th St</t>
  </si>
  <si>
    <t>700 Victory Blvd</t>
  </si>
  <si>
    <t>2526 Bronx Park E</t>
  </si>
  <si>
    <t>2501 Oceancrest Blvd</t>
  </si>
  <si>
    <t>72 Vermilyea Ave</t>
  </si>
  <si>
    <t>139 W 135th St</t>
  </si>
  <si>
    <t>1204 Shakespeare Ave</t>
  </si>
  <si>
    <t>135 W 123rd St</t>
  </si>
  <si>
    <t>505 Rockaway Pkwy</t>
  </si>
  <si>
    <t>135 W 175th St</t>
  </si>
  <si>
    <t>74 Post ave</t>
  </si>
  <si>
    <t>1571 Fulton Ave</t>
  </si>
  <si>
    <t>3721 80th St</t>
  </si>
  <si>
    <t>454 E 179th St</t>
  </si>
  <si>
    <t>19523 Station Rd</t>
  </si>
  <si>
    <t>2070 Union St</t>
  </si>
  <si>
    <t>263 Prospect Park W</t>
  </si>
  <si>
    <t>1469 Bedford Ave</t>
  </si>
  <si>
    <t>3315 28th St</t>
  </si>
  <si>
    <t>3227 Bainbridge Ave</t>
  </si>
  <si>
    <t>135 W 176th St</t>
  </si>
  <si>
    <t>900 Fox St</t>
  </si>
  <si>
    <t>1804 Harrison Ave</t>
  </si>
  <si>
    <t>63 Post Ave</t>
  </si>
  <si>
    <t>203 Hull St</t>
  </si>
  <si>
    <t>100 Stuyvesant Pl</t>
  </si>
  <si>
    <t>1086 President St</t>
  </si>
  <si>
    <t>2065 Creston Ave</t>
  </si>
  <si>
    <t>422 Avenue U</t>
  </si>
  <si>
    <t>2264 Grand Ave</t>
  </si>
  <si>
    <t>611 E 76th St</t>
  </si>
  <si>
    <t>10 Richman Plz</t>
  </si>
  <si>
    <t>1917 Cropsey Ave</t>
  </si>
  <si>
    <t>33 Indian Rd</t>
  </si>
  <si>
    <t>150 50th Ave</t>
  </si>
  <si>
    <t>50 Linden Blvd</t>
  </si>
  <si>
    <t>19715 91st Rd</t>
  </si>
  <si>
    <t>1330 Intervale Ave</t>
  </si>
  <si>
    <t>1700 Grand Concourse</t>
  </si>
  <si>
    <t>14730 38th Ave</t>
  </si>
  <si>
    <t>421 Union St</t>
  </si>
  <si>
    <t>104 Elliot Pl</t>
  </si>
  <si>
    <t>2276 2nd Ave</t>
  </si>
  <si>
    <t>13235 Sanford Ave</t>
  </si>
  <si>
    <t>82 Rockaway Pkwy</t>
  </si>
  <si>
    <t>780 Concourse Vlg W</t>
  </si>
  <si>
    <t>234 8th St</t>
  </si>
  <si>
    <t>3406 45th St</t>
  </si>
  <si>
    <t>19401 A 64th Cir</t>
  </si>
  <si>
    <t>611 Linwood St</t>
  </si>
  <si>
    <t>2158 Atlantic Ave</t>
  </si>
  <si>
    <t>425 W 160th St</t>
  </si>
  <si>
    <t>50 E 196th St</t>
  </si>
  <si>
    <t>200 Haven Ave</t>
  </si>
  <si>
    <t>2890 8th Ave</t>
  </si>
  <si>
    <t>11814 83rd Ave</t>
  </si>
  <si>
    <t>212 Beach 29th St</t>
  </si>
  <si>
    <t>984 Greene Ave</t>
  </si>
  <si>
    <t>72 Lincoln Ave</t>
  </si>
  <si>
    <t>735 E 182nd St</t>
  </si>
  <si>
    <t>815 W 180th St</t>
  </si>
  <si>
    <t>125 Seaman Ave</t>
  </si>
  <si>
    <t>364 Stuyvesant Ave</t>
  </si>
  <si>
    <t>226 Naples Ter</t>
  </si>
  <si>
    <t>16834 127th Ave</t>
  </si>
  <si>
    <t>40 N 4th St</t>
  </si>
  <si>
    <t>1967 Marmion Ave</t>
  </si>
  <si>
    <t>240 E 18th St</t>
  </si>
  <si>
    <t>716 W 180th St</t>
  </si>
  <si>
    <t>7218 Almeda Ave</t>
  </si>
  <si>
    <t>553 58th St</t>
  </si>
  <si>
    <t>757 Pine St</t>
  </si>
  <si>
    <t>520 Hegeman Ave</t>
  </si>
  <si>
    <t>26 E 60th St</t>
  </si>
  <si>
    <t>321 Edgecombe Ave</t>
  </si>
  <si>
    <t>625 E 141st St</t>
  </si>
  <si>
    <t>1340 Merriam Ave</t>
  </si>
  <si>
    <t>444 E 82nd St</t>
  </si>
  <si>
    <t>1353 Pinson St</t>
  </si>
  <si>
    <t>909 Kelly St</t>
  </si>
  <si>
    <t>215 Audubon Ave</t>
  </si>
  <si>
    <t>158 E 110th St</t>
  </si>
  <si>
    <t>1050 Anderson Ave</t>
  </si>
  <si>
    <t>15119 34th Ave</t>
  </si>
  <si>
    <t>1665 Palmetto St</t>
  </si>
  <si>
    <t>482 Nostrand Ave</t>
  </si>
  <si>
    <t>4309 165th St</t>
  </si>
  <si>
    <t>889 Dawson St</t>
  </si>
  <si>
    <t>168 1st Ave</t>
  </si>
  <si>
    <t>2060 Anthony Ave</t>
  </si>
  <si>
    <t>215 Mcclellan St</t>
  </si>
  <si>
    <t>1890 Walton Ave</t>
  </si>
  <si>
    <t>182 Ralph Ave</t>
  </si>
  <si>
    <t>155a Beach 27th St</t>
  </si>
  <si>
    <t>4308 40th St</t>
  </si>
  <si>
    <t>1786 Brooklyn Ave</t>
  </si>
  <si>
    <t>24207 149th Ave</t>
  </si>
  <si>
    <t>671 Decatur St</t>
  </si>
  <si>
    <t>251 Sherman Ave</t>
  </si>
  <si>
    <t>257 Jersey St</t>
  </si>
  <si>
    <t>1950 Clove Rd</t>
  </si>
  <si>
    <t>14454 35th Ave</t>
  </si>
  <si>
    <t>1035 Willmohr St</t>
  </si>
  <si>
    <t>620 W 189th St</t>
  </si>
  <si>
    <t>1334 Louis Nine Blvd</t>
  </si>
  <si>
    <t>14911 Edgewood St</t>
  </si>
  <si>
    <t>5145 Almeda Ave</t>
  </si>
  <si>
    <t>7110 34th Ave</t>
  </si>
  <si>
    <t>1401 Hancock St</t>
  </si>
  <si>
    <t>1521 Sheridan Ave</t>
  </si>
  <si>
    <t>1180 Anderson Ave</t>
  </si>
  <si>
    <t>22 Post Ave</t>
  </si>
  <si>
    <t>139-06 34th Rd</t>
  </si>
  <si>
    <t>57-63  Wadsworth Ter</t>
  </si>
  <si>
    <t>510 W 55th St</t>
  </si>
  <si>
    <t>420 E 111th St</t>
  </si>
  <si>
    <t>212 W Kingsbridge Rd</t>
  </si>
  <si>
    <t>506 W 170th St</t>
  </si>
  <si>
    <t>241 E 120th St</t>
  </si>
  <si>
    <t>793 Fairmount Pl</t>
  </si>
  <si>
    <t>5707 Shore Front Pkwy # Pwy</t>
  </si>
  <si>
    <t>611 W 176th St</t>
  </si>
  <si>
    <t>351 W 121st St</t>
  </si>
  <si>
    <t>12514 Jamaica Ave</t>
  </si>
  <si>
    <t>1680 Madison Ave</t>
  </si>
  <si>
    <t>40 Thayer St</t>
  </si>
  <si>
    <t>604 Sutter Ave</t>
  </si>
  <si>
    <t>1460 Pennsylvania Ave</t>
  </si>
  <si>
    <t>2112 Fulton St</t>
  </si>
  <si>
    <t>605 Liberty Ave</t>
  </si>
  <si>
    <t>125 Sherman Ave</t>
  </si>
  <si>
    <t>11421 208th St</t>
  </si>
  <si>
    <t>2080 1st Ave</t>
  </si>
  <si>
    <t>30 Dongan Hills Ave</t>
  </si>
  <si>
    <t>251 Fort Washington Ave</t>
  </si>
  <si>
    <t>9315 Fort Hamilton Pkwy</t>
  </si>
  <si>
    <t>9150 191st St</t>
  </si>
  <si>
    <t>1950 Prospect Ave</t>
  </si>
  <si>
    <t>2 Seaman Ave</t>
  </si>
  <si>
    <t>500 W 213th St</t>
  </si>
  <si>
    <t>1302 Newkirk Ave</t>
  </si>
  <si>
    <t>317 Lefferts Ave</t>
  </si>
  <si>
    <t>208 Berriman St</t>
  </si>
  <si>
    <t>1665 Monroe Ave</t>
  </si>
  <si>
    <t>1115 Jerome Ave</t>
  </si>
  <si>
    <t>1319 Newkirk Ave</t>
  </si>
  <si>
    <t>14649 107th Ave</t>
  </si>
  <si>
    <t>1147 Sutter Ave</t>
  </si>
  <si>
    <t>312 Sheridan Ave</t>
  </si>
  <si>
    <t>851 E 163rd St</t>
  </si>
  <si>
    <t>344 E 176th St</t>
  </si>
  <si>
    <t>8 Norwood Ave</t>
  </si>
  <si>
    <t>349 Rockaway Pkwy</t>
  </si>
  <si>
    <t>8806 Pasons Blvd</t>
  </si>
  <si>
    <t>156 Vernon Ave</t>
  </si>
  <si>
    <t>4303 104th St</t>
  </si>
  <si>
    <t>985 Anderson Ave</t>
  </si>
  <si>
    <t>412 Thomas S Boyland St</t>
  </si>
  <si>
    <t>701r Bay St</t>
  </si>
  <si>
    <t>645 W 160th St</t>
  </si>
  <si>
    <t>120 Beach 26th St</t>
  </si>
  <si>
    <t>600 Van Siclen Ave</t>
  </si>
  <si>
    <t>1235 Grand Concourse</t>
  </si>
  <si>
    <t>711D Seagrit Avenue</t>
  </si>
  <si>
    <t>124 Pelican Cir</t>
  </si>
  <si>
    <t>13415 232nd St</t>
  </si>
  <si>
    <t>165 W 169th St</t>
  </si>
  <si>
    <t>444 Euclid Ave</t>
  </si>
  <si>
    <t>880 Colgate Ave</t>
  </si>
  <si>
    <t>33 Post Ave</t>
  </si>
  <si>
    <t>3750 81st St</t>
  </si>
  <si>
    <t>501 Hegeman Ave</t>
  </si>
  <si>
    <t>15817 Sanford Ave</t>
  </si>
  <si>
    <t>2353 Pacific St</t>
  </si>
  <si>
    <t>34 Post Ave</t>
  </si>
  <si>
    <t>22 Park Hill Ave</t>
  </si>
  <si>
    <t>5 Saint Marks Pl</t>
  </si>
  <si>
    <t>10717 Van Wyck Expy</t>
  </si>
  <si>
    <t>515 Crescent St</t>
  </si>
  <si>
    <t>565 W 181st St</t>
  </si>
  <si>
    <t>120 Schroeders Ave</t>
  </si>
  <si>
    <t>1092 President St</t>
  </si>
  <si>
    <t>3572 Dekalb Ave</t>
  </si>
  <si>
    <t>403 Kosciuszko St</t>
  </si>
  <si>
    <t>545 W 162nd St</t>
  </si>
  <si>
    <t>800 Concourse Vlg W</t>
  </si>
  <si>
    <t>1090 Saint Nicholas Ave</t>
  </si>
  <si>
    <t>1060 Sheridan Avenue</t>
  </si>
  <si>
    <t>1075 Nelson Ave 6B</t>
  </si>
  <si>
    <t>168 E 93rd St</t>
  </si>
  <si>
    <t>1023 Rutland Rd</t>
  </si>
  <si>
    <t>167 Newport St</t>
  </si>
  <si>
    <t>315 E 167th St</t>
  </si>
  <si>
    <t>675 Linden Blvd</t>
  </si>
  <si>
    <t>209 Beach 101st St</t>
  </si>
  <si>
    <t>1201 Ogden Ave</t>
  </si>
  <si>
    <t>1129 43rd St</t>
  </si>
  <si>
    <t>536 Isham St</t>
  </si>
  <si>
    <t>2253 3rd Ave</t>
  </si>
  <si>
    <t>111 E 100th St</t>
  </si>
  <si>
    <t>2101 Creston Ave</t>
  </si>
  <si>
    <t>19 Slosson Ter</t>
  </si>
  <si>
    <t>620 Lenox Ave</t>
  </si>
  <si>
    <t>25 Cooper St</t>
  </si>
  <si>
    <t>11513 111th Ave</t>
  </si>
  <si>
    <t>1919 Eastern Pkwy</t>
  </si>
  <si>
    <t>1940 Pacific St</t>
  </si>
  <si>
    <t>1115 46th Rd</t>
  </si>
  <si>
    <t>788 Fox St</t>
  </si>
  <si>
    <t>609 W 158th St</t>
  </si>
  <si>
    <t>66 Vermilyea Ave</t>
  </si>
  <si>
    <t>89 Seaman Ave</t>
  </si>
  <si>
    <t>855 East 217th Street</t>
  </si>
  <si>
    <t>656 Howard Ave</t>
  </si>
  <si>
    <t>476 Vanderbilt Ave</t>
  </si>
  <si>
    <t>1900 Lexington Ave</t>
  </si>
  <si>
    <t>14074 34th Ave</t>
  </si>
  <si>
    <t>486 Glenmore Ave</t>
  </si>
  <si>
    <t>1114 Morris Ave</t>
  </si>
  <si>
    <t>73 Cooper St</t>
  </si>
  <si>
    <t>494 E 95th St</t>
  </si>
  <si>
    <t>800 Grand Concourse</t>
  </si>
  <si>
    <t>854 Myrtle Ave</t>
  </si>
  <si>
    <t>344 E 148th St</t>
  </si>
  <si>
    <t>1188 Grand Concourse</t>
  </si>
  <si>
    <t>2010 Newkirk Ave</t>
  </si>
  <si>
    <t>270 Van Siclen Ave</t>
  </si>
  <si>
    <t>233 87th St</t>
  </si>
  <si>
    <t>292 Westervelt Ave</t>
  </si>
  <si>
    <t>1374 York Ave</t>
  </si>
  <si>
    <t>1721 Grand Ave</t>
  </si>
  <si>
    <t>3035 Wallace Ave</t>
  </si>
  <si>
    <t>316 Stuyvesant ave</t>
  </si>
  <si>
    <t>10 Park Ter E</t>
  </si>
  <si>
    <t>105 Beach 56th Pl</t>
  </si>
  <si>
    <t>19 Hill St</t>
  </si>
  <si>
    <t>1795 Riverside Dr</t>
  </si>
  <si>
    <t>3011 Parsons Blvd</t>
  </si>
  <si>
    <t>12 Gunther Pl</t>
  </si>
  <si>
    <t>26204 Hungry Harbor Rd</t>
  </si>
  <si>
    <t>61 Wyckoff Ave</t>
  </si>
  <si>
    <t>140 Ralph Ave</t>
  </si>
  <si>
    <t>1060 Anderson Ave</t>
  </si>
  <si>
    <t>20 Sky Ln</t>
  </si>
  <si>
    <t>497 W 182nd St</t>
  </si>
  <si>
    <t>67 W 107th St</t>
  </si>
  <si>
    <t>1504 Sheridan Ave</t>
  </si>
  <si>
    <t>1118 Winthrop St</t>
  </si>
  <si>
    <t>38 W 31st St</t>
  </si>
  <si>
    <t>1541 Williamsbridge Rd</t>
  </si>
  <si>
    <t>2001 Morris Avenue</t>
  </si>
  <si>
    <t>1711 Davidson Ave</t>
  </si>
  <si>
    <t>122 Hamilton Ave</t>
  </si>
  <si>
    <t>42a Courtney Loop</t>
  </si>
  <si>
    <t>1770 Townsend Ave</t>
  </si>
  <si>
    <t>2083 Creston Ave</t>
  </si>
  <si>
    <t>3402 153rd St</t>
  </si>
  <si>
    <t>5706 Farragut Rd</t>
  </si>
  <si>
    <t>6115 163rd St</t>
  </si>
  <si>
    <t>1140 President St</t>
  </si>
  <si>
    <t>28 Saint Marys Ave</t>
  </si>
  <si>
    <t>1447 doris st</t>
  </si>
  <si>
    <t>2141 Holland Ave</t>
  </si>
  <si>
    <t>418 W 130th St</t>
  </si>
  <si>
    <t>1600 Metropolitan Ave</t>
  </si>
  <si>
    <t>316 E 49th St</t>
  </si>
  <si>
    <t>20812 39th Ave</t>
  </si>
  <si>
    <t>245 Lenox Rd</t>
  </si>
  <si>
    <t>1729 Walton Ave</t>
  </si>
  <si>
    <t>3445 79th St</t>
  </si>
  <si>
    <t>1165 Elton St</t>
  </si>
  <si>
    <t>204 Sherman Ave</t>
  </si>
  <si>
    <t>940 Fox St</t>
  </si>
  <si>
    <t>1415 Mott Ave Apt 4</t>
  </si>
  <si>
    <t>601 W 156th St</t>
  </si>
  <si>
    <t>777 Macdonough St</t>
  </si>
  <si>
    <t>33 Henry St</t>
  </si>
  <si>
    <t>1115 Fdr Dr</t>
  </si>
  <si>
    <t>9121 195th St</t>
  </si>
  <si>
    <t>221 E 122nd St</t>
  </si>
  <si>
    <t>3432 43rd ST</t>
  </si>
  <si>
    <t>122 E 102nd St</t>
  </si>
  <si>
    <t>2854 Bronx Park E</t>
  </si>
  <si>
    <t>984 Glenmore Ave</t>
  </si>
  <si>
    <t>495 W 186th St</t>
  </si>
  <si>
    <t>63 A Lewis Ave</t>
  </si>
  <si>
    <t>1613 Eastern Pkwy</t>
  </si>
  <si>
    <t>289 Vermont St</t>
  </si>
  <si>
    <t>469 Ridgewood Ave</t>
  </si>
  <si>
    <t>2027 3rd Ave</t>
  </si>
  <si>
    <t>4746 40th St</t>
  </si>
  <si>
    <t>506 Jackson Ave</t>
  </si>
  <si>
    <t>132 Seaman Ave</t>
  </si>
  <si>
    <t>901 Drew St</t>
  </si>
  <si>
    <t>13146 Laurelton Pkwy</t>
  </si>
  <si>
    <t>1088 Sutter Ave</t>
  </si>
  <si>
    <t>424 W 48th St</t>
  </si>
  <si>
    <t>215 W 101st St</t>
  </si>
  <si>
    <t>88-15 168th Street</t>
  </si>
  <si>
    <t>1068 Winthrop St</t>
  </si>
  <si>
    <t>2448 Rockaway Fwy</t>
  </si>
  <si>
    <t>1118 Intervale Ave</t>
  </si>
  <si>
    <t>120 Alcott Pl</t>
  </si>
  <si>
    <t>395 Fort Washington Ave</t>
  </si>
  <si>
    <t>333 E 181st St</t>
  </si>
  <si>
    <t>9610 57th Ave</t>
  </si>
  <si>
    <t>2825 Grand Concourse</t>
  </si>
  <si>
    <t>21 E 107th st</t>
  </si>
  <si>
    <t>423 E 115th St</t>
  </si>
  <si>
    <t>7222 Austin St</t>
  </si>
  <si>
    <t>867 Saint Marks Ave</t>
  </si>
  <si>
    <t>1011 Neilson St</t>
  </si>
  <si>
    <t>711C Seagirt Arve</t>
  </si>
  <si>
    <t>1843 Atlantic Ave</t>
  </si>
  <si>
    <t>105 3rd Ave</t>
  </si>
  <si>
    <t>74 Norwood Ave</t>
  </si>
  <si>
    <t>81 Ludlow St</t>
  </si>
  <si>
    <t>31 Leonard St</t>
  </si>
  <si>
    <t>1074 Eastern PKWY</t>
  </si>
  <si>
    <t>57 Wadsworth Ter # 63</t>
  </si>
  <si>
    <t>734 Crescent St</t>
  </si>
  <si>
    <t>699 Pennsylvania Ave</t>
  </si>
  <si>
    <t>404 Williams Ave</t>
  </si>
  <si>
    <t>209 Broad St</t>
  </si>
  <si>
    <t>74 5th ave</t>
  </si>
  <si>
    <t>1432 Crotona Park E</t>
  </si>
  <si>
    <t>99 Osgood Ave</t>
  </si>
  <si>
    <t>1165 Gerard Ave</t>
  </si>
  <si>
    <t>506 Decatur St</t>
  </si>
  <si>
    <t>1750 Grand Concourse</t>
  </si>
  <si>
    <t>165 Nagle Ave</t>
  </si>
  <si>
    <t>735 Lincoln Ave</t>
  </si>
  <si>
    <t>642 Eldert Ln</t>
  </si>
  <si>
    <t>23059 Lansing Ave</t>
  </si>
  <si>
    <t>25-31 Post Ave</t>
  </si>
  <si>
    <t>436 W 160th St</t>
  </si>
  <si>
    <t>208 Nagle Ave</t>
  </si>
  <si>
    <t>176 Mckinley Ave</t>
  </si>
  <si>
    <t>455 Fort Washington Ave</t>
  </si>
  <si>
    <t>1771 Monroe Ave</t>
  </si>
  <si>
    <t>1417 70th St</t>
  </si>
  <si>
    <t>128 Fort Washington Ave</t>
  </si>
  <si>
    <t>8903 146th St</t>
  </si>
  <si>
    <t>22 E 108th St</t>
  </si>
  <si>
    <t>19 Cooper St</t>
  </si>
  <si>
    <t>4240 160th St</t>
  </si>
  <si>
    <t>1020 Walton Ave</t>
  </si>
  <si>
    <t>1098 Grant Ave</t>
  </si>
  <si>
    <t>3605 164th St</t>
  </si>
  <si>
    <t>1325 Pennsylvania Ave</t>
  </si>
  <si>
    <t>624 Riverdale Ave</t>
  </si>
  <si>
    <t>601 West 149th Street 54</t>
  </si>
  <si>
    <t>869 Van Siclen Ave</t>
  </si>
  <si>
    <t>656 W 162nd St</t>
  </si>
  <si>
    <t>2026 Nostrand Ave</t>
  </si>
  <si>
    <t>200 Schermerhorn St</t>
  </si>
  <si>
    <t>711 Herkimer St</t>
  </si>
  <si>
    <t>2078 2nd Ave</t>
  </si>
  <si>
    <t>69 Pinehurst Ave</t>
  </si>
  <si>
    <t>300 10th St</t>
  </si>
  <si>
    <t>660 E 98th St</t>
  </si>
  <si>
    <t>552 Academy St</t>
  </si>
  <si>
    <t>9728 57th Ave</t>
  </si>
  <si>
    <t>15a Chester Pl</t>
  </si>
  <si>
    <t>648 Kings Hwy</t>
  </si>
  <si>
    <t>223 E 89th St</t>
  </si>
  <si>
    <t>1512 Eastern Pkwy</t>
  </si>
  <si>
    <t>1730 Taylor Ave</t>
  </si>
  <si>
    <t>11 Fort George Hl</t>
  </si>
  <si>
    <t>566 Vanderbilt Ave</t>
  </si>
  <si>
    <t>75 Thayer St</t>
  </si>
  <si>
    <t>662 Brooklyn Ave</t>
  </si>
  <si>
    <t>1450 Gateway Blvd</t>
  </si>
  <si>
    <t>1116 Grant Ave</t>
  </si>
  <si>
    <t>2061 20th St</t>
  </si>
  <si>
    <t>272 Targee St</t>
  </si>
  <si>
    <t>363 Grand Ave</t>
  </si>
  <si>
    <t>620 Baychester Ave</t>
  </si>
  <si>
    <t>10825 Jamaica Ave</t>
  </si>
  <si>
    <t>11275 Sea View Ave</t>
  </si>
  <si>
    <t>145 Elmira Loop</t>
  </si>
  <si>
    <t>641 New Jersey Ave</t>
  </si>
  <si>
    <t>4709 White Plains Rd</t>
  </si>
  <si>
    <t>1456 Taylor Ave</t>
  </si>
  <si>
    <t>558 E 191st St</t>
  </si>
  <si>
    <t>20 Richmind Plaza</t>
  </si>
  <si>
    <t>14809 Northern Blvd</t>
  </si>
  <si>
    <t>130 Lefferts Pl</t>
  </si>
  <si>
    <t>444 Avenue X</t>
  </si>
  <si>
    <t>297 Lenox RD</t>
  </si>
  <si>
    <t>230 Clinton St</t>
  </si>
  <si>
    <t>Po Box 6399</t>
  </si>
  <si>
    <t>455 101st St</t>
  </si>
  <si>
    <t>1646 Union St</t>
  </si>
  <si>
    <t>1890 Pacific St</t>
  </si>
  <si>
    <t>1918 Pacific St</t>
  </si>
  <si>
    <t>221 Seaman Ave</t>
  </si>
  <si>
    <t>68 Fort Greene Pl</t>
  </si>
  <si>
    <t>148 Pennsylvania ave</t>
  </si>
  <si>
    <t>9325 Fort Hamilton Pkwy</t>
  </si>
  <si>
    <t>210 Clinton Ave</t>
  </si>
  <si>
    <t>1150 E 100th St</t>
  </si>
  <si>
    <t>4601 67th St</t>
  </si>
  <si>
    <t>1815 Everdell Ave</t>
  </si>
  <si>
    <t>6820 Burns St</t>
  </si>
  <si>
    <t>7525 153rd St</t>
  </si>
  <si>
    <t>682 Alabama Ave</t>
  </si>
  <si>
    <t>3114 42nd St</t>
  </si>
  <si>
    <t>2038 5th Ave</t>
  </si>
  <si>
    <t>121 Seaman Ave</t>
  </si>
  <si>
    <t>2273 Adam Clayton Powell Jr Blvd</t>
  </si>
  <si>
    <t>119 E 102nd St</t>
  </si>
  <si>
    <t>129 E 102nd St</t>
  </si>
  <si>
    <t>624 Riverdale Avenue</t>
  </si>
  <si>
    <t>482 Fort Washington Ave</t>
  </si>
  <si>
    <t>601 E 12th St</t>
  </si>
  <si>
    <t>532 Bradford St</t>
  </si>
  <si>
    <t>211 Marion St</t>
  </si>
  <si>
    <t>255 Pennsylvania Ave</t>
  </si>
  <si>
    <t>7261 150th St</t>
  </si>
  <si>
    <t>35 covert st</t>
  </si>
  <si>
    <t>157 Vermilyea Ave</t>
  </si>
  <si>
    <t>1610 Sedgwick Ave</t>
  </si>
  <si>
    <t>917 Ogden Ave</t>
  </si>
  <si>
    <t>250 W 146th St</t>
  </si>
  <si>
    <t>1155 E 35th St</t>
  </si>
  <si>
    <t>815 Gerard Ave</t>
  </si>
  <si>
    <t>26 Ebbitts St</t>
  </si>
  <si>
    <t>820 Boynton Ave</t>
  </si>
  <si>
    <t>2106 Union St</t>
  </si>
  <si>
    <t>320 Beach 100th St</t>
  </si>
  <si>
    <t>14011 Ash Ave</t>
  </si>
  <si>
    <t>1780 Pitkin Ave</t>
  </si>
  <si>
    <t>731 Gerard Ave</t>
  </si>
  <si>
    <t>4004 Bowne St</t>
  </si>
  <si>
    <t>81 Columbia St</t>
  </si>
  <si>
    <t>1234 Hoe Ave</t>
  </si>
  <si>
    <t>210 W 262nd St</t>
  </si>
  <si>
    <t>2260 Strauss St</t>
  </si>
  <si>
    <t>35 Sheridan Ave</t>
  </si>
  <si>
    <t>176 Westervelt Ave</t>
  </si>
  <si>
    <t>1105 Elder Ave</t>
  </si>
  <si>
    <t>221 Sherman Ave</t>
  </si>
  <si>
    <t>124 Beach 31st St</t>
  </si>
  <si>
    <t>727 6th Ave</t>
  </si>
  <si>
    <t>519 W 157th St</t>
  </si>
  <si>
    <t>663 Howard Ave</t>
  </si>
  <si>
    <t>1314 Findlay Ave</t>
  </si>
  <si>
    <t>2919 Lewmay Rd</t>
  </si>
  <si>
    <t>1782 Bergen st</t>
  </si>
  <si>
    <t>555 Kappock St</t>
  </si>
  <si>
    <t>27 W 181st St</t>
  </si>
  <si>
    <t>266 Nagle Ave</t>
  </si>
  <si>
    <t>505 Rockaway pkwy</t>
  </si>
  <si>
    <t>38 West St</t>
  </si>
  <si>
    <t>240 Park Hill Ave</t>
  </si>
  <si>
    <t>130 E 104th St</t>
  </si>
  <si>
    <t>225 Neptune Ave</t>
  </si>
  <si>
    <t>1275 Edward L Grant Hwy</t>
  </si>
  <si>
    <t>1908 N Railroad Ave</t>
  </si>
  <si>
    <t>501 E 87th St</t>
  </si>
  <si>
    <t>656 Stanley Ave</t>
  </si>
  <si>
    <t>3110 Bainbridge Ave</t>
  </si>
  <si>
    <t>18 2nd St</t>
  </si>
  <si>
    <t>20 Seaman Ave</t>
  </si>
  <si>
    <t>5433 Metropolitan Ave</t>
  </si>
  <si>
    <t>720 Belmont Ave</t>
  </si>
  <si>
    <t>25 E 21st St</t>
  </si>
  <si>
    <t>1187 Anderson Ave</t>
  </si>
  <si>
    <t>2510 Collier Ave</t>
  </si>
  <si>
    <t>985 Halsey st</t>
  </si>
  <si>
    <t>2025 Valentine Ave</t>
  </si>
  <si>
    <t>3944 24th St</t>
  </si>
  <si>
    <t>751 Forest Ave</t>
  </si>
  <si>
    <t>271 E 150th St</t>
  </si>
  <si>
    <t>75 Kimberly Ln</t>
  </si>
  <si>
    <t>468 W 140th St</t>
  </si>
  <si>
    <t>210 W 251st St</t>
  </si>
  <si>
    <t>116 Seaman Ave</t>
  </si>
  <si>
    <t>460 Brielle Ave</t>
  </si>
  <si>
    <t>804 Macon St</t>
  </si>
  <si>
    <t>1069 Flushing Ave</t>
  </si>
  <si>
    <t>358 Saint Johns Pl</t>
  </si>
  <si>
    <t>450 Schenck Ave</t>
  </si>
  <si>
    <t>14070 Ash Ave</t>
  </si>
  <si>
    <t>294 Sumpter St</t>
  </si>
  <si>
    <t>19 Parade Pl</t>
  </si>
  <si>
    <t>810 E 35th St</t>
  </si>
  <si>
    <t>2715 Webb ave</t>
  </si>
  <si>
    <t>1520 Sheridan Ave</t>
  </si>
  <si>
    <t>1015 Washington Ave</t>
  </si>
  <si>
    <t>180 Bainbridge st</t>
  </si>
  <si>
    <t>67 Doscher st</t>
  </si>
  <si>
    <t>690 Bay St</t>
  </si>
  <si>
    <t>502 W 139th St</t>
  </si>
  <si>
    <t>1176 President St</t>
  </si>
  <si>
    <t>466 Alabama Ave</t>
  </si>
  <si>
    <t>1060 sheridan ave</t>
  </si>
  <si>
    <t>1184 Walton Ave</t>
  </si>
  <si>
    <t>1368 Eggert Pl</t>
  </si>
  <si>
    <t>1857 Coney Island Ave</t>
  </si>
  <si>
    <t>1309 5th Ave</t>
  </si>
  <si>
    <t>1490 Ocean Ave</t>
  </si>
  <si>
    <t>133 Concord St</t>
  </si>
  <si>
    <t>25 Prospect Ave</t>
  </si>
  <si>
    <t>77 Columbia St</t>
  </si>
  <si>
    <t>683 Barbey ST</t>
  </si>
  <si>
    <t>903 Belmont Ave</t>
  </si>
  <si>
    <t>1756 Park Pl</t>
  </si>
  <si>
    <t>814 Marcy ave</t>
  </si>
  <si>
    <t>409 Saratoga Ave</t>
  </si>
  <si>
    <t>257 Marion St</t>
  </si>
  <si>
    <t>1462 Bushwick Ave</t>
  </si>
  <si>
    <t>1355 Grand Concourse</t>
  </si>
  <si>
    <t>1342 Sterling Pl</t>
  </si>
  <si>
    <t>4966 Broadway</t>
  </si>
  <si>
    <t>904 Winthrop St</t>
  </si>
  <si>
    <t>551 W 185th St</t>
  </si>
  <si>
    <t>63 Rockaway Pkwy</t>
  </si>
  <si>
    <t>394 E 98th St</t>
  </si>
  <si>
    <t>2099 Bergen St</t>
  </si>
  <si>
    <t>278 Chauncey St</t>
  </si>
  <si>
    <t>51 Maple Pkwy</t>
  </si>
  <si>
    <t>1774 Townsend Ave</t>
  </si>
  <si>
    <t>399 Kosciuszko st</t>
  </si>
  <si>
    <t>147 Rockaway Pkwy</t>
  </si>
  <si>
    <t>164 Henry St</t>
  </si>
  <si>
    <t>924 Armstrong Ave</t>
  </si>
  <si>
    <t>1892 Andrews Ave</t>
  </si>
  <si>
    <t>433 W 24th St</t>
  </si>
  <si>
    <t>320 Wadsworth Ave</t>
  </si>
  <si>
    <t>4536 49th St</t>
  </si>
  <si>
    <t>600 W 218th St</t>
  </si>
  <si>
    <t>829 Schenck Ave</t>
  </si>
  <si>
    <t>1411 Linden Blvd</t>
  </si>
  <si>
    <t>36 Euclid Ave</t>
  </si>
  <si>
    <t>1030 Ocean Ave</t>
  </si>
  <si>
    <t>54 Linden Blvd</t>
  </si>
  <si>
    <t>2757 Claflin Ave</t>
  </si>
  <si>
    <t>235b Jersey St</t>
  </si>
  <si>
    <t>9832 57th Ave</t>
  </si>
  <si>
    <t>490 Ocean Parkway</t>
  </si>
  <si>
    <t>490 Ocean Pkwy</t>
  </si>
  <si>
    <t>1481 5th Ave</t>
  </si>
  <si>
    <t>570 Fort Washington Ave</t>
  </si>
  <si>
    <t>105 Pinehurst Ave</t>
  </si>
  <si>
    <t>22 W 25th St</t>
  </si>
  <si>
    <t>460N Brielle Ave</t>
  </si>
  <si>
    <t>397 Troy Ave</t>
  </si>
  <si>
    <t>1825 Atlantic Ave</t>
  </si>
  <si>
    <t>363 grand ave</t>
  </si>
  <si>
    <t>680 Tinton Ave</t>
  </si>
  <si>
    <t>456 Schenectady Ave</t>
  </si>
  <si>
    <t>90 Ellwood St</t>
  </si>
  <si>
    <t>14-34 48th Avenue</t>
  </si>
  <si>
    <t>1585 Townsend Ave</t>
  </si>
  <si>
    <t>252 Sherman Aveue</t>
  </si>
  <si>
    <t>14 Spartan Ave</t>
  </si>
  <si>
    <t>1124 Boynton Ave</t>
  </si>
  <si>
    <t>603 Mother Gaston Blvd</t>
  </si>
  <si>
    <t>1114 New York Ave</t>
  </si>
  <si>
    <t>2860 Decatur Ave</t>
  </si>
  <si>
    <t>180 Parkhill Ave</t>
  </si>
  <si>
    <t>297 Pleasant Ave</t>
  </si>
  <si>
    <t>60 E 177th St</t>
  </si>
  <si>
    <t>377 Chauncey St</t>
  </si>
  <si>
    <t>121 E Clarke Pl</t>
  </si>
  <si>
    <t>30 Daniel Low Ter</t>
  </si>
  <si>
    <t>664 W 161st St</t>
  </si>
  <si>
    <t>66 Mulberry St</t>
  </si>
  <si>
    <t>235 E 39th St</t>
  </si>
  <si>
    <t>1933 Fulton St</t>
  </si>
  <si>
    <t>167 W 81st St</t>
  </si>
  <si>
    <t>1920 Osbourne Pl</t>
  </si>
  <si>
    <t>766 Miller Ave</t>
  </si>
  <si>
    <t>PO Box 661564</t>
  </si>
  <si>
    <t>1371 Clove Rd</t>
  </si>
  <si>
    <t>24 Cooper St</t>
  </si>
  <si>
    <t>171 Morningside Ave</t>
  </si>
  <si>
    <t>35 E 94th St</t>
  </si>
  <si>
    <t>34 Bogardus Pl</t>
  </si>
  <si>
    <t>1005 E 217th St</t>
  </si>
  <si>
    <t>2155 Grand Concourse</t>
  </si>
  <si>
    <t>233 E 92nd St</t>
  </si>
  <si>
    <t>45 E Mosholu Pkwy N</t>
  </si>
  <si>
    <t>287 Hett Ave</t>
  </si>
  <si>
    <t>785 Belmont Ave</t>
  </si>
  <si>
    <t>70 S Elliott Pl</t>
  </si>
  <si>
    <t>160 4th Ave</t>
  </si>
  <si>
    <t>220 Wadsworth Ave</t>
  </si>
  <si>
    <t>38 Post Avenue</t>
  </si>
  <si>
    <t>1070 E New York Ave</t>
  </si>
  <si>
    <t>3318 Steuben Ave</t>
  </si>
  <si>
    <t>14215 Bascom Ave</t>
  </si>
  <si>
    <t>513 W 157th St</t>
  </si>
  <si>
    <t>433 Halsey St</t>
  </si>
  <si>
    <t>9838 57th Ave</t>
  </si>
  <si>
    <t>14445 35th Ave</t>
  </si>
  <si>
    <t>1191 Anderson Ave</t>
  </si>
  <si>
    <t>15 Featherbed Ln</t>
  </si>
  <si>
    <t>5002 3rd Ave</t>
  </si>
  <si>
    <t>1818 Anthony Ave</t>
  </si>
  <si>
    <t>350 E 51st St</t>
  </si>
  <si>
    <t>240 Nagle Ave</t>
  </si>
  <si>
    <t>2875 Sedgwick Ave</t>
  </si>
  <si>
    <t>114 E 97th St</t>
  </si>
  <si>
    <t>9720 57th Ave</t>
  </si>
  <si>
    <t>601 W 190th St</t>
  </si>
  <si>
    <t>114 Elliot Pl</t>
  </si>
  <si>
    <t>249 Thomas s Boyland st</t>
  </si>
  <si>
    <t>73 E 96th St</t>
  </si>
  <si>
    <t>3 Quincy St</t>
  </si>
  <si>
    <t>747 Macdonough St</t>
  </si>
  <si>
    <t>666 Dumont Ave</t>
  </si>
  <si>
    <t>1441 Bushwick Ave</t>
  </si>
  <si>
    <t>2181 Pacific st</t>
  </si>
  <si>
    <t>1885 Eastern Pkwy</t>
  </si>
  <si>
    <t>86 Forbell St</t>
  </si>
  <si>
    <t>3030 Valentine Ave</t>
  </si>
  <si>
    <t>1210 Woodycrest Ave</t>
  </si>
  <si>
    <t>31 Post Ave</t>
  </si>
  <si>
    <t>200 Cozine Ave</t>
  </si>
  <si>
    <t>3026 Wickham Ave</t>
  </si>
  <si>
    <t>516 W 167th St</t>
  </si>
  <si>
    <t>1049 Grand Concourse</t>
  </si>
  <si>
    <t>701 Avenue C</t>
  </si>
  <si>
    <t>25 W 128th st</t>
  </si>
  <si>
    <t>353 Chester St</t>
  </si>
  <si>
    <t>1775 Walton Avenue</t>
  </si>
  <si>
    <t>209 Sumpter St</t>
  </si>
  <si>
    <t>603 Isham St</t>
  </si>
  <si>
    <t>601 W 57th St</t>
  </si>
  <si>
    <t>1563 Pitkin Ave</t>
  </si>
  <si>
    <t>399 Troy Ave</t>
  </si>
  <si>
    <t>10 E 43rd St</t>
  </si>
  <si>
    <t>480 E 23rd St</t>
  </si>
  <si>
    <t>212 Saint Nicholas Ave</t>
  </si>
  <si>
    <t>269 E 4th St</t>
  </si>
  <si>
    <t>1652 Park ave</t>
  </si>
  <si>
    <t>256 Seaman Ave</t>
  </si>
  <si>
    <t>585 N Railroad Ave</t>
  </si>
  <si>
    <t>74 Eldert st</t>
  </si>
  <si>
    <t>454 E 148th St</t>
  </si>
  <si>
    <t>299 Saint Marks Pl</t>
  </si>
  <si>
    <t>507 W 186th St</t>
  </si>
  <si>
    <t>244 E 117th St</t>
  </si>
  <si>
    <t>879 Cypress Ave</t>
  </si>
  <si>
    <t>511 Amsterdam Ave</t>
  </si>
  <si>
    <t>250 Fort Washington Ave</t>
  </si>
  <si>
    <t>250 E 96th St</t>
  </si>
  <si>
    <t>1215 Grand Concourse</t>
  </si>
  <si>
    <t>540 E 23rd St</t>
  </si>
  <si>
    <t>275 Fort Washington Ave</t>
  </si>
  <si>
    <t>1971 Marmion Ave</t>
  </si>
  <si>
    <t>495 20th St</t>
  </si>
  <si>
    <t>1330 Fulton St</t>
  </si>
  <si>
    <t>1487 Shore Pkwy</t>
  </si>
  <si>
    <t>2242 Nameoke Ave</t>
  </si>
  <si>
    <t>1764 Anthony Ave</t>
  </si>
  <si>
    <t>219 E 196th St</t>
  </si>
  <si>
    <t>2265 Grand Ave</t>
  </si>
  <si>
    <t>1412 New York Ave</t>
  </si>
  <si>
    <t>132 17th St</t>
  </si>
  <si>
    <t>107 E 126th St</t>
  </si>
  <si>
    <t>97-20 57th Avenue</t>
  </si>
  <si>
    <t>68 MacDougal St</t>
  </si>
  <si>
    <t>543 47th Ave</t>
  </si>
  <si>
    <t>300 E 93rd St</t>
  </si>
  <si>
    <t>50 Vandalia Ave</t>
  </si>
  <si>
    <t>3333 Broadway</t>
  </si>
  <si>
    <t>482 Prospect pl</t>
  </si>
  <si>
    <t>1468 5th Ave</t>
  </si>
  <si>
    <t>73 Crystal St</t>
  </si>
  <si>
    <t>801 W 181st St</t>
  </si>
  <si>
    <t>1098 Gerard Ave</t>
  </si>
  <si>
    <t>305 13th St</t>
  </si>
  <si>
    <t>529 W 189th St</t>
  </si>
  <si>
    <t>509 Amsterdam Ave</t>
  </si>
  <si>
    <t>165 E 179th St</t>
  </si>
  <si>
    <t>38 Post Ave</t>
  </si>
  <si>
    <t>540 Fort Washington Ave</t>
  </si>
  <si>
    <t>3343 Sedgwick Ave</t>
  </si>
  <si>
    <t>1420 Freeport Loop</t>
  </si>
  <si>
    <t>1062 Saint Nicholas Ave</t>
  </si>
  <si>
    <t>6040 Huxley Ave</t>
  </si>
  <si>
    <t>546 Isham st</t>
  </si>
  <si>
    <t>3525 Bainbridge Ave</t>
  </si>
  <si>
    <t>1846 Anthony Ave</t>
  </si>
  <si>
    <t>5000 Broadway</t>
  </si>
  <si>
    <t>140 Riverside dr</t>
  </si>
  <si>
    <t>20916 86th drive</t>
  </si>
  <si>
    <t>1995 Sedgwick Ave</t>
  </si>
  <si>
    <t>1401 Elm Ave</t>
  </si>
  <si>
    <t>231 E 117th ST</t>
  </si>
  <si>
    <t>45 W 139th St</t>
  </si>
  <si>
    <t>4706 48th Ave</t>
  </si>
  <si>
    <t>80 Arden St</t>
  </si>
  <si>
    <t>4115 50th Ave</t>
  </si>
  <si>
    <t>95 W 162nd St</t>
  </si>
  <si>
    <t>231 E 117th st</t>
  </si>
  <si>
    <t>260 Fort Washington Ave</t>
  </si>
  <si>
    <t>117 sherman ave</t>
  </si>
  <si>
    <t>102 Suffolk St</t>
  </si>
  <si>
    <t>2076 Creston Ave # 2078</t>
  </si>
  <si>
    <t>1 Marble Hill Ave</t>
  </si>
  <si>
    <t>9805 67th Ave</t>
  </si>
  <si>
    <t>200 Haven ave</t>
  </si>
  <si>
    <t>621 W 189th St</t>
  </si>
  <si>
    <t>615 W 183rd St</t>
  </si>
  <si>
    <t>3353 82nd St</t>
  </si>
  <si>
    <t>436 Fort Washington Ave</t>
  </si>
  <si>
    <t>2663 Heath Ave</t>
  </si>
  <si>
    <t>120 96th St.</t>
  </si>
  <si>
    <t>2nd Floor</t>
  </si>
  <si>
    <t>1st Floor</t>
  </si>
  <si>
    <t>6G</t>
  </si>
  <si>
    <t>10B</t>
  </si>
  <si>
    <t>L310</t>
  </si>
  <si>
    <t>3A</t>
  </si>
  <si>
    <t>#7-D</t>
  </si>
  <si>
    <t>2nd fl</t>
  </si>
  <si>
    <t>5K</t>
  </si>
  <si>
    <t>Bsmnt</t>
  </si>
  <si>
    <t>1L</t>
  </si>
  <si>
    <t>E3A1</t>
  </si>
  <si>
    <t>1B</t>
  </si>
  <si>
    <t>1st fl</t>
  </si>
  <si>
    <t>1c</t>
  </si>
  <si>
    <t>G2</t>
  </si>
  <si>
    <t>B6</t>
  </si>
  <si>
    <t>2A</t>
  </si>
  <si>
    <t>9E</t>
  </si>
  <si>
    <t>3b</t>
  </si>
  <si>
    <t>Apt. 1E</t>
  </si>
  <si>
    <t>3R</t>
  </si>
  <si>
    <t>2nd floor</t>
  </si>
  <si>
    <t>D1</t>
  </si>
  <si>
    <t>5J</t>
  </si>
  <si>
    <t>1A</t>
  </si>
  <si>
    <t>6B</t>
  </si>
  <si>
    <t>4C</t>
  </si>
  <si>
    <t>3-A</t>
  </si>
  <si>
    <t>1h</t>
  </si>
  <si>
    <t>D4</t>
  </si>
  <si>
    <t>C2</t>
  </si>
  <si>
    <t>3G</t>
  </si>
  <si>
    <t>2C</t>
  </si>
  <si>
    <t>1R</t>
  </si>
  <si>
    <t>3L</t>
  </si>
  <si>
    <t>21B</t>
  </si>
  <si>
    <t>3-0</t>
  </si>
  <si>
    <t>18H</t>
  </si>
  <si>
    <t>7K</t>
  </si>
  <si>
    <t>10F</t>
  </si>
  <si>
    <t>19E</t>
  </si>
  <si>
    <t>5D</t>
  </si>
  <si>
    <t>2nd Fl</t>
  </si>
  <si>
    <t>4B</t>
  </si>
  <si>
    <t>23M</t>
  </si>
  <si>
    <t>3E</t>
  </si>
  <si>
    <t>2R</t>
  </si>
  <si>
    <t>2N</t>
  </si>
  <si>
    <t>2G</t>
  </si>
  <si>
    <t>8C</t>
  </si>
  <si>
    <t>6R</t>
  </si>
  <si>
    <t>18G</t>
  </si>
  <si>
    <t>4A</t>
  </si>
  <si>
    <t>2L</t>
  </si>
  <si>
    <t>22H</t>
  </si>
  <si>
    <t>15B</t>
  </si>
  <si>
    <t>3F</t>
  </si>
  <si>
    <t>C4</t>
  </si>
  <si>
    <t>2-M</t>
  </si>
  <si>
    <t>C7</t>
  </si>
  <si>
    <t>4D</t>
  </si>
  <si>
    <t>5B</t>
  </si>
  <si>
    <t>2B</t>
  </si>
  <si>
    <t>1D</t>
  </si>
  <si>
    <t>B1</t>
  </si>
  <si>
    <t>60C</t>
  </si>
  <si>
    <t>42C</t>
  </si>
  <si>
    <t>6J</t>
  </si>
  <si>
    <t>5E</t>
  </si>
  <si>
    <t>Apt A6</t>
  </si>
  <si>
    <t>2E</t>
  </si>
  <si>
    <t>7E</t>
  </si>
  <si>
    <t>17E</t>
  </si>
  <si>
    <t>B3</t>
  </si>
  <si>
    <t>E8</t>
  </si>
  <si>
    <t>E4</t>
  </si>
  <si>
    <t>2-C</t>
  </si>
  <si>
    <t>4-C</t>
  </si>
  <si>
    <t>2 Room 2A</t>
  </si>
  <si>
    <t>B</t>
  </si>
  <si>
    <t>D6</t>
  </si>
  <si>
    <t>6E</t>
  </si>
  <si>
    <t>RC3</t>
  </si>
  <si>
    <t>4F</t>
  </si>
  <si>
    <t>4E</t>
  </si>
  <si>
    <t>3C</t>
  </si>
  <si>
    <t>#17A</t>
  </si>
  <si>
    <t>First Floor</t>
  </si>
  <si>
    <t>D2</t>
  </si>
  <si>
    <t>1C</t>
  </si>
  <si>
    <t>A3</t>
  </si>
  <si>
    <t>1-D</t>
  </si>
  <si>
    <t>4T</t>
  </si>
  <si>
    <t>basement</t>
  </si>
  <si>
    <t>3P</t>
  </si>
  <si>
    <t>#6A</t>
  </si>
  <si>
    <t>6N</t>
  </si>
  <si>
    <t>3-E</t>
  </si>
  <si>
    <t>5I</t>
  </si>
  <si>
    <t>5L</t>
  </si>
  <si>
    <t>3c</t>
  </si>
  <si>
    <t>1F</t>
  </si>
  <si>
    <t>Apt 1L</t>
  </si>
  <si>
    <t>12 E</t>
  </si>
  <si>
    <t>2D</t>
  </si>
  <si>
    <t>6F</t>
  </si>
  <si>
    <t>2J</t>
  </si>
  <si>
    <t>B2</t>
  </si>
  <si>
    <t>5C</t>
  </si>
  <si>
    <t>6H</t>
  </si>
  <si>
    <t>2F</t>
  </si>
  <si>
    <t>15G</t>
  </si>
  <si>
    <t>A</t>
  </si>
  <si>
    <t>3M</t>
  </si>
  <si>
    <t>2M</t>
  </si>
  <si>
    <t>4H</t>
  </si>
  <si>
    <t>GG</t>
  </si>
  <si>
    <t>2H</t>
  </si>
  <si>
    <t>CC</t>
  </si>
  <si>
    <t>2I</t>
  </si>
  <si>
    <t>Apt 216</t>
  </si>
  <si>
    <t>3B</t>
  </si>
  <si>
    <t>C8</t>
  </si>
  <si>
    <t>Apt. 1D</t>
  </si>
  <si>
    <t>5-F</t>
  </si>
  <si>
    <t>1-C</t>
  </si>
  <si>
    <t>14B</t>
  </si>
  <si>
    <t>BC</t>
  </si>
  <si>
    <t>6P</t>
  </si>
  <si>
    <t>5-E</t>
  </si>
  <si>
    <t>1J</t>
  </si>
  <si>
    <t>6M</t>
  </si>
  <si>
    <t>1-WN</t>
  </si>
  <si>
    <t>GB</t>
  </si>
  <si>
    <t>5h</t>
  </si>
  <si>
    <t>53A</t>
  </si>
  <si>
    <t>5N</t>
  </si>
  <si>
    <t>7B</t>
  </si>
  <si>
    <t>302W</t>
  </si>
  <si>
    <t>Second Floor</t>
  </si>
  <si>
    <t>1st floor</t>
  </si>
  <si>
    <t>5W</t>
  </si>
  <si>
    <t>2K</t>
  </si>
  <si>
    <t>Room 10</t>
  </si>
  <si>
    <t>G</t>
  </si>
  <si>
    <t>2a</t>
  </si>
  <si>
    <t>7A</t>
  </si>
  <si>
    <t>3i</t>
  </si>
  <si>
    <t>23C</t>
  </si>
  <si>
    <t>5S</t>
  </si>
  <si>
    <t>bment</t>
  </si>
  <si>
    <t>6I</t>
  </si>
  <si>
    <t>24B</t>
  </si>
  <si>
    <t>1e</t>
  </si>
  <si>
    <t>6C</t>
  </si>
  <si>
    <t>28F</t>
  </si>
  <si>
    <t>5H</t>
  </si>
  <si>
    <t>5G</t>
  </si>
  <si>
    <t>3D</t>
  </si>
  <si>
    <t>6A</t>
  </si>
  <si>
    <t>22C</t>
  </si>
  <si>
    <t>17G</t>
  </si>
  <si>
    <t>5A</t>
  </si>
  <si>
    <t>1st Fl</t>
  </si>
  <si>
    <t>6 J</t>
  </si>
  <si>
    <t>4L</t>
  </si>
  <si>
    <t>#6F</t>
  </si>
  <si>
    <t>3rd Floor</t>
  </si>
  <si>
    <t>PH</t>
  </si>
  <si>
    <t>4-F</t>
  </si>
  <si>
    <t>13G</t>
  </si>
  <si>
    <t>5F</t>
  </si>
  <si>
    <t>apt 6 O</t>
  </si>
  <si>
    <t>25B</t>
  </si>
  <si>
    <t>Apt. 1</t>
  </si>
  <si>
    <t>1H</t>
  </si>
  <si>
    <t>24A</t>
  </si>
  <si>
    <t>C6</t>
  </si>
  <si>
    <t>10N</t>
  </si>
  <si>
    <t>1K</t>
  </si>
  <si>
    <t>6L</t>
  </si>
  <si>
    <t>2l</t>
  </si>
  <si>
    <t>38B</t>
  </si>
  <si>
    <t>4K</t>
  </si>
  <si>
    <t>15 A</t>
  </si>
  <si>
    <t>#1</t>
  </si>
  <si>
    <t>1-I</t>
  </si>
  <si>
    <t>2nd</t>
  </si>
  <si>
    <t>14D</t>
  </si>
  <si>
    <t>A17</t>
  </si>
  <si>
    <t>#4A</t>
  </si>
  <si>
    <t># 2B</t>
  </si>
  <si>
    <t>6Z</t>
  </si>
  <si>
    <t>Apt 6E</t>
  </si>
  <si>
    <t>1E</t>
  </si>
  <si>
    <t>16B</t>
  </si>
  <si>
    <t>1-G</t>
  </si>
  <si>
    <t>D5</t>
  </si>
  <si>
    <t>6V</t>
  </si>
  <si>
    <t>!</t>
  </si>
  <si>
    <t>4G</t>
  </si>
  <si>
    <t>41A</t>
  </si>
  <si>
    <t>6W</t>
  </si>
  <si>
    <t>16G</t>
  </si>
  <si>
    <t>1T</t>
  </si>
  <si>
    <t>F4</t>
  </si>
  <si>
    <t>F3</t>
  </si>
  <si>
    <t>BSMT</t>
  </si>
  <si>
    <t>E1</t>
  </si>
  <si>
    <t>D32</t>
  </si>
  <si>
    <t>Apt 4D</t>
  </si>
  <si>
    <t>1Q</t>
  </si>
  <si>
    <t>3rd floor</t>
  </si>
  <si>
    <t>35J</t>
  </si>
  <si>
    <t>F22</t>
  </si>
  <si>
    <t>A66</t>
  </si>
  <si>
    <t>Apt. 1G</t>
  </si>
  <si>
    <t>D809</t>
  </si>
  <si>
    <t>House 1</t>
  </si>
  <si>
    <t>6d</t>
  </si>
  <si>
    <t>4P</t>
  </si>
  <si>
    <t>6D</t>
  </si>
  <si>
    <t>Basement</t>
  </si>
  <si>
    <t>1 B</t>
  </si>
  <si>
    <t>16 H</t>
  </si>
  <si>
    <t>2f</t>
  </si>
  <si>
    <t>3rd FL</t>
  </si>
  <si>
    <t>5-A</t>
  </si>
  <si>
    <t>1-H</t>
  </si>
  <si>
    <t>9F</t>
  </si>
  <si>
    <t>9C</t>
  </si>
  <si>
    <t>Apt.24D</t>
  </si>
  <si>
    <t>B-36</t>
  </si>
  <si>
    <t>12G</t>
  </si>
  <si>
    <t>3rd</t>
  </si>
  <si>
    <t>B21</t>
  </si>
  <si>
    <t>C9</t>
  </si>
  <si>
    <t>1st Fl.</t>
  </si>
  <si>
    <t>8H</t>
  </si>
  <si>
    <t>1205W</t>
  </si>
  <si>
    <t>1M</t>
  </si>
  <si>
    <t>intervale avenue</t>
  </si>
  <si>
    <t>GC</t>
  </si>
  <si>
    <t>#3R</t>
  </si>
  <si>
    <t>12F</t>
  </si>
  <si>
    <t>9O</t>
  </si>
  <si>
    <t>4R</t>
  </si>
  <si>
    <t>2WN</t>
  </si>
  <si>
    <t>2EF</t>
  </si>
  <si>
    <t>17K</t>
  </si>
  <si>
    <t>1-F</t>
  </si>
  <si>
    <t>17 A</t>
  </si>
  <si>
    <t>8D</t>
  </si>
  <si>
    <t>A4</t>
  </si>
  <si>
    <t>5i</t>
  </si>
  <si>
    <t>7F</t>
  </si>
  <si>
    <t>3I</t>
  </si>
  <si>
    <t>1 Rm 2</t>
  </si>
  <si>
    <t>28A</t>
  </si>
  <si>
    <t>2 R</t>
  </si>
  <si>
    <t>16C</t>
  </si>
  <si>
    <t>1 floor</t>
  </si>
  <si>
    <t>2-B</t>
  </si>
  <si>
    <t>Apt 2C</t>
  </si>
  <si>
    <t>3K</t>
  </si>
  <si>
    <t>25 A</t>
  </si>
  <si>
    <t>3N</t>
  </si>
  <si>
    <t>3J</t>
  </si>
  <si>
    <t>1-R</t>
  </si>
  <si>
    <t>#3B</t>
  </si>
  <si>
    <t>331E</t>
  </si>
  <si>
    <t>10M</t>
  </si>
  <si>
    <t>Apt. #3</t>
  </si>
  <si>
    <t>C5</t>
  </si>
  <si>
    <t>10H</t>
  </si>
  <si>
    <t>B-55</t>
  </si>
  <si>
    <t>4-B</t>
  </si>
  <si>
    <t>Ground floor</t>
  </si>
  <si>
    <t>12H</t>
  </si>
  <si>
    <t>4 I</t>
  </si>
  <si>
    <t>5c</t>
  </si>
  <si>
    <t>18S</t>
  </si>
  <si>
    <t>7D</t>
  </si>
  <si>
    <t>2nd FL</t>
  </si>
  <si>
    <t>A1</t>
  </si>
  <si>
    <t>23L</t>
  </si>
  <si>
    <t>G31</t>
  </si>
  <si>
    <t>10-O</t>
  </si>
  <si>
    <t>20F</t>
  </si>
  <si>
    <t>2r</t>
  </si>
  <si>
    <t>7H</t>
  </si>
  <si>
    <t>apt 2</t>
  </si>
  <si>
    <t>Apt. 1B</t>
  </si>
  <si>
    <t>A2</t>
  </si>
  <si>
    <t>19G</t>
  </si>
  <si>
    <t>33B</t>
  </si>
  <si>
    <t>#3T</t>
  </si>
  <si>
    <t>13B</t>
  </si>
  <si>
    <t>3AS</t>
  </si>
  <si>
    <t>4a</t>
  </si>
  <si>
    <t>3-U</t>
  </si>
  <si>
    <t>2W</t>
  </si>
  <si>
    <t>1-A</t>
  </si>
  <si>
    <t>Unit 1</t>
  </si>
  <si>
    <t>Apt. 2</t>
  </si>
  <si>
    <t>3-F</t>
  </si>
  <si>
    <t>Apt.45</t>
  </si>
  <si>
    <t>MC</t>
  </si>
  <si>
    <t>30F</t>
  </si>
  <si>
    <t>5T</t>
  </si>
  <si>
    <t>FL 2</t>
  </si>
  <si>
    <t>1G</t>
  </si>
  <si>
    <t>10A</t>
  </si>
  <si>
    <t>Apt A</t>
  </si>
  <si>
    <t>9A</t>
  </si>
  <si>
    <t>S51</t>
  </si>
  <si>
    <t>16L</t>
  </si>
  <si>
    <t>#3</t>
  </si>
  <si>
    <t>27D</t>
  </si>
  <si>
    <t>Rear</t>
  </si>
  <si>
    <t>12A</t>
  </si>
  <si>
    <t>B7</t>
  </si>
  <si>
    <t>Apt 5T</t>
  </si>
  <si>
    <t>Apt. 4C</t>
  </si>
  <si>
    <t>B4</t>
  </si>
  <si>
    <t>#1F</t>
  </si>
  <si>
    <t>Apt 1N</t>
  </si>
  <si>
    <t>Apt 2</t>
  </si>
  <si>
    <t>E42</t>
  </si>
  <si>
    <t>26B</t>
  </si>
  <si>
    <t>1st FL</t>
  </si>
  <si>
    <t>Apt 3</t>
  </si>
  <si>
    <t>30c</t>
  </si>
  <si>
    <t>25E</t>
  </si>
  <si>
    <t>1 R</t>
  </si>
  <si>
    <t>1b</t>
  </si>
  <si>
    <t>Apt 4R</t>
  </si>
  <si>
    <t>8B</t>
  </si>
  <si>
    <t>3H</t>
  </si>
  <si>
    <t>18 B</t>
  </si>
  <si>
    <t>15S</t>
  </si>
  <si>
    <t>47A</t>
  </si>
  <si>
    <t>20J</t>
  </si>
  <si>
    <t>C15</t>
  </si>
  <si>
    <t>32B</t>
  </si>
  <si>
    <t>1-B</t>
  </si>
  <si>
    <t>Apt 209</t>
  </si>
  <si>
    <t>Apt. 2-L</t>
  </si>
  <si>
    <t>Apt.6G</t>
  </si>
  <si>
    <t>21A</t>
  </si>
  <si>
    <t>2-E</t>
  </si>
  <si>
    <t>Apt. 3G</t>
  </si>
  <si>
    <t>2U</t>
  </si>
  <si>
    <t>apt #2</t>
  </si>
  <si>
    <t>E14</t>
  </si>
  <si>
    <t>A32</t>
  </si>
  <si>
    <t>4-A</t>
  </si>
  <si>
    <t>Apt 3K</t>
  </si>
  <si>
    <t>11M</t>
  </si>
  <si>
    <t>9H</t>
  </si>
  <si>
    <t>Apt 605</t>
  </si>
  <si>
    <t>1y</t>
  </si>
  <si>
    <t>4g</t>
  </si>
  <si>
    <t>D</t>
  </si>
  <si>
    <t>1i</t>
  </si>
  <si>
    <t>2b</t>
  </si>
  <si>
    <t>6-L</t>
  </si>
  <si>
    <t>6K</t>
  </si>
  <si>
    <t>B15</t>
  </si>
  <si>
    <t>7l</t>
  </si>
  <si>
    <t>2 Floor</t>
  </si>
  <si>
    <t>15H</t>
  </si>
  <si>
    <t>A12</t>
  </si>
  <si>
    <t>Apt A4</t>
  </si>
  <si>
    <t>A81</t>
  </si>
  <si>
    <t>7R</t>
  </si>
  <si>
    <t>2 FL</t>
  </si>
  <si>
    <t>Apt. C22</t>
  </si>
  <si>
    <t>Apt 5D</t>
  </si>
  <si>
    <t>4-g</t>
  </si>
  <si>
    <t>B51</t>
  </si>
  <si>
    <t>4b</t>
  </si>
  <si>
    <t>4h</t>
  </si>
  <si>
    <t>4e</t>
  </si>
  <si>
    <t>3k</t>
  </si>
  <si>
    <t>1I</t>
  </si>
  <si>
    <t>Floor 2</t>
  </si>
  <si>
    <t>E6</t>
  </si>
  <si>
    <t>4-D</t>
  </si>
  <si>
    <t>J</t>
  </si>
  <si>
    <t>51B</t>
  </si>
  <si>
    <t>10S</t>
  </si>
  <si>
    <t>B11</t>
  </si>
  <si>
    <t>7G</t>
  </si>
  <si>
    <t>apt 34</t>
  </si>
  <si>
    <t>6i</t>
  </si>
  <si>
    <t>5R</t>
  </si>
  <si>
    <t>11H</t>
  </si>
  <si>
    <t>22F</t>
  </si>
  <si>
    <t>4I</t>
  </si>
  <si>
    <t>8-4005</t>
  </si>
  <si>
    <t>3AN</t>
  </si>
  <si>
    <t>apt 1</t>
  </si>
  <si>
    <t>17A</t>
  </si>
  <si>
    <t>7V</t>
  </si>
  <si>
    <t>R510</t>
  </si>
  <si>
    <t>3-C</t>
  </si>
  <si>
    <t>5-J</t>
  </si>
  <si>
    <t>21 E</t>
  </si>
  <si>
    <t>52A</t>
  </si>
  <si>
    <t>N54</t>
  </si>
  <si>
    <t>4U</t>
  </si>
  <si>
    <t>A15</t>
  </si>
  <si>
    <t>2T</t>
  </si>
  <si>
    <t>3HH</t>
  </si>
  <si>
    <t>23B</t>
  </si>
  <si>
    <t>ST1</t>
  </si>
  <si>
    <t>14A</t>
  </si>
  <si>
    <t>16M</t>
  </si>
  <si>
    <t>24-D</t>
  </si>
  <si>
    <t>2P</t>
  </si>
  <si>
    <t>Apt. 1C</t>
  </si>
  <si>
    <t>1N</t>
  </si>
  <si>
    <t>24D</t>
  </si>
  <si>
    <t>10G</t>
  </si>
  <si>
    <t>17GA</t>
  </si>
  <si>
    <t>19B</t>
  </si>
  <si>
    <t>Apt.2L</t>
  </si>
  <si>
    <t>4S</t>
  </si>
  <si>
    <t>B5</t>
  </si>
  <si>
    <t>5-O</t>
  </si>
  <si>
    <t>63A</t>
  </si>
  <si>
    <t>12-E</t>
  </si>
  <si>
    <t>3A - 1st floor</t>
  </si>
  <si>
    <t>1-3</t>
  </si>
  <si>
    <t>N52</t>
  </si>
  <si>
    <t>18 C</t>
  </si>
  <si>
    <t>E9</t>
  </si>
  <si>
    <t>B66</t>
  </si>
  <si>
    <t>R602</t>
  </si>
  <si>
    <t>D312</t>
  </si>
  <si>
    <t>29H</t>
  </si>
  <si>
    <t>2 C</t>
  </si>
  <si>
    <t>8O</t>
  </si>
  <si>
    <t>3 FL</t>
  </si>
  <si>
    <t>26F</t>
  </si>
  <si>
    <t>2-0</t>
  </si>
  <si>
    <t>3-R</t>
  </si>
  <si>
    <t>12-A</t>
  </si>
  <si>
    <t>Bw</t>
  </si>
  <si>
    <t>Apt;. 2E</t>
  </si>
  <si>
    <t>#5C1</t>
  </si>
  <si>
    <t>42B</t>
  </si>
  <si>
    <t>A49</t>
  </si>
  <si>
    <t>G21</t>
  </si>
  <si>
    <t>5BB</t>
  </si>
  <si>
    <t>2 floor</t>
  </si>
  <si>
    <t>N15</t>
  </si>
  <si>
    <t>E</t>
  </si>
  <si>
    <t>1405W</t>
  </si>
  <si>
    <t>11D</t>
  </si>
  <si>
    <t>K</t>
  </si>
  <si>
    <t>3Q</t>
  </si>
  <si>
    <t>17N</t>
  </si>
  <si>
    <t>17 H</t>
  </si>
  <si>
    <t>10C</t>
  </si>
  <si>
    <t>28G</t>
  </si>
  <si>
    <t>8F</t>
  </si>
  <si>
    <t>5P</t>
  </si>
  <si>
    <t>Apt. #5-B</t>
  </si>
  <si>
    <t>20H</t>
  </si>
  <si>
    <t>2-H</t>
  </si>
  <si>
    <t>2DE</t>
  </si>
  <si>
    <t>Apt 7H</t>
  </si>
  <si>
    <t>Apt 1-V</t>
  </si>
  <si>
    <t>C1</t>
  </si>
  <si>
    <t>17 GI</t>
  </si>
  <si>
    <t>Apt. 6F</t>
  </si>
  <si>
    <t>28E</t>
  </si>
  <si>
    <t>3rd Fl</t>
  </si>
  <si>
    <t>17H</t>
  </si>
  <si>
    <t>16E</t>
  </si>
  <si>
    <t>C</t>
  </si>
  <si>
    <t>3O</t>
  </si>
  <si>
    <t>#8H</t>
  </si>
  <si>
    <t>C-1</t>
  </si>
  <si>
    <t>1/2</t>
  </si>
  <si>
    <t>Apt 5G</t>
  </si>
  <si>
    <t>3-L</t>
  </si>
  <si>
    <t>14C</t>
  </si>
  <si>
    <t>Bsmt</t>
  </si>
  <si>
    <t>Room 3</t>
  </si>
  <si>
    <t>9K</t>
  </si>
  <si>
    <t>9i</t>
  </si>
  <si>
    <t>4-H</t>
  </si>
  <si>
    <t>11-B</t>
  </si>
  <si>
    <t>A41</t>
  </si>
  <si>
    <t>Apt 6A</t>
  </si>
  <si>
    <t>5-G</t>
  </si>
  <si>
    <t>4k</t>
  </si>
  <si>
    <t>B31</t>
  </si>
  <si>
    <t>5s</t>
  </si>
  <si>
    <t>11P</t>
  </si>
  <si>
    <t>Apt 409</t>
  </si>
  <si>
    <t>R607</t>
  </si>
  <si>
    <t>1AA</t>
  </si>
  <si>
    <t>1-N</t>
  </si>
  <si>
    <t>10D</t>
  </si>
  <si>
    <t>11R</t>
  </si>
  <si>
    <t>45A</t>
  </si>
  <si>
    <t>D3</t>
  </si>
  <si>
    <t>Apt 3A</t>
  </si>
  <si>
    <t>4 B</t>
  </si>
  <si>
    <t>15J</t>
  </si>
  <si>
    <t>37 A</t>
  </si>
  <si>
    <t>Fist Fl</t>
  </si>
  <si>
    <t>32b</t>
  </si>
  <si>
    <t>B306</t>
  </si>
  <si>
    <t>20C</t>
  </si>
  <si>
    <t>18M</t>
  </si>
  <si>
    <t>H41</t>
  </si>
  <si>
    <t>22G</t>
  </si>
  <si>
    <t>Apt 5A</t>
  </si>
  <si>
    <t>Apt 1</t>
  </si>
  <si>
    <t>2-A</t>
  </si>
  <si>
    <t>D9</t>
  </si>
  <si>
    <t>22P</t>
  </si>
  <si>
    <t>15M</t>
  </si>
  <si>
    <t>3l</t>
  </si>
  <si>
    <t>52B</t>
  </si>
  <si>
    <t>5-0</t>
  </si>
  <si>
    <t>#4</t>
  </si>
  <si>
    <t>22D</t>
  </si>
  <si>
    <t>4-G</t>
  </si>
  <si>
    <t>16H</t>
  </si>
  <si>
    <t>4N</t>
  </si>
  <si>
    <t>3f</t>
  </si>
  <si>
    <t>WCD</t>
  </si>
  <si>
    <t>12 A</t>
  </si>
  <si>
    <t>4-O</t>
  </si>
  <si>
    <t>C10</t>
  </si>
  <si>
    <t>12D</t>
  </si>
  <si>
    <t>F8</t>
  </si>
  <si>
    <t>5x</t>
  </si>
  <si>
    <t>6GG</t>
  </si>
  <si>
    <t>1f</t>
  </si>
  <si>
    <t>2LL</t>
  </si>
  <si>
    <t>7C</t>
  </si>
  <si>
    <t>29F</t>
  </si>
  <si>
    <t>Bsmt.</t>
  </si>
  <si>
    <t>Apt. B2A</t>
  </si>
  <si>
    <t>Apt 4J</t>
  </si>
  <si>
    <t>12E</t>
  </si>
  <si>
    <t>FL 3</t>
  </si>
  <si>
    <t>8E</t>
  </si>
  <si>
    <t>Apt. 6S</t>
  </si>
  <si>
    <t>D5C</t>
  </si>
  <si>
    <t>13P</t>
  </si>
  <si>
    <t>5 H</t>
  </si>
  <si>
    <t>C3</t>
  </si>
  <si>
    <t>2-R</t>
  </si>
  <si>
    <t>1FL</t>
  </si>
  <si>
    <t>59A</t>
  </si>
  <si>
    <t>11B</t>
  </si>
  <si>
    <t>3-CAs per</t>
  </si>
  <si>
    <t>11E</t>
  </si>
  <si>
    <t>0J</t>
  </si>
  <si>
    <t>5 D</t>
  </si>
  <si>
    <t>12 C</t>
  </si>
  <si>
    <t>Fl 1</t>
  </si>
  <si>
    <t>Apt. 3B</t>
  </si>
  <si>
    <t>A04</t>
  </si>
  <si>
    <t>6yy</t>
  </si>
  <si>
    <t>#5</t>
  </si>
  <si>
    <t>11F</t>
  </si>
  <si>
    <t>22K</t>
  </si>
  <si>
    <t>103W</t>
  </si>
  <si>
    <t>10I</t>
  </si>
  <si>
    <t>18A</t>
  </si>
  <si>
    <t>3-D</t>
  </si>
  <si>
    <t>E2</t>
  </si>
  <si>
    <t>13A</t>
  </si>
  <si>
    <t>F2</t>
  </si>
  <si>
    <t>#2E</t>
  </si>
  <si>
    <t>Apt 2G</t>
  </si>
  <si>
    <t>B9</t>
  </si>
  <si>
    <t>B24</t>
  </si>
  <si>
    <t>E5</t>
  </si>
  <si>
    <t>1St Floor</t>
  </si>
  <si>
    <t>Apt. A</t>
  </si>
  <si>
    <t>65A</t>
  </si>
  <si>
    <t>5-H</t>
  </si>
  <si>
    <t>G-32</t>
  </si>
  <si>
    <t>R411</t>
  </si>
  <si>
    <t>Apt. 5F</t>
  </si>
  <si>
    <t>#2</t>
  </si>
  <si>
    <t>22A</t>
  </si>
  <si>
    <t>Apt 33</t>
  </si>
  <si>
    <t>34-A</t>
  </si>
  <si>
    <t>BL</t>
  </si>
  <si>
    <t>BT</t>
  </si>
  <si>
    <t>#8C</t>
  </si>
  <si>
    <t>A-32</t>
  </si>
  <si>
    <t>6k</t>
  </si>
  <si>
    <t>H43</t>
  </si>
  <si>
    <t>A35</t>
  </si>
  <si>
    <t>6-J</t>
  </si>
  <si>
    <t>A31</t>
  </si>
  <si>
    <t>4RE</t>
  </si>
  <si>
    <t>18O</t>
  </si>
  <si>
    <t>4d</t>
  </si>
  <si>
    <t>44A</t>
  </si>
  <si>
    <t>23 A</t>
  </si>
  <si>
    <t>19N</t>
  </si>
  <si>
    <t>19F</t>
  </si>
  <si>
    <t>2-G</t>
  </si>
  <si>
    <t>H</t>
  </si>
  <si>
    <t>10J</t>
  </si>
  <si>
    <t>205W</t>
  </si>
  <si>
    <t>1-L</t>
  </si>
  <si>
    <t>A21</t>
  </si>
  <si>
    <t>2d</t>
  </si>
  <si>
    <t>8-O</t>
  </si>
  <si>
    <t>5k</t>
  </si>
  <si>
    <t>21C</t>
  </si>
  <si>
    <t>32A</t>
  </si>
  <si>
    <t>Apt 2L</t>
  </si>
  <si>
    <t>5-B</t>
  </si>
  <si>
    <t>APT. 537</t>
  </si>
  <si>
    <t>Apt. 6E</t>
  </si>
  <si>
    <t>19C</t>
  </si>
  <si>
    <t>6-G</t>
  </si>
  <si>
    <t>B8</t>
  </si>
  <si>
    <t>6EN</t>
  </si>
  <si>
    <t>A-23</t>
  </si>
  <si>
    <t>5M</t>
  </si>
  <si>
    <t>11C</t>
  </si>
  <si>
    <t>4J</t>
  </si>
  <si>
    <t>Apt 50</t>
  </si>
  <si>
    <t>5f</t>
  </si>
  <si>
    <t>22B</t>
  </si>
  <si>
    <t>A8</t>
  </si>
  <si>
    <t>Apt 7R</t>
  </si>
  <si>
    <t>Apt 2R</t>
  </si>
  <si>
    <t>4-J</t>
  </si>
  <si>
    <t>27F</t>
  </si>
  <si>
    <t>4LL</t>
  </si>
  <si>
    <t>7L</t>
  </si>
  <si>
    <t>L3</t>
  </si>
  <si>
    <t>211W</t>
  </si>
  <si>
    <t>#20</t>
  </si>
  <si>
    <t>c3</t>
  </si>
  <si>
    <t>6g</t>
  </si>
  <si>
    <t>18B</t>
  </si>
  <si>
    <t>Apt 5E</t>
  </si>
  <si>
    <t>2nd Fl Rm C</t>
  </si>
  <si>
    <t>42A</t>
  </si>
  <si>
    <t>M4</t>
  </si>
  <si>
    <t>5LL</t>
  </si>
  <si>
    <t>1g</t>
  </si>
  <si>
    <t>1-E</t>
  </si>
  <si>
    <t>8N</t>
  </si>
  <si>
    <t>16-0</t>
  </si>
  <si>
    <t>17L</t>
  </si>
  <si>
    <t>2V</t>
  </si>
  <si>
    <t>2 Fl</t>
  </si>
  <si>
    <t>6S</t>
  </si>
  <si>
    <t>15C</t>
  </si>
  <si>
    <t>Apt 1D</t>
  </si>
  <si>
    <t>20B</t>
  </si>
  <si>
    <t>5DD</t>
  </si>
  <si>
    <t>FF</t>
  </si>
  <si>
    <t>22L</t>
  </si>
  <si>
    <t>1st</t>
  </si>
  <si>
    <t>321E</t>
  </si>
  <si>
    <t>B45</t>
  </si>
  <si>
    <t>k</t>
  </si>
  <si>
    <t>5X</t>
  </si>
  <si>
    <t>19H</t>
  </si>
  <si>
    <t>7DD</t>
  </si>
  <si>
    <t>314W</t>
  </si>
  <si>
    <t>1floor</t>
  </si>
  <si>
    <t>5O</t>
  </si>
  <si>
    <t>11J</t>
  </si>
  <si>
    <t>C22</t>
  </si>
  <si>
    <t>4f</t>
  </si>
  <si>
    <t>bsmnt</t>
  </si>
  <si>
    <t>A6</t>
  </si>
  <si>
    <t>C17</t>
  </si>
  <si>
    <t>10E</t>
  </si>
  <si>
    <t>11L</t>
  </si>
  <si>
    <t>C6D</t>
  </si>
  <si>
    <t>4Q</t>
  </si>
  <si>
    <t>A-58</t>
  </si>
  <si>
    <t>A5</t>
  </si>
  <si>
    <t>apt. 26</t>
  </si>
  <si>
    <t>s10</t>
  </si>
  <si>
    <t>Apt. 511</t>
  </si>
  <si>
    <t>9P</t>
  </si>
  <si>
    <t>7P</t>
  </si>
  <si>
    <t>7O</t>
  </si>
  <si>
    <t>17 F</t>
  </si>
  <si>
    <t>2RE</t>
  </si>
  <si>
    <t>2-S</t>
  </si>
  <si>
    <t>35 B</t>
  </si>
  <si>
    <t>14S</t>
  </si>
  <si>
    <t>1st Floor (back)</t>
  </si>
  <si>
    <t>Floor 1</t>
  </si>
  <si>
    <t>Apt 5</t>
  </si>
  <si>
    <t>11S</t>
  </si>
  <si>
    <t>L501</t>
  </si>
  <si>
    <t>B2Cl</t>
  </si>
  <si>
    <t>4 M</t>
  </si>
  <si>
    <t>5b</t>
  </si>
  <si>
    <t>6CN</t>
  </si>
  <si>
    <t>53B</t>
  </si>
  <si>
    <t>Apt. 1 2nd floor</t>
  </si>
  <si>
    <t>108E</t>
  </si>
  <si>
    <t>Apt 6O</t>
  </si>
  <si>
    <t>8P</t>
  </si>
  <si>
    <t>14L</t>
  </si>
  <si>
    <t>3a</t>
  </si>
  <si>
    <t>C02</t>
  </si>
  <si>
    <t>1H, LEFT SIDE</t>
  </si>
  <si>
    <t>18T</t>
  </si>
  <si>
    <t>36B</t>
  </si>
  <si>
    <t>#2D</t>
  </si>
  <si>
    <t>8I</t>
  </si>
  <si>
    <t>9B</t>
  </si>
  <si>
    <t>D12</t>
  </si>
  <si>
    <t>18 H</t>
  </si>
  <si>
    <t>5d</t>
  </si>
  <si>
    <t>4M</t>
  </si>
  <si>
    <t>14H</t>
  </si>
  <si>
    <t>Apt. 2B</t>
  </si>
  <si>
    <t>3 E</t>
  </si>
  <si>
    <t>6O</t>
  </si>
  <si>
    <t>16N</t>
  </si>
  <si>
    <t>413E</t>
  </si>
  <si>
    <t>#4C</t>
  </si>
  <si>
    <t>39-A</t>
  </si>
  <si>
    <t>S3</t>
  </si>
  <si>
    <t>14E</t>
  </si>
  <si>
    <t># 3</t>
  </si>
  <si>
    <t>304W</t>
  </si>
  <si>
    <t>12-0</t>
  </si>
  <si>
    <t>F41</t>
  </si>
  <si>
    <t>31 D</t>
  </si>
  <si>
    <t>E-3</t>
  </si>
  <si>
    <t>2-D</t>
  </si>
  <si>
    <t>14n</t>
  </si>
  <si>
    <t>44B</t>
  </si>
  <si>
    <t>Apt3B</t>
  </si>
  <si>
    <t>3T</t>
  </si>
  <si>
    <t>8M</t>
  </si>
  <si>
    <t>D7</t>
  </si>
  <si>
    <t>41B</t>
  </si>
  <si>
    <t>Apt. 425</t>
  </si>
  <si>
    <t>28B</t>
  </si>
  <si>
    <t>16A</t>
  </si>
  <si>
    <t>19M</t>
  </si>
  <si>
    <t>2GG</t>
  </si>
  <si>
    <t>6-A</t>
  </si>
  <si>
    <t>15F</t>
  </si>
  <si>
    <t>A-7</t>
  </si>
  <si>
    <t>2X</t>
  </si>
  <si>
    <t>9D</t>
  </si>
  <si>
    <t>A9B</t>
  </si>
  <si>
    <t>1416W</t>
  </si>
  <si>
    <t>319E</t>
  </si>
  <si>
    <t>7J</t>
  </si>
  <si>
    <t>12B</t>
  </si>
  <si>
    <t>C101</t>
  </si>
  <si>
    <t>3 D</t>
  </si>
  <si>
    <t>9S</t>
  </si>
  <si>
    <t>34J</t>
  </si>
  <si>
    <t>#3A</t>
  </si>
  <si>
    <t>24C</t>
  </si>
  <si>
    <t>2 G</t>
  </si>
  <si>
    <t>63-B</t>
  </si>
  <si>
    <t>20A</t>
  </si>
  <si>
    <t>F14</t>
  </si>
  <si>
    <t>D-5C</t>
  </si>
  <si>
    <t>Apt.5L</t>
  </si>
  <si>
    <t>19D</t>
  </si>
  <si>
    <t>C16</t>
  </si>
  <si>
    <t>3KK</t>
  </si>
  <si>
    <t>17M</t>
  </si>
  <si>
    <t>B-2</t>
  </si>
  <si>
    <t>14N</t>
  </si>
  <si>
    <t>1P</t>
  </si>
  <si>
    <t>B55</t>
  </si>
  <si>
    <t>1 Rear</t>
  </si>
  <si>
    <t>30A</t>
  </si>
  <si>
    <t>Apt 309</t>
  </si>
  <si>
    <t>6 O</t>
  </si>
  <si>
    <t>8L</t>
  </si>
  <si>
    <t>6U</t>
  </si>
  <si>
    <t>apt 4</t>
  </si>
  <si>
    <t>19 D</t>
  </si>
  <si>
    <t>20 H</t>
  </si>
  <si>
    <t>4-M</t>
  </si>
  <si>
    <t>51-B</t>
  </si>
  <si>
    <t>416E</t>
  </si>
  <si>
    <t>206W</t>
  </si>
  <si>
    <t>20D</t>
  </si>
  <si>
    <t>Apt 203</t>
  </si>
  <si>
    <t>1st floor apt 3</t>
  </si>
  <si>
    <t>2-F</t>
  </si>
  <si>
    <t>19S</t>
  </si>
  <si>
    <t>8G</t>
  </si>
  <si>
    <t>2-L</t>
  </si>
  <si>
    <t>9I</t>
  </si>
  <si>
    <t>4-K</t>
  </si>
  <si>
    <t>4W</t>
  </si>
  <si>
    <t>3L-3G</t>
  </si>
  <si>
    <t>14 K</t>
  </si>
  <si>
    <t>23E</t>
  </si>
  <si>
    <t>Apt 3D</t>
  </si>
  <si>
    <t>apt 2F</t>
  </si>
  <si>
    <t>#2H</t>
  </si>
  <si>
    <t>2-2</t>
  </si>
  <si>
    <t>10K</t>
  </si>
  <si>
    <t>5Y</t>
  </si>
  <si>
    <t>3 R</t>
  </si>
  <si>
    <t>17B</t>
  </si>
  <si>
    <t>3rd fl</t>
  </si>
  <si>
    <t>115E</t>
  </si>
  <si>
    <t>15D</t>
  </si>
  <si>
    <t>15L</t>
  </si>
  <si>
    <t>9M</t>
  </si>
  <si>
    <t>66B</t>
  </si>
  <si>
    <t>6-B</t>
  </si>
  <si>
    <t>C-4</t>
  </si>
  <si>
    <t>13D</t>
  </si>
  <si>
    <t>3r</t>
  </si>
  <si>
    <t>204W</t>
  </si>
  <si>
    <t>11G</t>
  </si>
  <si>
    <t>2Q</t>
  </si>
  <si>
    <t>#1L</t>
  </si>
  <si>
    <t>C30</t>
  </si>
  <si>
    <t>2nd Fl.</t>
  </si>
  <si>
    <t>8A</t>
  </si>
  <si>
    <t>226E</t>
  </si>
  <si>
    <t>21 G</t>
  </si>
  <si>
    <t>EE</t>
  </si>
  <si>
    <t>13 E</t>
  </si>
  <si>
    <t>5/3L</t>
  </si>
  <si>
    <t>6-D</t>
  </si>
  <si>
    <t>6-K</t>
  </si>
  <si>
    <t>19R</t>
  </si>
  <si>
    <t>B42</t>
  </si>
  <si>
    <t>8R</t>
  </si>
  <si>
    <t>9L</t>
  </si>
  <si>
    <t>12L</t>
  </si>
  <si>
    <t>5Q</t>
  </si>
  <si>
    <t>5AA</t>
  </si>
  <si>
    <t>4th floor arrear</t>
  </si>
  <si>
    <t>1-T</t>
  </si>
  <si>
    <t>LS</t>
  </si>
  <si>
    <t>LE</t>
  </si>
  <si>
    <t>7M</t>
  </si>
  <si>
    <t>9J</t>
  </si>
  <si>
    <t>A-10</t>
  </si>
  <si>
    <t>11DD</t>
  </si>
  <si>
    <t>16K</t>
  </si>
  <si>
    <t>Apt 3B</t>
  </si>
  <si>
    <t>Apt 4</t>
  </si>
  <si>
    <t>10L</t>
  </si>
  <si>
    <t>14K</t>
  </si>
  <si>
    <t>11N</t>
  </si>
  <si>
    <t>A10</t>
  </si>
  <si>
    <t>4i</t>
  </si>
  <si>
    <t>12 F</t>
  </si>
  <si>
    <t>22J</t>
  </si>
  <si>
    <t>B14</t>
  </si>
  <si>
    <t>16 D</t>
  </si>
  <si>
    <t>24P</t>
  </si>
  <si>
    <t>2-J</t>
  </si>
  <si>
    <t>17R</t>
  </si>
  <si>
    <t>E-12</t>
  </si>
  <si>
    <t>Apt. 611</t>
  </si>
  <si>
    <t>19L</t>
  </si>
  <si>
    <t>3S</t>
  </si>
  <si>
    <t>Privat house</t>
  </si>
  <si>
    <t>Apt. B34</t>
  </si>
  <si>
    <t>209W</t>
  </si>
  <si>
    <t>A43</t>
  </si>
  <si>
    <t>21J</t>
  </si>
  <si>
    <t>8K</t>
  </si>
  <si>
    <t>R5</t>
  </si>
  <si>
    <t>24E</t>
  </si>
  <si>
    <t>11A</t>
  </si>
  <si>
    <t>D-1</t>
  </si>
  <si>
    <t>21K</t>
  </si>
  <si>
    <t>11-0</t>
  </si>
  <si>
    <t>AA</t>
  </si>
  <si>
    <t>18C</t>
  </si>
  <si>
    <t>12C</t>
  </si>
  <si>
    <t>19A</t>
  </si>
  <si>
    <t>E11A</t>
  </si>
  <si>
    <t>21F</t>
  </si>
  <si>
    <t>14J</t>
  </si>
  <si>
    <t>A46</t>
  </si>
  <si>
    <t>21M</t>
  </si>
  <si>
    <t>3W</t>
  </si>
  <si>
    <t>E22</t>
  </si>
  <si>
    <t>15A</t>
  </si>
  <si>
    <t>18N</t>
  </si>
  <si>
    <t>11K</t>
  </si>
  <si>
    <t>Apt. 6L</t>
  </si>
  <si>
    <t>20-0</t>
  </si>
  <si>
    <t>74B</t>
  </si>
  <si>
    <t>F5</t>
  </si>
  <si>
    <t>23G</t>
  </si>
  <si>
    <t>12P</t>
  </si>
  <si>
    <t>18J</t>
  </si>
  <si>
    <t>F6</t>
  </si>
  <si>
    <t>C12</t>
  </si>
  <si>
    <t>26G</t>
  </si>
  <si>
    <t>12K</t>
  </si>
  <si>
    <t>PHD</t>
  </si>
  <si>
    <t>9G</t>
  </si>
  <si>
    <t>#B52</t>
  </si>
  <si>
    <t>23K</t>
  </si>
  <si>
    <t>PBH</t>
  </si>
  <si>
    <t>E30</t>
  </si>
  <si>
    <t>17C</t>
  </si>
  <si>
    <t>B41</t>
  </si>
  <si>
    <t>Arverne</t>
  </si>
  <si>
    <t>Far Rockaway</t>
  </si>
  <si>
    <t>Jamaica</t>
  </si>
  <si>
    <t>Hollis</t>
  </si>
  <si>
    <t>Rosedale</t>
  </si>
  <si>
    <t>S Ozone Park</t>
  </si>
  <si>
    <t>South Ozone Park</t>
  </si>
  <si>
    <t>South Richmond Hill</t>
  </si>
  <si>
    <t>Ozone Park</t>
  </si>
  <si>
    <t>Kew Gardens</t>
  </si>
  <si>
    <t>Saint Albans</t>
  </si>
  <si>
    <t>Ridgewood</t>
  </si>
  <si>
    <t>Middle Village</t>
  </si>
  <si>
    <t>Woodside</t>
  </si>
  <si>
    <t>Rego Park</t>
  </si>
  <si>
    <t>Elmhurst</t>
  </si>
  <si>
    <t>Jackson Hts</t>
  </si>
  <si>
    <t>Corona</t>
  </si>
  <si>
    <t>Flushing</t>
  </si>
  <si>
    <t>Fresh Meadows</t>
  </si>
  <si>
    <t>Bayside</t>
  </si>
  <si>
    <t>College Point</t>
  </si>
  <si>
    <t>Brooklyn</t>
  </si>
  <si>
    <t>BROOKLYN</t>
  </si>
  <si>
    <t>Astoria</t>
  </si>
  <si>
    <t>Sunnyside</t>
  </si>
  <si>
    <t>Long Is City</t>
  </si>
  <si>
    <t>Long Island City</t>
  </si>
  <si>
    <t>Bronx</t>
  </si>
  <si>
    <t>Staten Island</t>
  </si>
  <si>
    <t>New York</t>
  </si>
  <si>
    <t>Glendale</t>
  </si>
  <si>
    <t>Queens Village</t>
  </si>
  <si>
    <t>Woodhaven</t>
  </si>
  <si>
    <t>Sprngfld Gdns</t>
  </si>
  <si>
    <t>Springfield Gardens</t>
  </si>
  <si>
    <t>Cambria Heights</t>
  </si>
  <si>
    <t>BronxBrooklyn</t>
  </si>
  <si>
    <t>New york</t>
  </si>
  <si>
    <t>Richmond Hill</t>
  </si>
  <si>
    <t>Mahopac Falls</t>
  </si>
  <si>
    <t>Jackson Heights</t>
  </si>
  <si>
    <t>NEW YORK</t>
  </si>
  <si>
    <t>Bellerose</t>
  </si>
  <si>
    <t>Laurelton</t>
  </si>
  <si>
    <t>Rockaway Beach</t>
  </si>
  <si>
    <t>Maspeth</t>
  </si>
  <si>
    <t>Queens Vlg</t>
  </si>
  <si>
    <t>brooklyn</t>
  </si>
  <si>
    <t>Whitestone</t>
  </si>
  <si>
    <t>Howard Beach</t>
  </si>
  <si>
    <t>East Elmhurst</t>
  </si>
  <si>
    <t>Buffalo</t>
  </si>
  <si>
    <t>Rockaway Park</t>
  </si>
  <si>
    <t>Little Neck</t>
  </si>
  <si>
    <t>staten island</t>
  </si>
  <si>
    <t>Forest Hills</t>
  </si>
  <si>
    <t>Yes</t>
  </si>
  <si>
    <t xml:space="preserve"> </t>
  </si>
  <si>
    <t>No</t>
  </si>
  <si>
    <t>LT-074577-17/QU</t>
  </si>
  <si>
    <t>LT-071267-18/QU</t>
  </si>
  <si>
    <t>LT-069717-17/QU</t>
  </si>
  <si>
    <t>LT-59994-19/QU</t>
  </si>
  <si>
    <t>LT-054735-19/QU</t>
  </si>
  <si>
    <t>no case</t>
  </si>
  <si>
    <t>LT-061637-17/QU</t>
  </si>
  <si>
    <t>LT-078025-18/QU</t>
  </si>
  <si>
    <t>LT-062052-19/QU</t>
  </si>
  <si>
    <t>LT-066533-19/QU</t>
  </si>
  <si>
    <t>LT-063416-19/QU</t>
  </si>
  <si>
    <t>LT-000762-18/QU</t>
  </si>
  <si>
    <t>LT-000560-19/QU</t>
  </si>
  <si>
    <t>LT-078211-18/QU</t>
  </si>
  <si>
    <t>LT-063334-19/QU</t>
  </si>
  <si>
    <t>SC 11164-16/QU</t>
  </si>
  <si>
    <t>LT-52542-19/QU</t>
  </si>
  <si>
    <t>LT-073792-18/QU</t>
  </si>
  <si>
    <t>LT-59999-18/QU</t>
  </si>
  <si>
    <t>LT-068320-19/QU</t>
  </si>
  <si>
    <t>LT-060704-19/QU</t>
  </si>
  <si>
    <t>LT-063820-19/QU</t>
  </si>
  <si>
    <t>LT-076387-18/QU</t>
  </si>
  <si>
    <t>LT-068925-18/QU</t>
  </si>
  <si>
    <t>No Case</t>
  </si>
  <si>
    <t>LT-064508-19/QU</t>
  </si>
  <si>
    <t>LT-00447-19/QU</t>
  </si>
  <si>
    <t>LT-067949-19/QU</t>
  </si>
  <si>
    <t>LT-074285-18/QU</t>
  </si>
  <si>
    <t>GX-110098-OM</t>
  </si>
  <si>
    <t>LT-075756-18/QU</t>
  </si>
  <si>
    <t>LT-063061-19/QU</t>
  </si>
  <si>
    <t>LT-65750-19/QU</t>
  </si>
  <si>
    <t>LT-060260-19/QU</t>
  </si>
  <si>
    <t>NO CASE</t>
  </si>
  <si>
    <t>LT-056952-19/QU</t>
  </si>
  <si>
    <t>LT-070113-19/QU</t>
  </si>
  <si>
    <t>LT-068615-19/QU</t>
  </si>
  <si>
    <t>HM-130106-OM</t>
  </si>
  <si>
    <t>DO 110093 OM and DV110029RT</t>
  </si>
  <si>
    <t>LT-069364-18/QU</t>
  </si>
  <si>
    <t>LT-071516-16/QU</t>
  </si>
  <si>
    <t>LT-056992-19/KI</t>
  </si>
  <si>
    <t>LT-079487-18/KI</t>
  </si>
  <si>
    <t>GX-210004-NC</t>
  </si>
  <si>
    <t>77330/2019</t>
  </si>
  <si>
    <t>LT-082646-18/KI</t>
  </si>
  <si>
    <t>None</t>
  </si>
  <si>
    <t>GS-2100080-D</t>
  </si>
  <si>
    <t>GS-2100050-D</t>
  </si>
  <si>
    <t>GS-210008-OD</t>
  </si>
  <si>
    <t>LT-058916-17/KI</t>
  </si>
  <si>
    <t>LT-086257-18/KI</t>
  </si>
  <si>
    <t>LT-095266-18/KI</t>
  </si>
  <si>
    <t>LT-076975-18/KI</t>
  </si>
  <si>
    <t>LT-095268-18/KI</t>
  </si>
  <si>
    <t>LT-075388-19/KI</t>
  </si>
  <si>
    <t>No case</t>
  </si>
  <si>
    <t>LT-067359-19/KI</t>
  </si>
  <si>
    <t>LT-054927-19/KI</t>
  </si>
  <si>
    <t>LT-067539-19/KI</t>
  </si>
  <si>
    <t>LT-067366-19/KI</t>
  </si>
  <si>
    <t>LT-065327-19/KI</t>
  </si>
  <si>
    <t>LT-063403-19/KI</t>
  </si>
  <si>
    <t>LT-090995-18/KI</t>
  </si>
  <si>
    <t>LT-071742-19/KI</t>
  </si>
  <si>
    <t>LT-065396-17/KI</t>
  </si>
  <si>
    <t>GS-210092</t>
  </si>
  <si>
    <t>LT-002909-18/KI</t>
  </si>
  <si>
    <t>LT-078573-16/KI</t>
  </si>
  <si>
    <t>LT-072629-17/KI</t>
  </si>
  <si>
    <t>LT-059459-19/KI</t>
  </si>
  <si>
    <t>LT-072629-18/KI</t>
  </si>
  <si>
    <t>FR-210086-OM</t>
  </si>
  <si>
    <t>none</t>
  </si>
  <si>
    <t>LT-003383-18/KI</t>
  </si>
  <si>
    <t>LT-079119-17/KI</t>
  </si>
  <si>
    <t>LT-073240-19/KI</t>
  </si>
  <si>
    <t>HR-210211-S</t>
  </si>
  <si>
    <t>001639/2019</t>
  </si>
  <si>
    <t>LT-090138-14/KI</t>
  </si>
  <si>
    <t>LT-070286-16/KI</t>
  </si>
  <si>
    <t>LT-000287-19/KI</t>
  </si>
  <si>
    <t>LT-059221-19/KI</t>
  </si>
  <si>
    <t>LT-064607-19/KI</t>
  </si>
  <si>
    <t>040820/2019</t>
  </si>
  <si>
    <t>5479/16</t>
  </si>
  <si>
    <t>521089/2017</t>
  </si>
  <si>
    <t>LT-050926-16/KI</t>
  </si>
  <si>
    <t>LT-076759-19/KI</t>
  </si>
  <si>
    <t>LT-082555-17/KI</t>
  </si>
  <si>
    <t>LT-081444-19/KI</t>
  </si>
  <si>
    <t>EP-210063-OM</t>
  </si>
  <si>
    <t>LT-051481-19/KI</t>
  </si>
  <si>
    <t>LT-064582-19/KI</t>
  </si>
  <si>
    <t>19-40820</t>
  </si>
  <si>
    <t>LT-072687-19/KI</t>
  </si>
  <si>
    <t>LT-087145-18/KI</t>
  </si>
  <si>
    <t>HP 2384/2018</t>
  </si>
  <si>
    <t>LT-098656-17/KI</t>
  </si>
  <si>
    <t>LT-087894-18/KI</t>
  </si>
  <si>
    <t>LT-054459-19/KI</t>
  </si>
  <si>
    <t>LT-077969-19/KI</t>
  </si>
  <si>
    <t>LT-077476-19/KI</t>
  </si>
  <si>
    <t>LT-066617-17/KI</t>
  </si>
  <si>
    <t>LT-087600-18/KI</t>
  </si>
  <si>
    <t>LT-074475-19/KI</t>
  </si>
  <si>
    <t>LT-067136-19/KI</t>
  </si>
  <si>
    <t>LT-054080-19/KI</t>
  </si>
  <si>
    <t>LT-060912-19/KI</t>
  </si>
  <si>
    <t>LT-066517-19/KI</t>
  </si>
  <si>
    <t>LT-081216-18/KI</t>
  </si>
  <si>
    <t>LT-095113-17/KI</t>
  </si>
  <si>
    <t>LT-062670-19/KI</t>
  </si>
  <si>
    <t>LT-087502-18/KI</t>
  </si>
  <si>
    <t>LT-052811-19/QU</t>
  </si>
  <si>
    <t>LT-062947-19/QU</t>
  </si>
  <si>
    <t>LT-065098-19/QU</t>
  </si>
  <si>
    <t>LT-056742-19/QU</t>
  </si>
  <si>
    <t>LT-05302-16/QU</t>
  </si>
  <si>
    <t>LT-56760-19/QU</t>
  </si>
  <si>
    <t>HT-630027-B</t>
  </si>
  <si>
    <t>LT-050386-18/BX</t>
  </si>
  <si>
    <t>LT-45334-16/BX</t>
  </si>
  <si>
    <t>LT-027333-19/BX</t>
  </si>
  <si>
    <t>LT-003326-19/BX</t>
  </si>
  <si>
    <t>LT-061923-17/BX</t>
  </si>
  <si>
    <t>LT-016041-19/BX</t>
  </si>
  <si>
    <t>LT-42995-18/BX</t>
  </si>
  <si>
    <t>LT-011058-19/BX</t>
  </si>
  <si>
    <t>LT-036266-18/BX</t>
  </si>
  <si>
    <t>42003/2015E</t>
  </si>
  <si>
    <t>42003/2016E</t>
  </si>
  <si>
    <t>GW-630035-B</t>
  </si>
  <si>
    <t>LT-066074-18/BX</t>
  </si>
  <si>
    <t>CX-063009-OM</t>
  </si>
  <si>
    <t>FM-630024-RT</t>
  </si>
  <si>
    <t>LT-015963-19/BX</t>
  </si>
  <si>
    <t>LT-046408-19/BX</t>
  </si>
  <si>
    <t>LT-032541-19/BX</t>
  </si>
  <si>
    <t>LT-031800-19/BX</t>
  </si>
  <si>
    <t>GT-610002-RO</t>
  </si>
  <si>
    <t>GQ-610075-OR</t>
  </si>
  <si>
    <t>HP-610145-OR</t>
  </si>
  <si>
    <t>FX-610016-B</t>
  </si>
  <si>
    <t>LT-020087-18/BX</t>
  </si>
  <si>
    <t>LT-013923-19/BX</t>
  </si>
  <si>
    <t>LT-022999-19/BX</t>
  </si>
  <si>
    <t>no case yet</t>
  </si>
  <si>
    <t>LT-025489-18/BX</t>
  </si>
  <si>
    <t>LT-064776-18/BX</t>
  </si>
  <si>
    <t>LT-015152-19/BX</t>
  </si>
  <si>
    <t>LT-022528-19/BX</t>
  </si>
  <si>
    <t>251206/15</t>
  </si>
  <si>
    <t>451618/2017</t>
  </si>
  <si>
    <t>EO-610003-B</t>
  </si>
  <si>
    <t>FO-610005-RO</t>
  </si>
  <si>
    <t>053333-18/BX</t>
  </si>
  <si>
    <t>LT-052063-18/BX</t>
  </si>
  <si>
    <t>LT-032397-18/BX</t>
  </si>
  <si>
    <t>LT-032272-19/BX</t>
  </si>
  <si>
    <t>251206-15</t>
  </si>
  <si>
    <t>LT-068049-18/BX</t>
  </si>
  <si>
    <t>FT-310036-B</t>
  </si>
  <si>
    <t>LT-052202-19/RI</t>
  </si>
  <si>
    <t>LT-050404-19/RI</t>
  </si>
  <si>
    <t>LT-052439-19/RI</t>
  </si>
  <si>
    <t>LT-051277-18/RI</t>
  </si>
  <si>
    <t>LT-051415-19/RI</t>
  </si>
  <si>
    <t>LT-051513-19/RI</t>
  </si>
  <si>
    <t>LT-010281-19/RI</t>
  </si>
  <si>
    <t>LT-050321-19/RI</t>
  </si>
  <si>
    <t>LT-050752-19/RI</t>
  </si>
  <si>
    <t>LT-051757-19/RI</t>
  </si>
  <si>
    <t>LT-051482-19/RI</t>
  </si>
  <si>
    <t>LT-052452-19/RI</t>
  </si>
  <si>
    <t>LT-053099-18/RI</t>
  </si>
  <si>
    <t>LT-005699-18/RI</t>
  </si>
  <si>
    <t>LT-050719-19/RI</t>
  </si>
  <si>
    <t>LT-066704-19/NY</t>
  </si>
  <si>
    <t>LT-251014-18/NY</t>
  </si>
  <si>
    <t>LT-055526-19/NY</t>
  </si>
  <si>
    <t>LT-006163-18/NY</t>
  </si>
  <si>
    <t>LT-000564-19/NY</t>
  </si>
  <si>
    <t>LT-065538-18/NY</t>
  </si>
  <si>
    <t>LT-053303-18/NY</t>
  </si>
  <si>
    <t>FW-430075-OM</t>
  </si>
  <si>
    <t>LT-069239-18/NY</t>
  </si>
  <si>
    <t>LT-054599-19/NY</t>
  </si>
  <si>
    <t>LT-064690-19/NY</t>
  </si>
  <si>
    <t>HP-963-18/NY</t>
  </si>
  <si>
    <t>LT-059055-18/NY</t>
  </si>
  <si>
    <t>LT-052167-17/NY</t>
  </si>
  <si>
    <t>LT-077170-18/NY</t>
  </si>
  <si>
    <t>LT-054231-19/NY</t>
  </si>
  <si>
    <t>LT-059273-19/KI</t>
  </si>
  <si>
    <t>HN-210013-B</t>
  </si>
  <si>
    <t>LT-050626-19/RI</t>
  </si>
  <si>
    <t>LT-069731-18/QU</t>
  </si>
  <si>
    <t>LT-080223-19/KI</t>
  </si>
  <si>
    <t>LT-050811-17/BX</t>
  </si>
  <si>
    <t>LT-085508-16/KI</t>
  </si>
  <si>
    <t>LT 43601/19</t>
  </si>
  <si>
    <t>LT-068358-17/BX</t>
  </si>
  <si>
    <t>LT-081553-19/KI</t>
  </si>
  <si>
    <t>LT-094841-14/KI</t>
  </si>
  <si>
    <t>LT-1046591/18</t>
  </si>
  <si>
    <t>508470/2019</t>
  </si>
  <si>
    <t>LT-058348-19/KI</t>
  </si>
  <si>
    <t>LT-059113-19/KI</t>
  </si>
  <si>
    <t>LT-052522-18/RI</t>
  </si>
  <si>
    <t>LT-200119-17/NY</t>
  </si>
  <si>
    <t>LT-038308-18/BX</t>
  </si>
  <si>
    <t>LT-042095-15/BX</t>
  </si>
  <si>
    <t>LT-002718-19/BX</t>
  </si>
  <si>
    <t>LT-050967-19/KI</t>
  </si>
  <si>
    <t>LT-075409-18/KI</t>
  </si>
  <si>
    <t>LT-000956-18/NY</t>
  </si>
  <si>
    <t>LT-086772-16/NY</t>
  </si>
  <si>
    <t>LT-086193-17/KI</t>
  </si>
  <si>
    <t>LT-056703-19/KI</t>
  </si>
  <si>
    <t>040822/2019</t>
  </si>
  <si>
    <t>LT-080269-19/KI</t>
  </si>
  <si>
    <t>LT-530701-18/NY</t>
  </si>
  <si>
    <t>50509/15</t>
  </si>
  <si>
    <t>LT-060098-19/KI</t>
  </si>
  <si>
    <t>LT-2802/17</t>
  </si>
  <si>
    <t>LT-063589-17/NY</t>
  </si>
  <si>
    <t>no case number</t>
  </si>
  <si>
    <t>LT-063862-19/KI</t>
  </si>
  <si>
    <t>LT-053490-18/RI</t>
  </si>
  <si>
    <t>LT-085791-18/KI</t>
  </si>
  <si>
    <t>LT-050915-16/KI</t>
  </si>
  <si>
    <t>LT-019432-19/BX</t>
  </si>
  <si>
    <t>HS-610194-S</t>
  </si>
  <si>
    <t>HU-610009-B</t>
  </si>
  <si>
    <t>LT-067042-18/KI</t>
  </si>
  <si>
    <t>LT-045585-18/BX</t>
  </si>
  <si>
    <t>LT-251048-HA/19</t>
  </si>
  <si>
    <t>LT-038353-18/BX</t>
  </si>
  <si>
    <t>LT-050579-19/KI</t>
  </si>
  <si>
    <t>LT-055020-18/QU</t>
  </si>
  <si>
    <t>LT-251148-17/NY</t>
  </si>
  <si>
    <t>LT-058764-19/KI</t>
  </si>
  <si>
    <t>LT-052223-19/RI</t>
  </si>
  <si>
    <t>LT-050348-18/BX</t>
  </si>
  <si>
    <t>LT-050669-19/RI</t>
  </si>
  <si>
    <t>LT-030591-18/BX</t>
  </si>
  <si>
    <t>LT-077020-17/KI</t>
  </si>
  <si>
    <t>LT-075243-19/KI</t>
  </si>
  <si>
    <t>LT-046365-17/BX</t>
  </si>
  <si>
    <t>LT-055204-19/KI</t>
  </si>
  <si>
    <t>LT-084636-19/KI</t>
  </si>
  <si>
    <t>LT-059940-18/KI</t>
  </si>
  <si>
    <t>LT-064730-19/KI</t>
  </si>
  <si>
    <t>LT-019589-19/BX</t>
  </si>
  <si>
    <t>LT-058635-18/QU</t>
  </si>
  <si>
    <t>LT-047530-17/BX</t>
  </si>
  <si>
    <t>LT-066707-17/KI</t>
  </si>
  <si>
    <t>FP 0610060 RO</t>
  </si>
  <si>
    <t>LT-057533-19/KI</t>
  </si>
  <si>
    <t>LT-050035-18/RI</t>
  </si>
  <si>
    <t>LT-067299-18/NY</t>
  </si>
  <si>
    <t>HP-00048-16/QU</t>
  </si>
  <si>
    <t>LT-006044-19/QU</t>
  </si>
  <si>
    <t>LT-022380-18/BX</t>
  </si>
  <si>
    <t>LT-077003-19/KI</t>
  </si>
  <si>
    <t>LT-052470-15/RI</t>
  </si>
  <si>
    <t>LT-000871-19/QU</t>
  </si>
  <si>
    <t>LT-001515-18/NY</t>
  </si>
  <si>
    <t>LT-064196-19/KI</t>
  </si>
  <si>
    <t>LT-080398-18/KI</t>
  </si>
  <si>
    <t>LT-068239-19/KI</t>
  </si>
  <si>
    <t>LT-158628-16/KI</t>
  </si>
  <si>
    <t>HP-410071-OM</t>
  </si>
  <si>
    <t>LT-050711-18/QU</t>
  </si>
  <si>
    <t>LT-028337-18/BX</t>
  </si>
  <si>
    <t>LT-064587-19/KI</t>
  </si>
  <si>
    <t>LT-062060-19/QU</t>
  </si>
  <si>
    <t>05302/2016</t>
  </si>
  <si>
    <t>LT-067073-19/QU</t>
  </si>
  <si>
    <t>LT-045334-16/BX</t>
  </si>
  <si>
    <t>LT-056286-18/KI</t>
  </si>
  <si>
    <t>LT-038054-18/BX</t>
  </si>
  <si>
    <t>LT-57536-19/QU</t>
  </si>
  <si>
    <t>no case as of 9/12/19</t>
  </si>
  <si>
    <t>LT-029794-18/BX</t>
  </si>
  <si>
    <t>LT-088674-18/KI</t>
  </si>
  <si>
    <t>LT-001442-17/QU</t>
  </si>
  <si>
    <t>LT-090519-18/KI</t>
  </si>
  <si>
    <t>LT-012209-18/BX</t>
  </si>
  <si>
    <t>LT-076250-18/KI</t>
  </si>
  <si>
    <t>LT-014415-19/BX</t>
  </si>
  <si>
    <t>LT-042375-16/BX</t>
  </si>
  <si>
    <t>LT-089594-18/KI</t>
  </si>
  <si>
    <t>LT-065617-19/QU</t>
  </si>
  <si>
    <t>LT-018293-19/KI</t>
  </si>
  <si>
    <t>LT-067126-19/QU</t>
  </si>
  <si>
    <t>LT-050274-18/RI</t>
  </si>
  <si>
    <t>LT-041050-18/BX</t>
  </si>
  <si>
    <t>LT-066917-18/BX</t>
  </si>
  <si>
    <t>LT-032351-18/BX</t>
  </si>
  <si>
    <t>LT-070731-18/NY</t>
  </si>
  <si>
    <t>LT-052092-18/KI</t>
  </si>
  <si>
    <t>GW-630007-RO</t>
  </si>
  <si>
    <t>LT-061497-18/QU</t>
  </si>
  <si>
    <t>LT-052896-18/BX</t>
  </si>
  <si>
    <t>LT-056245-19/QU</t>
  </si>
  <si>
    <t>LT-060904-19/QU</t>
  </si>
  <si>
    <t>LT-073327-18/QU</t>
  </si>
  <si>
    <t>FV-610044-OM</t>
  </si>
  <si>
    <t>LT-066297-18/QU</t>
  </si>
  <si>
    <t>LT-057620-19/KI</t>
  </si>
  <si>
    <t>LT-050634-19/RI</t>
  </si>
  <si>
    <t>LT-081608-18/KI</t>
  </si>
  <si>
    <t>LT-069664-18/KI</t>
  </si>
  <si>
    <t>LT-063396-18/NY</t>
  </si>
  <si>
    <t>LT-70811-19/NY</t>
  </si>
  <si>
    <t>LT-013609-16/BX</t>
  </si>
  <si>
    <t>LT-065023-18/KI</t>
  </si>
  <si>
    <t>LT-56209-17/QU</t>
  </si>
  <si>
    <t>LT-001861-18/NY</t>
  </si>
  <si>
    <t>GN-630012-B</t>
  </si>
  <si>
    <t>LT-053290-18/KI</t>
  </si>
  <si>
    <t>LT-042721-19/BX</t>
  </si>
  <si>
    <t>LT-069037-19/QU</t>
  </si>
  <si>
    <t>LT-057362-18/QU</t>
  </si>
  <si>
    <t>LT-002152-18/NY</t>
  </si>
  <si>
    <t>LT-056562-18/KI</t>
  </si>
  <si>
    <t>LT-38482-19/BX</t>
  </si>
  <si>
    <t>LT-060227-19/QU</t>
  </si>
  <si>
    <t>LT-058333-18/KI</t>
  </si>
  <si>
    <t>LT-051925-18/NY</t>
  </si>
  <si>
    <t>LT-050334-19/QU</t>
  </si>
  <si>
    <t>LT-061712-18/BX</t>
  </si>
  <si>
    <t>LT-007945-19/BX</t>
  </si>
  <si>
    <t>LT-050940-19/RI</t>
  </si>
  <si>
    <t>LT-037584-19/BX</t>
  </si>
  <si>
    <t>LT-051427-19/QU</t>
  </si>
  <si>
    <t>LT-064080-19/KI</t>
  </si>
  <si>
    <t>LT-1861-18/NY</t>
  </si>
  <si>
    <t>LT-042887-19/BX</t>
  </si>
  <si>
    <t>LT-002141-19/BX</t>
  </si>
  <si>
    <t>LT-063206-19/QU</t>
  </si>
  <si>
    <t>LT-073674-19/KI</t>
  </si>
  <si>
    <t>LT-026720-19/BX</t>
  </si>
  <si>
    <t>LT-066620-19/KI</t>
  </si>
  <si>
    <t>LT-022187-19/BX</t>
  </si>
  <si>
    <t>LT-061914-19/QU</t>
  </si>
  <si>
    <t>078891/18</t>
  </si>
  <si>
    <t>042106/2019</t>
  </si>
  <si>
    <t>LT-082957-19/KI</t>
  </si>
  <si>
    <t>LT-097275-18/KI</t>
  </si>
  <si>
    <t>LT-058735-19/KI</t>
  </si>
  <si>
    <t>LT-025075-18/BX</t>
  </si>
  <si>
    <t>LT-015208-18/BX</t>
  </si>
  <si>
    <t>LT-66608-18/QU</t>
  </si>
  <si>
    <t>LT-059162-19/QU</t>
  </si>
  <si>
    <t>LT-058963-19/QU</t>
  </si>
  <si>
    <t>LT-063895-18/BX</t>
  </si>
  <si>
    <t>GP-210025-R</t>
  </si>
  <si>
    <t>42095/2015E</t>
  </si>
  <si>
    <t>LT-073128-18/NY</t>
  </si>
  <si>
    <t>LT-030790-17/BX</t>
  </si>
  <si>
    <t>LT-001681-18/NY</t>
  </si>
  <si>
    <t>LT-081179-19/KI</t>
  </si>
  <si>
    <t>LT-086898-17/KI</t>
  </si>
  <si>
    <t>LT-702230-15/NY</t>
  </si>
  <si>
    <t>LT-027799-17/BX</t>
  </si>
  <si>
    <t>LT-051869-19/KI</t>
  </si>
  <si>
    <t>LT-077514-17/QU</t>
  </si>
  <si>
    <t>LT-051094-19/KI</t>
  </si>
  <si>
    <t>LT-051296-16/KI</t>
  </si>
  <si>
    <t>LT-072264-18/QU</t>
  </si>
  <si>
    <t>LT-074148-18/NY</t>
  </si>
  <si>
    <t>LT-078395-18/NY</t>
  </si>
  <si>
    <t>HT-630020-RO</t>
  </si>
  <si>
    <t>LT-802945-19/BX</t>
  </si>
  <si>
    <t>LT-062604-19/QU</t>
  </si>
  <si>
    <t>LT-017910-18/KI</t>
  </si>
  <si>
    <t>LT-053793-18/RI</t>
  </si>
  <si>
    <t>17/26641-BX</t>
  </si>
  <si>
    <t>LT-080471-18/KI</t>
  </si>
  <si>
    <t>LT-000802-19/KI</t>
  </si>
  <si>
    <t>LT-053329-18/BX</t>
  </si>
  <si>
    <t>LT-074854-17/KI</t>
  </si>
  <si>
    <t>LT-063265-19/QU</t>
  </si>
  <si>
    <t>LT-080757-16/KI</t>
  </si>
  <si>
    <t>LT-059494-16/KI</t>
  </si>
  <si>
    <t>LT-072171-19/KI</t>
  </si>
  <si>
    <t>LT-068609-19/QU</t>
  </si>
  <si>
    <t>HP- 963-18/NY</t>
  </si>
  <si>
    <t>LT-061022-19/NY</t>
  </si>
  <si>
    <t>LT-073248-19/KI</t>
  </si>
  <si>
    <t>LT-050266-18/RI</t>
  </si>
  <si>
    <t>LT-502370-19/KI</t>
  </si>
  <si>
    <t>158628/2016</t>
  </si>
  <si>
    <t>LT-251193-18/NY</t>
  </si>
  <si>
    <t>LT-069755-19/KI</t>
  </si>
  <si>
    <t>DP-610083-OM</t>
  </si>
  <si>
    <t>HP-630089-OM</t>
  </si>
  <si>
    <t>LT-051247-17/KI</t>
  </si>
  <si>
    <t>DR 610026 OM, DP 610083 OM</t>
  </si>
  <si>
    <t>EO-610012-B</t>
  </si>
  <si>
    <t>EV-610038-RO</t>
  </si>
  <si>
    <t>LT-012529-19/QU</t>
  </si>
  <si>
    <t>LT-050232-17/QU</t>
  </si>
  <si>
    <t>LT-063867-19/QU</t>
  </si>
  <si>
    <t>LT-019248-19/BX</t>
  </si>
  <si>
    <t>LT-086587-16/KI</t>
  </si>
  <si>
    <t>33520/19</t>
  </si>
  <si>
    <t>LT-057053-18/NY</t>
  </si>
  <si>
    <t>HP-000202-19/KI</t>
  </si>
  <si>
    <t>LT-063650-19/QU</t>
  </si>
  <si>
    <t>LT-064585-19/KI</t>
  </si>
  <si>
    <t>40820/2019</t>
  </si>
  <si>
    <t>LT-020509-19/BX</t>
  </si>
  <si>
    <t>LT-051156-19/KI</t>
  </si>
  <si>
    <t>LT-067464-19/QU</t>
  </si>
  <si>
    <t>LT-018971-16/BX</t>
  </si>
  <si>
    <t>LT-35897/17</t>
  </si>
  <si>
    <t>LT-093805-17/KI</t>
  </si>
  <si>
    <t>LT-000478-19/QU</t>
  </si>
  <si>
    <t>LT-062285-17/NY</t>
  </si>
  <si>
    <t>LT-054693-19/QU</t>
  </si>
  <si>
    <t>LT-071559-19/KI</t>
  </si>
  <si>
    <t>LT-019692/BX</t>
  </si>
  <si>
    <t>LT-096221-18/KI</t>
  </si>
  <si>
    <t>LT-99996-16/KI</t>
  </si>
  <si>
    <t>LT-059655-19/KI</t>
  </si>
  <si>
    <t>LT-041506-19/BX</t>
  </si>
  <si>
    <t>LT-065589-18/QU</t>
  </si>
  <si>
    <t>LT-062831-17/NY</t>
  </si>
  <si>
    <t>LT-063754-18/QU</t>
  </si>
  <si>
    <t>LT-006187-19/KI</t>
  </si>
  <si>
    <t>LT-071469-19/KI</t>
  </si>
  <si>
    <t>HP-27243-18/BX</t>
  </si>
  <si>
    <t>LT-050961-19/RI</t>
  </si>
  <si>
    <t>LT-062805-19/QU</t>
  </si>
  <si>
    <t>LT-037745-19/BX</t>
  </si>
  <si>
    <t>LT-018643-18/BX</t>
  </si>
  <si>
    <t>M-H-DEBGNZ-16-1034065</t>
  </si>
  <si>
    <t>GM-610001-RV</t>
  </si>
  <si>
    <t>LT-041307-18/BX</t>
  </si>
  <si>
    <t>LT-060626-19/QU</t>
  </si>
  <si>
    <t>LT-053150-19/KI</t>
  </si>
  <si>
    <t>807241/19-BX</t>
  </si>
  <si>
    <t>LT-046932-15/BX</t>
  </si>
  <si>
    <t>LT-000037-19/RI</t>
  </si>
  <si>
    <t>LT-058049-18/NY</t>
  </si>
  <si>
    <t>101385/2019</t>
  </si>
  <si>
    <t>LT-092019-18/KI</t>
  </si>
  <si>
    <t>LT-52114-NY</t>
  </si>
  <si>
    <t>LT-064064-19/NY</t>
  </si>
  <si>
    <t>LT-033527-19/BX</t>
  </si>
  <si>
    <t>LT-054598-17/BX</t>
  </si>
  <si>
    <t>GS-210043-B</t>
  </si>
  <si>
    <t>LT-077604-19/KI</t>
  </si>
  <si>
    <t>LT-050184-19/NY</t>
  </si>
  <si>
    <t>LT-073145-17/BX</t>
  </si>
  <si>
    <t>LT-080838-19/KI</t>
  </si>
  <si>
    <t>LT-044109-18/BX</t>
  </si>
  <si>
    <t>LT-052730-18/RI</t>
  </si>
  <si>
    <t>LT-052426-18/RI</t>
  </si>
  <si>
    <t>LT-053171-18/RI</t>
  </si>
  <si>
    <t>CV-008370-17/QU</t>
  </si>
  <si>
    <t>LT-066810-19/QU</t>
  </si>
  <si>
    <t>LT-048820-18/BX</t>
  </si>
  <si>
    <t>010159/2018</t>
  </si>
  <si>
    <t>LT-063360-19/QU</t>
  </si>
  <si>
    <t>LT-011691-18/BX</t>
  </si>
  <si>
    <t>LT-059228-19/KI</t>
  </si>
  <si>
    <t>LT-063715-19/QU</t>
  </si>
  <si>
    <t>LT-057468-19/QU</t>
  </si>
  <si>
    <t>LT-071557-18/NY</t>
  </si>
  <si>
    <t>LT-065806-19/QU</t>
  </si>
  <si>
    <t>LT-076152-18/KI</t>
  </si>
  <si>
    <t>GW-610013-B</t>
  </si>
  <si>
    <t>LT-003477-18/KI</t>
  </si>
  <si>
    <t>LT-056118-18/BX</t>
  </si>
  <si>
    <t>LT-071311-18/KI</t>
  </si>
  <si>
    <t>GS-210136-S</t>
  </si>
  <si>
    <t>GS-210016-B</t>
  </si>
  <si>
    <t>GT310007RO</t>
  </si>
  <si>
    <t>LT-057415-19/QU</t>
  </si>
  <si>
    <t>LT-070654-18/QU</t>
  </si>
  <si>
    <t>LT-080844-19/KI</t>
  </si>
  <si>
    <t>LT-081008-17/KI</t>
  </si>
  <si>
    <t>LT-037856-19/BX</t>
  </si>
  <si>
    <t>LT-050389-19/NY</t>
  </si>
  <si>
    <t>LT-061748-19/QU</t>
  </si>
  <si>
    <t>LT-055861-18/BX</t>
  </si>
  <si>
    <t>LT-061942-18/BX</t>
  </si>
  <si>
    <t>LT-062879-19/NY</t>
  </si>
  <si>
    <t>LT-076733-18/QU</t>
  </si>
  <si>
    <t>LT-050679-19/RI</t>
  </si>
  <si>
    <t>LT-047548-18/BX</t>
  </si>
  <si>
    <t>LT-068621-18/KI</t>
  </si>
  <si>
    <t>LT-050935-19/RI</t>
  </si>
  <si>
    <t>LT-058694-17/KI</t>
  </si>
  <si>
    <t>HP-003261-17/KI</t>
  </si>
  <si>
    <t>LT-094403-17/KI</t>
  </si>
  <si>
    <t>LT-065982-19/QU</t>
  </si>
  <si>
    <t>LT-002378-19/KI</t>
  </si>
  <si>
    <t>LT-007068-18/KI</t>
  </si>
  <si>
    <t>LT-053104-19/QU</t>
  </si>
  <si>
    <t>LT-081566-18/KI</t>
  </si>
  <si>
    <t>LT-050532-19/KI</t>
  </si>
  <si>
    <t>LT-3261-17/KI</t>
  </si>
  <si>
    <t>LT-080097-19/KI</t>
  </si>
  <si>
    <t>78915/17 KI</t>
  </si>
  <si>
    <t>LT-050728-19/RI</t>
  </si>
  <si>
    <t>LT-054542-18/NY</t>
  </si>
  <si>
    <t>LT-088141-17/KI</t>
  </si>
  <si>
    <t>LT-004917-16/BX</t>
  </si>
  <si>
    <t>GS-210137-S</t>
  </si>
  <si>
    <t>LT-050123-18/RI</t>
  </si>
  <si>
    <t>LT-69787/19-NY</t>
  </si>
  <si>
    <t>LT-051006-19/NY</t>
  </si>
  <si>
    <t>LT-064508-18/QU</t>
  </si>
  <si>
    <t>LT-052792-19/QU</t>
  </si>
  <si>
    <t>LT-050741-19/RI</t>
  </si>
  <si>
    <t>LT-004595-19/KI</t>
  </si>
  <si>
    <t>LT-077054-18/KI</t>
  </si>
  <si>
    <t>LT-056809-19/QU</t>
  </si>
  <si>
    <t>0650057/2018</t>
  </si>
  <si>
    <t>LT-056724-19/QU</t>
  </si>
  <si>
    <t>LT-065697-16/KI</t>
  </si>
  <si>
    <t>none yet</t>
  </si>
  <si>
    <t>LT-080172-18/KI</t>
  </si>
  <si>
    <t>LT-079142-19/KI</t>
  </si>
  <si>
    <t>HP-1717-16/NY</t>
  </si>
  <si>
    <t>LT-057015-18/KI</t>
  </si>
  <si>
    <t>LT-091041-17/KI</t>
  </si>
  <si>
    <t>LT-051012-15/RI</t>
  </si>
  <si>
    <t>LT-088036-18/KI</t>
  </si>
  <si>
    <t>LT-057894-17/NY</t>
  </si>
  <si>
    <t>HP-1619-19/KI</t>
  </si>
  <si>
    <t>LT-050707-19/RI</t>
  </si>
  <si>
    <t>LT-051116-18/KI</t>
  </si>
  <si>
    <t>LT-004842-19/BX</t>
  </si>
  <si>
    <t>LT-072591-19/KI</t>
  </si>
  <si>
    <t>LT-064635-19/QU</t>
  </si>
  <si>
    <t>GV-110033-R</t>
  </si>
  <si>
    <t>LT-055076-18/KI</t>
  </si>
  <si>
    <t>LT-004359-19/BX</t>
  </si>
  <si>
    <t>HN-2100270-R</t>
  </si>
  <si>
    <t>LT-000749-19/KI</t>
  </si>
  <si>
    <t>LT-063666-19/KI</t>
  </si>
  <si>
    <t>0001579/2017</t>
  </si>
  <si>
    <t>LT-059294-19/KI</t>
  </si>
  <si>
    <t>GD-610056-OM</t>
  </si>
  <si>
    <t>LT-029555-18/BX</t>
  </si>
  <si>
    <t>LT-076589-18/NY</t>
  </si>
  <si>
    <t>No case yet</t>
  </si>
  <si>
    <t>GM-410027-RO</t>
  </si>
  <si>
    <t>LT-057884-19/NY</t>
  </si>
  <si>
    <t>LT-021724-18/BX</t>
  </si>
  <si>
    <t>LT-070883-18/QU</t>
  </si>
  <si>
    <t>LT-050325-19/RI</t>
  </si>
  <si>
    <t>LT-009301-19/BX</t>
  </si>
  <si>
    <t>LT-081194-19/KI</t>
  </si>
  <si>
    <t>LT-062831-19/QU</t>
  </si>
  <si>
    <t>LT-056902-19/QU</t>
  </si>
  <si>
    <t>LT-079886-19/KI</t>
  </si>
  <si>
    <t>LT-62408-19/QU</t>
  </si>
  <si>
    <t>LT-057009-19/QU</t>
  </si>
  <si>
    <t>LT-001112-19/QU</t>
  </si>
  <si>
    <t>LT-070345-19/QU</t>
  </si>
  <si>
    <t>LT-051883-19/RI</t>
  </si>
  <si>
    <t>HN-210027-OR</t>
  </si>
  <si>
    <t>LT-063664-19/KI</t>
  </si>
  <si>
    <t>LT-064533-19/KI</t>
  </si>
  <si>
    <t>LT-026221-18/BX</t>
  </si>
  <si>
    <t>LT-023429-18/BX</t>
  </si>
  <si>
    <t>LT-001218-19/KI</t>
  </si>
  <si>
    <t>LT-004595-19/BX</t>
  </si>
  <si>
    <t>LT-088144-18/KI</t>
  </si>
  <si>
    <t>NONE</t>
  </si>
  <si>
    <t>LT-020497-19/BX</t>
  </si>
  <si>
    <t>LT-042943-17/BX</t>
  </si>
  <si>
    <t>LT-055909-19/KI</t>
  </si>
  <si>
    <t>LT-082220-17/NY</t>
  </si>
  <si>
    <t>LT-57248-17/QU</t>
  </si>
  <si>
    <t>LT-010697-16/BX</t>
  </si>
  <si>
    <t>LT-062292-19/QU</t>
  </si>
  <si>
    <t>LT-52564-17/QU</t>
  </si>
  <si>
    <t>LT-46809-17/BX</t>
  </si>
  <si>
    <t>HP-6066/17-NY</t>
  </si>
  <si>
    <t>LT-6258-18/KI</t>
  </si>
  <si>
    <t>LT-003812-18/KI</t>
  </si>
  <si>
    <t>LT-055593-18/KI</t>
  </si>
  <si>
    <t>LT-022299-18/BX</t>
  </si>
  <si>
    <t>LT-060994-18/NY</t>
  </si>
  <si>
    <t>LT-065828-19/KI</t>
  </si>
  <si>
    <t>LT-809393-16/BX</t>
  </si>
  <si>
    <t>FP0610060RO</t>
  </si>
  <si>
    <t>HP-711-17/NY</t>
  </si>
  <si>
    <t>451329/2018</t>
  </si>
  <si>
    <t>LT-001241-18/BX</t>
  </si>
  <si>
    <t>GS-210134-S</t>
  </si>
  <si>
    <t>GO-130021-RT</t>
  </si>
  <si>
    <t>LT-076747-19/KI</t>
  </si>
  <si>
    <t>LT-069807-18/NY</t>
  </si>
  <si>
    <t>LT-022858-18/BX</t>
  </si>
  <si>
    <t>LT-5030417-17/KI</t>
  </si>
  <si>
    <t>GN-130029-RT</t>
  </si>
  <si>
    <t>LT-052189-18/RI</t>
  </si>
  <si>
    <t>CV-027051-15</t>
  </si>
  <si>
    <t>LT-033196-19/BX</t>
  </si>
  <si>
    <t>LT-071306-18/QU</t>
  </si>
  <si>
    <t>LT-064979-18/BX</t>
  </si>
  <si>
    <t>19N001207</t>
  </si>
  <si>
    <t>LT-051788-19/RI</t>
  </si>
  <si>
    <t>LT-073357-17/KI</t>
  </si>
  <si>
    <t>LT-056405-18/BX</t>
  </si>
  <si>
    <t>LT-202296-15/KI</t>
  </si>
  <si>
    <t>596382/2015</t>
  </si>
  <si>
    <t>LT-073346-18/KI</t>
  </si>
  <si>
    <t>LT-200074-18/NY</t>
  </si>
  <si>
    <t>DO-110093-OM</t>
  </si>
  <si>
    <t>LT-061559-19/KI</t>
  </si>
  <si>
    <t>LT-051847-19/KI</t>
  </si>
  <si>
    <t>LT-062456-19/KI</t>
  </si>
  <si>
    <t>LT-598881-18/BX</t>
  </si>
  <si>
    <t>LT-050809-18/RI</t>
  </si>
  <si>
    <t>LT-063919-18/QU</t>
  </si>
  <si>
    <t>040820/19</t>
  </si>
  <si>
    <t>LT-055499-19/NY</t>
  </si>
  <si>
    <t>LT-33778/19-BX</t>
  </si>
  <si>
    <t>LT-030982-19/BX</t>
  </si>
  <si>
    <t>LT-052664-18/RI</t>
  </si>
  <si>
    <t>LT-074577-18/KI</t>
  </si>
  <si>
    <t>LT-000579-19/KI</t>
  </si>
  <si>
    <t>LT-036493-18/BX</t>
  </si>
  <si>
    <t>GT-630025-RT</t>
  </si>
  <si>
    <t>LT-055254-19/QU</t>
  </si>
  <si>
    <t>LT-050481-19/RI</t>
  </si>
  <si>
    <t>LT-030267-18/BX</t>
  </si>
  <si>
    <t>LT-057505-18/BX</t>
  </si>
  <si>
    <t>LT-076797-19/KI</t>
  </si>
  <si>
    <t>LT-050950-19/RI</t>
  </si>
  <si>
    <t>LT-063076-19/NY</t>
  </si>
  <si>
    <t>EU-630005-OM</t>
  </si>
  <si>
    <t>LT-058350-18/BX</t>
  </si>
  <si>
    <t>LT-056873-19/QU</t>
  </si>
  <si>
    <t>LT-050911-16/KI</t>
  </si>
  <si>
    <t>LT-052214-17/RI</t>
  </si>
  <si>
    <t>LT-010331-19/BX</t>
  </si>
  <si>
    <t>LT-048749-19/BX</t>
  </si>
  <si>
    <t>LT-096258-18/KI</t>
  </si>
  <si>
    <t>LT-051332-19/KI</t>
  </si>
  <si>
    <t>EQ-610007-OM</t>
  </si>
  <si>
    <t>LT-000322-19/QU</t>
  </si>
  <si>
    <t>HP-00578-19/QU</t>
  </si>
  <si>
    <t>LT-071954-17/KI</t>
  </si>
  <si>
    <t>GM410027RO</t>
  </si>
  <si>
    <t>LT-053238-18/RI</t>
  </si>
  <si>
    <t>LT-048446-17/KI</t>
  </si>
  <si>
    <t>LT-056942-14/BX</t>
  </si>
  <si>
    <t>LT-062489-19/NY</t>
  </si>
  <si>
    <t>LT-053425-19/QU</t>
  </si>
  <si>
    <t>LT-081766-19/KI</t>
  </si>
  <si>
    <t>dont have it now</t>
  </si>
  <si>
    <t>LT-057621-19/BX</t>
  </si>
  <si>
    <t>LT-012964-18/BX</t>
  </si>
  <si>
    <t>53382/18</t>
  </si>
  <si>
    <t>LT-053103-19/KI</t>
  </si>
  <si>
    <t>LT-084032-18/KI</t>
  </si>
  <si>
    <t>LT-006139-18/QU</t>
  </si>
  <si>
    <t>LT-067757-18/BX</t>
  </si>
  <si>
    <t>LT-033625-19/BX</t>
  </si>
  <si>
    <t>LT-007084-19/BX</t>
  </si>
  <si>
    <t>LT-053652-18/RI</t>
  </si>
  <si>
    <t>LT-037322-16/BX</t>
  </si>
  <si>
    <t>LT-051335-17/RI</t>
  </si>
  <si>
    <t>LT-058444-19/QU</t>
  </si>
  <si>
    <t>LT-076982-18/QU</t>
  </si>
  <si>
    <t>LT-069843-19/QU</t>
  </si>
  <si>
    <t>LT-058531-18/QU</t>
  </si>
  <si>
    <t>LT-040447-18/BX</t>
  </si>
  <si>
    <t>LT-060753-19/QU</t>
  </si>
  <si>
    <t>LT-054967-19/NY</t>
  </si>
  <si>
    <t>LT-060920-19/QU</t>
  </si>
  <si>
    <t>LT-014261-19/BX</t>
  </si>
  <si>
    <t>GS210092</t>
  </si>
  <si>
    <t>LT-070228-19/NY</t>
  </si>
  <si>
    <t>LT-092855-18/KI</t>
  </si>
  <si>
    <t>LT-068470-19/QU</t>
  </si>
  <si>
    <t>LT-000943-18/KI</t>
  </si>
  <si>
    <t>LT-070350-19/QU</t>
  </si>
  <si>
    <t>1520/18</t>
  </si>
  <si>
    <t>807198-19</t>
  </si>
  <si>
    <t>LT-052785-19/KI</t>
  </si>
  <si>
    <t>LT-098584-17/KI</t>
  </si>
  <si>
    <t>LT-033389-19/BX</t>
  </si>
  <si>
    <t>LT-068489-17/NY</t>
  </si>
  <si>
    <t>LT-083566-17/KI</t>
  </si>
  <si>
    <t>LT-019435-19/BX</t>
  </si>
  <si>
    <t>LT-054825-19/KI</t>
  </si>
  <si>
    <t>LT-067041-18/KI</t>
  </si>
  <si>
    <t>LT-059198-19/QU</t>
  </si>
  <si>
    <t>LT-023768-19/BX</t>
  </si>
  <si>
    <t>LT-053119-19/KI</t>
  </si>
  <si>
    <t>LT-078320-18/NY</t>
  </si>
  <si>
    <t>LT-058898-15/KI</t>
  </si>
  <si>
    <t>LT-55887/17-QU</t>
  </si>
  <si>
    <t>LT-051834-19/RI</t>
  </si>
  <si>
    <t>LT-053006-17/RI</t>
  </si>
  <si>
    <t>LT-059006-19/KI</t>
  </si>
  <si>
    <t>LT- 6073/17-NY</t>
  </si>
  <si>
    <t>LT-0044541-15/BX</t>
  </si>
  <si>
    <t>LT-073919-17/BX</t>
  </si>
  <si>
    <t>LT-608623-19/NY</t>
  </si>
  <si>
    <t>LT-074634-18/KI</t>
  </si>
  <si>
    <t>LT-007876-19/BX</t>
  </si>
  <si>
    <t>LT-054056-18/BX</t>
  </si>
  <si>
    <t>V#0456358; LID#902252</t>
  </si>
  <si>
    <t>LT-006663-19/BX</t>
  </si>
  <si>
    <t>LT-063301-19/KI</t>
  </si>
  <si>
    <t>LT-050541-19/RI</t>
  </si>
  <si>
    <t>LT-063326-18/BX</t>
  </si>
  <si>
    <t>HN-310008-B</t>
  </si>
  <si>
    <t>LT-050439-17/KI</t>
  </si>
  <si>
    <t>LT-062501-15/BX</t>
  </si>
  <si>
    <t>GT-410028-RO</t>
  </si>
  <si>
    <t>LT-1681-18/NY</t>
  </si>
  <si>
    <t>HP-1753-17/KI</t>
  </si>
  <si>
    <t>LT-009775-19/BX</t>
  </si>
  <si>
    <t>LT-05534-19/RI</t>
  </si>
  <si>
    <t>LT-063191-19/KI</t>
  </si>
  <si>
    <t>LT-069638-19/KI</t>
  </si>
  <si>
    <t>LT-029594-16/BX</t>
  </si>
  <si>
    <t>LT-012360-19/BX</t>
  </si>
  <si>
    <t>LT-010875-18/RI</t>
  </si>
  <si>
    <t>LT-033395-18/BX</t>
  </si>
  <si>
    <t>LT-604733-18/BX</t>
  </si>
  <si>
    <t>no case as of 11/26/19</t>
  </si>
  <si>
    <t>LT-076038-19/KI</t>
  </si>
  <si>
    <t>LT-073833-17/KI</t>
  </si>
  <si>
    <t>LT-053713-18/QU</t>
  </si>
  <si>
    <t>LT-041109-19/BX</t>
  </si>
  <si>
    <t>LT-038005-17/BX</t>
  </si>
  <si>
    <t>LT-078779-16/KI</t>
  </si>
  <si>
    <t>42095/15</t>
  </si>
  <si>
    <t>LT-093726-18/KI</t>
  </si>
  <si>
    <t>LT-069316-18/KI</t>
  </si>
  <si>
    <t>LT-012981-18/BX</t>
  </si>
  <si>
    <t>LT-071995-19/KI</t>
  </si>
  <si>
    <t>LT-051480-19/RI</t>
  </si>
  <si>
    <t>LT-056489-18/NY</t>
  </si>
  <si>
    <t>LT-053308-19/KI</t>
  </si>
  <si>
    <t>LT-090607-13/KI</t>
  </si>
  <si>
    <t>LT-047475-18/BX</t>
  </si>
  <si>
    <t>LT-000029-19/NY</t>
  </si>
  <si>
    <t>M-H-DG-16-1034390</t>
  </si>
  <si>
    <t>LT-051021-19/RI</t>
  </si>
  <si>
    <t>908893-TD-2019</t>
  </si>
  <si>
    <t>LT-056459-18/NY</t>
  </si>
  <si>
    <t>LT-006718-18/BX</t>
  </si>
  <si>
    <t>LT-022239-18/BX</t>
  </si>
  <si>
    <t>TBD</t>
  </si>
  <si>
    <t>LT-028918-18/BX</t>
  </si>
  <si>
    <t>LT-063034-16/NY</t>
  </si>
  <si>
    <t>LT-057136-18/QU</t>
  </si>
  <si>
    <t>HP-775-18/NY</t>
  </si>
  <si>
    <t>HP-000936-18/NY</t>
  </si>
  <si>
    <t>LT-059701-19/KI</t>
  </si>
  <si>
    <t>LT-001264-19/NY</t>
  </si>
  <si>
    <t>LT-012645-19/NY</t>
  </si>
  <si>
    <t>LT-050440-19/KI</t>
  </si>
  <si>
    <t>LT-083011-19/KI</t>
  </si>
  <si>
    <t>LT-053670-17/RI</t>
  </si>
  <si>
    <t>LT-050289-19/QU</t>
  </si>
  <si>
    <t>77335/2019</t>
  </si>
  <si>
    <t>LT-050968-19/KI</t>
  </si>
  <si>
    <t>LT-039105-19/BX</t>
  </si>
  <si>
    <t>LT-009297-19/BX</t>
  </si>
  <si>
    <t>LT-030302-19/BX</t>
  </si>
  <si>
    <t>LT-051009-19/RI</t>
  </si>
  <si>
    <t>LT-055242-19/NY</t>
  </si>
  <si>
    <t>LT-055015-18/NY</t>
  </si>
  <si>
    <t>LT-058076-19/KI</t>
  </si>
  <si>
    <t>LT-074282-18/QU</t>
  </si>
  <si>
    <t>LT-082220-15/NY</t>
  </si>
  <si>
    <t>LT-080074-18/KI</t>
  </si>
  <si>
    <t>LT-086826-18/KI</t>
  </si>
  <si>
    <t>LT-068048-17/NY</t>
  </si>
  <si>
    <t>LT-051817-19/RI</t>
  </si>
  <si>
    <t>LT-069234-17/NY</t>
  </si>
  <si>
    <t>LT/HP-17N006070-17/NY</t>
  </si>
  <si>
    <t>LT-002538-18/BX</t>
  </si>
  <si>
    <t>LT-065512-19/QU</t>
  </si>
  <si>
    <t>LT-032256-19/BX</t>
  </si>
  <si>
    <t>LT-000257-18/BX</t>
  </si>
  <si>
    <t>LT-052865-19/KI</t>
  </si>
  <si>
    <t>LT-020164-19/BX</t>
  </si>
  <si>
    <t>LT-056440-19/KI</t>
  </si>
  <si>
    <t>LT-099814-17/KI</t>
  </si>
  <si>
    <t>LT-060707-17/KI</t>
  </si>
  <si>
    <t>LT-805551-16/BX</t>
  </si>
  <si>
    <t>HP-18644-18</t>
  </si>
  <si>
    <t>LT-210014-18/HA</t>
  </si>
  <si>
    <t>ES-410086-RV</t>
  </si>
  <si>
    <t>LT-094957-18/KI</t>
  </si>
  <si>
    <t>LT-027121-19/BX</t>
  </si>
  <si>
    <t>LT-036549-19/BX</t>
  </si>
  <si>
    <t>LT-050464-19/RI</t>
  </si>
  <si>
    <t>LT-052447-19/RI</t>
  </si>
  <si>
    <t>LT-064892-17/NY</t>
  </si>
  <si>
    <t>LT-251141-19/NY</t>
  </si>
  <si>
    <t>LT-064986-19/KI</t>
  </si>
  <si>
    <t>LT-58112-19/QU</t>
  </si>
  <si>
    <t>LT-070061-19/KI</t>
  </si>
  <si>
    <t>LT-077343-19/KI</t>
  </si>
  <si>
    <t>LT-073440-19/KI</t>
  </si>
  <si>
    <t>LT-051950-19/QU</t>
  </si>
  <si>
    <t>LT-036475-19/BX</t>
  </si>
  <si>
    <t>LT-215431-19/BX</t>
  </si>
  <si>
    <t>LT-052559-18/RI</t>
  </si>
  <si>
    <t>LT-051688-19/RI</t>
  </si>
  <si>
    <t>LT-059658-19/NY</t>
  </si>
  <si>
    <t>LT-250590-19/NY</t>
  </si>
  <si>
    <t>LT-064640-18/NY</t>
  </si>
  <si>
    <t>LT-060144-18/QU</t>
  </si>
  <si>
    <t>LT-071426-18/QU</t>
  </si>
  <si>
    <t>LT-65097-18/QU</t>
  </si>
  <si>
    <t>LT-037657-18/BX</t>
  </si>
  <si>
    <t>LT-039359-18/BX</t>
  </si>
  <si>
    <t>LT-069662-17/BX</t>
  </si>
  <si>
    <t>LT-025001-18/BX</t>
  </si>
  <si>
    <t>LT-057714-18/NY</t>
  </si>
  <si>
    <t>LT-006347-17/KI</t>
  </si>
  <si>
    <t>LT-083052-18/KI</t>
  </si>
  <si>
    <t>LT-053497-18/RI</t>
  </si>
  <si>
    <t>LT-023744-19/BX</t>
  </si>
  <si>
    <t>LT-051946-19/RI</t>
  </si>
  <si>
    <t>003378-18/KI</t>
  </si>
  <si>
    <t>LT-024762-18/BX</t>
  </si>
  <si>
    <t>02631/2019</t>
  </si>
  <si>
    <t>no case as of June 13, 2019</t>
  </si>
  <si>
    <t>LT-084095-17/BX</t>
  </si>
  <si>
    <t>LT-051575-15/NY</t>
  </si>
  <si>
    <t>LT-251022-16/NY</t>
  </si>
  <si>
    <t>FT-610111-S</t>
  </si>
  <si>
    <t>LT-064591-19/KI</t>
  </si>
  <si>
    <t>10687/15</t>
  </si>
  <si>
    <t>LT-000228-17/BX</t>
  </si>
  <si>
    <t>LT-070293-18/QU</t>
  </si>
  <si>
    <t>077933-18/KI</t>
  </si>
  <si>
    <t>LT-252372-16/NY</t>
  </si>
  <si>
    <t>Lt-032881/BX</t>
  </si>
  <si>
    <t>LT-071393-19/KI</t>
  </si>
  <si>
    <t>LT-075654-19/KI</t>
  </si>
  <si>
    <t>LT-079051-17/KI</t>
  </si>
  <si>
    <t>no case as of 6/13/19</t>
  </si>
  <si>
    <t>GX-110104-OM</t>
  </si>
  <si>
    <t>GP-210048-R</t>
  </si>
  <si>
    <t>LT-087846-18/KI</t>
  </si>
  <si>
    <t>LT-050853-19/RI</t>
  </si>
  <si>
    <t>LT-079547-17/NY</t>
  </si>
  <si>
    <t>LT-040788-19/BX</t>
  </si>
  <si>
    <t>LT-063369-19/QU</t>
  </si>
  <si>
    <t>GQ-610056-OM</t>
  </si>
  <si>
    <t>LT-55642-18/QU</t>
  </si>
  <si>
    <t>LT-076809-19/KI</t>
  </si>
  <si>
    <t>LT-077282-18/NY</t>
  </si>
  <si>
    <t>LT-079777-18/KI</t>
  </si>
  <si>
    <t>18-3976/EDNY</t>
  </si>
  <si>
    <t>LT-078626-18/NY</t>
  </si>
  <si>
    <t>65250/19</t>
  </si>
  <si>
    <t>LT-016980-17/BX</t>
  </si>
  <si>
    <t>LT-052347-17/BX</t>
  </si>
  <si>
    <t>LT-070725-18/QU</t>
  </si>
  <si>
    <t>LT-063442-18/BX</t>
  </si>
  <si>
    <t>GS-210042-B</t>
  </si>
  <si>
    <t>LT-066169-19/KI</t>
  </si>
  <si>
    <t>LT-076706-19/KI</t>
  </si>
  <si>
    <t>LT-080971-19/KI</t>
  </si>
  <si>
    <t>LT-059797-19/QU</t>
  </si>
  <si>
    <t>LT-024215-19/BX</t>
  </si>
  <si>
    <t>LT-050405-19/RI</t>
  </si>
  <si>
    <t>LT-064998-18/NY</t>
  </si>
  <si>
    <t>LT-025874-19/BX</t>
  </si>
  <si>
    <t>LT-56969-17/QU</t>
  </si>
  <si>
    <t>LT-072216-18/KI</t>
  </si>
  <si>
    <t>LT-093331-18/KI</t>
  </si>
  <si>
    <t>LT-001680-18/NY</t>
  </si>
  <si>
    <t>GW-430022-OM</t>
  </si>
  <si>
    <t>LT-063603-18/KI</t>
  </si>
  <si>
    <t>LT-071051-18/QU</t>
  </si>
  <si>
    <t>LT-087625-18/KI</t>
  </si>
  <si>
    <t>CV-010679-19/BX</t>
  </si>
  <si>
    <t>LT-252109-14/NY</t>
  </si>
  <si>
    <t>LT-070294-18/QU</t>
  </si>
  <si>
    <t>LT-0622017-19/QU</t>
  </si>
  <si>
    <t>LT-033911-18/BX</t>
  </si>
  <si>
    <t>LT-083648-18/KI</t>
  </si>
  <si>
    <t>LT-090458-18/KI</t>
  </si>
  <si>
    <t>LT-009219-18/BX</t>
  </si>
  <si>
    <t>23508-18</t>
  </si>
  <si>
    <t>LT-069906-16/KI</t>
  </si>
  <si>
    <t>LT-000289-19/NY</t>
  </si>
  <si>
    <t>LT-053629-17/RI</t>
  </si>
  <si>
    <t>LT-071758-17/KI</t>
  </si>
  <si>
    <t>LT-060549-19/NY</t>
  </si>
  <si>
    <t>LT-016734-17/BX</t>
  </si>
  <si>
    <t>LT-065173-17/BX</t>
  </si>
  <si>
    <t>LT-081576-17/NY</t>
  </si>
  <si>
    <t>LT-076250-19/KI</t>
  </si>
  <si>
    <t>LT-028484-19/BX</t>
  </si>
  <si>
    <t>LT-050710-19/RI</t>
  </si>
  <si>
    <t>LT-1717/16-NY</t>
  </si>
  <si>
    <t>LT-065328-19/NY</t>
  </si>
  <si>
    <t>LT-092266-18/KI</t>
  </si>
  <si>
    <t>CV-019938/19</t>
  </si>
  <si>
    <t>LT-016685-19/BX</t>
  </si>
  <si>
    <t>LT-064040-18/NY</t>
  </si>
  <si>
    <t>LT-089593-18/KI</t>
  </si>
  <si>
    <t>LT-036426-19/BX</t>
  </si>
  <si>
    <t>LT-018230-19/KI</t>
  </si>
  <si>
    <t>LT-034649-19/BX</t>
  </si>
  <si>
    <t>LT-066947-19/QU</t>
  </si>
  <si>
    <t>LT-057216-18/KI</t>
  </si>
  <si>
    <t>LT-059740-19/NY</t>
  </si>
  <si>
    <t>LT-059335-18/BX</t>
  </si>
  <si>
    <t>FW430075</t>
  </si>
  <si>
    <t>LT-070339-17/BX</t>
  </si>
  <si>
    <t>2016-00034 KC</t>
  </si>
  <si>
    <t>LT-070268-16/NY</t>
  </si>
  <si>
    <t>GN-410074-R</t>
  </si>
  <si>
    <t>LT-034187-18/BX</t>
  </si>
  <si>
    <t>LT-074615-18/KI</t>
  </si>
  <si>
    <t>LT-039207-17/BX</t>
  </si>
  <si>
    <t>LT-252000-17/HA</t>
  </si>
  <si>
    <t>LT-061436-18/KI</t>
  </si>
  <si>
    <t>LT-059657-19/KI</t>
  </si>
  <si>
    <t>LT-001137-19/NY</t>
  </si>
  <si>
    <t>LT-052305-16/KI</t>
  </si>
  <si>
    <t>LT-058502-19/QU</t>
  </si>
  <si>
    <t>LT-061425-17/KI</t>
  </si>
  <si>
    <t>LT-066784-17/KI</t>
  </si>
  <si>
    <t>DU-610015-OM</t>
  </si>
  <si>
    <t>LT-051527-19/RI</t>
  </si>
  <si>
    <t>18-10159</t>
  </si>
  <si>
    <t>LT-093368-18/KI</t>
  </si>
  <si>
    <t>18-CV-10159</t>
  </si>
  <si>
    <t>LT-052841-19/KI</t>
  </si>
  <si>
    <t>DU-610009-OM</t>
  </si>
  <si>
    <t>LT-001919-18/NY</t>
  </si>
  <si>
    <t>LT-095865-18/KI</t>
  </si>
  <si>
    <t>LT-060956-18/KI</t>
  </si>
  <si>
    <t>LT-067542-16/NY</t>
  </si>
  <si>
    <t>002704/2018</t>
  </si>
  <si>
    <t>LT-003808-18/KI</t>
  </si>
  <si>
    <t>LT-200123-18/NY</t>
  </si>
  <si>
    <t>LT-066018-18/NY</t>
  </si>
  <si>
    <t>LT-057777-17/NY</t>
  </si>
  <si>
    <t>No Case Yet</t>
  </si>
  <si>
    <t>022105-19/BX</t>
  </si>
  <si>
    <t>LT-039030-18/BX</t>
  </si>
  <si>
    <t>LT-080058-18/NY</t>
  </si>
  <si>
    <t>LT-055235-18/BX</t>
  </si>
  <si>
    <t>LT-089484-18/KI</t>
  </si>
  <si>
    <t>LT-057354-18/QU</t>
  </si>
  <si>
    <t>LT-251353-19/NY</t>
  </si>
  <si>
    <t>LT-057797-19/NY</t>
  </si>
  <si>
    <t>045154/2019</t>
  </si>
  <si>
    <t>92657/18</t>
  </si>
  <si>
    <t>LT-251009-18/NY</t>
  </si>
  <si>
    <t>GW-130070-OM</t>
  </si>
  <si>
    <t>GW-130064-OM</t>
  </si>
  <si>
    <t>K&amp;T 99406/15</t>
  </si>
  <si>
    <t>LT-072586-17/NY</t>
  </si>
  <si>
    <t>LT-074290-18/QU</t>
  </si>
  <si>
    <t>LT-053135-18/RI</t>
  </si>
  <si>
    <t>052896-18/BX</t>
  </si>
  <si>
    <t>LT-059384-19/KI</t>
  </si>
  <si>
    <t>LT-005984-19/KI</t>
  </si>
  <si>
    <t>LT-093067-18/KI</t>
  </si>
  <si>
    <t>LT-000775-18/NY</t>
  </si>
  <si>
    <t>LT-080158-18/KI</t>
  </si>
  <si>
    <t>36817-19</t>
  </si>
  <si>
    <t>LT-250601-19/NY</t>
  </si>
  <si>
    <t>LT-061379-17/BX</t>
  </si>
  <si>
    <t>LT-028805-19/BX</t>
  </si>
  <si>
    <t>LT-010159-18/BX</t>
  </si>
  <si>
    <t>not yet</t>
  </si>
  <si>
    <t>LT-059920-19/QU</t>
  </si>
  <si>
    <t>LT-055186-18/KI</t>
  </si>
  <si>
    <t>LT-037923-18/BX</t>
  </si>
  <si>
    <t>LT/HP 6073/17-NY</t>
  </si>
  <si>
    <t>LT-051840-19/RI</t>
  </si>
  <si>
    <t>FU-410114-S</t>
  </si>
  <si>
    <t>LT-071824-19/KI</t>
  </si>
  <si>
    <t>Lt-37721-19</t>
  </si>
  <si>
    <t>HP-610081-OM</t>
  </si>
  <si>
    <t>LT-052247-19/RI</t>
  </si>
  <si>
    <t>LT-082985-19/KI</t>
  </si>
  <si>
    <t>LT-094320-17/KI</t>
  </si>
  <si>
    <t>LT-057875-19/NY</t>
  </si>
  <si>
    <t>LT-056822-18/KI</t>
  </si>
  <si>
    <t>LT-084391-18/KI</t>
  </si>
  <si>
    <t>LT-088662-18/KI</t>
  </si>
  <si>
    <t>LT-050779-18/RI</t>
  </si>
  <si>
    <t>LT-056405-19/QU</t>
  </si>
  <si>
    <t>LT-251206-15/BX</t>
  </si>
  <si>
    <t>LT-035197-18/BX</t>
  </si>
  <si>
    <t>LT-003539-18/KI</t>
  </si>
  <si>
    <t>LT-021668-18/BX</t>
  </si>
  <si>
    <t>LT-052985-19/KI</t>
  </si>
  <si>
    <t>LT-051973-19/RI</t>
  </si>
  <si>
    <t>LT-051773-19/RI</t>
  </si>
  <si>
    <t>LT-1717/2016NY</t>
  </si>
  <si>
    <t>LT-094436-18/KI</t>
  </si>
  <si>
    <t>2018-00551 QC</t>
  </si>
  <si>
    <t>047991/2019</t>
  </si>
  <si>
    <t>LT-051948-18/QU</t>
  </si>
  <si>
    <t>LT-067622-13/NY</t>
  </si>
  <si>
    <t>LT-069285-19/KI</t>
  </si>
  <si>
    <t>LT-005611-19/BX</t>
  </si>
  <si>
    <t>LT-068473-17/NY</t>
  </si>
  <si>
    <t>LT-065694-17/KI</t>
  </si>
  <si>
    <t>LT-069320-19/KI</t>
  </si>
  <si>
    <t>LT-064550-19/KI</t>
  </si>
  <si>
    <t>LT-071114-18/KI</t>
  </si>
  <si>
    <t>LT-051044-19/RI</t>
  </si>
  <si>
    <t>LT-051979-19/RI</t>
  </si>
  <si>
    <t>LT-061106-19/NY</t>
  </si>
  <si>
    <t>FQ-220003-RE</t>
  </si>
  <si>
    <t>LT-075689-18/KI</t>
  </si>
  <si>
    <t>LT-064764-18/QU</t>
  </si>
  <si>
    <t>LT-060176-19/QU</t>
  </si>
  <si>
    <t>LT-060189-18/NY</t>
  </si>
  <si>
    <t>FU-410115-S</t>
  </si>
  <si>
    <t>LT-053962-19/KI</t>
  </si>
  <si>
    <t>LT-058173-19/KI</t>
  </si>
  <si>
    <t>LT-063618-19/KI</t>
  </si>
  <si>
    <t>LT-063545-19/NY</t>
  </si>
  <si>
    <t>LT-039855-19/BX</t>
  </si>
  <si>
    <t>LT-063459-18/NY</t>
  </si>
  <si>
    <t>LT-052439-17/RI</t>
  </si>
  <si>
    <t>LT-051585-18/NY</t>
  </si>
  <si>
    <t>LT-006199-19/BX</t>
  </si>
  <si>
    <t>LT-062837-17/NY</t>
  </si>
  <si>
    <t>LT-064594-19/KI</t>
  </si>
  <si>
    <t>LT-067082-15/KI</t>
  </si>
  <si>
    <t>LT-068768-18/QU</t>
  </si>
  <si>
    <t>LT-023882-18/BX</t>
  </si>
  <si>
    <t>no case as of 4/6/18</t>
  </si>
  <si>
    <t>HO-130078-OM</t>
  </si>
  <si>
    <t>LT-3402-17/KI</t>
  </si>
  <si>
    <t>FR-210078-S</t>
  </si>
  <si>
    <t>GP-210141-S</t>
  </si>
  <si>
    <t>LT-073728-17/BX</t>
  </si>
  <si>
    <t>LT-078556-19/QU</t>
  </si>
  <si>
    <t>LT-032847-18/BX</t>
  </si>
  <si>
    <t>LT-037529-19/BX</t>
  </si>
  <si>
    <t>LT-059792-19/NY</t>
  </si>
  <si>
    <t>LT-068754-19/QU</t>
  </si>
  <si>
    <t>LT-057034-19/QU</t>
  </si>
  <si>
    <t>LT-051039-19/QU</t>
  </si>
  <si>
    <t>LT-062516-17/KI</t>
  </si>
  <si>
    <t>LT-036275-16/BX</t>
  </si>
  <si>
    <t>42040/2016E</t>
  </si>
  <si>
    <t>LT-060254-18/QU</t>
  </si>
  <si>
    <t>LT-083567-17/KI</t>
  </si>
  <si>
    <t>42019/15</t>
  </si>
  <si>
    <t>LT-026290-18/BX</t>
  </si>
  <si>
    <t>LT-051938-18RI</t>
  </si>
  <si>
    <t>LT-024940-15/BX</t>
  </si>
  <si>
    <t>LT-250122-17/NY</t>
  </si>
  <si>
    <t>cv-022265-18/bx</t>
  </si>
  <si>
    <t>LT-051128-19/RI</t>
  </si>
  <si>
    <t>713493/2016</t>
  </si>
  <si>
    <t>LT-051737-19/RI</t>
  </si>
  <si>
    <t>LT-77457-18/QU</t>
  </si>
  <si>
    <t>LT-051257-19/RI</t>
  </si>
  <si>
    <t>don't have it now</t>
  </si>
  <si>
    <t>LT-019064-19/BX</t>
  </si>
  <si>
    <t>LT-042670-19/BX</t>
  </si>
  <si>
    <t>LT-087605-18/KI</t>
  </si>
  <si>
    <t>1717/2016</t>
  </si>
  <si>
    <t>LT-063595-19/QU</t>
  </si>
  <si>
    <t>LT-087288-19/KI</t>
  </si>
  <si>
    <t>LT-077712-19/KI</t>
  </si>
  <si>
    <t>LT-050035-19/RI</t>
  </si>
  <si>
    <t>LT-062814-16/KI</t>
  </si>
  <si>
    <t>LT-068935-17/KI</t>
  </si>
  <si>
    <t>LT-051981-19/RI</t>
  </si>
  <si>
    <t>LT-090492-18/KI</t>
  </si>
  <si>
    <t>LT-031389-19/BX</t>
  </si>
  <si>
    <t>FN-210028-RT</t>
  </si>
  <si>
    <t>LT-000841-19/KI</t>
  </si>
  <si>
    <t>LT-044472-19/BX</t>
  </si>
  <si>
    <t>CV-042003-16/BX</t>
  </si>
  <si>
    <t>LT-073148-19/KI</t>
  </si>
  <si>
    <t>44743/19BX</t>
  </si>
  <si>
    <t>64581/19</t>
  </si>
  <si>
    <t>LT-074838-18/QU</t>
  </si>
  <si>
    <t>LT-061952-19/QU</t>
  </si>
  <si>
    <t>LT-051743-19/RI</t>
  </si>
  <si>
    <t>LT-041745-18/BX</t>
  </si>
  <si>
    <t>LT-077528-18/QU</t>
  </si>
  <si>
    <t>LT-060353-19/QU</t>
  </si>
  <si>
    <t>LT-078292-19/KI</t>
  </si>
  <si>
    <t>LT-071849-19/KI</t>
  </si>
  <si>
    <t>LT-052417-18/RI</t>
  </si>
  <si>
    <t>LT-067687-18/NY</t>
  </si>
  <si>
    <t>LT-078083-18/KI</t>
  </si>
  <si>
    <t>LT-062908-17/QU</t>
  </si>
  <si>
    <t>LT-097297-18/KI</t>
  </si>
  <si>
    <t>LT-251530-19/NY</t>
  </si>
  <si>
    <t>LT-055771-19/QU</t>
  </si>
  <si>
    <t>LT-058293-18/KI</t>
  </si>
  <si>
    <t>LT-065718-19/QU</t>
  </si>
  <si>
    <t>LT-059876-19/NY</t>
  </si>
  <si>
    <t>LT-067085-17/NY</t>
  </si>
  <si>
    <t>LT-061783-19/KI</t>
  </si>
  <si>
    <t>LT-098894-17/KI</t>
  </si>
  <si>
    <t>LT-3064-18/BX</t>
  </si>
  <si>
    <t>LT-050934-19/RI</t>
  </si>
  <si>
    <t>LT-027298-19/BX</t>
  </si>
  <si>
    <t>LT-051377-19/RI</t>
  </si>
  <si>
    <t>LT-034725-18/BX</t>
  </si>
  <si>
    <t>LT-022382-19/BX</t>
  </si>
  <si>
    <t>LT-053117-18/RI</t>
  </si>
  <si>
    <t>LT-050902-19/RI</t>
  </si>
  <si>
    <t>CV-024411-15/QU</t>
  </si>
  <si>
    <t>LT-097495-15/KI</t>
  </si>
  <si>
    <t>HS-210129-S</t>
  </si>
  <si>
    <t>LT-063916-19/QU</t>
  </si>
  <si>
    <t>LT-017132-19/BX</t>
  </si>
  <si>
    <t>LT-061946-17/NY</t>
  </si>
  <si>
    <t>LT-063929-19/QU</t>
  </si>
  <si>
    <t>LT-053257-19/QU</t>
  </si>
  <si>
    <t>LT-050681-19/RI</t>
  </si>
  <si>
    <t>LT-84412-19/KI</t>
  </si>
  <si>
    <t>LT-068336-17/BX</t>
  </si>
  <si>
    <t>LT-059499-18/QU</t>
  </si>
  <si>
    <t>LT-075189-19/KI</t>
  </si>
  <si>
    <t>LT-064297-19/QU</t>
  </si>
  <si>
    <t>LT-043868-16/BX</t>
  </si>
  <si>
    <t>LT-056734-19/QU</t>
  </si>
  <si>
    <t>LT-001441-18/BX</t>
  </si>
  <si>
    <t>LT-074318-17/BX</t>
  </si>
  <si>
    <t>no case as of 2/2/18</t>
  </si>
  <si>
    <t>LT-087474-18/KI</t>
  </si>
  <si>
    <t>NONE YET</t>
  </si>
  <si>
    <t>LT-050261-19/KI</t>
  </si>
  <si>
    <t>LT-075056-18/QU</t>
  </si>
  <si>
    <t>LT-062243-19/KI</t>
  </si>
  <si>
    <t>LT-079494-16/KI</t>
  </si>
  <si>
    <t>LT-073424-17/NY</t>
  </si>
  <si>
    <t>LT-071137-17/NY</t>
  </si>
  <si>
    <t>LT-069184-19/KI</t>
  </si>
  <si>
    <t>LT-050282-19/RI</t>
  </si>
  <si>
    <t>LT-003594-19/BX</t>
  </si>
  <si>
    <t>LT-065959-19/KI</t>
  </si>
  <si>
    <t>LT-035387-19/BX</t>
  </si>
  <si>
    <t>LT-031637-18/BX</t>
  </si>
  <si>
    <t>LT-054723-19/NY</t>
  </si>
  <si>
    <t>LT-078213-18/KI</t>
  </si>
  <si>
    <t>LT-097401-18/KI</t>
  </si>
  <si>
    <t>LT-250785-19/NY</t>
  </si>
  <si>
    <t>LT-083775-19/KI</t>
  </si>
  <si>
    <t>None yet</t>
  </si>
  <si>
    <t>LT-063852-16/KI</t>
  </si>
  <si>
    <t>21392/2014</t>
  </si>
  <si>
    <t>300015/2019</t>
  </si>
  <si>
    <t>LT-094810-18/KI</t>
  </si>
  <si>
    <t>no case as of 12/13/18</t>
  </si>
  <si>
    <t>LT-052240-19/RI</t>
  </si>
  <si>
    <t>LT-048819-18/BX</t>
  </si>
  <si>
    <t>LT-060978-19/QU</t>
  </si>
  <si>
    <t>LT-063303-19/KI</t>
  </si>
  <si>
    <t>LT-094811-18/KI</t>
  </si>
  <si>
    <t>LT-070144-18/KI</t>
  </si>
  <si>
    <t>LT-070740-17/BX</t>
  </si>
  <si>
    <t>LT-062598-17/NY</t>
  </si>
  <si>
    <t>LT-050040-19/RI</t>
  </si>
  <si>
    <t>LT-056134-18/KI</t>
  </si>
  <si>
    <t>LT-059077-19/KI</t>
  </si>
  <si>
    <t>LT-075190-19/KI</t>
  </si>
  <si>
    <t>LT-004368-18/BX</t>
  </si>
  <si>
    <t>LT-027413-19/BX</t>
  </si>
  <si>
    <t>LT-068477-15/NY</t>
  </si>
  <si>
    <t>FR-210083-S</t>
  </si>
  <si>
    <t>LT-061510-18/QU</t>
  </si>
  <si>
    <t>LT-087511-16/KI</t>
  </si>
  <si>
    <t>LT-020170-18/BX</t>
  </si>
  <si>
    <t>LT-050922-19/RI</t>
  </si>
  <si>
    <t>155/18</t>
  </si>
  <si>
    <t>LT-420401-16/BX</t>
  </si>
  <si>
    <t>042029/2016</t>
  </si>
  <si>
    <t>LT-063023-17/BX</t>
  </si>
  <si>
    <t>LT-063289-19/QU</t>
  </si>
  <si>
    <t>LT-022754-18/BX</t>
  </si>
  <si>
    <t>LT-050497-19/RI</t>
  </si>
  <si>
    <t>LT-052910-17/RI</t>
  </si>
  <si>
    <t>LT-071791-19/KI</t>
  </si>
  <si>
    <t>LT-066906-19/QU</t>
  </si>
  <si>
    <t>LT-068503-19/QU</t>
  </si>
  <si>
    <t>GR-210001-B</t>
  </si>
  <si>
    <t>LT-052693-17/BX</t>
  </si>
  <si>
    <t>LT-079168-19/KI</t>
  </si>
  <si>
    <t>LT-057519-19/NY</t>
  </si>
  <si>
    <t>LT-782831-18/KI</t>
  </si>
  <si>
    <t>GS-610032-R</t>
  </si>
  <si>
    <t>LT-071623-17/BX</t>
  </si>
  <si>
    <t>LT-056511-19/QU</t>
  </si>
  <si>
    <t>LT-068891-18/BX</t>
  </si>
  <si>
    <t>LT-096205-18/KI</t>
  </si>
  <si>
    <t>LT-066271-19/KI</t>
  </si>
  <si>
    <t>LT-034793-17/BX</t>
  </si>
  <si>
    <t>LT-064510-19/QU</t>
  </si>
  <si>
    <t>CT-130020-B</t>
  </si>
  <si>
    <t>LT-091336-18/KI</t>
  </si>
  <si>
    <t>LT-062485-19/NY</t>
  </si>
  <si>
    <t>LT-035751-19/BX</t>
  </si>
  <si>
    <t>LT-050690-19/RI</t>
  </si>
  <si>
    <t>42029/2016E</t>
  </si>
  <si>
    <t>LT-053716-18/QU</t>
  </si>
  <si>
    <t>LT-250503/17/NY</t>
  </si>
  <si>
    <t>LT: 46862/2019</t>
  </si>
  <si>
    <t>LT-252431-18/NY</t>
  </si>
  <si>
    <t>GR-210054-S</t>
  </si>
  <si>
    <t>LT-050671-17/RI</t>
  </si>
  <si>
    <t>LT-077591-19/KI</t>
  </si>
  <si>
    <t>ET-130078-OM</t>
  </si>
  <si>
    <t>LT-092515-17/KI</t>
  </si>
  <si>
    <t>LT-021051-19/BX</t>
  </si>
  <si>
    <t>LT-052349-18/KI</t>
  </si>
  <si>
    <t>LT-250863-18/NY</t>
  </si>
  <si>
    <t>HP 671/16</t>
  </si>
  <si>
    <t>LT-056490-19/KI</t>
  </si>
  <si>
    <t>LT-085454-16/NY</t>
  </si>
  <si>
    <t>LT-103852-15/KI</t>
  </si>
  <si>
    <t>LT-085659-18/KI</t>
  </si>
  <si>
    <t>LT-052162-18/BX</t>
  </si>
  <si>
    <t>LT-082231-17/NY</t>
  </si>
  <si>
    <t>LT-037648-18/BX</t>
  </si>
  <si>
    <t>LT-070975-19/KI</t>
  </si>
  <si>
    <t>LT-051296-19/RI</t>
  </si>
  <si>
    <t>LT-074147-17/QU</t>
  </si>
  <si>
    <t>LT-023121-18/BX</t>
  </si>
  <si>
    <t>FR-210108-S</t>
  </si>
  <si>
    <t>LT-065072-18/KI</t>
  </si>
  <si>
    <t>LT-064351-17/KI</t>
  </si>
  <si>
    <t>LT-250778-17/NY</t>
  </si>
  <si>
    <t>LT-074207-19/KI</t>
  </si>
  <si>
    <t>LT-067376-18/KI</t>
  </si>
  <si>
    <t>LT-055068-19/NY</t>
  </si>
  <si>
    <t>LT-074016-19/QU</t>
  </si>
  <si>
    <t>LT-068527-19/QU</t>
  </si>
  <si>
    <t>LT-075621-18/NY</t>
  </si>
  <si>
    <t>LT-055849-17/NY</t>
  </si>
  <si>
    <t>LT-053712-18/RI</t>
  </si>
  <si>
    <t>LT-023352-19/BX</t>
  </si>
  <si>
    <t>LT-063663-19/KI</t>
  </si>
  <si>
    <t>LT-019186-19/BX</t>
  </si>
  <si>
    <t xml:space="preserve">LT-015989-19/BX </t>
  </si>
  <si>
    <t>LT-051691-19/RI</t>
  </si>
  <si>
    <t>LT-059574-19/KI</t>
  </si>
  <si>
    <t>LT-051901-19/RI</t>
  </si>
  <si>
    <t>98611-AN-2018</t>
  </si>
  <si>
    <t>LT-062870-19/QU</t>
  </si>
  <si>
    <t>LT-1860-18/NY</t>
  </si>
  <si>
    <t>LT-018762-17/NY</t>
  </si>
  <si>
    <t>LT-050646-19/RI</t>
  </si>
  <si>
    <t>LT-051926-19/BX</t>
  </si>
  <si>
    <t>LT-070979-19/QU</t>
  </si>
  <si>
    <t>HQ-610020-B</t>
  </si>
  <si>
    <t>LT-068003-19/NY</t>
  </si>
  <si>
    <t>LT-059281-18/QU</t>
  </si>
  <si>
    <t>LT-075242-16/KI</t>
  </si>
  <si>
    <t>LT-080056-17/NY</t>
  </si>
  <si>
    <t>FR-210085-S</t>
  </si>
  <si>
    <t>LT-070871-18/QU</t>
  </si>
  <si>
    <t>LT-053292-17/RI</t>
  </si>
  <si>
    <t>LT-031016-19/BX</t>
  </si>
  <si>
    <t>LT-016036-19/BX</t>
  </si>
  <si>
    <t>LT-063530-19/NY</t>
  </si>
  <si>
    <t>LT-069318-17/BX</t>
  </si>
  <si>
    <t>LT-056823-19/QU</t>
  </si>
  <si>
    <t>LT-076720-17/KI</t>
  </si>
  <si>
    <t>LT-061454-17/BX</t>
  </si>
  <si>
    <t>LT-063687-19/KI</t>
  </si>
  <si>
    <t>LT-070880-18/QU</t>
  </si>
  <si>
    <t>LT-051689-19/RI</t>
  </si>
  <si>
    <t>LT-059900-19/NY</t>
  </si>
  <si>
    <t>LT-064593-19/KI</t>
  </si>
  <si>
    <t>LT-064890-19/QU</t>
  </si>
  <si>
    <t>HT-110017-RV</t>
  </si>
  <si>
    <t>LT-057674-19/QU</t>
  </si>
  <si>
    <t>Will provide</t>
  </si>
  <si>
    <t>appeal number</t>
  </si>
  <si>
    <t>FPC#0615864</t>
  </si>
  <si>
    <t>LT-250862-18/NY</t>
  </si>
  <si>
    <t>LT-051693-17/KI</t>
  </si>
  <si>
    <t>LT-051635-18/RI</t>
  </si>
  <si>
    <t>LT-04976-17/BX</t>
  </si>
  <si>
    <t>LT-094758-17/KI</t>
  </si>
  <si>
    <t>LT-095560-18/KI</t>
  </si>
  <si>
    <t>LT-059214-19/QU</t>
  </si>
  <si>
    <t>LT-051451-19/RI</t>
  </si>
  <si>
    <t>LT-066730-19/KI</t>
  </si>
  <si>
    <t>LT-000149-18/RI</t>
  </si>
  <si>
    <t>LT-057233-18/BX</t>
  </si>
  <si>
    <t>LT-040718-17/BX</t>
  </si>
  <si>
    <t>LT-014073-18/QU</t>
  </si>
  <si>
    <t>LT-014187-18/QU</t>
  </si>
  <si>
    <t>LT-014225-18/QU</t>
  </si>
  <si>
    <t>LT-060153-19/QU</t>
  </si>
  <si>
    <t>521089(SC)</t>
  </si>
  <si>
    <t>LT-004552-19/KI</t>
  </si>
  <si>
    <t>LT-050929-16/KI</t>
  </si>
  <si>
    <t>LT-084987-16/NY</t>
  </si>
  <si>
    <t>LT-062512-18/BX</t>
  </si>
  <si>
    <t>81895/17</t>
  </si>
  <si>
    <t>LT-050619-19/RI</t>
  </si>
  <si>
    <t>LT-069358-19/KI</t>
  </si>
  <si>
    <t>LT-092672-18/KI</t>
  </si>
  <si>
    <t>LT-059937-19/NY</t>
  </si>
  <si>
    <t>LT-064009-19/QU</t>
  </si>
  <si>
    <t>711397/2019</t>
  </si>
  <si>
    <t>M-H-Z-19-71808</t>
  </si>
  <si>
    <t>LT-094203-18/KI</t>
  </si>
  <si>
    <t>LT-060954-19/QU</t>
  </si>
  <si>
    <t>LT-055799-18/KI</t>
  </si>
  <si>
    <t>LT-069019-19/QU</t>
  </si>
  <si>
    <t>LT-083961-18/KI</t>
  </si>
  <si>
    <t>LT-064740-18/KI</t>
  </si>
  <si>
    <t>LT-000136-18/NY</t>
  </si>
  <si>
    <t>LT-064934-19/QU</t>
  </si>
  <si>
    <t>LT-001875-17/KI</t>
  </si>
  <si>
    <t>LT-067374-17/KI</t>
  </si>
  <si>
    <t>LT-077610-19/KI</t>
  </si>
  <si>
    <t>LT-017260-19/BX</t>
  </si>
  <si>
    <t>LT-062485-19/KI</t>
  </si>
  <si>
    <t>LT-11164/16-QU</t>
  </si>
  <si>
    <t>HR-120064-S</t>
  </si>
  <si>
    <t>CV-017856-19/KI</t>
  </si>
  <si>
    <t>SC 14-2018-QU</t>
  </si>
  <si>
    <t>30557-SCQ-2017</t>
  </si>
  <si>
    <t>LT-051355-18/BX</t>
  </si>
  <si>
    <t>LT-055621-17/KI</t>
  </si>
  <si>
    <t>LT-051326-19/RI</t>
  </si>
  <si>
    <t>6612-19</t>
  </si>
  <si>
    <t>LT-064502-19/QU</t>
  </si>
  <si>
    <t>BQ-410045-R</t>
  </si>
  <si>
    <t>S24355</t>
  </si>
  <si>
    <t>CV 07908/18</t>
  </si>
  <si>
    <t>LT-063534-19/QU</t>
  </si>
  <si>
    <t>LT-069256-19/KI</t>
  </si>
  <si>
    <t>LT-059492-19/KI</t>
  </si>
  <si>
    <t>LT-054384-17/NY</t>
  </si>
  <si>
    <t>no current case</t>
  </si>
  <si>
    <t>LT-56821-16/QU</t>
  </si>
  <si>
    <t>LT-077440-19/KI</t>
  </si>
  <si>
    <t>LT-062779-19/NY</t>
  </si>
  <si>
    <t>LT-065791-18/QU</t>
  </si>
  <si>
    <t>LT-058353-19/KI</t>
  </si>
  <si>
    <t>LT-023403-19/BX</t>
  </si>
  <si>
    <t>LT-050367-19/RI</t>
  </si>
  <si>
    <t>LT-051537-19/RI</t>
  </si>
  <si>
    <t>LT-059715-19/NY</t>
  </si>
  <si>
    <t>LT-077998-17/NY</t>
  </si>
  <si>
    <t>LT-075708-17/QU</t>
  </si>
  <si>
    <t>LT-032896-18/BX</t>
  </si>
  <si>
    <t>LT-051784-19/RI</t>
  </si>
  <si>
    <t>DU-610007-OM</t>
  </si>
  <si>
    <t>LT-069569-18/QU</t>
  </si>
  <si>
    <t>LT-064408-19/NY</t>
  </si>
  <si>
    <t>LT-068930-17/KI</t>
  </si>
  <si>
    <t>LT-024796-17/BX</t>
  </si>
  <si>
    <t>LT-069604-16/BX</t>
  </si>
  <si>
    <t>LT-051777-17/RI</t>
  </si>
  <si>
    <t>LT-063787-18/QU</t>
  </si>
  <si>
    <t>LT-062630-19/QU</t>
  </si>
  <si>
    <t>M-H-G-17-27485</t>
  </si>
  <si>
    <t>LT-064518-19/QU</t>
  </si>
  <si>
    <t>LT-078069-19/KI</t>
  </si>
  <si>
    <t>LT-002013-15/KI</t>
  </si>
  <si>
    <t>LT-053585-18/NY</t>
  </si>
  <si>
    <t>LT-062852-19/QU</t>
  </si>
  <si>
    <t>LT-079700-18/NY</t>
  </si>
  <si>
    <t>LT-013741-18/BX</t>
  </si>
  <si>
    <t>LT-093578-18/KI</t>
  </si>
  <si>
    <t>LT-028334-18/BX</t>
  </si>
  <si>
    <t>LT-001259-18/NY</t>
  </si>
  <si>
    <t>LT-063791-18/NY</t>
  </si>
  <si>
    <t>LT-052949-17/RI</t>
  </si>
  <si>
    <t>GQ-610014-B</t>
  </si>
  <si>
    <t>LT-060424-17/BX</t>
  </si>
  <si>
    <t>LT-050186-19/RI</t>
  </si>
  <si>
    <t>FV-110029-RT</t>
  </si>
  <si>
    <t>LT-019679-18/BX</t>
  </si>
  <si>
    <t>M-H-G-16-1032856</t>
  </si>
  <si>
    <t>LT-089058-18/KI</t>
  </si>
  <si>
    <t>LT-073312-17/BX</t>
  </si>
  <si>
    <t>LT-070434-19/QU</t>
  </si>
  <si>
    <t>LT-051546-19/RI</t>
  </si>
  <si>
    <t>LT-078007-17/KI</t>
  </si>
  <si>
    <t>LT-074637-18/QU</t>
  </si>
  <si>
    <t>LT-057400-19/QU</t>
  </si>
  <si>
    <t>LT-63480-18/BX</t>
  </si>
  <si>
    <t>LT-065702-19/QU</t>
  </si>
  <si>
    <t>LT-056277-18/BX</t>
  </si>
  <si>
    <t>LT-066796-16/KI</t>
  </si>
  <si>
    <t>LT-251107-19/NY</t>
  </si>
  <si>
    <t>LT-061130-19/QU</t>
  </si>
  <si>
    <t>LT-077157-19/KI</t>
  </si>
  <si>
    <t>SC-451014-19/NY</t>
  </si>
  <si>
    <t>LT-071783-15/KI</t>
  </si>
  <si>
    <t>LT-50122-16/QU</t>
  </si>
  <si>
    <t>LT-050649-18/QU</t>
  </si>
  <si>
    <t>LT-073109-19/KI</t>
  </si>
  <si>
    <t>LT-013927-16/BX</t>
  </si>
  <si>
    <t>LT-058318-19/KI</t>
  </si>
  <si>
    <t>LT-078530-18/KI</t>
  </si>
  <si>
    <t>LT-063305-19/KI</t>
  </si>
  <si>
    <t>LT-038081-18/BX</t>
  </si>
  <si>
    <t>LT-074630-17/NY</t>
  </si>
  <si>
    <t>LT-076161-18/QU</t>
  </si>
  <si>
    <t>LT-060069-18/QU</t>
  </si>
  <si>
    <t>LT-054816-19/KI</t>
  </si>
  <si>
    <t>LT-005278-19/BX</t>
  </si>
  <si>
    <t>LT-066112-19/KI</t>
  </si>
  <si>
    <t>GT-310007-RO</t>
  </si>
  <si>
    <t>LT-59931-16/QU</t>
  </si>
  <si>
    <t>LT-082830-19/KI</t>
  </si>
  <si>
    <t>064266/2015</t>
  </si>
  <si>
    <t>LT-077550-18/QU</t>
  </si>
  <si>
    <t>LT-057176-19/KI</t>
  </si>
  <si>
    <t>GV-230153-OR</t>
  </si>
  <si>
    <t>LT-073171-18/QU</t>
  </si>
  <si>
    <t>LT-069910-19/NY</t>
  </si>
  <si>
    <t>LT-058825-18/NY</t>
  </si>
  <si>
    <t>HP-003539-18/KI</t>
  </si>
  <si>
    <t>LT-041049-18/BX</t>
  </si>
  <si>
    <t>LT-000361-19/NY</t>
  </si>
  <si>
    <t>LT-016946-19/BX</t>
  </si>
  <si>
    <t>LT-064385-19/QU</t>
  </si>
  <si>
    <t>LT-103276-11/KI</t>
  </si>
  <si>
    <t>LT-050720-19/RI</t>
  </si>
  <si>
    <t>LT-059177-19/QU</t>
  </si>
  <si>
    <t>LT-062103-19/NY</t>
  </si>
  <si>
    <t>LT-068935-16/KI</t>
  </si>
  <si>
    <t>no case as of 3/1/19</t>
  </si>
  <si>
    <t>LT-019907-19/BX</t>
  </si>
  <si>
    <t>LT-040086-19/BX</t>
  </si>
  <si>
    <t>LT-050985-19/RI</t>
  </si>
  <si>
    <t>LT-085502-17/KI</t>
  </si>
  <si>
    <t>LT-058760-18/QU</t>
  </si>
  <si>
    <t>LT-051366-19/QU</t>
  </si>
  <si>
    <t>FU-410110-S</t>
  </si>
  <si>
    <t>LT-063716-19/QU</t>
  </si>
  <si>
    <t>LT-053145-18/RI</t>
  </si>
  <si>
    <t>LT-096618-18/KI</t>
  </si>
  <si>
    <t>LT-06300-18/QU</t>
  </si>
  <si>
    <t>LT-081490-18/KI</t>
  </si>
  <si>
    <t>LT-020777-19/BX</t>
  </si>
  <si>
    <t>LT-064640-19/QU</t>
  </si>
  <si>
    <t>LT-006070-17/NY</t>
  </si>
  <si>
    <t>LT-200224-19/NY</t>
  </si>
  <si>
    <t>17N006073</t>
  </si>
  <si>
    <t>LT-052052-18/NY</t>
  </si>
  <si>
    <t>LT-053757-19/QU</t>
  </si>
  <si>
    <t>LT-007171-18/BX</t>
  </si>
  <si>
    <t>LT-056564-19/QU</t>
  </si>
  <si>
    <t>LT-082168-18/KI</t>
  </si>
  <si>
    <t>LT-030606-18/BX</t>
  </si>
  <si>
    <t>LT-022658-17/BX</t>
  </si>
  <si>
    <t>LT-252448-19/NY</t>
  </si>
  <si>
    <t>LT-251528-18/NY</t>
  </si>
  <si>
    <t>LT-056831-17/NY</t>
  </si>
  <si>
    <t>LT-060102-18/NY</t>
  </si>
  <si>
    <t>LT-063791-19/QU</t>
  </si>
  <si>
    <t>LT-065845-19/19</t>
  </si>
  <si>
    <t>LT-097655-16/KI</t>
  </si>
  <si>
    <t>LT-081367-19/KI</t>
  </si>
  <si>
    <t>LT-097407-18/KI</t>
  </si>
  <si>
    <t>LT-066745-18/KI</t>
  </si>
  <si>
    <t>LT 00455/2018</t>
  </si>
  <si>
    <t>LT-067831-17/NY</t>
  </si>
  <si>
    <t>LT-011742-19/QU</t>
  </si>
  <si>
    <t>LT-054692-19/NY</t>
  </si>
  <si>
    <t>LT-011313-18/RI</t>
  </si>
  <si>
    <t>LT-008914-15/NY</t>
  </si>
  <si>
    <t>LT-073766-18/QU</t>
  </si>
  <si>
    <t>LT-037612-19/BX</t>
  </si>
  <si>
    <t>LT-050841-19/RI</t>
  </si>
  <si>
    <t>LT-074071-18/KI</t>
  </si>
  <si>
    <t xml:space="preserve">LT-085567-18/KI </t>
  </si>
  <si>
    <t>LT-001380-19/BX</t>
  </si>
  <si>
    <t>LT-061701-19/KI</t>
  </si>
  <si>
    <t>LT-077855-19/KI</t>
  </si>
  <si>
    <t>LT-051018-19/RI</t>
  </si>
  <si>
    <t>LT-083963-18/KI</t>
  </si>
  <si>
    <t>No Case yet</t>
  </si>
  <si>
    <t>LT-096652-18/KI</t>
  </si>
  <si>
    <t>CV 045613-10/NY</t>
  </si>
  <si>
    <t>LT-76674-16/QU</t>
  </si>
  <si>
    <t>LT-050470-19/QU</t>
  </si>
  <si>
    <t>LT-065200-19/KI</t>
  </si>
  <si>
    <t>LT-071939-17/QU</t>
  </si>
  <si>
    <t>LT-063289-19/KI</t>
  </si>
  <si>
    <t>LT-051320-19/RI</t>
  </si>
  <si>
    <t>LT-060728-19/QU</t>
  </si>
  <si>
    <t>LT-050675-18/BX</t>
  </si>
  <si>
    <t>LT-064850-18/KI</t>
  </si>
  <si>
    <t>DU-610011-OM</t>
  </si>
  <si>
    <t>LT-075052-18/QU</t>
  </si>
  <si>
    <t>LT-061857-19/QU</t>
  </si>
  <si>
    <t>LT-054705-19/KI</t>
  </si>
  <si>
    <t>LT-082427-18/KI</t>
  </si>
  <si>
    <t>LT-057814-19/NY</t>
  </si>
  <si>
    <t>LT-062028-19/QU</t>
  </si>
  <si>
    <t>LT-064584-19/KI</t>
  </si>
  <si>
    <t>LT-050512-19/RI</t>
  </si>
  <si>
    <t>LT-088140-18/KI</t>
  </si>
  <si>
    <t>LT-059882-18/NY</t>
  </si>
  <si>
    <t>LT-059007-19/KI</t>
  </si>
  <si>
    <t>LT-600905-16/KI</t>
  </si>
  <si>
    <t>85560/2015</t>
  </si>
  <si>
    <t>075828/2018</t>
  </si>
  <si>
    <t>70426/18</t>
  </si>
  <si>
    <t>LT-073946-19/KI</t>
  </si>
  <si>
    <t>LT-055688-18/KI</t>
  </si>
  <si>
    <t>LT-077331-19/KI</t>
  </si>
  <si>
    <t>LT-064728-19/KI</t>
  </si>
  <si>
    <t>LT-071130-19/QU</t>
  </si>
  <si>
    <t>LT-067339-18/NY</t>
  </si>
  <si>
    <t>LT-251483-16/NY</t>
  </si>
  <si>
    <t>LT-066176-18/NY</t>
  </si>
  <si>
    <t>LT-034283-19/BX</t>
  </si>
  <si>
    <t>LT-019054-19/BX</t>
  </si>
  <si>
    <t>LT-000811-19/QU</t>
  </si>
  <si>
    <t>LT-066423-19/QU</t>
  </si>
  <si>
    <t>LT-058629-19/KI</t>
  </si>
  <si>
    <t>LT-065317-19/KI</t>
  </si>
  <si>
    <t>LT-050339-19/QU</t>
  </si>
  <si>
    <t>LT-076706-18/QU</t>
  </si>
  <si>
    <t>LT-062212-17/KI</t>
  </si>
  <si>
    <t>LT-050725-19/RI</t>
  </si>
  <si>
    <t>LT-052139-19/RI</t>
  </si>
  <si>
    <t>LT-252378-18/NY</t>
  </si>
  <si>
    <t>LT-054966-19/QU</t>
  </si>
  <si>
    <t>HR-610005-B</t>
  </si>
  <si>
    <t>D7869</t>
  </si>
  <si>
    <t>LT-058934-17/NY</t>
  </si>
  <si>
    <t>LT-038093-17/BX</t>
  </si>
  <si>
    <t>LT-070273-18/KI</t>
  </si>
  <si>
    <t>LT-061015-17/NY</t>
  </si>
  <si>
    <t>LT-055921-18/KI</t>
  </si>
  <si>
    <t>HP-210189-S</t>
  </si>
  <si>
    <t>LT-072671-18/KI</t>
  </si>
  <si>
    <t>LT-051492-19/RI</t>
  </si>
  <si>
    <t>LT-053659-19/NY</t>
  </si>
  <si>
    <t>LT-001619-19/KI</t>
  </si>
  <si>
    <t>29959-17</t>
  </si>
  <si>
    <t>LT-009744-18/BX</t>
  </si>
  <si>
    <t>LT-080728-19/KI</t>
  </si>
  <si>
    <t>GQ-430054-RT</t>
  </si>
  <si>
    <t>GP-410046-B</t>
  </si>
  <si>
    <t>LT-070890-18/QU</t>
  </si>
  <si>
    <t>LT-075956-18/KI</t>
  </si>
  <si>
    <t>LT-054139-17/BX</t>
  </si>
  <si>
    <t>LT-064911-19/QU</t>
  </si>
  <si>
    <t>LT-074644-19/KI</t>
  </si>
  <si>
    <t>LT-074317-19/KI</t>
  </si>
  <si>
    <t>LT-004227-19/BX</t>
  </si>
  <si>
    <t>LT-051516-19/RI</t>
  </si>
  <si>
    <t>no case of August 9, 2019</t>
  </si>
  <si>
    <t>CV06296-19</t>
  </si>
  <si>
    <t>LT-077664-19/KI</t>
  </si>
  <si>
    <t>LT-053907-18/NY</t>
  </si>
  <si>
    <t>LT-060984-18/BX</t>
  </si>
  <si>
    <t>LT-087321-18/KI</t>
  </si>
  <si>
    <t>LT-068180-19/KI</t>
  </si>
  <si>
    <t>LT-052064-19/RI</t>
  </si>
  <si>
    <t>LT-051465-19/RT</t>
  </si>
  <si>
    <t>LT-069431-18/QU</t>
  </si>
  <si>
    <t>LT-001433-19/KI</t>
  </si>
  <si>
    <t>LT-003794-17/BX</t>
  </si>
  <si>
    <t>LT-059617-19/QU</t>
  </si>
  <si>
    <t>LT-075894-19/KI</t>
  </si>
  <si>
    <t>LT-73248-19/KI</t>
  </si>
  <si>
    <t>LT-050377-19/RI</t>
  </si>
  <si>
    <t>LT-025217-18/BX</t>
  </si>
  <si>
    <t>LT-042995-18/BX</t>
  </si>
  <si>
    <t>LT-067298-19/NY</t>
  </si>
  <si>
    <t>LT-064773-18/BX</t>
  </si>
  <si>
    <t>M-H-G-18-34527</t>
  </si>
  <si>
    <t>LT-059885-19/NY</t>
  </si>
  <si>
    <t>LT-077777-18/QU</t>
  </si>
  <si>
    <t>LT-061611-19/QU</t>
  </si>
  <si>
    <t>LT-164586-19/KI</t>
  </si>
  <si>
    <t>LT-096690-17/KI</t>
  </si>
  <si>
    <t>LT-029205-17/BX</t>
  </si>
  <si>
    <t>LT-052666-19/KI</t>
  </si>
  <si>
    <t>LT-063304-19/KI</t>
  </si>
  <si>
    <t>19-1895371</t>
  </si>
  <si>
    <t>LT-044551-19/BX</t>
  </si>
  <si>
    <t>LT-251349-19/NY</t>
  </si>
  <si>
    <t>HP-006070-17/NY</t>
  </si>
  <si>
    <t>LT-057444-19/NY</t>
  </si>
  <si>
    <t>450170/2019</t>
  </si>
  <si>
    <t>ER-410056-RT</t>
  </si>
  <si>
    <t>LT-064107-19/NY</t>
  </si>
  <si>
    <t>LT-006844-19/BX</t>
  </si>
  <si>
    <t>2017-01983 QC</t>
  </si>
  <si>
    <t>LT-252246-17/HA</t>
  </si>
  <si>
    <t>LT-065493-18/KI</t>
  </si>
  <si>
    <t>LT-062856-19/QU</t>
  </si>
  <si>
    <t>LT-051823-19/RI</t>
  </si>
  <si>
    <t>LT-075217-17/NY</t>
  </si>
  <si>
    <t>LT-016914-18/BX</t>
  </si>
  <si>
    <t>GX-110120-OM</t>
  </si>
  <si>
    <t>LT-72007-19/NY</t>
  </si>
  <si>
    <t>LT-053763-19/KI</t>
  </si>
  <si>
    <t>LT-073824-19/KI</t>
  </si>
  <si>
    <t>LT-051297-19/RI</t>
  </si>
  <si>
    <t>LT-062876-17/NY</t>
  </si>
  <si>
    <t>LT-76153-18/QU</t>
  </si>
  <si>
    <t>LT-022753-18/BX</t>
  </si>
  <si>
    <t>LT-061424-16/BX</t>
  </si>
  <si>
    <t>LT-051048-19/NY</t>
  </si>
  <si>
    <t>LT-058022-18/NY</t>
  </si>
  <si>
    <t>LT-055564-19/KI</t>
  </si>
  <si>
    <t>LT-057153-19/QU</t>
  </si>
  <si>
    <t>LT-049141-15/BX</t>
  </si>
  <si>
    <t>LT-083501-19/KI</t>
  </si>
  <si>
    <t>LT-061308-19/NY</t>
  </si>
  <si>
    <t>LT-009298-19/BX</t>
  </si>
  <si>
    <t>LT-048357-18/BX</t>
  </si>
  <si>
    <t>LT-071252-17/NY</t>
  </si>
  <si>
    <t>LT-250631-19/NY</t>
  </si>
  <si>
    <t>LT-06805-17/QU</t>
  </si>
  <si>
    <t>LT-090956-18/KI</t>
  </si>
  <si>
    <t>LT-072072-18/QU</t>
  </si>
  <si>
    <t>LT-006147-18/KI</t>
  </si>
  <si>
    <t>LT-015538-19/BX</t>
  </si>
  <si>
    <t>LT-021419-18/BX</t>
  </si>
  <si>
    <t>LT-053192-17/BX</t>
  </si>
  <si>
    <t>LT-038079-18/BX</t>
  </si>
  <si>
    <t>LT-147428-18/BX</t>
  </si>
  <si>
    <t>LT-060524-19/QU</t>
  </si>
  <si>
    <t>LT-031267-17/BX</t>
  </si>
  <si>
    <t>LT-004186-17/BX</t>
  </si>
  <si>
    <t>LT-N056068-17/NY</t>
  </si>
  <si>
    <t>LT-083874-16/NY</t>
  </si>
  <si>
    <t>LT-065009-19/QU</t>
  </si>
  <si>
    <t>LT-001912-16/KI</t>
  </si>
  <si>
    <t>LT-068258-18/QU</t>
  </si>
  <si>
    <t>LT-095270-18/KI</t>
  </si>
  <si>
    <t>LT-064609-19/KI</t>
  </si>
  <si>
    <t>LT-003929-18/KI</t>
  </si>
  <si>
    <t>LT-060570-19/NY</t>
  </si>
  <si>
    <t>LT-087861-18/KI</t>
  </si>
  <si>
    <t>LT-001631-19/KI</t>
  </si>
  <si>
    <t>LT-074239-19/KI</t>
  </si>
  <si>
    <t>LT/HP 6074/17-NY</t>
  </si>
  <si>
    <t>LT-053483-17/RI</t>
  </si>
  <si>
    <t>LT-053102-17/RI</t>
  </si>
  <si>
    <t>LT-063786-18/QU</t>
  </si>
  <si>
    <t>LT-026791-18/BX</t>
  </si>
  <si>
    <t>LT-058694-19/KI</t>
  </si>
  <si>
    <t>5479-16</t>
  </si>
  <si>
    <t>LT-062145-19/KI</t>
  </si>
  <si>
    <t>LT-082926-19/KI</t>
  </si>
  <si>
    <t>client to provide</t>
  </si>
  <si>
    <t>LT-067586-19/QU</t>
  </si>
  <si>
    <t>S17727</t>
  </si>
  <si>
    <t>LT-063199-18/BX</t>
  </si>
  <si>
    <t>LT-069262-19/KI</t>
  </si>
  <si>
    <t>LT-0701110-19/NY</t>
  </si>
  <si>
    <t>LT-056133-18/NY</t>
  </si>
  <si>
    <t>LT-000600-19/QU</t>
  </si>
  <si>
    <t>LT-066022-19/QU</t>
  </si>
  <si>
    <t>LT-071198-18/NY</t>
  </si>
  <si>
    <t>LT-066798-17/NY</t>
  </si>
  <si>
    <t>LT-074618-18/NY</t>
  </si>
  <si>
    <t>LT-050837-18/QU</t>
  </si>
  <si>
    <t>LT-66795-17/QU</t>
  </si>
  <si>
    <t>LT-064518-19/KI</t>
  </si>
  <si>
    <t>LT-075062-19/KI</t>
  </si>
  <si>
    <t>LT-082706-19/KI</t>
  </si>
  <si>
    <t>LT-082954-19/KI</t>
  </si>
  <si>
    <t>287-19/KI</t>
  </si>
  <si>
    <t>LT-082466-17/NY</t>
  </si>
  <si>
    <t>LT-082440-19/KI</t>
  </si>
  <si>
    <t>LT-069790-19/KI</t>
  </si>
  <si>
    <t>HP 2906/17</t>
  </si>
  <si>
    <t>LT-061685-19/QU</t>
  </si>
  <si>
    <t>450178/2019</t>
  </si>
  <si>
    <t>LT-080711-19/KI</t>
  </si>
  <si>
    <t>LT-070686-19/NY</t>
  </si>
  <si>
    <t>LT-078674-18/QU</t>
  </si>
  <si>
    <t>LT-052197-19/RI</t>
  </si>
  <si>
    <t>LT-068984-19/KI</t>
  </si>
  <si>
    <t>LT-069169-18/NY</t>
  </si>
  <si>
    <t>LT-051639-19/KI</t>
  </si>
  <si>
    <t>CV-064598-19/KI</t>
  </si>
  <si>
    <t>LT-032562-19/BX</t>
  </si>
  <si>
    <t>LT-052300-17/RI</t>
  </si>
  <si>
    <t>57324/16</t>
  </si>
  <si>
    <t>FS310036R</t>
  </si>
  <si>
    <t>LT-079538-18/KI</t>
  </si>
  <si>
    <t>LT-073677-18/KI</t>
  </si>
  <si>
    <t>LT-065949-18/QU</t>
  </si>
  <si>
    <t>CV  023519-17/NY</t>
  </si>
  <si>
    <t>LT-061547-19/QU</t>
  </si>
  <si>
    <t>LT-053715-18/RI</t>
  </si>
  <si>
    <t>LT-079643-16/KI</t>
  </si>
  <si>
    <t>HP-17N006070-17/NY</t>
  </si>
  <si>
    <t>LT-061006-19/QU</t>
  </si>
  <si>
    <t>LT-087369-18/KI</t>
  </si>
  <si>
    <t>LT-055726-19/KI</t>
  </si>
  <si>
    <t>LT-062457-19/KI</t>
  </si>
  <si>
    <t>LT-057814-18/BX</t>
  </si>
  <si>
    <t>LT-065463-19/QU</t>
  </si>
  <si>
    <t>LT-081762-18/KI</t>
  </si>
  <si>
    <t>LT-251121-19/NY</t>
  </si>
  <si>
    <t>LT-086190-18/KI</t>
  </si>
  <si>
    <t>LT-068560-18/KI</t>
  </si>
  <si>
    <t>037984/2018</t>
  </si>
  <si>
    <t>LT-002608-18/KI</t>
  </si>
  <si>
    <t>GR-610030-R</t>
  </si>
  <si>
    <t>LT R19052519</t>
  </si>
  <si>
    <t>LT-093875-18/KI</t>
  </si>
  <si>
    <t>459/2019</t>
  </si>
  <si>
    <t>GR-210052-S</t>
  </si>
  <si>
    <t>LT-000088/18-RI</t>
  </si>
  <si>
    <t>LT-076743-18/KI</t>
  </si>
  <si>
    <t>LT-088600-18/KI</t>
  </si>
  <si>
    <t>LT 081197-19/KI</t>
  </si>
  <si>
    <t>004196/2018</t>
  </si>
  <si>
    <t>LT-064914-16/KI</t>
  </si>
  <si>
    <t>GX-110048-R</t>
  </si>
  <si>
    <t>LT-067845-19/QU</t>
  </si>
  <si>
    <t>LT-053039-19/QU</t>
  </si>
  <si>
    <t>LT-052273-19/QU</t>
  </si>
  <si>
    <t>LT-095269-18/KI</t>
  </si>
  <si>
    <t>LT-062844-19/KI</t>
  </si>
  <si>
    <t>LT-061550-19/NY</t>
  </si>
  <si>
    <t>LT-006976-19/BX</t>
  </si>
  <si>
    <t>LT-087327-18/KI</t>
  </si>
  <si>
    <t>18N001743</t>
  </si>
  <si>
    <t>FQ430002RO</t>
  </si>
  <si>
    <t>LT-086504-18/KI</t>
  </si>
  <si>
    <t>LT-079443-17/KI</t>
  </si>
  <si>
    <t>LT-079382-17/KI</t>
  </si>
  <si>
    <t>LT-062243-19/QU</t>
  </si>
  <si>
    <t>LT-002246-17/KI</t>
  </si>
  <si>
    <t>LT-053280-19/QU</t>
  </si>
  <si>
    <t>LT-565552-19/QU</t>
  </si>
  <si>
    <t>LT-055149-19/NY</t>
  </si>
  <si>
    <t>LT-022424-17/BX</t>
  </si>
  <si>
    <t>LT-050716-19/RI</t>
  </si>
  <si>
    <t>LT-083464-18/KI</t>
  </si>
  <si>
    <t>LT-082955-18/KI</t>
  </si>
  <si>
    <t>LT-065486-19/QU</t>
  </si>
  <si>
    <t>LT-073648-18/KI</t>
  </si>
  <si>
    <t>LT-021098-17/BX</t>
  </si>
  <si>
    <t>LT-018345-17/BX</t>
  </si>
  <si>
    <t>LT-038795-18/BX</t>
  </si>
  <si>
    <t>LT-029158-18/BX</t>
  </si>
  <si>
    <t>LT-001882-19/BX</t>
  </si>
  <si>
    <t>LT-064823-17/BX</t>
  </si>
  <si>
    <t>LT-061707-19/KI</t>
  </si>
  <si>
    <t>LT-078379-19/KI</t>
  </si>
  <si>
    <t>LT-050792-19/RI</t>
  </si>
  <si>
    <t>LT-000198-18/KI</t>
  </si>
  <si>
    <t>no case as of March 2017</t>
  </si>
  <si>
    <t>LT-060758-18/KI</t>
  </si>
  <si>
    <t>LT-062081-19/QU</t>
  </si>
  <si>
    <t>LT-071983-19/KI</t>
  </si>
  <si>
    <t>LT-025352-19/BX</t>
  </si>
  <si>
    <t>LT-064944-19/NY</t>
  </si>
  <si>
    <t>LT-096694-18/KI</t>
  </si>
  <si>
    <t>LT-051778-19/RI</t>
  </si>
  <si>
    <t>LT-061985-18/NY</t>
  </si>
  <si>
    <t>LT-055447-18/KI</t>
  </si>
  <si>
    <t>LT-050533-15/KI</t>
  </si>
  <si>
    <t>LT-072237-19/KI</t>
  </si>
  <si>
    <t>068452/19</t>
  </si>
  <si>
    <t>LT-000278-19/KI</t>
  </si>
  <si>
    <t>LT-051730-19/RI</t>
  </si>
  <si>
    <t>LT-250726-19/NY</t>
  </si>
  <si>
    <t>LT-051015-19/RI</t>
  </si>
  <si>
    <t>LT-72321-18/QU</t>
  </si>
  <si>
    <t>LT-066296-18/KI</t>
  </si>
  <si>
    <t>5201089/17(SC)</t>
  </si>
  <si>
    <t>LT-072276-16/BX</t>
  </si>
  <si>
    <t>LT-052566-18/NY</t>
  </si>
  <si>
    <t>LT-159854-18/BX</t>
  </si>
  <si>
    <t>LT-006354-19/QU</t>
  </si>
  <si>
    <t>LT-050779-19/RI</t>
  </si>
  <si>
    <t>LT-058478-18/NY</t>
  </si>
  <si>
    <t>LT-043271-16/BX</t>
  </si>
  <si>
    <t>LT-060394-19/NY</t>
  </si>
  <si>
    <t>504119/2019</t>
  </si>
  <si>
    <t>LT-056804-19/QU</t>
  </si>
  <si>
    <t>LT-055797-19/KI</t>
  </si>
  <si>
    <t>055797/19</t>
  </si>
  <si>
    <t>LT-004288-19/BX</t>
  </si>
  <si>
    <t>LT-063661-19/KI</t>
  </si>
  <si>
    <t>LT-050930-19/RI</t>
  </si>
  <si>
    <t>LT-058392-15/KI</t>
  </si>
  <si>
    <t>LT-083037-18/KI</t>
  </si>
  <si>
    <t>LT-052530-18/RI</t>
  </si>
  <si>
    <t>LT-071218-18/NY</t>
  </si>
  <si>
    <t>LT-1516-19/KI</t>
  </si>
  <si>
    <t>LT-077405-18/KI</t>
  </si>
  <si>
    <t>LT-077105-19/KI</t>
  </si>
  <si>
    <t>CV-450609-19/NY</t>
  </si>
  <si>
    <t>LT-027466-18/BX</t>
  </si>
  <si>
    <t>LT-067575-18/QU</t>
  </si>
  <si>
    <t>LT-251335-19/NY</t>
  </si>
  <si>
    <t>LT-051565-18/KI</t>
  </si>
  <si>
    <t>LT-052291-19/RI</t>
  </si>
  <si>
    <t>FR-210106-S</t>
  </si>
  <si>
    <t>LT-069112-19/KI</t>
  </si>
  <si>
    <t>LT-068244-19/KI</t>
  </si>
  <si>
    <t>LT-074234-19/KI</t>
  </si>
  <si>
    <t>LT-080878-18/KI</t>
  </si>
  <si>
    <t>LT-094059-18/KI</t>
  </si>
  <si>
    <t>LT-055931-18/KI</t>
  </si>
  <si>
    <t>LT-060417-18/KI</t>
  </si>
  <si>
    <t>LT-053906-19/KI</t>
  </si>
  <si>
    <t>LT-064089-19/NY</t>
  </si>
  <si>
    <t>DM-210004-AD</t>
  </si>
  <si>
    <t>LT-071177-19/KI</t>
  </si>
  <si>
    <t>LT-048748-19/BX</t>
  </si>
  <si>
    <t>LT-006480-18/KI</t>
  </si>
  <si>
    <t>LT-058237-19/NY</t>
  </si>
  <si>
    <t>LT-508470-19/KI</t>
  </si>
  <si>
    <t>1717/16</t>
  </si>
  <si>
    <t>LT-066319-19/KI</t>
  </si>
  <si>
    <t>LT-077952-19/KI</t>
  </si>
  <si>
    <t>LT-078066-19/KI</t>
  </si>
  <si>
    <t>LT-151135-17/RI</t>
  </si>
  <si>
    <t>LT-059152-19/NY</t>
  </si>
  <si>
    <t>LT-057887-19/NY</t>
  </si>
  <si>
    <t>LT-093193-18/KI</t>
  </si>
  <si>
    <t>LT-060296-19/NY</t>
  </si>
  <si>
    <t>LT-006082-17/NY</t>
  </si>
  <si>
    <t>LT-056691-19/NY</t>
  </si>
  <si>
    <t>HN-110017-OM</t>
  </si>
  <si>
    <t>HV-410010-B</t>
  </si>
  <si>
    <t>LT-200024-19/NY</t>
  </si>
  <si>
    <t>LT-067408-18/NY</t>
  </si>
  <si>
    <t>LT-066661-17/NY</t>
  </si>
  <si>
    <t>LT-073378-17/NY</t>
  </si>
  <si>
    <t>LT-007444-18/KI</t>
  </si>
  <si>
    <t>LT-068254-19/QU</t>
  </si>
  <si>
    <t>40822/2019</t>
  </si>
  <si>
    <t>FU-410107-S</t>
  </si>
  <si>
    <t>LT-075721-18/KI</t>
  </si>
  <si>
    <t>LT-072132-17/KI</t>
  </si>
  <si>
    <t>LT-064608-19/KI</t>
  </si>
  <si>
    <t>LT-017299-18/BX</t>
  </si>
  <si>
    <t>LT-058125-19/KI</t>
  </si>
  <si>
    <t>LT-050958-19/RI</t>
  </si>
  <si>
    <t>HM-110041-OM</t>
  </si>
  <si>
    <t>LT-063006-19/QU</t>
  </si>
  <si>
    <t>LT-250024-19/NY</t>
  </si>
  <si>
    <t>LT-060876-19/NY</t>
  </si>
  <si>
    <t>LT-023181-19/BX</t>
  </si>
  <si>
    <t>LT-092177-18/KI</t>
  </si>
  <si>
    <t>LT-103456-15/KI</t>
  </si>
  <si>
    <t>LT-074368-18/KI</t>
  </si>
  <si>
    <t>79644/16</t>
  </si>
  <si>
    <t>LT-070632-18/KI</t>
  </si>
  <si>
    <t>LT-074654-17/NY</t>
  </si>
  <si>
    <t>LT-071153-19/QU</t>
  </si>
  <si>
    <t>LT-037431-17/BX</t>
  </si>
  <si>
    <t>LT-064757-18/BX</t>
  </si>
  <si>
    <t>LT-024501-18/BX</t>
  </si>
  <si>
    <t>CV-151576-19/RI</t>
  </si>
  <si>
    <t>LT-074202-19/KI</t>
  </si>
  <si>
    <t>LT-079817-19/KI</t>
  </si>
  <si>
    <t>LT-054724-18/NY</t>
  </si>
  <si>
    <t>LT-452534-17/NY</t>
  </si>
  <si>
    <t>LT-052490-17/NY</t>
  </si>
  <si>
    <t>LT-079200-19/KI</t>
  </si>
  <si>
    <t>060836/2017</t>
  </si>
  <si>
    <t>LT-008249-19/BX</t>
  </si>
  <si>
    <t>LT-051413-19/RI</t>
  </si>
  <si>
    <t>LT-000055-19/RI</t>
  </si>
  <si>
    <t>LT-160581-18/NY</t>
  </si>
  <si>
    <t>LT-056474-19/KI</t>
  </si>
  <si>
    <t>LT-029231-19/BX</t>
  </si>
  <si>
    <t>LT--6480-18/KI</t>
  </si>
  <si>
    <t>HP-001218-18/NY</t>
  </si>
  <si>
    <t>LT-062727-17/BX</t>
  </si>
  <si>
    <t>LT-082210-16/KI</t>
  </si>
  <si>
    <t>LT-050535-15/KI</t>
  </si>
  <si>
    <t>LT-078553-19/KI</t>
  </si>
  <si>
    <t>FU-410113-S</t>
  </si>
  <si>
    <t>452978/2017</t>
  </si>
  <si>
    <t>LT-085718-16/NY</t>
  </si>
  <si>
    <t>LT-063808-19/KI</t>
  </si>
  <si>
    <t>LT-028998-19/BX</t>
  </si>
  <si>
    <t>LT-091251-18/KI</t>
  </si>
  <si>
    <t>FR-210077-S</t>
  </si>
  <si>
    <t>LT-059271-17/BX</t>
  </si>
  <si>
    <t>LT-72788-17/BX</t>
  </si>
  <si>
    <t>LT-072500-19/KI</t>
  </si>
  <si>
    <t>LT-051011-19/RI</t>
  </si>
  <si>
    <t>LT-069535-19/KI</t>
  </si>
  <si>
    <t>LT-065115-19/KI</t>
  </si>
  <si>
    <t>LT-062649-16/KI</t>
  </si>
  <si>
    <t>LT-082811-18/KI</t>
  </si>
  <si>
    <t>LT-005758-19/NY</t>
  </si>
  <si>
    <t>LT-056710-18/QU</t>
  </si>
  <si>
    <t>LT-69321/18</t>
  </si>
  <si>
    <t>HP 6073/17-NY</t>
  </si>
  <si>
    <t>LT-077394-19/KI</t>
  </si>
  <si>
    <t>LT-053861-19/QU</t>
  </si>
  <si>
    <t>LT-050845-19/RI</t>
  </si>
  <si>
    <t>LT-050509-19/RI</t>
  </si>
  <si>
    <t>LT-021068-19/BX</t>
  </si>
  <si>
    <t>LT-053872-19/KI</t>
  </si>
  <si>
    <t>LT-43242/2019</t>
  </si>
  <si>
    <t>FR-210111-S</t>
  </si>
  <si>
    <t>60057/19</t>
  </si>
  <si>
    <t>LT-080515-17/NY</t>
  </si>
  <si>
    <t>LT-086989-18/KI</t>
  </si>
  <si>
    <t>LT-021605-18/NY</t>
  </si>
  <si>
    <t>LT-3326-19/BX</t>
  </si>
  <si>
    <t>LT-062657-19/KI</t>
  </si>
  <si>
    <t>LT-088054-17/KI</t>
  </si>
  <si>
    <t>LT-045280-18/BX</t>
  </si>
  <si>
    <t>LT-050618-19/RI</t>
  </si>
  <si>
    <t>LT-003453-18/KI</t>
  </si>
  <si>
    <t>LT-061263-17/BX</t>
  </si>
  <si>
    <t>LT-071855-17/KI</t>
  </si>
  <si>
    <t>LT-068259-19/KI</t>
  </si>
  <si>
    <t>LT-058093-19/KI</t>
  </si>
  <si>
    <t>LT-016731-19/BX</t>
  </si>
  <si>
    <t>LT-058364-19/KI</t>
  </si>
  <si>
    <t>LT-086282-18/KI</t>
  </si>
  <si>
    <t>LT-079371-19/KI</t>
  </si>
  <si>
    <t>LT-094597-18/KI</t>
  </si>
  <si>
    <t>CX-610003-RP</t>
  </si>
  <si>
    <t>3453/18</t>
  </si>
  <si>
    <t>LT-079225-18/KI</t>
  </si>
  <si>
    <t>LT-075815-17/KI</t>
  </si>
  <si>
    <t>LT-079013-18/NY</t>
  </si>
  <si>
    <t>LT-088031-18/KI</t>
  </si>
  <si>
    <t>LT-074388-17/NY</t>
  </si>
  <si>
    <t>LT-052001-19/KI</t>
  </si>
  <si>
    <t>LT-099629-15/KI</t>
  </si>
  <si>
    <t>LT-097199-18/KI</t>
  </si>
  <si>
    <t>LT-062648-16/KI</t>
  </si>
  <si>
    <t>LT-014518-17 NY</t>
  </si>
  <si>
    <t>LT-052803-18/RI</t>
  </si>
  <si>
    <t>FR-210082-S</t>
  </si>
  <si>
    <t>LT-077328-19/KI</t>
  </si>
  <si>
    <t>LT-053322-18/RI</t>
  </si>
  <si>
    <t>GR-210018-OM</t>
  </si>
  <si>
    <t>HN-210044-B</t>
  </si>
  <si>
    <t>LT-077612-19/KI</t>
  </si>
  <si>
    <t>LT-005504-19/BX</t>
  </si>
  <si>
    <t>LT-000467-19/NY</t>
  </si>
  <si>
    <t>LT-051410-18/RI</t>
  </si>
  <si>
    <t>LT-046406-19/BX</t>
  </si>
  <si>
    <t>FR-210110-S</t>
  </si>
  <si>
    <t>LT-062661-19/QU</t>
  </si>
  <si>
    <t>HP-000812-17/NY</t>
  </si>
  <si>
    <t>LT-068559-19/KI</t>
  </si>
  <si>
    <t>LT-072141-19/KI</t>
  </si>
  <si>
    <t>LT-091375-18/NY</t>
  </si>
  <si>
    <t>GR-210005-UC</t>
  </si>
  <si>
    <t>LT-073808-17/BX</t>
  </si>
  <si>
    <t>LT-064589-19/KI</t>
  </si>
  <si>
    <t>HP 6100111 B</t>
  </si>
  <si>
    <t>LT-039103-19/BX</t>
  </si>
  <si>
    <t>905693-TD-2018</t>
  </si>
  <si>
    <t>CV-015118-17/KI</t>
  </si>
  <si>
    <t>LT-056307-18/KI</t>
  </si>
  <si>
    <t>LT-079184-17/KI</t>
  </si>
  <si>
    <t>LT-050180-19/RI</t>
  </si>
  <si>
    <t>HP-000963-18/NY</t>
  </si>
  <si>
    <t>LT-067407-18/NY</t>
  </si>
  <si>
    <t>LT-057577-19/QU</t>
  </si>
  <si>
    <t>LT-062958-19/KI</t>
  </si>
  <si>
    <t>LT-251184-13/NY</t>
  </si>
  <si>
    <t>LT-063667-19/KI</t>
  </si>
  <si>
    <t>LT-059000-19/QU</t>
  </si>
  <si>
    <t>LT-058939-17/NY</t>
  </si>
  <si>
    <t>LT-086747-18/KI</t>
  </si>
  <si>
    <t>LT-042003-16/BX</t>
  </si>
  <si>
    <t>LT-069122-17/KI</t>
  </si>
  <si>
    <t>LT-099658-17/KI</t>
  </si>
  <si>
    <t>LT-060415-19/KI</t>
  </si>
  <si>
    <t>64649/19</t>
  </si>
  <si>
    <t>LT-070145-18/KI</t>
  </si>
  <si>
    <t>LT-033482-18/BX</t>
  </si>
  <si>
    <t>LT-078894-19/KI</t>
  </si>
  <si>
    <t>LT-000812-17/NY</t>
  </si>
  <si>
    <t>LT-100755-16/KI</t>
  </si>
  <si>
    <t>CV-01194-18/BX</t>
  </si>
  <si>
    <t>LT-064322-18/KI</t>
  </si>
  <si>
    <t>LT-070143-18/KI</t>
  </si>
  <si>
    <t>FN-410009-B</t>
  </si>
  <si>
    <t>HP-71022-17/BX</t>
  </si>
  <si>
    <t>2704/2018</t>
  </si>
  <si>
    <t>002704/2019</t>
  </si>
  <si>
    <t>HP-1520-18/KI</t>
  </si>
  <si>
    <t>LT-1189-17/NY</t>
  </si>
  <si>
    <t>35417401M</t>
  </si>
  <si>
    <t>LT-064595-19/KI</t>
  </si>
  <si>
    <t>LT-057210-17/QU</t>
  </si>
  <si>
    <t>LT-063688-19/KI</t>
  </si>
  <si>
    <t>GS-210138-S</t>
  </si>
  <si>
    <t>LT-094319-17/KI</t>
  </si>
  <si>
    <t>LT-075205-19/KI</t>
  </si>
  <si>
    <t>LT-012021-19/BX</t>
  </si>
  <si>
    <t>HN 2100270 R</t>
  </si>
  <si>
    <t>LT-063665-19/KI</t>
  </si>
  <si>
    <t>LT-058120-19/KI</t>
  </si>
  <si>
    <t>LT-086265-17/KI</t>
  </si>
  <si>
    <t>LT-035600-18/BX</t>
  </si>
  <si>
    <t>LT-059597-19/QU</t>
  </si>
  <si>
    <t>LT-002778-18/BX</t>
  </si>
  <si>
    <t>LT-050642-19/KI</t>
  </si>
  <si>
    <t>LT-56204-17/QU</t>
  </si>
  <si>
    <t>Holdover</t>
  </si>
  <si>
    <t>Non-payment</t>
  </si>
  <si>
    <t>HP Action</t>
  </si>
  <si>
    <t>PA Issue: Other</t>
  </si>
  <si>
    <t>Affirmative Litigation Supreme</t>
  </si>
  <si>
    <t>SCRIE/DRIE</t>
  </si>
  <si>
    <t>DHCR Administrative Action</t>
  </si>
  <si>
    <t>DHCR Proceeding</t>
  </si>
  <si>
    <t>Tenant Rights</t>
  </si>
  <si>
    <t>Non-Litigation Advocacy</t>
  </si>
  <si>
    <t>PA Issue: City FEPS/SEPS</t>
  </si>
  <si>
    <t>PA Issue: RAU</t>
  </si>
  <si>
    <t>Section 8 other</t>
  </si>
  <si>
    <t>Other Civil Court</t>
  </si>
  <si>
    <t>PA Issue: LINC</t>
  </si>
  <si>
    <t>7A Proceeding</t>
  </si>
  <si>
    <t>NYCHA Housing Grievance</t>
  </si>
  <si>
    <t>Section 8 share</t>
  </si>
  <si>
    <t>PA Issue: FEPS</t>
  </si>
  <si>
    <t>Other Affirmative Litigation</t>
  </si>
  <si>
    <t>Rent Strike</t>
  </si>
  <si>
    <t>Illegal Lockout</t>
  </si>
  <si>
    <t>Appeal-Appellate Term</t>
  </si>
  <si>
    <t>Sec. 8 Termination</t>
  </si>
  <si>
    <t>Article 78</t>
  </si>
  <si>
    <t>NYCHA Housing Termination</t>
  </si>
  <si>
    <t>Affirmative Litigation Federal</t>
  </si>
  <si>
    <t>Human Rights Complaint</t>
  </si>
  <si>
    <t>Other Administrative Proceeding</t>
  </si>
  <si>
    <t>Other</t>
  </si>
  <si>
    <t>Mitchell-Lama Termination</t>
  </si>
  <si>
    <t>Appeal</t>
  </si>
  <si>
    <t>Certificate of No Harassment Case</t>
  </si>
  <si>
    <t>Section 8 HQS</t>
  </si>
  <si>
    <t>Ejectment Action</t>
  </si>
  <si>
    <t>Appeal Supreme</t>
  </si>
  <si>
    <t>Advice</t>
  </si>
  <si>
    <t>Representation - State Court</t>
  </si>
  <si>
    <t>Out-of-Court Advocacy</t>
  </si>
  <si>
    <t>Brief Service</t>
  </si>
  <si>
    <t>Representation - Admin. Agency</t>
  </si>
  <si>
    <t>Hold For Review</t>
  </si>
  <si>
    <t>Representation - Federal Court</t>
  </si>
  <si>
    <t>Representation—EOIR</t>
  </si>
  <si>
    <t>A - Counsel and Advice</t>
  </si>
  <si>
    <t>B - Limited Action (Brief Service)</t>
  </si>
  <si>
    <t>G - Negotiated Settlement with Litigation</t>
  </si>
  <si>
    <t>IB - Contested Court Decision</t>
  </si>
  <si>
    <t>L - Extensive Service (not resulting in Settlement of Court or Administrative Action)</t>
  </si>
  <si>
    <t>H - Administrative Agency Decision</t>
  </si>
  <si>
    <t>F - Negotiated Settlement w/out Litigation</t>
  </si>
  <si>
    <t>IA - Uncontested Court Decision</t>
  </si>
  <si>
    <t>3018 Tenant Rights Coalition (TRC)</t>
  </si>
  <si>
    <t>3011 TRC FJC Initiative</t>
  </si>
  <si>
    <t>Prefer Not To Answer</t>
  </si>
  <si>
    <t>63 Private Landlord/Tenant</t>
  </si>
  <si>
    <t>71 TANF</t>
  </si>
  <si>
    <t>01 Bankruptcy/Debtor Relief</t>
  </si>
  <si>
    <t>67 Mortgage Foreclosures (Not Predatory Lending/Practices)</t>
  </si>
  <si>
    <t>09 Other Consumer/Finance</t>
  </si>
  <si>
    <t>64 Public Housing</t>
  </si>
  <si>
    <t>69 Other Housing</t>
  </si>
  <si>
    <t>61 Federally Subsidized Housing</t>
  </si>
  <si>
    <t>79 Other Income Maintenence</t>
  </si>
  <si>
    <t>66 Housing Discrimination</t>
  </si>
  <si>
    <t>02 Collect/Repo/Def/Garnsh</t>
  </si>
  <si>
    <t>85 Civil Rights</t>
  </si>
  <si>
    <t>99 Other Miscellaneous</t>
  </si>
  <si>
    <t>39 Other Family</t>
  </si>
  <si>
    <t>62 Homeownership/Real Property (Not Foreclosure)</t>
  </si>
  <si>
    <t>Post-Judgment, Tenant Out of Possession</t>
  </si>
  <si>
    <t>Post-Judgment, Tenant in Possession-Judgment Due to Default</t>
  </si>
  <si>
    <t>Post-Judgment, Tenant in Possession-Judgment Due to Other</t>
  </si>
  <si>
    <t>No Stipulation; No Judgment</t>
  </si>
  <si>
    <t>Post-Stipulation, No Judgment</t>
  </si>
  <si>
    <t>On for Trial</t>
  </si>
  <si>
    <t>No Stipulation; No Judgment, On for Trial</t>
  </si>
  <si>
    <t>No Stipulation; No Judgment, Post-Stipulation, No Judgment</t>
  </si>
  <si>
    <t>10/15/2015</t>
  </si>
  <si>
    <t>09/01/2019</t>
  </si>
  <si>
    <t>12/01/2018</t>
  </si>
  <si>
    <t>05/10/2017</t>
  </si>
  <si>
    <t>01/12/2019</t>
  </si>
  <si>
    <t>08/10/2018</t>
  </si>
  <si>
    <t>06/01/2019</t>
  </si>
  <si>
    <t>08/18/2016</t>
  </si>
  <si>
    <t>06/16/2018</t>
  </si>
  <si>
    <t>10/01/2017</t>
  </si>
  <si>
    <t>07/31/2017</t>
  </si>
  <si>
    <t>04/20/2019</t>
  </si>
  <si>
    <t>06/30/2019</t>
  </si>
  <si>
    <t>04/30/2017</t>
  </si>
  <si>
    <t>06/26/2016</t>
  </si>
  <si>
    <t>06/30/2016</t>
  </si>
  <si>
    <t>02/02/2019</t>
  </si>
  <si>
    <t>12/30/2017</t>
  </si>
  <si>
    <t>06/27/2017</t>
  </si>
  <si>
    <t>11/30/2016</t>
  </si>
  <si>
    <t>09/05/2016</t>
  </si>
  <si>
    <t>02/03/2017</t>
  </si>
  <si>
    <t>08/03/2019</t>
  </si>
  <si>
    <t>07/01/2018</t>
  </si>
  <si>
    <t>09/03/2016</t>
  </si>
  <si>
    <t>07/01/2017</t>
  </si>
  <si>
    <t>09/30/2017</t>
  </si>
  <si>
    <t>03/31/2018</t>
  </si>
  <si>
    <t>08/30/2016</t>
  </si>
  <si>
    <t>10/31/2016</t>
  </si>
  <si>
    <t>01/01/2019</t>
  </si>
  <si>
    <t>06/10/2016</t>
  </si>
  <si>
    <t>06/02/2018</t>
  </si>
  <si>
    <t>11/17/2017</t>
  </si>
  <si>
    <t>01/13/2019</t>
  </si>
  <si>
    <t>09/02/2019</t>
  </si>
  <si>
    <t>01/09/2018</t>
  </si>
  <si>
    <t>11/30/2019</t>
  </si>
  <si>
    <t>08/31/2019</t>
  </si>
  <si>
    <t>12/31/2016</t>
  </si>
  <si>
    <t>07/11/2018</t>
  </si>
  <si>
    <t>08/25/2019</t>
  </si>
  <si>
    <t>03/07/2017</t>
  </si>
  <si>
    <t>04/01/2018</t>
  </si>
  <si>
    <t>12/17/2015</t>
  </si>
  <si>
    <t>01/19/2019</t>
  </si>
  <si>
    <t>11/17/2019</t>
  </si>
  <si>
    <t>06/17/2018</t>
  </si>
  <si>
    <t>12/18/2019</t>
  </si>
  <si>
    <t>01/23/2017</t>
  </si>
  <si>
    <t>11/15/2016</t>
  </si>
  <si>
    <t>08/17/2015</t>
  </si>
  <si>
    <t>05/11/2016</t>
  </si>
  <si>
    <t>01/14/2017</t>
  </si>
  <si>
    <t>10/27/2016</t>
  </si>
  <si>
    <t>07/13/2016</t>
  </si>
  <si>
    <t>04/23/2015</t>
  </si>
  <si>
    <t>01/14/2018</t>
  </si>
  <si>
    <t>04/21/2017</t>
  </si>
  <si>
    <t>10/27/2018</t>
  </si>
  <si>
    <t>12/02/2018</t>
  </si>
  <si>
    <t>12/28/2019</t>
  </si>
  <si>
    <t>04/12/2013</t>
  </si>
  <si>
    <t>01/01/2017</t>
  </si>
  <si>
    <t>04/15/2018</t>
  </si>
  <si>
    <t>01/15/2018</t>
  </si>
  <si>
    <t>07/06/2016</t>
  </si>
  <si>
    <t>05/09/2016</t>
  </si>
  <si>
    <t>01/11/2017</t>
  </si>
  <si>
    <t>12/31/2017</t>
  </si>
  <si>
    <t>01/25/2016</t>
  </si>
  <si>
    <t>01/01/2013</t>
  </si>
  <si>
    <t>12/08/2017</t>
  </si>
  <si>
    <t>10/20/2018</t>
  </si>
  <si>
    <t>11/14/2016</t>
  </si>
  <si>
    <t>12/30/2018</t>
  </si>
  <si>
    <t>07/04/2018</t>
  </si>
  <si>
    <t>03/26/2017</t>
  </si>
  <si>
    <t>03/01/2016</t>
  </si>
  <si>
    <t>12/19/2017</t>
  </si>
  <si>
    <t>02/24/2018</t>
  </si>
  <si>
    <t>09/20/1019</t>
  </si>
  <si>
    <t>09/20/2016</t>
  </si>
  <si>
    <t>12/23/2018</t>
  </si>
  <si>
    <t>02/23/2019</t>
  </si>
  <si>
    <t>11/10/2018</t>
  </si>
  <si>
    <t>10/27/2019</t>
  </si>
  <si>
    <t>09/26/2017</t>
  </si>
  <si>
    <t>02/18/2019</t>
  </si>
  <si>
    <t>06/22/2018</t>
  </si>
  <si>
    <t>10/28/2018</t>
  </si>
  <si>
    <t>01/21/2018</t>
  </si>
  <si>
    <t>01/25/2017</t>
  </si>
  <si>
    <t>03/29/2017</t>
  </si>
  <si>
    <t>04/01/2017</t>
  </si>
  <si>
    <t>08/02/2018</t>
  </si>
  <si>
    <t>07/29/2017</t>
  </si>
  <si>
    <t>02/19/2018</t>
  </si>
  <si>
    <t>05/18/2019</t>
  </si>
  <si>
    <t>02/09/2019</t>
  </si>
  <si>
    <t>06/29/2019</t>
  </si>
  <si>
    <t>06/23/2016</t>
  </si>
  <si>
    <t>12/08/2018</t>
  </si>
  <si>
    <t>12/20/2019</t>
  </si>
  <si>
    <t>03/17/2018</t>
  </si>
  <si>
    <t>07/28/2019</t>
  </si>
  <si>
    <t>09/22/2019</t>
  </si>
  <si>
    <t>06/09/2018</t>
  </si>
  <si>
    <t>12/01/2016</t>
  </si>
  <si>
    <t>05/11/2019</t>
  </si>
  <si>
    <t>01/20/2018</t>
  </si>
  <si>
    <t>01/07/2018</t>
  </si>
  <si>
    <t>09/13/2016</t>
  </si>
  <si>
    <t>11/23/2018</t>
  </si>
  <si>
    <t>11/04/2017</t>
  </si>
  <si>
    <t>03/18/2018</t>
  </si>
  <si>
    <t>09/29/2019</t>
  </si>
  <si>
    <t>04/14/2019</t>
  </si>
  <si>
    <t>12/22/2019</t>
  </si>
  <si>
    <t>01/06/2019</t>
  </si>
  <si>
    <t>12/02/2016</t>
  </si>
  <si>
    <t>12/05/2019</t>
  </si>
  <si>
    <t>08/19/2018</t>
  </si>
  <si>
    <t>12/22/2018</t>
  </si>
  <si>
    <t>02/10/2020</t>
  </si>
  <si>
    <t>Queens Legal Services</t>
  </si>
  <si>
    <t>Brooklyn Legal Services</t>
  </si>
  <si>
    <t>Bronx Legal Services</t>
  </si>
  <si>
    <t>Staten Island Legal Services</t>
  </si>
  <si>
    <t>Manhattan Legal Services</t>
  </si>
  <si>
    <t>HRA</t>
  </si>
  <si>
    <t>FJC Housing Intake</t>
  </si>
  <si>
    <t>Self-referred</t>
  </si>
  <si>
    <t>Outreach</t>
  </si>
  <si>
    <t>Returning Client</t>
  </si>
  <si>
    <t>Friends/Family</t>
  </si>
  <si>
    <t>Word of mouth</t>
  </si>
  <si>
    <t>Legal Services</t>
  </si>
  <si>
    <t>HRA ELS (Assigned Counsel)</t>
  </si>
  <si>
    <t>Court Referral-NON HRA</t>
  </si>
  <si>
    <t>Community Organization</t>
  </si>
  <si>
    <t>In-House</t>
  </si>
  <si>
    <t>Tenant Support Unit</t>
  </si>
  <si>
    <t>Court</t>
  </si>
  <si>
    <t>Other City Agency</t>
  </si>
  <si>
    <t>Elected Official</t>
  </si>
  <si>
    <t>3-1-1</t>
  </si>
  <si>
    <t>Home base</t>
  </si>
  <si>
    <t>ADP Hotline</t>
  </si>
  <si>
    <t>HRA ELS Part F Brooklyn</t>
  </si>
  <si>
    <t>School</t>
  </si>
  <si>
    <t>12/23/1977</t>
  </si>
  <si>
    <t>05/22/1992</t>
  </si>
  <si>
    <t>07/25/1977</t>
  </si>
  <si>
    <t>06/08/1979</t>
  </si>
  <si>
    <t>05/27/1962</t>
  </si>
  <si>
    <t>09/12/1985</t>
  </si>
  <si>
    <t>10/31/1963</t>
  </si>
  <si>
    <t>02/24/1993</t>
  </si>
  <si>
    <t>10/25/1996</t>
  </si>
  <si>
    <t>02/26/1962</t>
  </si>
  <si>
    <t>11/04/1969</t>
  </si>
  <si>
    <t>09/06/1980</t>
  </si>
  <si>
    <t>03/09/1993</t>
  </si>
  <si>
    <t>05/22/1965</t>
  </si>
  <si>
    <t>12/01/1969</t>
  </si>
  <si>
    <t>12/14/1989</t>
  </si>
  <si>
    <t>01/08/1971</t>
  </si>
  <si>
    <t>01/02/1957</t>
  </si>
  <si>
    <t>03/04/1968</t>
  </si>
  <si>
    <t>07/19/1982</t>
  </si>
  <si>
    <t>09/24/1974</t>
  </si>
  <si>
    <t>06/06/1969</t>
  </si>
  <si>
    <t>04/19/1985</t>
  </si>
  <si>
    <t>11/30/1958</t>
  </si>
  <si>
    <t>06/15/1991</t>
  </si>
  <si>
    <t>05/10/1969</t>
  </si>
  <si>
    <t>02/18/1995</t>
  </si>
  <si>
    <t>10/27/1950</t>
  </si>
  <si>
    <t>09/18/1975</t>
  </si>
  <si>
    <t>06/21/1972</t>
  </si>
  <si>
    <t>03/26/1982</t>
  </si>
  <si>
    <t>01/12/1975</t>
  </si>
  <si>
    <t>05/20/1987</t>
  </si>
  <si>
    <t>11/24/1942</t>
  </si>
  <si>
    <t>05/26/1972</t>
  </si>
  <si>
    <t>11/19/1962</t>
  </si>
  <si>
    <t>07/18/1960</t>
  </si>
  <si>
    <t>09/12/1995</t>
  </si>
  <si>
    <t>03/11/1988</t>
  </si>
  <si>
    <t>04/06/1982</t>
  </si>
  <si>
    <t>01/19/1985</t>
  </si>
  <si>
    <t>05/23/1978</t>
  </si>
  <si>
    <t>08/02/1975</t>
  </si>
  <si>
    <t>12/10/1954</t>
  </si>
  <si>
    <t>08/30/1995</t>
  </si>
  <si>
    <t>11/28/1986</t>
  </si>
  <si>
    <t>03/20/1993</t>
  </si>
  <si>
    <t>02/28/1961</t>
  </si>
  <si>
    <t>10/07/1958</t>
  </si>
  <si>
    <t>01/10/1971</t>
  </si>
  <si>
    <t>06/30/1970</t>
  </si>
  <si>
    <t>09/19/1967</t>
  </si>
  <si>
    <t>06/10/1947</t>
  </si>
  <si>
    <t>10/23/1962</t>
  </si>
  <si>
    <t>01/01/1970</t>
  </si>
  <si>
    <t>12/14/1960</t>
  </si>
  <si>
    <t>04/29/1976</t>
  </si>
  <si>
    <t>01/01/1974</t>
  </si>
  <si>
    <t>02/19/1980</t>
  </si>
  <si>
    <t>07/24/1980</t>
  </si>
  <si>
    <t>09/09/1987</t>
  </si>
  <si>
    <t>04/14/1976</t>
  </si>
  <si>
    <t>04/20/1983</t>
  </si>
  <si>
    <t>03/12/1946</t>
  </si>
  <si>
    <t>05/01/1949</t>
  </si>
  <si>
    <t>01/01/1979</t>
  </si>
  <si>
    <t>05/08/1954</t>
  </si>
  <si>
    <t>12/10/1972</t>
  </si>
  <si>
    <t>09/26/1933</t>
  </si>
  <si>
    <t>10/18/1976</t>
  </si>
  <si>
    <t>08/30/1944</t>
  </si>
  <si>
    <t>07/09/1962</t>
  </si>
  <si>
    <t>12/05/1963</t>
  </si>
  <si>
    <t>11/27/1976</t>
  </si>
  <si>
    <t>01/23/1956</t>
  </si>
  <si>
    <t>02/11/1983</t>
  </si>
  <si>
    <t>11/20/1964</t>
  </si>
  <si>
    <t>07/27/1967</t>
  </si>
  <si>
    <t>10/02/1995</t>
  </si>
  <si>
    <t>12/25/1979</t>
  </si>
  <si>
    <t>12/28/1980</t>
  </si>
  <si>
    <t>07/03/1986</t>
  </si>
  <si>
    <t>08/17/1956</t>
  </si>
  <si>
    <t>02/27/1963</t>
  </si>
  <si>
    <t>10/15/1983</t>
  </si>
  <si>
    <t>04/22/1985</t>
  </si>
  <si>
    <t>07/10/1960</t>
  </si>
  <si>
    <t>01/01/1964</t>
  </si>
  <si>
    <t>05/09/1993</t>
  </si>
  <si>
    <t>09/16/1984</t>
  </si>
  <si>
    <t>06/05/1973</t>
  </si>
  <si>
    <t>05/07/1973</t>
  </si>
  <si>
    <t>09/30/1974</t>
  </si>
  <si>
    <t>01/10/1988</t>
  </si>
  <si>
    <t>07/10/1968</t>
  </si>
  <si>
    <t>03/22/1972</t>
  </si>
  <si>
    <t>03/06/1970</t>
  </si>
  <si>
    <t>08/20/1994</t>
  </si>
  <si>
    <t>05/25/1985</t>
  </si>
  <si>
    <t>05/25/1928</t>
  </si>
  <si>
    <t>05/03/1986</t>
  </si>
  <si>
    <t>09/11/1962</t>
  </si>
  <si>
    <t>02/06/1947</t>
  </si>
  <si>
    <t>12/23/1968</t>
  </si>
  <si>
    <t>01/22/1956</t>
  </si>
  <si>
    <t>10/02/1953</t>
  </si>
  <si>
    <t>03/21/1958</t>
  </si>
  <si>
    <t>04/20/1969</t>
  </si>
  <si>
    <t>05/09/1989</t>
  </si>
  <si>
    <t>10/05/1956</t>
  </si>
  <si>
    <t>12/28/1941</t>
  </si>
  <si>
    <t>05/08/1955</t>
  </si>
  <si>
    <t>12/19/1958</t>
  </si>
  <si>
    <t>06/23/1978</t>
  </si>
  <si>
    <t>12/22/1943</t>
  </si>
  <si>
    <t>05/07/1959</t>
  </si>
  <si>
    <t>01/01/1961</t>
  </si>
  <si>
    <t>01/01/1969</t>
  </si>
  <si>
    <t>04/06/1970</t>
  </si>
  <si>
    <t>09/28/1956</t>
  </si>
  <si>
    <t>03/01/1972</t>
  </si>
  <si>
    <t>02/17/1950</t>
  </si>
  <si>
    <t>01/01/1978</t>
  </si>
  <si>
    <t>02/12/1986</t>
  </si>
  <si>
    <t>11/27/1977</t>
  </si>
  <si>
    <t>12/13/1964</t>
  </si>
  <si>
    <t>11/11/1962</t>
  </si>
  <si>
    <t>09/22/1962</t>
  </si>
  <si>
    <t>10/31/1976</t>
  </si>
  <si>
    <t>08/31/1973</t>
  </si>
  <si>
    <t>08/19/1953</t>
  </si>
  <si>
    <t>09/08/1980</t>
  </si>
  <si>
    <t>01/10/1972</t>
  </si>
  <si>
    <t>10/19/1973</t>
  </si>
  <si>
    <t>09/29/1963</t>
  </si>
  <si>
    <t>03/02/1974</t>
  </si>
  <si>
    <t>07/13/1983</t>
  </si>
  <si>
    <t>12/17/1960</t>
  </si>
  <si>
    <t>11/16/1931</t>
  </si>
  <si>
    <t>07/18/1974</t>
  </si>
  <si>
    <t>03/31/1985</t>
  </si>
  <si>
    <t>03/21/1954</t>
  </si>
  <si>
    <t>12/25/1960</t>
  </si>
  <si>
    <t>12/31/1966</t>
  </si>
  <si>
    <t>10/11/1969</t>
  </si>
  <si>
    <t>02/05/1952</t>
  </si>
  <si>
    <t>08/05/1974</t>
  </si>
  <si>
    <t>06/24/1974</t>
  </si>
  <si>
    <t>01/02/1981</t>
  </si>
  <si>
    <t>01/01/1954</t>
  </si>
  <si>
    <t>06/26/1948</t>
  </si>
  <si>
    <t>01/31/1981</t>
  </si>
  <si>
    <t>08/03/1989</t>
  </si>
  <si>
    <t>06/09/1951</t>
  </si>
  <si>
    <t>05/27/1988</t>
  </si>
  <si>
    <t>08/15/1996</t>
  </si>
  <si>
    <t>06/08/1968</t>
  </si>
  <si>
    <t>02/12/1975</t>
  </si>
  <si>
    <t>07/25/1982</t>
  </si>
  <si>
    <t>07/08/1974</t>
  </si>
  <si>
    <t>09/17/1977</t>
  </si>
  <si>
    <t>04/01/1958</t>
  </si>
  <si>
    <t>02/01/1972</t>
  </si>
  <si>
    <t>11/05/1975</t>
  </si>
  <si>
    <t>12/26/1992</t>
  </si>
  <si>
    <t>11/08/1974</t>
  </si>
  <si>
    <t>09/15/1993</t>
  </si>
  <si>
    <t>11/04/1984</t>
  </si>
  <si>
    <t>10/31/1981</t>
  </si>
  <si>
    <t>07/19/1969</t>
  </si>
  <si>
    <t>08/11/1972</t>
  </si>
  <si>
    <t>11/28/1970</t>
  </si>
  <si>
    <t>10/05/1993</t>
  </si>
  <si>
    <t>11/26/1987</t>
  </si>
  <si>
    <t>10/20/1962</t>
  </si>
  <si>
    <t>01/01/1977</t>
  </si>
  <si>
    <t>10/07/1973</t>
  </si>
  <si>
    <t>01/28/1968</t>
  </si>
  <si>
    <t>08/22/1978</t>
  </si>
  <si>
    <t>08/18/1993</t>
  </si>
  <si>
    <t>04/06/1965</t>
  </si>
  <si>
    <t>01/05/1963</t>
  </si>
  <si>
    <t>12/06/1966</t>
  </si>
  <si>
    <t>06/06/1978</t>
  </si>
  <si>
    <t>04/15/1965</t>
  </si>
  <si>
    <t>03/09/1962</t>
  </si>
  <si>
    <t>09/26/1959</t>
  </si>
  <si>
    <t>02/06/1984</t>
  </si>
  <si>
    <t>06/08/1977</t>
  </si>
  <si>
    <t>01/30/1969</t>
  </si>
  <si>
    <t>07/25/1984</t>
  </si>
  <si>
    <t>04/13/1975</t>
  </si>
  <si>
    <t>01/23/1992</t>
  </si>
  <si>
    <t>04/25/1967</t>
  </si>
  <si>
    <t>03/26/1978</t>
  </si>
  <si>
    <t>03/17/1957</t>
  </si>
  <si>
    <t>10/08/1983</t>
  </si>
  <si>
    <t>07/10/1970</t>
  </si>
  <si>
    <t>04/02/1968</t>
  </si>
  <si>
    <t>08/24/1976</t>
  </si>
  <si>
    <t>08/31/1971</t>
  </si>
  <si>
    <t>10/10/1993</t>
  </si>
  <si>
    <t>07/27/1955</t>
  </si>
  <si>
    <t>01/25/1965</t>
  </si>
  <si>
    <t>04/09/1988</t>
  </si>
  <si>
    <t>09/19/1980</t>
  </si>
  <si>
    <t>06/09/1976</t>
  </si>
  <si>
    <t>01/21/1967</t>
  </si>
  <si>
    <t>06/20/1984</t>
  </si>
  <si>
    <t>02/16/1991</t>
  </si>
  <si>
    <t>06/03/1975</t>
  </si>
  <si>
    <t>03/31/1979</t>
  </si>
  <si>
    <t>01/09/1988</t>
  </si>
  <si>
    <t>10/28/1993</t>
  </si>
  <si>
    <t>11/08/1982</t>
  </si>
  <si>
    <t>11/05/1979</t>
  </si>
  <si>
    <t>10/03/1982</t>
  </si>
  <si>
    <t>01/01/1976</t>
  </si>
  <si>
    <t>05/12/1970</t>
  </si>
  <si>
    <t>01/01/1983</t>
  </si>
  <si>
    <t>01/16/1960</t>
  </si>
  <si>
    <t>09/19/1971</t>
  </si>
  <si>
    <t>01/01/1971</t>
  </si>
  <si>
    <t>08/11/1939</t>
  </si>
  <si>
    <t>06/01/1967</t>
  </si>
  <si>
    <t>01/01/1959</t>
  </si>
  <si>
    <t>07/11/1966</t>
  </si>
  <si>
    <t>09/19/1984</t>
  </si>
  <si>
    <t>12/16/1970</t>
  </si>
  <si>
    <t>12/20/1979</t>
  </si>
  <si>
    <t>05/01/1963</t>
  </si>
  <si>
    <t>05/27/1953</t>
  </si>
  <si>
    <t>05/09/1970</t>
  </si>
  <si>
    <t>04/11/1962</t>
  </si>
  <si>
    <t>12/16/1968</t>
  </si>
  <si>
    <t>06/25/1970</t>
  </si>
  <si>
    <t>10/22/1984</t>
  </si>
  <si>
    <t>01/01/1981</t>
  </si>
  <si>
    <t>02/23/1959</t>
  </si>
  <si>
    <t>07/03/1995</t>
  </si>
  <si>
    <t>07/12/1974</t>
  </si>
  <si>
    <t>06/03/1980</t>
  </si>
  <si>
    <t>11/16/1973</t>
  </si>
  <si>
    <t>08/14/1992</t>
  </si>
  <si>
    <t>05/06/1971</t>
  </si>
  <si>
    <t>07/26/1976</t>
  </si>
  <si>
    <t>05/20/1959</t>
  </si>
  <si>
    <t>07/25/1965</t>
  </si>
  <si>
    <t>05/27/1975</t>
  </si>
  <si>
    <t>07/27/1966</t>
  </si>
  <si>
    <t>04/28/1931</t>
  </si>
  <si>
    <t>11/27/1966</t>
  </si>
  <si>
    <t>01/01/1972</t>
  </si>
  <si>
    <t>01/01/1996</t>
  </si>
  <si>
    <t>03/18/1936</t>
  </si>
  <si>
    <t>03/06/1990</t>
  </si>
  <si>
    <t>06/27/1991</t>
  </si>
  <si>
    <t>12/28/1984</t>
  </si>
  <si>
    <t>02/02/1982</t>
  </si>
  <si>
    <t>10/24/1961</t>
  </si>
  <si>
    <t>05/28/1975</t>
  </si>
  <si>
    <t>06/15/1967</t>
  </si>
  <si>
    <t>12/22/1967</t>
  </si>
  <si>
    <t>06/26/1965</t>
  </si>
  <si>
    <t>12/12/1955</t>
  </si>
  <si>
    <t>10/29/1970</t>
  </si>
  <si>
    <t>02/02/1929</t>
  </si>
  <si>
    <t>09/11/1991</t>
  </si>
  <si>
    <t>07/03/1958</t>
  </si>
  <si>
    <t>09/20/1979</t>
  </si>
  <si>
    <t>12/09/1981</t>
  </si>
  <si>
    <t>03/09/1979</t>
  </si>
  <si>
    <t>08/10/1980</t>
  </si>
  <si>
    <t>12/02/1970</t>
  </si>
  <si>
    <t>02/17/1968</t>
  </si>
  <si>
    <t>12/27/1988</t>
  </si>
  <si>
    <t>05/20/1994</t>
  </si>
  <si>
    <t>11/01/1976</t>
  </si>
  <si>
    <t>08/03/1988</t>
  </si>
  <si>
    <t>10/05/1997</t>
  </si>
  <si>
    <t>01/11/1991</t>
  </si>
  <si>
    <t>08/15/1981</t>
  </si>
  <si>
    <t>07/14/1969</t>
  </si>
  <si>
    <t>08/08/1989</t>
  </si>
  <si>
    <t>02/07/1996</t>
  </si>
  <si>
    <t>07/23/1986</t>
  </si>
  <si>
    <t>10/03/1987</t>
  </si>
  <si>
    <t>10/05/1952</t>
  </si>
  <si>
    <t>08/03/1968</t>
  </si>
  <si>
    <t>06/21/1977</t>
  </si>
  <si>
    <t>07/25/1968</t>
  </si>
  <si>
    <t>04/28/1949</t>
  </si>
  <si>
    <t>10/01/1962</t>
  </si>
  <si>
    <t>08/23/1975</t>
  </si>
  <si>
    <t>02/11/1990</t>
  </si>
  <si>
    <t>10/17/1992</t>
  </si>
  <si>
    <t>08/12/1978</t>
  </si>
  <si>
    <t>12/15/1974</t>
  </si>
  <si>
    <t>09/16/1986</t>
  </si>
  <si>
    <t>09/07/1981</t>
  </si>
  <si>
    <t>05/02/1952</t>
  </si>
  <si>
    <t>10/30/1962</t>
  </si>
  <si>
    <t>06/01/1994</t>
  </si>
  <si>
    <t>12/19/2011</t>
  </si>
  <si>
    <t>06/26/1968</t>
  </si>
  <si>
    <t>05/13/1961</t>
  </si>
  <si>
    <t>03/30/1960</t>
  </si>
  <si>
    <t>03/16/1948</t>
  </si>
  <si>
    <t>04/06/1981</t>
  </si>
  <si>
    <t>05/21/1979</t>
  </si>
  <si>
    <t>10/21/1972</t>
  </si>
  <si>
    <t>01/28/1986</t>
  </si>
  <si>
    <t>08/01/1975</t>
  </si>
  <si>
    <t>12/09/1960</t>
  </si>
  <si>
    <t>02/25/1975</t>
  </si>
  <si>
    <t>02/09/1958</t>
  </si>
  <si>
    <t>08/03/1987</t>
  </si>
  <si>
    <t>07/29/1977</t>
  </si>
  <si>
    <t>02/10/1963</t>
  </si>
  <si>
    <t>10/08/1962</t>
  </si>
  <si>
    <t>03/11/1954</t>
  </si>
  <si>
    <t>07/23/1977</t>
  </si>
  <si>
    <t>01/15/1981</t>
  </si>
  <si>
    <t>09/12/1983</t>
  </si>
  <si>
    <t>12/22/1929</t>
  </si>
  <si>
    <t>10/27/1974</t>
  </si>
  <si>
    <t>04/13/1966</t>
  </si>
  <si>
    <t>08/29/1959</t>
  </si>
  <si>
    <t>11/19/1960</t>
  </si>
  <si>
    <t>06/06/1968</t>
  </si>
  <si>
    <t>06/15/1987</t>
  </si>
  <si>
    <t>01/19/1962</t>
  </si>
  <si>
    <t>09/04/1977</t>
  </si>
  <si>
    <t>10/15/1957</t>
  </si>
  <si>
    <t>04/15/1982</t>
  </si>
  <si>
    <t>07/18/1998</t>
  </si>
  <si>
    <t>02/02/1994</t>
  </si>
  <si>
    <t>01/14/1980</t>
  </si>
  <si>
    <t>06/28/1962</t>
  </si>
  <si>
    <t>05/25/1986</t>
  </si>
  <si>
    <t>06/30/1994</t>
  </si>
  <si>
    <t>08/07/1980</t>
  </si>
  <si>
    <t>01/09/1973</t>
  </si>
  <si>
    <t>01/03/1955</t>
  </si>
  <si>
    <t>02/15/1982</t>
  </si>
  <si>
    <t>12/30/1983</t>
  </si>
  <si>
    <t>05/18/1940</t>
  </si>
  <si>
    <t>12/18/1963</t>
  </si>
  <si>
    <t>11/02/1950</t>
  </si>
  <si>
    <t>12/26/1967</t>
  </si>
  <si>
    <t>09/26/1989</t>
  </si>
  <si>
    <t>03/19/1989</t>
  </si>
  <si>
    <t>09/20/1963</t>
  </si>
  <si>
    <t>08/20/1957</t>
  </si>
  <si>
    <t>09/06/1969</t>
  </si>
  <si>
    <t>09/28/1978</t>
  </si>
  <si>
    <t>04/18/1980</t>
  </si>
  <si>
    <t>07/10/1978</t>
  </si>
  <si>
    <t>03/28/1983</t>
  </si>
  <si>
    <t>12/07/1976</t>
  </si>
  <si>
    <t>07/06/1948</t>
  </si>
  <si>
    <t>02/09/1984</t>
  </si>
  <si>
    <t>06/02/1964</t>
  </si>
  <si>
    <t>09/09/1966</t>
  </si>
  <si>
    <t>08/15/1970</t>
  </si>
  <si>
    <t>05/12/1983</t>
  </si>
  <si>
    <t>03/19/1956</t>
  </si>
  <si>
    <t>06/29/1987</t>
  </si>
  <si>
    <t>03/06/1987</t>
  </si>
  <si>
    <t>07/02/1979</t>
  </si>
  <si>
    <t>12/30/1940</t>
  </si>
  <si>
    <t>12/15/1991</t>
  </si>
  <si>
    <t>04/22/1969</t>
  </si>
  <si>
    <t>10/24/1983</t>
  </si>
  <si>
    <t>03/31/1986</t>
  </si>
  <si>
    <t>03/19/1976</t>
  </si>
  <si>
    <t>07/04/1988</t>
  </si>
  <si>
    <t>10/14/1955</t>
  </si>
  <si>
    <t>01/19/1941</t>
  </si>
  <si>
    <t>01/10/1976</t>
  </si>
  <si>
    <t>04/03/1972</t>
  </si>
  <si>
    <t>12/28/1982</t>
  </si>
  <si>
    <t>03/06/1961</t>
  </si>
  <si>
    <t>01/15/1969</t>
  </si>
  <si>
    <t>03/11/1964</t>
  </si>
  <si>
    <t>08/11/1980</t>
  </si>
  <si>
    <t>05/03/1980</t>
  </si>
  <si>
    <t>09/22/1973</t>
  </si>
  <si>
    <t>08/01/1953</t>
  </si>
  <si>
    <t>03/08/1997</t>
  </si>
  <si>
    <t>03/08/1961</t>
  </si>
  <si>
    <t>09/26/1984</t>
  </si>
  <si>
    <t>09/16/1953</t>
  </si>
  <si>
    <t>08/22/1963</t>
  </si>
  <si>
    <t>04/12/1985</t>
  </si>
  <si>
    <t>01/05/1971</t>
  </si>
  <si>
    <t>08/06/1984</t>
  </si>
  <si>
    <t>11/07/1970</t>
  </si>
  <si>
    <t>04/14/1971</t>
  </si>
  <si>
    <t>04/04/1967</t>
  </si>
  <si>
    <t>09/19/1957</t>
  </si>
  <si>
    <t>11/28/1963</t>
  </si>
  <si>
    <t>11/18/1987</t>
  </si>
  <si>
    <t>01/01/1984</t>
  </si>
  <si>
    <t>03/17/1982</t>
  </si>
  <si>
    <t>03/11/1991</t>
  </si>
  <si>
    <t>11/19/1980</t>
  </si>
  <si>
    <t>12/31/1955</t>
  </si>
  <si>
    <t>08/27/1957</t>
  </si>
  <si>
    <t>10/03/1954</t>
  </si>
  <si>
    <t>09/08/1978</t>
  </si>
  <si>
    <t>07/04/1955</t>
  </si>
  <si>
    <t>11/28/1973</t>
  </si>
  <si>
    <t>12/24/1983</t>
  </si>
  <si>
    <t>06/06/1980</t>
  </si>
  <si>
    <t>04/17/1963</t>
  </si>
  <si>
    <t>07/01/1971</t>
  </si>
  <si>
    <t>10/26/1977</t>
  </si>
  <si>
    <t>08/07/1983</t>
  </si>
  <si>
    <t>11/30/1978</t>
  </si>
  <si>
    <t>07/11/1960</t>
  </si>
  <si>
    <t>04/12/1957</t>
  </si>
  <si>
    <t>12/15/1973</t>
  </si>
  <si>
    <t>11/02/1972</t>
  </si>
  <si>
    <t>06/12/1989</t>
  </si>
  <si>
    <t>10/19/1962</t>
  </si>
  <si>
    <t>01/18/1980</t>
  </si>
  <si>
    <t>01/22/1983</t>
  </si>
  <si>
    <t>08/20/1963</t>
  </si>
  <si>
    <t>05/28/1983</t>
  </si>
  <si>
    <t>02/04/1983</t>
  </si>
  <si>
    <t>04/13/1934</t>
  </si>
  <si>
    <t>10/29/1966</t>
  </si>
  <si>
    <t>12/17/1982</t>
  </si>
  <si>
    <t>08/29/1957</t>
  </si>
  <si>
    <t>10/13/1988</t>
  </si>
  <si>
    <t>08/19/1984</t>
  </si>
  <si>
    <t>10/25/1944</t>
  </si>
  <si>
    <t>11/15/1965</t>
  </si>
  <si>
    <t>11/05/1991</t>
  </si>
  <si>
    <t>10/22/1969</t>
  </si>
  <si>
    <t>12/18/1975</t>
  </si>
  <si>
    <t>05/18/1976</t>
  </si>
  <si>
    <t>08/25/1967</t>
  </si>
  <si>
    <t>04/05/1977</t>
  </si>
  <si>
    <t>03/12/1990</t>
  </si>
  <si>
    <t>12/23/1987</t>
  </si>
  <si>
    <t>11/18/1982</t>
  </si>
  <si>
    <t>04/15/1957</t>
  </si>
  <si>
    <t>10/01/1955</t>
  </si>
  <si>
    <t>09/19/1958</t>
  </si>
  <si>
    <t>02/25/1962</t>
  </si>
  <si>
    <t>06/14/1968</t>
  </si>
  <si>
    <t>11/26/1966</t>
  </si>
  <si>
    <t>08/21/1990</t>
  </si>
  <si>
    <t>04/27/1963</t>
  </si>
  <si>
    <t>01/29/1982</t>
  </si>
  <si>
    <t>04/13/1972</t>
  </si>
  <si>
    <t>05/23/1996</t>
  </si>
  <si>
    <t>12/07/1991</t>
  </si>
  <si>
    <t>12/31/1961</t>
  </si>
  <si>
    <t>06/29/1958</t>
  </si>
  <si>
    <t>09/15/1973</t>
  </si>
  <si>
    <t>01/27/1957</t>
  </si>
  <si>
    <t>02/25/1998</t>
  </si>
  <si>
    <t>07/18/1975</t>
  </si>
  <si>
    <t>02/28/1945</t>
  </si>
  <si>
    <t>03/13/1934</t>
  </si>
  <si>
    <t>12/19/1968</t>
  </si>
  <si>
    <t>06/22/1966</t>
  </si>
  <si>
    <t>04/09/1984</t>
  </si>
  <si>
    <t>11/28/1978</t>
  </si>
  <si>
    <t>09/04/1986</t>
  </si>
  <si>
    <t>05/08/1964</t>
  </si>
  <si>
    <t>04/01/1952</t>
  </si>
  <si>
    <t>01/15/1954</t>
  </si>
  <si>
    <t>08/01/1991</t>
  </si>
  <si>
    <t>04/23/1985</t>
  </si>
  <si>
    <t>01/16/1962</t>
  </si>
  <si>
    <t>02/06/1971</t>
  </si>
  <si>
    <t>11/13/1984</t>
  </si>
  <si>
    <t>07/24/1976</t>
  </si>
  <si>
    <t>08/08/1972</t>
  </si>
  <si>
    <t>03/09/1987</t>
  </si>
  <si>
    <t>01/01/1973</t>
  </si>
  <si>
    <t>06/15/1959</t>
  </si>
  <si>
    <t>08/19/1969</t>
  </si>
  <si>
    <t>10/11/1989</t>
  </si>
  <si>
    <t>01/26/1988</t>
  </si>
  <si>
    <t>04/25/1962</t>
  </si>
  <si>
    <t>03/29/1955</t>
  </si>
  <si>
    <t>10/16/1986</t>
  </si>
  <si>
    <t>11/19/1963</t>
  </si>
  <si>
    <t>05/19/1957</t>
  </si>
  <si>
    <t>05/11/1982</t>
  </si>
  <si>
    <t>10/07/1974</t>
  </si>
  <si>
    <t>08/27/1964</t>
  </si>
  <si>
    <t>04/21/1963</t>
  </si>
  <si>
    <t>09/24/1959</t>
  </si>
  <si>
    <t>08/27/1980</t>
  </si>
  <si>
    <t>02/25/1977</t>
  </si>
  <si>
    <t>06/13/1954</t>
  </si>
  <si>
    <t>10/04/1957</t>
  </si>
  <si>
    <t>05/15/1961</t>
  </si>
  <si>
    <t>10/01/1975</t>
  </si>
  <si>
    <t>09/18/1989</t>
  </si>
  <si>
    <t>03/23/1943</t>
  </si>
  <si>
    <t>07/25/1979</t>
  </si>
  <si>
    <t>03/28/1989</t>
  </si>
  <si>
    <t>03/15/1966</t>
  </si>
  <si>
    <t>09/12/1991</t>
  </si>
  <si>
    <t>08/10/1990</t>
  </si>
  <si>
    <t>07/07/1955</t>
  </si>
  <si>
    <t>01/27/1962</t>
  </si>
  <si>
    <t>01/24/1979</t>
  </si>
  <si>
    <t>09/16/1989</t>
  </si>
  <si>
    <t>10/19/1977</t>
  </si>
  <si>
    <t>04/24/1965</t>
  </si>
  <si>
    <t>10/04/1958</t>
  </si>
  <si>
    <t>07/17/1984</t>
  </si>
  <si>
    <t>03/05/1977</t>
  </si>
  <si>
    <t>04/27/1989</t>
  </si>
  <si>
    <t>12/29/1984</t>
  </si>
  <si>
    <t>10/24/1959</t>
  </si>
  <si>
    <t>12/13/1962</t>
  </si>
  <si>
    <t>04/10/1972</t>
  </si>
  <si>
    <t>01/13/1985</t>
  </si>
  <si>
    <t>01/22/1979</t>
  </si>
  <si>
    <t>10/16/1991</t>
  </si>
  <si>
    <t>04/26/1962</t>
  </si>
  <si>
    <t>12/25/1963</t>
  </si>
  <si>
    <t>12/13/1990</t>
  </si>
  <si>
    <t>08/07/1950</t>
  </si>
  <si>
    <t>09/29/1985</t>
  </si>
  <si>
    <t>08/17/1992</t>
  </si>
  <si>
    <t>06/24/1983</t>
  </si>
  <si>
    <t>09/10/1989</t>
  </si>
  <si>
    <t>09/05/1997</t>
  </si>
  <si>
    <t>09/30/1982</t>
  </si>
  <si>
    <t>06/04/1988</t>
  </si>
  <si>
    <t>03/02/1982</t>
  </si>
  <si>
    <t>09/27/1976</t>
  </si>
  <si>
    <t>07/01/1990</t>
  </si>
  <si>
    <t>04/20/1964</t>
  </si>
  <si>
    <t>10/09/1987</t>
  </si>
  <si>
    <t>02/27/1983</t>
  </si>
  <si>
    <t>01/01/1980</t>
  </si>
  <si>
    <t>02/22/1982</t>
  </si>
  <si>
    <t>08/30/1968</t>
  </si>
  <si>
    <t>07/31/1969</t>
  </si>
  <si>
    <t>07/16/1978</t>
  </si>
  <si>
    <t>10/07/1965</t>
  </si>
  <si>
    <t>01/12/1983</t>
  </si>
  <si>
    <t>07/10/1991</t>
  </si>
  <si>
    <t>03/28/1970</t>
  </si>
  <si>
    <t>06/26/1978</t>
  </si>
  <si>
    <t>07/29/1982</t>
  </si>
  <si>
    <t>01/15/1950</t>
  </si>
  <si>
    <t>11/20/1952</t>
  </si>
  <si>
    <t>03/08/1979</t>
  </si>
  <si>
    <t>05/21/1959</t>
  </si>
  <si>
    <t>12/01/1987</t>
  </si>
  <si>
    <t>12/24/1955</t>
  </si>
  <si>
    <t>04/19/1995</t>
  </si>
  <si>
    <t>11/19/1990</t>
  </si>
  <si>
    <t>04/08/1982</t>
  </si>
  <si>
    <t>06/11/1958</t>
  </si>
  <si>
    <t>07/08/1986</t>
  </si>
  <si>
    <t>03/01/1975</t>
  </si>
  <si>
    <t>07/21/1985</t>
  </si>
  <si>
    <t>06/14/1975</t>
  </si>
  <si>
    <t>11/10/1969</t>
  </si>
  <si>
    <t>02/25/1979</t>
  </si>
  <si>
    <t>04/11/1958</t>
  </si>
  <si>
    <t>05/19/1971</t>
  </si>
  <si>
    <t>06/18/1981</t>
  </si>
  <si>
    <t>02/05/1985</t>
  </si>
  <si>
    <t>07/04/1970</t>
  </si>
  <si>
    <t>04/25/1975</t>
  </si>
  <si>
    <t>10/25/1984</t>
  </si>
  <si>
    <t>09/15/1984</t>
  </si>
  <si>
    <t>11/25/1951</t>
  </si>
  <si>
    <t>10/06/1961</t>
  </si>
  <si>
    <t>06/13/1951</t>
  </si>
  <si>
    <t>06/24/1938</t>
  </si>
  <si>
    <t>11/16/1984</t>
  </si>
  <si>
    <t>01/21/1991</t>
  </si>
  <si>
    <t>03/03/1949</t>
  </si>
  <si>
    <t>03/24/1966</t>
  </si>
  <si>
    <t>06/25/1984</t>
  </si>
  <si>
    <t>02/05/1982</t>
  </si>
  <si>
    <t>12/31/1960</t>
  </si>
  <si>
    <t>09/11/1947</t>
  </si>
  <si>
    <t>09/26/1980</t>
  </si>
  <si>
    <t>08/12/1980</t>
  </si>
  <si>
    <t>03/27/1963</t>
  </si>
  <si>
    <t>05/25/1975</t>
  </si>
  <si>
    <t>04/14/1967</t>
  </si>
  <si>
    <t>02/08/1970</t>
  </si>
  <si>
    <t>11/23/1953</t>
  </si>
  <si>
    <t>12/31/1982</t>
  </si>
  <si>
    <t>07/01/1955</t>
  </si>
  <si>
    <t>03/08/1950</t>
  </si>
  <si>
    <t>09/03/1954</t>
  </si>
  <si>
    <t>06/14/1986</t>
  </si>
  <si>
    <t>12/03/1973</t>
  </si>
  <si>
    <t>03/26/1952</t>
  </si>
  <si>
    <t>10/31/1975</t>
  </si>
  <si>
    <t>06/25/1978</t>
  </si>
  <si>
    <t>12/29/1966</t>
  </si>
  <si>
    <t>05/31/1970</t>
  </si>
  <si>
    <t>07/05/1975</t>
  </si>
  <si>
    <t>02/29/1960</t>
  </si>
  <si>
    <t>04/28/1953</t>
  </si>
  <si>
    <t>07/18/1979</t>
  </si>
  <si>
    <t>09/28/1990</t>
  </si>
  <si>
    <t>03/25/1973</t>
  </si>
  <si>
    <t>04/07/1995</t>
  </si>
  <si>
    <t>10/19/1965</t>
  </si>
  <si>
    <t>01/05/1966</t>
  </si>
  <si>
    <t>06/27/1986</t>
  </si>
  <si>
    <t>09/22/1980</t>
  </si>
  <si>
    <t>02/27/1989</t>
  </si>
  <si>
    <t>03/25/1971</t>
  </si>
  <si>
    <t>11/01/1969</t>
  </si>
  <si>
    <t>12/16/1961</t>
  </si>
  <si>
    <t>07/07/1960</t>
  </si>
  <si>
    <t>08/09/1970</t>
  </si>
  <si>
    <t>07/19/1981</t>
  </si>
  <si>
    <t>06/17/1953</t>
  </si>
  <si>
    <t>07/07/1982</t>
  </si>
  <si>
    <t>04/12/1963</t>
  </si>
  <si>
    <t>09/14/1965</t>
  </si>
  <si>
    <t>11/28/1974</t>
  </si>
  <si>
    <t>10/05/1976</t>
  </si>
  <si>
    <t>05/27/1972</t>
  </si>
  <si>
    <t>07/26/1978</t>
  </si>
  <si>
    <t>05/02/1992</t>
  </si>
  <si>
    <t>07/13/1972</t>
  </si>
  <si>
    <t>12/31/1976</t>
  </si>
  <si>
    <t>05/28/1946</t>
  </si>
  <si>
    <t>09/12/1965</t>
  </si>
  <si>
    <t>12/03/1982</t>
  </si>
  <si>
    <t>01/28/1960</t>
  </si>
  <si>
    <t>10/11/1954</t>
  </si>
  <si>
    <t>08/16/1961</t>
  </si>
  <si>
    <t>02/19/1970</t>
  </si>
  <si>
    <t>07/23/1961</t>
  </si>
  <si>
    <t>03/18/1956</t>
  </si>
  <si>
    <t>10/29/1968</t>
  </si>
  <si>
    <t>06/07/1987</t>
  </si>
  <si>
    <t>10/29/1971</t>
  </si>
  <si>
    <t>01/09/1956</t>
  </si>
  <si>
    <t>09/17/1971</t>
  </si>
  <si>
    <t>05/03/1945</t>
  </si>
  <si>
    <t>06/25/1950</t>
  </si>
  <si>
    <t>12/22/1983</t>
  </si>
  <si>
    <t>08/16/1964</t>
  </si>
  <si>
    <t>01/12/1988</t>
  </si>
  <si>
    <t>12/21/1967</t>
  </si>
  <si>
    <t>09/20/1991</t>
  </si>
  <si>
    <t>08/09/1966</t>
  </si>
  <si>
    <t>01/04/1970</t>
  </si>
  <si>
    <t>10/02/1979</t>
  </si>
  <si>
    <t>11/11/1970</t>
  </si>
  <si>
    <t>10/23/1960</t>
  </si>
  <si>
    <t>06/20/1970</t>
  </si>
  <si>
    <t>01/01/1960</t>
  </si>
  <si>
    <t>02/01/1980</t>
  </si>
  <si>
    <t>02/20/1977</t>
  </si>
  <si>
    <t>01/12/1957</t>
  </si>
  <si>
    <t>07/09/1986</t>
  </si>
  <si>
    <t>05/12/1965</t>
  </si>
  <si>
    <t>08/10/1995</t>
  </si>
  <si>
    <t>07/21/1964</t>
  </si>
  <si>
    <t>10/16/1958</t>
  </si>
  <si>
    <t>12/02/1976</t>
  </si>
  <si>
    <t>05/26/1967</t>
  </si>
  <si>
    <t>05/25/1980</t>
  </si>
  <si>
    <t>05/05/1986</t>
  </si>
  <si>
    <t>08/20/1999</t>
  </si>
  <si>
    <t>02/26/1986</t>
  </si>
  <si>
    <t>10/13/1991</t>
  </si>
  <si>
    <t>05/08/1959</t>
  </si>
  <si>
    <t>01/11/1960</t>
  </si>
  <si>
    <t>06/05/1965</t>
  </si>
  <si>
    <t>03/27/1965</t>
  </si>
  <si>
    <t>12/21/1982</t>
  </si>
  <si>
    <t>05/14/1964</t>
  </si>
  <si>
    <t>10/06/1986</t>
  </si>
  <si>
    <t>03/02/1957</t>
  </si>
  <si>
    <t>03/31/1965</t>
  </si>
  <si>
    <t>02/01/1965</t>
  </si>
  <si>
    <t>01/05/1978</t>
  </si>
  <si>
    <t>09/07/1990</t>
  </si>
  <si>
    <t>08/10/1982</t>
  </si>
  <si>
    <t>04/14/1957</t>
  </si>
  <si>
    <t>02/15/1961</t>
  </si>
  <si>
    <t>04/17/1978</t>
  </si>
  <si>
    <t>01/01/1975</t>
  </si>
  <si>
    <t>06/04/1959</t>
  </si>
  <si>
    <t>09/17/1989</t>
  </si>
  <si>
    <t>09/03/1977</t>
  </si>
  <si>
    <t>04/20/1965</t>
  </si>
  <si>
    <t>02/18/1990</t>
  </si>
  <si>
    <t>07/26/1962</t>
  </si>
  <si>
    <t>10/30/1955</t>
  </si>
  <si>
    <t>11/08/1972</t>
  </si>
  <si>
    <t>12/30/1959</t>
  </si>
  <si>
    <t>05/07/1978</t>
  </si>
  <si>
    <t>03/03/1981</t>
  </si>
  <si>
    <t>04/27/1972</t>
  </si>
  <si>
    <t>07/09/1968</t>
  </si>
  <si>
    <t>11/10/1974</t>
  </si>
  <si>
    <t>12/25/1935</t>
  </si>
  <si>
    <t>01/05/1995</t>
  </si>
  <si>
    <t>01/25/1956</t>
  </si>
  <si>
    <t>04/16/1996</t>
  </si>
  <si>
    <t>09/09/1968</t>
  </si>
  <si>
    <t>09/27/1969</t>
  </si>
  <si>
    <t>08/10/1973</t>
  </si>
  <si>
    <t>06/09/1935</t>
  </si>
  <si>
    <t>08/18/1982</t>
  </si>
  <si>
    <t>01/23/1959</t>
  </si>
  <si>
    <t>10/18/1985</t>
  </si>
  <si>
    <t>03/22/1962</t>
  </si>
  <si>
    <t>12/07/1970</t>
  </si>
  <si>
    <t>03/08/1993</t>
  </si>
  <si>
    <t>07/27/1995</t>
  </si>
  <si>
    <t>05/27/1958</t>
  </si>
  <si>
    <t>01/02/1984</t>
  </si>
  <si>
    <t>04/04/1965</t>
  </si>
  <si>
    <t>10/15/1950</t>
  </si>
  <si>
    <t>06/22/1979</t>
  </si>
  <si>
    <t>07/19/1964</t>
  </si>
  <si>
    <t>09/09/1984</t>
  </si>
  <si>
    <t>09/07/1944</t>
  </si>
  <si>
    <t>11/23/1977</t>
  </si>
  <si>
    <t>11/28/1954</t>
  </si>
  <si>
    <t>06/10/1979</t>
  </si>
  <si>
    <t>03/20/1963</t>
  </si>
  <si>
    <t>11/03/1955</t>
  </si>
  <si>
    <t>12/08/1961</t>
  </si>
  <si>
    <t>05/24/1994</t>
  </si>
  <si>
    <t>02/05/1957</t>
  </si>
  <si>
    <t>10/08/1986</t>
  </si>
  <si>
    <t>02/26/1992</t>
  </si>
  <si>
    <t>05/11/1964</t>
  </si>
  <si>
    <t>01/24/1948</t>
  </si>
  <si>
    <t>04/04/1986</t>
  </si>
  <si>
    <t>04/24/1966</t>
  </si>
  <si>
    <t>02/28/1985</t>
  </si>
  <si>
    <t>06/19/1939</t>
  </si>
  <si>
    <t>06/28/1966</t>
  </si>
  <si>
    <t>02/15/1964</t>
  </si>
  <si>
    <t>09/18/1965</t>
  </si>
  <si>
    <t>04/17/1977</t>
  </si>
  <si>
    <t>03/12/1980</t>
  </si>
  <si>
    <t>05/24/1959</t>
  </si>
  <si>
    <t>08/01/1969</t>
  </si>
  <si>
    <t>06/10/1970</t>
  </si>
  <si>
    <t>06/07/1944</t>
  </si>
  <si>
    <t>07/01/1982</t>
  </si>
  <si>
    <t>07/04/1980</t>
  </si>
  <si>
    <t>08/13/1983</t>
  </si>
  <si>
    <t>10/10/1961</t>
  </si>
  <si>
    <t>03/24/1949</t>
  </si>
  <si>
    <t>03/10/1982</t>
  </si>
  <si>
    <t>05/14/1986</t>
  </si>
  <si>
    <t>05/17/1951</t>
  </si>
  <si>
    <t>07/13/1945</t>
  </si>
  <si>
    <t>01/09/1946</t>
  </si>
  <si>
    <t>10/13/1941</t>
  </si>
  <si>
    <t>03/06/1965</t>
  </si>
  <si>
    <t>10/31/1959</t>
  </si>
  <si>
    <t>02/18/1972</t>
  </si>
  <si>
    <t>12/12/1966</t>
  </si>
  <si>
    <t>03/29/1947</t>
  </si>
  <si>
    <t>01/03/1979</t>
  </si>
  <si>
    <t>09/11/1989</t>
  </si>
  <si>
    <t>12/23/1955</t>
  </si>
  <si>
    <t>04/05/1956</t>
  </si>
  <si>
    <t>02/23/1995</t>
  </si>
  <si>
    <t>01/23/1970</t>
  </si>
  <si>
    <t>11/15/1975</t>
  </si>
  <si>
    <t>11/16/1955</t>
  </si>
  <si>
    <t>07/21/1990</t>
  </si>
  <si>
    <t>11/26/1977</t>
  </si>
  <si>
    <t>05/20/1988</t>
  </si>
  <si>
    <t>01/30/1971</t>
  </si>
  <si>
    <t>06/19/1987</t>
  </si>
  <si>
    <t>05/18/1956</t>
  </si>
  <si>
    <t>02/19/1977</t>
  </si>
  <si>
    <t>10/18/1956</t>
  </si>
  <si>
    <t>09/21/1978</t>
  </si>
  <si>
    <t>09/08/1960</t>
  </si>
  <si>
    <t>02/26/1981</t>
  </si>
  <si>
    <t>07/19/1984</t>
  </si>
  <si>
    <t>01/04/1947</t>
  </si>
  <si>
    <t>01/19/1984</t>
  </si>
  <si>
    <t>05/19/1966</t>
  </si>
  <si>
    <t>05/07/1940</t>
  </si>
  <si>
    <t>02/20/1956</t>
  </si>
  <si>
    <t>02/12/1955</t>
  </si>
  <si>
    <t>11/01/1952</t>
  </si>
  <si>
    <t>02/01/1990</t>
  </si>
  <si>
    <t>07/01/1968</t>
  </si>
  <si>
    <t>09/25/1995</t>
  </si>
  <si>
    <t>04/30/1952</t>
  </si>
  <si>
    <t>08/11/1964</t>
  </si>
  <si>
    <t>04/02/1959</t>
  </si>
  <si>
    <t>12/05/1946</t>
  </si>
  <si>
    <t>06/21/1986</t>
  </si>
  <si>
    <t>06/21/1942</t>
  </si>
  <si>
    <t>07/30/1971</t>
  </si>
  <si>
    <t>12/20/1952</t>
  </si>
  <si>
    <t>07/23/1966</t>
  </si>
  <si>
    <t>01/03/1983</t>
  </si>
  <si>
    <t>10/30/1952</t>
  </si>
  <si>
    <t>01/13/1959</t>
  </si>
  <si>
    <t>11/13/1991</t>
  </si>
  <si>
    <t>09/01/1982</t>
  </si>
  <si>
    <t>11/19/1977</t>
  </si>
  <si>
    <t>06/17/1963</t>
  </si>
  <si>
    <t>05/01/1967</t>
  </si>
  <si>
    <t>04/25/1969</t>
  </si>
  <si>
    <t>01/17/1971</t>
  </si>
  <si>
    <t>12/23/1969</t>
  </si>
  <si>
    <t>04/13/1989</t>
  </si>
  <si>
    <t>04/24/1975</t>
  </si>
  <si>
    <t>11/27/1988</t>
  </si>
  <si>
    <t>01/08/1969</t>
  </si>
  <si>
    <t>12/02/1986</t>
  </si>
  <si>
    <t>01/12/1964</t>
  </si>
  <si>
    <t>03/07/1983</t>
  </si>
  <si>
    <t>11/07/1976</t>
  </si>
  <si>
    <t>09/04/1965</t>
  </si>
  <si>
    <t>01/15/1983</t>
  </si>
  <si>
    <t>06/08/1965</t>
  </si>
  <si>
    <t>07/22/1948</t>
  </si>
  <si>
    <t>03/06/1955</t>
  </si>
  <si>
    <t>12/15/1990</t>
  </si>
  <si>
    <t>06/07/1951</t>
  </si>
  <si>
    <t>07/17/1962</t>
  </si>
  <si>
    <t>04/21/1966</t>
  </si>
  <si>
    <t>08/05/1956</t>
  </si>
  <si>
    <t>04/14/1988</t>
  </si>
  <si>
    <t>06/09/1969</t>
  </si>
  <si>
    <t>02/24/1966</t>
  </si>
  <si>
    <t>02/23/1953</t>
  </si>
  <si>
    <t>01/28/1966</t>
  </si>
  <si>
    <t>04/14/1956</t>
  </si>
  <si>
    <t>06/15/1955</t>
  </si>
  <si>
    <t>09/21/1962</t>
  </si>
  <si>
    <t>12/19/1966</t>
  </si>
  <si>
    <t>08/06/1983</t>
  </si>
  <si>
    <t>05/16/1957</t>
  </si>
  <si>
    <t>11/04/1980</t>
  </si>
  <si>
    <t>05/10/1950</t>
  </si>
  <si>
    <t>01/26/1968</t>
  </si>
  <si>
    <t>07/05/1964</t>
  </si>
  <si>
    <t>03/12/1967</t>
  </si>
  <si>
    <t>06/27/1960</t>
  </si>
  <si>
    <t>02/16/1955</t>
  </si>
  <si>
    <t>01/25/1943</t>
  </si>
  <si>
    <t>06/23/1972</t>
  </si>
  <si>
    <t>06/27/1951</t>
  </si>
  <si>
    <t>02/12/1953</t>
  </si>
  <si>
    <t>09/29/1959</t>
  </si>
  <si>
    <t>11/06/1964</t>
  </si>
  <si>
    <t>05/09/1977</t>
  </si>
  <si>
    <t>04/30/1958</t>
  </si>
  <si>
    <t>08/21/1975</t>
  </si>
  <si>
    <t>12/22/1982</t>
  </si>
  <si>
    <t>02/07/1997</t>
  </si>
  <si>
    <t>03/17/1970</t>
  </si>
  <si>
    <t>07/19/1989</t>
  </si>
  <si>
    <t>07/15/1959</t>
  </si>
  <si>
    <t>12/22/1964</t>
  </si>
  <si>
    <t>04/03/1952</t>
  </si>
  <si>
    <t>03/15/1959</t>
  </si>
  <si>
    <t>10/05/1978</t>
  </si>
  <si>
    <t>07/06/1984</t>
  </si>
  <si>
    <t>03/12/1987</t>
  </si>
  <si>
    <t>07/19/1958</t>
  </si>
  <si>
    <t>01/20/1973</t>
  </si>
  <si>
    <t>11/11/1939</t>
  </si>
  <si>
    <t>10/08/1958</t>
  </si>
  <si>
    <t>06/19/1955</t>
  </si>
  <si>
    <t>07/14/1961</t>
  </si>
  <si>
    <t>08/16/1987</t>
  </si>
  <si>
    <t>10/12/1943</t>
  </si>
  <si>
    <t>01/15/1982</t>
  </si>
  <si>
    <t>02/12/1982</t>
  </si>
  <si>
    <t>06/10/1952</t>
  </si>
  <si>
    <t>11/06/1978</t>
  </si>
  <si>
    <t>04/14/1962</t>
  </si>
  <si>
    <t>10/01/1978</t>
  </si>
  <si>
    <t>01/22/1993</t>
  </si>
  <si>
    <t>04/10/1954</t>
  </si>
  <si>
    <t>07/30/1968</t>
  </si>
  <si>
    <t>04/03/1984</t>
  </si>
  <si>
    <t>02/17/1986</t>
  </si>
  <si>
    <t>10/20/1927</t>
  </si>
  <si>
    <t>02/27/1961</t>
  </si>
  <si>
    <t>05/10/1944</t>
  </si>
  <si>
    <t>07/15/1981</t>
  </si>
  <si>
    <t>03/14/1972</t>
  </si>
  <si>
    <t>07/05/1990</t>
  </si>
  <si>
    <t>01/09/1944</t>
  </si>
  <si>
    <t>03/17/1987</t>
  </si>
  <si>
    <t>03/26/1955</t>
  </si>
  <si>
    <t>07/30/1962</t>
  </si>
  <si>
    <t>06/12/1960</t>
  </si>
  <si>
    <t>02/06/1946</t>
  </si>
  <si>
    <t>07/05/1968</t>
  </si>
  <si>
    <t>06/06/1992</t>
  </si>
  <si>
    <t>02/28/1963</t>
  </si>
  <si>
    <t>12/24/1948</t>
  </si>
  <si>
    <t>03/07/1981</t>
  </si>
  <si>
    <t>04/24/1946</t>
  </si>
  <si>
    <t>10/17/1968</t>
  </si>
  <si>
    <t>09/17/1950</t>
  </si>
  <si>
    <t>11/07/1953</t>
  </si>
  <si>
    <t>11/27/1950</t>
  </si>
  <si>
    <t>01/10/1963</t>
  </si>
  <si>
    <t>02/16/1958</t>
  </si>
  <si>
    <t>11/03/1967</t>
  </si>
  <si>
    <t>01/31/1980</t>
  </si>
  <si>
    <t>08/02/1963</t>
  </si>
  <si>
    <t>09/15/1955</t>
  </si>
  <si>
    <t>07/05/1978</t>
  </si>
  <si>
    <t>02/12/1967</t>
  </si>
  <si>
    <t>10/14/1951</t>
  </si>
  <si>
    <t>08/15/1956</t>
  </si>
  <si>
    <t>07/01/1962</t>
  </si>
  <si>
    <t>03/01/1987</t>
  </si>
  <si>
    <t>08/22/1961</t>
  </si>
  <si>
    <t>03/08/1948</t>
  </si>
  <si>
    <t>12/04/1952</t>
  </si>
  <si>
    <t>01/25/1963</t>
  </si>
  <si>
    <t>03/01/1964</t>
  </si>
  <si>
    <t>03/06/1950</t>
  </si>
  <si>
    <t>03/13/1962</t>
  </si>
  <si>
    <t>11/02/1964</t>
  </si>
  <si>
    <t>03/24/1969</t>
  </si>
  <si>
    <t>09/20/1935</t>
  </si>
  <si>
    <t>12/30/1987</t>
  </si>
  <si>
    <t>04/19/1977</t>
  </si>
  <si>
    <t>03/24/1951</t>
  </si>
  <si>
    <t>11/23/1985</t>
  </si>
  <si>
    <t>11/04/1953</t>
  </si>
  <si>
    <t>10/05/1965</t>
  </si>
  <si>
    <t>04/02/1958</t>
  </si>
  <si>
    <t>07/30/1960</t>
  </si>
  <si>
    <t>11/20/1950</t>
  </si>
  <si>
    <t>06/11/1967</t>
  </si>
  <si>
    <t>10/14/1962</t>
  </si>
  <si>
    <t>12/20/1940</t>
  </si>
  <si>
    <t>06/11/1936</t>
  </si>
  <si>
    <t>02/22/1947</t>
  </si>
  <si>
    <t>02/19/1944</t>
  </si>
  <si>
    <t>06/04/1964</t>
  </si>
  <si>
    <t>06/22/1963</t>
  </si>
  <si>
    <t>03/26/1964</t>
  </si>
  <si>
    <t>09/13/1963</t>
  </si>
  <si>
    <t>10/26/1978</t>
  </si>
  <si>
    <t>04/14/1952</t>
  </si>
  <si>
    <t>08/26/1945</t>
  </si>
  <si>
    <t>02/13/1966</t>
  </si>
  <si>
    <t>01/08/1958</t>
  </si>
  <si>
    <t>03/25/1958</t>
  </si>
  <si>
    <t>09/24/1964</t>
  </si>
  <si>
    <t>03/15/1955</t>
  </si>
  <si>
    <t>01/30/1978</t>
  </si>
  <si>
    <t>01/08/1955</t>
  </si>
  <si>
    <t>05/20/1965</t>
  </si>
  <si>
    <t>12/21/1977</t>
  </si>
  <si>
    <t>08/19/1986</t>
  </si>
  <si>
    <t>01/26/1977</t>
  </si>
  <si>
    <t>09/12/1980</t>
  </si>
  <si>
    <t>09/26/1940</t>
  </si>
  <si>
    <t>04/02/1970</t>
  </si>
  <si>
    <t>02/02/1963</t>
  </si>
  <si>
    <t>10/06/1966</t>
  </si>
  <si>
    <t>07/17/1953</t>
  </si>
  <si>
    <t>06/19/1978</t>
  </si>
  <si>
    <t>04/30/1988</t>
  </si>
  <si>
    <t>09/10/1974</t>
  </si>
  <si>
    <t>09/03/1972</t>
  </si>
  <si>
    <t>04/03/1954</t>
  </si>
  <si>
    <t>12/26/1980</t>
  </si>
  <si>
    <t>01/19/1965</t>
  </si>
  <si>
    <t>04/05/1993</t>
  </si>
  <si>
    <t>05/26/1965</t>
  </si>
  <si>
    <t>04/09/1967</t>
  </si>
  <si>
    <t>11/18/1951</t>
  </si>
  <si>
    <t>03/26/1961</t>
  </si>
  <si>
    <t>04/16/1943</t>
  </si>
  <si>
    <t>08/02/1980</t>
  </si>
  <si>
    <t>02/17/1963</t>
  </si>
  <si>
    <t>06/21/1966</t>
  </si>
  <si>
    <t>11/12/1956</t>
  </si>
  <si>
    <t>04/16/1970</t>
  </si>
  <si>
    <t>01/01/1968</t>
  </si>
  <si>
    <t>01/15/1943</t>
  </si>
  <si>
    <t>05/19/1962</t>
  </si>
  <si>
    <t>10/08/1955</t>
  </si>
  <si>
    <t>04/27/1950</t>
  </si>
  <si>
    <t>02/23/1958</t>
  </si>
  <si>
    <t>03/08/1959</t>
  </si>
  <si>
    <t>07/25/1971</t>
  </si>
  <si>
    <t>01/02/1954</t>
  </si>
  <si>
    <t>04/18/1976</t>
  </si>
  <si>
    <t>06/12/1958</t>
  </si>
  <si>
    <t>05/14/1967</t>
  </si>
  <si>
    <t>04/08/1976</t>
  </si>
  <si>
    <t>06/27/1969</t>
  </si>
  <si>
    <t>07/09/1993</t>
  </si>
  <si>
    <t>04/11/1982</t>
  </si>
  <si>
    <t>02/23/1985</t>
  </si>
  <si>
    <t>02/22/1980</t>
  </si>
  <si>
    <t>08/20/1964</t>
  </si>
  <si>
    <t>04/28/1959</t>
  </si>
  <si>
    <t>08/15/1959</t>
  </si>
  <si>
    <t>06/03/1956</t>
  </si>
  <si>
    <t>12/07/1974</t>
  </si>
  <si>
    <t>07/01/1964</t>
  </si>
  <si>
    <t>02/05/1955</t>
  </si>
  <si>
    <t>03/22/1961</t>
  </si>
  <si>
    <t>07/05/1984</t>
  </si>
  <si>
    <t>01/15/1946</t>
  </si>
  <si>
    <t>04/07/1963</t>
  </si>
  <si>
    <t>09/14/1956</t>
  </si>
  <si>
    <t>12/02/1962</t>
  </si>
  <si>
    <t>09/21/1933</t>
  </si>
  <si>
    <t>08/07/1955</t>
  </si>
  <si>
    <t>12/01/1959</t>
  </si>
  <si>
    <t>07/24/1981</t>
  </si>
  <si>
    <t>11/19/1981</t>
  </si>
  <si>
    <t>11/04/1949</t>
  </si>
  <si>
    <t>12/11/1960</t>
  </si>
  <si>
    <t>04/02/1981</t>
  </si>
  <si>
    <t>04/18/1981</t>
  </si>
  <si>
    <t>05/14/1933</t>
  </si>
  <si>
    <t>01/17/1957</t>
  </si>
  <si>
    <t>01/17/1950</t>
  </si>
  <si>
    <t>10/15/1962</t>
  </si>
  <si>
    <t>05/31/1977</t>
  </si>
  <si>
    <t>12/04/1964</t>
  </si>
  <si>
    <t>10/29/1986</t>
  </si>
  <si>
    <t>05/13/1959</t>
  </si>
  <si>
    <t>04/18/1974</t>
  </si>
  <si>
    <t>07/16/1977</t>
  </si>
  <si>
    <t>01/09/1932</t>
  </si>
  <si>
    <t>05/30/1946</t>
  </si>
  <si>
    <t>05/24/1989</t>
  </si>
  <si>
    <t>04/30/1968</t>
  </si>
  <si>
    <t>11/29/2006</t>
  </si>
  <si>
    <t>06/09/1958</t>
  </si>
  <si>
    <t>01/27/1980</t>
  </si>
  <si>
    <t>12/01/1978</t>
  </si>
  <si>
    <t>06/18/1965</t>
  </si>
  <si>
    <t>06/20/1964</t>
  </si>
  <si>
    <t>05/23/1983</t>
  </si>
  <si>
    <t>06/26/1957</t>
  </si>
  <si>
    <t>04/15/1930</t>
  </si>
  <si>
    <t>08/24/1940</t>
  </si>
  <si>
    <t>06/24/1995</t>
  </si>
  <si>
    <t>02/17/1959</t>
  </si>
  <si>
    <t>03/19/1973</t>
  </si>
  <si>
    <t>05/28/1962</t>
  </si>
  <si>
    <t>03/08/1976</t>
  </si>
  <si>
    <t>10/30/1937</t>
  </si>
  <si>
    <t>11/08/1976</t>
  </si>
  <si>
    <t>07/18/1972</t>
  </si>
  <si>
    <t>04/19/1988</t>
  </si>
  <si>
    <t>06/27/1967</t>
  </si>
  <si>
    <t>11/11/1954</t>
  </si>
  <si>
    <t>10/22/1974</t>
  </si>
  <si>
    <t>04/04/1952</t>
  </si>
  <si>
    <t>02/10/1972</t>
  </si>
  <si>
    <t>07/21/1988</t>
  </si>
  <si>
    <t>03/05/1972</t>
  </si>
  <si>
    <t>06/06/1996</t>
  </si>
  <si>
    <t>09/09/1971</t>
  </si>
  <si>
    <t>04/16/1962</t>
  </si>
  <si>
    <t>08/30/1971</t>
  </si>
  <si>
    <t>06/15/1946</t>
  </si>
  <si>
    <t>09/06/1967</t>
  </si>
  <si>
    <t>07/15/1940</t>
  </si>
  <si>
    <t>02/28/1953</t>
  </si>
  <si>
    <t>03/18/1929</t>
  </si>
  <si>
    <t>09/12/1979</t>
  </si>
  <si>
    <t>10/17/1980</t>
  </si>
  <si>
    <t>10/31/1969</t>
  </si>
  <si>
    <t>08/08/1938</t>
  </si>
  <si>
    <t>01/05/1977</t>
  </si>
  <si>
    <t>10/03/1985</t>
  </si>
  <si>
    <t>11/15/1981</t>
  </si>
  <si>
    <t>07/12/1949</t>
  </si>
  <si>
    <t>10/08/1959</t>
  </si>
  <si>
    <t>09/09/1962</t>
  </si>
  <si>
    <t>08/12/1963</t>
  </si>
  <si>
    <t>02/19/1963</t>
  </si>
  <si>
    <t>05/07/1966</t>
  </si>
  <si>
    <t>08/07/1997</t>
  </si>
  <si>
    <t>03/29/1937</t>
  </si>
  <si>
    <t>05/30/1969</t>
  </si>
  <si>
    <t>11/10/1979</t>
  </si>
  <si>
    <t>07/25/1970</t>
  </si>
  <si>
    <t>08/30/1976</t>
  </si>
  <si>
    <t>10/11/1972</t>
  </si>
  <si>
    <t>02/01/1951</t>
  </si>
  <si>
    <t>07/06/1977</t>
  </si>
  <si>
    <t>10/25/1975</t>
  </si>
  <si>
    <t>02/23/1961</t>
  </si>
  <si>
    <t>09/03/1961</t>
  </si>
  <si>
    <t>08/23/1948</t>
  </si>
  <si>
    <t>04/07/1966</t>
  </si>
  <si>
    <t>09/30/1963</t>
  </si>
  <si>
    <t>08/15/1948</t>
  </si>
  <si>
    <t>04/08/1957</t>
  </si>
  <si>
    <t>11/03/1930</t>
  </si>
  <si>
    <t>05/05/1983</t>
  </si>
  <si>
    <t>04/05/1980</t>
  </si>
  <si>
    <t>01/10/1960</t>
  </si>
  <si>
    <t>04/04/1957</t>
  </si>
  <si>
    <t>09/06/1968</t>
  </si>
  <si>
    <t>08/22/1989</t>
  </si>
  <si>
    <t>07/08/1968</t>
  </si>
  <si>
    <t>09/06/1957</t>
  </si>
  <si>
    <t>09/15/1961</t>
  </si>
  <si>
    <t>07/18/1962</t>
  </si>
  <si>
    <t>04/05/1971</t>
  </si>
  <si>
    <t>03/27/1952</t>
  </si>
  <si>
    <t>07/08/1958</t>
  </si>
  <si>
    <t>04/05/1972</t>
  </si>
  <si>
    <t>10/19/1969</t>
  </si>
  <si>
    <t>04/18/1959</t>
  </si>
  <si>
    <t>10/02/1956</t>
  </si>
  <si>
    <t>03/05/1957</t>
  </si>
  <si>
    <t>08/24/1958</t>
  </si>
  <si>
    <t>11/12/1982</t>
  </si>
  <si>
    <t>04/30/1975</t>
  </si>
  <si>
    <t>05/17/1930</t>
  </si>
  <si>
    <t>11/12/1931</t>
  </si>
  <si>
    <t>08/24/1973</t>
  </si>
  <si>
    <t>02/01/1952</t>
  </si>
  <si>
    <t>04/25/1943</t>
  </si>
  <si>
    <t>03/06/1977</t>
  </si>
  <si>
    <t>08/02/1978</t>
  </si>
  <si>
    <t>11/16/1936</t>
  </si>
  <si>
    <t>10/16/1968</t>
  </si>
  <si>
    <t>09/14/1963</t>
  </si>
  <si>
    <t>03/24/1967</t>
  </si>
  <si>
    <t>02/23/1967</t>
  </si>
  <si>
    <t>10/23/1964</t>
  </si>
  <si>
    <t>10/19/1941</t>
  </si>
  <si>
    <t>10/04/1968</t>
  </si>
  <si>
    <t>04/28/1946</t>
  </si>
  <si>
    <t>05/20/1979</t>
  </si>
  <si>
    <t>11/16/1981</t>
  </si>
  <si>
    <t>07/24/1941</t>
  </si>
  <si>
    <t>04/23/1968</t>
  </si>
  <si>
    <t>12/31/1981</t>
  </si>
  <si>
    <t>04/06/1952</t>
  </si>
  <si>
    <t>03/25/1987</t>
  </si>
  <si>
    <t>06/28/1964</t>
  </si>
  <si>
    <t>01/24/1974</t>
  </si>
  <si>
    <t>02/28/1951</t>
  </si>
  <si>
    <t>04/24/1958</t>
  </si>
  <si>
    <t>10/14/1977</t>
  </si>
  <si>
    <t>04/10/1951</t>
  </si>
  <si>
    <t>06/27/1963</t>
  </si>
  <si>
    <t>07/07/1948</t>
  </si>
  <si>
    <t>05/30/1951</t>
  </si>
  <si>
    <t>10/12/1932</t>
  </si>
  <si>
    <t>06/13/1963</t>
  </si>
  <si>
    <t>09/05/1947</t>
  </si>
  <si>
    <t>09/26/1953</t>
  </si>
  <si>
    <t>05/01/1954</t>
  </si>
  <si>
    <t>11/29/1941</t>
  </si>
  <si>
    <t>08/09/1961</t>
  </si>
  <si>
    <t>08/16/1981</t>
  </si>
  <si>
    <t>03/01/1967</t>
  </si>
  <si>
    <t>05/26/1953</t>
  </si>
  <si>
    <t>03/20/1971</t>
  </si>
  <si>
    <t>04/10/1979</t>
  </si>
  <si>
    <t>06/09/1984</t>
  </si>
  <si>
    <t>02/04/1956</t>
  </si>
  <si>
    <t>09/23/1981</t>
  </si>
  <si>
    <t>06/10/1956</t>
  </si>
  <si>
    <t>11/04/1970</t>
  </si>
  <si>
    <t>07/23/1976</t>
  </si>
  <si>
    <t>06/21/1979</t>
  </si>
  <si>
    <t>12/29/1977</t>
  </si>
  <si>
    <t>01/12/1954</t>
  </si>
  <si>
    <t>01/10/1995</t>
  </si>
  <si>
    <t>06/02/1989</t>
  </si>
  <si>
    <t>07/03/1956</t>
  </si>
  <si>
    <t>04/25/1929</t>
  </si>
  <si>
    <t>11/17/1986</t>
  </si>
  <si>
    <t>02/07/1985</t>
  </si>
  <si>
    <t>11/04/1951</t>
  </si>
  <si>
    <t>09/01/1966</t>
  </si>
  <si>
    <t>06/21/1990</t>
  </si>
  <si>
    <t>05/04/1955</t>
  </si>
  <si>
    <t>07/25/1947</t>
  </si>
  <si>
    <t>07/23/1938</t>
  </si>
  <si>
    <t>04/08/1962</t>
  </si>
  <si>
    <t>10/23/1942</t>
  </si>
  <si>
    <t>03/30/1982</t>
  </si>
  <si>
    <t>07/25/1961</t>
  </si>
  <si>
    <t>08/08/1976</t>
  </si>
  <si>
    <t>06/23/1987</t>
  </si>
  <si>
    <t>01/20/1950</t>
  </si>
  <si>
    <t>02/14/1987</t>
  </si>
  <si>
    <t>01/02/1965</t>
  </si>
  <si>
    <t>08/10/1957</t>
  </si>
  <si>
    <t>07/01/1958</t>
  </si>
  <si>
    <t>10/14/1961</t>
  </si>
  <si>
    <t>04/29/1959</t>
  </si>
  <si>
    <t>10/17/1961</t>
  </si>
  <si>
    <t>09/03/1968</t>
  </si>
  <si>
    <t>09/03/1983</t>
  </si>
  <si>
    <t>08/12/1956</t>
  </si>
  <si>
    <t>02/14/1961</t>
  </si>
  <si>
    <t>10/30/1950</t>
  </si>
  <si>
    <t>09/07/1955</t>
  </si>
  <si>
    <t>12/23/1947</t>
  </si>
  <si>
    <t>04/10/1976</t>
  </si>
  <si>
    <t>03/14/1957</t>
  </si>
  <si>
    <t>06/27/1954</t>
  </si>
  <si>
    <t>08/13/1968</t>
  </si>
  <si>
    <t>10/30/1978</t>
  </si>
  <si>
    <t>07/15/1957</t>
  </si>
  <si>
    <t>05/25/1968</t>
  </si>
  <si>
    <t>07/28/1955</t>
  </si>
  <si>
    <t>03/13/1956</t>
  </si>
  <si>
    <t>01/20/1982</t>
  </si>
  <si>
    <t>12/13/1984</t>
  </si>
  <si>
    <t>09/02/1949</t>
  </si>
  <si>
    <t>05/10/1933</t>
  </si>
  <si>
    <t>01/08/1933</t>
  </si>
  <si>
    <t>10/20/1968</t>
  </si>
  <si>
    <t>03/17/1960</t>
  </si>
  <si>
    <t>08/25/1982</t>
  </si>
  <si>
    <t>05/31/1982</t>
  </si>
  <si>
    <t>08/19/1960</t>
  </si>
  <si>
    <t>07/20/1968</t>
  </si>
  <si>
    <t>04/23/1944</t>
  </si>
  <si>
    <t>12/28/1946</t>
  </si>
  <si>
    <t>05/15/1965</t>
  </si>
  <si>
    <t>12/14/1961</t>
  </si>
  <si>
    <t>12/25/1942</t>
  </si>
  <si>
    <t>02/05/1956</t>
  </si>
  <si>
    <t>12/23/1960</t>
  </si>
  <si>
    <t>08/10/1979</t>
  </si>
  <si>
    <t>05/22/1966</t>
  </si>
  <si>
    <t>03/14/1964</t>
  </si>
  <si>
    <t>04/15/1974</t>
  </si>
  <si>
    <t>03/27/1983</t>
  </si>
  <si>
    <t>03/15/1956</t>
  </si>
  <si>
    <t>10/04/1944</t>
  </si>
  <si>
    <t>03/16/1953</t>
  </si>
  <si>
    <t>08/28/1941</t>
  </si>
  <si>
    <t>07/17/1943</t>
  </si>
  <si>
    <t>05/07/1946</t>
  </si>
  <si>
    <t>01/01/1955</t>
  </si>
  <si>
    <t>02/06/1965</t>
  </si>
  <si>
    <t>09/02/1941</t>
  </si>
  <si>
    <t>12/04/1953</t>
  </si>
  <si>
    <t>09/03/1952</t>
  </si>
  <si>
    <t>07/04/1966</t>
  </si>
  <si>
    <t>05/13/1949</t>
  </si>
  <si>
    <t>07/26/1966</t>
  </si>
  <si>
    <t>10/06/1958</t>
  </si>
  <si>
    <t>08/28/1953</t>
  </si>
  <si>
    <t>11/21/1966</t>
  </si>
  <si>
    <t>10/03/1962</t>
  </si>
  <si>
    <t>06/30/1948</t>
  </si>
  <si>
    <t>09/02/1948</t>
  </si>
  <si>
    <t>09/27/1957</t>
  </si>
  <si>
    <t>03/13/1930</t>
  </si>
  <si>
    <t>05/26/1946</t>
  </si>
  <si>
    <t>03/21/1957</t>
  </si>
  <si>
    <t>07/29/1959</t>
  </si>
  <si>
    <t>11/24/1962</t>
  </si>
  <si>
    <t>10/01/1950</t>
  </si>
  <si>
    <t>06/20/1960</t>
  </si>
  <si>
    <t>12/31/1990</t>
  </si>
  <si>
    <t>04/27/1961</t>
  </si>
  <si>
    <t>09/18/1960</t>
  </si>
  <si>
    <t>07/09/1957</t>
  </si>
  <si>
    <t>11/19/1984</t>
  </si>
  <si>
    <t>10/11/1960</t>
  </si>
  <si>
    <t>07/20/1962</t>
  </si>
  <si>
    <t>02/14/1946</t>
  </si>
  <si>
    <t>06/22/1964</t>
  </si>
  <si>
    <t>09/04/1954</t>
  </si>
  <si>
    <t>05/19/1945</t>
  </si>
  <si>
    <t>10/21/1965</t>
  </si>
  <si>
    <t>01/27/1952</t>
  </si>
  <si>
    <t>09/06/1956</t>
  </si>
  <si>
    <t>07/09/1964</t>
  </si>
  <si>
    <t>11/25/1975</t>
  </si>
  <si>
    <t>01/07/1982</t>
  </si>
  <si>
    <t>05/24/2012</t>
  </si>
  <si>
    <t>01/10/1950</t>
  </si>
  <si>
    <t>10/23/1950</t>
  </si>
  <si>
    <t>03/06/1957</t>
  </si>
  <si>
    <t>11/10/1984</t>
  </si>
  <si>
    <t>07/31/1961</t>
  </si>
  <si>
    <t>10/18/1988</t>
  </si>
  <si>
    <t>02/24/1983</t>
  </si>
  <si>
    <t>05/02/1959</t>
  </si>
  <si>
    <t>08/27/1967</t>
  </si>
  <si>
    <t>01/05/1946</t>
  </si>
  <si>
    <t>11/25/1950</t>
  </si>
  <si>
    <t>02/05/1940</t>
  </si>
  <si>
    <t>03/04/1977</t>
  </si>
  <si>
    <t>10/20/1949</t>
  </si>
  <si>
    <t>02/10/1944</t>
  </si>
  <si>
    <t>06/25/1977</t>
  </si>
  <si>
    <t>09/15/1942</t>
  </si>
  <si>
    <t>02/01/1945</t>
  </si>
  <si>
    <t>12/26/1938</t>
  </si>
  <si>
    <t>05/04/1965</t>
  </si>
  <si>
    <t>12/26/1973</t>
  </si>
  <si>
    <t>01/29/1985</t>
  </si>
  <si>
    <t>08/11/1935</t>
  </si>
  <si>
    <t>02/03/1956</t>
  </si>
  <si>
    <t>08/12/1974</t>
  </si>
  <si>
    <t>04/29/1974</t>
  </si>
  <si>
    <t>12/26/1966</t>
  </si>
  <si>
    <t>03/19/1971</t>
  </si>
  <si>
    <t>04/15/1977</t>
  </si>
  <si>
    <t>03/15/1965</t>
  </si>
  <si>
    <t>08/24/1993</t>
  </si>
  <si>
    <t>08/07/1977</t>
  </si>
  <si>
    <t>03/08/1938</t>
  </si>
  <si>
    <t>03/18/1988</t>
  </si>
  <si>
    <t>08/21/1952</t>
  </si>
  <si>
    <t>06/24/1957</t>
  </si>
  <si>
    <t>08/26/1972</t>
  </si>
  <si>
    <t>11/13/1957</t>
  </si>
  <si>
    <t>12/12/1952</t>
  </si>
  <si>
    <t>12/14/1954</t>
  </si>
  <si>
    <t>10/02/1961</t>
  </si>
  <si>
    <t>03/17/1961</t>
  </si>
  <si>
    <t>09/10/1957</t>
  </si>
  <si>
    <t>07/24/1949</t>
  </si>
  <si>
    <t>08/11/1958</t>
  </si>
  <si>
    <t>03/18/1967</t>
  </si>
  <si>
    <t>09/18/1940</t>
  </si>
  <si>
    <t>09/25/1955</t>
  </si>
  <si>
    <t>07/17/1974</t>
  </si>
  <si>
    <t>06/08/1944</t>
  </si>
  <si>
    <t>06/25/1956</t>
  </si>
  <si>
    <t>05/04/1951</t>
  </si>
  <si>
    <t>01/19/1942</t>
  </si>
  <si>
    <t>07/16/1968</t>
  </si>
  <si>
    <t>06/14/1988</t>
  </si>
  <si>
    <t>06/10/1922</t>
  </si>
  <si>
    <t>03/25/1980</t>
  </si>
  <si>
    <t>05/03/1962</t>
  </si>
  <si>
    <t>08/28/1976</t>
  </si>
  <si>
    <t>08/15/1958</t>
  </si>
  <si>
    <t>03/22/1965</t>
  </si>
  <si>
    <t>03/28/1945</t>
  </si>
  <si>
    <t>09/04/1944</t>
  </si>
  <si>
    <t>06/20/1954</t>
  </si>
  <si>
    <t>01/30/1958</t>
  </si>
  <si>
    <t>03/25/1957</t>
  </si>
  <si>
    <t>09/01/1949</t>
  </si>
  <si>
    <t>09/16/1965</t>
  </si>
  <si>
    <t>01/28/1969</t>
  </si>
  <si>
    <t>08/01/1971</t>
  </si>
  <si>
    <t>05/24/1979</t>
  </si>
  <si>
    <t>02/21/1941</t>
  </si>
  <si>
    <t>10/05/1950</t>
  </si>
  <si>
    <t>12/27/1961</t>
  </si>
  <si>
    <t>01/13/1944</t>
  </si>
  <si>
    <t>04/08/1947</t>
  </si>
  <si>
    <t>12/30/1945</t>
  </si>
  <si>
    <t>11/15/1937</t>
  </si>
  <si>
    <t>05/30/1958</t>
  </si>
  <si>
    <t>09/16/1952</t>
  </si>
  <si>
    <t>09/22/1964</t>
  </si>
  <si>
    <t>07/11/1944</t>
  </si>
  <si>
    <t>03/31/1951</t>
  </si>
  <si>
    <t>10/31/1950</t>
  </si>
  <si>
    <t>02/11/1978</t>
  </si>
  <si>
    <t>03/25/1949</t>
  </si>
  <si>
    <t>02/02/1968</t>
  </si>
  <si>
    <t>11/17/1956</t>
  </si>
  <si>
    <t>09/05/1967</t>
  </si>
  <si>
    <t>01/07/1946</t>
  </si>
  <si>
    <t>06/26/1945</t>
  </si>
  <si>
    <t>09/08/1962</t>
  </si>
  <si>
    <t>12/21/1956</t>
  </si>
  <si>
    <t>11/09/1953</t>
  </si>
  <si>
    <t>03/29/1990</t>
  </si>
  <si>
    <t>10/14/1927</t>
  </si>
  <si>
    <t>10/04/1987</t>
  </si>
  <si>
    <t>12/23/1950</t>
  </si>
  <si>
    <t>09/24/1941</t>
  </si>
  <si>
    <t>01/26/1944</t>
  </si>
  <si>
    <t>01/20/1955</t>
  </si>
  <si>
    <t>09/27/1949</t>
  </si>
  <si>
    <t>07/25/1951</t>
  </si>
  <si>
    <t>10/19/1944</t>
  </si>
  <si>
    <t>07/29/1948</t>
  </si>
  <si>
    <t>06/11/1986</t>
  </si>
  <si>
    <t>03/25/1975</t>
  </si>
  <si>
    <t>04/06/1959</t>
  </si>
  <si>
    <t>09/24/1969</t>
  </si>
  <si>
    <t>03/28/1969</t>
  </si>
  <si>
    <t>07/23/1968</t>
  </si>
  <si>
    <t>03/16/1972</t>
  </si>
  <si>
    <t>04/25/1988</t>
  </si>
  <si>
    <t>12/28/1973</t>
  </si>
  <si>
    <t>01/25/1990</t>
  </si>
  <si>
    <t>02/28/1978</t>
  </si>
  <si>
    <t>08/04/1958</t>
  </si>
  <si>
    <t>03/04/1993</t>
  </si>
  <si>
    <t>12/24/1964</t>
  </si>
  <si>
    <t>04/15/1950</t>
  </si>
  <si>
    <t>09/06/1952</t>
  </si>
  <si>
    <t>10/20/1951</t>
  </si>
  <si>
    <t>09/08/1977</t>
  </si>
  <si>
    <t>11/13/1979</t>
  </si>
  <si>
    <t>10/01/1981</t>
  </si>
  <si>
    <t>12/21/1952</t>
  </si>
  <si>
    <t>07/24/1966</t>
  </si>
  <si>
    <t>07/23/1978</t>
  </si>
  <si>
    <t>01/08/1963</t>
  </si>
  <si>
    <t>05/20/1948</t>
  </si>
  <si>
    <t>05/20/1968</t>
  </si>
  <si>
    <t>01/22/1976</t>
  </si>
  <si>
    <t>06/02/1944</t>
  </si>
  <si>
    <t>02/08/1958</t>
  </si>
  <si>
    <t>09/14/1940</t>
  </si>
  <si>
    <t>03/07/1957</t>
  </si>
  <si>
    <t>11/21/1937</t>
  </si>
  <si>
    <t>01/04/1976</t>
  </si>
  <si>
    <t>08/11/1942</t>
  </si>
  <si>
    <t>12/16/1966</t>
  </si>
  <si>
    <t>04/24/1950</t>
  </si>
  <si>
    <t>04/17/1960</t>
  </si>
  <si>
    <t>06/29/1952</t>
  </si>
  <si>
    <t>05/05/1953</t>
  </si>
  <si>
    <t>02/08/1939</t>
  </si>
  <si>
    <t>08/10/1942</t>
  </si>
  <si>
    <t>05/16/1962</t>
  </si>
  <si>
    <t>07/30/1956</t>
  </si>
  <si>
    <t>04/08/1979</t>
  </si>
  <si>
    <t>10/28/1957</t>
  </si>
  <si>
    <t>05/14/1934</t>
  </si>
  <si>
    <t>11/08/1965</t>
  </si>
  <si>
    <t>03/26/1956</t>
  </si>
  <si>
    <t>05/18/1979</t>
  </si>
  <si>
    <t>10/26/1957</t>
  </si>
  <si>
    <t>02/15/1957</t>
  </si>
  <si>
    <t>12/24/1968</t>
  </si>
  <si>
    <t>07/19/1955</t>
  </si>
  <si>
    <t>05/13/1976</t>
  </si>
  <si>
    <t>05/11/1959</t>
  </si>
  <si>
    <t>05/28/1958</t>
  </si>
  <si>
    <t>11/28/1964</t>
  </si>
  <si>
    <t>01/29/1945</t>
  </si>
  <si>
    <t>02/07/1979</t>
  </si>
  <si>
    <t>05/02/1950</t>
  </si>
  <si>
    <t>04/22/1966</t>
  </si>
  <si>
    <t>04/13/1959</t>
  </si>
  <si>
    <t>04/03/1982</t>
  </si>
  <si>
    <t>04/26/1963</t>
  </si>
  <si>
    <t>12/30/1961</t>
  </si>
  <si>
    <t>02/07/1956</t>
  </si>
  <si>
    <t>07/17/1959</t>
  </si>
  <si>
    <t>04/08/1942</t>
  </si>
  <si>
    <t>11/28/1967</t>
  </si>
  <si>
    <t>04/10/1958</t>
  </si>
  <si>
    <t>10/09/1961</t>
  </si>
  <si>
    <t>06/02/1948</t>
  </si>
  <si>
    <t>12/24/1956</t>
  </si>
  <si>
    <t>08/02/1977</t>
  </si>
  <si>
    <t>10/10/1969</t>
  </si>
  <si>
    <t>11/06/1980</t>
  </si>
  <si>
    <t>07/23/1969</t>
  </si>
  <si>
    <t>09/18/1990</t>
  </si>
  <si>
    <t>11/18/1950</t>
  </si>
  <si>
    <t>12/13/1971</t>
  </si>
  <si>
    <t>04/23/1967</t>
  </si>
  <si>
    <t>09/14/1962</t>
  </si>
  <si>
    <t>06/11/1956</t>
  </si>
  <si>
    <t>05/28/1953</t>
  </si>
  <si>
    <t>12/24/1947</t>
  </si>
  <si>
    <t>05/23/1944</t>
  </si>
  <si>
    <t>02/12/1965</t>
  </si>
  <si>
    <t>02/25/1995</t>
  </si>
  <si>
    <t>01/15/1953</t>
  </si>
  <si>
    <t>08/10/1962</t>
  </si>
  <si>
    <t>10/12/1979</t>
  </si>
  <si>
    <t>04/08/1977</t>
  </si>
  <si>
    <t>02/25/1955</t>
  </si>
  <si>
    <t>08/07/1989</t>
  </si>
  <si>
    <t>05/27/1970</t>
  </si>
  <si>
    <t>02/24/1989</t>
  </si>
  <si>
    <t>03/23/1978</t>
  </si>
  <si>
    <t>01/20/1976</t>
  </si>
  <si>
    <t>11/04/1948</t>
  </si>
  <si>
    <t>03/02/1937</t>
  </si>
  <si>
    <t>04/26/1953</t>
  </si>
  <si>
    <t>05/21/1951</t>
  </si>
  <si>
    <t>04/21/1956</t>
  </si>
  <si>
    <t>09/20/1959</t>
  </si>
  <si>
    <t>03/25/1954</t>
  </si>
  <si>
    <t>02/15/1940</t>
  </si>
  <si>
    <t>09/30/1960</t>
  </si>
  <si>
    <t>06/10/1962</t>
  </si>
  <si>
    <t>08/21/1978</t>
  </si>
  <si>
    <t>05/07/1965</t>
  </si>
  <si>
    <t>10/28/1959</t>
  </si>
  <si>
    <t>11/15/1936</t>
  </si>
  <si>
    <t>08/28/1966</t>
  </si>
  <si>
    <t>12/16/1978</t>
  </si>
  <si>
    <t>08/06/1985</t>
  </si>
  <si>
    <t>12/11/1956</t>
  </si>
  <si>
    <t>01/26/1926</t>
  </si>
  <si>
    <t>07/06/1949</t>
  </si>
  <si>
    <t>05/09/1985</t>
  </si>
  <si>
    <t>05/30/1955</t>
  </si>
  <si>
    <t>01/21/1948</t>
  </si>
  <si>
    <t>09/07/1947</t>
  </si>
  <si>
    <t>10/15/1974</t>
  </si>
  <si>
    <t>12/08/1950</t>
  </si>
  <si>
    <t>03/15/1958</t>
  </si>
  <si>
    <t>12/03/1971</t>
  </si>
  <si>
    <t>12/03/1964</t>
  </si>
  <si>
    <t>09/08/1950</t>
  </si>
  <si>
    <t>03/24/1962</t>
  </si>
  <si>
    <t>11/01/1940</t>
  </si>
  <si>
    <t>09/25/1951</t>
  </si>
  <si>
    <t>03/20/1947</t>
  </si>
  <si>
    <t>07/31/1936</t>
  </si>
  <si>
    <t>03/10/1953</t>
  </si>
  <si>
    <t>11/28/1961</t>
  </si>
  <si>
    <t>07/22/1967</t>
  </si>
  <si>
    <t>03/08/1957</t>
  </si>
  <si>
    <t>11/24/1937</t>
  </si>
  <si>
    <t>12/28/1951</t>
  </si>
  <si>
    <t>11/23/1989</t>
  </si>
  <si>
    <t>05/05/1975</t>
  </si>
  <si>
    <t>11/05/1940</t>
  </si>
  <si>
    <t>02/02/1972</t>
  </si>
  <si>
    <t>08/19/1945</t>
  </si>
  <si>
    <t>12/12/1972</t>
  </si>
  <si>
    <t>05/16/1944</t>
  </si>
  <si>
    <t>12/11/1932</t>
  </si>
  <si>
    <t>10/12/1972</t>
  </si>
  <si>
    <t>01/17/1959</t>
  </si>
  <si>
    <t>12/11/1952</t>
  </si>
  <si>
    <t>06/14/1949</t>
  </si>
  <si>
    <t>04/24/1970</t>
  </si>
  <si>
    <t>05/01/1947</t>
  </si>
  <si>
    <t>12/09/1950</t>
  </si>
  <si>
    <t>08/12/1928</t>
  </si>
  <si>
    <t>05/23/1963</t>
  </si>
  <si>
    <t>08/26/1989</t>
  </si>
  <si>
    <t>09/29/1962</t>
  </si>
  <si>
    <t>03/08/1962</t>
  </si>
  <si>
    <t>11/15/1954</t>
  </si>
  <si>
    <t>11/29/1950</t>
  </si>
  <si>
    <t>01/01/1938</t>
  </si>
  <si>
    <t>08/03/1982</t>
  </si>
  <si>
    <t>03/26/1944</t>
  </si>
  <si>
    <t>03/20/1943</t>
  </si>
  <si>
    <t>05/18/1977</t>
  </si>
  <si>
    <t>06/16/1979</t>
  </si>
  <si>
    <t>08/26/1957</t>
  </si>
  <si>
    <t>08/26/1948</t>
  </si>
  <si>
    <t>02/12/1969</t>
  </si>
  <si>
    <t>04/15/1983</t>
  </si>
  <si>
    <t>09/07/1961</t>
  </si>
  <si>
    <t>04/14/1966</t>
  </si>
  <si>
    <t>03/05/1946</t>
  </si>
  <si>
    <t>02/15/1953</t>
  </si>
  <si>
    <t>12/18/1936</t>
  </si>
  <si>
    <t>12/03/1962</t>
  </si>
  <si>
    <t>04/01/1948</t>
  </si>
  <si>
    <t>04/03/1957</t>
  </si>
  <si>
    <t>07/27/1964</t>
  </si>
  <si>
    <t>10/08/1977</t>
  </si>
  <si>
    <t>09/06/1951</t>
  </si>
  <si>
    <t>06/19/1956</t>
  </si>
  <si>
    <t>06/04/1952</t>
  </si>
  <si>
    <t>12/08/1977</t>
  </si>
  <si>
    <t>12/11/1938</t>
  </si>
  <si>
    <t>03/07/1962</t>
  </si>
  <si>
    <t>11/29/1948</t>
  </si>
  <si>
    <t>03/30/1956</t>
  </si>
  <si>
    <t>01/10/1953</t>
  </si>
  <si>
    <t>02/15/1968</t>
  </si>
  <si>
    <t>04/20/1986</t>
  </si>
  <si>
    <t>07/27/1948</t>
  </si>
  <si>
    <t>07/03/1951</t>
  </si>
  <si>
    <t>05/09/1967</t>
  </si>
  <si>
    <t>11/17/1943</t>
  </si>
  <si>
    <t>04/28/1979</t>
  </si>
  <si>
    <t>04/23/1956</t>
  </si>
  <si>
    <t>05/12/1959</t>
  </si>
  <si>
    <t>06/07/1946</t>
  </si>
  <si>
    <t>06/16/1941</t>
  </si>
  <si>
    <t>09/30/1965</t>
  </si>
  <si>
    <t>06/17/1972</t>
  </si>
  <si>
    <t>07/14/1956</t>
  </si>
  <si>
    <t>12/17/1975</t>
  </si>
  <si>
    <t>10/26/1955</t>
  </si>
  <si>
    <t>01/28/1949</t>
  </si>
  <si>
    <t>10/01/1986</t>
  </si>
  <si>
    <t>12/08/1936</t>
  </si>
  <si>
    <t>01/27/1974</t>
  </si>
  <si>
    <t>01/17/1956</t>
  </si>
  <si>
    <t>10/09/1954</t>
  </si>
  <si>
    <t>03/11/1935</t>
  </si>
  <si>
    <t>05/15/1944</t>
  </si>
  <si>
    <t>03/26/1936</t>
  </si>
  <si>
    <t>05/28/1987</t>
  </si>
  <si>
    <t>10/24/1962</t>
  </si>
  <si>
    <t>04/24/1931</t>
  </si>
  <si>
    <t>10/01/1968</t>
  </si>
  <si>
    <t>07/30/1949</t>
  </si>
  <si>
    <t>12/29/1947</t>
  </si>
  <si>
    <t>12/26/1982</t>
  </si>
  <si>
    <t>12/09/1988</t>
  </si>
  <si>
    <t>07/26/1965</t>
  </si>
  <si>
    <t>02/28/1977</t>
  </si>
  <si>
    <t>12/20/1943</t>
  </si>
  <si>
    <t>12/07/1956</t>
  </si>
  <si>
    <t>09/19/1973</t>
  </si>
  <si>
    <t>02/03/1941</t>
  </si>
  <si>
    <t>10/14/1964</t>
  </si>
  <si>
    <t>05/31/1947</t>
  </si>
  <si>
    <t>10/30/1977</t>
  </si>
  <si>
    <t>11/21/1962</t>
  </si>
  <si>
    <t>06/13/1956</t>
  </si>
  <si>
    <t>08/02/1934</t>
  </si>
  <si>
    <t>11/29/1977</t>
  </si>
  <si>
    <t>03/15/1984</t>
  </si>
  <si>
    <t>11/01/1954</t>
  </si>
  <si>
    <t>12/13/1965</t>
  </si>
  <si>
    <t>04/11/1942</t>
  </si>
  <si>
    <t>12/28/1954</t>
  </si>
  <si>
    <t>04/27/1975</t>
  </si>
  <si>
    <t>03/01/1951</t>
  </si>
  <si>
    <t>11/14/1943</t>
  </si>
  <si>
    <t>05/23/1962</t>
  </si>
  <si>
    <t>06/05/1953</t>
  </si>
  <si>
    <t>06/13/1938</t>
  </si>
  <si>
    <t>08/14/1954</t>
  </si>
  <si>
    <t>12/25/1965</t>
  </si>
  <si>
    <t>06/21/1963</t>
  </si>
  <si>
    <t>12/08/1960</t>
  </si>
  <si>
    <t>01/18/1956</t>
  </si>
  <si>
    <t>06/14/1957</t>
  </si>
  <si>
    <t>09/29/1960</t>
  </si>
  <si>
    <t>06/19/1952</t>
  </si>
  <si>
    <t>01/01/1952</t>
  </si>
  <si>
    <t>08/19/1939</t>
  </si>
  <si>
    <t>05/29/1958</t>
  </si>
  <si>
    <t>06/17/1978</t>
  </si>
  <si>
    <t>01/02/1972</t>
  </si>
  <si>
    <t>09/07/1953</t>
  </si>
  <si>
    <t>03/17/1978</t>
  </si>
  <si>
    <t>05/21/1964</t>
  </si>
  <si>
    <t>06/15/1948</t>
  </si>
  <si>
    <t>09/17/1990</t>
  </si>
  <si>
    <t>03/18/1945</t>
  </si>
  <si>
    <t>04/21/1944</t>
  </si>
  <si>
    <t>02/24/1926</t>
  </si>
  <si>
    <t>05/24/1954</t>
  </si>
  <si>
    <t>09/20/1957</t>
  </si>
  <si>
    <t>02/27/1964</t>
  </si>
  <si>
    <t>06/09/1968</t>
  </si>
  <si>
    <t>12/17/1963</t>
  </si>
  <si>
    <t>09/09/1949</t>
  </si>
  <si>
    <t>09/03/1965</t>
  </si>
  <si>
    <t>07/10/1961</t>
  </si>
  <si>
    <t>12/08/1944</t>
  </si>
  <si>
    <t>12/29/1920</t>
  </si>
  <si>
    <t>04/19/1998</t>
  </si>
  <si>
    <t>11/21/1954</t>
  </si>
  <si>
    <t>09/30/1958</t>
  </si>
  <si>
    <t>09/23/1959</t>
  </si>
  <si>
    <t>12/13/1956</t>
  </si>
  <si>
    <t>12/26/1963</t>
  </si>
  <si>
    <t>10/11/1955</t>
  </si>
  <si>
    <t>11/11/1956</t>
  </si>
  <si>
    <t>03/04/1958</t>
  </si>
  <si>
    <t>01/02/1944</t>
  </si>
  <si>
    <t>10/29/1959</t>
  </si>
  <si>
    <t>12/27/1977</t>
  </si>
  <si>
    <t>01/02/1958</t>
  </si>
  <si>
    <t>03/29/1961</t>
  </si>
  <si>
    <t>09/19/1959</t>
  </si>
  <si>
    <t>05/09/1958</t>
  </si>
  <si>
    <t>06/13/1955</t>
  </si>
  <si>
    <t>10/11/1959</t>
  </si>
  <si>
    <t>03/11/1943</t>
  </si>
  <si>
    <t>11/01/1943</t>
  </si>
  <si>
    <t>02/19/1978</t>
  </si>
  <si>
    <t>05/19/1947</t>
  </si>
  <si>
    <t>06/02/1963</t>
  </si>
  <si>
    <t>11/04/1952</t>
  </si>
  <si>
    <t>08/28/1955</t>
  </si>
  <si>
    <t>07/26/1942</t>
  </si>
  <si>
    <t>07/10/1952</t>
  </si>
  <si>
    <t>10/25/1956</t>
  </si>
  <si>
    <t>10/03/1949</t>
  </si>
  <si>
    <t>10/25/1954</t>
  </si>
  <si>
    <t>01/19/1954</t>
  </si>
  <si>
    <t>08/20/1947</t>
  </si>
  <si>
    <t>02/15/1962</t>
  </si>
  <si>
    <t>03/15/1977</t>
  </si>
  <si>
    <t>03/01/1990</t>
  </si>
  <si>
    <t>02/08/1972</t>
  </si>
  <si>
    <t>10/11/1950</t>
  </si>
  <si>
    <t>10/09/1942</t>
  </si>
  <si>
    <t>10/18/1984</t>
  </si>
  <si>
    <t>01/16/1939</t>
  </si>
  <si>
    <t>01/20/1958</t>
  </si>
  <si>
    <t>07/15/1961</t>
  </si>
  <si>
    <t>06/29/1959</t>
  </si>
  <si>
    <t>05/05/1968</t>
  </si>
  <si>
    <t>08/04/1946</t>
  </si>
  <si>
    <t>12/14/1956</t>
  </si>
  <si>
    <t>01/06/1939</t>
  </si>
  <si>
    <t>01/28/1938</t>
  </si>
  <si>
    <t>09/15/1963</t>
  </si>
  <si>
    <t>06/16/1952</t>
  </si>
  <si>
    <t>09/29/1967</t>
  </si>
  <si>
    <t>08/02/1958</t>
  </si>
  <si>
    <t>02/20/1943</t>
  </si>
  <si>
    <t>08/06/1945</t>
  </si>
  <si>
    <t>09/09/1965</t>
  </si>
  <si>
    <t>03/12/1948</t>
  </si>
  <si>
    <t>09/07/1988</t>
  </si>
  <si>
    <t>04/19/1953</t>
  </si>
  <si>
    <t>05/17/1957</t>
  </si>
  <si>
    <t>09/01/1940</t>
  </si>
  <si>
    <t>03/02/1942</t>
  </si>
  <si>
    <t>11/18/1941</t>
  </si>
  <si>
    <t>03/24/1957</t>
  </si>
  <si>
    <t>10/29/1961</t>
  </si>
  <si>
    <t>03/01/1982</t>
  </si>
  <si>
    <t>12/27/1954</t>
  </si>
  <si>
    <t>03/17/1969</t>
  </si>
  <si>
    <t>05/01/1964</t>
  </si>
  <si>
    <t>06/19/1965</t>
  </si>
  <si>
    <t>02/25/1946</t>
  </si>
  <si>
    <t>09/07/1975</t>
  </si>
  <si>
    <t>08/18/1955</t>
  </si>
  <si>
    <t>08/18/1978</t>
  </si>
  <si>
    <t>09/01/1960</t>
  </si>
  <si>
    <t>06/24/1969</t>
  </si>
  <si>
    <t>10/03/1958</t>
  </si>
  <si>
    <t>04/22/1950</t>
  </si>
  <si>
    <t>12/18/1980</t>
  </si>
  <si>
    <t>11/14/1957</t>
  </si>
  <si>
    <t>08/08/1985</t>
  </si>
  <si>
    <t>08/10/1960</t>
  </si>
  <si>
    <t>05/28/1933</t>
  </si>
  <si>
    <t>02/21/1963</t>
  </si>
  <si>
    <t>03/31/1964</t>
  </si>
  <si>
    <t>07/28/1969</t>
  </si>
  <si>
    <t>09/09/1959</t>
  </si>
  <si>
    <t>01/14/1954</t>
  </si>
  <si>
    <t>09/16/1958</t>
  </si>
  <si>
    <t>05/05/1959</t>
  </si>
  <si>
    <t>03/17/1962</t>
  </si>
  <si>
    <t>04/02/1993</t>
  </si>
  <si>
    <t>04/28/1974</t>
  </si>
  <si>
    <t>04/24/1989</t>
  </si>
  <si>
    <t>11/02/1944</t>
  </si>
  <si>
    <t>10/16/1954</t>
  </si>
  <si>
    <t>03/11/1933</t>
  </si>
  <si>
    <t>08/13/1947</t>
  </si>
  <si>
    <t>01/01/1950</t>
  </si>
  <si>
    <t>01/28/1985</t>
  </si>
  <si>
    <t>03/14/1956</t>
  </si>
  <si>
    <t>05/16/1952</t>
  </si>
  <si>
    <t>04/30/1953</t>
  </si>
  <si>
    <t>01/08/1956</t>
  </si>
  <si>
    <t>09/30/1975</t>
  </si>
  <si>
    <t>02/20/1987</t>
  </si>
  <si>
    <t>05/16/1969</t>
  </si>
  <si>
    <t>02/08/1971</t>
  </si>
  <si>
    <t>11/02/1961</t>
  </si>
  <si>
    <t>11/03/1957</t>
  </si>
  <si>
    <t>03/06/1956</t>
  </si>
  <si>
    <t>05/12/1962</t>
  </si>
  <si>
    <t>12/17/1956</t>
  </si>
  <si>
    <t>08/13/1937</t>
  </si>
  <si>
    <t>07/24/1957</t>
  </si>
  <si>
    <t>11/21/1923</t>
  </si>
  <si>
    <t>05/01/1941</t>
  </si>
  <si>
    <t>08/11/1949</t>
  </si>
  <si>
    <t>03/16/1959</t>
  </si>
  <si>
    <t>02/03/1969</t>
  </si>
  <si>
    <t>08/28/1957</t>
  </si>
  <si>
    <t>07/14/1976</t>
  </si>
  <si>
    <t>09/09/1979</t>
  </si>
  <si>
    <t>12/27/1987</t>
  </si>
  <si>
    <t>01/26/1963</t>
  </si>
  <si>
    <t>11/22/1946</t>
  </si>
  <si>
    <t>04/05/1959</t>
  </si>
  <si>
    <t>05/12/1987</t>
  </si>
  <si>
    <t>03/04/1945</t>
  </si>
  <si>
    <t>08/03/1939</t>
  </si>
  <si>
    <t>02/04/1961</t>
  </si>
  <si>
    <t>11/29/1957</t>
  </si>
  <si>
    <t>08/22/1991</t>
  </si>
  <si>
    <t>06/03/1958</t>
  </si>
  <si>
    <t>02/11/1962</t>
  </si>
  <si>
    <t>10/03/1965</t>
  </si>
  <si>
    <t>03/19/1980</t>
  </si>
  <si>
    <t>07/31/1976</t>
  </si>
  <si>
    <t>03/25/1960</t>
  </si>
  <si>
    <t>05/21/1935</t>
  </si>
  <si>
    <t>01/26/1956</t>
  </si>
  <si>
    <t>10/11/1956</t>
  </si>
  <si>
    <t>12/16/1973</t>
  </si>
  <si>
    <t>10/01/1961</t>
  </si>
  <si>
    <t>03/22/1977</t>
  </si>
  <si>
    <t>01/19/1955</t>
  </si>
  <si>
    <t>08/11/1948</t>
  </si>
  <si>
    <t>12/14/1948</t>
  </si>
  <si>
    <t>01/01/1934</t>
  </si>
  <si>
    <t>11/08/1946</t>
  </si>
  <si>
    <t>06/22/1947</t>
  </si>
  <si>
    <t>11/18/1971</t>
  </si>
  <si>
    <t>06/12/1972</t>
  </si>
  <si>
    <t>10/29/1972</t>
  </si>
  <si>
    <t>06/28/1993</t>
  </si>
  <si>
    <t>06/02/1973</t>
  </si>
  <si>
    <t>09/09/1940</t>
  </si>
  <si>
    <t>06/18/1991</t>
  </si>
  <si>
    <t>10/03/1988</t>
  </si>
  <si>
    <t>07/25/1969</t>
  </si>
  <si>
    <t>11/24/1970</t>
  </si>
  <si>
    <t>04/30/1941</t>
  </si>
  <si>
    <t>06/14/1961</t>
  </si>
  <si>
    <t>02/12/1956</t>
  </si>
  <si>
    <t>03/24/1995</t>
  </si>
  <si>
    <t>04/28/1939</t>
  </si>
  <si>
    <t>02/13/1967</t>
  </si>
  <si>
    <t>08/04/1964</t>
  </si>
  <si>
    <t>02/05/1959</t>
  </si>
  <si>
    <t>04/11/1951</t>
  </si>
  <si>
    <t>08/15/1963</t>
  </si>
  <si>
    <t>01/20/1999</t>
  </si>
  <si>
    <t>04/02/1988</t>
  </si>
  <si>
    <t>09/25/1966</t>
  </si>
  <si>
    <t>12/17/1979</t>
  </si>
  <si>
    <t>08/26/1969</t>
  </si>
  <si>
    <t>10/31/1968</t>
  </si>
  <si>
    <t>03/17/1967</t>
  </si>
  <si>
    <t>07/08/1938</t>
  </si>
  <si>
    <t>09/24/1972</t>
  </si>
  <si>
    <t>09/05/1958</t>
  </si>
  <si>
    <t>06/05/1952</t>
  </si>
  <si>
    <t>06/04/1984</t>
  </si>
  <si>
    <t>11/23/1993</t>
  </si>
  <si>
    <t>01/17/1966</t>
  </si>
  <si>
    <t>07/05/1966</t>
  </si>
  <si>
    <t>05/22/1957</t>
  </si>
  <si>
    <t>07/08/1989</t>
  </si>
  <si>
    <t>04/10/1967</t>
  </si>
  <si>
    <t>10/14/1978</t>
  </si>
  <si>
    <t>08/10/1994</t>
  </si>
  <si>
    <t>02/21/1974</t>
  </si>
  <si>
    <t>04/08/1975</t>
  </si>
  <si>
    <t>05/29/1988</t>
  </si>
  <si>
    <t>10/10/1986</t>
  </si>
  <si>
    <t>03/06/1968</t>
  </si>
  <si>
    <t>04/07/1957</t>
  </si>
  <si>
    <t>06/10/1954</t>
  </si>
  <si>
    <t>03/21/1965</t>
  </si>
  <si>
    <t>03/14/1955</t>
  </si>
  <si>
    <t>10/14/1960</t>
  </si>
  <si>
    <t>09/26/1955</t>
  </si>
  <si>
    <t>11/02/1969</t>
  </si>
  <si>
    <t>04/21/1934</t>
  </si>
  <si>
    <t>11/14/1953</t>
  </si>
  <si>
    <t>01/04/1946</t>
  </si>
  <si>
    <t>05/26/1960</t>
  </si>
  <si>
    <t>03/23/1988</t>
  </si>
  <si>
    <t>11/03/1966</t>
  </si>
  <si>
    <t>04/16/1959</t>
  </si>
  <si>
    <t>05/16/1982</t>
  </si>
  <si>
    <t>01/28/1961</t>
  </si>
  <si>
    <t>05/27/1977</t>
  </si>
  <si>
    <t>05/25/1958</t>
  </si>
  <si>
    <t>07/13/1982</t>
  </si>
  <si>
    <t>03/10/1981</t>
  </si>
  <si>
    <t>12/31/1963</t>
  </si>
  <si>
    <t>08/09/1955</t>
  </si>
  <si>
    <t>11/21/1944</t>
  </si>
  <si>
    <t>01/08/1980</t>
  </si>
  <si>
    <t>01/20/1956</t>
  </si>
  <si>
    <t>01/20/1959</t>
  </si>
  <si>
    <t>08/18/1945</t>
  </si>
  <si>
    <t>03/25/1984</t>
  </si>
  <si>
    <t>08/03/1976</t>
  </si>
  <si>
    <t>12/30/1971</t>
  </si>
  <si>
    <t>09/05/1962</t>
  </si>
  <si>
    <t>12/15/1964</t>
  </si>
  <si>
    <t>08/06/1988</t>
  </si>
  <si>
    <t>07/05/1961</t>
  </si>
  <si>
    <t>10/01/1957</t>
  </si>
  <si>
    <t>10/22/1930</t>
  </si>
  <si>
    <t>01/16/1968</t>
  </si>
  <si>
    <t>12/23/1966</t>
  </si>
  <si>
    <t>10/30/1956</t>
  </si>
  <si>
    <t>02/12/1944</t>
  </si>
  <si>
    <t>02/15/1989</t>
  </si>
  <si>
    <t>01/31/1951</t>
  </si>
  <si>
    <t>08/01/1959</t>
  </si>
  <si>
    <t>10/29/1934</t>
  </si>
  <si>
    <t>02/18/1937</t>
  </si>
  <si>
    <t>04/17/1955</t>
  </si>
  <si>
    <t>02/18/1936</t>
  </si>
  <si>
    <t>01/02/1939</t>
  </si>
  <si>
    <t>08/15/1952</t>
  </si>
  <si>
    <t>01/18/1958</t>
  </si>
  <si>
    <t>11/18/1963</t>
  </si>
  <si>
    <t>03/11/1951</t>
  </si>
  <si>
    <t>07/26/1964</t>
  </si>
  <si>
    <t>12/31/1970</t>
  </si>
  <si>
    <t>08/13/1975</t>
  </si>
  <si>
    <t>07/20/1973</t>
  </si>
  <si>
    <t>09/24/1986</t>
  </si>
  <si>
    <t>10/23/1954</t>
  </si>
  <si>
    <t>08/13/1952</t>
  </si>
  <si>
    <t>01/26/1939</t>
  </si>
  <si>
    <t>06/27/1976</t>
  </si>
  <si>
    <t>07/13/1990</t>
  </si>
  <si>
    <t>10/18/1965</t>
  </si>
  <si>
    <t>07/31/1932</t>
  </si>
  <si>
    <t>04/14/1945</t>
  </si>
  <si>
    <t>10/10/1949</t>
  </si>
  <si>
    <t>11/24/1960</t>
  </si>
  <si>
    <t>08/03/1958</t>
  </si>
  <si>
    <t>10/27/1984</t>
  </si>
  <si>
    <t>01/14/1963</t>
  </si>
  <si>
    <t>01/27/1956</t>
  </si>
  <si>
    <t>09/16/1968</t>
  </si>
  <si>
    <t>01/01/1958</t>
  </si>
  <si>
    <t>08/27/1976</t>
  </si>
  <si>
    <t>10/22/1935</t>
  </si>
  <si>
    <t>01/03/1972</t>
  </si>
  <si>
    <t>01/18/1994</t>
  </si>
  <si>
    <t>12/12/1953</t>
  </si>
  <si>
    <t>06/24/1951</t>
  </si>
  <si>
    <t>10/24/1951</t>
  </si>
  <si>
    <t>06/02/1982</t>
  </si>
  <si>
    <t>10/05/1941</t>
  </si>
  <si>
    <t>07/29/1966</t>
  </si>
  <si>
    <t>03/20/1968</t>
  </si>
  <si>
    <t>09/29/1968</t>
  </si>
  <si>
    <t>09/18/1979</t>
  </si>
  <si>
    <t>01/26/1954</t>
  </si>
  <si>
    <t>11/26/1976</t>
  </si>
  <si>
    <t>12/26/1970</t>
  </si>
  <si>
    <t>01/07/1957</t>
  </si>
  <si>
    <t>10/13/1952</t>
  </si>
  <si>
    <t>02/10/1948</t>
  </si>
  <si>
    <t>12/26/1946</t>
  </si>
  <si>
    <t>08/06/1992</t>
  </si>
  <si>
    <t>02/12/1977</t>
  </si>
  <si>
    <t>05/29/1992</t>
  </si>
  <si>
    <t>04/23/1981</t>
  </si>
  <si>
    <t>12/02/1958</t>
  </si>
  <si>
    <t>11/15/1969</t>
  </si>
  <si>
    <t>01/03/1952</t>
  </si>
  <si>
    <t>05/17/1964</t>
  </si>
  <si>
    <t>10/02/1941</t>
  </si>
  <si>
    <t>01/16/1976</t>
  </si>
  <si>
    <t>09/29/1971</t>
  </si>
  <si>
    <t>05/15/1975</t>
  </si>
  <si>
    <t>07/08/1959</t>
  </si>
  <si>
    <t>06/15/1968</t>
  </si>
  <si>
    <t>06/30/1957</t>
  </si>
  <si>
    <t>01/20/1984</t>
  </si>
  <si>
    <t>11/09/1982</t>
  </si>
  <si>
    <t>04/22/1938</t>
  </si>
  <si>
    <t>08/31/1976</t>
  </si>
  <si>
    <t>06/22/1949</t>
  </si>
  <si>
    <t>06/04/1949</t>
  </si>
  <si>
    <t>10/30/1954</t>
  </si>
  <si>
    <t>02/23/1952</t>
  </si>
  <si>
    <t>09/12/1947</t>
  </si>
  <si>
    <t>05/04/1972</t>
  </si>
  <si>
    <t>12/15/1977</t>
  </si>
  <si>
    <t>07/09/1979</t>
  </si>
  <si>
    <t>05/04/1990</t>
  </si>
  <si>
    <t>11/20/1994</t>
  </si>
  <si>
    <t>12/15/1985</t>
  </si>
  <si>
    <t>02/24/1974</t>
  </si>
  <si>
    <t>07/04/1945</t>
  </si>
  <si>
    <t>10/20/1961</t>
  </si>
  <si>
    <t>11/07/1982</t>
  </si>
  <si>
    <t>10/14/1923</t>
  </si>
  <si>
    <t>05/03/1965</t>
  </si>
  <si>
    <t>09/15/1948</t>
  </si>
  <si>
    <t>03/23/1960</t>
  </si>
  <si>
    <t>12/30/1960</t>
  </si>
  <si>
    <t>01/07/1947</t>
  </si>
  <si>
    <t>03/25/1947</t>
  </si>
  <si>
    <t>08/20/1950</t>
  </si>
  <si>
    <t>05/16/1972</t>
  </si>
  <si>
    <t>07/11/1989</t>
  </si>
  <si>
    <t>07/25/1966</t>
  </si>
  <si>
    <t>01/02/1964</t>
  </si>
  <si>
    <t>12/03/1956</t>
  </si>
  <si>
    <t>01/29/1964</t>
  </si>
  <si>
    <t>04/06/1943</t>
  </si>
  <si>
    <t>08/27/1981</t>
  </si>
  <si>
    <t>03/01/1948</t>
  </si>
  <si>
    <t>02/12/1966</t>
  </si>
  <si>
    <t>03/14/1966</t>
  </si>
  <si>
    <t>03/05/1952</t>
  </si>
  <si>
    <t>04/18/1989</t>
  </si>
  <si>
    <t>07/04/1943</t>
  </si>
  <si>
    <t>03/09/1988</t>
  </si>
  <si>
    <t>05/02/1936</t>
  </si>
  <si>
    <t>12/31/1980</t>
  </si>
  <si>
    <t>06/22/1954</t>
  </si>
  <si>
    <t>12/31/1951</t>
  </si>
  <si>
    <t>08/17/1974</t>
  </si>
  <si>
    <t>12/20/1948</t>
  </si>
  <si>
    <t>10/05/1966</t>
  </si>
  <si>
    <t>01/05/1979</t>
  </si>
  <si>
    <t>12/24/1978</t>
  </si>
  <si>
    <t>03/15/1982</t>
  </si>
  <si>
    <t>10/28/1965</t>
  </si>
  <si>
    <t>08/22/1974</t>
  </si>
  <si>
    <t>03/03/1958</t>
  </si>
  <si>
    <t>09/24/1980</t>
  </si>
  <si>
    <t>01/20/1951</t>
  </si>
  <si>
    <t>12/02/1953</t>
  </si>
  <si>
    <t>11/27/1958</t>
  </si>
  <si>
    <t>07/15/1980</t>
  </si>
  <si>
    <t>08/21/1946</t>
  </si>
  <si>
    <t>08/20/1958</t>
  </si>
  <si>
    <t>01/15/1962</t>
  </si>
  <si>
    <t>05/14/1952</t>
  </si>
  <si>
    <t>08/11/1941</t>
  </si>
  <si>
    <t>09/16/1974</t>
  </si>
  <si>
    <t>08/14/1988</t>
  </si>
  <si>
    <t>03/07/1966</t>
  </si>
  <si>
    <t>04/23/1996</t>
  </si>
  <si>
    <t>08/23/1962</t>
  </si>
  <si>
    <t>06/03/1963</t>
  </si>
  <si>
    <t>05/16/1976</t>
  </si>
  <si>
    <t>06/14/1947</t>
  </si>
  <si>
    <t>09/19/1961</t>
  </si>
  <si>
    <t>01/19/1975</t>
  </si>
  <si>
    <t>03/13/1953</t>
  </si>
  <si>
    <t>04/03/1951</t>
  </si>
  <si>
    <t>04/22/1986</t>
  </si>
  <si>
    <t>12/25/1944</t>
  </si>
  <si>
    <t>05/11/1985</t>
  </si>
  <si>
    <t>07/13/1954</t>
  </si>
  <si>
    <t>11/12/1944</t>
  </si>
  <si>
    <t>10/16/1930</t>
  </si>
  <si>
    <t>08/04/1955</t>
  </si>
  <si>
    <t>12/23/1956</t>
  </si>
  <si>
    <t>03/19/1955</t>
  </si>
  <si>
    <t>05/31/1951</t>
  </si>
  <si>
    <t>03/20/1965</t>
  </si>
  <si>
    <t>03/28/1981</t>
  </si>
  <si>
    <t>07/18/1950</t>
  </si>
  <si>
    <t>12/14/1972</t>
  </si>
  <si>
    <t>07/10/1972</t>
  </si>
  <si>
    <t>01/03/1967</t>
  </si>
  <si>
    <t>12/17/1991</t>
  </si>
  <si>
    <t>09/22/1937</t>
  </si>
  <si>
    <t>02/23/1943</t>
  </si>
  <si>
    <t>03/24/1975</t>
  </si>
  <si>
    <t>12/09/1937</t>
  </si>
  <si>
    <t>02/27/1957</t>
  </si>
  <si>
    <t>07/22/1969</t>
  </si>
  <si>
    <t>03/18/1944</t>
  </si>
  <si>
    <t>09/08/1945</t>
  </si>
  <si>
    <t>10/26/1954</t>
  </si>
  <si>
    <t>07/22/1966</t>
  </si>
  <si>
    <t>09/04/1966</t>
  </si>
  <si>
    <t>05/14/1982</t>
  </si>
  <si>
    <t>03/15/1948</t>
  </si>
  <si>
    <t>01/03/1948</t>
  </si>
  <si>
    <t>01/25/1945</t>
  </si>
  <si>
    <t>05/10/1981</t>
  </si>
  <si>
    <t>08/09/1976</t>
  </si>
  <si>
    <t>02/20/1958</t>
  </si>
  <si>
    <t>08/18/1948</t>
  </si>
  <si>
    <t>08/31/1963</t>
  </si>
  <si>
    <t>11/05/1936</t>
  </si>
  <si>
    <t>02/01/1962</t>
  </si>
  <si>
    <t>09/21/1976</t>
  </si>
  <si>
    <t>02/28/1955</t>
  </si>
  <si>
    <t>05/25/1964</t>
  </si>
  <si>
    <t>07/27/1954</t>
  </si>
  <si>
    <t>05/08/1971</t>
  </si>
  <si>
    <t>12/26/1989</t>
  </si>
  <si>
    <t>09/03/1964</t>
  </si>
  <si>
    <t>05/04/1953</t>
  </si>
  <si>
    <t>04/24/1964</t>
  </si>
  <si>
    <t>11/10/1970</t>
  </si>
  <si>
    <t>01/06/1969</t>
  </si>
  <si>
    <t>12/31/1953</t>
  </si>
  <si>
    <t>02/20/1990</t>
  </si>
  <si>
    <t>02/16/1980</t>
  </si>
  <si>
    <t>12/11/1951</t>
  </si>
  <si>
    <t>11/01/1982</t>
  </si>
  <si>
    <t>12/27/1960</t>
  </si>
  <si>
    <t>09/21/1953</t>
  </si>
  <si>
    <t>08/12/1987</t>
  </si>
  <si>
    <t>08/28/1970</t>
  </si>
  <si>
    <t>12/25/1950</t>
  </si>
  <si>
    <t>04/30/1939</t>
  </si>
  <si>
    <t>05/22/1929</t>
  </si>
  <si>
    <t>01/12/1970</t>
  </si>
  <si>
    <t>10/06/1957</t>
  </si>
  <si>
    <t>09/25/1982</t>
  </si>
  <si>
    <t>05/01/1992</t>
  </si>
  <si>
    <t>02/12/1974</t>
  </si>
  <si>
    <t>04/05/1961</t>
  </si>
  <si>
    <t>05/14/1976</t>
  </si>
  <si>
    <t>11/30/1979</t>
  </si>
  <si>
    <t>01/27/1984</t>
  </si>
  <si>
    <t>11/29/1988</t>
  </si>
  <si>
    <t>10/20/1970</t>
  </si>
  <si>
    <t>05/23/1947</t>
  </si>
  <si>
    <t>08/15/1964</t>
  </si>
  <si>
    <t>06/10/1982</t>
  </si>
  <si>
    <t>11/18/1977</t>
  </si>
  <si>
    <t>02/16/1962</t>
  </si>
  <si>
    <t>09/04/1979</t>
  </si>
  <si>
    <t>06/24/1964</t>
  </si>
  <si>
    <t>07/10/2001</t>
  </si>
  <si>
    <t>06/14/1958</t>
  </si>
  <si>
    <t>08/02/1960</t>
  </si>
  <si>
    <t>12/13/1975</t>
  </si>
  <si>
    <t>12/17/1969</t>
  </si>
  <si>
    <t>01/08/1949</t>
  </si>
  <si>
    <t>04/23/1959</t>
  </si>
  <si>
    <t>05/13/1950</t>
  </si>
  <si>
    <t>07/10/1974</t>
  </si>
  <si>
    <t>05/20/1967</t>
  </si>
  <si>
    <t>01/23/1983</t>
  </si>
  <si>
    <t>06/02/1947</t>
  </si>
  <si>
    <t>07/07/1979</t>
  </si>
  <si>
    <t>10/16/1953</t>
  </si>
  <si>
    <t>10/23/1974</t>
  </si>
  <si>
    <t>03/31/1992</t>
  </si>
  <si>
    <t>07/13/1967</t>
  </si>
  <si>
    <t>07/03/1935</t>
  </si>
  <si>
    <t>01/10/1956</t>
  </si>
  <si>
    <t>01/28/1990</t>
  </si>
  <si>
    <t>03/31/1961</t>
  </si>
  <si>
    <t>11/09/1977</t>
  </si>
  <si>
    <t>06/18/1977</t>
  </si>
  <si>
    <t>06/23/1974</t>
  </si>
  <si>
    <t>05/11/1994</t>
  </si>
  <si>
    <t>02/08/1978</t>
  </si>
  <si>
    <t>09/06/1989</t>
  </si>
  <si>
    <t>09/05/1982</t>
  </si>
  <si>
    <t>12/07/1959</t>
  </si>
  <si>
    <t>05/26/1956</t>
  </si>
  <si>
    <t>12/23/1961</t>
  </si>
  <si>
    <t>12/10/1958</t>
  </si>
  <si>
    <t>09/18/1978</t>
  </si>
  <si>
    <t>10/17/1957</t>
  </si>
  <si>
    <t>02/26/1991</t>
  </si>
  <si>
    <t>01/09/1977</t>
  </si>
  <si>
    <t>05/14/1991</t>
  </si>
  <si>
    <t>02/02/1962</t>
  </si>
  <si>
    <t>10/08/1967</t>
  </si>
  <si>
    <t>11/16/1993</t>
  </si>
  <si>
    <t>12/31/1977</t>
  </si>
  <si>
    <t>11/07/1949</t>
  </si>
  <si>
    <t>06/24/1954</t>
  </si>
  <si>
    <t>04/18/1948</t>
  </si>
  <si>
    <t>05/26/1961</t>
  </si>
  <si>
    <t>03/19/1960</t>
  </si>
  <si>
    <t>08/01/1980</t>
  </si>
  <si>
    <t>06/20/1981</t>
  </si>
  <si>
    <t>12/11/1969</t>
  </si>
  <si>
    <t>06/21/1959</t>
  </si>
  <si>
    <t>07/07/1986</t>
  </si>
  <si>
    <t>10/07/1966</t>
  </si>
  <si>
    <t>11/18/1965</t>
  </si>
  <si>
    <t>06/13/1973</t>
  </si>
  <si>
    <t>01/16/1972</t>
  </si>
  <si>
    <t>01/28/1956</t>
  </si>
  <si>
    <t>12/26/1951</t>
  </si>
  <si>
    <t>05/26/1985</t>
  </si>
  <si>
    <t>01/26/1971</t>
  </si>
  <si>
    <t>07/24/1973</t>
  </si>
  <si>
    <t>06/06/1986</t>
  </si>
  <si>
    <t>11/18/1943</t>
  </si>
  <si>
    <t>04/11/1959</t>
  </si>
  <si>
    <t>04/06/1961</t>
  </si>
  <si>
    <t>10/18/1955</t>
  </si>
  <si>
    <t>04/05/1968</t>
  </si>
  <si>
    <t>02/03/1955</t>
  </si>
  <si>
    <t>05/10/1971</t>
  </si>
  <si>
    <t>01/31/1942</t>
  </si>
  <si>
    <t>05/27/1980</t>
  </si>
  <si>
    <t>06/19/1988</t>
  </si>
  <si>
    <t>03/08/1944</t>
  </si>
  <si>
    <t>05/03/1979</t>
  </si>
  <si>
    <t>10/09/1933</t>
  </si>
  <si>
    <t>06/27/1948</t>
  </si>
  <si>
    <t>06/09/1983</t>
  </si>
  <si>
    <t>06/03/1941</t>
  </si>
  <si>
    <t>06/06/1967</t>
  </si>
  <si>
    <t>04/19/1960</t>
  </si>
  <si>
    <t>05/25/1936</t>
  </si>
  <si>
    <t>10/30/1983</t>
  </si>
  <si>
    <t>01/15/1937</t>
  </si>
  <si>
    <t>12/14/1963</t>
  </si>
  <si>
    <t>01/23/1940</t>
  </si>
  <si>
    <t>06/30/1961</t>
  </si>
  <si>
    <t>05/08/1962</t>
  </si>
  <si>
    <t>11/20/1959</t>
  </si>
  <si>
    <t>08/10/1981</t>
  </si>
  <si>
    <t>04/07/1986</t>
  </si>
  <si>
    <t>12/15/1978</t>
  </si>
  <si>
    <t>10/23/1958</t>
  </si>
  <si>
    <t>02/03/1964</t>
  </si>
  <si>
    <t>01/07/1967</t>
  </si>
  <si>
    <t>11/22/1978</t>
  </si>
  <si>
    <t>04/22/1951</t>
  </si>
  <si>
    <t>04/06/1976</t>
  </si>
  <si>
    <t>09/22/1946</t>
  </si>
  <si>
    <t>09/24/1938</t>
  </si>
  <si>
    <t>06/28/1965</t>
  </si>
  <si>
    <t>05/14/1931</t>
  </si>
  <si>
    <t>11/03/1983</t>
  </si>
  <si>
    <t>11/30/1930</t>
  </si>
  <si>
    <t>12/07/1953</t>
  </si>
  <si>
    <t>08/15/1954</t>
  </si>
  <si>
    <t>01/15/1976</t>
  </si>
  <si>
    <t>05/08/1972</t>
  </si>
  <si>
    <t>09/25/1956</t>
  </si>
  <si>
    <t>07/03/1940</t>
  </si>
  <si>
    <t>10/02/1955</t>
  </si>
  <si>
    <t>08/27/1958</t>
  </si>
  <si>
    <t>04/03/1996</t>
  </si>
  <si>
    <t>04/07/1983</t>
  </si>
  <si>
    <t>12/25/1938</t>
  </si>
  <si>
    <t>03/11/1958</t>
  </si>
  <si>
    <t>05/26/1945</t>
  </si>
  <si>
    <t>08/01/1966</t>
  </si>
  <si>
    <t>10/23/1973</t>
  </si>
  <si>
    <t>02/23/1986</t>
  </si>
  <si>
    <t>01/06/1967</t>
  </si>
  <si>
    <t>05/27/1959</t>
  </si>
  <si>
    <t>07/03/1993</t>
  </si>
  <si>
    <t>04/06/1973</t>
  </si>
  <si>
    <t>07/12/1977</t>
  </si>
  <si>
    <t>01/25/1985</t>
  </si>
  <si>
    <t>02/26/1967</t>
  </si>
  <si>
    <t>02/21/1975</t>
  </si>
  <si>
    <t>03/06/1953</t>
  </si>
  <si>
    <t>06/12/1988</t>
  </si>
  <si>
    <t>11/12/1975</t>
  </si>
  <si>
    <t>01/17/1963</t>
  </si>
  <si>
    <t>11/17/1936</t>
  </si>
  <si>
    <t>01/12/1969</t>
  </si>
  <si>
    <t>06/08/1964</t>
  </si>
  <si>
    <t>09/21/1958</t>
  </si>
  <si>
    <t>03/17/1950</t>
  </si>
  <si>
    <t>06/23/1973</t>
  </si>
  <si>
    <t>12/02/1965</t>
  </si>
  <si>
    <t>08/04/1953</t>
  </si>
  <si>
    <t>01/25/1949</t>
  </si>
  <si>
    <t>11/30/1976</t>
  </si>
  <si>
    <t>06/02/1967</t>
  </si>
  <si>
    <t>11/23/1967</t>
  </si>
  <si>
    <t>02/09/1965</t>
  </si>
  <si>
    <t>04/29/1977</t>
  </si>
  <si>
    <t>11/25/1970</t>
  </si>
  <si>
    <t>04/11/1969</t>
  </si>
  <si>
    <t>03/13/1973</t>
  </si>
  <si>
    <t>02/11/1951</t>
  </si>
  <si>
    <t>11/27/1987</t>
  </si>
  <si>
    <t>06/16/1969</t>
  </si>
  <si>
    <t>03/05/1966</t>
  </si>
  <si>
    <t>06/03/1982</t>
  </si>
  <si>
    <t>01/26/1985</t>
  </si>
  <si>
    <t>02/19/1964</t>
  </si>
  <si>
    <t>12/09/1970</t>
  </si>
  <si>
    <t>04/08/1988</t>
  </si>
  <si>
    <t>10/03/1963</t>
  </si>
  <si>
    <t>12/28/1968</t>
  </si>
  <si>
    <t>01/25/1998</t>
  </si>
  <si>
    <t>10/01/1982</t>
  </si>
  <si>
    <t>10/24/1964</t>
  </si>
  <si>
    <t>08/01/1970</t>
  </si>
  <si>
    <t>08/02/1950</t>
  </si>
  <si>
    <t>04/29/1961</t>
  </si>
  <si>
    <t>05/22/1978</t>
  </si>
  <si>
    <t>12/05/1967</t>
  </si>
  <si>
    <t>04/15/1963</t>
  </si>
  <si>
    <t>01/23/1937</t>
  </si>
  <si>
    <t>09/24/1977</t>
  </si>
  <si>
    <t>08/29/1945</t>
  </si>
  <si>
    <t>12/11/1940</t>
  </si>
  <si>
    <t>06/30/1989</t>
  </si>
  <si>
    <t>12/26/1952</t>
  </si>
  <si>
    <t>03/16/1967</t>
  </si>
  <si>
    <t>06/20/1977</t>
  </si>
  <si>
    <t>05/14/1990</t>
  </si>
  <si>
    <t>12/24/1982</t>
  </si>
  <si>
    <t>02/02/1979</t>
  </si>
  <si>
    <t>02/22/1948</t>
  </si>
  <si>
    <t>07/13/1956</t>
  </si>
  <si>
    <t>03/20/1945</t>
  </si>
  <si>
    <t>03/03/1965</t>
  </si>
  <si>
    <t>02/20/1957</t>
  </si>
  <si>
    <t>05/27/1993</t>
  </si>
  <si>
    <t>10/28/1950</t>
  </si>
  <si>
    <t>05/21/1970</t>
  </si>
  <si>
    <t>05/27/1989</t>
  </si>
  <si>
    <t>05/17/1947</t>
  </si>
  <si>
    <t>07/15/1975</t>
  </si>
  <si>
    <t>11/21/1977</t>
  </si>
  <si>
    <t>07/23/1992</t>
  </si>
  <si>
    <t>03/14/1954</t>
  </si>
  <si>
    <t>10/09/1945</t>
  </si>
  <si>
    <t>03/07/1946</t>
  </si>
  <si>
    <t>04/18/1962</t>
  </si>
  <si>
    <t>03/10/1969</t>
  </si>
  <si>
    <t>02/15/1950</t>
  </si>
  <si>
    <t>04/09/1937</t>
  </si>
  <si>
    <t>09/12/1961</t>
  </si>
  <si>
    <t>07/03/1978</t>
  </si>
  <si>
    <t>02/15/1959</t>
  </si>
  <si>
    <t>12/13/1949</t>
  </si>
  <si>
    <t>12/13/1945</t>
  </si>
  <si>
    <t>08/21/1984</t>
  </si>
  <si>
    <t>07/10/1984</t>
  </si>
  <si>
    <t>08/17/1979</t>
  </si>
  <si>
    <t>09/22/1963</t>
  </si>
  <si>
    <t>02/29/1964</t>
  </si>
  <si>
    <t>06/04/1956</t>
  </si>
  <si>
    <t>02/06/1970</t>
  </si>
  <si>
    <t>04/16/1946</t>
  </si>
  <si>
    <t>01/18/1942</t>
  </si>
  <si>
    <t>01/10/1952</t>
  </si>
  <si>
    <t>10/28/1974</t>
  </si>
  <si>
    <t>07/08/1967</t>
  </si>
  <si>
    <t>10/08/1981</t>
  </si>
  <si>
    <t>03/07/1975</t>
  </si>
  <si>
    <t>03/07/1940</t>
  </si>
  <si>
    <t>10/16/1967</t>
  </si>
  <si>
    <t>11/17/1968</t>
  </si>
  <si>
    <t>03/11/1950</t>
  </si>
  <si>
    <t>05/28/2002</t>
  </si>
  <si>
    <t>05/15/1968</t>
  </si>
  <si>
    <t>08/14/1981</t>
  </si>
  <si>
    <t>08/20/1967</t>
  </si>
  <si>
    <t>04/13/1946</t>
  </si>
  <si>
    <t>03/11/1979</t>
  </si>
  <si>
    <t>10/17/1981</t>
  </si>
  <si>
    <t>07/21/1953</t>
  </si>
  <si>
    <t>03/02/1941</t>
  </si>
  <si>
    <t>09/24/1971</t>
  </si>
  <si>
    <t>03/16/1983</t>
  </si>
  <si>
    <t>06/08/1960</t>
  </si>
  <si>
    <t>03/24/1989</t>
  </si>
  <si>
    <t>02/12/1973</t>
  </si>
  <si>
    <t>11/22/1932</t>
  </si>
  <si>
    <t>02/02/1981</t>
  </si>
  <si>
    <t>03/08/1955</t>
  </si>
  <si>
    <t>06/22/1952</t>
  </si>
  <si>
    <t>06/15/1952</t>
  </si>
  <si>
    <t>06/27/1970</t>
  </si>
  <si>
    <t>04/10/1962</t>
  </si>
  <si>
    <t>04/14/1975</t>
  </si>
  <si>
    <t>10/27/1971</t>
  </si>
  <si>
    <t>09/13/1955</t>
  </si>
  <si>
    <t>05/04/1963</t>
  </si>
  <si>
    <t>06/14/1935</t>
  </si>
  <si>
    <t>02/01/1954</t>
  </si>
  <si>
    <t>03/04/1999</t>
  </si>
  <si>
    <t>10/25/1964</t>
  </si>
  <si>
    <t>11/10/1988</t>
  </si>
  <si>
    <t>03/22/1959</t>
  </si>
  <si>
    <t>04/23/1990</t>
  </si>
  <si>
    <t>02/03/1958</t>
  </si>
  <si>
    <t>08/28/1963</t>
  </si>
  <si>
    <t>08/21/1954</t>
  </si>
  <si>
    <t>01/08/1981</t>
  </si>
  <si>
    <t>01/02/1960</t>
  </si>
  <si>
    <t>12/01/1944</t>
  </si>
  <si>
    <t>10/14/1952</t>
  </si>
  <si>
    <t>12/14/1959</t>
  </si>
  <si>
    <t>12/20/1960</t>
  </si>
  <si>
    <t>06/29/1962</t>
  </si>
  <si>
    <t>10/29/1943</t>
  </si>
  <si>
    <t>06/25/1940</t>
  </si>
  <si>
    <t>02/22/1949</t>
  </si>
  <si>
    <t>10/13/1944</t>
  </si>
  <si>
    <t>07/08/1970</t>
  </si>
  <si>
    <t>06/12/1945</t>
  </si>
  <si>
    <t>06/01/1969</t>
  </si>
  <si>
    <t>12/24/1988</t>
  </si>
  <si>
    <t>12/22/1990</t>
  </si>
  <si>
    <t>12/23/1962</t>
  </si>
  <si>
    <t>07/10/1953</t>
  </si>
  <si>
    <t>12/01/1994</t>
  </si>
  <si>
    <t>09/15/1960</t>
  </si>
  <si>
    <t>11/12/1954</t>
  </si>
  <si>
    <t>05/23/1955</t>
  </si>
  <si>
    <t>10/17/1984</t>
  </si>
  <si>
    <t>02/01/1946</t>
  </si>
  <si>
    <t>09/08/1996</t>
  </si>
  <si>
    <t>11/27/1989</t>
  </si>
  <si>
    <t>07/19/1966</t>
  </si>
  <si>
    <t>09/04/1963</t>
  </si>
  <si>
    <t>07/02/1968</t>
  </si>
  <si>
    <t>07/28/1978</t>
  </si>
  <si>
    <t>07/04/1964</t>
  </si>
  <si>
    <t>02/01/1985</t>
  </si>
  <si>
    <t>05/24/1980</t>
  </si>
  <si>
    <t>08/23/1965</t>
  </si>
  <si>
    <t>09/16/1960</t>
  </si>
  <si>
    <t>05/01/1942</t>
  </si>
  <si>
    <t>09/25/1971</t>
  </si>
  <si>
    <t>05/09/1981</t>
  </si>
  <si>
    <t>08/21/1967</t>
  </si>
  <si>
    <t>03/22/1993</t>
  </si>
  <si>
    <t>12/04/1955</t>
  </si>
  <si>
    <t>01/01/1945</t>
  </si>
  <si>
    <t>08/06/1966</t>
  </si>
  <si>
    <t>03/10/1937</t>
  </si>
  <si>
    <t>11/24/1997</t>
  </si>
  <si>
    <t>12/23/1982</t>
  </si>
  <si>
    <t>02/22/1985</t>
  </si>
  <si>
    <t>05/25/1970</t>
  </si>
  <si>
    <t>08/24/1936</t>
  </si>
  <si>
    <t>03/02/1971</t>
  </si>
  <si>
    <t>09/30/1949</t>
  </si>
  <si>
    <t>05/02/1960</t>
  </si>
  <si>
    <t>04/30/1947</t>
  </si>
  <si>
    <t>07/27/1984</t>
  </si>
  <si>
    <t>03/04/1981</t>
  </si>
  <si>
    <t>06/17/1982</t>
  </si>
  <si>
    <t>09/30/1957</t>
  </si>
  <si>
    <t>12/24/1989</t>
  </si>
  <si>
    <t>11/11/1959</t>
  </si>
  <si>
    <t>04/25/1957</t>
  </si>
  <si>
    <t>08/08/1946</t>
  </si>
  <si>
    <t>08/27/1962</t>
  </si>
  <si>
    <t>11/20/1951</t>
  </si>
  <si>
    <t>03/11/1960</t>
  </si>
  <si>
    <t>07/20/1986</t>
  </si>
  <si>
    <t>08/07/1963</t>
  </si>
  <si>
    <t>09/05/1972</t>
  </si>
  <si>
    <t>08/23/1989</t>
  </si>
  <si>
    <t>08/25/1959</t>
  </si>
  <si>
    <t>03/31/1948</t>
  </si>
  <si>
    <t>09/22/1976</t>
  </si>
  <si>
    <t>08/02/1973</t>
  </si>
  <si>
    <t>02/22/1981</t>
  </si>
  <si>
    <t>07/05/1977</t>
  </si>
  <si>
    <t>03/19/1936</t>
  </si>
  <si>
    <t>03/07/1958</t>
  </si>
  <si>
    <t>03/21/1953</t>
  </si>
  <si>
    <t>02/28/1962</t>
  </si>
  <si>
    <t>08/19/1971</t>
  </si>
  <si>
    <t>12/15/1960</t>
  </si>
  <si>
    <t>10/06/1970</t>
  </si>
  <si>
    <t>05/03/1960</t>
  </si>
  <si>
    <t>09/27/1959</t>
  </si>
  <si>
    <t>04/08/1944</t>
  </si>
  <si>
    <t>02/05/1965</t>
  </si>
  <si>
    <t>12/27/1978</t>
  </si>
  <si>
    <t>06/28/1940</t>
  </si>
  <si>
    <t>06/17/1977</t>
  </si>
  <si>
    <t>10/14/1975</t>
  </si>
  <si>
    <t>11/29/1942</t>
  </si>
  <si>
    <t>05/10/1938</t>
  </si>
  <si>
    <t>09/26/1954</t>
  </si>
  <si>
    <t>07/28/1934</t>
  </si>
  <si>
    <t>01/27/1963</t>
  </si>
  <si>
    <t>03/23/1973</t>
  </si>
  <si>
    <t>04/02/1967</t>
  </si>
  <si>
    <t>08/18/1974</t>
  </si>
  <si>
    <t>10/03/1947</t>
  </si>
  <si>
    <t>10/08/1956</t>
  </si>
  <si>
    <t>01/06/1989</t>
  </si>
  <si>
    <t>12/08/1973</t>
  </si>
  <si>
    <t>06/15/1961</t>
  </si>
  <si>
    <t>01/14/1961</t>
  </si>
  <si>
    <t>05/30/1964</t>
  </si>
  <si>
    <t>02/08/1959</t>
  </si>
  <si>
    <t>11/26/1970</t>
  </si>
  <si>
    <t>04/26/1967</t>
  </si>
  <si>
    <t>12/09/1969</t>
  </si>
  <si>
    <t>11/12/1963</t>
  </si>
  <si>
    <t>06/25/1980</t>
  </si>
  <si>
    <t>05/23/1956</t>
  </si>
  <si>
    <t>05/06/1976</t>
  </si>
  <si>
    <t>05/15/1989</t>
  </si>
  <si>
    <t>06/19/1968</t>
  </si>
  <si>
    <t>01/30/1957</t>
  </si>
  <si>
    <t>06/06/1977</t>
  </si>
  <si>
    <t>03/14/1945</t>
  </si>
  <si>
    <t>03/22/1963</t>
  </si>
  <si>
    <t>05/18/1954</t>
  </si>
  <si>
    <t>10/03/1969</t>
  </si>
  <si>
    <t>12/17/1984</t>
  </si>
  <si>
    <t>09/20/1954</t>
  </si>
  <si>
    <t>09/30/1973</t>
  </si>
  <si>
    <t>05/02/1969</t>
  </si>
  <si>
    <t>06/09/1970</t>
  </si>
  <si>
    <t>05/18/1959</t>
  </si>
  <si>
    <t>08/31/1956</t>
  </si>
  <si>
    <t>11/16/1950</t>
  </si>
  <si>
    <t>08/29/1980</t>
  </si>
  <si>
    <t>02/04/1968</t>
  </si>
  <si>
    <t>03/08/1981</t>
  </si>
  <si>
    <t>05/24/1964</t>
  </si>
  <si>
    <t>07/20/1963</t>
  </si>
  <si>
    <t>06/27/1966</t>
  </si>
  <si>
    <t>06/28/1994</t>
  </si>
  <si>
    <t>12/27/1965</t>
  </si>
  <si>
    <t>10/21/1966</t>
  </si>
  <si>
    <t>03/23/1983</t>
  </si>
  <si>
    <t>12/29/1979</t>
  </si>
  <si>
    <t>04/13/1960</t>
  </si>
  <si>
    <t>09/23/1975</t>
  </si>
  <si>
    <t>06/16/1954</t>
  </si>
  <si>
    <t>09/04/1968</t>
  </si>
  <si>
    <t>04/27/1985</t>
  </si>
  <si>
    <t>07/03/1974</t>
  </si>
  <si>
    <t>11/07/1960</t>
  </si>
  <si>
    <t>07/31/1972</t>
  </si>
  <si>
    <t>06/19/1969</t>
  </si>
  <si>
    <t>02/02/1970</t>
  </si>
  <si>
    <t>05/25/1972</t>
  </si>
  <si>
    <t>03/27/1971</t>
  </si>
  <si>
    <t>07/14/1954</t>
  </si>
  <si>
    <t>03/05/1964</t>
  </si>
  <si>
    <t>06/14/1965</t>
  </si>
  <si>
    <t>04/02/1966</t>
  </si>
  <si>
    <t>05/21/1987</t>
  </si>
  <si>
    <t>06/10/1943</t>
  </si>
  <si>
    <t>01/21/1965</t>
  </si>
  <si>
    <t>12/14/1978</t>
  </si>
  <si>
    <t>05/11/1983</t>
  </si>
  <si>
    <t>11/10/1976</t>
  </si>
  <si>
    <t>05/17/1995</t>
  </si>
  <si>
    <t>12/10/1983</t>
  </si>
  <si>
    <t>10/10/1974</t>
  </si>
  <si>
    <t>01/28/1987</t>
  </si>
  <si>
    <t>09/23/1976</t>
  </si>
  <si>
    <t>05/13/1985</t>
  </si>
  <si>
    <t>12/31/1967</t>
  </si>
  <si>
    <t>01/01/1951</t>
  </si>
  <si>
    <t>02/27/1997</t>
  </si>
  <si>
    <t>12/24/1966</t>
  </si>
  <si>
    <t>08/03/1969</t>
  </si>
  <si>
    <t>10/26/1945</t>
  </si>
  <si>
    <t>07/20/1990</t>
  </si>
  <si>
    <t>05/21/1955</t>
  </si>
  <si>
    <t>07/18/1967</t>
  </si>
  <si>
    <t>12/10/1991</t>
  </si>
  <si>
    <t>09/03/1938</t>
  </si>
  <si>
    <t>02/06/1941</t>
  </si>
  <si>
    <t>10/10/1971</t>
  </si>
  <si>
    <t>07/04/1959</t>
  </si>
  <si>
    <t>01/04/1957</t>
  </si>
  <si>
    <t>09/11/1981</t>
  </si>
  <si>
    <t>09/24/1984</t>
  </si>
  <si>
    <t>12/25/1957</t>
  </si>
  <si>
    <t>07/28/1980</t>
  </si>
  <si>
    <t>02/11/1960</t>
  </si>
  <si>
    <t>04/27/1970</t>
  </si>
  <si>
    <t>09/03/1984</t>
  </si>
  <si>
    <t>06/16/1976</t>
  </si>
  <si>
    <t>08/10/1956</t>
  </si>
  <si>
    <t>12/15/1955</t>
  </si>
  <si>
    <t>02/25/1974</t>
  </si>
  <si>
    <t>06/01/1953</t>
  </si>
  <si>
    <t>06/18/1961</t>
  </si>
  <si>
    <t>08/07/1975</t>
  </si>
  <si>
    <t>03/04/1982</t>
  </si>
  <si>
    <t>11/02/1962</t>
  </si>
  <si>
    <t>05/08/1983</t>
  </si>
  <si>
    <t>12/03/1960</t>
  </si>
  <si>
    <t>05/18/1963</t>
  </si>
  <si>
    <t>03/21/1955</t>
  </si>
  <si>
    <t>03/21/1980</t>
  </si>
  <si>
    <t>06/13/1977</t>
  </si>
  <si>
    <t>01/10/1947</t>
  </si>
  <si>
    <t>08/24/1954</t>
  </si>
  <si>
    <t>09/16/1964</t>
  </si>
  <si>
    <t>07/30/1981</t>
  </si>
  <si>
    <t>01/23/1986</t>
  </si>
  <si>
    <t>05/07/1967</t>
  </si>
  <si>
    <t>11/18/1979</t>
  </si>
  <si>
    <t>01/08/1943</t>
  </si>
  <si>
    <t>06/30/1974</t>
  </si>
  <si>
    <t>04/04/1963</t>
  </si>
  <si>
    <t>08/23/1968</t>
  </si>
  <si>
    <t>09/10/1963</t>
  </si>
  <si>
    <t>11/05/1969</t>
  </si>
  <si>
    <t>04/17/1988</t>
  </si>
  <si>
    <t>08/08/1954</t>
  </si>
  <si>
    <t>11/03/1968</t>
  </si>
  <si>
    <t>12/18/1974</t>
  </si>
  <si>
    <t>07/27/1943</t>
  </si>
  <si>
    <t>07/09/1939</t>
  </si>
  <si>
    <t>05/23/1980</t>
  </si>
  <si>
    <t>01/17/1996</t>
  </si>
  <si>
    <t>09/26/1943</t>
  </si>
  <si>
    <t>12/15/1942</t>
  </si>
  <si>
    <t>05/29/1991</t>
  </si>
  <si>
    <t>11/01/1951</t>
  </si>
  <si>
    <t>07/15/1978</t>
  </si>
  <si>
    <t>05/12/1986</t>
  </si>
  <si>
    <t>09/06/1993</t>
  </si>
  <si>
    <t>03/16/1977</t>
  </si>
  <si>
    <t>02/15/1948</t>
  </si>
  <si>
    <t>11/26/1962</t>
  </si>
  <si>
    <t>03/09/1983</t>
  </si>
  <si>
    <t>10/18/1996</t>
  </si>
  <si>
    <t>04/12/1966</t>
  </si>
  <si>
    <t>06/19/1960</t>
  </si>
  <si>
    <t>09/12/1987</t>
  </si>
  <si>
    <t>09/16/1939</t>
  </si>
  <si>
    <t>09/20/1966</t>
  </si>
  <si>
    <t>05/22/1951</t>
  </si>
  <si>
    <t>10/24/1947</t>
  </si>
  <si>
    <t>01/13/1969</t>
  </si>
  <si>
    <t>02/18/1968</t>
  </si>
  <si>
    <t>01/21/1969</t>
  </si>
  <si>
    <t>01/02/1941</t>
  </si>
  <si>
    <t>09/20/1964</t>
  </si>
  <si>
    <t>05/26/1980</t>
  </si>
  <si>
    <t>07/12/1952</t>
  </si>
  <si>
    <t>07/08/1983</t>
  </si>
  <si>
    <t>02/05/1980</t>
  </si>
  <si>
    <t>11/25/1982</t>
  </si>
  <si>
    <t>04/07/1972</t>
  </si>
  <si>
    <t>02/23/1981</t>
  </si>
  <si>
    <t>02/10/1986</t>
  </si>
  <si>
    <t>06/22/1968</t>
  </si>
  <si>
    <t>02/20/1963</t>
  </si>
  <si>
    <t>09/19/1919</t>
  </si>
  <si>
    <t>05/10/1931</t>
  </si>
  <si>
    <t>11/06/1983</t>
  </si>
  <si>
    <t>06/11/1975</t>
  </si>
  <si>
    <t>09/14/1974</t>
  </si>
  <si>
    <t>09/20/1989</t>
  </si>
  <si>
    <t>09/28/1971</t>
  </si>
  <si>
    <t>07/20/1953</t>
  </si>
  <si>
    <t>01/01/1943</t>
  </si>
  <si>
    <t>10/30/1974</t>
  </si>
  <si>
    <t>03/22/1948</t>
  </si>
  <si>
    <t>08/05/1965</t>
  </si>
  <si>
    <t>12/09/1989</t>
  </si>
  <si>
    <t>12/31/1964</t>
  </si>
  <si>
    <t>10/31/1934</t>
  </si>
  <si>
    <t>12/23/1963</t>
  </si>
  <si>
    <t>12/20/1967</t>
  </si>
  <si>
    <t>08/04/1982</t>
  </si>
  <si>
    <t>08/14/1949</t>
  </si>
  <si>
    <t>06/30/1954</t>
  </si>
  <si>
    <t>03/30/1967</t>
  </si>
  <si>
    <t>09/08/1970</t>
  </si>
  <si>
    <t>02/25/1989</t>
  </si>
  <si>
    <t>07/08/1972</t>
  </si>
  <si>
    <t>04/27/1974</t>
  </si>
  <si>
    <t>05/05/1974</t>
  </si>
  <si>
    <t>06/09/1945</t>
  </si>
  <si>
    <t>06/29/1979</t>
  </si>
  <si>
    <t>12/17/1977</t>
  </si>
  <si>
    <t>12/29/1989</t>
  </si>
  <si>
    <t>08/13/1973</t>
  </si>
  <si>
    <t>04/22/1954</t>
  </si>
  <si>
    <t>02/01/1966</t>
  </si>
  <si>
    <t>11/20/1941</t>
  </si>
  <si>
    <t>02/25/1964</t>
  </si>
  <si>
    <t>01/05/1954</t>
  </si>
  <si>
    <t>09/25/1946</t>
  </si>
  <si>
    <t>11/23/1992</t>
  </si>
  <si>
    <t>04/04/1954</t>
  </si>
  <si>
    <t>07/01/1979</t>
  </si>
  <si>
    <t>01/12/1981</t>
  </si>
  <si>
    <t>03/13/1941</t>
  </si>
  <si>
    <t>11/29/1958</t>
  </si>
  <si>
    <t>10/19/1954</t>
  </si>
  <si>
    <t>06/08/1961</t>
  </si>
  <si>
    <t>06/11/1961</t>
  </si>
  <si>
    <t>09/18/1988</t>
  </si>
  <si>
    <t>07/03/1955</t>
  </si>
  <si>
    <t>03/03/1957</t>
  </si>
  <si>
    <t>11/03/1963</t>
  </si>
  <si>
    <t>07/02/1954</t>
  </si>
  <si>
    <t>02/17/1981</t>
  </si>
  <si>
    <t>11/03/1984</t>
  </si>
  <si>
    <t>03/11/1959</t>
  </si>
  <si>
    <t>01/06/1977</t>
  </si>
  <si>
    <t>08/20/1948</t>
  </si>
  <si>
    <t>08/20/1988</t>
  </si>
  <si>
    <t>09/27/1962</t>
  </si>
  <si>
    <t>08/07/1966</t>
  </si>
  <si>
    <t>06/22/1967</t>
  </si>
  <si>
    <t>04/18/1950</t>
  </si>
  <si>
    <t>02/23/1973</t>
  </si>
  <si>
    <t>02/27/1949</t>
  </si>
  <si>
    <t>05/24/1969</t>
  </si>
  <si>
    <t>09/13/1952</t>
  </si>
  <si>
    <t>04/21/1957</t>
  </si>
  <si>
    <t>03/02/1936</t>
  </si>
  <si>
    <t>11/27/1972</t>
  </si>
  <si>
    <t>07/22/1953</t>
  </si>
  <si>
    <t>05/14/1971</t>
  </si>
  <si>
    <t>06/13/1942</t>
  </si>
  <si>
    <t>05/22/1963</t>
  </si>
  <si>
    <t>11/16/1960</t>
  </si>
  <si>
    <t>01/09/1941</t>
  </si>
  <si>
    <t>10/11/1951</t>
  </si>
  <si>
    <t>08/05/1972</t>
  </si>
  <si>
    <t>05/01/1969</t>
  </si>
  <si>
    <t>10/10/1957</t>
  </si>
  <si>
    <t>02/08/1967</t>
  </si>
  <si>
    <t>01/26/1979</t>
  </si>
  <si>
    <t>07/07/1972</t>
  </si>
  <si>
    <t>01/12/1965</t>
  </si>
  <si>
    <t>01/10/1973</t>
  </si>
  <si>
    <t>10/23/1953</t>
  </si>
  <si>
    <t>06/25/1986</t>
  </si>
  <si>
    <t>05/15/1954</t>
  </si>
  <si>
    <t>12/07/1987</t>
  </si>
  <si>
    <t>11/07/1932</t>
  </si>
  <si>
    <t>07/14/1966</t>
  </si>
  <si>
    <t>09/17/1981</t>
  </si>
  <si>
    <t>06/02/1965</t>
  </si>
  <si>
    <t>03/20/1976</t>
  </si>
  <si>
    <t>12/03/1963</t>
  </si>
  <si>
    <t>05/31/1962</t>
  </si>
  <si>
    <t>07/23/1984</t>
  </si>
  <si>
    <t>10/02/1967</t>
  </si>
  <si>
    <t>10/30/1968</t>
  </si>
  <si>
    <t>01/20/1967</t>
  </si>
  <si>
    <t>02/14/1965</t>
  </si>
  <si>
    <t>06/13/1947</t>
  </si>
  <si>
    <t>01/21/1959</t>
  </si>
  <si>
    <t>07/24/1939</t>
  </si>
  <si>
    <t>12/28/1943</t>
  </si>
  <si>
    <t>08/13/1957</t>
  </si>
  <si>
    <t>01/29/1973</t>
  </si>
  <si>
    <t>02/24/1965</t>
  </si>
  <si>
    <t>09/10/1955</t>
  </si>
  <si>
    <t>11/01/1957</t>
  </si>
  <si>
    <t>06/05/1966</t>
  </si>
  <si>
    <t>07/16/1966</t>
  </si>
  <si>
    <t>08/30/1952</t>
  </si>
  <si>
    <t>11/05/1948</t>
  </si>
  <si>
    <t>02/08/1992</t>
  </si>
  <si>
    <t>05/23/1961</t>
  </si>
  <si>
    <t>12/08/1943</t>
  </si>
  <si>
    <t>10/18/1948</t>
  </si>
  <si>
    <t>02/25/1960</t>
  </si>
  <si>
    <t>09/07/1956</t>
  </si>
  <si>
    <t>05/28/1959</t>
  </si>
  <si>
    <t>08/03/1965</t>
  </si>
  <si>
    <t>04/02/1956</t>
  </si>
  <si>
    <t>12/13/1946</t>
  </si>
  <si>
    <t>09/24/1970</t>
  </si>
  <si>
    <t>03/17/1951</t>
  </si>
  <si>
    <t>06/15/1954</t>
  </si>
  <si>
    <t>08/18/1980</t>
  </si>
  <si>
    <t>05/22/1953</t>
  </si>
  <si>
    <t>02/21/1938</t>
  </si>
  <si>
    <t>03/10/1951</t>
  </si>
  <si>
    <t>12/01/1957</t>
  </si>
  <si>
    <t>11/21/1992</t>
  </si>
  <si>
    <t>05/29/1986</t>
  </si>
  <si>
    <t>06/10/1958</t>
  </si>
  <si>
    <t>12/20/1946</t>
  </si>
  <si>
    <t>01/19/1988</t>
  </si>
  <si>
    <t>08/25/1952</t>
  </si>
  <si>
    <t>10/29/1973</t>
  </si>
  <si>
    <t>02/10/1964</t>
  </si>
  <si>
    <t>04/21/1961</t>
  </si>
  <si>
    <t>10/18/1950</t>
  </si>
  <si>
    <t>02/15/1945</t>
  </si>
  <si>
    <t>09/29/1954</t>
  </si>
  <si>
    <t>02/10/1957</t>
  </si>
  <si>
    <t>08/14/1955</t>
  </si>
  <si>
    <t>10/20/1952</t>
  </si>
  <si>
    <t>11/11/1989</t>
  </si>
  <si>
    <t>12/25/1962</t>
  </si>
  <si>
    <t>02/14/1979</t>
  </si>
  <si>
    <t>11/15/1955</t>
  </si>
  <si>
    <t>01/06/1953</t>
  </si>
  <si>
    <t>01/23/1962</t>
  </si>
  <si>
    <t>06/11/1957</t>
  </si>
  <si>
    <t>06/01/1984</t>
  </si>
  <si>
    <t>12/17/1970</t>
  </si>
  <si>
    <t>04/11/1974</t>
  </si>
  <si>
    <t>12/01/1958</t>
  </si>
  <si>
    <t>10/06/1974</t>
  </si>
  <si>
    <t>05/30/1981</t>
  </si>
  <si>
    <t>02/13/1934</t>
  </si>
  <si>
    <t>02/27/1982</t>
  </si>
  <si>
    <t>06/17/1970</t>
  </si>
  <si>
    <t>05/15/1978</t>
  </si>
  <si>
    <t>08/15/1968</t>
  </si>
  <si>
    <t>09/28/1965</t>
  </si>
  <si>
    <t>12/12/1975</t>
  </si>
  <si>
    <t>02/07/1958</t>
  </si>
  <si>
    <t>04/02/1974</t>
  </si>
  <si>
    <t>01/04/1948</t>
  </si>
  <si>
    <t>08/08/1955</t>
  </si>
  <si>
    <t>10/05/1980</t>
  </si>
  <si>
    <t>10/13/1972</t>
  </si>
  <si>
    <t>06/26/1986</t>
  </si>
  <si>
    <t>09/02/1968</t>
  </si>
  <si>
    <t>04/29/1948</t>
  </si>
  <si>
    <t>09/13/1941</t>
  </si>
  <si>
    <t>01/19/1995</t>
  </si>
  <si>
    <t>12/29/1946</t>
  </si>
  <si>
    <t>04/19/1972</t>
  </si>
  <si>
    <t>05/30/1993</t>
  </si>
  <si>
    <t>11/23/1968</t>
  </si>
  <si>
    <t>07/08/1962</t>
  </si>
  <si>
    <t>01/29/1968</t>
  </si>
  <si>
    <t>04/08/1993</t>
  </si>
  <si>
    <t>08/22/1964</t>
  </si>
  <si>
    <t>04/22/1953</t>
  </si>
  <si>
    <t>03/29/1980</t>
  </si>
  <si>
    <t>08/30/1967</t>
  </si>
  <si>
    <t>02/05/1970</t>
  </si>
  <si>
    <t>08/23/1976</t>
  </si>
  <si>
    <t>06/22/1978</t>
  </si>
  <si>
    <t>12/16/1946</t>
  </si>
  <si>
    <t>10/26/1959</t>
  </si>
  <si>
    <t>03/04/1961</t>
  </si>
  <si>
    <t>02/09/1962</t>
  </si>
  <si>
    <t>03/21/1975</t>
  </si>
  <si>
    <t>02/05/1997</t>
  </si>
  <si>
    <t>08/23/1936</t>
  </si>
  <si>
    <t>09/21/1960</t>
  </si>
  <si>
    <t>04/27/1990</t>
  </si>
  <si>
    <t>08/22/1965</t>
  </si>
  <si>
    <t>01/08/1983</t>
  </si>
  <si>
    <t>01/18/1971</t>
  </si>
  <si>
    <t>11/23/1964</t>
  </si>
  <si>
    <t>03/17/1975</t>
  </si>
  <si>
    <t>10/06/1981</t>
  </si>
  <si>
    <t>09/07/1937</t>
  </si>
  <si>
    <t>03/08/1952</t>
  </si>
  <si>
    <t>09/24/1937</t>
  </si>
  <si>
    <t>05/29/1949</t>
  </si>
  <si>
    <t>01/31/1968</t>
  </si>
  <si>
    <t>02/03/1977</t>
  </si>
  <si>
    <t>03/21/1974</t>
  </si>
  <si>
    <t>05/10/1956</t>
  </si>
  <si>
    <t>11/30/1970</t>
  </si>
  <si>
    <t>03/26/1974</t>
  </si>
  <si>
    <t>12/02/1959</t>
  </si>
  <si>
    <t>10/01/1967</t>
  </si>
  <si>
    <t>02/27/1950</t>
  </si>
  <si>
    <t>12/03/1954</t>
  </si>
  <si>
    <t>02/03/1948</t>
  </si>
  <si>
    <t>08/31/1962</t>
  </si>
  <si>
    <t>08/11/1945</t>
  </si>
  <si>
    <t>11/19/1945</t>
  </si>
  <si>
    <t>08/19/1949</t>
  </si>
  <si>
    <t>03/30/1940</t>
  </si>
  <si>
    <t>01/09/1987</t>
  </si>
  <si>
    <t>03/04/1989</t>
  </si>
  <si>
    <t>08/16/1967</t>
  </si>
  <si>
    <t>09/23/1963</t>
  </si>
  <si>
    <t>01/09/1955</t>
  </si>
  <si>
    <t>01/11/1954</t>
  </si>
  <si>
    <t>12/24/1954</t>
  </si>
  <si>
    <t>08/07/1992</t>
  </si>
  <si>
    <t>07/11/1982</t>
  </si>
  <si>
    <t>11/05/1962</t>
  </si>
  <si>
    <t>08/24/1990</t>
  </si>
  <si>
    <t>12/29/1973</t>
  </si>
  <si>
    <t>08/03/1963</t>
  </si>
  <si>
    <t>10/20/1954</t>
  </si>
  <si>
    <t>08/01/1967</t>
  </si>
  <si>
    <t>08/06/1950</t>
  </si>
  <si>
    <t>01/27/1966</t>
  </si>
  <si>
    <t>09/09/1948</t>
  </si>
  <si>
    <t>02/21/1993</t>
  </si>
  <si>
    <t>12/08/1966</t>
  </si>
  <si>
    <t>11/04/1941</t>
  </si>
  <si>
    <t>02/08/1962</t>
  </si>
  <si>
    <t>09/23/1986</t>
  </si>
  <si>
    <t>03/19/1953</t>
  </si>
  <si>
    <t>10/17/1974</t>
  </si>
  <si>
    <t>07/19/1968</t>
  </si>
  <si>
    <t>11/02/1985</t>
  </si>
  <si>
    <t>02/25/1967</t>
  </si>
  <si>
    <t>11/10/1989</t>
  </si>
  <si>
    <t>02/01/1979</t>
  </si>
  <si>
    <t>01/11/1984</t>
  </si>
  <si>
    <t>10/14/1959</t>
  </si>
  <si>
    <t>09/01/1994</t>
  </si>
  <si>
    <t>03/21/1976</t>
  </si>
  <si>
    <t>08/04/1971</t>
  </si>
  <si>
    <t>01/22/1965</t>
  </si>
  <si>
    <t>02/25/1987</t>
  </si>
  <si>
    <t>02/20/1955</t>
  </si>
  <si>
    <t>03/24/1958</t>
  </si>
  <si>
    <t>02/08/1966</t>
  </si>
  <si>
    <t>11/25/1965</t>
  </si>
  <si>
    <t>04/06/1984</t>
  </si>
  <si>
    <t>01/13/1962</t>
  </si>
  <si>
    <t>10/22/1952</t>
  </si>
  <si>
    <t>05/22/1958</t>
  </si>
  <si>
    <t>05/13/1940</t>
  </si>
  <si>
    <t>12/02/1943</t>
  </si>
  <si>
    <t>11/21/1970</t>
  </si>
  <si>
    <t>07/04/1968</t>
  </si>
  <si>
    <t>12/10/1968</t>
  </si>
  <si>
    <t>04/12/1974</t>
  </si>
  <si>
    <t>06/12/1952</t>
  </si>
  <si>
    <t>03/30/1933</t>
  </si>
  <si>
    <t>11/09/1993</t>
  </si>
  <si>
    <t>06/01/1963</t>
  </si>
  <si>
    <t>07/22/1979</t>
  </si>
  <si>
    <t>06/13/1978</t>
  </si>
  <si>
    <t>05/11/1979</t>
  </si>
  <si>
    <t>04/04/1959</t>
  </si>
  <si>
    <t>08/03/1964</t>
  </si>
  <si>
    <t>11/01/1968</t>
  </si>
  <si>
    <t>08/04/1960</t>
  </si>
  <si>
    <t>03/19/1938</t>
  </si>
  <si>
    <t>08/27/1961</t>
  </si>
  <si>
    <t>05/08/1960</t>
  </si>
  <si>
    <t>09/01/1957</t>
  </si>
  <si>
    <t>01/26/1981</t>
  </si>
  <si>
    <t>09/13/1983</t>
  </si>
  <si>
    <t>04/14/1996</t>
  </si>
  <si>
    <t>04/26/1987</t>
  </si>
  <si>
    <t>09/02/1956</t>
  </si>
  <si>
    <t>09/30/1968</t>
  </si>
  <si>
    <t>11/07/1952</t>
  </si>
  <si>
    <t>07/31/1970</t>
  </si>
  <si>
    <t>09/17/1962</t>
  </si>
  <si>
    <t>02/02/1952</t>
  </si>
  <si>
    <t>10/06/1972</t>
  </si>
  <si>
    <t>02/28/1954</t>
  </si>
  <si>
    <t>10/05/1968</t>
  </si>
  <si>
    <t>07/19/1942</t>
  </si>
  <si>
    <t>03/30/1992</t>
  </si>
  <si>
    <t>09/14/1969</t>
  </si>
  <si>
    <t>04/23/1964</t>
  </si>
  <si>
    <t>05/17/1966</t>
  </si>
  <si>
    <t>12/03/1965</t>
  </si>
  <si>
    <t>05/10/1927</t>
  </si>
  <si>
    <t>04/15/1945</t>
  </si>
  <si>
    <t>02/14/1955</t>
  </si>
  <si>
    <t>09/08/1935</t>
  </si>
  <si>
    <t>11/05/1960</t>
  </si>
  <si>
    <t>05/23/1945</t>
  </si>
  <si>
    <t>06/06/1971</t>
  </si>
  <si>
    <t>06/07/1966</t>
  </si>
  <si>
    <t>09/03/1970</t>
  </si>
  <si>
    <t>06/17/1941</t>
  </si>
  <si>
    <t>05/22/1962</t>
  </si>
  <si>
    <t>04/26/1976</t>
  </si>
  <si>
    <t>10/05/1951</t>
  </si>
  <si>
    <t>11/16/1959</t>
  </si>
  <si>
    <t>06/11/1971</t>
  </si>
  <si>
    <t>03/27/1969</t>
  </si>
  <si>
    <t>04/19/1958</t>
  </si>
  <si>
    <t>11/08/1967</t>
  </si>
  <si>
    <t>08/26/1963</t>
  </si>
  <si>
    <t>04/02/1971</t>
  </si>
  <si>
    <t>07/27/1978</t>
  </si>
  <si>
    <t>04/29/1963</t>
  </si>
  <si>
    <t>11/21/1939</t>
  </si>
  <si>
    <t>06/07/1957</t>
  </si>
  <si>
    <t>03/21/1964</t>
  </si>
  <si>
    <t>01/01/1986</t>
  </si>
  <si>
    <t>07/22/1950</t>
  </si>
  <si>
    <t>12/26/1983</t>
  </si>
  <si>
    <t>12/15/1963</t>
  </si>
  <si>
    <t>06/30/1993</t>
  </si>
  <si>
    <t>05/02/1972</t>
  </si>
  <si>
    <t>11/21/1957</t>
  </si>
  <si>
    <t>06/16/1971</t>
  </si>
  <si>
    <t>03/08/1974</t>
  </si>
  <si>
    <t>09/19/1949</t>
  </si>
  <si>
    <t>01/10/1968</t>
  </si>
  <si>
    <t>07/26/1937</t>
  </si>
  <si>
    <t>02/09/1976</t>
  </si>
  <si>
    <t>06/16/1972</t>
  </si>
  <si>
    <t>09/08/1987</t>
  </si>
  <si>
    <t>12/14/1979</t>
  </si>
  <si>
    <t>07/20/1981</t>
  </si>
  <si>
    <t>10/30/1985</t>
  </si>
  <si>
    <t>05/09/1983</t>
  </si>
  <si>
    <t>07/06/1947</t>
  </si>
  <si>
    <t>04/10/1980</t>
  </si>
  <si>
    <t>06/23/1947</t>
  </si>
  <si>
    <t>04/07/1970</t>
  </si>
  <si>
    <t>05/05/1949</t>
  </si>
  <si>
    <t>03/10/1971</t>
  </si>
  <si>
    <t>06/03/1965</t>
  </si>
  <si>
    <t>05/03/1968</t>
  </si>
  <si>
    <t>02/24/1982</t>
  </si>
  <si>
    <t>09/25/1952</t>
  </si>
  <si>
    <t>03/29/1974</t>
  </si>
  <si>
    <t>04/15/1987</t>
  </si>
  <si>
    <t>07/12/1973</t>
  </si>
  <si>
    <t>03/16/1931</t>
  </si>
  <si>
    <t>08/09/1975</t>
  </si>
  <si>
    <t>10/04/1964</t>
  </si>
  <si>
    <t>03/13/1967</t>
  </si>
  <si>
    <t>10/09/1972</t>
  </si>
  <si>
    <t>02/10/1954</t>
  </si>
  <si>
    <t>05/16/1995</t>
  </si>
  <si>
    <t>12/03/1979</t>
  </si>
  <si>
    <t>10/04/1920</t>
  </si>
  <si>
    <t>01/19/1967</t>
  </si>
  <si>
    <t>08/06/1952</t>
  </si>
  <si>
    <t>08/31/1968</t>
  </si>
  <si>
    <t>06/02/1957</t>
  </si>
  <si>
    <t>07/13/1993</t>
  </si>
  <si>
    <t>02/21/1983</t>
  </si>
  <si>
    <t>08/17/1975</t>
  </si>
  <si>
    <t>09/22/1958</t>
  </si>
  <si>
    <t>07/07/1932</t>
  </si>
  <si>
    <t>11/21/1996</t>
  </si>
  <si>
    <t>10/06/1946</t>
  </si>
  <si>
    <t>01/01/1962</t>
  </si>
  <si>
    <t>01/15/1984</t>
  </si>
  <si>
    <t>07/17/1970</t>
  </si>
  <si>
    <t>06/30/1959</t>
  </si>
  <si>
    <t>04/19/1991</t>
  </si>
  <si>
    <t>01/13/1987</t>
  </si>
  <si>
    <t>04/11/1968</t>
  </si>
  <si>
    <t>02/21/1977</t>
  </si>
  <si>
    <t>08/20/1943</t>
  </si>
  <si>
    <t>04/04/1988</t>
  </si>
  <si>
    <t>01/12/1974</t>
  </si>
  <si>
    <t>05/02/1971</t>
  </si>
  <si>
    <t>09/22/1956</t>
  </si>
  <si>
    <t>03/12/1971</t>
  </si>
  <si>
    <t>08/27/1983</t>
  </si>
  <si>
    <t>02/06/1983</t>
  </si>
  <si>
    <t>03/21/1969</t>
  </si>
  <si>
    <t>07/27/1985</t>
  </si>
  <si>
    <t>08/20/1992</t>
  </si>
  <si>
    <t>05/18/1971</t>
  </si>
  <si>
    <t>03/07/1977</t>
  </si>
  <si>
    <t>05/15/1970</t>
  </si>
  <si>
    <t>07/31/1963</t>
  </si>
  <si>
    <t>09/10/1981</t>
  </si>
  <si>
    <t>04/06/1971</t>
  </si>
  <si>
    <t>12/24/1925</t>
  </si>
  <si>
    <t>07/13/1962</t>
  </si>
  <si>
    <t>02/21/1952</t>
  </si>
  <si>
    <t>05/11/1956</t>
  </si>
  <si>
    <t>12/03/1972</t>
  </si>
  <si>
    <t>09/20/1988</t>
  </si>
  <si>
    <t>01/10/1966</t>
  </si>
  <si>
    <t>07/06/1955</t>
  </si>
  <si>
    <t>05/14/1954</t>
  </si>
  <si>
    <t>03/11/1941</t>
  </si>
  <si>
    <t>07/30/1966</t>
  </si>
  <si>
    <t>10/03/1961</t>
  </si>
  <si>
    <t>10/19/1966</t>
  </si>
  <si>
    <t>06/18/1949</t>
  </si>
  <si>
    <t>01/03/1958</t>
  </si>
  <si>
    <t>10/02/1974</t>
  </si>
  <si>
    <t>08/06/1947</t>
  </si>
  <si>
    <t>05/08/1961</t>
  </si>
  <si>
    <t>07/10/1963</t>
  </si>
  <si>
    <t>02/19/1959</t>
  </si>
  <si>
    <t>04/06/1979</t>
  </si>
  <si>
    <t>01/02/1949</t>
  </si>
  <si>
    <t>06/17/1966</t>
  </si>
  <si>
    <t>08/22/1960</t>
  </si>
  <si>
    <t>08/29/1974</t>
  </si>
  <si>
    <t>04/15/1976</t>
  </si>
  <si>
    <t>08/31/1969</t>
  </si>
  <si>
    <t>04/06/1988</t>
  </si>
  <si>
    <t>09/21/1945</t>
  </si>
  <si>
    <t>08/02/1945</t>
  </si>
  <si>
    <t>08/19/1961</t>
  </si>
  <si>
    <t>06/30/1945</t>
  </si>
  <si>
    <t>07/20/1983</t>
  </si>
  <si>
    <t>08/24/1944</t>
  </si>
  <si>
    <t>08/12/1937</t>
  </si>
  <si>
    <t>08/23/1964</t>
  </si>
  <si>
    <t>05/15/1955</t>
  </si>
  <si>
    <t>09/20/1980</t>
  </si>
  <si>
    <t>02/10/1987</t>
  </si>
  <si>
    <t>04/30/1979</t>
  </si>
  <si>
    <t>05/11/1992</t>
  </si>
  <si>
    <t>06/02/1987</t>
  </si>
  <si>
    <t>02/20/1992</t>
  </si>
  <si>
    <t>04/15/1968</t>
  </si>
  <si>
    <t>05/28/1961</t>
  </si>
  <si>
    <t>08/04/1942</t>
  </si>
  <si>
    <t>03/02/1928</t>
  </si>
  <si>
    <t>10/13/1959</t>
  </si>
  <si>
    <t>09/02/1969</t>
  </si>
  <si>
    <t>08/16/1974</t>
  </si>
  <si>
    <t>04/26/1951</t>
  </si>
  <si>
    <t>04/13/1965</t>
  </si>
  <si>
    <t>11/01/1994</t>
  </si>
  <si>
    <t>01/09/1958</t>
  </si>
  <si>
    <t>04/09/1960</t>
  </si>
  <si>
    <t>04/25/1984</t>
  </si>
  <si>
    <t>11/08/1988</t>
  </si>
  <si>
    <t>04/30/1985</t>
  </si>
  <si>
    <t>12/11/1971</t>
  </si>
  <si>
    <t>08/31/1940</t>
  </si>
  <si>
    <t>11/25/1944</t>
  </si>
  <si>
    <t>10/11/1974</t>
  </si>
  <si>
    <t>11/15/1973</t>
  </si>
  <si>
    <t>06/07/1955</t>
  </si>
  <si>
    <t>03/04/1954</t>
  </si>
  <si>
    <t>12/24/1958</t>
  </si>
  <si>
    <t>07/23/1956</t>
  </si>
  <si>
    <t>11/27/1962</t>
  </si>
  <si>
    <t>09/17/1952</t>
  </si>
  <si>
    <t>06/14/1955</t>
  </si>
  <si>
    <t>08/03/1944</t>
  </si>
  <si>
    <t>06/23/1963</t>
  </si>
  <si>
    <t>06/02/1962</t>
  </si>
  <si>
    <t>09/05/1971</t>
  </si>
  <si>
    <t>12/03/1946</t>
  </si>
  <si>
    <t>09/02/1960</t>
  </si>
  <si>
    <t>02/01/1955</t>
  </si>
  <si>
    <t>08/02/1953</t>
  </si>
  <si>
    <t>02/14/1971</t>
  </si>
  <si>
    <t>01/17/1967</t>
  </si>
  <si>
    <t>04/25/1964</t>
  </si>
  <si>
    <t>02/14/1940</t>
  </si>
  <si>
    <t>02/25/1940</t>
  </si>
  <si>
    <t>11/07/1955</t>
  </si>
  <si>
    <t>03/12/1977</t>
  </si>
  <si>
    <t>09/06/1960</t>
  </si>
  <si>
    <t>02/03/1959</t>
  </si>
  <si>
    <t>05/06/1958</t>
  </si>
  <si>
    <t>06/09/1979</t>
  </si>
  <si>
    <t>10/26/1969</t>
  </si>
  <si>
    <t>05/07/1979</t>
  </si>
  <si>
    <t>02/26/1977</t>
  </si>
  <si>
    <t>03/05/1961</t>
  </si>
  <si>
    <t>01/16/1971</t>
  </si>
  <si>
    <t>11/02/1976</t>
  </si>
  <si>
    <t>05/17/1942</t>
  </si>
  <si>
    <t>08/17/1982</t>
  </si>
  <si>
    <t>09/25/1961</t>
  </si>
  <si>
    <t>09/08/1974</t>
  </si>
  <si>
    <t>09/13/1962</t>
  </si>
  <si>
    <t>03/30/1937</t>
  </si>
  <si>
    <t>02/04/1980</t>
  </si>
  <si>
    <t>06/04/1967</t>
  </si>
  <si>
    <t>04/19/1996</t>
  </si>
  <si>
    <t>12/09/1964</t>
  </si>
  <si>
    <t>01/01/1936</t>
  </si>
  <si>
    <t>09/04/1970</t>
  </si>
  <si>
    <t>06/30/1963</t>
  </si>
  <si>
    <t>06/10/1984</t>
  </si>
  <si>
    <t>06/23/1948</t>
  </si>
  <si>
    <t>05/06/1989</t>
  </si>
  <si>
    <t>09/01/1988</t>
  </si>
  <si>
    <t>12/01/1995</t>
  </si>
  <si>
    <t>10/18/1978</t>
  </si>
  <si>
    <t>05/17/1990</t>
  </si>
  <si>
    <t>03/10/1962</t>
  </si>
  <si>
    <t>03/01/1971</t>
  </si>
  <si>
    <t>10/12/1984</t>
  </si>
  <si>
    <t>01/29/1975</t>
  </si>
  <si>
    <t>06/14/1976</t>
  </si>
  <si>
    <t>08/11/1974</t>
  </si>
  <si>
    <t>02/20/1967</t>
  </si>
  <si>
    <t>01/30/1956</t>
  </si>
  <si>
    <t>06/23/1959</t>
  </si>
  <si>
    <t>11/06/1977</t>
  </si>
  <si>
    <t>08/07/1969</t>
  </si>
  <si>
    <t>09/01/1968</t>
  </si>
  <si>
    <t>01/27/1975</t>
  </si>
  <si>
    <t>11/15/1949</t>
  </si>
  <si>
    <t>11/09/1972</t>
  </si>
  <si>
    <t>06/24/1963</t>
  </si>
  <si>
    <t>03/28/1973</t>
  </si>
  <si>
    <t>07/23/1963</t>
  </si>
  <si>
    <t>10/04/1959</t>
  </si>
  <si>
    <t>05/01/1951</t>
  </si>
  <si>
    <t>08/11/1968</t>
  </si>
  <si>
    <t>03/01/1993</t>
  </si>
  <si>
    <t>02/20/1971</t>
  </si>
  <si>
    <t>09/21/1966</t>
  </si>
  <si>
    <t>01/25/1955</t>
  </si>
  <si>
    <t>12/10/1946</t>
  </si>
  <si>
    <t>08/13/1967</t>
  </si>
  <si>
    <t>01/28/1980</t>
  </si>
  <si>
    <t>04/13/1937</t>
  </si>
  <si>
    <t>10/08/1947</t>
  </si>
  <si>
    <t>12/10/1952</t>
  </si>
  <si>
    <t>09/16/1969</t>
  </si>
  <si>
    <t>12/08/1981</t>
  </si>
  <si>
    <t>07/01/1965</t>
  </si>
  <si>
    <t>04/24/1967</t>
  </si>
  <si>
    <t>02/07/1961</t>
  </si>
  <si>
    <t>01/11/1935</t>
  </si>
  <si>
    <t>08/24/1950</t>
  </si>
  <si>
    <t>04/08/1981</t>
  </si>
  <si>
    <t>04/05/1946</t>
  </si>
  <si>
    <t>09/20/1985</t>
  </si>
  <si>
    <t>06/04/1965</t>
  </si>
  <si>
    <t>12/30/1923</t>
  </si>
  <si>
    <t>09/02/1961</t>
  </si>
  <si>
    <t>07/07/1957</t>
  </si>
  <si>
    <t>06/03/1987</t>
  </si>
  <si>
    <t>11/18/1989</t>
  </si>
  <si>
    <t>01/08/1941</t>
  </si>
  <si>
    <t>11/08/1959</t>
  </si>
  <si>
    <t>11/25/1973</t>
  </si>
  <si>
    <t>01/05/1952</t>
  </si>
  <si>
    <t>08/28/1959</t>
  </si>
  <si>
    <t>10/28/1951</t>
  </si>
  <si>
    <t>07/13/1952</t>
  </si>
  <si>
    <t>08/14/1983</t>
  </si>
  <si>
    <t>11/30/1982</t>
  </si>
  <si>
    <t>01/30/1983</t>
  </si>
  <si>
    <t>08/30/1956</t>
  </si>
  <si>
    <t>12/13/1955</t>
  </si>
  <si>
    <t>11/09/1980</t>
  </si>
  <si>
    <t>01/18/1972</t>
  </si>
  <si>
    <t>07/20/1970</t>
  </si>
  <si>
    <t>03/28/1980</t>
  </si>
  <si>
    <t>09/17/1975</t>
  </si>
  <si>
    <t>05/09/1990</t>
  </si>
  <si>
    <t>12/02/1956</t>
  </si>
  <si>
    <t>11/17/1983</t>
  </si>
  <si>
    <t>06/14/1977</t>
  </si>
  <si>
    <t>12/04/1971</t>
  </si>
  <si>
    <t>05/23/1957</t>
  </si>
  <si>
    <t>03/18/1954</t>
  </si>
  <si>
    <t>10/30/1929</t>
  </si>
  <si>
    <t>01/02/1959</t>
  </si>
  <si>
    <t>10/04/1973</t>
  </si>
  <si>
    <t>02/06/1944</t>
  </si>
  <si>
    <t>11/29/1993</t>
  </si>
  <si>
    <t>08/05/1986</t>
  </si>
  <si>
    <t>03/23/1951</t>
  </si>
  <si>
    <t>06/22/1936</t>
  </si>
  <si>
    <t>12/03/1961</t>
  </si>
  <si>
    <t>08/28/1971</t>
  </si>
  <si>
    <t>11/07/1956</t>
  </si>
  <si>
    <t>10/26/1980</t>
  </si>
  <si>
    <t>11/21/1975</t>
  </si>
  <si>
    <t>08/21/1950</t>
  </si>
  <si>
    <t>04/01/1981</t>
  </si>
  <si>
    <t>11/08/1954</t>
  </si>
  <si>
    <t>09/09/1967</t>
  </si>
  <si>
    <t>01/18/1941</t>
  </si>
  <si>
    <t>06/02/1976</t>
  </si>
  <si>
    <t>04/09/1952</t>
  </si>
  <si>
    <t>09/21/1949</t>
  </si>
  <si>
    <t>08/26/1966</t>
  </si>
  <si>
    <t>01/04/1975</t>
  </si>
  <si>
    <t>04/11/1961</t>
  </si>
  <si>
    <t>12/19/1969</t>
  </si>
  <si>
    <t>08/28/1978</t>
  </si>
  <si>
    <t>08/27/1970</t>
  </si>
  <si>
    <t>07/29/1963</t>
  </si>
  <si>
    <t>05/27/1956</t>
  </si>
  <si>
    <t>04/21/1986</t>
  </si>
  <si>
    <t>05/16/1970</t>
  </si>
  <si>
    <t>03/02/1963</t>
  </si>
  <si>
    <t>04/22/1968</t>
  </si>
  <si>
    <t>01/13/1970</t>
  </si>
  <si>
    <t>09/07/1951</t>
  </si>
  <si>
    <t>02/05/1989</t>
  </si>
  <si>
    <t>11/28/1958</t>
  </si>
  <si>
    <t>05/12/1991</t>
  </si>
  <si>
    <t>11/20/1969</t>
  </si>
  <si>
    <t>10/02/1987</t>
  </si>
  <si>
    <t>05/18/1957</t>
  </si>
  <si>
    <t>03/06/1949</t>
  </si>
  <si>
    <t>07/24/1945</t>
  </si>
  <si>
    <t>05/04/1962</t>
  </si>
  <si>
    <t>09/03/1976</t>
  </si>
  <si>
    <t>06/26/1977</t>
  </si>
  <si>
    <t>05/04/1957</t>
  </si>
  <si>
    <t>07/01/1994</t>
  </si>
  <si>
    <t>06/19/1975</t>
  </si>
  <si>
    <t>02/02/1954</t>
  </si>
  <si>
    <t>06/27/1957</t>
  </si>
  <si>
    <t>03/22/1978</t>
  </si>
  <si>
    <t>09/04/1958</t>
  </si>
  <si>
    <t>05/09/1961</t>
  </si>
  <si>
    <t>02/24/1995</t>
  </si>
  <si>
    <t>12/27/1963</t>
  </si>
  <si>
    <t>07/25/1931</t>
  </si>
  <si>
    <t>07/16/1947</t>
  </si>
  <si>
    <t>03/12/1978</t>
  </si>
  <si>
    <t>07/14/1984</t>
  </si>
  <si>
    <t>08/15/1945</t>
  </si>
  <si>
    <t>02/16/1975</t>
  </si>
  <si>
    <t>02/21/1954</t>
  </si>
  <si>
    <t>08/31/1978</t>
  </si>
  <si>
    <t>06/27/1953</t>
  </si>
  <si>
    <t>08/04/1950</t>
  </si>
  <si>
    <t>07/13/1959</t>
  </si>
  <si>
    <t>12/05/1978</t>
  </si>
  <si>
    <t>08/15/1989</t>
  </si>
  <si>
    <t>08/28/1972</t>
  </si>
  <si>
    <t>02/15/1979</t>
  </si>
  <si>
    <t>03/13/1960</t>
  </si>
  <si>
    <t>11/04/1968</t>
  </si>
  <si>
    <t>03/06/1959</t>
  </si>
  <si>
    <t>09/28/1986</t>
  </si>
  <si>
    <t>08/13/1974</t>
  </si>
  <si>
    <t>01/09/1983</t>
  </si>
  <si>
    <t>06/17/1994</t>
  </si>
  <si>
    <t>01/25/1959</t>
  </si>
  <si>
    <t>12/19/1975</t>
  </si>
  <si>
    <t>10/19/1972</t>
  </si>
  <si>
    <t>09/22/1957</t>
  </si>
  <si>
    <t>10/10/1948</t>
  </si>
  <si>
    <t>09/05/1979</t>
  </si>
  <si>
    <t>10/25/1974</t>
  </si>
  <si>
    <t>06/07/1956</t>
  </si>
  <si>
    <t>07/11/1961</t>
  </si>
  <si>
    <t>06/26/1988</t>
  </si>
  <si>
    <t>03/11/1962</t>
  </si>
  <si>
    <t>08/18/1947</t>
  </si>
  <si>
    <t>06/04/1985</t>
  </si>
  <si>
    <t>12/06/1946</t>
  </si>
  <si>
    <t>11/30/1941</t>
  </si>
  <si>
    <t>10/11/1961</t>
  </si>
  <si>
    <t>05/31/1948</t>
  </si>
  <si>
    <t>06/07/1945</t>
  </si>
  <si>
    <t>12/26/1957</t>
  </si>
  <si>
    <t>10/22/1949</t>
  </si>
  <si>
    <t>01/16/1951</t>
  </si>
  <si>
    <t>06/04/1953</t>
  </si>
  <si>
    <t>02/13/1971</t>
  </si>
  <si>
    <t>08/11/1956</t>
  </si>
  <si>
    <t>01/25/1978</t>
  </si>
  <si>
    <t>08/25/1962</t>
  </si>
  <si>
    <t>04/05/1958</t>
  </si>
  <si>
    <t>07/01/1952</t>
  </si>
  <si>
    <t>06/01/1981</t>
  </si>
  <si>
    <t>06/26/1969</t>
  </si>
  <si>
    <t>03/17/1995</t>
  </si>
  <si>
    <t>04/19/1950</t>
  </si>
  <si>
    <t>02/04/1957</t>
  </si>
  <si>
    <t>05/11/1973</t>
  </si>
  <si>
    <t>06/03/1943</t>
  </si>
  <si>
    <t>08/13/1985</t>
  </si>
  <si>
    <t>12/19/1982</t>
  </si>
  <si>
    <t>03/10/1984</t>
  </si>
  <si>
    <t>07/26/1955</t>
  </si>
  <si>
    <t>12/05/1949</t>
  </si>
  <si>
    <t>02/28/1957</t>
  </si>
  <si>
    <t>02/10/1937</t>
  </si>
  <si>
    <t>02/23/1982</t>
  </si>
  <si>
    <t>03/04/1969</t>
  </si>
  <si>
    <t>12/30/1942</t>
  </si>
  <si>
    <t>12/11/1978</t>
  </si>
  <si>
    <t>08/16/1958</t>
  </si>
  <si>
    <t>12/13/1969</t>
  </si>
  <si>
    <t>10/12/1986</t>
  </si>
  <si>
    <t>11/13/1947</t>
  </si>
  <si>
    <t>07/10/1992</t>
  </si>
  <si>
    <t>09/04/1980</t>
  </si>
  <si>
    <t>08/18/1950</t>
  </si>
  <si>
    <t>12/14/1981</t>
  </si>
  <si>
    <t>06/28/1971</t>
  </si>
  <si>
    <t>12/23/1980</t>
  </si>
  <si>
    <t>10/02/1985</t>
  </si>
  <si>
    <t>02/18/1971</t>
  </si>
  <si>
    <t>11/06/1941</t>
  </si>
  <si>
    <t>02/18/1981</t>
  </si>
  <si>
    <t>05/13/1975</t>
  </si>
  <si>
    <t>03/11/1980</t>
  </si>
  <si>
    <t>03/10/1932</t>
  </si>
  <si>
    <t>08/27/1968</t>
  </si>
  <si>
    <t>08/11/1951</t>
  </si>
  <si>
    <t>01/18/1976</t>
  </si>
  <si>
    <t>05/18/1987</t>
  </si>
  <si>
    <t>11/09/1941</t>
  </si>
  <si>
    <t>09/30/1940</t>
  </si>
  <si>
    <t>08/28/1965</t>
  </si>
  <si>
    <t>05/07/1943</t>
  </si>
  <si>
    <t>09/05/1934</t>
  </si>
  <si>
    <t>02/22/1973</t>
  </si>
  <si>
    <t>09/12/1973</t>
  </si>
  <si>
    <t>05/23/1946</t>
  </si>
  <si>
    <t>09/12/1981</t>
  </si>
  <si>
    <t>08/20/1978</t>
  </si>
  <si>
    <t>07/12/1951</t>
  </si>
  <si>
    <t>07/05/1953</t>
  </si>
  <si>
    <t>05/30/1983</t>
  </si>
  <si>
    <t>08/12/1966</t>
  </si>
  <si>
    <t>08/11/1967</t>
  </si>
  <si>
    <t>09/25/1978</t>
  </si>
  <si>
    <t>10/10/1942</t>
  </si>
  <si>
    <t>03/08/1947</t>
  </si>
  <si>
    <t>02/16/1939</t>
  </si>
  <si>
    <t>03/21/1950</t>
  </si>
  <si>
    <t>10/03/1983</t>
  </si>
  <si>
    <t>07/09/1955</t>
  </si>
  <si>
    <t>04/12/1948</t>
  </si>
  <si>
    <t>02/25/1981</t>
  </si>
  <si>
    <t>03/05/1975</t>
  </si>
  <si>
    <t>04/02/1982</t>
  </si>
  <si>
    <t>09/16/1970</t>
  </si>
  <si>
    <t>05/22/1972</t>
  </si>
  <si>
    <t>07/01/1937</t>
  </si>
  <si>
    <t>04/19/1957</t>
  </si>
  <si>
    <t>03/17/1966</t>
  </si>
  <si>
    <t>06/10/1965</t>
  </si>
  <si>
    <t>04/12/1972</t>
  </si>
  <si>
    <t>11/23/1942</t>
  </si>
  <si>
    <t>09/17/1979</t>
  </si>
  <si>
    <t>12/15/1987</t>
  </si>
  <si>
    <t>04/11/1965</t>
  </si>
  <si>
    <t>06/25/1955</t>
  </si>
  <si>
    <t>11/21/1947</t>
  </si>
  <si>
    <t>11/01/1971</t>
  </si>
  <si>
    <t>11/03/1986</t>
  </si>
  <si>
    <t>04/09/1972</t>
  </si>
  <si>
    <t>01/15/1957</t>
  </si>
  <si>
    <t>07/06/1980</t>
  </si>
  <si>
    <t>01/06/1979</t>
  </si>
  <si>
    <t>06/05/1962</t>
  </si>
  <si>
    <t>08/07/1949</t>
  </si>
  <si>
    <t>11/16/1965</t>
  </si>
  <si>
    <t>08/31/1952</t>
  </si>
  <si>
    <t>10/14/1963</t>
  </si>
  <si>
    <t>01/31/1987</t>
  </si>
  <si>
    <t>05/09/1978</t>
  </si>
  <si>
    <t>12/13/1973</t>
  </si>
  <si>
    <t>07/03/1960</t>
  </si>
  <si>
    <t>04/03/1962</t>
  </si>
  <si>
    <t>12/12/1969</t>
  </si>
  <si>
    <t>12/16/1947</t>
  </si>
  <si>
    <t>05/25/1971</t>
  </si>
  <si>
    <t>11/05/1954</t>
  </si>
  <si>
    <t>08/05/1973</t>
  </si>
  <si>
    <t>12/24/1930</t>
  </si>
  <si>
    <t>08/12/1993</t>
  </si>
  <si>
    <t>06/06/1965</t>
  </si>
  <si>
    <t>03/21/1962</t>
  </si>
  <si>
    <t>09/08/1989</t>
  </si>
  <si>
    <t>09/01/1967</t>
  </si>
  <si>
    <t>10/13/1974</t>
  </si>
  <si>
    <t>08/10/1977</t>
  </si>
  <si>
    <t>12/27/1991</t>
  </si>
  <si>
    <t>01/18/1957</t>
  </si>
  <si>
    <t>03/16/1968</t>
  </si>
  <si>
    <t>06/08/1956</t>
  </si>
  <si>
    <t>11/12/1986</t>
  </si>
  <si>
    <t>10/15/1956</t>
  </si>
  <si>
    <t>09/02/1971</t>
  </si>
  <si>
    <t>11/13/1951</t>
  </si>
  <si>
    <t>04/27/1958</t>
  </si>
  <si>
    <t>05/11/1993</t>
  </si>
  <si>
    <t>05/10/1946</t>
  </si>
  <si>
    <t>04/06/1942</t>
  </si>
  <si>
    <t>02/09/1952</t>
  </si>
  <si>
    <t>09/18/1936</t>
  </si>
  <si>
    <t>02/21/1961</t>
  </si>
  <si>
    <t>11/09/1961</t>
  </si>
  <si>
    <t>08/12/1934</t>
  </si>
  <si>
    <t>01/10/1992</t>
  </si>
  <si>
    <t>11/27/1981</t>
  </si>
  <si>
    <t>01/16/1979</t>
  </si>
  <si>
    <t>06/03/1953</t>
  </si>
  <si>
    <t>06/05/1979</t>
  </si>
  <si>
    <t>09/26/1971</t>
  </si>
  <si>
    <t>07/10/1976</t>
  </si>
  <si>
    <t>07/20/1946</t>
  </si>
  <si>
    <t>10/22/1962</t>
  </si>
  <si>
    <t>08/06/1960</t>
  </si>
  <si>
    <t>09/19/1956</t>
  </si>
  <si>
    <t>11/01/1989</t>
  </si>
  <si>
    <t>02/12/1970</t>
  </si>
  <si>
    <t>12/27/1959</t>
  </si>
  <si>
    <t>05/17/1967</t>
  </si>
  <si>
    <t>12/25/1970</t>
  </si>
  <si>
    <t>08/19/1970</t>
  </si>
  <si>
    <t>09/21/1987</t>
  </si>
  <si>
    <t>03/27/1989</t>
  </si>
  <si>
    <t>03/15/1963</t>
  </si>
  <si>
    <t>05/28/1986</t>
  </si>
  <si>
    <t>10/07/1975</t>
  </si>
  <si>
    <t>03/24/1959</t>
  </si>
  <si>
    <t>11/20/1980</t>
  </si>
  <si>
    <t>03/21/1989</t>
  </si>
  <si>
    <t>10/28/1975</t>
  </si>
  <si>
    <t>08/20/1981</t>
  </si>
  <si>
    <t>06/10/1939</t>
  </si>
  <si>
    <t>06/29/1986</t>
  </si>
  <si>
    <t>02/10/1969</t>
  </si>
  <si>
    <t>10/10/1973</t>
  </si>
  <si>
    <t>02/21/1984</t>
  </si>
  <si>
    <t>07/27/1960</t>
  </si>
  <si>
    <t>12/17/1946</t>
  </si>
  <si>
    <t>11/29/1972</t>
  </si>
  <si>
    <t>12/30/1984</t>
  </si>
  <si>
    <t>10/28/1987</t>
  </si>
  <si>
    <t>07/01/1949</t>
  </si>
  <si>
    <t>01/20/1944</t>
  </si>
  <si>
    <t>05/01/1996</t>
  </si>
  <si>
    <t>01/14/1953</t>
  </si>
  <si>
    <t>01/06/1968</t>
  </si>
  <si>
    <t>04/18/1928</t>
  </si>
  <si>
    <t>11/18/1984</t>
  </si>
  <si>
    <t>09/11/1954</t>
  </si>
  <si>
    <t>09/13/1964</t>
  </si>
  <si>
    <t>01/19/1950</t>
  </si>
  <si>
    <t>10/08/1966</t>
  </si>
  <si>
    <t>09/17/1972</t>
  </si>
  <si>
    <t>09/17/1961</t>
  </si>
  <si>
    <t>06/03/1979</t>
  </si>
  <si>
    <t>03/09/1970</t>
  </si>
  <si>
    <t>04/06/1958</t>
  </si>
  <si>
    <t>12/11/1965</t>
  </si>
  <si>
    <t>10/26/1987</t>
  </si>
  <si>
    <t>05/29/1962</t>
  </si>
  <si>
    <t>08/18/1964</t>
  </si>
  <si>
    <t>02/15/1978</t>
  </si>
  <si>
    <t>11/29/1979</t>
  </si>
  <si>
    <t>01/22/1960</t>
  </si>
  <si>
    <t>01/19/1936</t>
  </si>
  <si>
    <t>01/31/1967</t>
  </si>
  <si>
    <t>10/01/1952</t>
  </si>
  <si>
    <t>04/09/1992</t>
  </si>
  <si>
    <t>06/29/1974</t>
  </si>
  <si>
    <t>10/26/1982</t>
  </si>
  <si>
    <t>06/11/1982</t>
  </si>
  <si>
    <t>09/11/1966</t>
  </si>
  <si>
    <t>07/04/1949</t>
  </si>
  <si>
    <t>07/02/1971</t>
  </si>
  <si>
    <t>10/25/1965</t>
  </si>
  <si>
    <t>08/26/1962</t>
  </si>
  <si>
    <t>11/19/1973</t>
  </si>
  <si>
    <t>06/30/1960</t>
  </si>
  <si>
    <t>01/07/1979</t>
  </si>
  <si>
    <t>12/12/1954</t>
  </si>
  <si>
    <t>01/31/1971</t>
  </si>
  <si>
    <t>06/10/1957</t>
  </si>
  <si>
    <t>06/06/1950</t>
  </si>
  <si>
    <t>07/19/1962</t>
  </si>
  <si>
    <t>04/06/1962</t>
  </si>
  <si>
    <t>09/26/1992</t>
  </si>
  <si>
    <t>02/20/1962</t>
  </si>
  <si>
    <t>06/05/1950</t>
  </si>
  <si>
    <t>04/17/1979</t>
  </si>
  <si>
    <t>06/01/1938</t>
  </si>
  <si>
    <t>12/19/1967</t>
  </si>
  <si>
    <t>12/30/1950</t>
  </si>
  <si>
    <t>12/18/1981</t>
  </si>
  <si>
    <t>06/27/1944</t>
  </si>
  <si>
    <t>09/10/1968</t>
  </si>
  <si>
    <t>06/11/1980</t>
  </si>
  <si>
    <t>05/15/1979</t>
  </si>
  <si>
    <t>07/16/1958</t>
  </si>
  <si>
    <t>02/11/1985</t>
  </si>
  <si>
    <t>10/20/1976</t>
  </si>
  <si>
    <t>06/09/1965</t>
  </si>
  <si>
    <t>09/01/1980</t>
  </si>
  <si>
    <t>02/03/1970</t>
  </si>
  <si>
    <t>03/08/1964</t>
  </si>
  <si>
    <t>02/16/1986</t>
  </si>
  <si>
    <t>08/09/1987</t>
  </si>
  <si>
    <t>09/16/1941</t>
  </si>
  <si>
    <t>02/03/1993</t>
  </si>
  <si>
    <t>09/22/1969</t>
  </si>
  <si>
    <t>08/14/1982</t>
  </si>
  <si>
    <t>11/13/1952</t>
  </si>
  <si>
    <t>01/22/1961</t>
  </si>
  <si>
    <t>02/13/1947</t>
  </si>
  <si>
    <t>08/23/1949</t>
  </si>
  <si>
    <t>04/27/1956</t>
  </si>
  <si>
    <t>07/15/1951</t>
  </si>
  <si>
    <t>11/24/1984</t>
  </si>
  <si>
    <t>10/16/1979</t>
  </si>
  <si>
    <t>12/01/1981</t>
  </si>
  <si>
    <t>04/23/1965</t>
  </si>
  <si>
    <t>11/25/1968</t>
  </si>
  <si>
    <t>01/18/1982</t>
  </si>
  <si>
    <t>01/01/1987</t>
  </si>
  <si>
    <t>05/10/1990</t>
  </si>
  <si>
    <t>01/15/1952</t>
  </si>
  <si>
    <t>06/04/1954</t>
  </si>
  <si>
    <t>12/31/1973</t>
  </si>
  <si>
    <t>09/30/1972</t>
  </si>
  <si>
    <t>03/19/1992</t>
  </si>
  <si>
    <t>05/03/1956</t>
  </si>
  <si>
    <t>05/21/1984</t>
  </si>
  <si>
    <t>09/04/1959</t>
  </si>
  <si>
    <t>07/20/1964</t>
  </si>
  <si>
    <t>07/20/1992</t>
  </si>
  <si>
    <t>05/21/1980</t>
  </si>
  <si>
    <t>03/24/1970</t>
  </si>
  <si>
    <t>11/30/1964</t>
  </si>
  <si>
    <t>06/27/1984</t>
  </si>
  <si>
    <t>03/06/1942</t>
  </si>
  <si>
    <t>02/18/1993</t>
  </si>
  <si>
    <t>11/28/1960</t>
  </si>
  <si>
    <t>06/14/1960</t>
  </si>
  <si>
    <t>10/30/1943</t>
  </si>
  <si>
    <t>06/10/1976</t>
  </si>
  <si>
    <t>08/14/1964</t>
  </si>
  <si>
    <t>10/30/1960</t>
  </si>
  <si>
    <t>12/29/1986</t>
  </si>
  <si>
    <t>04/09/1968</t>
  </si>
  <si>
    <t>11/15/1944</t>
  </si>
  <si>
    <t>11/13/1948</t>
  </si>
  <si>
    <t>10/08/1950</t>
  </si>
  <si>
    <t>10/10/1976</t>
  </si>
  <si>
    <t>09/13/1981</t>
  </si>
  <si>
    <t>04/23/2009</t>
  </si>
  <si>
    <t>01/24/1971</t>
  </si>
  <si>
    <t>07/01/1961</t>
  </si>
  <si>
    <t>01/07/1991</t>
  </si>
  <si>
    <t>01/23/1971</t>
  </si>
  <si>
    <t>08/28/1979</t>
  </si>
  <si>
    <t>02/17/1969</t>
  </si>
  <si>
    <t>02/17/1949</t>
  </si>
  <si>
    <t>12/04/1973</t>
  </si>
  <si>
    <t>11/08/1993</t>
  </si>
  <si>
    <t>06/24/1960</t>
  </si>
  <si>
    <t>06/17/1949</t>
  </si>
  <si>
    <t>06/02/1977</t>
  </si>
  <si>
    <t>01/18/1947</t>
  </si>
  <si>
    <t>02/24/1942</t>
  </si>
  <si>
    <t>01/11/1953</t>
  </si>
  <si>
    <t>03/16/1986</t>
  </si>
  <si>
    <t>07/18/1989</t>
  </si>
  <si>
    <t>10/29/1969</t>
  </si>
  <si>
    <t>03/22/1970</t>
  </si>
  <si>
    <t>07/06/1956</t>
  </si>
  <si>
    <t>09/22/1942</t>
  </si>
  <si>
    <t>02/17/1991</t>
  </si>
  <si>
    <t>11/13/1965</t>
  </si>
  <si>
    <t>03/18/1971</t>
  </si>
  <si>
    <t>03/28/1949</t>
  </si>
  <si>
    <t>08/17/1985</t>
  </si>
  <si>
    <t>12/29/1993</t>
  </si>
  <si>
    <t>05/02/1982</t>
  </si>
  <si>
    <t>12/01/1950</t>
  </si>
  <si>
    <t>02/08/1974</t>
  </si>
  <si>
    <t>09/02/1997</t>
  </si>
  <si>
    <t>12/15/1949</t>
  </si>
  <si>
    <t>11/08/1977</t>
  </si>
  <si>
    <t>06/23/1984</t>
  </si>
  <si>
    <t>04/01/1959</t>
  </si>
  <si>
    <t>03/14/1971</t>
  </si>
  <si>
    <t>01/30/1985</t>
  </si>
  <si>
    <t>07/05/1947</t>
  </si>
  <si>
    <t>11/26/1982</t>
  </si>
  <si>
    <t>06/20/1957</t>
  </si>
  <si>
    <t>06/29/1981</t>
  </si>
  <si>
    <t>08/01/1989</t>
  </si>
  <si>
    <t>02/21/1960</t>
  </si>
  <si>
    <t>07/01/1974</t>
  </si>
  <si>
    <t>03/28/1948</t>
  </si>
  <si>
    <t>07/17/1975</t>
  </si>
  <si>
    <t>06/11/1966</t>
  </si>
  <si>
    <t>04/17/1990</t>
  </si>
  <si>
    <t>07/03/1973</t>
  </si>
  <si>
    <t>10/13/1958</t>
  </si>
  <si>
    <t>03/28/1992</t>
  </si>
  <si>
    <t>06/21/1961</t>
  </si>
  <si>
    <t>11/11/1981</t>
  </si>
  <si>
    <t>08/31/1957</t>
  </si>
  <si>
    <t>09/20/1978</t>
  </si>
  <si>
    <t>05/11/1953</t>
  </si>
  <si>
    <t>04/13/1994</t>
  </si>
  <si>
    <t>08/19/1988</t>
  </si>
  <si>
    <t>12/20/1962</t>
  </si>
  <si>
    <t>11/07/1967</t>
  </si>
  <si>
    <t>09/11/1959</t>
  </si>
  <si>
    <t>07/09/1972</t>
  </si>
  <si>
    <t>12/26/1964</t>
  </si>
  <si>
    <t>06/06/1940</t>
  </si>
  <si>
    <t>10/26/1974</t>
  </si>
  <si>
    <t>04/25/1956</t>
  </si>
  <si>
    <t>07/20/1961</t>
  </si>
  <si>
    <t>09/15/1957</t>
  </si>
  <si>
    <t>07/28/1963</t>
  </si>
  <si>
    <t>02/10/1941</t>
  </si>
  <si>
    <t>12/29/1962</t>
  </si>
  <si>
    <t>02/03/1988</t>
  </si>
  <si>
    <t>11/01/1988</t>
  </si>
  <si>
    <t>05/24/1984</t>
  </si>
  <si>
    <t>06/29/1968</t>
  </si>
  <si>
    <t>12/24/1984</t>
  </si>
  <si>
    <t>08/13/1965</t>
  </si>
  <si>
    <t>03/02/1978</t>
  </si>
  <si>
    <t>10/02/1980</t>
  </si>
  <si>
    <t>12/06/1964</t>
  </si>
  <si>
    <t>12/30/1963</t>
  </si>
  <si>
    <t>12/07/1965</t>
  </si>
  <si>
    <t>07/13/1953</t>
  </si>
  <si>
    <t>02/03/1966</t>
  </si>
  <si>
    <t>10/26/1972</t>
  </si>
  <si>
    <t>01/04/1967</t>
  </si>
  <si>
    <t>05/04/1980</t>
  </si>
  <si>
    <t>03/29/1984</t>
  </si>
  <si>
    <t>06/29/1991</t>
  </si>
  <si>
    <t>11/28/1968</t>
  </si>
  <si>
    <t>07/01/1978</t>
  </si>
  <si>
    <t>10/22/1987</t>
  </si>
  <si>
    <t>02/16/1992</t>
  </si>
  <si>
    <t>09/21/1965</t>
  </si>
  <si>
    <t>11/15/1952</t>
  </si>
  <si>
    <t>03/08/1949</t>
  </si>
  <si>
    <t>07/28/1951</t>
  </si>
  <si>
    <t>01/31/1990</t>
  </si>
  <si>
    <t>01/09/1978</t>
  </si>
  <si>
    <t>02/11/1972</t>
  </si>
  <si>
    <t>05/24/1971</t>
  </si>
  <si>
    <t>12/24/1961</t>
  </si>
  <si>
    <t>04/23/1986</t>
  </si>
  <si>
    <t>06/21/1970</t>
  </si>
  <si>
    <t>01/15/1956</t>
  </si>
  <si>
    <t>03/04/1951</t>
  </si>
  <si>
    <t>12/08/1970</t>
  </si>
  <si>
    <t>12/23/1959</t>
  </si>
  <si>
    <t>07/27/1977</t>
  </si>
  <si>
    <t>07/24/1963</t>
  </si>
  <si>
    <t>01/15/1948</t>
  </si>
  <si>
    <t>02/19/1990</t>
  </si>
  <si>
    <t>05/04/1964</t>
  </si>
  <si>
    <t>06/02/1955</t>
  </si>
  <si>
    <t>11/21/1965</t>
  </si>
  <si>
    <t>01/07/1960</t>
  </si>
  <si>
    <t>04/11/1977</t>
  </si>
  <si>
    <t>12/22/1948</t>
  </si>
  <si>
    <t>10/20/1993</t>
  </si>
  <si>
    <t>09/18/1971</t>
  </si>
  <si>
    <t>05/24/1977</t>
  </si>
  <si>
    <t>05/27/1984</t>
  </si>
  <si>
    <t>05/20/1995</t>
  </si>
  <si>
    <t>08/03/1972</t>
  </si>
  <si>
    <t>08/01/1972</t>
  </si>
  <si>
    <t>09/02/1954</t>
  </si>
  <si>
    <t>04/13/1962</t>
  </si>
  <si>
    <t>07/20/1984</t>
  </si>
  <si>
    <t>06/21/1976</t>
  </si>
  <si>
    <t>01/09/1975</t>
  </si>
  <si>
    <t>09/19/1990</t>
  </si>
  <si>
    <t>07/06/1992</t>
  </si>
  <si>
    <t>03/04/1938</t>
  </si>
  <si>
    <t>05/14/1975</t>
  </si>
  <si>
    <t>07/09/1984</t>
  </si>
  <si>
    <t>08/10/1951</t>
  </si>
  <si>
    <t>12/08/1986</t>
  </si>
  <si>
    <t>12/13/1957</t>
  </si>
  <si>
    <t>01/22/1987</t>
  </si>
  <si>
    <t>10/02/1986</t>
  </si>
  <si>
    <t>04/26/1989</t>
  </si>
  <si>
    <t>01/24/1992</t>
  </si>
  <si>
    <t>04/19/1987</t>
  </si>
  <si>
    <t>12/11/1955</t>
  </si>
  <si>
    <t>05/08/1953</t>
  </si>
  <si>
    <t>11/11/1961</t>
  </si>
  <si>
    <t>09/22/1949</t>
  </si>
  <si>
    <t>02/07/1954</t>
  </si>
  <si>
    <t>11/07/1964</t>
  </si>
  <si>
    <t>07/04/1971</t>
  </si>
  <si>
    <t>04/03/1965</t>
  </si>
  <si>
    <t>08/01/1943</t>
  </si>
  <si>
    <t>12/27/1946</t>
  </si>
  <si>
    <t>08/18/1967</t>
  </si>
  <si>
    <t>12/29/1964</t>
  </si>
  <si>
    <t>11/01/1963</t>
  </si>
  <si>
    <t>09/15/1969</t>
  </si>
  <si>
    <t>02/25/1991</t>
  </si>
  <si>
    <t>03/06/1991</t>
  </si>
  <si>
    <t>05/07/1972</t>
  </si>
  <si>
    <t>06/09/1952</t>
  </si>
  <si>
    <t>05/02/1941</t>
  </si>
  <si>
    <t>11/22/1976</t>
  </si>
  <si>
    <t>07/19/1959</t>
  </si>
  <si>
    <t>07/28/1975</t>
  </si>
  <si>
    <t>11/29/1963</t>
  </si>
  <si>
    <t>03/07/1963</t>
  </si>
  <si>
    <t>12/10/1955</t>
  </si>
  <si>
    <t>06/05/1954</t>
  </si>
  <si>
    <t>11/18/1985</t>
  </si>
  <si>
    <t>07/30/1994</t>
  </si>
  <si>
    <t>02/08/1982</t>
  </si>
  <si>
    <t>10/02/1972</t>
  </si>
  <si>
    <t>11/02/1942</t>
  </si>
  <si>
    <t>03/28/1986</t>
  </si>
  <si>
    <t>10/21/1988</t>
  </si>
  <si>
    <t>10/29/1980</t>
  </si>
  <si>
    <t>09/28/1970</t>
  </si>
  <si>
    <t>07/21/1984</t>
  </si>
  <si>
    <t>12/03/1981</t>
  </si>
  <si>
    <t>07/22/1986</t>
  </si>
  <si>
    <t>04/01/1993</t>
  </si>
  <si>
    <t>10/03/1950</t>
  </si>
  <si>
    <t>09/08/1991</t>
  </si>
  <si>
    <t>11/26/1951</t>
  </si>
  <si>
    <t>06/11/1978</t>
  </si>
  <si>
    <t>08/06/1980</t>
  </si>
  <si>
    <t>09/09/1970</t>
  </si>
  <si>
    <t>04/07/1945</t>
  </si>
  <si>
    <t>08/22/1987</t>
  </si>
  <si>
    <t>12/30/1988</t>
  </si>
  <si>
    <t>04/02/1962</t>
  </si>
  <si>
    <t>07/25/1960</t>
  </si>
  <si>
    <t>09/11/1965</t>
  </si>
  <si>
    <t>03/02/1987</t>
  </si>
  <si>
    <t>09/15/1964</t>
  </si>
  <si>
    <t>03/22/1971</t>
  </si>
  <si>
    <t>05/27/1976</t>
  </si>
  <si>
    <t>06/03/1968</t>
  </si>
  <si>
    <t>05/10/1995</t>
  </si>
  <si>
    <t>05/23/1994</t>
  </si>
  <si>
    <t>10/30/1963</t>
  </si>
  <si>
    <t>05/05/1991</t>
  </si>
  <si>
    <t>09/28/1959</t>
  </si>
  <si>
    <t>01/23/1991</t>
  </si>
  <si>
    <t>10/11/1958</t>
  </si>
  <si>
    <t>04/06/1990</t>
  </si>
  <si>
    <t>09/10/1969</t>
  </si>
  <si>
    <t>10/10/1975</t>
  </si>
  <si>
    <t>11/17/1982</t>
  </si>
  <si>
    <t>12/11/1970</t>
  </si>
  <si>
    <t>01/01/1966</t>
  </si>
  <si>
    <t>02/21/1956</t>
  </si>
  <si>
    <t>07/18/1992</t>
  </si>
  <si>
    <t>01/13/1952</t>
  </si>
  <si>
    <t>07/24/1971</t>
  </si>
  <si>
    <t>08/18/1973</t>
  </si>
  <si>
    <t>08/17/1990</t>
  </si>
  <si>
    <t>09/01/1953</t>
  </si>
  <si>
    <t>05/18/1983</t>
  </si>
  <si>
    <t>09/19/1978</t>
  </si>
  <si>
    <t>09/06/1983</t>
  </si>
  <si>
    <t>11/19/1988</t>
  </si>
  <si>
    <t>08/30/1957</t>
  </si>
  <si>
    <t>05/31/1988</t>
  </si>
  <si>
    <t>07/15/1971</t>
  </si>
  <si>
    <t>11/10/1981</t>
  </si>
  <si>
    <t>12/30/1958</t>
  </si>
  <si>
    <t>03/18/1966</t>
  </si>
  <si>
    <t>04/30/1959</t>
  </si>
  <si>
    <t>03/11/1984</t>
  </si>
  <si>
    <t>09/02/1991</t>
  </si>
  <si>
    <t>01/01/1990</t>
  </si>
  <si>
    <t>02/12/1983</t>
  </si>
  <si>
    <t>04/16/1985</t>
  </si>
  <si>
    <t>06/08/1958</t>
  </si>
  <si>
    <t>10/09/1994</t>
  </si>
  <si>
    <t>01/14/1971</t>
  </si>
  <si>
    <t>04/06/1978</t>
  </si>
  <si>
    <t>03/30/1980</t>
  </si>
  <si>
    <t>04/26/1973</t>
  </si>
  <si>
    <t>10/04/1972</t>
  </si>
  <si>
    <t>08/10/1978</t>
  </si>
  <si>
    <t>01/25/1988</t>
  </si>
  <si>
    <t>06/19/1979</t>
  </si>
  <si>
    <t>01/10/1989</t>
  </si>
  <si>
    <t>06/25/1990</t>
  </si>
  <si>
    <t>02/26/1965</t>
  </si>
  <si>
    <t>05/12/1976</t>
  </si>
  <si>
    <t>08/16/1966</t>
  </si>
  <si>
    <t>01/13/1979</t>
  </si>
  <si>
    <t>08/31/1983</t>
  </si>
  <si>
    <t>12/29/1988</t>
  </si>
  <si>
    <t>04/16/1967</t>
  </si>
  <si>
    <t>05/17/1979</t>
  </si>
  <si>
    <t>05/30/1980</t>
  </si>
  <si>
    <t>09/11/1977</t>
  </si>
  <si>
    <t>01/30/1986</t>
  </si>
  <si>
    <t>04/13/1982</t>
  </si>
  <si>
    <t>06/12/1995</t>
  </si>
  <si>
    <t>12/01/1956</t>
  </si>
  <si>
    <t>05/29/1983</t>
  </si>
  <si>
    <t>02/15/1983</t>
  </si>
  <si>
    <t>07/07/1989</t>
  </si>
  <si>
    <t>06/19/1981</t>
  </si>
  <si>
    <t>12/20/1983</t>
  </si>
  <si>
    <t>02/24/1981</t>
  </si>
  <si>
    <t>03/19/1947</t>
  </si>
  <si>
    <t>04/10/1987</t>
  </si>
  <si>
    <t>09/19/1986</t>
  </si>
  <si>
    <t>017673880F</t>
  </si>
  <si>
    <t>004495396G</t>
  </si>
  <si>
    <t>000-00-0000</t>
  </si>
  <si>
    <t>036426379I</t>
  </si>
  <si>
    <t>8095559E</t>
  </si>
  <si>
    <t>KR92433N</t>
  </si>
  <si>
    <t>037678479J</t>
  </si>
  <si>
    <t>000-000-000</t>
  </si>
  <si>
    <t>000000000000</t>
  </si>
  <si>
    <t>037084027E</t>
  </si>
  <si>
    <t>037412244I</t>
  </si>
  <si>
    <t>009376079B</t>
  </si>
  <si>
    <t>000345730G</t>
  </si>
  <si>
    <t>unknown</t>
  </si>
  <si>
    <t>6959187D</t>
  </si>
  <si>
    <t>Not available</t>
  </si>
  <si>
    <t>00033547058J</t>
  </si>
  <si>
    <t>N/a</t>
  </si>
  <si>
    <t>not available</t>
  </si>
  <si>
    <t>036515000C</t>
  </si>
  <si>
    <t>008626902E</t>
  </si>
  <si>
    <t>9279334I</t>
  </si>
  <si>
    <t>032322299c</t>
  </si>
  <si>
    <t>035334052E</t>
  </si>
  <si>
    <t>00015062587J</t>
  </si>
  <si>
    <t>0046495905I</t>
  </si>
  <si>
    <t>004649590J</t>
  </si>
  <si>
    <t>018065971G</t>
  </si>
  <si>
    <t>003995994F</t>
  </si>
  <si>
    <t>000245902C</t>
  </si>
  <si>
    <t>1018097E</t>
  </si>
  <si>
    <t>0374509A</t>
  </si>
  <si>
    <t>37713934A</t>
  </si>
  <si>
    <t>037606280I</t>
  </si>
  <si>
    <t>00033979168D</t>
  </si>
  <si>
    <t>04900751B</t>
  </si>
  <si>
    <t>03730222H</t>
  </si>
  <si>
    <t>002365422B</t>
  </si>
  <si>
    <t>3662295-9</t>
  </si>
  <si>
    <t>01107751H</t>
  </si>
  <si>
    <t>003040946A</t>
  </si>
  <si>
    <t>00037798821H</t>
  </si>
  <si>
    <t>QB989064</t>
  </si>
  <si>
    <t>08782738C</t>
  </si>
  <si>
    <t>032728498A</t>
  </si>
  <si>
    <t>005364197D</t>
  </si>
  <si>
    <t>001402768E</t>
  </si>
  <si>
    <t>11587303G</t>
  </si>
  <si>
    <t>037644146F</t>
  </si>
  <si>
    <t>004012787A</t>
  </si>
  <si>
    <t>015282490A</t>
  </si>
  <si>
    <t>037571065E</t>
  </si>
  <si>
    <t>00022009745F</t>
  </si>
  <si>
    <t>037392523J</t>
  </si>
  <si>
    <t>009764446C</t>
  </si>
  <si>
    <t>00030223547I</t>
  </si>
  <si>
    <t>003382432H</t>
  </si>
  <si>
    <t>004935838F</t>
  </si>
  <si>
    <t>000996653C</t>
  </si>
  <si>
    <t>005345600A</t>
  </si>
  <si>
    <t>000438475G</t>
  </si>
  <si>
    <t>007172896I</t>
  </si>
  <si>
    <t>Unavailable</t>
  </si>
  <si>
    <t>00037540753D</t>
  </si>
  <si>
    <t>9318140C</t>
  </si>
  <si>
    <t>7570314P</t>
  </si>
  <si>
    <t>005098432H</t>
  </si>
  <si>
    <t>00037100008E</t>
  </si>
  <si>
    <t>17-1833941</t>
  </si>
  <si>
    <t>2514538E</t>
  </si>
  <si>
    <t>37282189C</t>
  </si>
  <si>
    <t>7230391 A</t>
  </si>
  <si>
    <t>018489081C</t>
  </si>
  <si>
    <t>007168641E</t>
  </si>
  <si>
    <t>000230649G</t>
  </si>
  <si>
    <t>2952457G</t>
  </si>
  <si>
    <t>037223127E</t>
  </si>
  <si>
    <t>001119280E</t>
  </si>
  <si>
    <t>9948658B</t>
  </si>
  <si>
    <t>4647469-1</t>
  </si>
  <si>
    <t>000745939J</t>
  </si>
  <si>
    <t>01770815H</t>
  </si>
  <si>
    <t>PT87222Z</t>
  </si>
  <si>
    <t>will provide</t>
  </si>
  <si>
    <t>04210731L</t>
  </si>
  <si>
    <t>37101560A</t>
  </si>
  <si>
    <t>0367369830C</t>
  </si>
  <si>
    <t>009784353G</t>
  </si>
  <si>
    <t>03078172H</t>
  </si>
  <si>
    <t>002925242G</t>
  </si>
  <si>
    <t>00007312532A</t>
  </si>
  <si>
    <t>0066364411I</t>
  </si>
  <si>
    <t>00009748241I</t>
  </si>
  <si>
    <t>04191730D</t>
  </si>
  <si>
    <t>41917301D</t>
  </si>
  <si>
    <t>00037951793B</t>
  </si>
  <si>
    <t>008584520E</t>
  </si>
  <si>
    <t>032204970B</t>
  </si>
  <si>
    <t>005841994G</t>
  </si>
  <si>
    <t>0058419944G</t>
  </si>
  <si>
    <t>005748535B</t>
  </si>
  <si>
    <t>009040451I</t>
  </si>
  <si>
    <t>00037041768F</t>
  </si>
  <si>
    <t>037197484B</t>
  </si>
  <si>
    <t>009627604D</t>
  </si>
  <si>
    <t>V35891T</t>
  </si>
  <si>
    <t>00007168641E</t>
  </si>
  <si>
    <t>004290714H</t>
  </si>
  <si>
    <t>035624995D</t>
  </si>
  <si>
    <t>034725982C</t>
  </si>
  <si>
    <t>001143873G</t>
  </si>
  <si>
    <t>008136303I</t>
  </si>
  <si>
    <t>9627604D</t>
  </si>
  <si>
    <t>4290714H-1</t>
  </si>
  <si>
    <t>03756543438B</t>
  </si>
  <si>
    <t>008658106D</t>
  </si>
  <si>
    <t>7000177-01-01</t>
  </si>
  <si>
    <t>030505740I</t>
  </si>
  <si>
    <t>006680410F</t>
  </si>
  <si>
    <t>036929292F</t>
  </si>
  <si>
    <t>003868587B</t>
  </si>
  <si>
    <t>37572302A</t>
  </si>
  <si>
    <t>033842670D</t>
  </si>
  <si>
    <t>017934316F</t>
  </si>
  <si>
    <t>030151124C</t>
  </si>
  <si>
    <t>008876568A</t>
  </si>
  <si>
    <t>8095488G</t>
  </si>
  <si>
    <t>009933940A</t>
  </si>
  <si>
    <t>036917143E</t>
  </si>
  <si>
    <t>015680685D</t>
  </si>
  <si>
    <t>0018167969H</t>
  </si>
  <si>
    <t>02669936D</t>
  </si>
  <si>
    <t>008808843A</t>
  </si>
  <si>
    <t>30062588G</t>
  </si>
  <si>
    <t>009351154B</t>
  </si>
  <si>
    <t>035533846I</t>
  </si>
  <si>
    <t>007260213J</t>
  </si>
  <si>
    <t>37627759G</t>
  </si>
  <si>
    <t>006548550A</t>
  </si>
  <si>
    <t>36932590H</t>
  </si>
  <si>
    <t>036668969D</t>
  </si>
  <si>
    <t>37941477E</t>
  </si>
  <si>
    <t>0009839321-01-04</t>
  </si>
  <si>
    <t>004897948I</t>
  </si>
  <si>
    <t>004648799H</t>
  </si>
  <si>
    <t>009637380I</t>
  </si>
  <si>
    <t>009912518J</t>
  </si>
  <si>
    <t>000589957A</t>
  </si>
  <si>
    <t>000799098J</t>
  </si>
  <si>
    <t>5940670 C</t>
  </si>
  <si>
    <t>4814691E</t>
  </si>
  <si>
    <t>4859857H</t>
  </si>
  <si>
    <t>036812101 I</t>
  </si>
  <si>
    <t>008198000F</t>
  </si>
  <si>
    <t>037401001F</t>
  </si>
  <si>
    <t>034344425D</t>
  </si>
  <si>
    <t>7139339B</t>
  </si>
  <si>
    <t>018137653E</t>
  </si>
  <si>
    <t>00015368528 E</t>
  </si>
  <si>
    <t>016709682F</t>
  </si>
  <si>
    <t>33358956O</t>
  </si>
  <si>
    <t>12318083I</t>
  </si>
  <si>
    <t>037432131D</t>
  </si>
  <si>
    <t>00037671577H</t>
  </si>
  <si>
    <t>000206106H</t>
  </si>
  <si>
    <t>00017981176F</t>
  </si>
  <si>
    <t>16577857A</t>
  </si>
  <si>
    <t>01532195D</t>
  </si>
  <si>
    <t>037286479D</t>
  </si>
  <si>
    <t>Unknown</t>
  </si>
  <si>
    <t>9617870C</t>
  </si>
  <si>
    <t>002920803A</t>
  </si>
  <si>
    <t>03715580B</t>
  </si>
  <si>
    <t>8635595-F</t>
  </si>
  <si>
    <t>036794417A</t>
  </si>
  <si>
    <t>ZE69278W</t>
  </si>
  <si>
    <t>009198736C</t>
  </si>
  <si>
    <t>00518766B</t>
  </si>
  <si>
    <t>008958635I</t>
  </si>
  <si>
    <t>015646123I</t>
  </si>
  <si>
    <t>018155124D</t>
  </si>
  <si>
    <t>0001090484F</t>
  </si>
  <si>
    <t>003462425E</t>
  </si>
  <si>
    <t>037935024c</t>
  </si>
  <si>
    <t>008003294J</t>
  </si>
  <si>
    <t>010767009D</t>
  </si>
  <si>
    <t>006265154C</t>
  </si>
  <si>
    <t>007390332A</t>
  </si>
  <si>
    <t>03645232E</t>
  </si>
  <si>
    <t>034949099F</t>
  </si>
  <si>
    <t>00009296327B</t>
  </si>
  <si>
    <t>7382661C</t>
  </si>
  <si>
    <t>0028797291I</t>
  </si>
  <si>
    <t>002260959I</t>
  </si>
  <si>
    <t>018420543D</t>
  </si>
  <si>
    <t>007290797-F</t>
  </si>
  <si>
    <t>033636956G</t>
  </si>
  <si>
    <t>00036824950E</t>
  </si>
  <si>
    <t>005095220J</t>
  </si>
  <si>
    <t>005358036B</t>
  </si>
  <si>
    <t>002490638A</t>
  </si>
  <si>
    <t>014134163G</t>
  </si>
  <si>
    <t>021738973C</t>
  </si>
  <si>
    <t>18089865C</t>
  </si>
  <si>
    <t>007760958E</t>
  </si>
  <si>
    <t>037048355E</t>
  </si>
  <si>
    <t>036869011B</t>
  </si>
  <si>
    <t>012355234B</t>
  </si>
  <si>
    <t>002558631E</t>
  </si>
  <si>
    <t>037692112I</t>
  </si>
  <si>
    <t>006360214I</t>
  </si>
  <si>
    <t>004801450A</t>
  </si>
  <si>
    <t>031208404J</t>
  </si>
  <si>
    <t>018373784A</t>
  </si>
  <si>
    <t>037358662H</t>
  </si>
  <si>
    <t>unavailable</t>
  </si>
  <si>
    <t>00009048875A</t>
  </si>
  <si>
    <t>WV95484M</t>
  </si>
  <si>
    <t>wv9548m</t>
  </si>
  <si>
    <t>2196694-02</t>
  </si>
  <si>
    <t>002701704F</t>
  </si>
  <si>
    <t>4442446-1</t>
  </si>
  <si>
    <t>8970740A</t>
  </si>
  <si>
    <t>7179895-D</t>
  </si>
  <si>
    <t>009671184B</t>
  </si>
  <si>
    <t>006453771F</t>
  </si>
  <si>
    <t>6692067J</t>
  </si>
  <si>
    <t>00037447234I</t>
  </si>
  <si>
    <t>008743010E</t>
  </si>
  <si>
    <t>010593597H</t>
  </si>
  <si>
    <t>005566824I</t>
  </si>
  <si>
    <t>010636591J</t>
  </si>
  <si>
    <t>018364964J</t>
  </si>
  <si>
    <t>007358873D</t>
  </si>
  <si>
    <t>030060214B</t>
  </si>
  <si>
    <t>005229927I</t>
  </si>
  <si>
    <t>ZK58926R</t>
  </si>
  <si>
    <t>274168E</t>
  </si>
  <si>
    <t>14373073 H</t>
  </si>
  <si>
    <t>1448589 A</t>
  </si>
  <si>
    <t>002316582C</t>
  </si>
  <si>
    <t>ZZ90421R</t>
  </si>
  <si>
    <t>391390C</t>
  </si>
  <si>
    <t>037116869B</t>
  </si>
  <si>
    <t>018333465F</t>
  </si>
  <si>
    <t>011781830C</t>
  </si>
  <si>
    <t>007257771B</t>
  </si>
  <si>
    <t>027288849G</t>
  </si>
  <si>
    <t>015066138H</t>
  </si>
  <si>
    <t>011505951B</t>
  </si>
  <si>
    <t>005611470F</t>
  </si>
  <si>
    <t>006976669J</t>
  </si>
  <si>
    <t>006885886J</t>
  </si>
  <si>
    <t>011791673E</t>
  </si>
  <si>
    <t>00030081131C</t>
  </si>
  <si>
    <t>001048527E</t>
  </si>
  <si>
    <t>001533387F</t>
  </si>
  <si>
    <t>00030632229 I</t>
  </si>
  <si>
    <t>0050149176A</t>
  </si>
  <si>
    <t>zz71239p</t>
  </si>
  <si>
    <t>018228943J</t>
  </si>
  <si>
    <t>003565579E</t>
  </si>
  <si>
    <t>UN34332T</t>
  </si>
  <si>
    <t>002548716G</t>
  </si>
  <si>
    <t>037374579D</t>
  </si>
  <si>
    <t>37230501B</t>
  </si>
  <si>
    <t>ZR61034H</t>
  </si>
  <si>
    <t>WJ48248K</t>
  </si>
  <si>
    <t>004066119B</t>
  </si>
  <si>
    <t>006110973C</t>
  </si>
  <si>
    <t>00004014576F</t>
  </si>
  <si>
    <t>004324947D</t>
  </si>
  <si>
    <t>00037408902H</t>
  </si>
  <si>
    <t>002960083A</t>
  </si>
  <si>
    <t>0033576258-01</t>
  </si>
  <si>
    <t>8297358H</t>
  </si>
  <si>
    <t>007724914C</t>
  </si>
  <si>
    <t>00008531415B</t>
  </si>
  <si>
    <t>006694699H</t>
  </si>
  <si>
    <t>00461214J</t>
  </si>
  <si>
    <t>10934456E</t>
  </si>
  <si>
    <t>07418087I</t>
  </si>
  <si>
    <t>010018822G</t>
  </si>
  <si>
    <t>009798803E</t>
  </si>
  <si>
    <t>WX87371X</t>
  </si>
  <si>
    <t>008840239B</t>
  </si>
  <si>
    <t>03737457D</t>
  </si>
  <si>
    <t>023267533A</t>
  </si>
  <si>
    <t>000836805C</t>
  </si>
  <si>
    <t>001310701G</t>
  </si>
  <si>
    <t>09038864G</t>
  </si>
  <si>
    <t>6004868927312427544</t>
  </si>
  <si>
    <t>91248162C</t>
  </si>
  <si>
    <t>00037824822D</t>
  </si>
  <si>
    <t>004472039J</t>
  </si>
  <si>
    <t>00640375C</t>
  </si>
  <si>
    <t>7751544D</t>
  </si>
  <si>
    <t>013278371D</t>
  </si>
  <si>
    <t>13278371D</t>
  </si>
  <si>
    <t>015365085I</t>
  </si>
  <si>
    <t>017968660F</t>
  </si>
  <si>
    <t>00007053579E</t>
  </si>
  <si>
    <t>00014709603G</t>
  </si>
  <si>
    <t>012712226F</t>
  </si>
  <si>
    <t>006563731G</t>
  </si>
  <si>
    <t>00011307912D</t>
  </si>
  <si>
    <t>009738514A</t>
  </si>
  <si>
    <t>00004876535I</t>
  </si>
  <si>
    <t>011072346H</t>
  </si>
  <si>
    <t>ZE003B55X</t>
  </si>
  <si>
    <t>2171609HCL</t>
  </si>
  <si>
    <t>000339447F</t>
  </si>
  <si>
    <t>2035808B</t>
  </si>
  <si>
    <t>779490C</t>
  </si>
  <si>
    <t>008414814H</t>
  </si>
  <si>
    <t>014268917D</t>
  </si>
  <si>
    <t>37130634B</t>
  </si>
  <si>
    <t>009019022E</t>
  </si>
  <si>
    <t>033688014B</t>
  </si>
  <si>
    <t>002159246E</t>
  </si>
  <si>
    <t>009714983F</t>
  </si>
  <si>
    <t>0837516E</t>
  </si>
  <si>
    <t>004483522B</t>
  </si>
  <si>
    <t>006947452G</t>
  </si>
  <si>
    <t>Not Available</t>
  </si>
  <si>
    <t>006766160D</t>
  </si>
  <si>
    <t>012518875F</t>
  </si>
  <si>
    <t>No available</t>
  </si>
  <si>
    <t>018099459C</t>
  </si>
  <si>
    <t>9973219A</t>
  </si>
  <si>
    <t>8290480G</t>
  </si>
  <si>
    <t>033170066H</t>
  </si>
  <si>
    <t>007767205D</t>
  </si>
  <si>
    <t>018185585J</t>
  </si>
  <si>
    <t>Z880554H</t>
  </si>
  <si>
    <t>S308506</t>
  </si>
  <si>
    <t>032520446J</t>
  </si>
  <si>
    <t>00037006799D</t>
  </si>
  <si>
    <t>030643052B</t>
  </si>
  <si>
    <t>006960092C</t>
  </si>
  <si>
    <t>017222863H</t>
  </si>
  <si>
    <t>033173366H</t>
  </si>
  <si>
    <t>006057252G</t>
  </si>
  <si>
    <t>VD24204N</t>
  </si>
  <si>
    <t>00005967951e</t>
  </si>
  <si>
    <t>00037225893J</t>
  </si>
  <si>
    <t>004646000C</t>
  </si>
  <si>
    <t>037412397E</t>
  </si>
  <si>
    <t>012198839I</t>
  </si>
  <si>
    <t>36877322C</t>
  </si>
  <si>
    <t>YX01304A</t>
  </si>
  <si>
    <t>zk82756v</t>
  </si>
  <si>
    <t>016506898C</t>
  </si>
  <si>
    <t>036759660 I</t>
  </si>
  <si>
    <t>38127663D</t>
  </si>
  <si>
    <t>9382022D</t>
  </si>
  <si>
    <t>034949626F</t>
  </si>
  <si>
    <t>006734597F</t>
  </si>
  <si>
    <t>030938153B</t>
  </si>
  <si>
    <t>ZJ27188W</t>
  </si>
  <si>
    <t>YZ81039K</t>
  </si>
  <si>
    <t>006638518-I</t>
  </si>
  <si>
    <t>00037619875A</t>
  </si>
  <si>
    <t>005253079H</t>
  </si>
  <si>
    <t>010584813J</t>
  </si>
  <si>
    <t>007224143D</t>
  </si>
  <si>
    <t>00037531190J</t>
  </si>
  <si>
    <t>018199341B</t>
  </si>
  <si>
    <t>007906536D</t>
  </si>
  <si>
    <t>002329349B</t>
  </si>
  <si>
    <t>017929906A</t>
  </si>
  <si>
    <t>021311175A</t>
  </si>
  <si>
    <t>003743226H</t>
  </si>
  <si>
    <t>005205074H</t>
  </si>
  <si>
    <t>UNKNOWN</t>
  </si>
  <si>
    <t>009768675C</t>
  </si>
  <si>
    <t>018295906E</t>
  </si>
  <si>
    <t>7573934C</t>
  </si>
  <si>
    <t>4436087-1</t>
  </si>
  <si>
    <t>not avail</t>
  </si>
  <si>
    <t>011455347C</t>
  </si>
  <si>
    <t>010750702C</t>
  </si>
  <si>
    <t>007152735C</t>
  </si>
  <si>
    <t>017967204D</t>
  </si>
  <si>
    <t>009111529F</t>
  </si>
  <si>
    <t>37716145A</t>
  </si>
  <si>
    <t>ZA4663T</t>
  </si>
  <si>
    <t>006692067J</t>
  </si>
  <si>
    <t>00010387846I</t>
  </si>
  <si>
    <t>00018605497J</t>
  </si>
  <si>
    <t>00552789A</t>
  </si>
  <si>
    <t>010980725F</t>
  </si>
  <si>
    <t>ZG93804U &amp; 12210107</t>
  </si>
  <si>
    <t>10123149G</t>
  </si>
  <si>
    <t>ZS30068P</t>
  </si>
  <si>
    <t>034382554D</t>
  </si>
  <si>
    <t>008237975B</t>
  </si>
  <si>
    <t>011341416D</t>
  </si>
  <si>
    <t>0359366781I</t>
  </si>
  <si>
    <t>037240487B</t>
  </si>
  <si>
    <t>037482686F</t>
  </si>
  <si>
    <t>014843291H</t>
  </si>
  <si>
    <t>017596088J</t>
  </si>
  <si>
    <t>007351849A</t>
  </si>
  <si>
    <t>008290480G</t>
  </si>
  <si>
    <t>015044201A</t>
  </si>
  <si>
    <t>000234730A</t>
  </si>
  <si>
    <t>6004868123 /185941196</t>
  </si>
  <si>
    <t>Y548370C</t>
  </si>
  <si>
    <t>012603547G</t>
  </si>
  <si>
    <t>011375659H</t>
  </si>
  <si>
    <t>0044944596C</t>
  </si>
  <si>
    <t>00037182925A</t>
  </si>
  <si>
    <t>14963141I</t>
  </si>
  <si>
    <t>031562694F</t>
  </si>
  <si>
    <t>03156294F</t>
  </si>
  <si>
    <t>012090268J</t>
  </si>
  <si>
    <t>VX27402Q</t>
  </si>
  <si>
    <t>003115744J</t>
  </si>
  <si>
    <t>37453640 H</t>
  </si>
  <si>
    <t>001945174J</t>
  </si>
  <si>
    <t>033975458C</t>
  </si>
  <si>
    <t>UC08287E</t>
  </si>
  <si>
    <t>00037612120I</t>
  </si>
  <si>
    <t>18421359D</t>
  </si>
  <si>
    <t>3780864J</t>
  </si>
  <si>
    <t>12480289 D</t>
  </si>
  <si>
    <t>12480289D</t>
  </si>
  <si>
    <t>014934740D</t>
  </si>
  <si>
    <t>009013556H</t>
  </si>
  <si>
    <t>x4503755</t>
  </si>
  <si>
    <t>4179881-1</t>
  </si>
  <si>
    <t>037695307B</t>
  </si>
  <si>
    <t>000152523H</t>
  </si>
  <si>
    <t>no</t>
  </si>
  <si>
    <t>not provided</t>
  </si>
  <si>
    <t>016751661G</t>
  </si>
  <si>
    <t>008490504B</t>
  </si>
  <si>
    <t>010388752H</t>
  </si>
  <si>
    <t>013085459J</t>
  </si>
  <si>
    <t>00640368F</t>
  </si>
  <si>
    <t>009901474I</t>
  </si>
  <si>
    <t>010025819D</t>
  </si>
  <si>
    <t>WK31684D</t>
  </si>
  <si>
    <t>00017901973C</t>
  </si>
  <si>
    <t>0011552526D</t>
  </si>
  <si>
    <t>10027902-F</t>
  </si>
  <si>
    <t>00037201694J</t>
  </si>
  <si>
    <t>00037502203F</t>
  </si>
  <si>
    <t>015934905J</t>
  </si>
  <si>
    <t>33502288A / 17979163 H</t>
  </si>
  <si>
    <t>004184233H</t>
  </si>
  <si>
    <t>000530379H</t>
  </si>
  <si>
    <t>9592685D</t>
  </si>
  <si>
    <t>5808414G</t>
  </si>
  <si>
    <t>010756984A</t>
  </si>
  <si>
    <t>015810620D</t>
  </si>
  <si>
    <t>037239559A</t>
  </si>
  <si>
    <t>34907666B</t>
  </si>
  <si>
    <t>004812859J</t>
  </si>
  <si>
    <t>037210701B</t>
  </si>
  <si>
    <t>004145120E</t>
  </si>
  <si>
    <t>038095875B</t>
  </si>
  <si>
    <t>00589957A</t>
  </si>
  <si>
    <t>05955225H</t>
  </si>
  <si>
    <t>016328034A</t>
  </si>
  <si>
    <t>0007557622D</t>
  </si>
  <si>
    <t>018582774I</t>
  </si>
  <si>
    <t>033147318B</t>
  </si>
  <si>
    <t>014709603G</t>
  </si>
  <si>
    <t>ZZ39348C</t>
  </si>
  <si>
    <t>011104302C</t>
  </si>
  <si>
    <t>15878359H</t>
  </si>
  <si>
    <t>017280585F</t>
  </si>
  <si>
    <t>09493250G</t>
  </si>
  <si>
    <t>016770169H</t>
  </si>
  <si>
    <t>07222783I</t>
  </si>
  <si>
    <t>036804804H</t>
  </si>
  <si>
    <t>00010917970F</t>
  </si>
  <si>
    <t>0033031882F</t>
  </si>
  <si>
    <t>03352956J</t>
  </si>
  <si>
    <t>077801569J</t>
  </si>
  <si>
    <t>not on pa</t>
  </si>
  <si>
    <t>17915410J</t>
  </si>
  <si>
    <t>005423328D</t>
  </si>
  <si>
    <t>004494596C</t>
  </si>
  <si>
    <t>00037798131B</t>
  </si>
  <si>
    <t>06644156J</t>
  </si>
  <si>
    <t>34209028J</t>
  </si>
  <si>
    <t>03748188H</t>
  </si>
  <si>
    <t>007700352D</t>
  </si>
  <si>
    <t>1828728E</t>
  </si>
  <si>
    <t>06403488H</t>
  </si>
  <si>
    <t>012210461F</t>
  </si>
  <si>
    <t>005859892B</t>
  </si>
  <si>
    <t>008895026G</t>
  </si>
  <si>
    <t>004505352H</t>
  </si>
  <si>
    <t>9230562C-01</t>
  </si>
  <si>
    <t>037269710C</t>
  </si>
  <si>
    <t>003609378J</t>
  </si>
  <si>
    <t>Y020364E</t>
  </si>
  <si>
    <t>33220945B</t>
  </si>
  <si>
    <t>010799339G</t>
  </si>
  <si>
    <t>018507187F</t>
  </si>
  <si>
    <t>9833470-1</t>
  </si>
  <si>
    <t>Needs to provide</t>
  </si>
  <si>
    <t>004650250G</t>
  </si>
  <si>
    <t>007028304J</t>
  </si>
  <si>
    <t>2822854-C</t>
  </si>
  <si>
    <t>013217898J</t>
  </si>
  <si>
    <t>00011393020A</t>
  </si>
  <si>
    <t>013600048G</t>
  </si>
  <si>
    <t>ZW14289G</t>
  </si>
  <si>
    <t>014412671B</t>
  </si>
  <si>
    <t>VX42795R</t>
  </si>
  <si>
    <t>008391564F</t>
  </si>
  <si>
    <t>037369012C</t>
  </si>
  <si>
    <t>004125573I</t>
  </si>
  <si>
    <t>004743012J</t>
  </si>
  <si>
    <t>4743012J</t>
  </si>
  <si>
    <t>06953236D</t>
  </si>
  <si>
    <t>10839771C</t>
  </si>
  <si>
    <t>036430035A</t>
  </si>
  <si>
    <t>0374077774B</t>
  </si>
  <si>
    <t>8763156A</t>
  </si>
  <si>
    <t>36040282-A</t>
  </si>
  <si>
    <t>015048581B</t>
  </si>
  <si>
    <t>010337152C</t>
  </si>
  <si>
    <t>037484228E</t>
  </si>
  <si>
    <t>13033987C</t>
  </si>
  <si>
    <t>8970740-A</t>
  </si>
  <si>
    <t>004791837A</t>
  </si>
  <si>
    <t>018865918J</t>
  </si>
  <si>
    <t>012975213F</t>
  </si>
  <si>
    <t>37542346RJ -19</t>
  </si>
  <si>
    <t>2915811A</t>
  </si>
  <si>
    <t>006139334 E</t>
  </si>
  <si>
    <t>011518689C</t>
  </si>
  <si>
    <t>016876603I</t>
  </si>
  <si>
    <t>018339342A</t>
  </si>
  <si>
    <t>015114542C</t>
  </si>
  <si>
    <t>011661225A</t>
  </si>
  <si>
    <t>00015274875C</t>
  </si>
  <si>
    <t>16769875C</t>
  </si>
  <si>
    <t>9281839-C</t>
  </si>
  <si>
    <t>00006258240l</t>
  </si>
  <si>
    <t>018026914E</t>
  </si>
  <si>
    <t>0000625824OI</t>
  </si>
  <si>
    <t>036754541F</t>
  </si>
  <si>
    <t>011832700G</t>
  </si>
  <si>
    <t>034316424A</t>
  </si>
  <si>
    <t>00011517556E</t>
  </si>
  <si>
    <t>006427687G</t>
  </si>
  <si>
    <t>35445582G</t>
  </si>
  <si>
    <t>01274820I</t>
  </si>
  <si>
    <t>008290651C</t>
  </si>
  <si>
    <t>35417418H</t>
  </si>
  <si>
    <t>015470836G</t>
  </si>
  <si>
    <t>00016600288B</t>
  </si>
  <si>
    <t>017703655F</t>
  </si>
  <si>
    <t>010456123I</t>
  </si>
  <si>
    <t>00022969266A</t>
  </si>
  <si>
    <t>035358990G</t>
  </si>
  <si>
    <t>00036758422E</t>
  </si>
  <si>
    <t>018625994B</t>
  </si>
  <si>
    <t>035098964G</t>
  </si>
  <si>
    <t>31295589B</t>
  </si>
  <si>
    <t>011375986E</t>
  </si>
  <si>
    <t>00018409848B</t>
  </si>
  <si>
    <t>014236837C</t>
  </si>
  <si>
    <t>017669929G</t>
  </si>
  <si>
    <t>008405381I</t>
  </si>
  <si>
    <t>017118632F</t>
  </si>
  <si>
    <t>017118631F</t>
  </si>
  <si>
    <t>011917778A</t>
  </si>
  <si>
    <t>4089216I</t>
  </si>
  <si>
    <t>7811890-I</t>
  </si>
  <si>
    <t>00037289885I</t>
  </si>
  <si>
    <t>16241685D</t>
  </si>
  <si>
    <t>034927804E</t>
  </si>
  <si>
    <t>003761746B</t>
  </si>
  <si>
    <t>TP1473ZX</t>
  </si>
  <si>
    <t>037513812A</t>
  </si>
  <si>
    <t>081117276I</t>
  </si>
  <si>
    <t>014629800F</t>
  </si>
  <si>
    <t>006100617H</t>
  </si>
  <si>
    <t>00037751899 I</t>
  </si>
  <si>
    <t>013242390G</t>
  </si>
  <si>
    <t>036982304C</t>
  </si>
  <si>
    <t>004256545H</t>
  </si>
  <si>
    <t>16264341f</t>
  </si>
  <si>
    <t>018309808G</t>
  </si>
  <si>
    <t>6004868732145134295</t>
  </si>
  <si>
    <t>018800816D</t>
  </si>
  <si>
    <t>18494021B</t>
  </si>
  <si>
    <t>018288893D</t>
  </si>
  <si>
    <t>036763411A</t>
  </si>
  <si>
    <t>00009754550D</t>
  </si>
  <si>
    <t>037312114E</t>
  </si>
  <si>
    <t>011092937J</t>
  </si>
  <si>
    <t>014661899G</t>
  </si>
  <si>
    <t>013070388H</t>
  </si>
  <si>
    <t>014803813G</t>
  </si>
  <si>
    <t>018161776C</t>
  </si>
  <si>
    <t>037199384B</t>
  </si>
  <si>
    <t>WV10058W</t>
  </si>
  <si>
    <t>017947952C</t>
  </si>
  <si>
    <t>4034579F</t>
  </si>
  <si>
    <t>000992875F</t>
  </si>
  <si>
    <t>31984172C</t>
  </si>
  <si>
    <t>008107165G</t>
  </si>
  <si>
    <t>017630476E</t>
  </si>
  <si>
    <t>MK14402R</t>
  </si>
  <si>
    <t>00037497698D</t>
  </si>
  <si>
    <t>030590978A</t>
  </si>
  <si>
    <t>009809162C</t>
  </si>
  <si>
    <t>002494642I</t>
  </si>
  <si>
    <t>010922389B</t>
  </si>
  <si>
    <t>010254950I</t>
  </si>
  <si>
    <t>036914022D</t>
  </si>
  <si>
    <t>008586546 H</t>
  </si>
  <si>
    <t>037208809G</t>
  </si>
  <si>
    <t>037228598B</t>
  </si>
  <si>
    <t>00037370417A</t>
  </si>
  <si>
    <t>005127913B</t>
  </si>
  <si>
    <t>032263748J</t>
  </si>
  <si>
    <t>006595453J</t>
  </si>
  <si>
    <t>00037113523H</t>
  </si>
  <si>
    <t>016799417H</t>
  </si>
  <si>
    <t>00004780181G</t>
  </si>
  <si>
    <t>Y0252OT</t>
  </si>
  <si>
    <t>034428319H</t>
  </si>
  <si>
    <t>10802715C</t>
  </si>
  <si>
    <t>009231816B</t>
  </si>
  <si>
    <t>051-62-2602</t>
  </si>
  <si>
    <t>096-80-6511</t>
  </si>
  <si>
    <t>106-60-3378</t>
  </si>
  <si>
    <t>119-76-7278</t>
  </si>
  <si>
    <t>083-56-1530</t>
  </si>
  <si>
    <t>060-96-8909</t>
  </si>
  <si>
    <t>109-56-4862</t>
  </si>
  <si>
    <t>074-86-1420</t>
  </si>
  <si>
    <t>087-92-8800</t>
  </si>
  <si>
    <t>054-68-3745</t>
  </si>
  <si>
    <t>056-82-1452</t>
  </si>
  <si>
    <t>078-74-7343</t>
  </si>
  <si>
    <t>591-08-9414</t>
  </si>
  <si>
    <t>064-72-9983</t>
  </si>
  <si>
    <t>108-88-5615</t>
  </si>
  <si>
    <t>068-90-5461</t>
  </si>
  <si>
    <t>098-88-9680</t>
  </si>
  <si>
    <t>485-95-1075</t>
  </si>
  <si>
    <t>117-96-7302</t>
  </si>
  <si>
    <t>797-90-5269</t>
  </si>
  <si>
    <t>082-84-9496</t>
  </si>
  <si>
    <t>105-60-2841</t>
  </si>
  <si>
    <t>123-72-3552</t>
  </si>
  <si>
    <t>130-68-3622</t>
  </si>
  <si>
    <t>323-92-4671</t>
  </si>
  <si>
    <t>101-60-5540</t>
  </si>
  <si>
    <t>144-31-4815</t>
  </si>
  <si>
    <t>065-68-2661</t>
  </si>
  <si>
    <t>075-64-7328</t>
  </si>
  <si>
    <t>108-84-4713</t>
  </si>
  <si>
    <t>100-72-5115</t>
  </si>
  <si>
    <t>272-95-2061</t>
  </si>
  <si>
    <t>086-58-6187</t>
  </si>
  <si>
    <t>575-98-7631</t>
  </si>
  <si>
    <t>133-90-8566</t>
  </si>
  <si>
    <t>080-70-7528</t>
  </si>
  <si>
    <t>129-36-3367</t>
  </si>
  <si>
    <t>000-00-8053</t>
  </si>
  <si>
    <t>131-54-0474</t>
  </si>
  <si>
    <t>002-70-8795</t>
  </si>
  <si>
    <t>105-68-5357</t>
  </si>
  <si>
    <t>095-64-7896</t>
  </si>
  <si>
    <t>129-58-7495</t>
  </si>
  <si>
    <t>049-74-5433</t>
  </si>
  <si>
    <t>076-60-1107</t>
  </si>
  <si>
    <t>638-05-1804</t>
  </si>
  <si>
    <t>117-66-7292</t>
  </si>
  <si>
    <t>000-00-2408</t>
  </si>
  <si>
    <t>000-00-2360</t>
  </si>
  <si>
    <t>110-84-2407</t>
  </si>
  <si>
    <t>584-73-2683</t>
  </si>
  <si>
    <t>057-60-4094</t>
  </si>
  <si>
    <t>000-00-7429</t>
  </si>
  <si>
    <t>090-72-9973</t>
  </si>
  <si>
    <t>000-00-8048</t>
  </si>
  <si>
    <t>081-68-4521</t>
  </si>
  <si>
    <t>130-76-9259</t>
  </si>
  <si>
    <t>579-19-5115</t>
  </si>
  <si>
    <t>108-54-3993</t>
  </si>
  <si>
    <t>000-00-4307</t>
  </si>
  <si>
    <t>050-72-6742</t>
  </si>
  <si>
    <t>055-62-0679</t>
  </si>
  <si>
    <t>063-58-3885</t>
  </si>
  <si>
    <t>134-80-1625</t>
  </si>
  <si>
    <t>000-00-8022</t>
  </si>
  <si>
    <t>127-60-0446</t>
  </si>
  <si>
    <t>084-60-8407</t>
  </si>
  <si>
    <t>129-82-6632</t>
  </si>
  <si>
    <t>094-76-4249</t>
  </si>
  <si>
    <t>112-70-6433</t>
  </si>
  <si>
    <t>133-80-9120</t>
  </si>
  <si>
    <t>091-42-0254</t>
  </si>
  <si>
    <t>128-48-5081</t>
  </si>
  <si>
    <t>418-19-6544</t>
  </si>
  <si>
    <t>094-76-8668</t>
  </si>
  <si>
    <t>118-82-5273</t>
  </si>
  <si>
    <t>000-00-7776</t>
  </si>
  <si>
    <t>008-39-7973</t>
  </si>
  <si>
    <t>006-58-7145</t>
  </si>
  <si>
    <t>000-00-2113</t>
  </si>
  <si>
    <t>595-43-4951</t>
  </si>
  <si>
    <t>000-00-5432</t>
  </si>
  <si>
    <t>048-68-6512</t>
  </si>
  <si>
    <t>064-58-7548</t>
  </si>
  <si>
    <t>049-64-8253</t>
  </si>
  <si>
    <t>516-81-8368</t>
  </si>
  <si>
    <t>111-72-5519</t>
  </si>
  <si>
    <t>062-76-6188</t>
  </si>
  <si>
    <t>157-08-8925</t>
  </si>
  <si>
    <t>119-56-0224</t>
  </si>
  <si>
    <t>403-11-8022</t>
  </si>
  <si>
    <t>558-74-0236</t>
  </si>
  <si>
    <t>000-00-1684</t>
  </si>
  <si>
    <t>090-62-1045</t>
  </si>
  <si>
    <t>067-70-8458</t>
  </si>
  <si>
    <t>058-44-7384</t>
  </si>
  <si>
    <t>104-86-4962</t>
  </si>
  <si>
    <t>567-71-7821</t>
  </si>
  <si>
    <t>078-58-6555</t>
  </si>
  <si>
    <t>084-62-0665</t>
  </si>
  <si>
    <t>073-78-0050</t>
  </si>
  <si>
    <t>812-99-2204</t>
  </si>
  <si>
    <t>000-00-3666</t>
  </si>
  <si>
    <t>113-84-5029</t>
  </si>
  <si>
    <t>093-82-7646</t>
  </si>
  <si>
    <t>124-74-5429</t>
  </si>
  <si>
    <t>151-94-5287</t>
  </si>
  <si>
    <t>073-58-2540</t>
  </si>
  <si>
    <t>000-00-3578</t>
  </si>
  <si>
    <t>093-98-8840</t>
  </si>
  <si>
    <t>252-47-5682</t>
  </si>
  <si>
    <t>083-50-1244</t>
  </si>
  <si>
    <t>062-58-8710</t>
  </si>
  <si>
    <t>000-00-4958</t>
  </si>
  <si>
    <t>060-58-0998</t>
  </si>
  <si>
    <t>110-82-1239</t>
  </si>
  <si>
    <t>215-27-4993</t>
  </si>
  <si>
    <t>057-58-4306</t>
  </si>
  <si>
    <t>054-64-7860</t>
  </si>
  <si>
    <t>068-62-8250</t>
  </si>
  <si>
    <t>105-82-3029</t>
  </si>
  <si>
    <t>605-03-9992</t>
  </si>
  <si>
    <t>000-00-3449</t>
  </si>
  <si>
    <t>562-39-4465</t>
  </si>
  <si>
    <t>000-00-1190</t>
  </si>
  <si>
    <t>108-62-6552</t>
  </si>
  <si>
    <t>076-82-7319</t>
  </si>
  <si>
    <t>094-56-3704</t>
  </si>
  <si>
    <t>060-02-3665</t>
  </si>
  <si>
    <t>056-68-5649</t>
  </si>
  <si>
    <t>132-84-9839</t>
  </si>
  <si>
    <t>093-52-7486</t>
  </si>
  <si>
    <t>569-43-5434</t>
  </si>
  <si>
    <t>582-53-0401</t>
  </si>
  <si>
    <t>095-64-8997</t>
  </si>
  <si>
    <t>073-13-2328</t>
  </si>
  <si>
    <t>018-86-5014</t>
  </si>
  <si>
    <t>043-90-3110</t>
  </si>
  <si>
    <t>082-64-6484</t>
  </si>
  <si>
    <t>120-92-8593</t>
  </si>
  <si>
    <t>214-17-0949</t>
  </si>
  <si>
    <t>120-56-1668</t>
  </si>
  <si>
    <t>061-66-9972</t>
  </si>
  <si>
    <t>565-57-5353</t>
  </si>
  <si>
    <t>647-35-1814</t>
  </si>
  <si>
    <t>072-48-6795</t>
  </si>
  <si>
    <t>090-74-0325</t>
  </si>
  <si>
    <t>115-50-4779</t>
  </si>
  <si>
    <t>127-88-0878</t>
  </si>
  <si>
    <t>065-62-0359</t>
  </si>
  <si>
    <t>596-59-2973</t>
  </si>
  <si>
    <t>109-68-9988</t>
  </si>
  <si>
    <t>093-78-7668</t>
  </si>
  <si>
    <t>240-19-9335</t>
  </si>
  <si>
    <t>115-62-6738</t>
  </si>
  <si>
    <t>065-74-5784</t>
  </si>
  <si>
    <t>090-82-9550</t>
  </si>
  <si>
    <t>054-66-6784</t>
  </si>
  <si>
    <t>120-66-6913</t>
  </si>
  <si>
    <t>096-54-4276</t>
  </si>
  <si>
    <t>079-58-5726</t>
  </si>
  <si>
    <t>107-96-9097</t>
  </si>
  <si>
    <t>392-86-4173</t>
  </si>
  <si>
    <t>108-64-5846</t>
  </si>
  <si>
    <t>000-00-1032</t>
  </si>
  <si>
    <t>190-76-0003</t>
  </si>
  <si>
    <t>090-96-1861</t>
  </si>
  <si>
    <t>094-98-6358</t>
  </si>
  <si>
    <t>109-68-2515</t>
  </si>
  <si>
    <t>056-62-2617</t>
  </si>
  <si>
    <t>066-86-5824</t>
  </si>
  <si>
    <t>127-90-4104</t>
  </si>
  <si>
    <t>085-86-8623</t>
  </si>
  <si>
    <t>126-68-1171</t>
  </si>
  <si>
    <t>057-66-0901</t>
  </si>
  <si>
    <t>099-84-1491</t>
  </si>
  <si>
    <t>100-86-2283</t>
  </si>
  <si>
    <t>732-20-4759</t>
  </si>
  <si>
    <t>120-94-3103</t>
  </si>
  <si>
    <t>077-96-6976</t>
  </si>
  <si>
    <t>102-58-5219</t>
  </si>
  <si>
    <t>060-66-9335</t>
  </si>
  <si>
    <t>062-62-7342</t>
  </si>
  <si>
    <t>105-78-2615</t>
  </si>
  <si>
    <t>149-86-5224</t>
  </si>
  <si>
    <t>126-70-2309</t>
  </si>
  <si>
    <t>169-96-6851</t>
  </si>
  <si>
    <t>587-01-4944</t>
  </si>
  <si>
    <t>111-38-2797</t>
  </si>
  <si>
    <t>094-02-8306</t>
  </si>
  <si>
    <t>168-76-2600</t>
  </si>
  <si>
    <t>058-70-4952</t>
  </si>
  <si>
    <t>583-33-6984</t>
  </si>
  <si>
    <t>085-58-1036</t>
  </si>
  <si>
    <t>115-58-1471</t>
  </si>
  <si>
    <t>099-36-0687</t>
  </si>
  <si>
    <t>055-82-2415</t>
  </si>
  <si>
    <t>053-22-0067</t>
  </si>
  <si>
    <t>064-82-5579</t>
  </si>
  <si>
    <t>068-88-0329</t>
  </si>
  <si>
    <t>111-66-6471</t>
  </si>
  <si>
    <t>068-66-4264</t>
  </si>
  <si>
    <t>100-72-2513</t>
  </si>
  <si>
    <t>072-58-2888</t>
  </si>
  <si>
    <t>644-78-3773</t>
  </si>
  <si>
    <t>062-80-6110</t>
  </si>
  <si>
    <t>113-88-0817</t>
  </si>
  <si>
    <t>104-60-1918</t>
  </si>
  <si>
    <t>052-98-7684</t>
  </si>
  <si>
    <t>101-78-8377</t>
  </si>
  <si>
    <t>107-66-1627</t>
  </si>
  <si>
    <t>756-90-2601</t>
  </si>
  <si>
    <t>365-08-9731</t>
  </si>
  <si>
    <t>087-86-2254</t>
  </si>
  <si>
    <t>116-70-4408</t>
  </si>
  <si>
    <t>120-72-3026</t>
  </si>
  <si>
    <t>131-64-4895</t>
  </si>
  <si>
    <t>093-62-4707</t>
  </si>
  <si>
    <t>059-62-6576</t>
  </si>
  <si>
    <t>099-80-8189</t>
  </si>
  <si>
    <t>127-68-2900</t>
  </si>
  <si>
    <t>643-91-2283</t>
  </si>
  <si>
    <t>214-87-7100</t>
  </si>
  <si>
    <t>123-80-4006</t>
  </si>
  <si>
    <t>109-80-8799</t>
  </si>
  <si>
    <t>729-10-3832</t>
  </si>
  <si>
    <t>154-96-0555</t>
  </si>
  <si>
    <t>108-48-7632</t>
  </si>
  <si>
    <t>065-58-0005</t>
  </si>
  <si>
    <t>134-82-4930</t>
  </si>
  <si>
    <t>204-25-2738</t>
  </si>
  <si>
    <t>097-56-3138</t>
  </si>
  <si>
    <t>118-44-7162</t>
  </si>
  <si>
    <t>125-64-4584</t>
  </si>
  <si>
    <t>085-98-0540</t>
  </si>
  <si>
    <t>084-80-8534</t>
  </si>
  <si>
    <t>080-84-8792</t>
  </si>
  <si>
    <t>059-58-9571</t>
  </si>
  <si>
    <t>080-66-6759</t>
  </si>
  <si>
    <t>000-00-2264</t>
  </si>
  <si>
    <t>105-38-0070</t>
  </si>
  <si>
    <t>093-72-3914</t>
  </si>
  <si>
    <t>000-00-0634</t>
  </si>
  <si>
    <t>085-56-5177</t>
  </si>
  <si>
    <t>070-58-9030</t>
  </si>
  <si>
    <t>476-92-5143</t>
  </si>
  <si>
    <t>088-76-8918</t>
  </si>
  <si>
    <t>058-72-3293</t>
  </si>
  <si>
    <t>000-00-4742</t>
  </si>
  <si>
    <t>075-86-2185</t>
  </si>
  <si>
    <t>089-52-0422</t>
  </si>
  <si>
    <t>106-38-5476</t>
  </si>
  <si>
    <t>065-54-1338</t>
  </si>
  <si>
    <t>129-68-0090</t>
  </si>
  <si>
    <t>163-68-3170</t>
  </si>
  <si>
    <t>450-43-8941</t>
  </si>
  <si>
    <t>056-62-8785</t>
  </si>
  <si>
    <t>113-52-7283</t>
  </si>
  <si>
    <t>077-90-8508</t>
  </si>
  <si>
    <t>111-82-4811</t>
  </si>
  <si>
    <t>113-64-6007</t>
  </si>
  <si>
    <t>115-84-9138</t>
  </si>
  <si>
    <t>562-89-4337</t>
  </si>
  <si>
    <t>050-84-9393</t>
  </si>
  <si>
    <t>599-44-6515</t>
  </si>
  <si>
    <t>104-58-3968</t>
  </si>
  <si>
    <t>119-46-4623</t>
  </si>
  <si>
    <t>092-68-0925</t>
  </si>
  <si>
    <t>120-90-3690</t>
  </si>
  <si>
    <t>119-60-5903</t>
  </si>
  <si>
    <t>000-00-9201</t>
  </si>
  <si>
    <t>098-58-3477</t>
  </si>
  <si>
    <t>591-88-9632</t>
  </si>
  <si>
    <t>103-50-6230</t>
  </si>
  <si>
    <t>108-60-3592</t>
  </si>
  <si>
    <t>599-42-2857</t>
  </si>
  <si>
    <t>087-68-1354</t>
  </si>
  <si>
    <t>058-50-8864</t>
  </si>
  <si>
    <t>092-68-7608</t>
  </si>
  <si>
    <t>072-52-9933</t>
  </si>
  <si>
    <t>123-56-8341</t>
  </si>
  <si>
    <t>119-76-9003</t>
  </si>
  <si>
    <t>065-88-5382</t>
  </si>
  <si>
    <t>591-67-3324</t>
  </si>
  <si>
    <t>096-70-5859</t>
  </si>
  <si>
    <t>086-72-2995</t>
  </si>
  <si>
    <t>079-72-5016</t>
  </si>
  <si>
    <t>094-66-3109</t>
  </si>
  <si>
    <t>247-74-2787</t>
  </si>
  <si>
    <t>212-35-5398</t>
  </si>
  <si>
    <t>094-68-6221</t>
  </si>
  <si>
    <t>224-91-1249</t>
  </si>
  <si>
    <t>098-58-1834</t>
  </si>
  <si>
    <t>101-74-0225</t>
  </si>
  <si>
    <t>673-04-8806</t>
  </si>
  <si>
    <t>075-94-6958</t>
  </si>
  <si>
    <t>076-68-6376</t>
  </si>
  <si>
    <t>108-66-5600</t>
  </si>
  <si>
    <t>000-00-7163</t>
  </si>
  <si>
    <t>078-58-6998</t>
  </si>
  <si>
    <t>071-58-8743</t>
  </si>
  <si>
    <t>052-78-6062</t>
  </si>
  <si>
    <t>130-80-2657</t>
  </si>
  <si>
    <t>089-86-3392</t>
  </si>
  <si>
    <t>078-56-4724</t>
  </si>
  <si>
    <t>065-98-7656</t>
  </si>
  <si>
    <t>110-46-3605</t>
  </si>
  <si>
    <t>079-60-0683</t>
  </si>
  <si>
    <t>052-58-8433</t>
  </si>
  <si>
    <t>076-58-3105</t>
  </si>
  <si>
    <t>195-64-4180</t>
  </si>
  <si>
    <t>120-64-2425</t>
  </si>
  <si>
    <t>096-56-9764</t>
  </si>
  <si>
    <t>126-55-4980</t>
  </si>
  <si>
    <t>064-48-9922</t>
  </si>
  <si>
    <t>091-82-5755</t>
  </si>
  <si>
    <t>134-92-0590</t>
  </si>
  <si>
    <t>121-54-5900</t>
  </si>
  <si>
    <t>125-66-9555</t>
  </si>
  <si>
    <t>103-78-0314</t>
  </si>
  <si>
    <t>104-64-7407</t>
  </si>
  <si>
    <t>100-54-7876</t>
  </si>
  <si>
    <t>733-05-3043</t>
  </si>
  <si>
    <t>041-90-1232</t>
  </si>
  <si>
    <t>103-92-7565</t>
  </si>
  <si>
    <t>133-48-4104</t>
  </si>
  <si>
    <t>114-58-9652</t>
  </si>
  <si>
    <t>023-64-7040</t>
  </si>
  <si>
    <t>001-14-8273</t>
  </si>
  <si>
    <t>891-57-5359</t>
  </si>
  <si>
    <t>086-62-9196</t>
  </si>
  <si>
    <t>059-58-7878</t>
  </si>
  <si>
    <t>237-27-4083</t>
  </si>
  <si>
    <t>122-70-4412</t>
  </si>
  <si>
    <t>057-86-4204</t>
  </si>
  <si>
    <t>126-50-9775</t>
  </si>
  <si>
    <t>057-88-9987</t>
  </si>
  <si>
    <t>143-78-4685</t>
  </si>
  <si>
    <t>064-58-7630</t>
  </si>
  <si>
    <t>106-76-3294</t>
  </si>
  <si>
    <t>057-74-4943</t>
  </si>
  <si>
    <t>067-66-8331</t>
  </si>
  <si>
    <t>218-02-4592</t>
  </si>
  <si>
    <t>097-56-2174</t>
  </si>
  <si>
    <t>110-68-7738</t>
  </si>
  <si>
    <t>227-72-1230</t>
  </si>
  <si>
    <t>107-24-8067</t>
  </si>
  <si>
    <t>086-80-5883</t>
  </si>
  <si>
    <t>125-66-5383</t>
  </si>
  <si>
    <t>106-48-1386</t>
  </si>
  <si>
    <t>105-74-4592</t>
  </si>
  <si>
    <t>427-63-2649</t>
  </si>
  <si>
    <t>583-35-1366</t>
  </si>
  <si>
    <t>146-35-7950</t>
  </si>
  <si>
    <t>581-29-5821</t>
  </si>
  <si>
    <t>258-81-6099</t>
  </si>
  <si>
    <t>108-64-8148</t>
  </si>
  <si>
    <t>083-58-6948</t>
  </si>
  <si>
    <t>064-82-5363</t>
  </si>
  <si>
    <t>581-61-7794</t>
  </si>
  <si>
    <t>000-00-7059</t>
  </si>
  <si>
    <t>131-72-8165</t>
  </si>
  <si>
    <t>109-66-2686</t>
  </si>
  <si>
    <t>114-48-4474</t>
  </si>
  <si>
    <t>104-84-7452</t>
  </si>
  <si>
    <t>055-76-9600</t>
  </si>
  <si>
    <t>082-56-3606</t>
  </si>
  <si>
    <t>216-90-2648</t>
  </si>
  <si>
    <t>023-64-5826</t>
  </si>
  <si>
    <t>084-78-2051</t>
  </si>
  <si>
    <t>051-60-5913</t>
  </si>
  <si>
    <t>602-89-3294</t>
  </si>
  <si>
    <t>068-60-1562</t>
  </si>
  <si>
    <t>053-86-6892</t>
  </si>
  <si>
    <t>078-80-0235</t>
  </si>
  <si>
    <t>097-56-1671</t>
  </si>
  <si>
    <t>083-64-4372</t>
  </si>
  <si>
    <t>096-56-7589</t>
  </si>
  <si>
    <t>057-90-1360</t>
  </si>
  <si>
    <t>059-88-6969</t>
  </si>
  <si>
    <t>097-56-7787</t>
  </si>
  <si>
    <t>730-14-5584</t>
  </si>
  <si>
    <t>123-90-0586</t>
  </si>
  <si>
    <t>070-76-8488</t>
  </si>
  <si>
    <t>100-58-9207</t>
  </si>
  <si>
    <t>132-70-4659</t>
  </si>
  <si>
    <t>088-86-2180</t>
  </si>
  <si>
    <t>128-46-9210</t>
  </si>
  <si>
    <t>327-48-0482</t>
  </si>
  <si>
    <t>596-32-1295</t>
  </si>
  <si>
    <t>107-76-5984</t>
  </si>
  <si>
    <t>114-74-5262</t>
  </si>
  <si>
    <t>106-90-5537</t>
  </si>
  <si>
    <t>132-68-8334</t>
  </si>
  <si>
    <t>729-14-8437</t>
  </si>
  <si>
    <t>000-00-8533</t>
  </si>
  <si>
    <t>000-00-6936</t>
  </si>
  <si>
    <t>000-00-5938</t>
  </si>
  <si>
    <t>090-70-4567</t>
  </si>
  <si>
    <t>085-52-2717</t>
  </si>
  <si>
    <t>102-76-4490</t>
  </si>
  <si>
    <t>133-94-2927</t>
  </si>
  <si>
    <t>123-58-5412</t>
  </si>
  <si>
    <t>060-46-4077</t>
  </si>
  <si>
    <t>133-70-9564</t>
  </si>
  <si>
    <t>116-78-1789</t>
  </si>
  <si>
    <t>073-50-5830</t>
  </si>
  <si>
    <t>129-59-4278</t>
  </si>
  <si>
    <t>056-56-2842</t>
  </si>
  <si>
    <t>128-74-9232</t>
  </si>
  <si>
    <t>356-55-9023</t>
  </si>
  <si>
    <t>092-64-0752</t>
  </si>
  <si>
    <t>062-96-0051</t>
  </si>
  <si>
    <t>101-92-8354</t>
  </si>
  <si>
    <t>078-66-2160</t>
  </si>
  <si>
    <t>117-56-9577</t>
  </si>
  <si>
    <t>125-58-8426</t>
  </si>
  <si>
    <t>115-76-4451</t>
  </si>
  <si>
    <t>117-34-8872</t>
  </si>
  <si>
    <t>134-62-9194</t>
  </si>
  <si>
    <t>052-86-1152</t>
  </si>
  <si>
    <t>128-58-4175</t>
  </si>
  <si>
    <t>132-78-1745</t>
  </si>
  <si>
    <t>059-78-7449</t>
  </si>
  <si>
    <t>115-64-6676</t>
  </si>
  <si>
    <t>098-58-0308</t>
  </si>
  <si>
    <t>051-02-5747</t>
  </si>
  <si>
    <t>088-76-4628</t>
  </si>
  <si>
    <t>075-88-0209</t>
  </si>
  <si>
    <t>132-66-3874</t>
  </si>
  <si>
    <t>130-70-9624</t>
  </si>
  <si>
    <t>061-82-2291</t>
  </si>
  <si>
    <t>113-68-0200</t>
  </si>
  <si>
    <t>097-64-6235</t>
  </si>
  <si>
    <t>100-70-2101</t>
  </si>
  <si>
    <t>192-54-0241</t>
  </si>
  <si>
    <t>095-48-2005</t>
  </si>
  <si>
    <t>062-86-9822</t>
  </si>
  <si>
    <t>050-70-4957</t>
  </si>
  <si>
    <t>067-68-4903</t>
  </si>
  <si>
    <t>060-94-7521</t>
  </si>
  <si>
    <t>000-00-2744</t>
  </si>
  <si>
    <t>000-00-0733</t>
  </si>
  <si>
    <t>154-32-2832</t>
  </si>
  <si>
    <t>000-00-1825</t>
  </si>
  <si>
    <t>089-78-8620</t>
  </si>
  <si>
    <t>075-44-5338</t>
  </si>
  <si>
    <t>093-74-8889</t>
  </si>
  <si>
    <t>106-80-0605</t>
  </si>
  <si>
    <t>085-98-2513</t>
  </si>
  <si>
    <t>080-76-5034</t>
  </si>
  <si>
    <t>115-86-0918</t>
  </si>
  <si>
    <t>054-76-3437</t>
  </si>
  <si>
    <t>053-80-5989</t>
  </si>
  <si>
    <t>053-70-3855</t>
  </si>
  <si>
    <t>063-78-5005</t>
  </si>
  <si>
    <t>090-58-8842</t>
  </si>
  <si>
    <t>106-76-4351</t>
  </si>
  <si>
    <t>576-31-9499</t>
  </si>
  <si>
    <t>130-66-8502</t>
  </si>
  <si>
    <t>097-54-9364</t>
  </si>
  <si>
    <t>059-58-8647</t>
  </si>
  <si>
    <t>264-42-8200</t>
  </si>
  <si>
    <t>089-02-0329</t>
  </si>
  <si>
    <t>103-92-3037</t>
  </si>
  <si>
    <t>123-56-1824</t>
  </si>
  <si>
    <t>140-86-9516</t>
  </si>
  <si>
    <t>102-66-3903</t>
  </si>
  <si>
    <t>080-42-9929</t>
  </si>
  <si>
    <t>147-54-8241</t>
  </si>
  <si>
    <t>103-70-6917</t>
  </si>
  <si>
    <t>052-96-4422</t>
  </si>
  <si>
    <t>098-46-2969</t>
  </si>
  <si>
    <t>090-84-9289</t>
  </si>
  <si>
    <t>098-78-0228</t>
  </si>
  <si>
    <t>066-68-6986</t>
  </si>
  <si>
    <t>256-85-6362</t>
  </si>
  <si>
    <t>111-74-9683</t>
  </si>
  <si>
    <t>107-70-2081</t>
  </si>
  <si>
    <t>091-13-4434</t>
  </si>
  <si>
    <t>116-62-0301</t>
  </si>
  <si>
    <t>078-68-8908</t>
  </si>
  <si>
    <t>131-68-1204</t>
  </si>
  <si>
    <t>658-29-4649</t>
  </si>
  <si>
    <t>107-70-5267</t>
  </si>
  <si>
    <t>123-56-6527</t>
  </si>
  <si>
    <t>119-68-7333</t>
  </si>
  <si>
    <t>069-62-9676</t>
  </si>
  <si>
    <t>097-96-5314</t>
  </si>
  <si>
    <t>015-92-7304</t>
  </si>
  <si>
    <t>138-48-5750</t>
  </si>
  <si>
    <t>055-70-1324</t>
  </si>
  <si>
    <t>419-37-8798</t>
  </si>
  <si>
    <t>732-01-0975</t>
  </si>
  <si>
    <t>580-08-6020</t>
  </si>
  <si>
    <t>059-58-9364</t>
  </si>
  <si>
    <t>105-96-4969</t>
  </si>
  <si>
    <t>097-74-9704</t>
  </si>
  <si>
    <t>142-44-8961</t>
  </si>
  <si>
    <t>063-72-4216</t>
  </si>
  <si>
    <t>108-80-7706</t>
  </si>
  <si>
    <t>088-74-3728</t>
  </si>
  <si>
    <t>092-58-2616</t>
  </si>
  <si>
    <t>000-00-3685</t>
  </si>
  <si>
    <t>000-00-9755</t>
  </si>
  <si>
    <t>125-48-8175</t>
  </si>
  <si>
    <t>145-76-8212</t>
  </si>
  <si>
    <t>054-40-5007</t>
  </si>
  <si>
    <t>108-82-9139</t>
  </si>
  <si>
    <t>120-70-4658</t>
  </si>
  <si>
    <t>089-68-0342</t>
  </si>
  <si>
    <t>069-54-8548</t>
  </si>
  <si>
    <t>056-90-0134</t>
  </si>
  <si>
    <t>055-64-8607</t>
  </si>
  <si>
    <t>101-92-7867</t>
  </si>
  <si>
    <t>110-86-3746</t>
  </si>
  <si>
    <t>045-04-0378</t>
  </si>
  <si>
    <t>058-50-5702</t>
  </si>
  <si>
    <t>000-00-0427</t>
  </si>
  <si>
    <t>227-75-5421</t>
  </si>
  <si>
    <t>090-84-8536</t>
  </si>
  <si>
    <t>598-16-7837</t>
  </si>
  <si>
    <t>096-58-6839</t>
  </si>
  <si>
    <t>112-70-5333</t>
  </si>
  <si>
    <t>093-70-5767</t>
  </si>
  <si>
    <t>098-76-5308</t>
  </si>
  <si>
    <t>486-78-1679</t>
  </si>
  <si>
    <t>067-58-8053</t>
  </si>
  <si>
    <t>058-56-2439</t>
  </si>
  <si>
    <t>116-52-2850</t>
  </si>
  <si>
    <t>094-58-1320</t>
  </si>
  <si>
    <t>129-64-6255</t>
  </si>
  <si>
    <t>115-52-9638</t>
  </si>
  <si>
    <t>053-88-5429</t>
  </si>
  <si>
    <t>088-46-7644</t>
  </si>
  <si>
    <t>094-02-5191</t>
  </si>
  <si>
    <t>106-60-1544</t>
  </si>
  <si>
    <t>071-58-7788</t>
  </si>
  <si>
    <t>056-98-7121</t>
  </si>
  <si>
    <t>083-80-0138</t>
  </si>
  <si>
    <t>082-66-2258</t>
  </si>
  <si>
    <t>080-58-2243</t>
  </si>
  <si>
    <t>105-60-5069</t>
  </si>
  <si>
    <t>071-94-6569</t>
  </si>
  <si>
    <t>116-66-2535</t>
  </si>
  <si>
    <t>398-88-4174</t>
  </si>
  <si>
    <t>119-78-3124</t>
  </si>
  <si>
    <t>117-56-1729</t>
  </si>
  <si>
    <t>095-80-0021</t>
  </si>
  <si>
    <t>059-64-8355</t>
  </si>
  <si>
    <t>074-50-5405</t>
  </si>
  <si>
    <t>098-74-5317</t>
  </si>
  <si>
    <t>101-58-9975</t>
  </si>
  <si>
    <t>079-58-4352</t>
  </si>
  <si>
    <t>127-64-8951</t>
  </si>
  <si>
    <t>108-66-9843</t>
  </si>
  <si>
    <t>116-68-5913</t>
  </si>
  <si>
    <t>072-54-7402</t>
  </si>
  <si>
    <t>593-64-9081</t>
  </si>
  <si>
    <t>127-58-0075</t>
  </si>
  <si>
    <t>072-58-2906</t>
  </si>
  <si>
    <t>106-96-5684</t>
  </si>
  <si>
    <t>085-64-7147</t>
  </si>
  <si>
    <t>086-62-0111</t>
  </si>
  <si>
    <t>597-38-5631</t>
  </si>
  <si>
    <t>078-58-9506</t>
  </si>
  <si>
    <t>084-78-5018</t>
  </si>
  <si>
    <t>108-62-1028</t>
  </si>
  <si>
    <t>068-64-0750</t>
  </si>
  <si>
    <t>124-56-7070</t>
  </si>
  <si>
    <t>052-58-1202</t>
  </si>
  <si>
    <t>121-70-1371</t>
  </si>
  <si>
    <t>244-25-2337</t>
  </si>
  <si>
    <t>860-67-5157</t>
  </si>
  <si>
    <t>130-80-6243</t>
  </si>
  <si>
    <t>072-84-9522</t>
  </si>
  <si>
    <t>019-48-7290</t>
  </si>
  <si>
    <t>097-64-0950</t>
  </si>
  <si>
    <t>099-64-0003</t>
  </si>
  <si>
    <t>114-70-4705</t>
  </si>
  <si>
    <t>112-88-6860</t>
  </si>
  <si>
    <t>041-80-2934</t>
  </si>
  <si>
    <t>131-78-0295</t>
  </si>
  <si>
    <t>082-56-4010</t>
  </si>
  <si>
    <t>000-00-5839</t>
  </si>
  <si>
    <t>070-58-0175</t>
  </si>
  <si>
    <t>122-70-6748</t>
  </si>
  <si>
    <t>056-88-6442</t>
  </si>
  <si>
    <t>101-98-1762</t>
  </si>
  <si>
    <t>110-54-1036</t>
  </si>
  <si>
    <t>074-86-1212</t>
  </si>
  <si>
    <t>062-78-4582</t>
  </si>
  <si>
    <t>131-98-4847</t>
  </si>
  <si>
    <t>083-56-0492</t>
  </si>
  <si>
    <t>162-64-2046</t>
  </si>
  <si>
    <t>050-58-0192</t>
  </si>
  <si>
    <t>421-33-7942</t>
  </si>
  <si>
    <t>000-00-2332</t>
  </si>
  <si>
    <t>066-66-1450</t>
  </si>
  <si>
    <t>131-76-7675</t>
  </si>
  <si>
    <t>584-04-8228</t>
  </si>
  <si>
    <t>052-46-0330</t>
  </si>
  <si>
    <t>134-60-9442</t>
  </si>
  <si>
    <t>372-84-5289</t>
  </si>
  <si>
    <t>729-12-9609</t>
  </si>
  <si>
    <t>071-64-2621</t>
  </si>
  <si>
    <t>623-08-2052</t>
  </si>
  <si>
    <t>079-84-7650</t>
  </si>
  <si>
    <t>067-58-1198</t>
  </si>
  <si>
    <t>128-92-8905</t>
  </si>
  <si>
    <t>072-48-3478</t>
  </si>
  <si>
    <t>293-17-0856</t>
  </si>
  <si>
    <t>098-66-6693</t>
  </si>
  <si>
    <t>118-66-9945</t>
  </si>
  <si>
    <t>080-68-7289</t>
  </si>
  <si>
    <t>108-66-7761</t>
  </si>
  <si>
    <t>348-62-0253</t>
  </si>
  <si>
    <t>100-58-4358</t>
  </si>
  <si>
    <t>580-06-7295</t>
  </si>
  <si>
    <t>243-75-7400</t>
  </si>
  <si>
    <t>098-84-2564</t>
  </si>
  <si>
    <t>033-92-8608</t>
  </si>
  <si>
    <t>059-62-4778</t>
  </si>
  <si>
    <t>099-42-8739</t>
  </si>
  <si>
    <t>057-80-3890</t>
  </si>
  <si>
    <t>582-27-2529</t>
  </si>
  <si>
    <t>125-34-3188</t>
  </si>
  <si>
    <t>040-04-2795</t>
  </si>
  <si>
    <t>111-46-5044</t>
  </si>
  <si>
    <t>091-94-5296</t>
  </si>
  <si>
    <t>073-70-5097</t>
  </si>
  <si>
    <t>247-11-5210</t>
  </si>
  <si>
    <t>067-80-8159</t>
  </si>
  <si>
    <t>116-84-7879</t>
  </si>
  <si>
    <t>087-52-4590</t>
  </si>
  <si>
    <t>596-10-0548</t>
  </si>
  <si>
    <t>111-98-9165</t>
  </si>
  <si>
    <t>104-58-3873</t>
  </si>
  <si>
    <t>580-96-5802</t>
  </si>
  <si>
    <t>067-82-5544</t>
  </si>
  <si>
    <t>073-62-6495</t>
  </si>
  <si>
    <t>263-95-9248</t>
  </si>
  <si>
    <t>070-64-7917</t>
  </si>
  <si>
    <t>584-43-2161</t>
  </si>
  <si>
    <t>133-82-3246</t>
  </si>
  <si>
    <t>058-64-4800</t>
  </si>
  <si>
    <t>117-70-7232</t>
  </si>
  <si>
    <t>119-50-7486</t>
  </si>
  <si>
    <t>096-48-3350</t>
  </si>
  <si>
    <t>082-60-0855</t>
  </si>
  <si>
    <t>599-24-9884</t>
  </si>
  <si>
    <t>089-64-6514</t>
  </si>
  <si>
    <t>090-68-1494</t>
  </si>
  <si>
    <t>125-56-1738</t>
  </si>
  <si>
    <t>104-42-5247</t>
  </si>
  <si>
    <t>069-92-0872</t>
  </si>
  <si>
    <t>093-36-9641</t>
  </si>
  <si>
    <t>000-00-7281</t>
  </si>
  <si>
    <t>056-76-0375</t>
  </si>
  <si>
    <t>071-60-1415</t>
  </si>
  <si>
    <t>098-56-7329</t>
  </si>
  <si>
    <t>064-58-1257</t>
  </si>
  <si>
    <t>582-27-3529</t>
  </si>
  <si>
    <t>059-66-6674</t>
  </si>
  <si>
    <t>078-76-6190</t>
  </si>
  <si>
    <t>087-80-8613</t>
  </si>
  <si>
    <t>071-48-6367</t>
  </si>
  <si>
    <t>066-86-4507</t>
  </si>
  <si>
    <t>111-58-7508</t>
  </si>
  <si>
    <t>108-93-2937</t>
  </si>
  <si>
    <t>107-46-9745</t>
  </si>
  <si>
    <t>053-78-2518</t>
  </si>
  <si>
    <t>116-82-3984</t>
  </si>
  <si>
    <t>119-74-8433</t>
  </si>
  <si>
    <t>072-58-3201</t>
  </si>
  <si>
    <t>131-56-7558</t>
  </si>
  <si>
    <t>063-84-4924</t>
  </si>
  <si>
    <t>070-46-5123</t>
  </si>
  <si>
    <t>554-37-1224</t>
  </si>
  <si>
    <t>130-98-8445</t>
  </si>
  <si>
    <t>050-54-7894</t>
  </si>
  <si>
    <t>076-72-9141</t>
  </si>
  <si>
    <t>103-68-4304</t>
  </si>
  <si>
    <t>117-68-8378</t>
  </si>
  <si>
    <t>072-92-2020</t>
  </si>
  <si>
    <t>083-68-6682</t>
  </si>
  <si>
    <t>083-80-6332</t>
  </si>
  <si>
    <t>114-36-7689</t>
  </si>
  <si>
    <t>061-70-2033</t>
  </si>
  <si>
    <t>121-70-3306</t>
  </si>
  <si>
    <t>121-76-1885</t>
  </si>
  <si>
    <t>078-56-6911</t>
  </si>
  <si>
    <t>106-84-7286</t>
  </si>
  <si>
    <t>063-80-4093</t>
  </si>
  <si>
    <t>091-58-9784</t>
  </si>
  <si>
    <t>118-66-6868</t>
  </si>
  <si>
    <t>128-90-6568</t>
  </si>
  <si>
    <t>145-13-2292</t>
  </si>
  <si>
    <t>084-74-5506</t>
  </si>
  <si>
    <t>093-56-8575</t>
  </si>
  <si>
    <t>145-04-9453</t>
  </si>
  <si>
    <t>054-02-8877</t>
  </si>
  <si>
    <t>055-86-0322</t>
  </si>
  <si>
    <t>041-78-7596</t>
  </si>
  <si>
    <t>462-87-0243</t>
  </si>
  <si>
    <t>128-88-4017</t>
  </si>
  <si>
    <t>069-58-9275</t>
  </si>
  <si>
    <t>073-76-1265</t>
  </si>
  <si>
    <t>097-98-6441</t>
  </si>
  <si>
    <t>065-92-7647</t>
  </si>
  <si>
    <t>083-90-9494</t>
  </si>
  <si>
    <t>123-72-3696</t>
  </si>
  <si>
    <t>059-73-7137</t>
  </si>
  <si>
    <t>089-88-3569</t>
  </si>
  <si>
    <t>089-62-7111</t>
  </si>
  <si>
    <t>055-68-8951</t>
  </si>
  <si>
    <t>113-64-5213</t>
  </si>
  <si>
    <t>113-70-0714</t>
  </si>
  <si>
    <t>098-56-6711</t>
  </si>
  <si>
    <t>116-48-9612</t>
  </si>
  <si>
    <t>121-86-9780</t>
  </si>
  <si>
    <t>092-90-1180</t>
  </si>
  <si>
    <t>085-62-3332</t>
  </si>
  <si>
    <t>414-25-0034</t>
  </si>
  <si>
    <t>078-58-6935</t>
  </si>
  <si>
    <t>054-88-8862</t>
  </si>
  <si>
    <t>074-74-9186</t>
  </si>
  <si>
    <t>000-00-7454</t>
  </si>
  <si>
    <t>095-62-5959</t>
  </si>
  <si>
    <t>583-15-2256</t>
  </si>
  <si>
    <t>074-44-6252</t>
  </si>
  <si>
    <t>062-02-1731</t>
  </si>
  <si>
    <t>798-60-9637</t>
  </si>
  <si>
    <t>062-68-1689</t>
  </si>
  <si>
    <t>058-66-2147</t>
  </si>
  <si>
    <t>747-15-1768</t>
  </si>
  <si>
    <t>071-46-3273</t>
  </si>
  <si>
    <t>592-03-5421</t>
  </si>
  <si>
    <t>082-60-7633</t>
  </si>
  <si>
    <t>099-52-9805</t>
  </si>
  <si>
    <t>077-52-1563</t>
  </si>
  <si>
    <t>073-34-6968</t>
  </si>
  <si>
    <t>063-58-1325</t>
  </si>
  <si>
    <t>060-60-3470</t>
  </si>
  <si>
    <t>113-62-9262</t>
  </si>
  <si>
    <t>099-86-6156</t>
  </si>
  <si>
    <t>082-74-9395</t>
  </si>
  <si>
    <t>091-96-7497</t>
  </si>
  <si>
    <t>000-00-1777</t>
  </si>
  <si>
    <t>072-66-2408</t>
  </si>
  <si>
    <t>087-86-4402</t>
  </si>
  <si>
    <t>253-23-3516</t>
  </si>
  <si>
    <t>080-78-5517</t>
  </si>
  <si>
    <t>582-04-1059</t>
  </si>
  <si>
    <t>062-52-4199</t>
  </si>
  <si>
    <t>089-66-8052</t>
  </si>
  <si>
    <t>076-86-9957</t>
  </si>
  <si>
    <t>130-90-5496</t>
  </si>
  <si>
    <t>105-76-1889</t>
  </si>
  <si>
    <t>094-82-4352</t>
  </si>
  <si>
    <t>101-90-3599</t>
  </si>
  <si>
    <t>596-16-6926</t>
  </si>
  <si>
    <t>000-00-4995</t>
  </si>
  <si>
    <t>082-46-7060</t>
  </si>
  <si>
    <t>106-56-1050</t>
  </si>
  <si>
    <t>093-72-4292</t>
  </si>
  <si>
    <t>047-44-4049</t>
  </si>
  <si>
    <t>153-08-9240</t>
  </si>
  <si>
    <t>127-86-7880</t>
  </si>
  <si>
    <t>074-66-7666</t>
  </si>
  <si>
    <t>781-32-1331</t>
  </si>
  <si>
    <t>075-44-4059</t>
  </si>
  <si>
    <t>231-17-4273</t>
  </si>
  <si>
    <t>101-54-8225</t>
  </si>
  <si>
    <t>147-89-3242</t>
  </si>
  <si>
    <t>147-55-5616</t>
  </si>
  <si>
    <t>084-72-3588</t>
  </si>
  <si>
    <t>113-70-8725</t>
  </si>
  <si>
    <t>077-22-0693</t>
  </si>
  <si>
    <t>082-94-7748</t>
  </si>
  <si>
    <t>051-50-3891</t>
  </si>
  <si>
    <t>480-95-1126</t>
  </si>
  <si>
    <t>582-97-9094</t>
  </si>
  <si>
    <t>422-35-1675</t>
  </si>
  <si>
    <t>083-86-3645</t>
  </si>
  <si>
    <t>069-72-7109</t>
  </si>
  <si>
    <t>057-58-8387</t>
  </si>
  <si>
    <t>076-56-9392</t>
  </si>
  <si>
    <t>097-72-4268</t>
  </si>
  <si>
    <t>597-68-9140</t>
  </si>
  <si>
    <t>598-28-2790</t>
  </si>
  <si>
    <t>260-39-2242</t>
  </si>
  <si>
    <t>115-90-2839</t>
  </si>
  <si>
    <t>112-88-1236</t>
  </si>
  <si>
    <t>128-46-8459</t>
  </si>
  <si>
    <t>126-76-8395</t>
  </si>
  <si>
    <t>099-86-7411</t>
  </si>
  <si>
    <t>122-56-0080</t>
  </si>
  <si>
    <t>065-50-9938</t>
  </si>
  <si>
    <t>111-62-4178</t>
  </si>
  <si>
    <t>112-64-2523</t>
  </si>
  <si>
    <t>095-56-1575</t>
  </si>
  <si>
    <t>091-80-0654</t>
  </si>
  <si>
    <t>074-62-8677</t>
  </si>
  <si>
    <t>119-56-8769</t>
  </si>
  <si>
    <t>097-60-6198</t>
  </si>
  <si>
    <t>134-60-6252</t>
  </si>
  <si>
    <t>085-54-7429</t>
  </si>
  <si>
    <t>055-88-0255</t>
  </si>
  <si>
    <t>000-00-6323</t>
  </si>
  <si>
    <t>069-58-7163</t>
  </si>
  <si>
    <t>091-58-6170</t>
  </si>
  <si>
    <t>598-05-6577</t>
  </si>
  <si>
    <t>118-58-6824</t>
  </si>
  <si>
    <t>255-23-5124</t>
  </si>
  <si>
    <t>678-08-5578</t>
  </si>
  <si>
    <t>085-72-1739</t>
  </si>
  <si>
    <t>584-40-5931</t>
  </si>
  <si>
    <t>121-70-2640</t>
  </si>
  <si>
    <t>123-42-4299</t>
  </si>
  <si>
    <t>070-58-6543</t>
  </si>
  <si>
    <t>584-08-3286</t>
  </si>
  <si>
    <t>110-82-4076</t>
  </si>
  <si>
    <t>098-74-1628</t>
  </si>
  <si>
    <t>119-84-0074</t>
  </si>
  <si>
    <t>134-68-4268</t>
  </si>
  <si>
    <t>079-40-7898</t>
  </si>
  <si>
    <t>264-92-1758</t>
  </si>
  <si>
    <t>077-62-9141</t>
  </si>
  <si>
    <t>099-62-2260</t>
  </si>
  <si>
    <t>101-68-3715</t>
  </si>
  <si>
    <t>087-62-8117</t>
  </si>
  <si>
    <t>066-44-6405</t>
  </si>
  <si>
    <t>067-36-7796</t>
  </si>
  <si>
    <t>000-00-8070</t>
  </si>
  <si>
    <t>088-56-3906</t>
  </si>
  <si>
    <t>581-99-2917</t>
  </si>
  <si>
    <t>000-00-0301</t>
  </si>
  <si>
    <t>128-48-3275</t>
  </si>
  <si>
    <t>000-00-1979</t>
  </si>
  <si>
    <t>081-56-7111</t>
  </si>
  <si>
    <t>110-50-0439</t>
  </si>
  <si>
    <t>113-70-9369</t>
  </si>
  <si>
    <t>081-42-5016</t>
  </si>
  <si>
    <t>120-74-5250</t>
  </si>
  <si>
    <t>106-66-8618</t>
  </si>
  <si>
    <t>102-64-7663</t>
  </si>
  <si>
    <t>062-32-5761</t>
  </si>
  <si>
    <t>592-33-4514</t>
  </si>
  <si>
    <t>580-31-0661</t>
  </si>
  <si>
    <t>105-60-5976</t>
  </si>
  <si>
    <t>119-78-1168</t>
  </si>
  <si>
    <t>103-74-9879</t>
  </si>
  <si>
    <t>080-62-7068</t>
  </si>
  <si>
    <t>082-74-2167</t>
  </si>
  <si>
    <t>074-76-5088</t>
  </si>
  <si>
    <t>133-90-8703</t>
  </si>
  <si>
    <t>053-64-8422</t>
  </si>
  <si>
    <t>101-66-9806</t>
  </si>
  <si>
    <t>058-58-7195</t>
  </si>
  <si>
    <t>089-86-0039</t>
  </si>
  <si>
    <t>134-58-0753</t>
  </si>
  <si>
    <t>112-54-6268</t>
  </si>
  <si>
    <t>060-90-4861</t>
  </si>
  <si>
    <t>120-34-5269</t>
  </si>
  <si>
    <t>075-66-6280</t>
  </si>
  <si>
    <t>000-00-1987</t>
  </si>
  <si>
    <t>120-56-0808</t>
  </si>
  <si>
    <t>289-86-9682</t>
  </si>
  <si>
    <t>084-60-4013</t>
  </si>
  <si>
    <t>116-68-0220</t>
  </si>
  <si>
    <t>079-52-0908</t>
  </si>
  <si>
    <t>111-78-6465</t>
  </si>
  <si>
    <t>076-54-3283</t>
  </si>
  <si>
    <t>091-80-1052</t>
  </si>
  <si>
    <t>072-58-4493</t>
  </si>
  <si>
    <t>107-48-9745</t>
  </si>
  <si>
    <t>119-84-0064</t>
  </si>
  <si>
    <t>236-02-0058</t>
  </si>
  <si>
    <t>076-84-4781</t>
  </si>
  <si>
    <t>129-58-2135</t>
  </si>
  <si>
    <t>102-58-1093</t>
  </si>
  <si>
    <t>071-82-1687</t>
  </si>
  <si>
    <t>335-57-8114</t>
  </si>
  <si>
    <t>071-74-6755</t>
  </si>
  <si>
    <t>067-64-8634</t>
  </si>
  <si>
    <t>093-74-2374</t>
  </si>
  <si>
    <t>099-58-7158</t>
  </si>
  <si>
    <t>128-80-4902</t>
  </si>
  <si>
    <t>114-48-3317</t>
  </si>
  <si>
    <t>112-58-0464</t>
  </si>
  <si>
    <t>099-48-4990</t>
  </si>
  <si>
    <t>059-58-9894</t>
  </si>
  <si>
    <t>091-84-7948</t>
  </si>
  <si>
    <t>099-34-5117</t>
  </si>
  <si>
    <t>109-54-6991</t>
  </si>
  <si>
    <t>057-50-8883</t>
  </si>
  <si>
    <t>125-64-6163</t>
  </si>
  <si>
    <t>258-48-2676</t>
  </si>
  <si>
    <t>123-54-6854</t>
  </si>
  <si>
    <t>063-66-5071</t>
  </si>
  <si>
    <t>087-66-6923</t>
  </si>
  <si>
    <t>116-54-7580</t>
  </si>
  <si>
    <t>064-56-9288</t>
  </si>
  <si>
    <t>565-65-4436</t>
  </si>
  <si>
    <t>093-76-7899</t>
  </si>
  <si>
    <t>580-32-7198</t>
  </si>
  <si>
    <t>060-60-5459</t>
  </si>
  <si>
    <t>124-82-2769</t>
  </si>
  <si>
    <t>089-74-8020</t>
  </si>
  <si>
    <t>130-60-2714</t>
  </si>
  <si>
    <t>112-62-7576</t>
  </si>
  <si>
    <t>099-86-5345</t>
  </si>
  <si>
    <t>247-52-3269</t>
  </si>
  <si>
    <t>063-80-3680</t>
  </si>
  <si>
    <t>086-70-8663</t>
  </si>
  <si>
    <t>597-24-2841</t>
  </si>
  <si>
    <t>134-96-3516</t>
  </si>
  <si>
    <t>072-56-9474</t>
  </si>
  <si>
    <t>114-68-3698</t>
  </si>
  <si>
    <t>000-00-0889</t>
  </si>
  <si>
    <t>061-54-7681</t>
  </si>
  <si>
    <t>067-92-9002</t>
  </si>
  <si>
    <t>584-19-6941</t>
  </si>
  <si>
    <t>090-50-8173</t>
  </si>
  <si>
    <t>107-60-8069</t>
  </si>
  <si>
    <t>098-36-7732</t>
  </si>
  <si>
    <t>125-82-9586</t>
  </si>
  <si>
    <t>111-90-0247</t>
  </si>
  <si>
    <t>131-52-8503</t>
  </si>
  <si>
    <t>099-78-9927</t>
  </si>
  <si>
    <t>081-40-2205</t>
  </si>
  <si>
    <t>117-62-0932</t>
  </si>
  <si>
    <t>098-94-3587</t>
  </si>
  <si>
    <t>598-52-7423</t>
  </si>
  <si>
    <t>295-60-1623</t>
  </si>
  <si>
    <t>060-76-6373</t>
  </si>
  <si>
    <t>122-58-3083</t>
  </si>
  <si>
    <t>041-48-5332</t>
  </si>
  <si>
    <t>000-00-9645</t>
  </si>
  <si>
    <t>069-78-7596</t>
  </si>
  <si>
    <t>062-86-3183</t>
  </si>
  <si>
    <t>129-58-2330</t>
  </si>
  <si>
    <t>584-92-5580</t>
  </si>
  <si>
    <t>057-72-7330</t>
  </si>
  <si>
    <t>055-88-3084</t>
  </si>
  <si>
    <t>059-62-4508</t>
  </si>
  <si>
    <t>110-50-1957</t>
  </si>
  <si>
    <t>583-96-5909</t>
  </si>
  <si>
    <t>058-50-4914</t>
  </si>
  <si>
    <t>000-00-8512</t>
  </si>
  <si>
    <t>069-70-1662</t>
  </si>
  <si>
    <t>096-36-8722</t>
  </si>
  <si>
    <t>084-92-6353</t>
  </si>
  <si>
    <t>064-78-0788</t>
  </si>
  <si>
    <t>072-86-8950</t>
  </si>
  <si>
    <t>130-54-0321</t>
  </si>
  <si>
    <t>109-66-5774</t>
  </si>
  <si>
    <t>061-84-3664</t>
  </si>
  <si>
    <t>084-90-5965</t>
  </si>
  <si>
    <t>885-46-6297</t>
  </si>
  <si>
    <t>090-68-9519</t>
  </si>
  <si>
    <t>000-00-7048</t>
  </si>
  <si>
    <t>072-72-0715</t>
  </si>
  <si>
    <t>109-86-2247</t>
  </si>
  <si>
    <t>125-68-3178</t>
  </si>
  <si>
    <t>062-80-0551</t>
  </si>
  <si>
    <t>109-72-7516</t>
  </si>
  <si>
    <t>098-54-5212</t>
  </si>
  <si>
    <t>081-56-5874</t>
  </si>
  <si>
    <t>096-84-7683</t>
  </si>
  <si>
    <t>118-56-8101</t>
  </si>
  <si>
    <t>581-97-2461</t>
  </si>
  <si>
    <t>108-92-5939</t>
  </si>
  <si>
    <t>080-84-5229</t>
  </si>
  <si>
    <t>116-80-8710</t>
  </si>
  <si>
    <t>057-86-3392</t>
  </si>
  <si>
    <t>073-64-7390</t>
  </si>
  <si>
    <t>062-54-8575</t>
  </si>
  <si>
    <t>131-48-0705</t>
  </si>
  <si>
    <t>071-60-6177</t>
  </si>
  <si>
    <t>051-80-1930</t>
  </si>
  <si>
    <t>113-96-6301</t>
  </si>
  <si>
    <t>102-69-2252</t>
  </si>
  <si>
    <t>084-56-8573</t>
  </si>
  <si>
    <t>084-86-5826</t>
  </si>
  <si>
    <t>099-76-1528</t>
  </si>
  <si>
    <t>146-60-3145</t>
  </si>
  <si>
    <t>058-60-7220</t>
  </si>
  <si>
    <t>121-90-2362</t>
  </si>
  <si>
    <t>599-18-6322</t>
  </si>
  <si>
    <t>058-82-5209</t>
  </si>
  <si>
    <t>000-00-7480</t>
  </si>
  <si>
    <t>107-62-2775</t>
  </si>
  <si>
    <t>127-62-7439</t>
  </si>
  <si>
    <t>073-50-2070</t>
  </si>
  <si>
    <t>051-60-7216</t>
  </si>
  <si>
    <t>084-48-8874</t>
  </si>
  <si>
    <t>571-45-4429</t>
  </si>
  <si>
    <t>127-96-7620</t>
  </si>
  <si>
    <t>081-34-5899</t>
  </si>
  <si>
    <t>081-02-7578</t>
  </si>
  <si>
    <t>074-60-5023</t>
  </si>
  <si>
    <t>116-56-9672</t>
  </si>
  <si>
    <t>128-58-7577</t>
  </si>
  <si>
    <t>016-66-9736</t>
  </si>
  <si>
    <t>107-70-2763</t>
  </si>
  <si>
    <t>100-60-0024</t>
  </si>
  <si>
    <t>067-66-2793</t>
  </si>
  <si>
    <t>057-90-4057</t>
  </si>
  <si>
    <t>059-66-4834</t>
  </si>
  <si>
    <t>069-58-3444</t>
  </si>
  <si>
    <t>000-00-9704</t>
  </si>
  <si>
    <t>070-72-3310</t>
  </si>
  <si>
    <t>098-56-3731</t>
  </si>
  <si>
    <t>129-58-2381</t>
  </si>
  <si>
    <t>050-70-5504</t>
  </si>
  <si>
    <t>095-68-9007</t>
  </si>
  <si>
    <t>652-35-3960</t>
  </si>
  <si>
    <t>127-60-0651</t>
  </si>
  <si>
    <t>100-74-6024</t>
  </si>
  <si>
    <t>064-48-5540</t>
  </si>
  <si>
    <t>138-76-3594</t>
  </si>
  <si>
    <t>050-38-3644</t>
  </si>
  <si>
    <t>098-56-3990</t>
  </si>
  <si>
    <t>104-88-4915</t>
  </si>
  <si>
    <t>052-44-7537</t>
  </si>
  <si>
    <t>581-86-2284</t>
  </si>
  <si>
    <t>088-82-5748</t>
  </si>
  <si>
    <t>582-47-4732</t>
  </si>
  <si>
    <t>101-64-1180</t>
  </si>
  <si>
    <t>063-92-5565</t>
  </si>
  <si>
    <t>067-70-5700</t>
  </si>
  <si>
    <t>105-68-4147</t>
  </si>
  <si>
    <t>104-56-2006</t>
  </si>
  <si>
    <t>067-66-8277</t>
  </si>
  <si>
    <t>110-46-8522</t>
  </si>
  <si>
    <t>597-40-8290</t>
  </si>
  <si>
    <t>000-00-8192</t>
  </si>
  <si>
    <t>096-62-7716</t>
  </si>
  <si>
    <t>060-62-8618</t>
  </si>
  <si>
    <t>000-00-1917</t>
  </si>
  <si>
    <t>087-84-8597</t>
  </si>
  <si>
    <t>058-80-0591</t>
  </si>
  <si>
    <t>092-92-8197</t>
  </si>
  <si>
    <t>598-09-9388</t>
  </si>
  <si>
    <t>097-30-1594</t>
  </si>
  <si>
    <t>090-72-3222</t>
  </si>
  <si>
    <t>205-44-4216</t>
  </si>
  <si>
    <t>129-68-4106</t>
  </si>
  <si>
    <t>121-80-1806</t>
  </si>
  <si>
    <t>112-98-9221</t>
  </si>
  <si>
    <t>120-36-7920</t>
  </si>
  <si>
    <t>582-58-2794</t>
  </si>
  <si>
    <t>090-58-6136</t>
  </si>
  <si>
    <t>102-68-4963</t>
  </si>
  <si>
    <t>092-66-9996</t>
  </si>
  <si>
    <t>085-02-7666</t>
  </si>
  <si>
    <t>120-80-0204</t>
  </si>
  <si>
    <t>112-74-9224</t>
  </si>
  <si>
    <t>126-50-8070</t>
  </si>
  <si>
    <t>068-90-1392</t>
  </si>
  <si>
    <t>069-58-3502</t>
  </si>
  <si>
    <t>127-42-5546</t>
  </si>
  <si>
    <t>103-62-8929</t>
  </si>
  <si>
    <t>124-56-6513</t>
  </si>
  <si>
    <t>072-54-9330</t>
  </si>
  <si>
    <t>066-76-5444</t>
  </si>
  <si>
    <t>069-68-4613</t>
  </si>
  <si>
    <t>584-15-8539</t>
  </si>
  <si>
    <t>113-52-6311</t>
  </si>
  <si>
    <t>077-42-7526</t>
  </si>
  <si>
    <t>140-48-8902</t>
  </si>
  <si>
    <t>123-90-0314</t>
  </si>
  <si>
    <t>128-48-9058</t>
  </si>
  <si>
    <t>053-46-7743</t>
  </si>
  <si>
    <t>081-56-0955</t>
  </si>
  <si>
    <t>359-78-7522</t>
  </si>
  <si>
    <t>069-54-1343</t>
  </si>
  <si>
    <t>603-30-0598</t>
  </si>
  <si>
    <t>583-98-2961</t>
  </si>
  <si>
    <t>096-48-3284</t>
  </si>
  <si>
    <t>112-98-8334</t>
  </si>
  <si>
    <t>532-77-6365</t>
  </si>
  <si>
    <t>067-70-5294</t>
  </si>
  <si>
    <t>104-40-3805</t>
  </si>
  <si>
    <t>071-62-5087</t>
  </si>
  <si>
    <t>087-52-8907</t>
  </si>
  <si>
    <t>112-54-7743</t>
  </si>
  <si>
    <t>323-68-2704</t>
  </si>
  <si>
    <t>377-44-8873</t>
  </si>
  <si>
    <t>124-84-8139</t>
  </si>
  <si>
    <t>097-56-2596</t>
  </si>
  <si>
    <t>127-86-6488</t>
  </si>
  <si>
    <t>095-62-0441</t>
  </si>
  <si>
    <t>113-48-2528</t>
  </si>
  <si>
    <t>054-56-7384</t>
  </si>
  <si>
    <t>584-75-9061</t>
  </si>
  <si>
    <t>068-74-5867</t>
  </si>
  <si>
    <t>078-64-5589</t>
  </si>
  <si>
    <t>067-66-4348</t>
  </si>
  <si>
    <t>133-66-5074</t>
  </si>
  <si>
    <t>583-72-8789</t>
  </si>
  <si>
    <t>050-76-2424</t>
  </si>
  <si>
    <t>066-54-7946</t>
  </si>
  <si>
    <t>050-78-1250</t>
  </si>
  <si>
    <t>118-56-1550</t>
  </si>
  <si>
    <t>043-48-0176</t>
  </si>
  <si>
    <t>072-48-5680</t>
  </si>
  <si>
    <t>545-98-2355</t>
  </si>
  <si>
    <t>075-66-2078</t>
  </si>
  <si>
    <t>262-85-1529</t>
  </si>
  <si>
    <t>518-13-9524</t>
  </si>
  <si>
    <t>105-50-3326</t>
  </si>
  <si>
    <t>143-58-8362</t>
  </si>
  <si>
    <t>584-15-2778</t>
  </si>
  <si>
    <t>584-18-0228</t>
  </si>
  <si>
    <t>000-00-4538</t>
  </si>
  <si>
    <t>125-52-6597</t>
  </si>
  <si>
    <t>058-50-5191</t>
  </si>
  <si>
    <t>109-70-5752</t>
  </si>
  <si>
    <t>076-62-1536</t>
  </si>
  <si>
    <t>583-78-2300</t>
  </si>
  <si>
    <t>056-96-8290</t>
  </si>
  <si>
    <t>110-62-6553</t>
  </si>
  <si>
    <t>584-22-5295</t>
  </si>
  <si>
    <t>099-54-1285</t>
  </si>
  <si>
    <t>111-58-9135</t>
  </si>
  <si>
    <t>747-91-0802</t>
  </si>
  <si>
    <t>110-56-3223</t>
  </si>
  <si>
    <t>582-13-8902</t>
  </si>
  <si>
    <t>246-96-4175</t>
  </si>
  <si>
    <t>121-68-3730</t>
  </si>
  <si>
    <t>109-54-0136</t>
  </si>
  <si>
    <t>580-98-6803</t>
  </si>
  <si>
    <t>119-66-8456</t>
  </si>
  <si>
    <t>066-84-2062</t>
  </si>
  <si>
    <t>101-40-5094</t>
  </si>
  <si>
    <t>065-50-4884</t>
  </si>
  <si>
    <t>086-60-7213</t>
  </si>
  <si>
    <t>114-80-9830</t>
  </si>
  <si>
    <t>079-60-1008</t>
  </si>
  <si>
    <t>070-48-0257</t>
  </si>
  <si>
    <t>580-16-9290</t>
  </si>
  <si>
    <t>000-00-2861</t>
  </si>
  <si>
    <t>120-75-3614</t>
  </si>
  <si>
    <t>590-20-6989</t>
  </si>
  <si>
    <t>106-68-9482</t>
  </si>
  <si>
    <t>053-72-9437</t>
  </si>
  <si>
    <t>078-48-5186</t>
  </si>
  <si>
    <t>118-84-7316</t>
  </si>
  <si>
    <t>101-02-7535</t>
  </si>
  <si>
    <t>069-40-2108</t>
  </si>
  <si>
    <t>581-88-8112</t>
  </si>
  <si>
    <t>052-82-8861</t>
  </si>
  <si>
    <t>081-62-7349</t>
  </si>
  <si>
    <t>103-34-0973</t>
  </si>
  <si>
    <t>125-34-1139</t>
  </si>
  <si>
    <t>057-82-0876</t>
  </si>
  <si>
    <t>090-60-3515</t>
  </si>
  <si>
    <t>064-70-2624</t>
  </si>
  <si>
    <t>088-68-8445</t>
  </si>
  <si>
    <t>122-46-9252</t>
  </si>
  <si>
    <t>072-02-2167</t>
  </si>
  <si>
    <t>000-00-4219</t>
  </si>
  <si>
    <t>135-08-8042</t>
  </si>
  <si>
    <t>745-13-9509</t>
  </si>
  <si>
    <t>068-94-5441</t>
  </si>
  <si>
    <t>075-82-8723</t>
  </si>
  <si>
    <t>131-96-0148</t>
  </si>
  <si>
    <t>069-64-6705</t>
  </si>
  <si>
    <t>499-60-6266</t>
  </si>
  <si>
    <t>584-38-2801</t>
  </si>
  <si>
    <t>061-86-3888</t>
  </si>
  <si>
    <t>581-75-9889</t>
  </si>
  <si>
    <t>084-50-9809</t>
  </si>
  <si>
    <t>056-72-5267</t>
  </si>
  <si>
    <t>080-70-3580</t>
  </si>
  <si>
    <t>057-56-9388</t>
  </si>
  <si>
    <t>420-96-6005</t>
  </si>
  <si>
    <t>061-50-6188</t>
  </si>
  <si>
    <t>119-82-9788</t>
  </si>
  <si>
    <t>111-54-5550</t>
  </si>
  <si>
    <t>076-34-7710</t>
  </si>
  <si>
    <t>261-97-2848</t>
  </si>
  <si>
    <t>000-00-2145</t>
  </si>
  <si>
    <t>000-00-4676</t>
  </si>
  <si>
    <t>127-52-2311</t>
  </si>
  <si>
    <t>100-54-7668</t>
  </si>
  <si>
    <t>584-54-2387</t>
  </si>
  <si>
    <t>133-80-0885</t>
  </si>
  <si>
    <t>052-36-9177</t>
  </si>
  <si>
    <t>104-68-1303</t>
  </si>
  <si>
    <t>131-74-9419</t>
  </si>
  <si>
    <t>134-54-6262</t>
  </si>
  <si>
    <t>063-78-5847</t>
  </si>
  <si>
    <t>581-39-3031</t>
  </si>
  <si>
    <t>104-52-0126</t>
  </si>
  <si>
    <t>098-80-7771</t>
  </si>
  <si>
    <t>062-54-6005</t>
  </si>
  <si>
    <t>112-62-8982</t>
  </si>
  <si>
    <t>053-88-5925</t>
  </si>
  <si>
    <t>063-42-5038</t>
  </si>
  <si>
    <t>090-66-0103</t>
  </si>
  <si>
    <t>596-01-4026</t>
  </si>
  <si>
    <t>134-62-5729</t>
  </si>
  <si>
    <t>086-48-2152</t>
  </si>
  <si>
    <t>103-38-4939</t>
  </si>
  <si>
    <t>077-58-4307</t>
  </si>
  <si>
    <t>096-58-7003</t>
  </si>
  <si>
    <t>598-12-3163</t>
  </si>
  <si>
    <t>120-68-7173</t>
  </si>
  <si>
    <t>079-56-7055</t>
  </si>
  <si>
    <t>110-52-2580</t>
  </si>
  <si>
    <t>121-40-0942</t>
  </si>
  <si>
    <t>073-48-4131</t>
  </si>
  <si>
    <t>599-16-4320</t>
  </si>
  <si>
    <t>156-98-6916</t>
  </si>
  <si>
    <t>070-40-6654</t>
  </si>
  <si>
    <t>089-64-5832</t>
  </si>
  <si>
    <t>263-64-7039</t>
  </si>
  <si>
    <t>267-45-1914</t>
  </si>
  <si>
    <t>121-46-4907</t>
  </si>
  <si>
    <t>105-58-4719</t>
  </si>
  <si>
    <t>112-64-6616</t>
  </si>
  <si>
    <t>085-76-4596</t>
  </si>
  <si>
    <t>070-68-5110</t>
  </si>
  <si>
    <t>057-92-5679</t>
  </si>
  <si>
    <t>116-16-2202</t>
  </si>
  <si>
    <t>084-66-6456</t>
  </si>
  <si>
    <t>094-58-3516</t>
  </si>
  <si>
    <t>000-00-6118</t>
  </si>
  <si>
    <t>777-76-4829</t>
  </si>
  <si>
    <t>074-36-3120</t>
  </si>
  <si>
    <t>054-48-1528</t>
  </si>
  <si>
    <t>077-50-5981</t>
  </si>
  <si>
    <t>004-50-3096</t>
  </si>
  <si>
    <t>583-20-3861</t>
  </si>
  <si>
    <t>730-09-1091</t>
  </si>
  <si>
    <t>082-44-3750</t>
  </si>
  <si>
    <t>103-50-5256</t>
  </si>
  <si>
    <t>114-78-5084</t>
  </si>
  <si>
    <t>072-48-3608</t>
  </si>
  <si>
    <t>121-40-2091</t>
  </si>
  <si>
    <t>055-70-0465</t>
  </si>
  <si>
    <t>090-34-6179</t>
  </si>
  <si>
    <t>089-74-3644</t>
  </si>
  <si>
    <t>582-46-1111</t>
  </si>
  <si>
    <t>088-76-9478</t>
  </si>
  <si>
    <t>089-56-8353</t>
  </si>
  <si>
    <t>089-62-2962</t>
  </si>
  <si>
    <t>089-64-5802</t>
  </si>
  <si>
    <t>374-66-0640</t>
  </si>
  <si>
    <t>102-86-9867</t>
  </si>
  <si>
    <t>595-68-9330</t>
  </si>
  <si>
    <t>073-94-6982</t>
  </si>
  <si>
    <t>091-94-5533</t>
  </si>
  <si>
    <t>128-62-7121</t>
  </si>
  <si>
    <t>171-74-3102</t>
  </si>
  <si>
    <t>122-58-8870</t>
  </si>
  <si>
    <t>077-68-1578</t>
  </si>
  <si>
    <t>166-46-1092</t>
  </si>
  <si>
    <t>000-00-8902</t>
  </si>
  <si>
    <t>072-78-4627</t>
  </si>
  <si>
    <t>059-60-3785</t>
  </si>
  <si>
    <t>107-62-4694</t>
  </si>
  <si>
    <t>119-54-4937</t>
  </si>
  <si>
    <t>113-54-0326</t>
  </si>
  <si>
    <t>315-86-5162</t>
  </si>
  <si>
    <t>055-60-2805</t>
  </si>
  <si>
    <t>104-66-4648</t>
  </si>
  <si>
    <t>292-62-1292</t>
  </si>
  <si>
    <t>355-45-7393</t>
  </si>
  <si>
    <t>063-36-6940</t>
  </si>
  <si>
    <t>000-00-6286</t>
  </si>
  <si>
    <t>105-58-4466</t>
  </si>
  <si>
    <t>075-54-2288</t>
  </si>
  <si>
    <t>510-72-2672</t>
  </si>
  <si>
    <t>100-48-1345</t>
  </si>
  <si>
    <t>083-02-1727</t>
  </si>
  <si>
    <t>063-84-0388</t>
  </si>
  <si>
    <t>109-92-2565</t>
  </si>
  <si>
    <t>104-40-9953</t>
  </si>
  <si>
    <t>359-58-3514</t>
  </si>
  <si>
    <t>026-58-8399</t>
  </si>
  <si>
    <t>117-82-4105</t>
  </si>
  <si>
    <t>115-36-7644</t>
  </si>
  <si>
    <t>087-72-6308</t>
  </si>
  <si>
    <t>099-48-9821</t>
  </si>
  <si>
    <t>254-33-6713</t>
  </si>
  <si>
    <t>053-78-9096</t>
  </si>
  <si>
    <t>583-74-2251</t>
  </si>
  <si>
    <t>086-60-1771</t>
  </si>
  <si>
    <t>057-50-7484</t>
  </si>
  <si>
    <t>101-84-8874</t>
  </si>
  <si>
    <t>126-48-0614</t>
  </si>
  <si>
    <t>133-76-0381</t>
  </si>
  <si>
    <t>093-84-1205</t>
  </si>
  <si>
    <t>123-70-9978</t>
  </si>
  <si>
    <t>086-60-2573</t>
  </si>
  <si>
    <t>115-82-6819</t>
  </si>
  <si>
    <t>114-52-3925</t>
  </si>
  <si>
    <t>584-90-9002</t>
  </si>
  <si>
    <t>083-56-2928</t>
  </si>
  <si>
    <t>584-70-1746</t>
  </si>
  <si>
    <t>120-62-9149</t>
  </si>
  <si>
    <t>422-76-4273</t>
  </si>
  <si>
    <t>117-56-7883</t>
  </si>
  <si>
    <t>122-82-8922</t>
  </si>
  <si>
    <t>196-54-5104</t>
  </si>
  <si>
    <t>125-50-5459</t>
  </si>
  <si>
    <t>070-78-1970</t>
  </si>
  <si>
    <t>583-13-3394</t>
  </si>
  <si>
    <t>052-46-5357</t>
  </si>
  <si>
    <t>072-62-1705</t>
  </si>
  <si>
    <t>081-66-0893</t>
  </si>
  <si>
    <t>085-50-2719</t>
  </si>
  <si>
    <t>584-08-5697</t>
  </si>
  <si>
    <t>081-90-0466</t>
  </si>
  <si>
    <t>089-72-2686</t>
  </si>
  <si>
    <t>731-01-6741</t>
  </si>
  <si>
    <t>732-58-8729</t>
  </si>
  <si>
    <t>092-64-7997</t>
  </si>
  <si>
    <t>075-84-5743</t>
  </si>
  <si>
    <t>114-56-7600</t>
  </si>
  <si>
    <t>096-84-8980</t>
  </si>
  <si>
    <t>078-36-1539</t>
  </si>
  <si>
    <t>094-56-8464</t>
  </si>
  <si>
    <t>105-86-2630</t>
  </si>
  <si>
    <t>111-46-4331</t>
  </si>
  <si>
    <t>051-82-3570</t>
  </si>
  <si>
    <t>112-60-9132</t>
  </si>
  <si>
    <t>096-92-6530</t>
  </si>
  <si>
    <t>125-90-1439</t>
  </si>
  <si>
    <t>027-27-4577</t>
  </si>
  <si>
    <t>131-90-7923</t>
  </si>
  <si>
    <t>096-58-7540</t>
  </si>
  <si>
    <t>070-40-1704</t>
  </si>
  <si>
    <t>154-72-0727</t>
  </si>
  <si>
    <t>128-48-5763</t>
  </si>
  <si>
    <t>105-84-8886</t>
  </si>
  <si>
    <t>583-74-7375</t>
  </si>
  <si>
    <t>119-40-9191</t>
  </si>
  <si>
    <t>100-62-6349</t>
  </si>
  <si>
    <t>233-02-0051</t>
  </si>
  <si>
    <t>063-60-7925</t>
  </si>
  <si>
    <t>064-54-0155</t>
  </si>
  <si>
    <t>091-64-4525</t>
  </si>
  <si>
    <t>059-62-3743</t>
  </si>
  <si>
    <t>122-62-1904</t>
  </si>
  <si>
    <t>061-50-8237</t>
  </si>
  <si>
    <t>117-56-5975</t>
  </si>
  <si>
    <t>063-99-5992</t>
  </si>
  <si>
    <t>036-70-6970</t>
  </si>
  <si>
    <t>423-78-2580</t>
  </si>
  <si>
    <t>063-70-4467</t>
  </si>
  <si>
    <t>118-40-1779</t>
  </si>
  <si>
    <t>261-95-3516</t>
  </si>
  <si>
    <t>091-42-0419</t>
  </si>
  <si>
    <t>590-71-1635</t>
  </si>
  <si>
    <t>103-56-7172</t>
  </si>
  <si>
    <t>065-56-4430</t>
  </si>
  <si>
    <t>129-30-5818</t>
  </si>
  <si>
    <t>136-50-6506</t>
  </si>
  <si>
    <t>121-62-9499</t>
  </si>
  <si>
    <t>249-68-2774</t>
  </si>
  <si>
    <t>079-46-4191</t>
  </si>
  <si>
    <t>094-86-1714</t>
  </si>
  <si>
    <t>000-00-1543</t>
  </si>
  <si>
    <t>126-48-1193</t>
  </si>
  <si>
    <t>113-72-8090</t>
  </si>
  <si>
    <t>583-54-9823</t>
  </si>
  <si>
    <t>106-76-7872</t>
  </si>
  <si>
    <t>097-02-4879</t>
  </si>
  <si>
    <t>099-70-1409</t>
  </si>
  <si>
    <t>433-51-6186</t>
  </si>
  <si>
    <t>076-34-3865</t>
  </si>
  <si>
    <t>091-40-5580</t>
  </si>
  <si>
    <t>128-82-3593</t>
  </si>
  <si>
    <t>106-90-2668</t>
  </si>
  <si>
    <t>128-48-2363</t>
  </si>
  <si>
    <t>583-62-3994</t>
  </si>
  <si>
    <t>056-58-0890</t>
  </si>
  <si>
    <t>239-78-3960</t>
  </si>
  <si>
    <t>088-42-4781</t>
  </si>
  <si>
    <t>114-78-4173</t>
  </si>
  <si>
    <t>103-58-4935</t>
  </si>
  <si>
    <t>057-80-5643</t>
  </si>
  <si>
    <t>094-56-5789</t>
  </si>
  <si>
    <t>093-70-5727</t>
  </si>
  <si>
    <t>105-50-3704</t>
  </si>
  <si>
    <t>054-90-7670</t>
  </si>
  <si>
    <t>060-60-7500</t>
  </si>
  <si>
    <t>097-66-2653</t>
  </si>
  <si>
    <t>063-42-0530</t>
  </si>
  <si>
    <t>093-68-7923</t>
  </si>
  <si>
    <t>086-02-8830</t>
  </si>
  <si>
    <t>599-03-3944</t>
  </si>
  <si>
    <t>053-80-1460</t>
  </si>
  <si>
    <t>584-05-9604</t>
  </si>
  <si>
    <t>066-58-9399</t>
  </si>
  <si>
    <t>377-04-0695</t>
  </si>
  <si>
    <t>131-80-5045</t>
  </si>
  <si>
    <t>074-12-4878</t>
  </si>
  <si>
    <t>062-56-4122</t>
  </si>
  <si>
    <t>584-69-6751</t>
  </si>
  <si>
    <t>077-42-1910</t>
  </si>
  <si>
    <t>053-50-6494</t>
  </si>
  <si>
    <t>068-58-6529</t>
  </si>
  <si>
    <t>086-86-4978</t>
  </si>
  <si>
    <t>108-28-2340</t>
  </si>
  <si>
    <t>155-58-8467</t>
  </si>
  <si>
    <t>147-70-9786</t>
  </si>
  <si>
    <t>133-98-3438</t>
  </si>
  <si>
    <t>066-30-6599</t>
  </si>
  <si>
    <t>105-58-9586</t>
  </si>
  <si>
    <t>049-44-8370</t>
  </si>
  <si>
    <t>133-44-4184</t>
  </si>
  <si>
    <t>132-84-8976</t>
  </si>
  <si>
    <t>058-82-8103</t>
  </si>
  <si>
    <t>103-70-5919</t>
  </si>
  <si>
    <t>079-62-9332</t>
  </si>
  <si>
    <t>583-16-6470</t>
  </si>
  <si>
    <t>216-96-9440</t>
  </si>
  <si>
    <t>125-32-0081</t>
  </si>
  <si>
    <t>117-52-5809</t>
  </si>
  <si>
    <t>106-48-2419</t>
  </si>
  <si>
    <t>113-42-0501</t>
  </si>
  <si>
    <t>077-70-4462</t>
  </si>
  <si>
    <t>082-58-3470</t>
  </si>
  <si>
    <t>582-37-8377</t>
  </si>
  <si>
    <t>084-74-5779</t>
  </si>
  <si>
    <t>134-72-8235</t>
  </si>
  <si>
    <t>121-56-4694</t>
  </si>
  <si>
    <t>071-44-6621</t>
  </si>
  <si>
    <t>110-40-2548</t>
  </si>
  <si>
    <t>093-82-9730</t>
  </si>
  <si>
    <t>094-64-2536</t>
  </si>
  <si>
    <t>073-50-5837</t>
  </si>
  <si>
    <t>132-60-7715</t>
  </si>
  <si>
    <t>106-52-9385</t>
  </si>
  <si>
    <t>112-46-6538</t>
  </si>
  <si>
    <t>118-46-3293</t>
  </si>
  <si>
    <t>099-68-2305</t>
  </si>
  <si>
    <t>111-66-3225</t>
  </si>
  <si>
    <t>374-36-2609</t>
  </si>
  <si>
    <t>086-74-1627</t>
  </si>
  <si>
    <t>203-58-0262</t>
  </si>
  <si>
    <t>108-24-1469</t>
  </si>
  <si>
    <t>061-46-9375</t>
  </si>
  <si>
    <t>584-07-4877</t>
  </si>
  <si>
    <t>000-00-0529</t>
  </si>
  <si>
    <t>426-65-1711</t>
  </si>
  <si>
    <t>818-98-1193</t>
  </si>
  <si>
    <t>101-34-8698</t>
  </si>
  <si>
    <t>132-58-5078</t>
  </si>
  <si>
    <t>060-70-1076</t>
  </si>
  <si>
    <t>094-34-3967</t>
  </si>
  <si>
    <t>098-56-2102</t>
  </si>
  <si>
    <t>050-38-6165</t>
  </si>
  <si>
    <t>059-62-9331</t>
  </si>
  <si>
    <t>082-52-7119</t>
  </si>
  <si>
    <t>591-54-8293</t>
  </si>
  <si>
    <t>124-26-0192</t>
  </si>
  <si>
    <t>256-37-0656</t>
  </si>
  <si>
    <t>038-56-5630</t>
  </si>
  <si>
    <t>105-56-0138</t>
  </si>
  <si>
    <t>149-32-3269</t>
  </si>
  <si>
    <t>098-54-3367</t>
  </si>
  <si>
    <t>061-58-7144</t>
  </si>
  <si>
    <t>449-94-2903</t>
  </si>
  <si>
    <t>117-40-0164</t>
  </si>
  <si>
    <t>582-21-1860</t>
  </si>
  <si>
    <t>088-56-2920</t>
  </si>
  <si>
    <t>118-44-0723</t>
  </si>
  <si>
    <t>600-32-5806</t>
  </si>
  <si>
    <t>118-66-9174</t>
  </si>
  <si>
    <t>105-63-7353</t>
  </si>
  <si>
    <t>097-60-3286</t>
  </si>
  <si>
    <t>095-52-8626</t>
  </si>
  <si>
    <t>106-48-4642</t>
  </si>
  <si>
    <t>073-58-8577</t>
  </si>
  <si>
    <t>582-06-4461</t>
  </si>
  <si>
    <t>267-02-9739</t>
  </si>
  <si>
    <t>153-48-2639</t>
  </si>
  <si>
    <t>097-54-9643</t>
  </si>
  <si>
    <t>099-44-0354</t>
  </si>
  <si>
    <t>000-00-2580</t>
  </si>
  <si>
    <t>153-44-1190</t>
  </si>
  <si>
    <t>582-88-7519</t>
  </si>
  <si>
    <t>123-88-5390</t>
  </si>
  <si>
    <t>119-84-0712</t>
  </si>
  <si>
    <t>106-94-4387</t>
  </si>
  <si>
    <t>069-46-9700</t>
  </si>
  <si>
    <t>087-54-1362</t>
  </si>
  <si>
    <t>127-66-7633</t>
  </si>
  <si>
    <t>090-56-8808</t>
  </si>
  <si>
    <t>072-62-4298</t>
  </si>
  <si>
    <t>091-78-6967</t>
  </si>
  <si>
    <t>249-70-2850</t>
  </si>
  <si>
    <t>069-48-6041</t>
  </si>
  <si>
    <t>091-66-0366</t>
  </si>
  <si>
    <t>092-72-7221</t>
  </si>
  <si>
    <t>000-00-9077</t>
  </si>
  <si>
    <t>584-46-6467</t>
  </si>
  <si>
    <t>093-56-1947</t>
  </si>
  <si>
    <t>133-58-3032</t>
  </si>
  <si>
    <t>121-34-4394</t>
  </si>
  <si>
    <t>050-38-3713</t>
  </si>
  <si>
    <t>053-88-9229</t>
  </si>
  <si>
    <t>068-48-8275</t>
  </si>
  <si>
    <t>000-00-3398</t>
  </si>
  <si>
    <t>053-84-8766</t>
  </si>
  <si>
    <t>101-50-3331</t>
  </si>
  <si>
    <t>068-94-8124</t>
  </si>
  <si>
    <t>055-50-8675</t>
  </si>
  <si>
    <t>095-64-3185</t>
  </si>
  <si>
    <t>073-62-0120</t>
  </si>
  <si>
    <t>134-60-8164</t>
  </si>
  <si>
    <t>053-50-5580</t>
  </si>
  <si>
    <t>052-54-5396</t>
  </si>
  <si>
    <t>040-68-3997</t>
  </si>
  <si>
    <t>583-78-7215</t>
  </si>
  <si>
    <t>061-54-3065</t>
  </si>
  <si>
    <t>131-32-6499</t>
  </si>
  <si>
    <t>625-71-9125</t>
  </si>
  <si>
    <t>082-46-0247</t>
  </si>
  <si>
    <t>096-56-5451</t>
  </si>
  <si>
    <t>057-48-1599</t>
  </si>
  <si>
    <t>105-82-1209</t>
  </si>
  <si>
    <t>063-34-9598</t>
  </si>
  <si>
    <t>193-44-4858</t>
  </si>
  <si>
    <t>129-58-8961</t>
  </si>
  <si>
    <t>122-40-9040</t>
  </si>
  <si>
    <t>071-74-7982</t>
  </si>
  <si>
    <t>279-52-0987</t>
  </si>
  <si>
    <t>125-44-5536</t>
  </si>
  <si>
    <t>067-70-6245</t>
  </si>
  <si>
    <t>087-44-5035</t>
  </si>
  <si>
    <t>078-90-5658</t>
  </si>
  <si>
    <t>055-58-4926</t>
  </si>
  <si>
    <t>000-00-3971</t>
  </si>
  <si>
    <t>580-82-4582</t>
  </si>
  <si>
    <t>123-68-8724</t>
  </si>
  <si>
    <t>108-44-2025</t>
  </si>
  <si>
    <t>103-50-8117</t>
  </si>
  <si>
    <t>082-56-0574</t>
  </si>
  <si>
    <t>108-52-5052</t>
  </si>
  <si>
    <t>071-72-9318</t>
  </si>
  <si>
    <t>084-36-8606</t>
  </si>
  <si>
    <t>006-40-9368</t>
  </si>
  <si>
    <t>581-60-3285</t>
  </si>
  <si>
    <t>088-92-1616</t>
  </si>
  <si>
    <t>114-92-7155</t>
  </si>
  <si>
    <t>118-80-0158</t>
  </si>
  <si>
    <t>055-48-1819</t>
  </si>
  <si>
    <t>130-64-4279</t>
  </si>
  <si>
    <t>070-40-3145</t>
  </si>
  <si>
    <t>067-64-3361</t>
  </si>
  <si>
    <t>532-19-6104</t>
  </si>
  <si>
    <t>119-52-5006</t>
  </si>
  <si>
    <t>085-50-5243</t>
  </si>
  <si>
    <t>104-32-0617</t>
  </si>
  <si>
    <t>116-44-8410</t>
  </si>
  <si>
    <t>156-72-1990</t>
  </si>
  <si>
    <t>061-74-3568</t>
  </si>
  <si>
    <t>115-96-5208</t>
  </si>
  <si>
    <t>120-44-0988</t>
  </si>
  <si>
    <t>090-52-6341</t>
  </si>
  <si>
    <t>065-96-1561</t>
  </si>
  <si>
    <t>089-66-5516</t>
  </si>
  <si>
    <t>071-86-4001</t>
  </si>
  <si>
    <t>081-62-3720</t>
  </si>
  <si>
    <t>092-90-7640</t>
  </si>
  <si>
    <t>058-58-5429</t>
  </si>
  <si>
    <t>095-58-2750</t>
  </si>
  <si>
    <t>087-36-8940</t>
  </si>
  <si>
    <t>057-58-6188</t>
  </si>
  <si>
    <t>081-46-5204</t>
  </si>
  <si>
    <t>583-67-1712</t>
  </si>
  <si>
    <t>732-05-5208</t>
  </si>
  <si>
    <t>091-42-9046</t>
  </si>
  <si>
    <t>038-50-3253</t>
  </si>
  <si>
    <t>901-64-8979</t>
  </si>
  <si>
    <t>065-72-6336</t>
  </si>
  <si>
    <t>110-58-5332</t>
  </si>
  <si>
    <t>581-46-3019</t>
  </si>
  <si>
    <t>119-56-0441</t>
  </si>
  <si>
    <t>063-58-1778</t>
  </si>
  <si>
    <t>059-70-1586</t>
  </si>
  <si>
    <t>086-54-7404</t>
  </si>
  <si>
    <t>073-48-3861</t>
  </si>
  <si>
    <t>122-56-0255</t>
  </si>
  <si>
    <t>095-80-0486</t>
  </si>
  <si>
    <t>089-84-9486</t>
  </si>
  <si>
    <t>102-52-2798</t>
  </si>
  <si>
    <t>039-94-3421</t>
  </si>
  <si>
    <t>056-98-5022</t>
  </si>
  <si>
    <t>999-99-9999</t>
  </si>
  <si>
    <t>124-36-4090</t>
  </si>
  <si>
    <t>083-98-0467</t>
  </si>
  <si>
    <t>120-52-4795</t>
  </si>
  <si>
    <t>087-50-0677</t>
  </si>
  <si>
    <t>074-44-7452</t>
  </si>
  <si>
    <t>078-68-2786</t>
  </si>
  <si>
    <t>250-04-4650</t>
  </si>
  <si>
    <t>066-48-3723</t>
  </si>
  <si>
    <t>062-02-5344</t>
  </si>
  <si>
    <t>062-72-4938</t>
  </si>
  <si>
    <t>086-82-3291</t>
  </si>
  <si>
    <t>108-88-7151</t>
  </si>
  <si>
    <t>124-48-7173</t>
  </si>
  <si>
    <t>082-46-0013</t>
  </si>
  <si>
    <t>599-18-1018</t>
  </si>
  <si>
    <t>095-48-1950</t>
  </si>
  <si>
    <t>063-54-1845</t>
  </si>
  <si>
    <t>069-72-5393</t>
  </si>
  <si>
    <t>250-16-6879</t>
  </si>
  <si>
    <t>114-40-3363</t>
  </si>
  <si>
    <t>098-50-5451</t>
  </si>
  <si>
    <t>246-33-3750</t>
  </si>
  <si>
    <t>099-94-8492</t>
  </si>
  <si>
    <t>393-75-4977</t>
  </si>
  <si>
    <t>100-86-5662</t>
  </si>
  <si>
    <t>110-60-2709</t>
  </si>
  <si>
    <t>118-44-5329</t>
  </si>
  <si>
    <t>094-62-6919</t>
  </si>
  <si>
    <t>151-13-2834</t>
  </si>
  <si>
    <t>074-92-1483</t>
  </si>
  <si>
    <t>089-44-4104</t>
  </si>
  <si>
    <t>085-54-6248</t>
  </si>
  <si>
    <t>119-70-6629</t>
  </si>
  <si>
    <t>065-26-1368</t>
  </si>
  <si>
    <t>067-72-0783</t>
  </si>
  <si>
    <t>089-52-0229</t>
  </si>
  <si>
    <t>083-64-9169</t>
  </si>
  <si>
    <t>109-62-4458</t>
  </si>
  <si>
    <t>583-13-9590</t>
  </si>
  <si>
    <t>087-68-2342</t>
  </si>
  <si>
    <t>128-92-0344</t>
  </si>
  <si>
    <t>069-82-0022</t>
  </si>
  <si>
    <t>076-54-8412</t>
  </si>
  <si>
    <t>147-84-8752</t>
  </si>
  <si>
    <t>095-90-1866</t>
  </si>
  <si>
    <t>076-58-6967</t>
  </si>
  <si>
    <t>088-40-0678</t>
  </si>
  <si>
    <t>582-11-8987</t>
  </si>
  <si>
    <t>093-70-0228</t>
  </si>
  <si>
    <t>195-86-5442</t>
  </si>
  <si>
    <t>127-68-9449</t>
  </si>
  <si>
    <t>091-54-6575</t>
  </si>
  <si>
    <t>083-02-8331</t>
  </si>
  <si>
    <t>612-74-6603</t>
  </si>
  <si>
    <t>583-40-6836</t>
  </si>
  <si>
    <t>081-80-8444</t>
  </si>
  <si>
    <t>581-36-0198</t>
  </si>
  <si>
    <t>085-60-7695</t>
  </si>
  <si>
    <t>131-90-5180</t>
  </si>
  <si>
    <t>075-94-2752</t>
  </si>
  <si>
    <t>075-38-5626</t>
  </si>
  <si>
    <t>584-94-1066</t>
  </si>
  <si>
    <t>092-74-9857</t>
  </si>
  <si>
    <t>129-90-3758</t>
  </si>
  <si>
    <t>115-62-3314</t>
  </si>
  <si>
    <t>000-00-9505</t>
  </si>
  <si>
    <t>121-66-2238</t>
  </si>
  <si>
    <t>098-02-9496</t>
  </si>
  <si>
    <t>092-74-0966</t>
  </si>
  <si>
    <t>133-90-9528</t>
  </si>
  <si>
    <t>087-88-1015</t>
  </si>
  <si>
    <t>079-58-8816</t>
  </si>
  <si>
    <t>098-86-9711</t>
  </si>
  <si>
    <t>091-56-1402</t>
  </si>
  <si>
    <t>103-32-9640</t>
  </si>
  <si>
    <t>125-54-9729</t>
  </si>
  <si>
    <t>114-50-2942</t>
  </si>
  <si>
    <t>583-48-3256</t>
  </si>
  <si>
    <t>129-78-0632</t>
  </si>
  <si>
    <t>122-92-9571</t>
  </si>
  <si>
    <t>076-76-0409</t>
  </si>
  <si>
    <t>062-54-5804</t>
  </si>
  <si>
    <t>071-50-5851</t>
  </si>
  <si>
    <t>064-76-6994</t>
  </si>
  <si>
    <t>111-86-9048</t>
  </si>
  <si>
    <t>530-73-2222</t>
  </si>
  <si>
    <t>134-82-8076</t>
  </si>
  <si>
    <t>053-90-4428</t>
  </si>
  <si>
    <t>862-69-8155</t>
  </si>
  <si>
    <t>583-77-7909</t>
  </si>
  <si>
    <t>147-11-9870</t>
  </si>
  <si>
    <t>108-48-9889</t>
  </si>
  <si>
    <t>068-58-5680</t>
  </si>
  <si>
    <t>163-42-5038</t>
  </si>
  <si>
    <t>085-72-7021</t>
  </si>
  <si>
    <t>593-13-5574</t>
  </si>
  <si>
    <t>125-52-9600</t>
  </si>
  <si>
    <t>581-67-1674</t>
  </si>
  <si>
    <t>111-58-9884</t>
  </si>
  <si>
    <t>070-40-5601</t>
  </si>
  <si>
    <t>080-52-9201</t>
  </si>
  <si>
    <t>124-74-0657</t>
  </si>
  <si>
    <t>069-56-4280</t>
  </si>
  <si>
    <t>116-52-7557</t>
  </si>
  <si>
    <t>123-88-2249</t>
  </si>
  <si>
    <t>127-78-2850</t>
  </si>
  <si>
    <t>106-62-0993</t>
  </si>
  <si>
    <t>127-60-7211</t>
  </si>
  <si>
    <t>115-64-6534</t>
  </si>
  <si>
    <t>060-96-0271</t>
  </si>
  <si>
    <t>066-50-6743</t>
  </si>
  <si>
    <t>104-34-4530</t>
  </si>
  <si>
    <t>085-66-0688</t>
  </si>
  <si>
    <t>052-48-9282</t>
  </si>
  <si>
    <t>248-21-2589</t>
  </si>
  <si>
    <t>055-74-6359</t>
  </si>
  <si>
    <t>121-98-2773</t>
  </si>
  <si>
    <t>083-86-5042</t>
  </si>
  <si>
    <t>859-21-5813</t>
  </si>
  <si>
    <t>079-48-5695</t>
  </si>
  <si>
    <t>118-54-2101</t>
  </si>
  <si>
    <t>109-60-8783</t>
  </si>
  <si>
    <t>597-34-9158</t>
  </si>
  <si>
    <t>091-70-5239</t>
  </si>
  <si>
    <t>054-64-6862</t>
  </si>
  <si>
    <t>028-32-7805</t>
  </si>
  <si>
    <t>116-78-3571</t>
  </si>
  <si>
    <t>580-09-3528</t>
  </si>
  <si>
    <t>766-20-5401</t>
  </si>
  <si>
    <t>579-50-5094</t>
  </si>
  <si>
    <t>079-30-6207</t>
  </si>
  <si>
    <t>133-52-9413</t>
  </si>
  <si>
    <t>075-70-5765</t>
  </si>
  <si>
    <t>096-66-5787</t>
  </si>
  <si>
    <t>070-46-7829</t>
  </si>
  <si>
    <t>098-54-8767</t>
  </si>
  <si>
    <t>088-54-8301</t>
  </si>
  <si>
    <t>054-78-6213</t>
  </si>
  <si>
    <t>124-80-2443</t>
  </si>
  <si>
    <t>057-60-1532</t>
  </si>
  <si>
    <t>085-58-9145</t>
  </si>
  <si>
    <t>083-94-0429</t>
  </si>
  <si>
    <t>238-96-0135</t>
  </si>
  <si>
    <t>015-54-1988</t>
  </si>
  <si>
    <t>052-64-1298</t>
  </si>
  <si>
    <t>894-96-0866</t>
  </si>
  <si>
    <t>096-56-2643</t>
  </si>
  <si>
    <t>052-70-0892</t>
  </si>
  <si>
    <t>000-00-9949</t>
  </si>
  <si>
    <t>000-00-0628</t>
  </si>
  <si>
    <t>105-50-0812</t>
  </si>
  <si>
    <t>085-94-8329</t>
  </si>
  <si>
    <t>000-00-1191</t>
  </si>
  <si>
    <t>112-82-2612</t>
  </si>
  <si>
    <t>164-78-6578</t>
  </si>
  <si>
    <t>063-66-0266</t>
  </si>
  <si>
    <t>116-58-9815</t>
  </si>
  <si>
    <t>000-00-0062</t>
  </si>
  <si>
    <t>098-82-7516</t>
  </si>
  <si>
    <t>584-56-5573</t>
  </si>
  <si>
    <t>071-40-6716</t>
  </si>
  <si>
    <t>054-70-4093</t>
  </si>
  <si>
    <t>099-50-3046</t>
  </si>
  <si>
    <t>580-15-1377</t>
  </si>
  <si>
    <t>123-42-9405</t>
  </si>
  <si>
    <t>057-58-1206</t>
  </si>
  <si>
    <t>132-60-9482</t>
  </si>
  <si>
    <t>102-82-3870</t>
  </si>
  <si>
    <t>083-60-3258</t>
  </si>
  <si>
    <t>120-86-6472</t>
  </si>
  <si>
    <t>085-48-7962</t>
  </si>
  <si>
    <t>065-44-6818</t>
  </si>
  <si>
    <t>054-40-5195</t>
  </si>
  <si>
    <t>821-13-0266</t>
  </si>
  <si>
    <t>132-82-8038</t>
  </si>
  <si>
    <t>126-64-5469</t>
  </si>
  <si>
    <t>114-82-1003</t>
  </si>
  <si>
    <t>112-92-4236</t>
  </si>
  <si>
    <t>373-25-7192</t>
  </si>
  <si>
    <t>108-74-2373</t>
  </si>
  <si>
    <t>055-58-5672</t>
  </si>
  <si>
    <t>581-72-8698</t>
  </si>
  <si>
    <t>758-37-0163</t>
  </si>
  <si>
    <t>098-98-4989</t>
  </si>
  <si>
    <t>086-96-9299</t>
  </si>
  <si>
    <t>067-58-0374</t>
  </si>
  <si>
    <t>130-42-6612</t>
  </si>
  <si>
    <t>100-48-3760</t>
  </si>
  <si>
    <t>083-56-3795</t>
  </si>
  <si>
    <t>874-65-8478</t>
  </si>
  <si>
    <t>135-13-2934</t>
  </si>
  <si>
    <t>096-30-0971</t>
  </si>
  <si>
    <t>072-60-5573</t>
  </si>
  <si>
    <t>069-70-3734</t>
  </si>
  <si>
    <t>237-76-0635</t>
  </si>
  <si>
    <t>110-82-2652</t>
  </si>
  <si>
    <t>000-00-0279</t>
  </si>
  <si>
    <t>078-48-7120</t>
  </si>
  <si>
    <t>065-64-9016</t>
  </si>
  <si>
    <t>119-94-5025</t>
  </si>
  <si>
    <t>000-00-7927</t>
  </si>
  <si>
    <t>279-84-6135</t>
  </si>
  <si>
    <t>092-02-8856</t>
  </si>
  <si>
    <t>025-64-6550</t>
  </si>
  <si>
    <t>109-78-6843</t>
  </si>
  <si>
    <t>058-18-2192</t>
  </si>
  <si>
    <t>256-72-1058</t>
  </si>
  <si>
    <t>085-58-1987</t>
  </si>
  <si>
    <t>082-40-2954</t>
  </si>
  <si>
    <t>500-19-3895</t>
  </si>
  <si>
    <t>741-04-8434</t>
  </si>
  <si>
    <t>111-78-6454</t>
  </si>
  <si>
    <t>087-48-8948</t>
  </si>
  <si>
    <t>079-62-1176</t>
  </si>
  <si>
    <t>050-42-4889</t>
  </si>
  <si>
    <t>061-76-8326</t>
  </si>
  <si>
    <t>055-02-3688</t>
  </si>
  <si>
    <t>050-90-0088</t>
  </si>
  <si>
    <t>109-80-2647</t>
  </si>
  <si>
    <t>022-33-7143</t>
  </si>
  <si>
    <t>116-98-9403</t>
  </si>
  <si>
    <t>236-66-5231</t>
  </si>
  <si>
    <t>059-66-0046</t>
  </si>
  <si>
    <t>109-72-9781</t>
  </si>
  <si>
    <t>098-86-9519</t>
  </si>
  <si>
    <t>096-68-6113</t>
  </si>
  <si>
    <t>065-40-7700</t>
  </si>
  <si>
    <t>112-98-0308</t>
  </si>
  <si>
    <t>078-74-6038</t>
  </si>
  <si>
    <t>075-70-2664</t>
  </si>
  <si>
    <t>000-00-3964</t>
  </si>
  <si>
    <t>082-46-2224</t>
  </si>
  <si>
    <t>253-90-6541</t>
  </si>
  <si>
    <t>073-62-7777</t>
  </si>
  <si>
    <t>115-90-7341</t>
  </si>
  <si>
    <t>000-00-0349</t>
  </si>
  <si>
    <t>183-86-0596</t>
  </si>
  <si>
    <t>111-86-8786</t>
  </si>
  <si>
    <t>060-54-3247</t>
  </si>
  <si>
    <t>092-82-5997</t>
  </si>
  <si>
    <t>088-42-6232</t>
  </si>
  <si>
    <t>058-82-0424</t>
  </si>
  <si>
    <t>063-50-2805</t>
  </si>
  <si>
    <t>718-49-4818</t>
  </si>
  <si>
    <t>580-07-7215</t>
  </si>
  <si>
    <t>110-50-4700</t>
  </si>
  <si>
    <t>109-94-9191</t>
  </si>
  <si>
    <t>056-58-7995</t>
  </si>
  <si>
    <t>000-00-4473</t>
  </si>
  <si>
    <t>247-74-7167</t>
  </si>
  <si>
    <t>000-00-0654</t>
  </si>
  <si>
    <t>083-86-6245</t>
  </si>
  <si>
    <t>059-86-9495</t>
  </si>
  <si>
    <t>120-68-6525</t>
  </si>
  <si>
    <t>053-68-6319</t>
  </si>
  <si>
    <t>036-52-1331</t>
  </si>
  <si>
    <t>116-90-9987</t>
  </si>
  <si>
    <t>075-56-2947</t>
  </si>
  <si>
    <t>091-40-8280</t>
  </si>
  <si>
    <t>599-01-8460</t>
  </si>
  <si>
    <t>110-42-7376</t>
  </si>
  <si>
    <t>107-74-1133</t>
  </si>
  <si>
    <t>061-70-1902</t>
  </si>
  <si>
    <t>096-88-6073</t>
  </si>
  <si>
    <t>248-72-2517</t>
  </si>
  <si>
    <t>581-05-8727</t>
  </si>
  <si>
    <t>118-44-4418</t>
  </si>
  <si>
    <t>063-48-3487</t>
  </si>
  <si>
    <t>066-58-9522</t>
  </si>
  <si>
    <t>070-48-7632</t>
  </si>
  <si>
    <t>081-42-9034</t>
  </si>
  <si>
    <t>108-86-4388</t>
  </si>
  <si>
    <t>546-77-2211</t>
  </si>
  <si>
    <t>597-54-8587</t>
  </si>
  <si>
    <t>082-40-1736</t>
  </si>
  <si>
    <t>079-60-0010</t>
  </si>
  <si>
    <t>121-54-1165</t>
  </si>
  <si>
    <t>105-94-1709</t>
  </si>
  <si>
    <t>064-80-7566</t>
  </si>
  <si>
    <t>115-98-0633</t>
  </si>
  <si>
    <t>583-20-9056</t>
  </si>
  <si>
    <t>088-34-7461</t>
  </si>
  <si>
    <t>082-60-0457</t>
  </si>
  <si>
    <t>652-30-0705</t>
  </si>
  <si>
    <t>056-50-1021</t>
  </si>
  <si>
    <t>117-56-3604</t>
  </si>
  <si>
    <t>086-86-1916</t>
  </si>
  <si>
    <t>069-36-7556</t>
  </si>
  <si>
    <t>119-60-1764</t>
  </si>
  <si>
    <t>082-66-4599</t>
  </si>
  <si>
    <t>134-70-7159</t>
  </si>
  <si>
    <t>090-40-9899</t>
  </si>
  <si>
    <t>096-36-8742</t>
  </si>
  <si>
    <t>128-58-1683</t>
  </si>
  <si>
    <t>817-55-8947</t>
  </si>
  <si>
    <t>056-68-7638</t>
  </si>
  <si>
    <t>078-70-5975</t>
  </si>
  <si>
    <t>357-42-5222</t>
  </si>
  <si>
    <t>590-46-0496</t>
  </si>
  <si>
    <t>175-46-5894</t>
  </si>
  <si>
    <t>583-50-8300</t>
  </si>
  <si>
    <t>098-58-9463</t>
  </si>
  <si>
    <t>083-78-0059</t>
  </si>
  <si>
    <t>083-46-1736</t>
  </si>
  <si>
    <t>057-68-3215</t>
  </si>
  <si>
    <t>074-96-3794</t>
  </si>
  <si>
    <t>575-89-6932</t>
  </si>
  <si>
    <t>061-44-4435</t>
  </si>
  <si>
    <t>066-60-0236</t>
  </si>
  <si>
    <t>865-86-7838</t>
  </si>
  <si>
    <t>086-58-0031</t>
  </si>
  <si>
    <t>000-00-7558</t>
  </si>
  <si>
    <t>000-00-3535</t>
  </si>
  <si>
    <t>213-60-4774</t>
  </si>
  <si>
    <t>045-42-2933</t>
  </si>
  <si>
    <t>055-74-5765</t>
  </si>
  <si>
    <t>118-44-2052</t>
  </si>
  <si>
    <t>059-90-8254</t>
  </si>
  <si>
    <t>124-92-8352</t>
  </si>
  <si>
    <t>119-54-7613</t>
  </si>
  <si>
    <t>067-82-0920</t>
  </si>
  <si>
    <t>099-88-0713</t>
  </si>
  <si>
    <t>064-32-8222</t>
  </si>
  <si>
    <t>066-26-0050</t>
  </si>
  <si>
    <t>102-66-3614</t>
  </si>
  <si>
    <t>094-56-8470</t>
  </si>
  <si>
    <t>126-66-9842</t>
  </si>
  <si>
    <t>083-80-8833</t>
  </si>
  <si>
    <t>730-16-9554</t>
  </si>
  <si>
    <t>110-90-0229</t>
  </si>
  <si>
    <t>051-84-7827</t>
  </si>
  <si>
    <t>262-93-0699</t>
  </si>
  <si>
    <t>050-96-3260</t>
  </si>
  <si>
    <t>132-94-8185</t>
  </si>
  <si>
    <t>122-36-9434</t>
  </si>
  <si>
    <t>120-58-5367</t>
  </si>
  <si>
    <t>584-92-2039</t>
  </si>
  <si>
    <t>109-70-4985</t>
  </si>
  <si>
    <t>133-70-1018</t>
  </si>
  <si>
    <t>055-58-9471</t>
  </si>
  <si>
    <t>233-76-1052</t>
  </si>
  <si>
    <t>115-88-2778</t>
  </si>
  <si>
    <t>085-70-2548</t>
  </si>
  <si>
    <t>049-70-2432</t>
  </si>
  <si>
    <t>130-56-4073</t>
  </si>
  <si>
    <t>103-58-9121</t>
  </si>
  <si>
    <t>000-00-8850</t>
  </si>
  <si>
    <t>240-84-2850</t>
  </si>
  <si>
    <t>051-92-8490</t>
  </si>
  <si>
    <t>130-42-6136</t>
  </si>
  <si>
    <t>128-84-3364</t>
  </si>
  <si>
    <t>083-70-8843</t>
  </si>
  <si>
    <t>071-46-3302</t>
  </si>
  <si>
    <t>892-42-4664</t>
  </si>
  <si>
    <t>071-44-0364</t>
  </si>
  <si>
    <t>097-56-0479</t>
  </si>
  <si>
    <t>899-53-4205</t>
  </si>
  <si>
    <t>122-68-8118</t>
  </si>
  <si>
    <t>052-38-9852</t>
  </si>
  <si>
    <t>104-82-2848</t>
  </si>
  <si>
    <t>095-80-2067</t>
  </si>
  <si>
    <t>081-56-0920</t>
  </si>
  <si>
    <t>089-70-4744</t>
  </si>
  <si>
    <t>072-82-1692</t>
  </si>
  <si>
    <t>729-18-7560</t>
  </si>
  <si>
    <t>120-82-7224</t>
  </si>
  <si>
    <t>127-84-4500</t>
  </si>
  <si>
    <t>133-76-6442</t>
  </si>
  <si>
    <t>127-66-3917</t>
  </si>
  <si>
    <t>082-84-6040</t>
  </si>
  <si>
    <t>000-00-9649</t>
  </si>
  <si>
    <t>126-68-5017</t>
  </si>
  <si>
    <t>113-88-7087</t>
  </si>
  <si>
    <t>088-62-3285</t>
  </si>
  <si>
    <t>067-62-8156</t>
  </si>
  <si>
    <t>105-78-8644</t>
  </si>
  <si>
    <t>082-84-7850</t>
  </si>
  <si>
    <t>124-64-2855</t>
  </si>
  <si>
    <t>840-12-9685</t>
  </si>
  <si>
    <t>094-82-8580</t>
  </si>
  <si>
    <t>584-83-5399</t>
  </si>
  <si>
    <t>224-74-4008</t>
  </si>
  <si>
    <t>089-02-4592</t>
  </si>
  <si>
    <t>102-52-7374</t>
  </si>
  <si>
    <t>085-64-0271</t>
  </si>
  <si>
    <t>000-00-7216</t>
  </si>
  <si>
    <t>057-56-7231</t>
  </si>
  <si>
    <t>105-72-4945</t>
  </si>
  <si>
    <t>646-83-6634</t>
  </si>
  <si>
    <t>000-00-8016</t>
  </si>
  <si>
    <t>091-70-7063</t>
  </si>
  <si>
    <t>113-70-9056</t>
  </si>
  <si>
    <t>000-00-6309</t>
  </si>
  <si>
    <t>133-96-8598</t>
  </si>
  <si>
    <t>084-78-8704</t>
  </si>
  <si>
    <t>242-68-3277</t>
  </si>
  <si>
    <t>120-66-3972</t>
  </si>
  <si>
    <t>584-41-4508</t>
  </si>
  <si>
    <t>062-78-5730</t>
  </si>
  <si>
    <t>133-70-9471</t>
  </si>
  <si>
    <t>107-96-0966</t>
  </si>
  <si>
    <t>063-58-7649</t>
  </si>
  <si>
    <t>126-98-0485</t>
  </si>
  <si>
    <t>064-96-9060</t>
  </si>
  <si>
    <t>103-34-6473</t>
  </si>
  <si>
    <t>089-50-6280</t>
  </si>
  <si>
    <t>086-70-6554</t>
  </si>
  <si>
    <t>598-30-1105</t>
  </si>
  <si>
    <t>749-94-5494</t>
  </si>
  <si>
    <t>133-90-1531</t>
  </si>
  <si>
    <t>062-48-9591</t>
  </si>
  <si>
    <t>671-30-7008</t>
  </si>
  <si>
    <t>083-46-8300</t>
  </si>
  <si>
    <t>056-60-3288</t>
  </si>
  <si>
    <t>086-66-3609</t>
  </si>
  <si>
    <t>108-74-8706</t>
  </si>
  <si>
    <t>569-14-1254</t>
  </si>
  <si>
    <t>126-84-2839</t>
  </si>
  <si>
    <t>143-60-5988</t>
  </si>
  <si>
    <t>584-38-3807</t>
  </si>
  <si>
    <t>059-68-0705</t>
  </si>
  <si>
    <t>118-46-9004</t>
  </si>
  <si>
    <t>100-60-0075</t>
  </si>
  <si>
    <t>134-28-7924</t>
  </si>
  <si>
    <t>106-78-5829</t>
  </si>
  <si>
    <t>091-44-1808</t>
  </si>
  <si>
    <t>348-28-0144</t>
  </si>
  <si>
    <t>092-64-4012</t>
  </si>
  <si>
    <t>119-82-3709</t>
  </si>
  <si>
    <t>134-56-1630</t>
  </si>
  <si>
    <t>790-04-8236</t>
  </si>
  <si>
    <t>096-76-2304</t>
  </si>
  <si>
    <t>129-50-1474</t>
  </si>
  <si>
    <t>113-56-5950</t>
  </si>
  <si>
    <t>055-60-0118</t>
  </si>
  <si>
    <t>062-86-0980</t>
  </si>
  <si>
    <t>120-94-3094</t>
  </si>
  <si>
    <t>088-94-5194</t>
  </si>
  <si>
    <t>584-15-8854</t>
  </si>
  <si>
    <t>129-30-7516</t>
  </si>
  <si>
    <t>066-86-3193</t>
  </si>
  <si>
    <t>133-28-5883</t>
  </si>
  <si>
    <t>142-70-2199</t>
  </si>
  <si>
    <t>104-68-1523</t>
  </si>
  <si>
    <t>077-84-6710</t>
  </si>
  <si>
    <t>128-82-2855</t>
  </si>
  <si>
    <t>061-32-8680</t>
  </si>
  <si>
    <t>079-50-0331</t>
  </si>
  <si>
    <t>119-50-7277</t>
  </si>
  <si>
    <t>053-86-3900</t>
  </si>
  <si>
    <t>129-66-6965</t>
  </si>
  <si>
    <t>102-48-7935</t>
  </si>
  <si>
    <t>111-56-5617</t>
  </si>
  <si>
    <t>064-58-8598</t>
  </si>
  <si>
    <t>100-70-4925</t>
  </si>
  <si>
    <t>069-50-1759</t>
  </si>
  <si>
    <t>220-61-6612</t>
  </si>
  <si>
    <t>130-58-8477</t>
  </si>
  <si>
    <t>067-70-3794</t>
  </si>
  <si>
    <t>059-70-1484</t>
  </si>
  <si>
    <t>110-60-4539</t>
  </si>
  <si>
    <t>083-58-5375</t>
  </si>
  <si>
    <t>096-98-2188</t>
  </si>
  <si>
    <t>147-13-1967</t>
  </si>
  <si>
    <t>104-78-4668</t>
  </si>
  <si>
    <t>581-64-4634</t>
  </si>
  <si>
    <t>112-60-3917</t>
  </si>
  <si>
    <t>148-60-1760</t>
  </si>
  <si>
    <t>103-48-4692</t>
  </si>
  <si>
    <t>134-52-0306</t>
  </si>
  <si>
    <t>116-76-4726</t>
  </si>
  <si>
    <t>120-80-0198</t>
  </si>
  <si>
    <t>893-94-1879</t>
  </si>
  <si>
    <t>120-54-2166</t>
  </si>
  <si>
    <t>130-82-5109</t>
  </si>
  <si>
    <t>129-84-5574</t>
  </si>
  <si>
    <t>133-78-3215</t>
  </si>
  <si>
    <t>091-92-7998</t>
  </si>
  <si>
    <t>094-92-8551</t>
  </si>
  <si>
    <t>070-46-7621</t>
  </si>
  <si>
    <t>125-98-9306</t>
  </si>
  <si>
    <t>116-52-7935</t>
  </si>
  <si>
    <t>116-56-2444</t>
  </si>
  <si>
    <t>066-92-9886</t>
  </si>
  <si>
    <t>050-70-2508</t>
  </si>
  <si>
    <t>129-56-5517</t>
  </si>
  <si>
    <t>000-00-0127</t>
  </si>
  <si>
    <t>491-59-3860</t>
  </si>
  <si>
    <t>583-47-7551</t>
  </si>
  <si>
    <t>101-68-1828</t>
  </si>
  <si>
    <t>079-70-2682</t>
  </si>
  <si>
    <t>089-70-0842</t>
  </si>
  <si>
    <t>000-00-4409</t>
  </si>
  <si>
    <t>000-00-4692</t>
  </si>
  <si>
    <t>061-44-1486</t>
  </si>
  <si>
    <t>085-56-9979</t>
  </si>
  <si>
    <t>115-62-3946</t>
  </si>
  <si>
    <t>583-95-5306</t>
  </si>
  <si>
    <t>733-05-3189</t>
  </si>
  <si>
    <t>059-74-1870</t>
  </si>
  <si>
    <t>524-27-9591</t>
  </si>
  <si>
    <t>582-96-6965</t>
  </si>
  <si>
    <t>076-76-4721</t>
  </si>
  <si>
    <t>075-44-4203</t>
  </si>
  <si>
    <t>058-64-2069</t>
  </si>
  <si>
    <t>086-82-4073</t>
  </si>
  <si>
    <t>132-76-7318</t>
  </si>
  <si>
    <t>000-00-1321</t>
  </si>
  <si>
    <t>091-86-3756</t>
  </si>
  <si>
    <t>156-84-5909</t>
  </si>
  <si>
    <t>000-00-6407</t>
  </si>
  <si>
    <t>061-68-7477</t>
  </si>
  <si>
    <t>000-00-0897</t>
  </si>
  <si>
    <t>084-86-7598</t>
  </si>
  <si>
    <t>064-82-0688</t>
  </si>
  <si>
    <t>124-96-6483</t>
  </si>
  <si>
    <t>124-58-5065</t>
  </si>
  <si>
    <t>073-76-0735</t>
  </si>
  <si>
    <t>127-46-4488</t>
  </si>
  <si>
    <t>050-02-2676</t>
  </si>
  <si>
    <t>590-26-6788</t>
  </si>
  <si>
    <t>108-80-0060</t>
  </si>
  <si>
    <t>066-62-5278</t>
  </si>
  <si>
    <t>586-16-1097</t>
  </si>
  <si>
    <t>171-36-5593</t>
  </si>
  <si>
    <t>055-86-1731</t>
  </si>
  <si>
    <t>060-86-9675</t>
  </si>
  <si>
    <t>000-00-5760</t>
  </si>
  <si>
    <t>108-40-6603</t>
  </si>
  <si>
    <t>111-44-5447</t>
  </si>
  <si>
    <t>073-62-7430</t>
  </si>
  <si>
    <t>062-92-1005</t>
  </si>
  <si>
    <t>050-36-4562</t>
  </si>
  <si>
    <t>032-93-4571</t>
  </si>
  <si>
    <t>061-80-4181</t>
  </si>
  <si>
    <t>097-70-5274</t>
  </si>
  <si>
    <t>089-58-8487</t>
  </si>
  <si>
    <t>092-40-7625</t>
  </si>
  <si>
    <t>000-00-1223</t>
  </si>
  <si>
    <t>000-00-1892</t>
  </si>
  <si>
    <t>111-46-4786</t>
  </si>
  <si>
    <t>098-48-3842</t>
  </si>
  <si>
    <t>095-64-7361</t>
  </si>
  <si>
    <t>582-61-3047</t>
  </si>
  <si>
    <t>582-45-7111</t>
  </si>
  <si>
    <t>156-49-6673</t>
  </si>
  <si>
    <t>000-00-7874</t>
  </si>
  <si>
    <t>056-84-1403</t>
  </si>
  <si>
    <t>084-32-1113</t>
  </si>
  <si>
    <t>118-66-3926</t>
  </si>
  <si>
    <t>122-60-2936</t>
  </si>
  <si>
    <t>132-58-3551</t>
  </si>
  <si>
    <t>103-82-0966</t>
  </si>
  <si>
    <t>580-37-4487</t>
  </si>
  <si>
    <t>073-02-1406</t>
  </si>
  <si>
    <t>730-14-7561</t>
  </si>
  <si>
    <t>068-82-8426</t>
  </si>
  <si>
    <t>109-46-4981</t>
  </si>
  <si>
    <t>104-62-2860</t>
  </si>
  <si>
    <t>124-88-9917</t>
  </si>
  <si>
    <t>898-49-0941</t>
  </si>
  <si>
    <t>123-94-5000</t>
  </si>
  <si>
    <t>098-46-2865</t>
  </si>
  <si>
    <t>197-32-6777</t>
  </si>
  <si>
    <t>579-11-3183</t>
  </si>
  <si>
    <t>580-27-5785</t>
  </si>
  <si>
    <t>591-01-4055</t>
  </si>
  <si>
    <t>056-76-7386</t>
  </si>
  <si>
    <t>589-23-4399</t>
  </si>
  <si>
    <t>062-62-6788</t>
  </si>
  <si>
    <t>053-66-8690</t>
  </si>
  <si>
    <t>087-64-7214</t>
  </si>
  <si>
    <t>129-90-2688</t>
  </si>
  <si>
    <t>361-60-1625</t>
  </si>
  <si>
    <t>097-46-4066</t>
  </si>
  <si>
    <t>054-58-3312</t>
  </si>
  <si>
    <t>090-40-9189</t>
  </si>
  <si>
    <t>074-46-1890</t>
  </si>
  <si>
    <t>092-88-3192</t>
  </si>
  <si>
    <t>073-58-8666</t>
  </si>
  <si>
    <t>074-78-2751</t>
  </si>
  <si>
    <t>111-52-6259</t>
  </si>
  <si>
    <t>123-76-3829</t>
  </si>
  <si>
    <t>117-74-4949</t>
  </si>
  <si>
    <t>418-02-2761</t>
  </si>
  <si>
    <t>000-00-7844</t>
  </si>
  <si>
    <t>081-46-5483</t>
  </si>
  <si>
    <t>072-74-4734</t>
  </si>
  <si>
    <t>066-34-0320</t>
  </si>
  <si>
    <t>074-82-6407</t>
  </si>
  <si>
    <t>084-54-3623</t>
  </si>
  <si>
    <t>083-76-7025</t>
  </si>
  <si>
    <t>149-70-9947</t>
  </si>
  <si>
    <t>212-78-4946</t>
  </si>
  <si>
    <t>043-52-2819</t>
  </si>
  <si>
    <t>089-32-1335</t>
  </si>
  <si>
    <t>104-40-4668</t>
  </si>
  <si>
    <t>256-70-8851</t>
  </si>
  <si>
    <t>127-64-1503</t>
  </si>
  <si>
    <t>050-36-5867</t>
  </si>
  <si>
    <t>126-70-9635</t>
  </si>
  <si>
    <t>124-74-6305</t>
  </si>
  <si>
    <t>100-78-4734</t>
  </si>
  <si>
    <t>082-86-3651</t>
  </si>
  <si>
    <t>128-54-3729</t>
  </si>
  <si>
    <t>582-89-5114</t>
  </si>
  <si>
    <t>120-48-2374</t>
  </si>
  <si>
    <t>118-68-4588</t>
  </si>
  <si>
    <t>074-36-6882</t>
  </si>
  <si>
    <t>070-86-6463</t>
  </si>
  <si>
    <t>000-00-6839</t>
  </si>
  <si>
    <t>060-72-1646</t>
  </si>
  <si>
    <t>090-76-0133</t>
  </si>
  <si>
    <t>116-90-4943</t>
  </si>
  <si>
    <t>087-58-9441</t>
  </si>
  <si>
    <t>111-98-9820</t>
  </si>
  <si>
    <t>074-90-9034</t>
  </si>
  <si>
    <t>096-76-6558</t>
  </si>
  <si>
    <t>401-17-2518</t>
  </si>
  <si>
    <t>093-84-9934</t>
  </si>
  <si>
    <t>154-54-4346</t>
  </si>
  <si>
    <t>099-44-7045</t>
  </si>
  <si>
    <t>128-64-6454</t>
  </si>
  <si>
    <t>762-13-1563</t>
  </si>
  <si>
    <t>065-82-4071</t>
  </si>
  <si>
    <t>583-44-3866</t>
  </si>
  <si>
    <t>076-56-6887</t>
  </si>
  <si>
    <t>098-32-9243</t>
  </si>
  <si>
    <t>096-54-3033</t>
  </si>
  <si>
    <t>056-48-6989</t>
  </si>
  <si>
    <t>070-38-8858</t>
  </si>
  <si>
    <t>098-56-3114</t>
  </si>
  <si>
    <t>060-56-0735</t>
  </si>
  <si>
    <t>124-86-1769</t>
  </si>
  <si>
    <t>351-25-1929</t>
  </si>
  <si>
    <t>057-84-7056</t>
  </si>
  <si>
    <t>119-74-3867</t>
  </si>
  <si>
    <t>255-58-8865</t>
  </si>
  <si>
    <t>586-33-1121</t>
  </si>
  <si>
    <t>108-84-3137</t>
  </si>
  <si>
    <t>081-42-5318</t>
  </si>
  <si>
    <t>113-42-2895</t>
  </si>
  <si>
    <t>116-68-8053</t>
  </si>
  <si>
    <t>071-66-2037</t>
  </si>
  <si>
    <t>327-57-8745</t>
  </si>
  <si>
    <t>134-46-6941</t>
  </si>
  <si>
    <t>105-86-0927</t>
  </si>
  <si>
    <t>449-27-3870</t>
  </si>
  <si>
    <t>108-88-7034</t>
  </si>
  <si>
    <t>580-29-8720</t>
  </si>
  <si>
    <t>063-94-2348</t>
  </si>
  <si>
    <t>106-48-9252</t>
  </si>
  <si>
    <t>133-58-6211</t>
  </si>
  <si>
    <t>077-58-3195</t>
  </si>
  <si>
    <t>421-41-5472</t>
  </si>
  <si>
    <t>088-94-2041</t>
  </si>
  <si>
    <t>118-76-8379</t>
  </si>
  <si>
    <t>420-82-9814</t>
  </si>
  <si>
    <t>106-40-7416</t>
  </si>
  <si>
    <t>101-84-6894</t>
  </si>
  <si>
    <t>071-02-6250</t>
  </si>
  <si>
    <t>118-64-5781</t>
  </si>
  <si>
    <t>111-60-5783</t>
  </si>
  <si>
    <t>234-54-5216</t>
  </si>
  <si>
    <t>083-68-2057</t>
  </si>
  <si>
    <t>109-48-0039</t>
  </si>
  <si>
    <t>099-56-8292</t>
  </si>
  <si>
    <t>000-00-2391</t>
  </si>
  <si>
    <t>091-90-2357</t>
  </si>
  <si>
    <t>076-62-4500</t>
  </si>
  <si>
    <t>583-67-3773</t>
  </si>
  <si>
    <t>104-40-2638</t>
  </si>
  <si>
    <t>083-94-0935</t>
  </si>
  <si>
    <t>104-92-3063</t>
  </si>
  <si>
    <t>084-68-4808</t>
  </si>
  <si>
    <t>084-58-4925</t>
  </si>
  <si>
    <t>095-84-4694</t>
  </si>
  <si>
    <t>057-92-6427</t>
  </si>
  <si>
    <t>582-72-2980</t>
  </si>
  <si>
    <t>581-65-8593</t>
  </si>
  <si>
    <t>126-98-6859</t>
  </si>
  <si>
    <t>113-40-8268</t>
  </si>
  <si>
    <t>094-30-0378</t>
  </si>
  <si>
    <t>137-34-3044</t>
  </si>
  <si>
    <t>058-58-9783</t>
  </si>
  <si>
    <t>060-56-5591</t>
  </si>
  <si>
    <t>116-72-7563</t>
  </si>
  <si>
    <t>050-96-0460</t>
  </si>
  <si>
    <t>118-50-0945</t>
  </si>
  <si>
    <t>103-74-8303</t>
  </si>
  <si>
    <t>082-78-4359</t>
  </si>
  <si>
    <t>101-60-6763</t>
  </si>
  <si>
    <t>101-54-6235</t>
  </si>
  <si>
    <t>591-96-7940</t>
  </si>
  <si>
    <t>057-70-8192</t>
  </si>
  <si>
    <t>066-54-2135</t>
  </si>
  <si>
    <t>109-88-3339</t>
  </si>
  <si>
    <t>063-66-6588</t>
  </si>
  <si>
    <t>081-68-8799</t>
  </si>
  <si>
    <t>156-64-5588</t>
  </si>
  <si>
    <t>072-98-3866</t>
  </si>
  <si>
    <t>105-46-5348</t>
  </si>
  <si>
    <t>111-58-7232</t>
  </si>
  <si>
    <t>065-76-2563</t>
  </si>
  <si>
    <t>594-18-4400</t>
  </si>
  <si>
    <t>102-48-6275</t>
  </si>
  <si>
    <t>105-34-4504</t>
  </si>
  <si>
    <t>586-66-7487</t>
  </si>
  <si>
    <t>100-52-3896</t>
  </si>
  <si>
    <t>238-47-0292</t>
  </si>
  <si>
    <t>088-98-0666</t>
  </si>
  <si>
    <t>101-38-3154</t>
  </si>
  <si>
    <t>111-46-7139</t>
  </si>
  <si>
    <t>187-87-6083</t>
  </si>
  <si>
    <t>089-62-5893</t>
  </si>
  <si>
    <t>148-58-6213</t>
  </si>
  <si>
    <t>088-40-4958</t>
  </si>
  <si>
    <t>215-67-9596</t>
  </si>
  <si>
    <t>172-78-5359</t>
  </si>
  <si>
    <t>100-80-5792</t>
  </si>
  <si>
    <t>126-66-0969</t>
  </si>
  <si>
    <t>158-55-4856</t>
  </si>
  <si>
    <t>118-60-3216</t>
  </si>
  <si>
    <t>102-60-2369</t>
  </si>
  <si>
    <t>556-84-6639</t>
  </si>
  <si>
    <t>095-68-4553</t>
  </si>
  <si>
    <t>596-46-7441</t>
  </si>
  <si>
    <t>079-46-7006</t>
  </si>
  <si>
    <t>808-80-6123</t>
  </si>
  <si>
    <t>084-70-1820</t>
  </si>
  <si>
    <t>132-66-8321</t>
  </si>
  <si>
    <t>064-56-8677</t>
  </si>
  <si>
    <t>812-05-4081</t>
  </si>
  <si>
    <t>102-62-2887</t>
  </si>
  <si>
    <t>067-58-3872</t>
  </si>
  <si>
    <t>054-68-0767</t>
  </si>
  <si>
    <t>076-58-7424</t>
  </si>
  <si>
    <t>056-50-8110</t>
  </si>
  <si>
    <t>081-72-2249</t>
  </si>
  <si>
    <t>609-90-1665</t>
  </si>
  <si>
    <t>069-46-7647</t>
  </si>
  <si>
    <t>050-60-8335</t>
  </si>
  <si>
    <t>255-21-1421</t>
  </si>
  <si>
    <t>147-11-7092</t>
  </si>
  <si>
    <t>093-34-8982</t>
  </si>
  <si>
    <t>143-72-7555</t>
  </si>
  <si>
    <t>131-94-9459</t>
  </si>
  <si>
    <t>062-70-8859</t>
  </si>
  <si>
    <t>800-05-9584</t>
  </si>
  <si>
    <t>099-84-9502</t>
  </si>
  <si>
    <t>075-82-3581</t>
  </si>
  <si>
    <t>075-72-9612</t>
  </si>
  <si>
    <t>131-58-0556</t>
  </si>
  <si>
    <t>070-70-8064</t>
  </si>
  <si>
    <t>670-51-1002</t>
  </si>
  <si>
    <t>128-40-0492</t>
  </si>
  <si>
    <t>109-96-8791</t>
  </si>
  <si>
    <t>107-84-0851</t>
  </si>
  <si>
    <t>174-95-0848</t>
  </si>
  <si>
    <t>106-46-8617</t>
  </si>
  <si>
    <t>584-58-3965</t>
  </si>
  <si>
    <t>132-90-8651</t>
  </si>
  <si>
    <t>584-66-0346</t>
  </si>
  <si>
    <t>058-76-4870</t>
  </si>
  <si>
    <t>050-94-8190</t>
  </si>
  <si>
    <t>125-50-6024</t>
  </si>
  <si>
    <t>474-35-5511</t>
  </si>
  <si>
    <t>127-84-5060</t>
  </si>
  <si>
    <t>134-64-1815</t>
  </si>
  <si>
    <t>103-84-7847</t>
  </si>
  <si>
    <t>073-48-4291</t>
  </si>
  <si>
    <t>128-98-8283</t>
  </si>
  <si>
    <t>593-03-3171</t>
  </si>
  <si>
    <t>117-62-8978</t>
  </si>
  <si>
    <t>071-94-7441</t>
  </si>
  <si>
    <t>050-02-6281</t>
  </si>
  <si>
    <t>103-70-7197</t>
  </si>
  <si>
    <t>112-68-1711</t>
  </si>
  <si>
    <t>095-60-0905</t>
  </si>
  <si>
    <t>124-44-3043</t>
  </si>
  <si>
    <t>125-44-7472</t>
  </si>
  <si>
    <t>099-72-6148</t>
  </si>
  <si>
    <t>000-00-6832</t>
  </si>
  <si>
    <t>088-48-0229</t>
  </si>
  <si>
    <t>084-84-8419</t>
  </si>
  <si>
    <t>107-62-1518</t>
  </si>
  <si>
    <t>598-52-6650</t>
  </si>
  <si>
    <t>124-56-2820</t>
  </si>
  <si>
    <t>691-47-3625</t>
  </si>
  <si>
    <t>127-84-1342</t>
  </si>
  <si>
    <t>122-86-8029</t>
  </si>
  <si>
    <t>057-88-6806</t>
  </si>
  <si>
    <t>408-69-3048</t>
  </si>
  <si>
    <t>593-36-0702</t>
  </si>
  <si>
    <t>085-74-3411</t>
  </si>
  <si>
    <t>106-82-7737</t>
  </si>
  <si>
    <t>065-94-9438</t>
  </si>
  <si>
    <t>094-58-1151</t>
  </si>
  <si>
    <t>098-92-3924</t>
  </si>
  <si>
    <t>090-52-5150</t>
  </si>
  <si>
    <t>051-62-8145</t>
  </si>
  <si>
    <t>071-78-4076</t>
  </si>
  <si>
    <t>000-00-7664</t>
  </si>
  <si>
    <t>053-96-7708</t>
  </si>
  <si>
    <t>089-82-7270</t>
  </si>
  <si>
    <t>050-92-6559</t>
  </si>
  <si>
    <t>081-46-9889</t>
  </si>
  <si>
    <t>115-66-0820</t>
  </si>
  <si>
    <t>084-62-0287</t>
  </si>
  <si>
    <t>059-42-2516</t>
  </si>
  <si>
    <t>083-84-5465</t>
  </si>
  <si>
    <t>424-46-2779</t>
  </si>
  <si>
    <t>000-00-7833</t>
  </si>
  <si>
    <t>050-48-7436</t>
  </si>
  <si>
    <t>118-46-2175</t>
  </si>
  <si>
    <t>115-78-4315</t>
  </si>
  <si>
    <t>578-72-1205</t>
  </si>
  <si>
    <t>115-68-4799</t>
  </si>
  <si>
    <t>055-60-2755</t>
  </si>
  <si>
    <t>099-88-1606</t>
  </si>
  <si>
    <t>851-89-3163</t>
  </si>
  <si>
    <t>103-56-7848</t>
  </si>
  <si>
    <t>090-82-4511</t>
  </si>
  <si>
    <t>096-70-7786</t>
  </si>
  <si>
    <t>105-60-4005</t>
  </si>
  <si>
    <t>582-21-6737</t>
  </si>
  <si>
    <t>589-78-4142</t>
  </si>
  <si>
    <t>051-68-6381</t>
  </si>
  <si>
    <t>576-73-6828</t>
  </si>
  <si>
    <t>061-66-5765</t>
  </si>
  <si>
    <t>000-00-5422</t>
  </si>
  <si>
    <t>073-58-1818</t>
  </si>
  <si>
    <t>127-72-3469</t>
  </si>
  <si>
    <t>123-56-7254</t>
  </si>
  <si>
    <t>074-40-9311</t>
  </si>
  <si>
    <t>078-58-3146</t>
  </si>
  <si>
    <t>053-94-7031</t>
  </si>
  <si>
    <t>130-48-7994</t>
  </si>
  <si>
    <t>116-94-4562</t>
  </si>
  <si>
    <t>065-44-9294</t>
  </si>
  <si>
    <t>065-68-3898</t>
  </si>
  <si>
    <t>062-64-7952</t>
  </si>
  <si>
    <t>583-91-9667</t>
  </si>
  <si>
    <t>123-74-6434</t>
  </si>
  <si>
    <t>193-23-6699</t>
  </si>
  <si>
    <t>096-70-2527</t>
  </si>
  <si>
    <t>324-47-8551</t>
  </si>
  <si>
    <t>071-58-4079</t>
  </si>
  <si>
    <t>125-16-9458</t>
  </si>
  <si>
    <t>249-44-7872</t>
  </si>
  <si>
    <t>124-80-0003</t>
  </si>
  <si>
    <t>134-98-9980</t>
  </si>
  <si>
    <t>097-80-2092</t>
  </si>
  <si>
    <t>125-64-7009</t>
  </si>
  <si>
    <t>053-58-3383</t>
  </si>
  <si>
    <t>122-62-6836</t>
  </si>
  <si>
    <t>342-58-7772</t>
  </si>
  <si>
    <t>246-65-7650</t>
  </si>
  <si>
    <t>769-52-7169</t>
  </si>
  <si>
    <t>128-26-5162</t>
  </si>
  <si>
    <t>071-62-6669</t>
  </si>
  <si>
    <t>071-74-3304</t>
  </si>
  <si>
    <t>077-42-0308</t>
  </si>
  <si>
    <t>582-71-0233</t>
  </si>
  <si>
    <t>081-70-3810</t>
  </si>
  <si>
    <t>066-88-4331</t>
  </si>
  <si>
    <t>646-65-6569</t>
  </si>
  <si>
    <t>114-62-8092</t>
  </si>
  <si>
    <t>478-21-9172</t>
  </si>
  <si>
    <t>078-58-0424</t>
  </si>
  <si>
    <t>786-42-0731</t>
  </si>
  <si>
    <t>095-58-3276</t>
  </si>
  <si>
    <t>133-48-3936</t>
  </si>
  <si>
    <t>567-79-2138</t>
  </si>
  <si>
    <t>083-66-4543</t>
  </si>
  <si>
    <t>080-39-2356</t>
  </si>
  <si>
    <t>068-80-4361</t>
  </si>
  <si>
    <t>080-58-3640</t>
  </si>
  <si>
    <t>059-38-5896</t>
  </si>
  <si>
    <t>584-27-7966</t>
  </si>
  <si>
    <t>096-46-5313</t>
  </si>
  <si>
    <t>099-88-9742</t>
  </si>
  <si>
    <t>112-36-5156</t>
  </si>
  <si>
    <t>060-98-1525</t>
  </si>
  <si>
    <t>067-46-5820</t>
  </si>
  <si>
    <t>110-64-2921</t>
  </si>
  <si>
    <t>223-56-2337</t>
  </si>
  <si>
    <t>102-90-3126</t>
  </si>
  <si>
    <t>582-29-4623</t>
  </si>
  <si>
    <t>118-70-0239</t>
  </si>
  <si>
    <t>182-82-1883</t>
  </si>
  <si>
    <t>589-72-5937</t>
  </si>
  <si>
    <t>093-76-7413</t>
  </si>
  <si>
    <t>108-48-9870</t>
  </si>
  <si>
    <t>103-74-3186</t>
  </si>
  <si>
    <t>063-74-6753</t>
  </si>
  <si>
    <t>125-44-3934</t>
  </si>
  <si>
    <t>062-68-2973</t>
  </si>
  <si>
    <t>049-58-8076</t>
  </si>
  <si>
    <t>123-54-9498</t>
  </si>
  <si>
    <t>872-08-3431</t>
  </si>
  <si>
    <t>594-74-4090</t>
  </si>
  <si>
    <t>054-02-8362</t>
  </si>
  <si>
    <t>116-58-1811</t>
  </si>
  <si>
    <t>095-84-6257</t>
  </si>
  <si>
    <t>092-68-5331</t>
  </si>
  <si>
    <t>113-54-3790</t>
  </si>
  <si>
    <t>133-90-8496</t>
  </si>
  <si>
    <t>596-36-2049</t>
  </si>
  <si>
    <t>093-28-3027</t>
  </si>
  <si>
    <t>115-56-1903</t>
  </si>
  <si>
    <t>107-86-5801</t>
  </si>
  <si>
    <t>102-56-8793</t>
  </si>
  <si>
    <t>073-52-0275</t>
  </si>
  <si>
    <t>000-00-9952</t>
  </si>
  <si>
    <t>673-76-1425</t>
  </si>
  <si>
    <t>054-34-5683</t>
  </si>
  <si>
    <t>071-78-0702</t>
  </si>
  <si>
    <t>860-72-2239</t>
  </si>
  <si>
    <t>581-15-9658</t>
  </si>
  <si>
    <t>076-58-8477</t>
  </si>
  <si>
    <t>066-64-1252</t>
  </si>
  <si>
    <t>104-82-4492</t>
  </si>
  <si>
    <t>107-84-6855</t>
  </si>
  <si>
    <t>046-57-8942</t>
  </si>
  <si>
    <t>590-54-9806</t>
  </si>
  <si>
    <t>071-74-9761</t>
  </si>
  <si>
    <t>078-64-2748</t>
  </si>
  <si>
    <t>103-82-4642</t>
  </si>
  <si>
    <t>732-09-7726</t>
  </si>
  <si>
    <t>070-88-7611</t>
  </si>
  <si>
    <t>143-97-7751</t>
  </si>
  <si>
    <t>096-64-9252</t>
  </si>
  <si>
    <t>059-60-0684</t>
  </si>
  <si>
    <t>091-64-5796</t>
  </si>
  <si>
    <t>133-76-2262</t>
  </si>
  <si>
    <t>096-70-0917</t>
  </si>
  <si>
    <t>102-98-2065</t>
  </si>
  <si>
    <t>125-58-2970</t>
  </si>
  <si>
    <t>118-96-8996</t>
  </si>
  <si>
    <t>108-66-3887</t>
  </si>
  <si>
    <t>115-52-9512</t>
  </si>
  <si>
    <t>310-40-7635</t>
  </si>
  <si>
    <t>119-48-1492</t>
  </si>
  <si>
    <t>073-56-4421</t>
  </si>
  <si>
    <t>118-56-2374</t>
  </si>
  <si>
    <t>080-60-6024</t>
  </si>
  <si>
    <t>098-66-2673</t>
  </si>
  <si>
    <t>088-74-7746</t>
  </si>
  <si>
    <t>096-68-5211</t>
  </si>
  <si>
    <t>050-62-1204</t>
  </si>
  <si>
    <t>062-44-2816</t>
  </si>
  <si>
    <t>075-82-8008</t>
  </si>
  <si>
    <t>079-80-4071</t>
  </si>
  <si>
    <t>000-00-9700</t>
  </si>
  <si>
    <t>068-64-6086</t>
  </si>
  <si>
    <t>148-21-1773</t>
  </si>
  <si>
    <t>583-13-9014</t>
  </si>
  <si>
    <t>107-54-6273</t>
  </si>
  <si>
    <t>070-42-5556</t>
  </si>
  <si>
    <t>298-46-7618</t>
  </si>
  <si>
    <t>131-40-1636</t>
  </si>
  <si>
    <t>132-44-9135</t>
  </si>
  <si>
    <t>122-54-8240</t>
  </si>
  <si>
    <t>100-46-9122</t>
  </si>
  <si>
    <t>066-50-7724</t>
  </si>
  <si>
    <t>053-66-4297</t>
  </si>
  <si>
    <t>192-59-0527</t>
  </si>
  <si>
    <t>061-50-8985</t>
  </si>
  <si>
    <t>000-00-9864</t>
  </si>
  <si>
    <t>244-08-9724</t>
  </si>
  <si>
    <t>580-37-7897</t>
  </si>
  <si>
    <t>592-54-5775</t>
  </si>
  <si>
    <t>433-73-3540</t>
  </si>
  <si>
    <t>094-02-9016</t>
  </si>
  <si>
    <t>884-23-2444</t>
  </si>
  <si>
    <t>010-76-2629</t>
  </si>
  <si>
    <t>114-66-8029</t>
  </si>
  <si>
    <t>300-56-3275</t>
  </si>
  <si>
    <t>125-50-5098</t>
  </si>
  <si>
    <t>023-58-6984</t>
  </si>
  <si>
    <t>363-11-2780</t>
  </si>
  <si>
    <t>078-82-0956</t>
  </si>
  <si>
    <t>098-48-5409</t>
  </si>
  <si>
    <t>743-67-8515</t>
  </si>
  <si>
    <t>072-50-6590</t>
  </si>
  <si>
    <t>130-64-2142</t>
  </si>
  <si>
    <t>059-54-9523</t>
  </si>
  <si>
    <t>088-42-1417</t>
  </si>
  <si>
    <t>098-88-0607</t>
  </si>
  <si>
    <t>065-90-5963</t>
  </si>
  <si>
    <t>066-66-3687</t>
  </si>
  <si>
    <t>000-00-9317</t>
  </si>
  <si>
    <t>248-08-3303</t>
  </si>
  <si>
    <t>584-14-8854</t>
  </si>
  <si>
    <t>118-94-9395</t>
  </si>
  <si>
    <t>158-52-0769</t>
  </si>
  <si>
    <t>084-48-6098</t>
  </si>
  <si>
    <t>103-68-8774</t>
  </si>
  <si>
    <t>249-55-6301</t>
  </si>
  <si>
    <t>066-96-4590</t>
  </si>
  <si>
    <t>052-54-2516</t>
  </si>
  <si>
    <t>054-66-5084</t>
  </si>
  <si>
    <t>098-26-8006</t>
  </si>
  <si>
    <t>050-86-6029</t>
  </si>
  <si>
    <t>081-84-8621</t>
  </si>
  <si>
    <t>076-82-6777</t>
  </si>
  <si>
    <t>132-58-5856</t>
  </si>
  <si>
    <t>116-90-7308</t>
  </si>
  <si>
    <t>125-46-3667</t>
  </si>
  <si>
    <t>102-58-2738</t>
  </si>
  <si>
    <t>088-36-7616</t>
  </si>
  <si>
    <t>068-48-5106</t>
  </si>
  <si>
    <t>076-62-1553</t>
  </si>
  <si>
    <t>885-47-0587</t>
  </si>
  <si>
    <t>121-78-9312</t>
  </si>
  <si>
    <t>116-56-4454</t>
  </si>
  <si>
    <t>123-40-1481</t>
  </si>
  <si>
    <t>070-44-3573</t>
  </si>
  <si>
    <t>057-66-1060</t>
  </si>
  <si>
    <t>584-29-0900</t>
  </si>
  <si>
    <t>076-82-3361</t>
  </si>
  <si>
    <t>000-00-4848</t>
  </si>
  <si>
    <t>122-86-7356</t>
  </si>
  <si>
    <t>086-72-8728</t>
  </si>
  <si>
    <t>048-90-8742</t>
  </si>
  <si>
    <t>089-74-7270</t>
  </si>
  <si>
    <t>583-48-8298</t>
  </si>
  <si>
    <t>063-64-3960</t>
  </si>
  <si>
    <t>076-68-4649</t>
  </si>
  <si>
    <t>090-62-9973</t>
  </si>
  <si>
    <t>056-60-8341</t>
  </si>
  <si>
    <t>134-74-0399</t>
  </si>
  <si>
    <t>219-68-5532</t>
  </si>
  <si>
    <t>081-52-8059</t>
  </si>
  <si>
    <t>060-58-1447</t>
  </si>
  <si>
    <t>101-58-4186</t>
  </si>
  <si>
    <t>636-56-7451</t>
  </si>
  <si>
    <t>110-82-0129</t>
  </si>
  <si>
    <t>685-63-5137</t>
  </si>
  <si>
    <t>126-76-6025</t>
  </si>
  <si>
    <t>096-60-7761</t>
  </si>
  <si>
    <t>114-66-1673</t>
  </si>
  <si>
    <t>060-58-2207</t>
  </si>
  <si>
    <t>118-82-4229</t>
  </si>
  <si>
    <t>096-58-9214</t>
  </si>
  <si>
    <t>584-85-8002</t>
  </si>
  <si>
    <t>089-96-4254</t>
  </si>
  <si>
    <t>061-44-1601</t>
  </si>
  <si>
    <t>428-66-0813</t>
  </si>
  <si>
    <t>131-70-9663</t>
  </si>
  <si>
    <t>114-96-7528</t>
  </si>
  <si>
    <t>063-56-5490</t>
  </si>
  <si>
    <t>126-62-9928</t>
  </si>
  <si>
    <t>104-78-4029</t>
  </si>
  <si>
    <t>067-58-8394</t>
  </si>
  <si>
    <t>496-80-9334</t>
  </si>
  <si>
    <t>071-60-3379</t>
  </si>
  <si>
    <t>104-52-1182</t>
  </si>
  <si>
    <t>103-86-4885</t>
  </si>
  <si>
    <t>100-42-0062</t>
  </si>
  <si>
    <t>056-50-4503</t>
  </si>
  <si>
    <t>050-40-3168</t>
  </si>
  <si>
    <t>056-56-5891</t>
  </si>
  <si>
    <t>114-36-5574</t>
  </si>
  <si>
    <t>000-00-9709</t>
  </si>
  <si>
    <t>081-80-6178</t>
  </si>
  <si>
    <t>580-68-6204</t>
  </si>
  <si>
    <t>115-92-8202</t>
  </si>
  <si>
    <t>116-80-6742</t>
  </si>
  <si>
    <t>157-80-1043</t>
  </si>
  <si>
    <t>090-58-9288</t>
  </si>
  <si>
    <t>101-50-5485</t>
  </si>
  <si>
    <t>090-44-8402</t>
  </si>
  <si>
    <t>057-54-9162</t>
  </si>
  <si>
    <t>054-48-0009</t>
  </si>
  <si>
    <t>108-80-3819</t>
  </si>
  <si>
    <t>090-58-7104</t>
  </si>
  <si>
    <t>053-94-7379</t>
  </si>
  <si>
    <t>122-78-2974</t>
  </si>
  <si>
    <t>715-26-5027</t>
  </si>
  <si>
    <t>733-01-4254</t>
  </si>
  <si>
    <t>059-74-5659</t>
  </si>
  <si>
    <t>070-42-3358</t>
  </si>
  <si>
    <t>115-44-9167</t>
  </si>
  <si>
    <t>130-60-0021</t>
  </si>
  <si>
    <t>121-70-7044</t>
  </si>
  <si>
    <t>089-52-8332</t>
  </si>
  <si>
    <t>599-40-8062</t>
  </si>
  <si>
    <t>127-76-3882</t>
  </si>
  <si>
    <t>103-84-2067</t>
  </si>
  <si>
    <t>102-60-5194</t>
  </si>
  <si>
    <t>117-32-2632</t>
  </si>
  <si>
    <t>368-98-8464</t>
  </si>
  <si>
    <t>000-00-1452</t>
  </si>
  <si>
    <t>056-64-0265</t>
  </si>
  <si>
    <t>097-64-2982</t>
  </si>
  <si>
    <t>111-98-0674</t>
  </si>
  <si>
    <t>080-84-2015</t>
  </si>
  <si>
    <t>000-00-0113</t>
  </si>
  <si>
    <t>088-68-0053</t>
  </si>
  <si>
    <t>092-80-0572</t>
  </si>
  <si>
    <t>119-78-3173</t>
  </si>
  <si>
    <t>102-96-8739</t>
  </si>
  <si>
    <t>062-74-4360</t>
  </si>
  <si>
    <t>071-50-6394</t>
  </si>
  <si>
    <t>084-56-5301</t>
  </si>
  <si>
    <t>053-78-5931</t>
  </si>
  <si>
    <t>083-98-7783</t>
  </si>
  <si>
    <t>085-50-4856</t>
  </si>
  <si>
    <t>062-30-4838</t>
  </si>
  <si>
    <t>580-72-1152</t>
  </si>
  <si>
    <t>101-34-6952</t>
  </si>
  <si>
    <t>118-52-0961</t>
  </si>
  <si>
    <t>729-05-1108</t>
  </si>
  <si>
    <t>585-96-5440</t>
  </si>
  <si>
    <t>110-82-6845</t>
  </si>
  <si>
    <t>217-27-9174</t>
  </si>
  <si>
    <t>069-72-8929</t>
  </si>
  <si>
    <t>373-64-5954</t>
  </si>
  <si>
    <t>054-96-4729</t>
  </si>
  <si>
    <t>210-50-8770</t>
  </si>
  <si>
    <t>118-54-7614</t>
  </si>
  <si>
    <t>067-64-4095</t>
  </si>
  <si>
    <t>793-49-1518</t>
  </si>
  <si>
    <t>088-58-0738</t>
  </si>
  <si>
    <t>062-94-6814</t>
  </si>
  <si>
    <t>057-02-6827</t>
  </si>
  <si>
    <t>117-64-2014</t>
  </si>
  <si>
    <t>583-11-7140</t>
  </si>
  <si>
    <t>580-21-5981</t>
  </si>
  <si>
    <t>123-64-8395</t>
  </si>
  <si>
    <t>131-68-2755</t>
  </si>
  <si>
    <t>132-92-0502</t>
  </si>
  <si>
    <t>114-96-7551</t>
  </si>
  <si>
    <t>110-52-7215</t>
  </si>
  <si>
    <t>063-78-4635</t>
  </si>
  <si>
    <t>057-84-7972</t>
  </si>
  <si>
    <t>057-84-1407</t>
  </si>
  <si>
    <t>449-19-8968</t>
  </si>
  <si>
    <t>464-65-6021</t>
  </si>
  <si>
    <t>129-56-8661</t>
  </si>
  <si>
    <t>082-50-2255</t>
  </si>
  <si>
    <t>101-34-7187</t>
  </si>
  <si>
    <t>225-65-4555</t>
  </si>
  <si>
    <t>152-68-4308</t>
  </si>
  <si>
    <t>106-88-3860</t>
  </si>
  <si>
    <t>091-58-0537</t>
  </si>
  <si>
    <t>117-32-6812</t>
  </si>
  <si>
    <t>120-44-2173</t>
  </si>
  <si>
    <t>102-62-7314</t>
  </si>
  <si>
    <t>121-52-2414</t>
  </si>
  <si>
    <t>099-48-2014</t>
  </si>
  <si>
    <t>062-40-6843</t>
  </si>
  <si>
    <t>081-64-2282</t>
  </si>
  <si>
    <t>062-58-7744</t>
  </si>
  <si>
    <t>116-60-4039</t>
  </si>
  <si>
    <t>187-70-7024</t>
  </si>
  <si>
    <t>134-62-1203</t>
  </si>
  <si>
    <t>876-85-4460</t>
  </si>
  <si>
    <t>056-58-9041</t>
  </si>
  <si>
    <t>456-41-1535</t>
  </si>
  <si>
    <t>596-20-7994</t>
  </si>
  <si>
    <t>060-56-5169</t>
  </si>
  <si>
    <t>131-70-0586</t>
  </si>
  <si>
    <t>096-96-8484</t>
  </si>
  <si>
    <t>181-32-1001</t>
  </si>
  <si>
    <t>129-84-5480</t>
  </si>
  <si>
    <t>126-50-9074</t>
  </si>
  <si>
    <t>099-56-8753</t>
  </si>
  <si>
    <t>130-58-1665</t>
  </si>
  <si>
    <t>093-58-9057</t>
  </si>
  <si>
    <t>058-48-9956</t>
  </si>
  <si>
    <t>125-82-8188</t>
  </si>
  <si>
    <t>582-53-8973</t>
  </si>
  <si>
    <t>126-13-7947</t>
  </si>
  <si>
    <t>561-06-6204</t>
  </si>
  <si>
    <t>767-96-5717</t>
  </si>
  <si>
    <t>109-48-2727</t>
  </si>
  <si>
    <t>065-58-8771</t>
  </si>
  <si>
    <t>269-58-7046</t>
  </si>
  <si>
    <t>093-66-6910</t>
  </si>
  <si>
    <t>054-58-8420</t>
  </si>
  <si>
    <t>083-40-9234</t>
  </si>
  <si>
    <t>122-64-8572</t>
  </si>
  <si>
    <t>115-62-3288</t>
  </si>
  <si>
    <t>093-36-9010</t>
  </si>
  <si>
    <t>093-90-9933</t>
  </si>
  <si>
    <t>315-06-3690</t>
  </si>
  <si>
    <t>119-72-0141</t>
  </si>
  <si>
    <t>109-68-6315</t>
  </si>
  <si>
    <t>000-00-0518</t>
  </si>
  <si>
    <t>090-70-3031</t>
  </si>
  <si>
    <t>050-38-5481</t>
  </si>
  <si>
    <t>466-94-5262</t>
  </si>
  <si>
    <t>113-40-7839</t>
  </si>
  <si>
    <t>082-76-1487</t>
  </si>
  <si>
    <t>085-58-3440</t>
  </si>
  <si>
    <t>000-00-2474</t>
  </si>
  <si>
    <t>129-60-0035</t>
  </si>
  <si>
    <t>079-56-1494</t>
  </si>
  <si>
    <t>099-72-5450</t>
  </si>
  <si>
    <t>176-70-4504</t>
  </si>
  <si>
    <t>080-72-5732</t>
  </si>
  <si>
    <t>062-68-9410</t>
  </si>
  <si>
    <t>089-72-2213</t>
  </si>
  <si>
    <t>123-06-3023</t>
  </si>
  <si>
    <t>077-44-3456</t>
  </si>
  <si>
    <t>103-62-0516</t>
  </si>
  <si>
    <t>242-17-8288</t>
  </si>
  <si>
    <t>076-90-0718</t>
  </si>
  <si>
    <t>078-78-2959</t>
  </si>
  <si>
    <t>814-97-2688</t>
  </si>
  <si>
    <t>094-64-9085</t>
  </si>
  <si>
    <t>062-96-0874</t>
  </si>
  <si>
    <t>134-26-0575</t>
  </si>
  <si>
    <t>081-44-6643</t>
  </si>
  <si>
    <t>000-00-7392</t>
  </si>
  <si>
    <t>121-52-0249</t>
  </si>
  <si>
    <t>107-68-7200</t>
  </si>
  <si>
    <t>005-46-5348</t>
  </si>
  <si>
    <t>599-38-2271</t>
  </si>
  <si>
    <t>123-98-7026</t>
  </si>
  <si>
    <t>057-88-5688</t>
  </si>
  <si>
    <t>116-56-1852</t>
  </si>
  <si>
    <t>153-24-0319</t>
  </si>
  <si>
    <t>597-36-3875</t>
  </si>
  <si>
    <t>589-65-0785</t>
  </si>
  <si>
    <t>096-36-3603</t>
  </si>
  <si>
    <t>102-68-0894</t>
  </si>
  <si>
    <t>124-40-5187</t>
  </si>
  <si>
    <t>000-00-0689</t>
  </si>
  <si>
    <t>078-74-8545</t>
  </si>
  <si>
    <t>099-78-6640</t>
  </si>
  <si>
    <t>126-52-6253</t>
  </si>
  <si>
    <t>134-32-0118</t>
  </si>
  <si>
    <t>114-86-2459</t>
  </si>
  <si>
    <t>150-58-0973</t>
  </si>
  <si>
    <t>082-98-3712</t>
  </si>
  <si>
    <t>000-00-3424</t>
  </si>
  <si>
    <t>000-00-3670</t>
  </si>
  <si>
    <t>000-00-5461</t>
  </si>
  <si>
    <t>722-13-3343</t>
  </si>
  <si>
    <t>000-00-6209</t>
  </si>
  <si>
    <t>000-00-7378</t>
  </si>
  <si>
    <t>069-66-9869</t>
  </si>
  <si>
    <t>078-86-8539</t>
  </si>
  <si>
    <t>061-02-8917</t>
  </si>
  <si>
    <t>062-68-0411</t>
  </si>
  <si>
    <t>783-34-4723</t>
  </si>
  <si>
    <t>044-70-4495</t>
  </si>
  <si>
    <t>062-66-9344</t>
  </si>
  <si>
    <t>084-42-1070</t>
  </si>
  <si>
    <t>584-47-4471</t>
  </si>
  <si>
    <t>071-48-5938</t>
  </si>
  <si>
    <t>138-58-5066</t>
  </si>
  <si>
    <t>077-68-9112</t>
  </si>
  <si>
    <t>169-85-9123</t>
  </si>
  <si>
    <t>125-44-0319</t>
  </si>
  <si>
    <t>000-00-5113</t>
  </si>
  <si>
    <t>050-64-0113</t>
  </si>
  <si>
    <t>133-62-9631</t>
  </si>
  <si>
    <t>083-64-2992</t>
  </si>
  <si>
    <t>133-58-3224</t>
  </si>
  <si>
    <t>229-70-4751</t>
  </si>
  <si>
    <t>079-62-6501</t>
  </si>
  <si>
    <t>729-24-8714</t>
  </si>
  <si>
    <t>082-84-6186</t>
  </si>
  <si>
    <t>051-38-4529</t>
  </si>
  <si>
    <t>163-56-3209</t>
  </si>
  <si>
    <t>132-56-6630</t>
  </si>
  <si>
    <t>730-03-4537</t>
  </si>
  <si>
    <t>109-86-8864</t>
  </si>
  <si>
    <t>114-72-1299</t>
  </si>
  <si>
    <t>226-98-9547</t>
  </si>
  <si>
    <t>057-60-0938</t>
  </si>
  <si>
    <t>124-82-4641</t>
  </si>
  <si>
    <t>064-58-5051</t>
  </si>
  <si>
    <t>781-22-7637</t>
  </si>
  <si>
    <t>126-66-7191</t>
  </si>
  <si>
    <t>075-74-5840</t>
  </si>
  <si>
    <t>240-68-4145</t>
  </si>
  <si>
    <t>066-86-2493</t>
  </si>
  <si>
    <t>101-34-6937</t>
  </si>
  <si>
    <t>076-56-8506</t>
  </si>
  <si>
    <t>105-38-3489</t>
  </si>
  <si>
    <t>053-70-8730</t>
  </si>
  <si>
    <t>000-00-5753</t>
  </si>
  <si>
    <t>055-64-9501</t>
  </si>
  <si>
    <t>057-34-1734</t>
  </si>
  <si>
    <t>000-00-6655</t>
  </si>
  <si>
    <t>056-40-1468</t>
  </si>
  <si>
    <t>540-17-5845</t>
  </si>
  <si>
    <t>100-76-6561</t>
  </si>
  <si>
    <t>111-64-6730</t>
  </si>
  <si>
    <t>091-80-8140</t>
  </si>
  <si>
    <t>000-00-4906</t>
  </si>
  <si>
    <t>012-76-8998</t>
  </si>
  <si>
    <t>000-00-0335</t>
  </si>
  <si>
    <t>075-74-5851</t>
  </si>
  <si>
    <t>082-76-3379</t>
  </si>
  <si>
    <t>584-65-9244</t>
  </si>
  <si>
    <t>146-22-0296</t>
  </si>
  <si>
    <t>057-60-6611</t>
  </si>
  <si>
    <t>061-60-1847</t>
  </si>
  <si>
    <t>131-66-9344</t>
  </si>
  <si>
    <t>074-62-1096</t>
  </si>
  <si>
    <t>074-84-8231</t>
  </si>
  <si>
    <t>121-48-3029</t>
  </si>
  <si>
    <t>065-74-7550</t>
  </si>
  <si>
    <t>058-90-5861</t>
  </si>
  <si>
    <t>082-72-7245</t>
  </si>
  <si>
    <t>089-70-5408</t>
  </si>
  <si>
    <t>061-34-2606</t>
  </si>
  <si>
    <t>127-48-3860</t>
  </si>
  <si>
    <t>058-98-8459</t>
  </si>
  <si>
    <t>115-92-9511</t>
  </si>
  <si>
    <t>100-54-1483</t>
  </si>
  <si>
    <t>132-54-6263</t>
  </si>
  <si>
    <t>052-46-3502</t>
  </si>
  <si>
    <t>057-78-3888</t>
  </si>
  <si>
    <t>072-38-6069</t>
  </si>
  <si>
    <t>053-62-6900</t>
  </si>
  <si>
    <t>069-62-7184</t>
  </si>
  <si>
    <t>059-64-8094</t>
  </si>
  <si>
    <t>120-58-2859</t>
  </si>
  <si>
    <t>126-46-0087</t>
  </si>
  <si>
    <t>057-78-0673</t>
  </si>
  <si>
    <t>133-48-6040</t>
  </si>
  <si>
    <t>097-52-9265</t>
  </si>
  <si>
    <t>094-88-8726</t>
  </si>
  <si>
    <t>055-30-5133</t>
  </si>
  <si>
    <t>055-42-4435</t>
  </si>
  <si>
    <t>098-64-9756</t>
  </si>
  <si>
    <t>115-75-7937</t>
  </si>
  <si>
    <t>048-08-6305</t>
  </si>
  <si>
    <t>070-56-8409</t>
  </si>
  <si>
    <t>098-50-1334</t>
  </si>
  <si>
    <t>580-31-6801</t>
  </si>
  <si>
    <t>668-12-5599</t>
  </si>
  <si>
    <t>134-64-2600</t>
  </si>
  <si>
    <t>104-92-6160</t>
  </si>
  <si>
    <t>852-76-1521</t>
  </si>
  <si>
    <t>106-60-2025</t>
  </si>
  <si>
    <t>104-80-7661</t>
  </si>
  <si>
    <t>093-54-8429</t>
  </si>
  <si>
    <t>070-58-9697</t>
  </si>
  <si>
    <t>124-92-1988</t>
  </si>
  <si>
    <t>051-36-4965</t>
  </si>
  <si>
    <t>103-66-2330</t>
  </si>
  <si>
    <t>597-46-8372</t>
  </si>
  <si>
    <t>073-86-8315</t>
  </si>
  <si>
    <t>583-31-5312</t>
  </si>
  <si>
    <t>083-86-5750</t>
  </si>
  <si>
    <t>351-66-8317</t>
  </si>
  <si>
    <t>103-34-4797</t>
  </si>
  <si>
    <t>121-82-2818</t>
  </si>
  <si>
    <t>093-58-6703</t>
  </si>
  <si>
    <t>735-38-5204</t>
  </si>
  <si>
    <t>134-58-3988</t>
  </si>
  <si>
    <t>069-58-0202</t>
  </si>
  <si>
    <t>053-92-3642</t>
  </si>
  <si>
    <t>108-68-1905</t>
  </si>
  <si>
    <t>009-72-8315</t>
  </si>
  <si>
    <t>138-06-2503</t>
  </si>
  <si>
    <t>085-70-0759</t>
  </si>
  <si>
    <t>131-84-1228</t>
  </si>
  <si>
    <t>000-00-0517</t>
  </si>
  <si>
    <t>065-78-6715</t>
  </si>
  <si>
    <t>086-98-4849</t>
  </si>
  <si>
    <t>127-76-5318</t>
  </si>
  <si>
    <t>101-87-9429</t>
  </si>
  <si>
    <t>071-88-4675</t>
  </si>
  <si>
    <t>000-00-8489</t>
  </si>
  <si>
    <t>085-56-5725</t>
  </si>
  <si>
    <t>127-70-9989</t>
  </si>
  <si>
    <t>072-68-2602</t>
  </si>
  <si>
    <t>063-92-1504</t>
  </si>
  <si>
    <t>069-64-1702</t>
  </si>
  <si>
    <t>093-62-2465</t>
  </si>
  <si>
    <t>124-40-2309</t>
  </si>
  <si>
    <t>126-56-3883</t>
  </si>
  <si>
    <t>074-72-0866</t>
  </si>
  <si>
    <t>054-60-7154</t>
  </si>
  <si>
    <t>396-84-0330</t>
  </si>
  <si>
    <t>073-52-8000</t>
  </si>
  <si>
    <t>113-52-0492</t>
  </si>
  <si>
    <t>083-62-4223</t>
  </si>
  <si>
    <t>073-56-9766</t>
  </si>
  <si>
    <t>141-98-1839</t>
  </si>
  <si>
    <t>069-90-7935</t>
  </si>
  <si>
    <t>082-62-9723</t>
  </si>
  <si>
    <t>103-84-5988</t>
  </si>
  <si>
    <t>077-64-1756</t>
  </si>
  <si>
    <t>581-52-1358</t>
  </si>
  <si>
    <t>087-44-7872</t>
  </si>
  <si>
    <t>092-42-5911</t>
  </si>
  <si>
    <t>057-58-5305</t>
  </si>
  <si>
    <t>075-76-8127</t>
  </si>
  <si>
    <t>062-84-0490</t>
  </si>
  <si>
    <t>098-98-7110</t>
  </si>
  <si>
    <t>062-90-1227</t>
  </si>
  <si>
    <t>124-78-7454</t>
  </si>
  <si>
    <t>126-26-7792</t>
  </si>
  <si>
    <t>093-36-9999</t>
  </si>
  <si>
    <t>107-82-3211</t>
  </si>
  <si>
    <t>079-70-4714</t>
  </si>
  <si>
    <t>000-00-1607</t>
  </si>
  <si>
    <t>085-64-5852</t>
  </si>
  <si>
    <t>089-52-0390</t>
  </si>
  <si>
    <t>597-16-7469</t>
  </si>
  <si>
    <t>097-74-9038</t>
  </si>
  <si>
    <t>000-00-1788</t>
  </si>
  <si>
    <t>055-34-4046</t>
  </si>
  <si>
    <t>070-60-6582</t>
  </si>
  <si>
    <t>128-44-8364</t>
  </si>
  <si>
    <t>438-49-9018</t>
  </si>
  <si>
    <t>057-74-9143</t>
  </si>
  <si>
    <t>114-74-4019</t>
  </si>
  <si>
    <t>116-44-1632</t>
  </si>
  <si>
    <t>130-54-3248</t>
  </si>
  <si>
    <t>143-80-4223</t>
  </si>
  <si>
    <t>130-96-9134</t>
  </si>
  <si>
    <t>000-00-9493</t>
  </si>
  <si>
    <t>114-50-5090</t>
  </si>
  <si>
    <t>120-60-5356</t>
  </si>
  <si>
    <t>122-64-6511</t>
  </si>
  <si>
    <t>110-78-3969</t>
  </si>
  <si>
    <t>054-54-3068</t>
  </si>
  <si>
    <t>000-00-7800</t>
  </si>
  <si>
    <t>072-72-0132</t>
  </si>
  <si>
    <t>000-00-1355</t>
  </si>
  <si>
    <t>116-48-0572</t>
  </si>
  <si>
    <t>077-64-3851</t>
  </si>
  <si>
    <t>070-60-1058</t>
  </si>
  <si>
    <t>591-10-9797</t>
  </si>
  <si>
    <t>129-82-1910</t>
  </si>
  <si>
    <t>093-82-5522</t>
  </si>
  <si>
    <t>060-66-4045</t>
  </si>
  <si>
    <t>041-88-0006</t>
  </si>
  <si>
    <t>125-40-4339</t>
  </si>
  <si>
    <t>423-48-4634</t>
  </si>
  <si>
    <t>154-64-4612</t>
  </si>
  <si>
    <t>077-58-1358</t>
  </si>
  <si>
    <t>116-72-8003</t>
  </si>
  <si>
    <t>129-78-7469</t>
  </si>
  <si>
    <t>060-72-9151</t>
  </si>
  <si>
    <t>089-68-5504</t>
  </si>
  <si>
    <t>055-54-9671</t>
  </si>
  <si>
    <t>126-64-4842</t>
  </si>
  <si>
    <t>120-52-9945</t>
  </si>
  <si>
    <t>157-64-5403</t>
  </si>
  <si>
    <t>099-60-2353</t>
  </si>
  <si>
    <t>069-62-7133</t>
  </si>
  <si>
    <t>582-90-7731</t>
  </si>
  <si>
    <t>113-62-4848</t>
  </si>
  <si>
    <t>122-44-0909</t>
  </si>
  <si>
    <t>159-42-4807</t>
  </si>
  <si>
    <t>114-62-3466</t>
  </si>
  <si>
    <t>112-62-2993</t>
  </si>
  <si>
    <t>068-56-7521</t>
  </si>
  <si>
    <t>086-60-7260</t>
  </si>
  <si>
    <t>090-84-3408</t>
  </si>
  <si>
    <t>107-94-9162</t>
  </si>
  <si>
    <t>076-64-4349</t>
  </si>
  <si>
    <t>000-00-5637</t>
  </si>
  <si>
    <t>058-72-0224</t>
  </si>
  <si>
    <t>070-58-9027</t>
  </si>
  <si>
    <t>736-14-5129</t>
  </si>
  <si>
    <t>057-80-7038</t>
  </si>
  <si>
    <t>580-12-6089</t>
  </si>
  <si>
    <t>086-74-6982</t>
  </si>
  <si>
    <t>113-70-4557</t>
  </si>
  <si>
    <t>132-80-0224</t>
  </si>
  <si>
    <t>117-78-5963</t>
  </si>
  <si>
    <t>121-40-0557</t>
  </si>
  <si>
    <t>113-48-4818</t>
  </si>
  <si>
    <t>053-66-1268</t>
  </si>
  <si>
    <t>113-60-7510</t>
  </si>
  <si>
    <t>108-60-0300</t>
  </si>
  <si>
    <t>124-48-5304</t>
  </si>
  <si>
    <t>050-84-9419</t>
  </si>
  <si>
    <t>069-90-7973</t>
  </si>
  <si>
    <t>076-46-6695</t>
  </si>
  <si>
    <t>055-56-6934</t>
  </si>
  <si>
    <t>113-72-4906</t>
  </si>
  <si>
    <t>000-00-1064</t>
  </si>
  <si>
    <t>099-56-2975</t>
  </si>
  <si>
    <t>052-72-5521</t>
  </si>
  <si>
    <t>132-74-9052</t>
  </si>
  <si>
    <t>093-58-4886</t>
  </si>
  <si>
    <t>060-58-9508</t>
  </si>
  <si>
    <t>092-84-3259</t>
  </si>
  <si>
    <t>121-84-8351</t>
  </si>
  <si>
    <t>063-46-8196</t>
  </si>
  <si>
    <t>000-00-2748</t>
  </si>
  <si>
    <t>106-80-1752</t>
  </si>
  <si>
    <t>159-70-0169</t>
  </si>
  <si>
    <t>123-68-9577</t>
  </si>
  <si>
    <t>116-62-3061</t>
  </si>
  <si>
    <t>443-66-9352</t>
  </si>
  <si>
    <t>116-80-8002</t>
  </si>
  <si>
    <t>151-88-8002</t>
  </si>
  <si>
    <t>075-44-2502</t>
  </si>
  <si>
    <t>126-52-5074</t>
  </si>
  <si>
    <t>110-74-3529</t>
  </si>
  <si>
    <t>595-40-5568</t>
  </si>
  <si>
    <t>080-74-0099</t>
  </si>
  <si>
    <t>109-82-8251</t>
  </si>
  <si>
    <t>062-88-4934</t>
  </si>
  <si>
    <t>729-07-8907</t>
  </si>
  <si>
    <t>127-60-5998</t>
  </si>
  <si>
    <t>260-11-0246</t>
  </si>
  <si>
    <t>122-92-4840</t>
  </si>
  <si>
    <t>045-76-5501</t>
  </si>
  <si>
    <t>000-00-0432</t>
  </si>
  <si>
    <t>065-64-2804</t>
  </si>
  <si>
    <t>077-56-9567</t>
  </si>
  <si>
    <t>093-58-8081</t>
  </si>
  <si>
    <t>116-60-1839</t>
  </si>
  <si>
    <t>134-60-5523</t>
  </si>
  <si>
    <t>110-50-3038</t>
  </si>
  <si>
    <t>069-56-1544</t>
  </si>
  <si>
    <t>041-84-6055</t>
  </si>
  <si>
    <t>116-36-4468</t>
  </si>
  <si>
    <t>084-36-8017</t>
  </si>
  <si>
    <t>247-65-3776</t>
  </si>
  <si>
    <t>060-50-7936</t>
  </si>
  <si>
    <t>079-56-6550</t>
  </si>
  <si>
    <t>107-40-3379</t>
  </si>
  <si>
    <t>085-36-3437</t>
  </si>
  <si>
    <t>134-58-9602</t>
  </si>
  <si>
    <t>103-44-9046</t>
  </si>
  <si>
    <t>091-42-0814</t>
  </si>
  <si>
    <t>058-62-1216</t>
  </si>
  <si>
    <t>000-00-1216</t>
  </si>
  <si>
    <t>117-74-3568</t>
  </si>
  <si>
    <t>118-44-8855</t>
  </si>
  <si>
    <t>054-36-0501</t>
  </si>
  <si>
    <t>126-48-0476</t>
  </si>
  <si>
    <t>141-78-4009</t>
  </si>
  <si>
    <t>370-02-4297</t>
  </si>
  <si>
    <t>141-68-6532</t>
  </si>
  <si>
    <t>121-52-4439</t>
  </si>
  <si>
    <t>116-76-2017</t>
  </si>
  <si>
    <t>120-62-7819</t>
  </si>
  <si>
    <t>111-80-3440</t>
  </si>
  <si>
    <t>188-58-9353</t>
  </si>
  <si>
    <t>101-84-3087</t>
  </si>
  <si>
    <t>077-44-8917</t>
  </si>
  <si>
    <t>077-50-9081</t>
  </si>
  <si>
    <t>713-31-4528</t>
  </si>
  <si>
    <t>061-34-8157</t>
  </si>
  <si>
    <t>127-80-6467</t>
  </si>
  <si>
    <t>052-72-7238</t>
  </si>
  <si>
    <t>129-82-7334</t>
  </si>
  <si>
    <t>590-88-6973</t>
  </si>
  <si>
    <t>063-88-5626</t>
  </si>
  <si>
    <t>248-86-3572</t>
  </si>
  <si>
    <t>099-70-1258</t>
  </si>
  <si>
    <t>124-40-4422</t>
  </si>
  <si>
    <t>070-46-5684</t>
  </si>
  <si>
    <t>077-66-5969</t>
  </si>
  <si>
    <t>126-68-6897</t>
  </si>
  <si>
    <t>089-48-3494</t>
  </si>
  <si>
    <t>030-58-4547</t>
  </si>
  <si>
    <t>157-52-9303</t>
  </si>
  <si>
    <t>677-94-7661</t>
  </si>
  <si>
    <t>895-74-5218</t>
  </si>
  <si>
    <t>204-66-1234</t>
  </si>
  <si>
    <t>103-80-5108</t>
  </si>
  <si>
    <t>090-64-5893</t>
  </si>
  <si>
    <t>611-26-9717</t>
  </si>
  <si>
    <t>131-58-5938</t>
  </si>
  <si>
    <t>259-35-7168</t>
  </si>
  <si>
    <t>067-82-0067</t>
  </si>
  <si>
    <t>061-74-6945</t>
  </si>
  <si>
    <t>134-32-4635</t>
  </si>
  <si>
    <t>584-79-0525</t>
  </si>
  <si>
    <t>000-00-0194</t>
  </si>
  <si>
    <t>130-66-2477</t>
  </si>
  <si>
    <t>050-26-5581</t>
  </si>
  <si>
    <t>553-75-7115</t>
  </si>
  <si>
    <t>085-44-1655</t>
  </si>
  <si>
    <t>091-58-4895</t>
  </si>
  <si>
    <t>164-72-0036</t>
  </si>
  <si>
    <t>051-44-8078</t>
  </si>
  <si>
    <t>078-36-0108</t>
  </si>
  <si>
    <t>117-84-8602</t>
  </si>
  <si>
    <t>070-34-8487</t>
  </si>
  <si>
    <t>050-28-0673</t>
  </si>
  <si>
    <t>062-66-2678</t>
  </si>
  <si>
    <t>064-68-6086</t>
  </si>
  <si>
    <t>084-42-7014</t>
  </si>
  <si>
    <t>439-37-4001</t>
  </si>
  <si>
    <t>733-26-4467</t>
  </si>
  <si>
    <t>077-84-1469</t>
  </si>
  <si>
    <t>104-94-3890</t>
  </si>
  <si>
    <t>087-58-5089</t>
  </si>
  <si>
    <t>090-34-2657</t>
  </si>
  <si>
    <t>111-32-6790</t>
  </si>
  <si>
    <t>051-36-7081</t>
  </si>
  <si>
    <t>114-66-8020</t>
  </si>
  <si>
    <t>301-80-3584</t>
  </si>
  <si>
    <t>584-50-4068</t>
  </si>
  <si>
    <t>069-36-0535</t>
  </si>
  <si>
    <t>061-68-9397</t>
  </si>
  <si>
    <t>065-72-6768</t>
  </si>
  <si>
    <t>083-58-7244</t>
  </si>
  <si>
    <t>106-66-0506</t>
  </si>
  <si>
    <t>066-58-0254</t>
  </si>
  <si>
    <t>085-60-1268</t>
  </si>
  <si>
    <t>096-54-0772</t>
  </si>
  <si>
    <t>262-50-5491</t>
  </si>
  <si>
    <t>082-74-6481</t>
  </si>
  <si>
    <t>108-56-0491</t>
  </si>
  <si>
    <t>098-48-1323</t>
  </si>
  <si>
    <t>111-64-5953</t>
  </si>
  <si>
    <t>066-64-0282</t>
  </si>
  <si>
    <t>107-88-1548</t>
  </si>
  <si>
    <t>089-74-7333</t>
  </si>
  <si>
    <t>025-46-5873</t>
  </si>
  <si>
    <t>101-50-9696</t>
  </si>
  <si>
    <t>088-72-2827</t>
  </si>
  <si>
    <t>000-00-9114</t>
  </si>
  <si>
    <t>101-48-8498</t>
  </si>
  <si>
    <t>083-96-6667</t>
  </si>
  <si>
    <t>110-62-9132</t>
  </si>
  <si>
    <t>134-62-9568</t>
  </si>
  <si>
    <t>098-56-3262</t>
  </si>
  <si>
    <t>066-72-0430</t>
  </si>
  <si>
    <t>082-66-5942</t>
  </si>
  <si>
    <t>202-42-6891</t>
  </si>
  <si>
    <t>100-72-1934</t>
  </si>
  <si>
    <t>068-88-6285</t>
  </si>
  <si>
    <t>084-52-0840</t>
  </si>
  <si>
    <t>108-92-9390</t>
  </si>
  <si>
    <t>072-92-4190</t>
  </si>
  <si>
    <t>051-84-2494</t>
  </si>
  <si>
    <t>115-40-5657</t>
  </si>
  <si>
    <t>066-58-0343</t>
  </si>
  <si>
    <t>242-31-3012</t>
  </si>
  <si>
    <t>074-44-6193</t>
  </si>
  <si>
    <t>104-98-1391</t>
  </si>
  <si>
    <t>070-34-1192</t>
  </si>
  <si>
    <t>126-64-0397</t>
  </si>
  <si>
    <t>070-02-3583</t>
  </si>
  <si>
    <t>092-68-6288</t>
  </si>
  <si>
    <t>060-80-7160</t>
  </si>
  <si>
    <t>106-76-9017</t>
  </si>
  <si>
    <t>412-61-1264</t>
  </si>
  <si>
    <t>082-80-6042</t>
  </si>
  <si>
    <t>000-00-3157</t>
  </si>
  <si>
    <t>106-94-6531</t>
  </si>
  <si>
    <t>079-68-0475</t>
  </si>
  <si>
    <t>105-86-3231</t>
  </si>
  <si>
    <t>107-60-0295</t>
  </si>
  <si>
    <t>097-56-8616</t>
  </si>
  <si>
    <t>000-00-4565</t>
  </si>
  <si>
    <t>129-50-5338</t>
  </si>
  <si>
    <t>119-96-4981</t>
  </si>
  <si>
    <t>107-88-5728</t>
  </si>
  <si>
    <t>063-82-7141</t>
  </si>
  <si>
    <t>114-56-0496</t>
  </si>
  <si>
    <t>053-44-6454</t>
  </si>
  <si>
    <t>223-48-3072</t>
  </si>
  <si>
    <t>073-92-8368</t>
  </si>
  <si>
    <t>000-00-3006</t>
  </si>
  <si>
    <t>177-93-1080</t>
  </si>
  <si>
    <t>108-24-6957</t>
  </si>
  <si>
    <t>119-90-8146</t>
  </si>
  <si>
    <t>056-44-4015</t>
  </si>
  <si>
    <t>094-68-2829</t>
  </si>
  <si>
    <t>000-00-5164</t>
  </si>
  <si>
    <t>109-64-3113</t>
  </si>
  <si>
    <t>081-64-7694</t>
  </si>
  <si>
    <t>131-42-9257</t>
  </si>
  <si>
    <t>111-98-0932</t>
  </si>
  <si>
    <t>073-56-9098</t>
  </si>
  <si>
    <t>074-68-3568</t>
  </si>
  <si>
    <t>120-76-6720</t>
  </si>
  <si>
    <t>000-00-7492</t>
  </si>
  <si>
    <t>064-58-4390</t>
  </si>
  <si>
    <t>071-66-0335</t>
  </si>
  <si>
    <t>731-14-9420</t>
  </si>
  <si>
    <t>051-84-2585</t>
  </si>
  <si>
    <t>006-88-6307</t>
  </si>
  <si>
    <t>094-66-8073</t>
  </si>
  <si>
    <t>110-70-9783</t>
  </si>
  <si>
    <t>058-58-8667</t>
  </si>
  <si>
    <t>103-50-9704</t>
  </si>
  <si>
    <t>582-95-7152</t>
  </si>
  <si>
    <t>059-76-5877</t>
  </si>
  <si>
    <t>117-90-8472</t>
  </si>
  <si>
    <t>098-50-1869</t>
  </si>
  <si>
    <t>115-70-0759</t>
  </si>
  <si>
    <t>120-96-9129</t>
  </si>
  <si>
    <t>348-64-3793</t>
  </si>
  <si>
    <t>029-64-8922</t>
  </si>
  <si>
    <t>092-68-8393</t>
  </si>
  <si>
    <t>116-96-6502</t>
  </si>
  <si>
    <t>063-56-7181</t>
  </si>
  <si>
    <t>578-06-6739</t>
  </si>
  <si>
    <t>054-70-1803</t>
  </si>
  <si>
    <t>061-94-2489</t>
  </si>
  <si>
    <t>098-44-6974</t>
  </si>
  <si>
    <t>202-82-8882</t>
  </si>
  <si>
    <t>092-54-5311</t>
  </si>
  <si>
    <t>060-86-2355</t>
  </si>
  <si>
    <t>075-46-2203</t>
  </si>
  <si>
    <t>085-70-3876</t>
  </si>
  <si>
    <t>126-20-7882</t>
  </si>
  <si>
    <t>086-70-2456</t>
  </si>
  <si>
    <t>078-46-3716</t>
  </si>
  <si>
    <t>087-50-8343</t>
  </si>
  <si>
    <t>070-44-8371</t>
  </si>
  <si>
    <t>474-96-5901</t>
  </si>
  <si>
    <t>060-84-7321</t>
  </si>
  <si>
    <t>151-92-5719</t>
  </si>
  <si>
    <t>091-56-0965</t>
  </si>
  <si>
    <t>085-50-3388</t>
  </si>
  <si>
    <t>059-70-2497</t>
  </si>
  <si>
    <t>116-72-0993</t>
  </si>
  <si>
    <t>053-60-8825</t>
  </si>
  <si>
    <t>143-04-3885</t>
  </si>
  <si>
    <t>068-64-8594</t>
  </si>
  <si>
    <t>045-90-4490</t>
  </si>
  <si>
    <t>383-87-9795</t>
  </si>
  <si>
    <t>050-38-4885</t>
  </si>
  <si>
    <t>131-66-4155</t>
  </si>
  <si>
    <t>061-82-7372</t>
  </si>
  <si>
    <t>074-70-6056</t>
  </si>
  <si>
    <t>118-64-6722</t>
  </si>
  <si>
    <t>089-62-7038</t>
  </si>
  <si>
    <t>128-60-2390</t>
  </si>
  <si>
    <t>078-60-5540</t>
  </si>
  <si>
    <t>106-62-5375</t>
  </si>
  <si>
    <t>125-54-5343</t>
  </si>
  <si>
    <t>076-72-1367</t>
  </si>
  <si>
    <t>133-90-1176</t>
  </si>
  <si>
    <t>076-74-6615</t>
  </si>
  <si>
    <t>128-48-8728</t>
  </si>
  <si>
    <t>128-80-5920</t>
  </si>
  <si>
    <t>063-58-3116</t>
  </si>
  <si>
    <t>050-66-3289</t>
  </si>
  <si>
    <t>115-80-5068</t>
  </si>
  <si>
    <t>583-11-3015</t>
  </si>
  <si>
    <t>000-00-5808</t>
  </si>
  <si>
    <t>117-62-5992</t>
  </si>
  <si>
    <t>226-31-6509</t>
  </si>
  <si>
    <t>100-46-9791</t>
  </si>
  <si>
    <t>108-54-4962</t>
  </si>
  <si>
    <t>377-88-6199</t>
  </si>
  <si>
    <t>108-66-2844</t>
  </si>
  <si>
    <t>082-88-4185</t>
  </si>
  <si>
    <t>133-68-0834</t>
  </si>
  <si>
    <t>163-58-5978</t>
  </si>
  <si>
    <t>858-94-6918</t>
  </si>
  <si>
    <t>454-33-4555</t>
  </si>
  <si>
    <t>067-62-5797</t>
  </si>
  <si>
    <t>123-70-8001</t>
  </si>
  <si>
    <t>077-63-2837</t>
  </si>
  <si>
    <t>614-68-0110</t>
  </si>
  <si>
    <t>208-58-9688</t>
  </si>
  <si>
    <t>117-70-7974</t>
  </si>
  <si>
    <t>074-56-0015</t>
  </si>
  <si>
    <t>065-56-8975</t>
  </si>
  <si>
    <t>054-40-6814</t>
  </si>
  <si>
    <t>081-42-5435</t>
  </si>
  <si>
    <t>000-00-8736</t>
  </si>
  <si>
    <t>086-66-2650</t>
  </si>
  <si>
    <t>560-85-9457</t>
  </si>
  <si>
    <t>069-64-3494</t>
  </si>
  <si>
    <t>596-01-7757</t>
  </si>
  <si>
    <t>132-88-0017</t>
  </si>
  <si>
    <t>584-85-3440</t>
  </si>
  <si>
    <t>103-42-7746</t>
  </si>
  <si>
    <t>065-78-6382</t>
  </si>
  <si>
    <t>103-42-8843</t>
  </si>
  <si>
    <t>100-48-2729</t>
  </si>
  <si>
    <t>100-72-5803</t>
  </si>
  <si>
    <t>000-00-9115</t>
  </si>
  <si>
    <t>086-80-8212</t>
  </si>
  <si>
    <t>128-50-3227</t>
  </si>
  <si>
    <t>065-70-5629</t>
  </si>
  <si>
    <t>000-00-2160</t>
  </si>
  <si>
    <t>000-00-9398</t>
  </si>
  <si>
    <t>092-80-0426</t>
  </si>
  <si>
    <t>568-61-3225</t>
  </si>
  <si>
    <t>099-68-1862</t>
  </si>
  <si>
    <t>598-20-6414</t>
  </si>
  <si>
    <t>106-32-1676</t>
  </si>
  <si>
    <t>000-00-8607</t>
  </si>
  <si>
    <t>202-58-8094</t>
  </si>
  <si>
    <t>000-00-4743</t>
  </si>
  <si>
    <t>084-54-0240</t>
  </si>
  <si>
    <t>070-34-8997</t>
  </si>
  <si>
    <t>124-32-5100</t>
  </si>
  <si>
    <t>115-60-4516</t>
  </si>
  <si>
    <t>111-60-9031</t>
  </si>
  <si>
    <t>072-33-3443</t>
  </si>
  <si>
    <t>062-76-5713</t>
  </si>
  <si>
    <t>128-86-1001</t>
  </si>
  <si>
    <t>081-34-2260</t>
  </si>
  <si>
    <t>132-36-2113</t>
  </si>
  <si>
    <t>128-66-9210</t>
  </si>
  <si>
    <t>051-46-4850</t>
  </si>
  <si>
    <t>088-86-1972</t>
  </si>
  <si>
    <t>300-29-0231</t>
  </si>
  <si>
    <t>076-34-4597</t>
  </si>
  <si>
    <t>057-58-8627</t>
  </si>
  <si>
    <t>109-64-3895</t>
  </si>
  <si>
    <t>082-56-6937</t>
  </si>
  <si>
    <t>056-58-9463</t>
  </si>
  <si>
    <t>000-00-8340</t>
  </si>
  <si>
    <t>125-68-8738</t>
  </si>
  <si>
    <t>095-64-8624</t>
  </si>
  <si>
    <t>603-70-6655</t>
  </si>
  <si>
    <t>093-54-1189</t>
  </si>
  <si>
    <t>098-36-9473</t>
  </si>
  <si>
    <t>122-86-2625</t>
  </si>
  <si>
    <t>123-60-1188</t>
  </si>
  <si>
    <t>099-52-7433</t>
  </si>
  <si>
    <t>186-70-5725</t>
  </si>
  <si>
    <t>092-76-6481</t>
  </si>
  <si>
    <t>000-00-7706</t>
  </si>
  <si>
    <t>094-38-8543</t>
  </si>
  <si>
    <t>074-80-1641</t>
  </si>
  <si>
    <t>519-39-2805</t>
  </si>
  <si>
    <t>132-70-2696</t>
  </si>
  <si>
    <t>102-40-6471</t>
  </si>
  <si>
    <t>119-76-8672</t>
  </si>
  <si>
    <t>000-00-6581</t>
  </si>
  <si>
    <t>085-76-7156</t>
  </si>
  <si>
    <t>607-82-8947</t>
  </si>
  <si>
    <t>076-60-8686</t>
  </si>
  <si>
    <t>078-66-7307</t>
  </si>
  <si>
    <t>541-29-3269</t>
  </si>
  <si>
    <t>092-42-4369</t>
  </si>
  <si>
    <t>124-60-8702</t>
  </si>
  <si>
    <t>107-68-4705</t>
  </si>
  <si>
    <t>092-54-2455</t>
  </si>
  <si>
    <t>092-76-9844</t>
  </si>
  <si>
    <t>131-40-4187</t>
  </si>
  <si>
    <t>070-46-2919</t>
  </si>
  <si>
    <t>597-26-3727</t>
  </si>
  <si>
    <t>080-52-2049</t>
  </si>
  <si>
    <t>000-00-9129</t>
  </si>
  <si>
    <t>102-60-4810</t>
  </si>
  <si>
    <t>121-54-1862</t>
  </si>
  <si>
    <t>088-64-8063</t>
  </si>
  <si>
    <t>043-90-5832</t>
  </si>
  <si>
    <t>119-48-0519</t>
  </si>
  <si>
    <t>088-90-0969</t>
  </si>
  <si>
    <t>104-58-8990</t>
  </si>
  <si>
    <t>143-96-6319</t>
  </si>
  <si>
    <t>118-44-9523</t>
  </si>
  <si>
    <t>101-50-5332</t>
  </si>
  <si>
    <t>004-72-8629</t>
  </si>
  <si>
    <t>050-58-7243</t>
  </si>
  <si>
    <t>239-64-3026</t>
  </si>
  <si>
    <t>082-46-5961</t>
  </si>
  <si>
    <t>120-54-8259</t>
  </si>
  <si>
    <t>122-78-6501</t>
  </si>
  <si>
    <t>098-56-7228</t>
  </si>
  <si>
    <t>000-00-5343</t>
  </si>
  <si>
    <t>000-00-9466</t>
  </si>
  <si>
    <t>000-00-5025</t>
  </si>
  <si>
    <t>106-74-8743</t>
  </si>
  <si>
    <t>078-74-8726</t>
  </si>
  <si>
    <t>634-12-0794</t>
  </si>
  <si>
    <t>128-70-1787</t>
  </si>
  <si>
    <t>052-82-2957</t>
  </si>
  <si>
    <t>089-76-9848</t>
  </si>
  <si>
    <t>098-64-8015</t>
  </si>
  <si>
    <t>584-04-4938</t>
  </si>
  <si>
    <t>108-78-8589</t>
  </si>
  <si>
    <t>348-74-3168</t>
  </si>
  <si>
    <t>198-72-0111</t>
  </si>
  <si>
    <t>080-64-8187</t>
  </si>
  <si>
    <t>115-86-3743</t>
  </si>
  <si>
    <t>115-62-9440</t>
  </si>
  <si>
    <t>627-20-2678</t>
  </si>
  <si>
    <t>255-83-0669</t>
  </si>
  <si>
    <t>045-40-3737</t>
  </si>
  <si>
    <t>549-02-9948</t>
  </si>
  <si>
    <t>177-42-0513</t>
  </si>
  <si>
    <t>075-64-1188</t>
  </si>
  <si>
    <t>100-70-5093</t>
  </si>
  <si>
    <t>580-04-1530</t>
  </si>
  <si>
    <t>051-56-8784</t>
  </si>
  <si>
    <t>596-09-6071</t>
  </si>
  <si>
    <t>248-11-9611</t>
  </si>
  <si>
    <t>125-62-3341</t>
  </si>
  <si>
    <t>063-58-1888</t>
  </si>
  <si>
    <t>051-70-7156</t>
  </si>
  <si>
    <t>209-40-2166</t>
  </si>
  <si>
    <t>128-96-0875</t>
  </si>
  <si>
    <t>247-19-4794</t>
  </si>
  <si>
    <t>134-70-5522</t>
  </si>
  <si>
    <t>577-02-8879</t>
  </si>
  <si>
    <t>081-66-0716</t>
  </si>
  <si>
    <t>055-78-6989</t>
  </si>
  <si>
    <t>058-70-0472</t>
  </si>
  <si>
    <t>065-50-7123</t>
  </si>
  <si>
    <t>103-84-5400</t>
  </si>
  <si>
    <t>543-45-6906</t>
  </si>
  <si>
    <t>128-56-7187</t>
  </si>
  <si>
    <t>077-70-2876</t>
  </si>
  <si>
    <t>164-54-6271</t>
  </si>
  <si>
    <t>086-68-3578</t>
  </si>
  <si>
    <t>166-80-9863</t>
  </si>
  <si>
    <t>176-76-1304</t>
  </si>
  <si>
    <t>087-98-5687</t>
  </si>
  <si>
    <t>058-60-5720</t>
  </si>
  <si>
    <t>117-64-9588</t>
  </si>
  <si>
    <t>109-60-1869</t>
  </si>
  <si>
    <t>058-90-0140</t>
  </si>
  <si>
    <t>159-29-5522</t>
  </si>
  <si>
    <t>103-18-1422</t>
  </si>
  <si>
    <t>057-88-7003</t>
  </si>
  <si>
    <t>080-72-3394</t>
  </si>
  <si>
    <t>133-58-6816</t>
  </si>
  <si>
    <t>076-50-8841</t>
  </si>
  <si>
    <t>052-72-1303</t>
  </si>
  <si>
    <t>069-76-7824</t>
  </si>
  <si>
    <t>102-50-9783</t>
  </si>
  <si>
    <t>079-68-6666</t>
  </si>
  <si>
    <t>017-70-7033</t>
  </si>
  <si>
    <t>087-48-0506</t>
  </si>
  <si>
    <t>080-54-3328</t>
  </si>
  <si>
    <t>117-54-0356</t>
  </si>
  <si>
    <t>119-60-6408</t>
  </si>
  <si>
    <t>054-70-7207</t>
  </si>
  <si>
    <t>131-44-7635</t>
  </si>
  <si>
    <t>075-56-9004</t>
  </si>
  <si>
    <t>594-10-3068</t>
  </si>
  <si>
    <t>050-82-7517</t>
  </si>
  <si>
    <t>088-40-4774</t>
  </si>
  <si>
    <t>055-40-0059</t>
  </si>
  <si>
    <t>072-58-6750</t>
  </si>
  <si>
    <t>580-06-7408</t>
  </si>
  <si>
    <t>117-62-7802</t>
  </si>
  <si>
    <t>149-90-5428</t>
  </si>
  <si>
    <t>120-78-7792</t>
  </si>
  <si>
    <t>064-46-5198</t>
  </si>
  <si>
    <t>138-32-3136</t>
  </si>
  <si>
    <t>014-70-1864</t>
  </si>
  <si>
    <t>095-58-8585</t>
  </si>
  <si>
    <t>583-96-3623</t>
  </si>
  <si>
    <t>056-70-1457</t>
  </si>
  <si>
    <t>054-72-8130</t>
  </si>
  <si>
    <t>000-00-0578</t>
  </si>
  <si>
    <t>520-33-2846</t>
  </si>
  <si>
    <t>191-86-5503</t>
  </si>
  <si>
    <t>080-94-3683</t>
  </si>
  <si>
    <t>000-00-1582</t>
  </si>
  <si>
    <t>267-68-3992</t>
  </si>
  <si>
    <t>121-72-9088</t>
  </si>
  <si>
    <t>063-84-2021</t>
  </si>
  <si>
    <t>563-77-9158</t>
  </si>
  <si>
    <t>114-70-7714</t>
  </si>
  <si>
    <t>087-48-5311</t>
  </si>
  <si>
    <t>124-64-6297</t>
  </si>
  <si>
    <t>249-81-5160</t>
  </si>
  <si>
    <t>251-65-9262</t>
  </si>
  <si>
    <t>105-30-4113</t>
  </si>
  <si>
    <t>063-42-4065</t>
  </si>
  <si>
    <t>082-68-5412</t>
  </si>
  <si>
    <t>614-50-5948</t>
  </si>
  <si>
    <t>100-40-4679</t>
  </si>
  <si>
    <t>056-64-3902</t>
  </si>
  <si>
    <t>098-64-6827</t>
  </si>
  <si>
    <t>078-58-6780</t>
  </si>
  <si>
    <t>141-84-5048</t>
  </si>
  <si>
    <t>595-89-3150</t>
  </si>
  <si>
    <t>050-64-6373</t>
  </si>
  <si>
    <t>105-56-7824</t>
  </si>
  <si>
    <t>590-52-6713</t>
  </si>
  <si>
    <t>064-54-7199</t>
  </si>
  <si>
    <t>544-02-9948</t>
  </si>
  <si>
    <t>130-68-9830</t>
  </si>
  <si>
    <t>306-92-3236</t>
  </si>
  <si>
    <t>123-70-4799</t>
  </si>
  <si>
    <t>088-72-2873</t>
  </si>
  <si>
    <t>322-58-3423</t>
  </si>
  <si>
    <t>492-11-8787</t>
  </si>
  <si>
    <t>132-82-2399</t>
  </si>
  <si>
    <t>121-68-0346</t>
  </si>
  <si>
    <t>124-60-7774</t>
  </si>
  <si>
    <t>353-86-7413</t>
  </si>
  <si>
    <t>101-52-8768</t>
  </si>
  <si>
    <t>534-17-8320</t>
  </si>
  <si>
    <t>117-86-6544</t>
  </si>
  <si>
    <t>124-76-7374</t>
  </si>
  <si>
    <t>101-76-1048</t>
  </si>
  <si>
    <t>102-98-6344</t>
  </si>
  <si>
    <t>058-54-7648</t>
  </si>
  <si>
    <t>158-64-9685</t>
  </si>
  <si>
    <t>092-80-4639</t>
  </si>
  <si>
    <t>107-80-9996</t>
  </si>
  <si>
    <t>241-90-1980</t>
  </si>
  <si>
    <t>068-58-2749</t>
  </si>
  <si>
    <t>094-87-1558</t>
  </si>
  <si>
    <t>051-64-7680</t>
  </si>
  <si>
    <t>083-78-9685</t>
  </si>
  <si>
    <t>065-46-0754</t>
  </si>
  <si>
    <t>083-68-6866</t>
  </si>
  <si>
    <t>609-24-9962</t>
  </si>
  <si>
    <t>129-66-4028</t>
  </si>
  <si>
    <t>116-50-0917</t>
  </si>
  <si>
    <t>594-41-6078</t>
  </si>
  <si>
    <t>154-50-2433</t>
  </si>
  <si>
    <t>366-96-3121</t>
  </si>
  <si>
    <t>564-73-0351</t>
  </si>
  <si>
    <t>624-50-1872</t>
  </si>
  <si>
    <t>532-94-6576</t>
  </si>
  <si>
    <t>058-78-8018</t>
  </si>
  <si>
    <t>114-70-4886</t>
  </si>
  <si>
    <t>116-72-8482</t>
  </si>
  <si>
    <t>116-54-1124</t>
  </si>
  <si>
    <t>096-68-0205</t>
  </si>
  <si>
    <t>037-93-4546</t>
  </si>
  <si>
    <t>009-74-0590</t>
  </si>
  <si>
    <t>729-07-7432</t>
  </si>
  <si>
    <t>230-63-1094</t>
  </si>
  <si>
    <t>028-52-0629</t>
  </si>
  <si>
    <t>074-84-5501</t>
  </si>
  <si>
    <t>100-68-0083</t>
  </si>
  <si>
    <t>449-91-3667</t>
  </si>
  <si>
    <t>128-66-5291</t>
  </si>
  <si>
    <t>531-43-5376</t>
  </si>
  <si>
    <t>104-64-5899</t>
  </si>
  <si>
    <t>319-62-8269</t>
  </si>
  <si>
    <t>111-70-1310</t>
  </si>
  <si>
    <t>131-72-5981</t>
  </si>
  <si>
    <t>524-63-4064</t>
  </si>
  <si>
    <t>758-77-6626</t>
  </si>
  <si>
    <t>000-00-0303</t>
  </si>
  <si>
    <t>615-52-9782</t>
  </si>
  <si>
    <t>082-58-6054</t>
  </si>
  <si>
    <t>000-00-5374</t>
  </si>
  <si>
    <t>534-19-3698</t>
  </si>
  <si>
    <t>063-44-9139</t>
  </si>
  <si>
    <t>042-82-4087</t>
  </si>
  <si>
    <t>000-00-1612</t>
  </si>
  <si>
    <t>029-64-3712</t>
  </si>
  <si>
    <t>071-64-5267</t>
  </si>
  <si>
    <t>068-68-6129</t>
  </si>
  <si>
    <t>220-88-5955</t>
  </si>
  <si>
    <t>175-66-9812</t>
  </si>
  <si>
    <t>866-91-7307</t>
  </si>
  <si>
    <t>107-46-5578</t>
  </si>
  <si>
    <t>087-76-3187</t>
  </si>
  <si>
    <t>100-50-3076</t>
  </si>
  <si>
    <t>057-68-2109</t>
  </si>
  <si>
    <t>118-64-4220</t>
  </si>
  <si>
    <t>083-46-6887</t>
  </si>
  <si>
    <t>487-04-3487</t>
  </si>
  <si>
    <t>101-76-7967</t>
  </si>
  <si>
    <t>Unregulated</t>
  </si>
  <si>
    <t>Rent Stabilized</t>
  </si>
  <si>
    <t>Project-based Sec. 8</t>
  </si>
  <si>
    <t>Mitchell-Lama</t>
  </si>
  <si>
    <t>Rent Controlled</t>
  </si>
  <si>
    <t>HDFC</t>
  </si>
  <si>
    <t>Other Subsidized Housing</t>
  </si>
  <si>
    <t>Low Income Tax Credit</t>
  </si>
  <si>
    <t>Public Housing/NYCHA</t>
  </si>
  <si>
    <t>Unregulated – Co-Op</t>
  </si>
  <si>
    <t>Supportive Housing</t>
  </si>
  <si>
    <t>Unregulated – Other</t>
  </si>
  <si>
    <t>Public Housing</t>
  </si>
  <si>
    <t>Unregulated – Sublet</t>
  </si>
  <si>
    <t>Tenant-interim-lease</t>
  </si>
  <si>
    <t>Section 8</t>
  </si>
  <si>
    <t>City FEPS</t>
  </si>
  <si>
    <t>FEPS</t>
  </si>
  <si>
    <t>HOMETBRA</t>
  </si>
  <si>
    <t>HUD VASH</t>
  </si>
  <si>
    <t>HASA</t>
  </si>
  <si>
    <t>LINC</t>
  </si>
  <si>
    <t>DRIE/SCRIE</t>
  </si>
  <si>
    <t>SEPS</t>
  </si>
  <si>
    <t>Pathways Home</t>
  </si>
  <si>
    <t>SOTA</t>
  </si>
  <si>
    <t>11/28/2016</t>
  </si>
  <si>
    <t>04/12/2017</t>
  </si>
  <si>
    <t>12/10/2015</t>
  </si>
  <si>
    <t>08/22/2016</t>
  </si>
  <si>
    <t>01/06/2007</t>
  </si>
  <si>
    <t>08/29/2016</t>
  </si>
  <si>
    <t>11/03/2017</t>
  </si>
  <si>
    <t>08/05/2016</t>
  </si>
  <si>
    <t>02/23/2017</t>
  </si>
  <si>
    <t>06/03/2016</t>
  </si>
  <si>
    <t>08/31/2017</t>
  </si>
  <si>
    <t>11/07/2017</t>
  </si>
  <si>
    <t>08/09/2017</t>
  </si>
  <si>
    <t>07/06/2019</t>
  </si>
  <si>
    <t>07/11/2017</t>
  </si>
  <si>
    <t>02/20/2017</t>
  </si>
  <si>
    <t>10/26/2019</t>
  </si>
  <si>
    <t>FJC Waiver</t>
  </si>
  <si>
    <t>CAT3: Cases Involving Rent-Regulated Housing Or Housing Subsidies Vouchers</t>
  </si>
  <si>
    <t>CAT1: HRA Referral</t>
  </si>
  <si>
    <t>CAT2: Housing Court Referral</t>
  </si>
  <si>
    <t>Income Waiver</t>
  </si>
  <si>
    <t>Zip Code Waiver</t>
  </si>
  <si>
    <t>English</t>
  </si>
  <si>
    <t>Spanish</t>
  </si>
  <si>
    <t>Bengali</t>
  </si>
  <si>
    <t>Urdu</t>
  </si>
  <si>
    <t>Arabic</t>
  </si>
  <si>
    <t>Chinese/Mandarin</t>
  </si>
  <si>
    <t>Creole</t>
  </si>
  <si>
    <t>Danish</t>
  </si>
  <si>
    <t>Mandarin</t>
  </si>
  <si>
    <t>Korean</t>
  </si>
  <si>
    <t>Rumanian</t>
  </si>
  <si>
    <t>Finnish</t>
  </si>
  <si>
    <t xml:space="preserve">Chinese </t>
  </si>
  <si>
    <t>Russian</t>
  </si>
  <si>
    <t>Cantonese</t>
  </si>
  <si>
    <t>Dutch</t>
  </si>
  <si>
    <t>Serbocroatian</t>
  </si>
  <si>
    <t>Polish</t>
  </si>
  <si>
    <t>Samoan</t>
  </si>
  <si>
    <t>Persian</t>
  </si>
  <si>
    <t>Amer. Sign Lang.</t>
  </si>
  <si>
    <t>Chinese/Cantonese</t>
  </si>
  <si>
    <t>Not Entered</t>
  </si>
  <si>
    <t>French Creole</t>
  </si>
  <si>
    <t>Greek</t>
  </si>
  <si>
    <t>Portuguese</t>
  </si>
  <si>
    <t>Japanese</t>
  </si>
  <si>
    <t>Waiver obtained re No DHCI required</t>
  </si>
  <si>
    <t>Wavier for APT Facial Recognition. No DHCI required.</t>
  </si>
  <si>
    <t>Wavier for APT Facial Recognition. No DHCI required. Compliance forms are in 19-1897190</t>
  </si>
  <si>
    <t>Building wide waiver obtained for DHCI form</t>
  </si>
  <si>
    <t>DHCI requirement waived re building wide initiative in opposition to Facial Recognition</t>
  </si>
  <si>
    <t>Waiver obtained for DHCI and SSN</t>
  </si>
  <si>
    <t>Compliance docs located in companion file #18-1882630</t>
  </si>
  <si>
    <t>No TNo TRC funding because cant get retainer</t>
  </si>
  <si>
    <t>Waiver obtained re No DHCI required. Attestation &amp; Release are housed in parent file #19-1891491</t>
  </si>
  <si>
    <t>Waiver obtained re No DHCI required. Attestation &amp; Release are housed in parent file #19-1891507</t>
  </si>
  <si>
    <t>Waiver obtained re No DHCI required.</t>
  </si>
  <si>
    <t>Compliance forms are 19-1897167</t>
  </si>
  <si>
    <t>Building wide waiver obtained for DHCI form - Compliance Docs located in companion file #19-1897528</t>
  </si>
  <si>
    <t>Compliance forms are in LS 19-1901993</t>
  </si>
  <si>
    <t>Compliance forms are in LS 19-1902020</t>
  </si>
  <si>
    <t>Client never met with any staff member. Advised over the phone</t>
  </si>
  <si>
    <t>This file is part of Housing Court case 19-1904189</t>
  </si>
  <si>
    <t>compliance doc 18-1876696</t>
  </si>
  <si>
    <t>Release and DHCI in 18-1871432</t>
  </si>
  <si>
    <t>see 18-1875936 for compliance docs</t>
  </si>
  <si>
    <t>Compliance forms and all other documents can be found in original case 18-1872177</t>
  </si>
  <si>
    <t>DHCI Form does not match what is in LS</t>
  </si>
  <si>
    <t>no forms yet</t>
  </si>
  <si>
    <t>possible; dup release and DHCI in 19-1910612</t>
  </si>
  <si>
    <t>DO-Docs signed and uploaded</t>
  </si>
  <si>
    <t>release in repair file</t>
  </si>
  <si>
    <t>Retainer at 16-0804064</t>
  </si>
  <si>
    <t>DHCI Form, Releases &amp; attestation located in companion file #19-1891794</t>
  </si>
  <si>
    <t>All compliance forms in companion file #19-1900011</t>
  </si>
  <si>
    <t>Compliance docs located in parent file 19-1895273</t>
  </si>
  <si>
    <t>Release uploaded SRB</t>
  </si>
  <si>
    <t>Additional compliance docs located in parent file 19-1895273</t>
  </si>
  <si>
    <t>compliancedocs: HRA release in 17-0828947 RR-7/20/17</t>
  </si>
  <si>
    <t>DHCI waived for Bnkcy clients in building wide NEBHDCO actions</t>
  </si>
  <si>
    <t>Still needs attestation &amp; Retainer</t>
  </si>
  <si>
    <t>Compliance docs located in companion file #19-1895289</t>
  </si>
  <si>
    <t>Client never met with any staff member. Advised over the phone.</t>
  </si>
  <si>
    <t>Unsigned Consent to Release  - Cannot Report</t>
  </si>
  <si>
    <t>compliance docs are in retainer folder</t>
  </si>
  <si>
    <t>compliance docs are in attestation folder</t>
  </si>
  <si>
    <t>Client never met with any staff members. Advised over the phone</t>
  </si>
  <si>
    <t>Client never met with any staff member. Advised over phone.</t>
  </si>
  <si>
    <t>Advice Only</t>
  </si>
  <si>
    <t>Relase in 19-1887291</t>
  </si>
  <si>
    <t>Consumer debt case</t>
  </si>
  <si>
    <t>No benefit, HRA verified, 7/20/17</t>
  </si>
  <si>
    <t>4/18 - HPLP if case is filed; TRC if not. Need consent &amp; DHCI</t>
  </si>
  <si>
    <t>All DHCR advocacy occurred 4 months apart, we just obtained all forms in 2018.  No benefit, HRA verified, 7/20/17</t>
  </si>
  <si>
    <t>No 4 month issue, PAR, rent reduction and MCI opp all occurred 4+ months apart</t>
  </si>
  <si>
    <t>4/10-needs advocacy or advice notes</t>
  </si>
  <si>
    <t>no ben as per HRA 3-13-17</t>
  </si>
  <si>
    <t>HRA consent uploaded</t>
  </si>
  <si>
    <t>HRA Consent uploaded</t>
  </si>
  <si>
    <t>Client did not provide SS number</t>
  </si>
  <si>
    <t>5/10 - need advice notes; DHCI in case # 19-1897373</t>
  </si>
  <si>
    <t>DHCI by HRA</t>
  </si>
  <si>
    <t>refused to give SS#</t>
  </si>
  <si>
    <t>compliance docs in Case No: (19-1895470</t>
  </si>
  <si>
    <t>DHCI form done</t>
  </si>
  <si>
    <t>rep in group dhcr reduction of services action</t>
  </si>
  <si>
    <t>non permanent resident dv victim</t>
  </si>
  <si>
    <t>HRA consent and DHCI forms are in in file #18-1877914</t>
  </si>
  <si>
    <t>Consent forms are in LS case #19-1893888</t>
  </si>
  <si>
    <t>COMPLIANCEDOCS: HRA RELEASE AND DECLARATION OF INCOME IN 17-0827132, RR-7/25/17</t>
  </si>
  <si>
    <t>Missing forms</t>
  </si>
  <si>
    <t>non-resident. DV victim</t>
  </si>
  <si>
    <t>DV-No SSN</t>
  </si>
  <si>
    <t>CASA 5/2/19 , missing advice notes</t>
  </si>
  <si>
    <t>HRA release/Intake packet at 19-1898908</t>
  </si>
  <si>
    <t>HPD rollover case</t>
  </si>
  <si>
    <t>COnsebt and DHCI 19-1897729</t>
  </si>
  <si>
    <t>PA Advocacy for Index No. LT-080893-18/KI</t>
  </si>
  <si>
    <t>COMPLIANCEDOCS: HRA RELEASE, DECLARATION OF INCOME IN 16-0805750, RR-7/27/17</t>
  </si>
  <si>
    <t>Compliance docs located in parent file 18-1874395</t>
  </si>
  <si>
    <t>DO-Docs signed and uploaded-File is under the compliance folder as "Attestation"</t>
  </si>
  <si>
    <t>DHCI form done HRA</t>
  </si>
  <si>
    <t>releases/packet uploaded</t>
  </si>
  <si>
    <t>HPLP/TRC swap</t>
  </si>
  <si>
    <t>Compliance forms are in 19-1902158</t>
  </si>
  <si>
    <t>Upload in compliance folder</t>
  </si>
  <si>
    <t>refused to give whole SS#</t>
  </si>
  <si>
    <t>Client provided last 4 digits of SS# but declined to provide in its entirety.</t>
  </si>
  <si>
    <t>signed DHCI</t>
  </si>
  <si>
    <t>4/18 - case type &amp; status unclear from notes</t>
  </si>
  <si>
    <t>Coded as TRC as part of a HPLP/TRC swap, CN</t>
  </si>
  <si>
    <t>PA advocacy for index # LT-073674-19/KI</t>
  </si>
  <si>
    <t>unable to obtain retainer despite best efforts</t>
  </si>
  <si>
    <t>Client did not provide SS#.</t>
  </si>
  <si>
    <t>S. Prado to upload forms, we have them</t>
  </si>
  <si>
    <t>PA Advocacy for Index # LT-017910-18/KI</t>
  </si>
  <si>
    <t>Client did not wnat to provide her SS number</t>
  </si>
  <si>
    <t>Sent by email to Sylvia</t>
  </si>
  <si>
    <t>THIS IS Elder unit/ACP case</t>
  </si>
  <si>
    <t>PA Check AB</t>
  </si>
  <si>
    <t>PA Advocacy for Index LT-065317-19/KI</t>
  </si>
  <si>
    <t>compliancedocs: hra release in 15-0780976  rr-7/20/17</t>
  </si>
  <si>
    <t>PA Advocacy for Index # LT-073248-19/KI</t>
  </si>
  <si>
    <t>Compliance forms are in LS 19-1895279</t>
  </si>
  <si>
    <t>Consent to Release Form is unsigned</t>
  </si>
  <si>
    <t>full PA benefits</t>
  </si>
  <si>
    <t>Opposition to Facial Recogntion. Wavier for APT Facial Recognition. No DHCI Required.</t>
  </si>
  <si>
    <t>Compliance forms are in LS 19-1902001</t>
  </si>
  <si>
    <t>HRA consent in 2016 file</t>
  </si>
  <si>
    <t>Wavier for facial recognition. No DHCI required.</t>
  </si>
  <si>
    <t>Atlantic Plaza Towers facial recognition advocacy</t>
  </si>
  <si>
    <t>HRA Rollover case</t>
  </si>
  <si>
    <t>upload in 17-1852920</t>
  </si>
  <si>
    <t>Compliance Docs located in parent file 18-1855866</t>
  </si>
  <si>
    <t>forms in other case, Ester to upload</t>
  </si>
  <si>
    <t>Waiver obtained for APT facial recognition group wide initiative - No DHCI required</t>
  </si>
  <si>
    <t>Compliance forms are in original LS 19-1890543</t>
  </si>
  <si>
    <t>Building-wide rent reduction application. Notes are in case 19-1911193. All compliance forms have been uploaded.</t>
  </si>
  <si>
    <t>Group HP case. Notes in 19-1911193. All compliance forms have been uploaded.</t>
  </si>
  <si>
    <t>4/18 - case status unclear from notes</t>
  </si>
  <si>
    <t>All releases and forms are uploaded</t>
  </si>
  <si>
    <t>Compliance forms are in 19-1898251</t>
  </si>
  <si>
    <t>Cl is over 200%, income waiver granted by HRA 11/22/17</t>
  </si>
  <si>
    <t>HRA consent is in 2016 file and HRA approved income waiver in Nov. 2017</t>
  </si>
  <si>
    <t>Waiver obtained - No DHCI required</t>
  </si>
  <si>
    <t>Waiver obtained - No DHCI required Compliance Docs located in parent file #19-1890532</t>
  </si>
  <si>
    <t>upload in 17-1853915</t>
  </si>
  <si>
    <t>Compliance docs located in parent file 18-1878374</t>
  </si>
  <si>
    <t>compliance docs located in parent file 18-1878374</t>
  </si>
  <si>
    <t>Waiver for APT Facial Recognition. No DHCI required.</t>
  </si>
  <si>
    <t>Compliance forms are LS 19-1901977</t>
  </si>
  <si>
    <t>under TRC coz there is no pending case</t>
  </si>
  <si>
    <t>HRA verified active PA/SNAP 3/13/17</t>
  </si>
  <si>
    <t>releases in 19-1900448</t>
  </si>
  <si>
    <t>Compliance Forms are in LS 19-1895314</t>
  </si>
  <si>
    <t>Compliance forms are in 19-1896739</t>
  </si>
  <si>
    <t>Compliance Forms are in 19-1896739</t>
  </si>
  <si>
    <t>compliance forms located in parent file 19-1896739</t>
  </si>
  <si>
    <t>Forms are in 63 file, 18-1859859</t>
  </si>
  <si>
    <t>HRA consent is in LS#18-1885738</t>
  </si>
  <si>
    <t>Neeeds New DHCI and Consent Form</t>
  </si>
  <si>
    <t>Compliance Forms are in 19-1896778</t>
  </si>
  <si>
    <t>Compliance forms are in 19-1896778</t>
  </si>
  <si>
    <t>Compliance docs located in companion file #19-1896778</t>
  </si>
  <si>
    <t>compliance docs located in parent file #18-1885168</t>
  </si>
  <si>
    <t>Compliance Docs located in parent file #18-1885168</t>
  </si>
  <si>
    <t>This case is for securing new lease renwal for client</t>
  </si>
  <si>
    <t>refused to give ss#</t>
  </si>
  <si>
    <t>Compliance forms are in 19-1895285</t>
  </si>
  <si>
    <t>upload in 17-1835050</t>
  </si>
  <si>
    <t>Compliance forms are in 19-1902042</t>
  </si>
  <si>
    <t>SS # not provided</t>
  </si>
  <si>
    <t>client declined to provide authorization to bill HRA , share info w/ funders, or fill out DHCI form.</t>
  </si>
  <si>
    <t>CASA 1/3</t>
  </si>
  <si>
    <t>Section 8 voucher case</t>
  </si>
  <si>
    <t>Compliance Docs located in parent file #18-1886406</t>
  </si>
  <si>
    <t>CASA 12/6</t>
  </si>
  <si>
    <t>compliance docs located in parent file #18-1885030</t>
  </si>
  <si>
    <t>Compliance Docs located in parent file #18-1885030</t>
  </si>
  <si>
    <t>Missing DHCI &amp; HRA Documents</t>
  </si>
  <si>
    <t>HRA and DHCI forms are in case #19-1887093</t>
  </si>
  <si>
    <t>intake/release forms are in Attestation-compliance folder of parent file #19-1887512</t>
  </si>
  <si>
    <t>City FHEPS Case #:10154731</t>
  </si>
  <si>
    <t>HRA verification in lieu of DHCI</t>
  </si>
  <si>
    <t>upload in 18-1871730</t>
  </si>
  <si>
    <t>DHCI marked yes b/c HRA verified AC/SNAP 3/23/2018</t>
  </si>
  <si>
    <t>client did not sign the consent to release</t>
  </si>
  <si>
    <t>4/12 - case status unclear from notes</t>
  </si>
  <si>
    <t>CASA 10/11</t>
  </si>
  <si>
    <t>Intake release forms are in Attestation-compliance folder</t>
  </si>
  <si>
    <t>DHCI FORM NOT SIGNED</t>
  </si>
  <si>
    <t>HRA Consent form &amp; Attestation located in Parent File 17-1854274</t>
  </si>
  <si>
    <t>Upload in 17-1852362</t>
  </si>
  <si>
    <t>No 4 month issue, rent reduction was done in 2016, PAR was done in 2017, just obtained forms in 2018</t>
  </si>
  <si>
    <t>Waiver obtained re No DHCI required. Attestation &amp; Release are housed in parent file #19-1891662</t>
  </si>
  <si>
    <t>PA Advocacy for Index No. LT-059006-19/KI.</t>
  </si>
  <si>
    <t>4/10 - unclear how to report as we're appearing as FOC</t>
  </si>
  <si>
    <t>HRA consent and DHCI forms are in LS#19-1899758</t>
  </si>
  <si>
    <t>Releases are in the attestation folder</t>
  </si>
  <si>
    <t>COMPLIANCEDOCS: HRA RELEASE, DECLARATION OF INCOME IN 16-0805850, RR-7/27/17</t>
  </si>
  <si>
    <t>Releases at case 17-1851828</t>
  </si>
  <si>
    <t>4/10 - case status unclear from notes</t>
  </si>
  <si>
    <t>SS# not provided</t>
  </si>
  <si>
    <t>This case got missed in earlier reporting, reporting it now</t>
  </si>
  <si>
    <t>Client did not provide his SS#</t>
  </si>
  <si>
    <t>Missing DHCI &amp; HRA Forms</t>
  </si>
  <si>
    <t>Compliance forms are in 19-1898732</t>
  </si>
  <si>
    <t>Missing forms and index #</t>
  </si>
  <si>
    <t>Did not provide SS #</t>
  </si>
  <si>
    <t>Unable to get compliance docs from tenant</t>
  </si>
  <si>
    <t>dhcr group reduction application</t>
  </si>
  <si>
    <t>Compliance forms are in LS 18-1878653.</t>
  </si>
  <si>
    <t>Compliance in 18-1878653</t>
  </si>
  <si>
    <t>despite best efforts unable to obtain compliance docs</t>
  </si>
  <si>
    <t>did not provide SS #</t>
  </si>
  <si>
    <t>Zip code waiver needed for new case against building wide initiative client</t>
  </si>
  <si>
    <t>PA Advocacy for Index LT-073440-19/KI</t>
  </si>
  <si>
    <t>Forms are in the other 2018 file</t>
  </si>
  <si>
    <t>CL gave verbal consent to O. Feliz to report his case to HRA</t>
  </si>
  <si>
    <t>Consent/DHCI forms are in 63 file, 17-1844285</t>
  </si>
  <si>
    <t>Consent to Release in 19-1893768</t>
  </si>
  <si>
    <t>Never met with client. No compliance docs obtained.</t>
  </si>
  <si>
    <t>Client never met with any staff member. Client was advised over the phone.</t>
  </si>
  <si>
    <t>missing DHCI &amp; HRA forms</t>
  </si>
  <si>
    <t>Compliance upload 18-1878653</t>
  </si>
  <si>
    <t>DHCI &amp; consent in 18-1884730</t>
  </si>
  <si>
    <t>PA advocacy for index # LT-076809-19/KI</t>
  </si>
  <si>
    <t>client revoked permission to share info with NYC and HRA on 10/1</t>
  </si>
  <si>
    <t>HRA forms in 18-1873865</t>
  </si>
  <si>
    <t>Client withdrew/did not attend scheduled HP clinic. No one met with him in person. No docs signed</t>
  </si>
  <si>
    <t>Client withdrew. Noone met with him but notes suggest hotline gave HP advice. Do docs obtained</t>
  </si>
  <si>
    <t>Wavier for APT facial recognition. No DHCI required.</t>
  </si>
  <si>
    <t>Compliance forms are in original LS 19-1892004</t>
  </si>
  <si>
    <t>did not provide SS#</t>
  </si>
  <si>
    <t>Wavier for APt facial recognition. No DHCI required.</t>
  </si>
  <si>
    <t>Compliance forms are in original LS 19-1891991</t>
  </si>
  <si>
    <t>Compliance docs are located in companion file #18-1879255</t>
  </si>
  <si>
    <t>consent in 2018 file; active HRA# in lieu of DHCI</t>
  </si>
  <si>
    <t>Provided full rep in same case, this case should be closed as ZZ</t>
  </si>
  <si>
    <t>DHCI Pending</t>
  </si>
  <si>
    <t>Compliance docs located in companion file #18-1882154</t>
  </si>
  <si>
    <t>Compliance Docs located in companion file #19-1897431</t>
  </si>
  <si>
    <t>Compliance forms are LS 19-1901986</t>
  </si>
  <si>
    <t>Release forms can be found in Attestation upload</t>
  </si>
  <si>
    <t>Zip code waiver required for client in a building wide initiative</t>
  </si>
  <si>
    <t>Compliance Docs located in parent file #18-1878029</t>
  </si>
  <si>
    <t>4/12 - need billing consent</t>
  </si>
  <si>
    <t>needs to be ZZ closed; prior FY</t>
  </si>
  <si>
    <t>Compliance docs located in file 18-1875239</t>
  </si>
  <si>
    <t>HRA and DHCI forms are in case #18-1877971</t>
  </si>
  <si>
    <t>Assistance provided to Jim McC on Holdover case file #18-1871668</t>
  </si>
  <si>
    <t>compliance papers are pending from GAL</t>
  </si>
  <si>
    <t>DO</t>
  </si>
  <si>
    <t>Refused to give SS#</t>
  </si>
  <si>
    <t>HPD Termination proceeding, no case number.</t>
  </si>
  <si>
    <t>Compliance forms are in LS 18-1878923</t>
  </si>
  <si>
    <t>Compliance in 18-1878923</t>
  </si>
  <si>
    <t>Client gave verbal consent to report to HRA</t>
  </si>
  <si>
    <t>HRA consent and DHCI forms are in LS#HRA consent is in LS#18-1885738</t>
  </si>
  <si>
    <t>Compliance docs located in Master file #19-1895077</t>
  </si>
  <si>
    <t>group reduction of services dhcr complaint</t>
  </si>
  <si>
    <t>Compliance Docs found in parent file 18-1878029</t>
  </si>
  <si>
    <t>PVT house</t>
  </si>
  <si>
    <t>HRA and DHCI forms are in case #19-1891900</t>
  </si>
  <si>
    <t>All forms are uploaded</t>
  </si>
  <si>
    <t>Releases are uploaded</t>
  </si>
  <si>
    <t>CL gave verbal consent to report to HRA on 1/11/18</t>
  </si>
  <si>
    <t>Compliance docs located in companion file #18-1884207</t>
  </si>
  <si>
    <t>see 19-1900440 for release and DHCI</t>
  </si>
  <si>
    <t>old form - minors with benefits but no PA number entered</t>
  </si>
  <si>
    <t>Wavier for APT Facial recognition. No DHCI required.</t>
  </si>
  <si>
    <t>Compliance forms are in original LS 19-1892678</t>
  </si>
  <si>
    <t>HRA referral</t>
  </si>
  <si>
    <t>All compliance forms and retainer in companion file #19-1899826</t>
  </si>
  <si>
    <t>Compliance forms are in 19-1897175</t>
  </si>
  <si>
    <t>did not provide ss #</t>
  </si>
  <si>
    <t>Upload in 17-1852179</t>
  </si>
  <si>
    <t>Compliance forms are in LS 19-1901098</t>
  </si>
  <si>
    <t>Compliance docs located in companion file #19-1901098</t>
  </si>
  <si>
    <t>PA case # 34203610A</t>
  </si>
  <si>
    <t>upload in 17-1852179</t>
  </si>
  <si>
    <t>don't need DHCI bc HRA verified benefits</t>
  </si>
  <si>
    <t>Compliance forms are in original LS 19-1892650</t>
  </si>
  <si>
    <t>Does a housing issue via Single Stop get SS or TRC funding code?</t>
  </si>
  <si>
    <t>See attestation at https://lsnyc.legalserver.org/matter/dynamic-profile/view/1899590</t>
  </si>
  <si>
    <t>Compliance doc located in file #18-1877829</t>
  </si>
  <si>
    <t>Need HRA consent form</t>
  </si>
  <si>
    <t>requested TRC waiver</t>
  </si>
  <si>
    <t>Attestation &amp; Releases are located in parent file #19-1894682</t>
  </si>
  <si>
    <t>Compliance forms are in LS 19-1903231</t>
  </si>
  <si>
    <t>Out-of-date forms in 17-1852369</t>
  </si>
  <si>
    <t>upload in 17-1852369</t>
  </si>
  <si>
    <t>Compliance forms are in 19-1897843</t>
  </si>
  <si>
    <t>Compliance docs located in 19-1887074</t>
  </si>
  <si>
    <t>Client did not want to provide her SS number</t>
  </si>
  <si>
    <t>This file is a part of Non-pay action File #19-1903654</t>
  </si>
  <si>
    <t>No 4 month issue, rent reduction was done in 2016, PAR was done in 2017, just obtained forms in 2018.  DHCI marked yes bc verified benefits</t>
  </si>
  <si>
    <t>Compliance forms are in 19-1897154</t>
  </si>
  <si>
    <t>SS# not given in full</t>
  </si>
  <si>
    <t>Compliance forms are in LS 18-1885061</t>
  </si>
  <si>
    <t>Complaince Form is in LS 19-1895329</t>
  </si>
  <si>
    <t>Compliance forms are in 19-1898956</t>
  </si>
  <si>
    <t>Waiver obtained re No DHCI required. Attestation &amp; Release are housed in parent file #19-1891604</t>
  </si>
  <si>
    <t>Client refused to give SS#</t>
  </si>
  <si>
    <t>No compliance docs as never met with client in person. Advice provided by Central Intake</t>
  </si>
  <si>
    <t>No services Provided in FY 20</t>
  </si>
  <si>
    <t>No Release Form (CLS)</t>
  </si>
  <si>
    <t>HRA and DHCI forms are in case #18-1882380</t>
  </si>
  <si>
    <t>Please see HRA and DCHI forms in LS # 19-1896204</t>
  </si>
  <si>
    <t>not sure if we can bill since case is about damages in a former apt?</t>
  </si>
  <si>
    <t>Forms uploaded at 18-1868067 (DHCI &gt;3 months old though)</t>
  </si>
  <si>
    <t>Never met with client in person. Gave simple advice over the phone. No physical file &amp; no compliance docs</t>
  </si>
  <si>
    <t>Consented via phone</t>
  </si>
  <si>
    <t>All compliance forms and retainer in companion file #19-1895279</t>
  </si>
  <si>
    <t>Attestation can be found in 18-1860318</t>
  </si>
  <si>
    <t>4/18 - still on hold?</t>
  </si>
  <si>
    <t>HPLP Income Waiver granted by HRA 8-29-17</t>
  </si>
  <si>
    <t>DHCI below; other forms are in 19-1896750</t>
  </si>
  <si>
    <t>DHCI below ; other forms are in 19-1896750</t>
  </si>
  <si>
    <t>DHCI below and other Compliance forms are in 19-1896750</t>
  </si>
  <si>
    <t>reviewed SRB 12.12.16</t>
  </si>
  <si>
    <t>18-1871414)</t>
  </si>
  <si>
    <t>COMPLIANCEDOCS: HRA RELEASE &amp; DECLARATION OF INCOME IN 16-0806835, RR-7/27/17</t>
  </si>
  <si>
    <t>missing forms</t>
  </si>
  <si>
    <t>DHCI form below and rest of Compliance docs located in parent file 19-1896750</t>
  </si>
  <si>
    <t>DHCI form and HRA release below</t>
  </si>
  <si>
    <t>HRA consent is in LS# 18-1882003</t>
  </si>
  <si>
    <t>RRO application</t>
  </si>
  <si>
    <t>SCRIE</t>
  </si>
  <si>
    <t>Compliance forms are in original LS 19-1892080</t>
  </si>
  <si>
    <t>HRA consent form is in 2016 file</t>
  </si>
  <si>
    <t>HRA consent is in 2016 file, DHCI form is in other 2018 file</t>
  </si>
  <si>
    <t>rent control overcharge assessment</t>
  </si>
  <si>
    <t>Compliance forms are in 19-1902026</t>
  </si>
  <si>
    <t>6.7.19: Advice call back assigned</t>
  </si>
  <si>
    <t>HPLP billable if not TRC</t>
  </si>
  <si>
    <t>Wavier for APT Facial Recogniton. No DHCI required.</t>
  </si>
  <si>
    <t>Compliance forms are in 19-1898987</t>
  </si>
  <si>
    <t>phone advice so far</t>
  </si>
  <si>
    <t>Compliance docs located in companion file #19-1895283</t>
  </si>
  <si>
    <t>Missing Forms</t>
  </si>
  <si>
    <t>Compliance docs in 19-1887570</t>
  </si>
  <si>
    <t>No 4 month issue, rent reduction was done in 2016, PAR was done in 2017, just obtained forms in 2018, DHCI form in other 63 file</t>
  </si>
  <si>
    <t>bill HPLP if advice only</t>
  </si>
  <si>
    <t>no pending case --&gt; TRC funding code</t>
  </si>
  <si>
    <t>Compliance forms are in LS 19-1899074</t>
  </si>
  <si>
    <t>Compliance docs located in companion file #19-1899074</t>
  </si>
  <si>
    <t>No Releases or Other Compliance docs</t>
  </si>
  <si>
    <t>UA/TRC funding swap; need billing consent + DHCI or active CA/SNAP # - 5/17</t>
  </si>
  <si>
    <t>Opposition to facial recognition. Wavier for APT facial recogniton. No DHCI required.</t>
  </si>
  <si>
    <t>zipcode waiver for NEBHDCO building wide initiative</t>
  </si>
  <si>
    <t>No releases obtained as one met with client in person.</t>
  </si>
  <si>
    <t>Client withdrew/did not keep his scheduled HP clinic appt. No one met with him in person and no docs signed.</t>
  </si>
  <si>
    <t>DHCI doesn't match LS</t>
  </si>
  <si>
    <t>4/10 - need consent; case status unclear</t>
  </si>
  <si>
    <t>HRA and DHCI forms are in case #18-1877963</t>
  </si>
  <si>
    <t>HRA verified benefits in April, have DHCI form in other 2018 file and HRA consent form in 2016 file</t>
  </si>
  <si>
    <t>Client didn't show to scheduled HP clinic. No one met with her and no docs obtained, however per notes advice was provided by access line.</t>
  </si>
  <si>
    <t>Wavier for APT Facial Recognition. No DHCI or SSN required. Compliance Docs located in parent file #19-1890555</t>
  </si>
  <si>
    <t>Wavier for APT Facial Recognition. No DHCI or SSN required.</t>
  </si>
  <si>
    <t>Compliance forms are in 19-1897702</t>
  </si>
  <si>
    <t>comp docs Elvy, Ray (18-1882171)</t>
  </si>
  <si>
    <t>confirm/upload forms</t>
  </si>
  <si>
    <t>Compliance at 18-1879063</t>
  </si>
  <si>
    <t>Compliance docs in 18-1879063</t>
  </si>
  <si>
    <t>Compliance forms are in original LS 19-1890177</t>
  </si>
  <si>
    <t>need DHCI to bill</t>
  </si>
  <si>
    <t>prior FY</t>
  </si>
  <si>
    <t>see 18-1879063 for comp docs</t>
  </si>
  <si>
    <t>comp docs in 18-1879063</t>
  </si>
  <si>
    <t>4/18 - need consent &amp; DHCI uploaded</t>
  </si>
  <si>
    <t>4/12 - case status unclear from notescase status unclear from notes</t>
  </si>
  <si>
    <t>HRA and DHCI forms are in case #18-1882351</t>
  </si>
  <si>
    <t>Client withdrew/did not show up for scheduled HP clinic. No one met with in person and no docs signed</t>
  </si>
  <si>
    <t>intake/releases uploaded</t>
  </si>
  <si>
    <t>Building wide waiver obtained for DHCI form - Compliance Docs located in companion file #19-1897516</t>
  </si>
  <si>
    <t>Compliance forms are in LS 19-1908611</t>
  </si>
  <si>
    <t>PA advocacy for index # LT-066745-18/KI</t>
  </si>
  <si>
    <t>DHCI form is in file 18-1870514</t>
  </si>
  <si>
    <t>This case is for assisting client with her lease renewal.</t>
  </si>
  <si>
    <t>Compliance Docs located in parent file #19-1892341 incl retainer &amp; attestation</t>
  </si>
  <si>
    <t>Compliance docs located in parent file #19-1895292</t>
  </si>
  <si>
    <t>Compliance is in 18-1879049</t>
  </si>
  <si>
    <t>Compliance upload 18-1878637</t>
  </si>
  <si>
    <t>HRA and DHCI forms are in case #18-1885956</t>
  </si>
  <si>
    <t>Consent to Obtain Only  Uploaded</t>
  </si>
  <si>
    <t>upload in 18-1879051</t>
  </si>
  <si>
    <t>Releases in (17-0831758)</t>
  </si>
  <si>
    <t>CASA advice?</t>
  </si>
  <si>
    <t>pre lit strategy re potential deregulation holdover based on termination notice received</t>
  </si>
  <si>
    <t>DHCI is in LS# 19-1889786</t>
  </si>
  <si>
    <t>No compliance docs. Noone met with him in person and no hard copy file</t>
  </si>
  <si>
    <t>Compliance forms are in original LS 19-1890585</t>
  </si>
  <si>
    <t>Opposition to facial recogntiton. Wavier for APT Facial Recognition. No DHCI required.</t>
  </si>
  <si>
    <t>Compliance forms are in 19-1898383</t>
  </si>
  <si>
    <t>Missing HRA form</t>
  </si>
  <si>
    <t>not clear what if anything happened with the s8 issue. cl has new nonpay - needs new file</t>
  </si>
  <si>
    <t>Compliance docs located in companion file #18-1876512</t>
  </si>
  <si>
    <t>HRA and DHCI forms are in case #19-1899894</t>
  </si>
  <si>
    <t>Compliance forms are in LS 19-1902048</t>
  </si>
  <si>
    <t>4/10 - need LOS</t>
  </si>
  <si>
    <t>Compliance docs located in parent file #18-1878370</t>
  </si>
  <si>
    <t>releases and DHCI in 18-1878370</t>
  </si>
  <si>
    <t>Compliance in 18-1875994</t>
  </si>
  <si>
    <t>Compliance in 18-1875994 attestation section</t>
  </si>
  <si>
    <t>Waiver obtained for DHCI form</t>
  </si>
  <si>
    <t>Attestation can be found in 18-1860281</t>
  </si>
  <si>
    <t>Compliance Docs located in parent file #18-1886536</t>
  </si>
  <si>
    <t>Client never met with sny staff members. Advised over the phone</t>
  </si>
  <si>
    <t>Compliance Docs located in parent file #19-1887097</t>
  </si>
  <si>
    <t>need DHCI uploaded or PA# entered</t>
  </si>
  <si>
    <t>Obtain consent via phone 6/4/18.  No 4 month issue, rent reduction was done in 2016, PAR was done in 2017, just obtained forms in 2018</t>
  </si>
  <si>
    <t>Obtain consent via phone 6/4/18</t>
  </si>
  <si>
    <t>DHCI Form Completed</t>
  </si>
  <si>
    <t>DHCI waiver obtained for facial recognition group work</t>
  </si>
  <si>
    <t>See file #18-1879507 for compliance docs</t>
  </si>
  <si>
    <t>Compliance Forms are in LS 19-1900103</t>
  </si>
  <si>
    <t>Individual action obo client who is part of a building wide action</t>
  </si>
  <si>
    <t>Compliance docs located in companion file #19-1900103</t>
  </si>
  <si>
    <t>Waiver obtained - No DHCI required Compliance Docs located in parent file #19-1890630</t>
  </si>
  <si>
    <t>PA advocacy for index # LT-058694-19/KI</t>
  </si>
  <si>
    <t>Compliance docs located in companion file #18-1882164</t>
  </si>
  <si>
    <t>No DHCI required -Waiver obtained for APT facial recognition building wide initiative</t>
  </si>
  <si>
    <t>Compliance forms are in 19-1898037</t>
  </si>
  <si>
    <t>Compliance forms are in original LS 19-1892667</t>
  </si>
  <si>
    <t>Attestation can be found in 18-1860276</t>
  </si>
  <si>
    <t>Letter to the landlord regarding conditions. Notes in case 19-1911193. Compliance forms have been uploaded.</t>
  </si>
  <si>
    <t>Compliance forms are LS 19-1895315</t>
  </si>
  <si>
    <t>Compliance Docs located in parent file #18-1886734</t>
  </si>
  <si>
    <t>Compliance docs, incl Attestation, located in companion file #18-1885020</t>
  </si>
  <si>
    <t>PA PO</t>
  </si>
  <si>
    <t>Building wide waiver obtained for DHCI form - Compliance Docs located in companion file #19-1897518</t>
  </si>
  <si>
    <t>Compliance docs located in companion file #18-1880272</t>
  </si>
  <si>
    <t>HRA waiver approved on 11/7/17</t>
  </si>
  <si>
    <t>Intake release forms are found in Attestation upload</t>
  </si>
  <si>
    <t>duplicate case where no services were provided;  needs to zz'ed</t>
  </si>
  <si>
    <t>did not provide full SS#</t>
  </si>
  <si>
    <t>Waiver obtained - No DHCI required Compliance Docs located in parent file #19-1890579</t>
  </si>
  <si>
    <t>Waiver obtained - No DHCI required Compliance Docs located in parent file #19-1890540</t>
  </si>
  <si>
    <t>Waiver obtained re No DHCI required. Attestation &amp; Release are housed in parent file #19-1891635</t>
  </si>
  <si>
    <t>Waiver obtained for DHCI form re building wide initiative</t>
  </si>
  <si>
    <t>consumer case</t>
  </si>
  <si>
    <t>copy of PA case comp in 18-1884683</t>
  </si>
  <si>
    <t>Compliance docs located in parent file #18-1876504</t>
  </si>
  <si>
    <t>CASA 4/18</t>
  </si>
  <si>
    <t>DV victim - in process of applying for citizenship</t>
  </si>
  <si>
    <t>Cl gave us verbal consent to report her info to HRA on 12/8</t>
  </si>
  <si>
    <t>duplicate</t>
  </si>
  <si>
    <t>consent form not yet uploaded 6/20 ND</t>
  </si>
  <si>
    <t>Client needs an income waiver for TRC. He's 201.76% of FPL with recurring bills and obligations.</t>
  </si>
  <si>
    <t>Waiver obtained for Dukler building wide HP initiative</t>
  </si>
  <si>
    <t>need waiver &gt;200%</t>
  </si>
  <si>
    <t>Compliance docs located in parent file #19-1905068</t>
  </si>
  <si>
    <t>TRC grant (Advocacy case); over 200% - Income waiver requested on 2.7.19.</t>
  </si>
  <si>
    <t>2016 3307 case restored in 2019; coding as 3018</t>
  </si>
  <si>
    <t>Docket number is correct</t>
  </si>
  <si>
    <t>Waiver obtained for DHCI re APT bldg wide initiative</t>
  </si>
  <si>
    <t>Compliance form are in original LS 19-1890535</t>
  </si>
  <si>
    <t>Compliance Forms are in orginial LS 19-1891925</t>
  </si>
  <si>
    <t>Companion file to #19-1907227</t>
  </si>
  <si>
    <t>HRA and DHCI forms are in case #18-1882345</t>
  </si>
  <si>
    <t>Compliance forms are in 19-1898376</t>
  </si>
  <si>
    <t>&gt;200% Income waiver neede?</t>
  </si>
  <si>
    <t>over 200%</t>
  </si>
  <si>
    <t>DO-noted that waiver was approved - Compliance docs in parent file 18-1875098</t>
  </si>
  <si>
    <t>Waiver obtained re No DHCI required. Attestation &amp; Release are housed in parent file #19-1891500</t>
  </si>
  <si>
    <t>Waiver for APT Facial recognition. No DHCI required.</t>
  </si>
  <si>
    <t>Compliance forms are in 19-1898022</t>
  </si>
  <si>
    <t>client received brief advice from access line. She didn't keep her appt, no one met with her in person and no docs were signed.</t>
  </si>
  <si>
    <t>DHCI not signed by LSNY Staff   - Over 200%</t>
  </si>
  <si>
    <t>Income waiver for bldg</t>
  </si>
  <si>
    <t>HRA and DHCI forms are in case #18-1882378</t>
  </si>
  <si>
    <t>DO-Noted that waiver was approved</t>
  </si>
  <si>
    <t>need income waiver</t>
  </si>
  <si>
    <t>Waiver obtained - No DHCI required Compliance Docs located in parent file #19-1890561</t>
  </si>
  <si>
    <t>Compliance forms are in original LS 18-1886113</t>
  </si>
  <si>
    <t>Client needs income waiver re group rep  - Compliance docs located in companion file #18-1879248</t>
  </si>
  <si>
    <t>HRA and DHCI forms are in case #18-1882347</t>
  </si>
  <si>
    <t>This file is companion to Eviction case # 19-1899803</t>
  </si>
  <si>
    <t>Will require income waiver</t>
  </si>
  <si>
    <t>Compliance forms in LS 19-1903926</t>
  </si>
  <si>
    <t>Compliance Forms are LS 19-1903926</t>
  </si>
  <si>
    <t>50%+1 income waiver requested</t>
  </si>
  <si>
    <t>Releases in 18-1875383</t>
  </si>
  <si>
    <t>Compliance Forms are in LS 18-1885016</t>
  </si>
  <si>
    <t>Compliance docs in parent file #18-1876080</t>
  </si>
  <si>
    <t>refuse to give full SS#</t>
  </si>
  <si>
    <t>18-1871414</t>
  </si>
  <si>
    <t>Building wide waiver obtained for DHCI form - Needs income waiver</t>
  </si>
  <si>
    <t>Building wide waiver obtained for DHCI form - Compliance Docs located in Companion file #19-1897400</t>
  </si>
  <si>
    <t>Compliance forms are in 19-1898976</t>
  </si>
  <si>
    <t>compliance at 18-1876272</t>
  </si>
  <si>
    <t>Compliance docs in 18-1876259</t>
  </si>
  <si>
    <t>Over 200%</t>
  </si>
  <si>
    <t>veteran; hra granted income waiver</t>
  </si>
  <si>
    <t>Compliance Docs located in file 18-1877136</t>
  </si>
  <si>
    <t>AB No Release</t>
  </si>
  <si>
    <t>Compliance upload 18-1876272</t>
  </si>
  <si>
    <t>income &gt; 200%</t>
  </si>
  <si>
    <t>UA/TRC funding swap</t>
  </si>
  <si>
    <t>Compliance docs located in parent file #18-1875686</t>
  </si>
  <si>
    <t>Income waiver required for TRC</t>
  </si>
  <si>
    <t>DHCI in other 63 file</t>
  </si>
  <si>
    <t>HRA and complete Intake packet at 19-1896646</t>
  </si>
  <si>
    <t>Compliances forms are in original LS 19-1891891</t>
  </si>
  <si>
    <t>compliance docs in 18-1872064</t>
  </si>
  <si>
    <t>&gt;200%</t>
  </si>
  <si>
    <t>Building wide waiver obtained for DHCI form - Compliance docs located in companion file #19-1897609</t>
  </si>
  <si>
    <t>This case is for assisting client with a relocation agreement after a fire in her apartment.</t>
  </si>
  <si>
    <t>need income waiver for TRC</t>
  </si>
  <si>
    <t>Wavier for APT Facial Recognition.No DHCI required.</t>
  </si>
  <si>
    <t>Compliance Forms are in 19-1897205</t>
  </si>
  <si>
    <t>&gt;200% need waiver</t>
  </si>
  <si>
    <t>Building wide waiver obtained for DHCI form - Compliance Docs located in companion file #19-1897406</t>
  </si>
  <si>
    <t>Building wide waiver obtained for DHCI form - Compliance Docs located in companion file #19-1897534</t>
  </si>
  <si>
    <t>Compliance forms are in 19-1898966</t>
  </si>
  <si>
    <t>Compliance is in 18-1879056</t>
  </si>
  <si>
    <t>Need Income Waiver</t>
  </si>
  <si>
    <t>Building wide waiver obtained for DHCI form -Compliance Doc located in companion file #19-1897349</t>
  </si>
  <si>
    <t>Compliance Forms are in LS 19-1904941.</t>
  </si>
  <si>
    <t>Compliance Forms are LS 19-1904941</t>
  </si>
  <si>
    <t>Income waiver required for client in a Duckler building wide initiative</t>
  </si>
  <si>
    <t>Waiver obtained re No DHCI required. Attestation &amp; Release are housed in parent file #19-1891580</t>
  </si>
  <si>
    <t>Compliance forms are in 19-1898243</t>
  </si>
  <si>
    <t>upload in 18-1879056</t>
  </si>
  <si>
    <t>HPD case</t>
  </si>
  <si>
    <t>Compliance forms are in original LS 19-1892521</t>
  </si>
  <si>
    <t>DO-Noted that waiver was approved / Compliance docs located in parent file #18-1874152</t>
  </si>
  <si>
    <t>Wavier for APT Facial recognition. No DHCI required</t>
  </si>
  <si>
    <t>Waiver obtained re No DHCI required. Attestation &amp; Release are housed in parent file #19-1891565</t>
  </si>
  <si>
    <t>Compliance forms are in original LS 19-1892069</t>
  </si>
  <si>
    <t>Compliance forms are in original LS 19-1892764</t>
  </si>
  <si>
    <t>HPLP/TRC funding swap</t>
  </si>
  <si>
    <t>Wavier for APT Facial Recogniton. No DHCI Required. Income waiver required</t>
  </si>
  <si>
    <t>Income waiver required. DHCI waiver obtained</t>
  </si>
  <si>
    <t>Wavier for APT Facial recognition.No DHCI required.</t>
  </si>
  <si>
    <t>Compliance Forms are in original LS 19-1892761</t>
  </si>
  <si>
    <t>AB Yes Release</t>
  </si>
  <si>
    <t>Need income waiver</t>
  </si>
  <si>
    <t>Matter resolved btwn LL &amp; client. No one met with him and no docs obtained</t>
  </si>
  <si>
    <t>Over 200% FPL</t>
  </si>
  <si>
    <t>Compliance docs in (18-1863740)</t>
  </si>
  <si>
    <t>Compliance forms are in 19-1898404</t>
  </si>
  <si>
    <t>Waiver obtained re No DHCI required. Attestation &amp; Release are housed in parent file #19-1891559</t>
  </si>
  <si>
    <t>Compliance Docs located in file 18-1873579</t>
  </si>
  <si>
    <t>Income waiver needed?</t>
  </si>
  <si>
    <t>Client is part of building wide initiative at 1074 Eastern Pkwy - Income waiver has been requested</t>
  </si>
  <si>
    <t>Compliance forms are in 19-1898848</t>
  </si>
  <si>
    <t>phone advice</t>
  </si>
  <si>
    <t>Reasobable accom case; needs waiver</t>
  </si>
  <si>
    <t>Building wide waiver obtained for DHCI form -Compliance Docs located in companion file #19-1897393</t>
  </si>
  <si>
    <t>Compliance forms are in original LS 18-1886109</t>
  </si>
  <si>
    <t>Waiver obtained re No DHCI required. Attestation &amp; Release are housed in parent file #19-1891550</t>
  </si>
  <si>
    <t>Compliance forms are in original LS 19-1892641</t>
  </si>
  <si>
    <t>4/18 - needs brief service notes; if advice only, cannot report as &gt;200% FPL</t>
  </si>
  <si>
    <t>Income waiver needed for building wide action</t>
  </si>
  <si>
    <t>Income waiver needed - compliance docs located in companion file #19-1898334</t>
  </si>
  <si>
    <t>HRA and DHCI forms are in file #18-1882385</t>
  </si>
  <si>
    <t>Compliance Forms are in original LS 19-1890584</t>
  </si>
  <si>
    <t>Need income waiver - Compliance docs located in companion file #18-1876511</t>
  </si>
  <si>
    <t>Compliance forms are in 19-1902056</t>
  </si>
  <si>
    <t>Income Waiver denied on 7/9/2019</t>
  </si>
  <si>
    <t>Please see 19-1889883 for forms</t>
  </si>
  <si>
    <t>Waiver obtained - No DHCI required Compliance Docs located in parent file #19-1890567</t>
  </si>
  <si>
    <t>Needs income waiver</t>
  </si>
  <si>
    <t>Client refused to sign HRA consent to release</t>
  </si>
  <si>
    <t>&gt;200% FPL, need income waiver</t>
  </si>
  <si>
    <t>Compliance Docs located in parent file #18-1886163</t>
  </si>
  <si>
    <t>compliance docs located in parent file 19-1887160 / needs income waiver</t>
  </si>
  <si>
    <t>Compliance forms located in parent file 19-1887160 / needs income waiver</t>
  </si>
  <si>
    <t>DHCI and HRA consent forms are located in LS File 19-1887832</t>
  </si>
  <si>
    <t>HRA consent and DHCI forms are located in LS File - 19-1887832</t>
  </si>
  <si>
    <t>DHCI &amp; consent in file # 19-1893001</t>
  </si>
  <si>
    <t>Compliance forms are in original LS 19-1892850</t>
  </si>
  <si>
    <t>Income waiver denied on 7/9/19</t>
  </si>
  <si>
    <t>Compliance forms are in 19-1898845</t>
  </si>
  <si>
    <t>Compliance forms are in 19-1898951</t>
  </si>
  <si>
    <t>Income waiver needed for this master file of building wide initiative</t>
  </si>
  <si>
    <t>Income waiver required</t>
  </si>
  <si>
    <t>Need income waiver - Compliance docs located in companion file #18-1876516</t>
  </si>
  <si>
    <t>Compliance forms are in 19-1898982</t>
  </si>
  <si>
    <t>Part of a previously approved building wide initiative</t>
  </si>
  <si>
    <t>Waiver obtained re No DHCI required. Attestation &amp; Release are housed in parent file #19-1891594</t>
  </si>
  <si>
    <t>50+1% income waiver requested</t>
  </si>
  <si>
    <t>Need income waiver  - compliance docs located in file #18-1876938</t>
  </si>
  <si>
    <t>Building wide waiver obtained for DHCI form. Retainer, Attestation &amp; Release located in companion file #19-1897410</t>
  </si>
  <si>
    <t>Need income waiver. Waiver obtained re No DHCI required</t>
  </si>
  <si>
    <t>Income waiver required. Waiver obtained re No DHCI required.</t>
  </si>
  <si>
    <t>Income Waiver denied on 7/9/19- Compliance docs located in parent file #18-1880271</t>
  </si>
  <si>
    <t>FY19 Compliance upload 18-1878669</t>
  </si>
  <si>
    <t>Compliance Forms are in original LS 19-1890628</t>
  </si>
  <si>
    <t>Compliance Forms are in orginial LS 19-1891940</t>
  </si>
  <si>
    <t>Building wide waiver obtained for DHCI form -Compliance Docs located in companion file #19-1897337</t>
  </si>
  <si>
    <t>Income waiver needed for building wide affirmative action</t>
  </si>
  <si>
    <t>Income waiver needed for building wide work - Compliance docs located in parent file #19-1898331</t>
  </si>
  <si>
    <t>Compliance forms are in 19-1898368</t>
  </si>
  <si>
    <t>Income Waiver denied on 7/9/19</t>
  </si>
  <si>
    <t>Compliance upload 18-1878669</t>
  </si>
  <si>
    <t>Compliance forms are in 19-1895344</t>
  </si>
  <si>
    <t>Compliance in 19-1895344</t>
  </si>
  <si>
    <t>Compliance forms are in LS 19-1895344</t>
  </si>
  <si>
    <t>Building wide waiver obtained for DHCI form - Compliance docs located in companion file #19-1897605</t>
  </si>
  <si>
    <t>Waiver obtained re No DHCI required. Attestation &amp; Release are housed in parent file #19-1891541</t>
  </si>
  <si>
    <t>Compliance forms are in original LS 19-1892863</t>
  </si>
  <si>
    <t>over income 411%, need income waiver</t>
  </si>
  <si>
    <t>Need income waiver for non-pay client associated with a building wide initiative.</t>
  </si>
  <si>
    <t>DHCI waiver obtained. Need income waiver</t>
  </si>
  <si>
    <t>Waiver obtained re No DHCI required. Attestation &amp; Release are housed in parent file #19-1891586</t>
  </si>
  <si>
    <t>Waiver for DHCI obtained for facial recognition building wide initiative- Income waiver required</t>
  </si>
  <si>
    <t>Waiver obtained for DHCI - Waiver required for income</t>
  </si>
  <si>
    <t>no SS # provided</t>
  </si>
  <si>
    <t>Income waiver needed for building wide work. Compliance docs located in companion file #18-1882158</t>
  </si>
  <si>
    <t>Need income waiver for client who is part of a building wide initiative.</t>
  </si>
  <si>
    <t>COmpliance forms are in LS 19-1905076</t>
  </si>
  <si>
    <t>Compliance forms are in LS 19-1905076.  Needs income waiver</t>
  </si>
  <si>
    <t>Income waiver needed</t>
  </si>
  <si>
    <t>50% +1 income waiver needed</t>
  </si>
  <si>
    <t>50% +1 income waiver requested</t>
  </si>
  <si>
    <t>Need income waiver for client in a building wide initiative</t>
  </si>
  <si>
    <t>No DHCI required -Waiver obtained for APT facial recognition group wide initiative</t>
  </si>
  <si>
    <t>Complaince forms are in original LS 19-1890550</t>
  </si>
  <si>
    <t>Compliance Forms are in original LS 19-1890581</t>
  </si>
  <si>
    <t>Compliance Forms are in original LS 19-1890575</t>
  </si>
  <si>
    <t>Need income waiver - Compliance docs located in companion file #18-1885317</t>
  </si>
  <si>
    <t>Compliance forms ar ein original LS 19-1890587</t>
  </si>
  <si>
    <t>Client needs income &amp; zip code waivers - Compliance docs located in companion file #18-1880097</t>
  </si>
  <si>
    <t>uploaded in 18-1876925</t>
  </si>
  <si>
    <t>Waiver for no DHCI required</t>
  </si>
  <si>
    <t>Waiver for No DHCI required - Compliance docs in parent file #19-1893258</t>
  </si>
  <si>
    <t>need income waiver for participant in building wide initiative</t>
  </si>
  <si>
    <t>Compliance forms are in LS 19-1899643</t>
  </si>
  <si>
    <t>Compliance docs located in companion file #19-1899643 - Income waiver as part of building wide initiative.</t>
  </si>
  <si>
    <t>Compliance Forms are in original LS 19-1891914</t>
  </si>
  <si>
    <t>overincome but will be part of group loft law case once bill is passed</t>
  </si>
  <si>
    <t>upload in 18-1876913</t>
  </si>
  <si>
    <t>Compliance Forms are in LS 18-1879657</t>
  </si>
  <si>
    <t>Compliance Forms are in LS-18-1879657</t>
  </si>
  <si>
    <t>Compliance forms are in LS 18-1879657</t>
  </si>
  <si>
    <t>Compliance forms are in 19-1898394</t>
  </si>
  <si>
    <t>Waiver for APT Facial Recognition. DHCI not required.</t>
  </si>
  <si>
    <t>Atlantic Towers Group initiative client - needs income waiver</t>
  </si>
  <si>
    <t>Waiver obtained - No DHCI required Compliance Docs located in parent file #19-1890552</t>
  </si>
  <si>
    <t>Compliance forms are in 19-1898826</t>
  </si>
  <si>
    <t>Compliance forms are in 19-1896646.</t>
  </si>
  <si>
    <t>Compliance Forms are in 19-1896646</t>
  </si>
  <si>
    <t>Compliance forms are in 19-1896646</t>
  </si>
  <si>
    <t>Compliance forms can be found in 19-1896646</t>
  </si>
  <si>
    <t>Compliance docs located in parent file 19-1896646 - Need income waiver</t>
  </si>
  <si>
    <t>Compliance forms are 19-1896646</t>
  </si>
  <si>
    <t>Need income waiver for client who is part of a building wide initiative</t>
  </si>
  <si>
    <t>Need income waiver for client who is part of a group initiative.</t>
  </si>
  <si>
    <t>Request Income Waiver</t>
  </si>
  <si>
    <t>Income waiver needed. Wavier for APT Facial Recognition. No DHCI required.</t>
  </si>
  <si>
    <t>Income waiver required. Waiver obtained re DHCI not required</t>
  </si>
  <si>
    <t>Docs are uploaded</t>
  </si>
  <si>
    <t>Wavier for APT facial regonition. No DHCI required.</t>
  </si>
  <si>
    <t>Compliance forms are in original LS 19-1891983</t>
  </si>
  <si>
    <t>Submitted income waiver to Kim on 4/2</t>
  </si>
  <si>
    <t>Need income waiver for client who is a part of building wide initiative</t>
  </si>
  <si>
    <t>dhcr group reduction case</t>
  </si>
  <si>
    <t>Complaince forms are in original LS 18-1886541</t>
  </si>
  <si>
    <t>compliance doc in 18-1881489</t>
  </si>
  <si>
    <t>upload in compliance folder</t>
  </si>
  <si>
    <t>Compliance forms are in 19-1898268</t>
  </si>
  <si>
    <t>Need income waiver for group action client</t>
  </si>
  <si>
    <t>Needs income waiver for building wide/group work</t>
  </si>
  <si>
    <t>Income waiver needed for participant in building wide initiative</t>
  </si>
  <si>
    <t>upload in 18-1876799</t>
  </si>
  <si>
    <t>upload in 18-1876828</t>
  </si>
  <si>
    <t>upload in 18-1876793</t>
  </si>
  <si>
    <t>Compliance forms are in original LS 19-1889442</t>
  </si>
  <si>
    <t>upload in 18-1876941</t>
  </si>
  <si>
    <t>duplicate not worth reporting at this point?</t>
  </si>
  <si>
    <t>Compliance forms are in 19-1898259</t>
  </si>
  <si>
    <t>Compliance forms are in original LS 19-1892094</t>
  </si>
  <si>
    <t>Counsel Assisted in Filing or Refiling of Answer</t>
  </si>
  <si>
    <t>Counsel Assisted in Filing or Refiling of Answer, Filed/Argued/Supplemented Dispositive or other Substantive Motion, Filed for an Emergency Order to Show Cause</t>
  </si>
  <si>
    <t>Counsel Assisted in Filing or Refiling of Answer, Filed/Argued/Supplemented Dispositive or other Substantive Motion</t>
  </si>
  <si>
    <t>Filed/Argued/Supplemented Dispositive or other Substantive Motion</t>
  </si>
  <si>
    <t>Filed for an Emergency Order to Show Cause</t>
  </si>
  <si>
    <t>Commenced Trial, Filed/Argued/Supplemented Dispositive or other Substantive Motion, Filed for an Emergency Order to Show Cause</t>
  </si>
  <si>
    <t>Filed/Argued/Supplemented Dispositive or other Substantive Motion, Filed for an Emergency Order to Show Cause</t>
  </si>
  <si>
    <t>Counsel Assisted in Filing or Refiling of Answer, Filed for an Emergency Order to Show Cause</t>
  </si>
  <si>
    <t>Counsel Assisted in Filing or Refiling of Answer, Filed Appeal</t>
  </si>
  <si>
    <t>Conducted Evidentiary Hearing</t>
  </si>
  <si>
    <t>Commenced Trial, Conducted Evidentiary Hearing, Counsel Assisted in Filing or Refiling of Answer, Filed/Argued/Supplemented Dispositive or other Substantive Motion</t>
  </si>
  <si>
    <t>Commenced Trial</t>
  </si>
  <si>
    <t>Conducted Evidentiary Hearing, Counsel Assisted in Filing or Refiling of Answer, Filed/Argued/Supplemented Dispositive or other Substantive Motion</t>
  </si>
  <si>
    <t>Commenced Trial, Counsel Assisted in Filing or Refiling of Answer, Filed for an Emergency Order to Show Cause</t>
  </si>
  <si>
    <t>Conducted Evidentiary Hearing, Filed for an Emergency Order to Show Cause</t>
  </si>
  <si>
    <t>Conducted Evidentiary Hearing, Filed/Argued/Supplemented Dispositive or other Substantive Motion</t>
  </si>
  <si>
    <t>Filed Appeal, Filed for an Emergency Order to Show Cause</t>
  </si>
  <si>
    <t>Commenced Trial, Counsel Assisted in Filing or Refiling of Answer, Filed/Argued/Supplemented Dispositive or other Substantive Motion</t>
  </si>
  <si>
    <t>Other, Secured Rent Abatement</t>
  </si>
  <si>
    <t>Case Discontinued/Dismissed/Landlord Fails to Prosecute</t>
  </si>
  <si>
    <t>Obtain Ongoing Rent Subsidy, Other</t>
  </si>
  <si>
    <t>Other, Secured 6 Months or Longer in Residence</t>
  </si>
  <si>
    <t>Restored Access to Personal Property</t>
  </si>
  <si>
    <t>Case Discontinued/Dismissed/Landlord Fails to Prosecute, Case Resolved without Judgment of Eviction Against Client</t>
  </si>
  <si>
    <t>Restored Access to Personal Property, Secured Order or Agreement for Repairs in Apartment/Building, Secured Rent Abatement, Secured Rent Reduction</t>
  </si>
  <si>
    <t>Case Discontinued/Dismissed/Landlord Fails to Prosecute, Case Resolved without Judgment of Eviction Against Client, Obtain Ongoing Rent Subsidy, Secured Order or Agreement for Repairs in Apartment/Building</t>
  </si>
  <si>
    <t>Secured Rent Reduction</t>
  </si>
  <si>
    <t>Case Resolved without Judgment of Eviction Against Client</t>
  </si>
  <si>
    <t>Case Discontinued/Dismissed/Landlord Fails to Prosecute, Obtained Renewal of Lease</t>
  </si>
  <si>
    <t>Secured Order or Agreement for Repairs in Apartment/Building, Secured Rent Abatement</t>
  </si>
  <si>
    <t>Case Discontinued/Dismissed/Landlord Fails to Prosecute, Case Resolved without Judgment of Eviction Against Client, Secured Rent Abatement</t>
  </si>
  <si>
    <t>Overcame Housing Discrimination, Secured Order or Agreement for Repairs in Apartment/Building</t>
  </si>
  <si>
    <t>Case Resolved without Judgment of Eviction Against Client, Obtained Succession Rights to Residence, Obtain Ongoing Rent Subsidy</t>
  </si>
  <si>
    <t>Secured Order or Agreement for Repairs in Apartment/Building</t>
  </si>
  <si>
    <t>Obtain Ongoing Rent Subsidy</t>
  </si>
  <si>
    <t>Case Discontinued/Dismissed/Landlord Fails to Prosecute, Obtain Ongoing Rent Subsidy, Secured Order or Agreement for Repairs in Apartment/Building</t>
  </si>
  <si>
    <t>Obtained Renewal of Lease</t>
  </si>
  <si>
    <t>Case Discontinued/Dismissed/Landlord Fails to Prosecute, Other</t>
  </si>
  <si>
    <t>Case Discontinued/Dismissed/Landlord Fails to Prosecute, Case Resolved without Judgment of Eviction Against Client, Other</t>
  </si>
  <si>
    <t>Case Discontinued/Dismissed/Landlord Fails to Prosecute, Case Resolved without Judgment of Eviction Against Client, Secured Order or Agreement for Repairs in Apartment/Building</t>
  </si>
  <si>
    <t>Case Resolved without Judgment of Eviction Against Client, Other</t>
  </si>
  <si>
    <t>Case Discontinued/Dismissed/Landlord Fails to Prosecute, Secured Order or Agreement for Repairs in Apartment/Building</t>
  </si>
  <si>
    <t>Case Resolved without Judgment of Eviction Against Client, Obtain Ongoing Rent Subsidy, Secured Order or Agreement for Repairs in Apartment/Building, Secured Rent Abatement</t>
  </si>
  <si>
    <t>Obtained Renewal of Lease, Secured Rent Reduction</t>
  </si>
  <si>
    <t>Secured 6 Months or Longer in Residence</t>
  </si>
  <si>
    <t>Case Discontinued/Dismissed/Landlord Fails to Prosecute, Case Resolved without Judgment of Eviction Against Client, Obtained Renewal of Lease</t>
  </si>
  <si>
    <t>Case Resolved without Judgment of Eviction Against Client, Other, Secured 6 Months or Longer in Residence</t>
  </si>
  <si>
    <t>Case Discontinued/Dismissed/Landlord Fails to Prosecute, Case Resolved without Judgment of Eviction Against Client, Secured Order or Agreement for Repairs in Apartment/Building, Secured Rent Abatement</t>
  </si>
  <si>
    <t>Case Discontinued/Dismissed/Landlord Fails to Prosecute, Obtain Ongoing Rent Subsidy, Other</t>
  </si>
  <si>
    <t>Case Discontinued/Dismissed/Landlord Fails to Prosecute, Secured Order or Agreement for Repairs in Apartment/Building, Secured Rent Abatement</t>
  </si>
  <si>
    <t>Obtained Renewal of Lease, Other</t>
  </si>
  <si>
    <t>Case Resolved without Judgment of Eviction Against Client, Secured Order or Agreement for Repairs in Apartment/Building, Secured Rent Abatement</t>
  </si>
  <si>
    <t>Secured Rent Abatement</t>
  </si>
  <si>
    <t>Case Discontinued/Dismissed/Landlord Fails to Prosecute, Secured Rent Abatement</t>
  </si>
  <si>
    <t>Case Resolved without Judgment of Eviction Against Client, Obtained Renewal of Lease, Obtained Succession Rights to Residence, Overcame Housing Discrimination, Secured Rent Reduction</t>
  </si>
  <si>
    <t>Secured 6 Months or Longer in Residence, Secured Rent Reduction</t>
  </si>
  <si>
    <t>Obtained Negotiated Buyout</t>
  </si>
  <si>
    <t>Case Resolved without Judgment of Eviction Against Client, Other, Secured Order or Agreement for Repairs in Apartment/Building, Secured Rent Abatement</t>
  </si>
  <si>
    <t>Case Resolved without Judgment of Eviction Against Client, Secured 6 Months or Longer in Residence, Secured Rent Abatement</t>
  </si>
  <si>
    <t>Case Discontinued/Dismissed/Landlord Fails to Prosecute, Other, Secured Order or Agreement for Repairs in Apartment/Building</t>
  </si>
  <si>
    <t>Case Discontinued/Dismissed/Landlord Fails to Prosecute, Case Resolved without Judgment of Eviction Against Client, Obtained Renewal of Lease, Other, Secured Order or Agreement for Repairs in Apartment/Building</t>
  </si>
  <si>
    <t>Case Discontinued/Dismissed/Landlord Fails to Prosecute, Case Resolved without Judgment of Eviction Against Client, Obtained Renewal of Lease, Other</t>
  </si>
  <si>
    <t>Case Discontinued/Dismissed/Landlord Fails to Prosecute, Returned Unit to Rent Regulation, Secured Rent Abatement, Secured Rent Reduction</t>
  </si>
  <si>
    <t>Case Resolved without Judgment of Eviction Against Client, Other, Secured 6 Months or Longer in Residence, Secured Order or Agreement for Repairs in Apartment/Building</t>
  </si>
  <si>
    <t>Case Discontinued/Dismissed/Landlord Fails to Prosecute, Case Resolved without Judgment of Eviction Against Client, Obtained Renewal of Lease, Secured Order or Agreement for Repairs in Apartment/Building</t>
  </si>
  <si>
    <t>Case Discontinued/Dismissed/Landlord Fails to Prosecute, Case Resolved without Judgment of Eviction Against Client, Obtained Succession Rights to Residence, Obtain Ongoing Rent Subsidy</t>
  </si>
  <si>
    <t>Case Resolved without Judgment of Eviction Against Client, Other, Restored Access to Personal Property</t>
  </si>
  <si>
    <t>Obtained Renewal of Lease, Obtained Succession Rights to Residence</t>
  </si>
  <si>
    <t>Case Discontinued/Dismissed/Landlord Fails to Prosecute, Case Resolved without Judgment of Eviction Against Client, Other, Secured 6 Months or Longer in Residence</t>
  </si>
  <si>
    <t>Case Resolved without Judgment of Eviction Against Client, Obtained Renewal of Lease, Other</t>
  </si>
  <si>
    <t>Case Resolved without Judgment of Eviction Against Client, Secured 6 Months or Longer in Residence</t>
  </si>
  <si>
    <t>Case Resolved without Judgment of Eviction Against Client, Secured Order or Agreement for Repairs in Apartment/Building</t>
  </si>
  <si>
    <t>Case Discontinued/Dismissed/Landlord Fails to Prosecute, Obtain Ongoing Rent Subsidy, Secured Rent Abatement</t>
  </si>
  <si>
    <t>Secured 6 Months or Longer in Residence, Secured Rent Abatement</t>
  </si>
  <si>
    <t>Case Discontinued/Dismissed/Landlord Fails to Prosecute, Case Resolved without Judgment of Eviction Against Client, Obtained Succession Rights to Residence, Other</t>
  </si>
  <si>
    <t>Case Discontinued/Dismissed/Landlord Fails to Prosecute, Obtained Renewal of Lease, Obtain Ongoing Rent Subsidy</t>
  </si>
  <si>
    <t>Case Resolved without Judgment of Eviction Against Client, Secured Rent Abatement</t>
  </si>
  <si>
    <t>Case Resolved without Judgment of Eviction Against Client, Obtained Renewal of Lease, Returned Unit to Rent Regulation, Secured Order or Agreement for Repairs in Apartment/Building, Secured Rent Reduction</t>
  </si>
  <si>
    <t>Client Required to be Displaced from Residence</t>
  </si>
  <si>
    <t>Client Allowed to Remain in Residence</t>
  </si>
  <si>
    <t>Attorney Withdrew</t>
  </si>
  <si>
    <t>Client Discharged Attorney</t>
  </si>
  <si>
    <t>2019-10-18</t>
  </si>
  <si>
    <t>2019-02-15</t>
  </si>
  <si>
    <t>2019-08-22</t>
  </si>
  <si>
    <t>2019-09-04</t>
  </si>
  <si>
    <t>2019-07-30</t>
  </si>
  <si>
    <t>2019-03-13</t>
  </si>
  <si>
    <t>2017-04-25</t>
  </si>
  <si>
    <t>2019-10-31</t>
  </si>
  <si>
    <t>2019-08-29</t>
  </si>
  <si>
    <t>2019-10-21</t>
  </si>
  <si>
    <t>2019-06-27</t>
  </si>
  <si>
    <t>2019-09-25</t>
  </si>
  <si>
    <t>2019-07-12</t>
  </si>
  <si>
    <t>2018-06-28</t>
  </si>
  <si>
    <t>2019-12-02</t>
  </si>
  <si>
    <t>2019-09-12</t>
  </si>
  <si>
    <t>2019-07-01</t>
  </si>
  <si>
    <t>2019-08-31</t>
  </si>
  <si>
    <t>2018-11-13</t>
  </si>
  <si>
    <t>2018-12-30</t>
  </si>
  <si>
    <t>2019-07-24</t>
  </si>
  <si>
    <t>2019-10-03</t>
  </si>
  <si>
    <t>2019-05-28</t>
  </si>
  <si>
    <t>2019-06-18</t>
  </si>
  <si>
    <t>2018-05-08</t>
  </si>
  <si>
    <t>2019-07-23</t>
  </si>
  <si>
    <t>2019-08-13</t>
  </si>
  <si>
    <t>2019-06-07</t>
  </si>
  <si>
    <t>2018-09-05</t>
  </si>
  <si>
    <t>2019-10-23</t>
  </si>
  <si>
    <t>2019-06-05</t>
  </si>
  <si>
    <t>2019-04-06</t>
  </si>
  <si>
    <t>2018-12-18</t>
  </si>
  <si>
    <t>2018-06-30</t>
  </si>
  <si>
    <t>2019-04-17</t>
  </si>
  <si>
    <t>2019-10-25</t>
  </si>
  <si>
    <t>2019-05-26</t>
  </si>
  <si>
    <t>2018-11-30</t>
  </si>
  <si>
    <t>2019-07-17</t>
  </si>
  <si>
    <t>2019-07-10</t>
  </si>
  <si>
    <t>2019-07-16</t>
  </si>
  <si>
    <t>2018-11-16</t>
  </si>
  <si>
    <t>2019-05-24</t>
  </si>
  <si>
    <t>2019-08-16</t>
  </si>
  <si>
    <t>2019-03-11</t>
  </si>
  <si>
    <t>2019-05-19</t>
  </si>
  <si>
    <t>2018-10-30</t>
  </si>
  <si>
    <t>2019-09-17</t>
  </si>
  <si>
    <t>2019-10-28</t>
  </si>
  <si>
    <t>2019-02-20</t>
  </si>
  <si>
    <t>2019-08-08</t>
  </si>
  <si>
    <t>2019-09-18</t>
  </si>
  <si>
    <t>2019-07-19</t>
  </si>
  <si>
    <t>2019-07-22</t>
  </si>
  <si>
    <t>2018-10-15</t>
  </si>
  <si>
    <t>2018-11-08</t>
  </si>
  <si>
    <t>2019-08-14</t>
  </si>
  <si>
    <t>2019-11-18</t>
  </si>
  <si>
    <t>2019-09-27</t>
  </si>
  <si>
    <t>2019-10-14</t>
  </si>
  <si>
    <t>2019-06-26</t>
  </si>
  <si>
    <t>2019-10-24</t>
  </si>
  <si>
    <t>2019-09-01</t>
  </si>
  <si>
    <t>2019-10-11</t>
  </si>
  <si>
    <t>2019-07-09</t>
  </si>
  <si>
    <t>2019-07-03</t>
  </si>
  <si>
    <t>2019-03-01</t>
  </si>
  <si>
    <t>2019-08-28</t>
  </si>
  <si>
    <t>2018-11-20</t>
  </si>
  <si>
    <t>2018-08-29</t>
  </si>
  <si>
    <t>2019-05-13</t>
  </si>
  <si>
    <t>2019-06-21</t>
  </si>
  <si>
    <t>2018-08-22</t>
  </si>
  <si>
    <t>2019-11-26</t>
  </si>
  <si>
    <t>2019-08-26</t>
  </si>
  <si>
    <t>2018-11-28</t>
  </si>
  <si>
    <t>2018-06-06</t>
  </si>
  <si>
    <t>2019-11-06</t>
  </si>
  <si>
    <t>2019-04-01</t>
  </si>
  <si>
    <t>2018-02-05</t>
  </si>
  <si>
    <t>2019-09-13</t>
  </si>
  <si>
    <t>2018-01-03</t>
  </si>
  <si>
    <t>2019-05-01</t>
  </si>
  <si>
    <t>2019-06-17</t>
  </si>
  <si>
    <t>2019-11-12</t>
  </si>
  <si>
    <t>2019-09-30</t>
  </si>
  <si>
    <t>2019-08-06</t>
  </si>
  <si>
    <t>2019-06-19</t>
  </si>
  <si>
    <t>2019-06-03</t>
  </si>
  <si>
    <t>2018-07-10</t>
  </si>
  <si>
    <t>2019-06-28</t>
  </si>
  <si>
    <t>2019-08-09</t>
  </si>
  <si>
    <t>2017-11-30</t>
  </si>
  <si>
    <t>2019-09-09</t>
  </si>
  <si>
    <t>2018-07-24</t>
  </si>
  <si>
    <t>2019-10-07</t>
  </si>
  <si>
    <t>2018-10-01</t>
  </si>
  <si>
    <t>2018-08-23</t>
  </si>
  <si>
    <t>2018-11-27</t>
  </si>
  <si>
    <t>2019-08-20</t>
  </si>
  <si>
    <t>2019-03-20</t>
  </si>
  <si>
    <t>2019-03-27</t>
  </si>
  <si>
    <t>2019-04-04</t>
  </si>
  <si>
    <t>2018-10-19</t>
  </si>
  <si>
    <t>2019-08-12</t>
  </si>
  <si>
    <t>2019-03-12</t>
  </si>
  <si>
    <t>2019-10-16</t>
  </si>
  <si>
    <t>2018-12-05</t>
  </si>
  <si>
    <t>2018-07-27</t>
  </si>
  <si>
    <t>2018-07-11</t>
  </si>
  <si>
    <t>2019-10-30</t>
  </si>
  <si>
    <t>2019-08-27</t>
  </si>
  <si>
    <t>2017-11-22</t>
  </si>
  <si>
    <t>2019-10-01</t>
  </si>
  <si>
    <t>2019-05-02</t>
  </si>
  <si>
    <t>2018-12-11</t>
  </si>
  <si>
    <t>2019-09-06</t>
  </si>
  <si>
    <t>2019-03-15</t>
  </si>
  <si>
    <t>2019-03-18</t>
  </si>
  <si>
    <t>2018-08-31</t>
  </si>
  <si>
    <t>2018-02-16</t>
  </si>
  <si>
    <t>2019-07-25</t>
  </si>
  <si>
    <t>2019-01-31</t>
  </si>
  <si>
    <t>2019-05-25</t>
  </si>
  <si>
    <t>2018-05-16</t>
  </si>
  <si>
    <t>2019-05-30</t>
  </si>
  <si>
    <t>2019-06-30</t>
  </si>
  <si>
    <t>2018-01-30</t>
  </si>
  <si>
    <t>2019-09-24</t>
  </si>
  <si>
    <t>2019-08-21</t>
  </si>
  <si>
    <t>2018-11-14</t>
  </si>
  <si>
    <t>2019-11-21</t>
  </si>
  <si>
    <t>2018-08-16</t>
  </si>
  <si>
    <t>2019-05-29</t>
  </si>
  <si>
    <t>2018-07-03</t>
  </si>
  <si>
    <t>2019-01-11</t>
  </si>
  <si>
    <t>2019-09-23</t>
  </si>
  <si>
    <t>2019-04-11</t>
  </si>
  <si>
    <t>2019-10-09</t>
  </si>
  <si>
    <t>2018-05-09</t>
  </si>
  <si>
    <t>2019-11-14</t>
  </si>
  <si>
    <t>2019-07-02</t>
  </si>
  <si>
    <t>2018-10-02</t>
  </si>
  <si>
    <t>2019-10-02</t>
  </si>
  <si>
    <t>2019-02-24</t>
  </si>
  <si>
    <t>2019-01-25</t>
  </si>
  <si>
    <t>2019-11-04</t>
  </si>
  <si>
    <t>2019-06-29</t>
  </si>
  <si>
    <t>2019-11-01</t>
  </si>
  <si>
    <t>2019-09-03</t>
  </si>
  <si>
    <t>2018-11-19</t>
  </si>
  <si>
    <t>2019-09-26</t>
  </si>
  <si>
    <t>2019-03-30</t>
  </si>
  <si>
    <t>2019-02-22</t>
  </si>
  <si>
    <t>2019-04-03</t>
  </si>
  <si>
    <t>2019-03-19</t>
  </si>
  <si>
    <t>2019-05-10</t>
  </si>
  <si>
    <t>2018-10-20</t>
  </si>
  <si>
    <t>2019-06-24</t>
  </si>
  <si>
    <t>2018-07-02</t>
  </si>
  <si>
    <t>2019-09-11</t>
  </si>
  <si>
    <t>2019-07-31</t>
  </si>
  <si>
    <t>2019-11-22</t>
  </si>
  <si>
    <t>2019-04-29</t>
  </si>
  <si>
    <t>2019-01-09</t>
  </si>
  <si>
    <t>2018-05-10</t>
  </si>
  <si>
    <t>2019-07-15</t>
  </si>
  <si>
    <t>2019-06-06</t>
  </si>
  <si>
    <t>2019-11-02</t>
  </si>
  <si>
    <t>2019-04-05</t>
  </si>
  <si>
    <t>2019-07-18</t>
  </si>
  <si>
    <t>2019-06-11</t>
  </si>
  <si>
    <t>2018-07-16</t>
  </si>
  <si>
    <t>2018-09-13</t>
  </si>
  <si>
    <t>2018-04-27</t>
  </si>
  <si>
    <t>2019-03-25</t>
  </si>
  <si>
    <t>2019-04-26</t>
  </si>
  <si>
    <t>2019-05-06</t>
  </si>
  <si>
    <t>2019-08-01</t>
  </si>
  <si>
    <t>2019-08-05</t>
  </si>
  <si>
    <t>2019-01-23</t>
  </si>
  <si>
    <t>2019-05-16</t>
  </si>
  <si>
    <t>2019-02-14</t>
  </si>
  <si>
    <t>2017-11-14</t>
  </si>
  <si>
    <t>2018-04-13</t>
  </si>
  <si>
    <t>2019-11-08</t>
  </si>
  <si>
    <t>2019-10-08</t>
  </si>
  <si>
    <t>2019-01-02</t>
  </si>
  <si>
    <t>2018-12-12</t>
  </si>
  <si>
    <t>2019-05-15</t>
  </si>
  <si>
    <t>2019-10-04</t>
  </si>
  <si>
    <t>2019-01-24</t>
  </si>
  <si>
    <t>2019-04-24</t>
  </si>
  <si>
    <t>2019-01-30</t>
  </si>
  <si>
    <t>2018-09-22</t>
  </si>
  <si>
    <t>2019-07-11</t>
  </si>
  <si>
    <t>2019-02-11</t>
  </si>
  <si>
    <t>2018-08-01</t>
  </si>
  <si>
    <t>2019-09-16</t>
  </si>
  <si>
    <t>2019-05-08</t>
  </si>
  <si>
    <t>2019-01-17</t>
  </si>
  <si>
    <t>2019-02-28</t>
  </si>
  <si>
    <t>2019-06-14</t>
  </si>
  <si>
    <t>2019-11-20</t>
  </si>
  <si>
    <t>2019-10-15</t>
  </si>
  <si>
    <t>2019-06-20</t>
  </si>
  <si>
    <t>2019-05-07</t>
  </si>
  <si>
    <t>2019-06-25</t>
  </si>
  <si>
    <t>2018-06-26</t>
  </si>
  <si>
    <t>2019-03-28</t>
  </si>
  <si>
    <t>07/21/2019</t>
  </si>
  <si>
    <t>03/06/2017</t>
  </si>
  <si>
    <t>01/08/2018</t>
  </si>
  <si>
    <t>12/29/2016</t>
  </si>
  <si>
    <t>12/28/2016</t>
  </si>
  <si>
    <t>07/13/2019</t>
  </si>
  <si>
    <t>09/14/2016</t>
  </si>
  <si>
    <t>08/03/2017</t>
  </si>
  <si>
    <t>05/19/2019</t>
  </si>
  <si>
    <t>10/20/2016</t>
  </si>
  <si>
    <t>11/16/2019</t>
  </si>
  <si>
    <t>01/19/2016</t>
  </si>
  <si>
    <t>12/05/2015</t>
  </si>
  <si>
    <t>02/17/2017</t>
  </si>
  <si>
    <t>02/01/2016</t>
  </si>
  <si>
    <t>06/11/2019</t>
  </si>
  <si>
    <t>01/27/2016</t>
  </si>
  <si>
    <t>09/28/2019</t>
  </si>
  <si>
    <t>10/14/2019</t>
  </si>
  <si>
    <t>11/11/2019</t>
  </si>
  <si>
    <t>02/24/2019</t>
  </si>
  <si>
    <t>02/23/2018</t>
  </si>
  <si>
    <t>09/06/2016</t>
  </si>
  <si>
    <t>03/16/2016</t>
  </si>
  <si>
    <t>06/15/2019</t>
  </si>
  <si>
    <t>11/20/2017</t>
  </si>
  <si>
    <t>02/08/2017</t>
  </si>
  <si>
    <t>12/23/2019</t>
  </si>
  <si>
    <t>04/28/2018</t>
  </si>
  <si>
    <t>09/13/2017</t>
  </si>
  <si>
    <t>06/16/2019</t>
  </si>
  <si>
    <t>11/08/2017</t>
  </si>
  <si>
    <t>01/05/2016</t>
  </si>
  <si>
    <t>02/16/2017</t>
  </si>
  <si>
    <t>08/26/2016</t>
  </si>
  <si>
    <t>10/12/2019</t>
  </si>
  <si>
    <t>09/22/2017</t>
  </si>
  <si>
    <t>Pujols, Isabel</t>
  </si>
  <si>
    <t>Bernardez, Florencita</t>
  </si>
  <si>
    <t>Kook, Heejung</t>
  </si>
  <si>
    <t>Rodriguez, Ana</t>
  </si>
  <si>
    <t>Yeasmin, Sarzah</t>
  </si>
  <si>
    <t>Chan, Vincce</t>
  </si>
  <si>
    <t>Wilson-Wieland, Cherille</t>
  </si>
  <si>
    <t>Lane, Diane</t>
  </si>
  <si>
    <t>Dong, Sean</t>
  </si>
  <si>
    <t>Escobar, Sarah</t>
  </si>
  <si>
    <t>Amponsah, Oheneba</t>
  </si>
  <si>
    <t>Hernandez, Marisol</t>
  </si>
  <si>
    <t>Ortega, Luis</t>
  </si>
  <si>
    <t>Djourab, Atteib</t>
  </si>
  <si>
    <t>Frias De Sosa, Yajaira</t>
  </si>
  <si>
    <t>Baltimore, Beth</t>
  </si>
  <si>
    <t>Morales-Robinson, Ana</t>
  </si>
  <si>
    <t>Lopez, Gabriel</t>
  </si>
  <si>
    <t>Moss, Julieta</t>
  </si>
  <si>
    <t>Guzman Velazquez, Leida</t>
  </si>
  <si>
    <t>Pierre, Haenley</t>
  </si>
  <si>
    <t>Villanueva, Anthony</t>
  </si>
  <si>
    <t>Femiano, Tiffany</t>
  </si>
  <si>
    <t>Prado, Steven</t>
  </si>
  <si>
    <t>Salcedo, Luciris</t>
  </si>
  <si>
    <t>Then, Laura</t>
  </si>
  <si>
    <t>Baez, Jeaneshia</t>
  </si>
  <si>
    <t>Figueroa, Sylvia</t>
  </si>
  <si>
    <t>Medina, Marta</t>
  </si>
  <si>
    <t>Vazquez, Angel</t>
  </si>
  <si>
    <t>Encarnacion-Badru, Bea</t>
  </si>
  <si>
    <t>Mendez-Acosta, Maria</t>
  </si>
  <si>
    <t>Hoffman, Julienne</t>
  </si>
  <si>
    <t>Torres, Elizabeth</t>
  </si>
  <si>
    <t>Martinez, Renee</t>
  </si>
  <si>
    <t>Sampert, Monica</t>
  </si>
  <si>
    <t>Velasquez, Diana</t>
  </si>
  <si>
    <t>Duman, Shirley</t>
  </si>
  <si>
    <t>Vergeli, Evelyn</t>
  </si>
  <si>
    <t>Benitez, Vicenta</t>
  </si>
  <si>
    <t>Garcia, Diana</t>
  </si>
  <si>
    <t>Baldova, Maria</t>
  </si>
  <si>
    <t>Tejada, Dennis</t>
  </si>
  <si>
    <t>Nadeau-Rifkind, Al</t>
  </si>
  <si>
    <t>Sanchez, Dennis</t>
  </si>
  <si>
    <t>Griffin, Jacquelyn</t>
  </si>
  <si>
    <t>Deolarte, Stephanie</t>
  </si>
  <si>
    <t>Oquendo, Joann</t>
  </si>
  <si>
    <t>Savinon, Clara</t>
  </si>
  <si>
    <t>Suriel, Sal</t>
  </si>
  <si>
    <t>Diaz, Karla</t>
  </si>
  <si>
    <t>Neilson, Kathryn</t>
  </si>
  <si>
    <t>Acevedo, Tiffany</t>
  </si>
  <si>
    <t>Wong, Angela</t>
  </si>
  <si>
    <t>St. Marie, Monique</t>
  </si>
  <si>
    <t>Khanam, Aysha</t>
  </si>
  <si>
    <t>Telson, Sarah</t>
  </si>
  <si>
    <t>Chung, Jeannie</t>
  </si>
  <si>
    <t>Weaver, Cynthia</t>
  </si>
  <si>
    <t>Castillo, Evette</t>
  </si>
  <si>
    <t>Zabizhin, Albert</t>
  </si>
  <si>
    <t>Hernandez, Jonathan</t>
  </si>
  <si>
    <t>Allums, Kenneshea</t>
  </si>
  <si>
    <t>Shang, Andrea</t>
  </si>
  <si>
    <t>Pongnon, Miouly</t>
  </si>
  <si>
    <t>Arboleda, Paula</t>
  </si>
  <si>
    <t>Hernandez, Elizabeth</t>
  </si>
  <si>
    <t>Casey, Jonnelle</t>
  </si>
  <si>
    <t>Padilla, Andrew</t>
  </si>
  <si>
    <t>Stump, Rafaela</t>
  </si>
  <si>
    <t>Kassiano, Andrea</t>
  </si>
  <si>
    <t>Lebro-Lopez, Wanda</t>
  </si>
  <si>
    <t>Fernandez, Jennifer</t>
  </si>
  <si>
    <t>Jackson, Chavette</t>
  </si>
  <si>
    <t>Guerra, Yolanda</t>
  </si>
  <si>
    <t>Newton, Jack</t>
  </si>
  <si>
    <t>Coludro, Zulma</t>
  </si>
  <si>
    <t>McDonald, Susan</t>
  </si>
  <si>
    <t>Morace, Jana</t>
  </si>
  <si>
    <t>Garcia, Delci</t>
  </si>
  <si>
    <t>Lee, Alicia</t>
  </si>
  <si>
    <t>Kozemczak, Virginia</t>
  </si>
  <si>
    <t>Sanabria, Myrna</t>
  </si>
  <si>
    <t>Goldberg, Heather</t>
  </si>
  <si>
    <t>Cunningham, Yvonne</t>
  </si>
  <si>
    <t>Ramos, Yolanda</t>
  </si>
  <si>
    <t>Schwartz, Ester</t>
  </si>
  <si>
    <t>Garcia, Alexandra</t>
  </si>
  <si>
    <t>Liu, Yu Jean</t>
  </si>
  <si>
    <t>Echeverry, Jessica</t>
  </si>
  <si>
    <t>Ventura, Alejandro</t>
  </si>
  <si>
    <t>Atkinson, Johnson</t>
  </si>
  <si>
    <t>Rose, Lauren</t>
  </si>
  <si>
    <t>Weisberg, Michael</t>
  </si>
  <si>
    <t>Hansen-Eder, Arlene</t>
  </si>
  <si>
    <t>Smith, Jeanne</t>
  </si>
  <si>
    <t>Nachman, Fraidy</t>
  </si>
  <si>
    <t>Espinal, Wendy</t>
  </si>
  <si>
    <t>Huang, Amanda</t>
  </si>
  <si>
    <t>Gurung, Rina</t>
  </si>
  <si>
    <t>Laffer, Tara</t>
  </si>
  <si>
    <t>Usher, Darnell</t>
  </si>
  <si>
    <t>Bohnett, Elizabeth</t>
  </si>
  <si>
    <t>Alexis, Jennifer</t>
  </si>
  <si>
    <t>Horth, Aaron</t>
  </si>
  <si>
    <t>Lee, Soo Hyun</t>
  </si>
  <si>
    <t>Barney, Darryl</t>
  </si>
  <si>
    <t>Josephson, Edward</t>
  </si>
  <si>
    <t>Liriano, Isa</t>
  </si>
  <si>
    <t>Agarwala, Shelly</t>
  </si>
  <si>
    <t>Rosen, Nadya</t>
  </si>
  <si>
    <t>Richardson, Ryan</t>
  </si>
  <si>
    <t>Paz, Alex</t>
  </si>
  <si>
    <t>Fillingame, David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</si>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</sst>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6399"/>
  <sheetViews>
    <sheetView tabSelected="1" workbookViewId="0"/>
  </sheetViews>
  <sheetFormatPr defaultRowHeight="15"/>
  <cols>
    <col min="1" max="1" width="20.7109375" style="1" customWidth="1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>
      <c r="A2" s="1">
        <f>HYPERLINK("https://lsnyc.legalserver.org/matter/dynamic-profile/view/1873379","18-1873379")</f>
        <v>0</v>
      </c>
      <c r="B2" t="s">
        <v>48</v>
      </c>
      <c r="C2" t="s">
        <v>256</v>
      </c>
      <c r="D2" t="s">
        <v>258</v>
      </c>
      <c r="F2" t="s">
        <v>1137</v>
      </c>
      <c r="G2" t="s">
        <v>3331</v>
      </c>
      <c r="H2" t="s">
        <v>5687</v>
      </c>
      <c r="I2" t="s">
        <v>8107</v>
      </c>
      <c r="J2" t="s">
        <v>9037</v>
      </c>
      <c r="K2">
        <v>11692</v>
      </c>
      <c r="L2" t="s">
        <v>9094</v>
      </c>
      <c r="M2" t="s">
        <v>9094</v>
      </c>
      <c r="N2" t="s">
        <v>9097</v>
      </c>
      <c r="O2" t="s">
        <v>11128</v>
      </c>
      <c r="P2" t="s">
        <v>11164</v>
      </c>
      <c r="R2" t="s">
        <v>11180</v>
      </c>
      <c r="S2" t="s">
        <v>9096</v>
      </c>
      <c r="T2" t="s">
        <v>11183</v>
      </c>
      <c r="U2" t="s">
        <v>11198</v>
      </c>
      <c r="V2" t="s">
        <v>258</v>
      </c>
      <c r="W2">
        <v>2000</v>
      </c>
      <c r="X2" t="s">
        <v>11331</v>
      </c>
      <c r="Y2" t="s">
        <v>11336</v>
      </c>
      <c r="Z2" t="s">
        <v>11357</v>
      </c>
      <c r="AA2" t="s">
        <v>9144</v>
      </c>
      <c r="AB2" t="s">
        <v>15906</v>
      </c>
      <c r="AC2">
        <v>2</v>
      </c>
      <c r="AD2" t="s">
        <v>19565</v>
      </c>
      <c r="AE2" t="s">
        <v>9144</v>
      </c>
      <c r="AF2">
        <v>3</v>
      </c>
      <c r="AG2">
        <v>3</v>
      </c>
      <c r="AH2">
        <v>1</v>
      </c>
      <c r="AI2">
        <v>0</v>
      </c>
      <c r="AL2" t="s">
        <v>19614</v>
      </c>
      <c r="AM2">
        <v>0</v>
      </c>
      <c r="AS2">
        <v>1.5</v>
      </c>
      <c r="AT2" t="s">
        <v>363</v>
      </c>
      <c r="AU2" t="s">
        <v>81</v>
      </c>
    </row>
    <row r="3" spans="1:48">
      <c r="A3" s="1">
        <f>HYPERLINK("https://lsnyc.legalserver.org/matter/dynamic-profile/view/1910667","19-1910667")</f>
        <v>0</v>
      </c>
      <c r="B3" t="s">
        <v>49</v>
      </c>
      <c r="C3" t="s">
        <v>257</v>
      </c>
      <c r="D3" t="s">
        <v>259</v>
      </c>
      <c r="E3" t="s">
        <v>290</v>
      </c>
      <c r="F3" t="s">
        <v>1138</v>
      </c>
      <c r="G3" t="s">
        <v>3332</v>
      </c>
      <c r="H3" t="s">
        <v>5688</v>
      </c>
      <c r="I3">
        <v>2</v>
      </c>
      <c r="J3" t="s">
        <v>9037</v>
      </c>
      <c r="K3">
        <v>11692</v>
      </c>
      <c r="L3" t="s">
        <v>9094</v>
      </c>
      <c r="M3" t="s">
        <v>9095</v>
      </c>
      <c r="N3" t="s">
        <v>9098</v>
      </c>
      <c r="O3" t="s">
        <v>11128</v>
      </c>
      <c r="P3" t="s">
        <v>11164</v>
      </c>
      <c r="Q3" t="s">
        <v>11172</v>
      </c>
      <c r="R3" t="s">
        <v>11180</v>
      </c>
      <c r="S3" t="s">
        <v>9096</v>
      </c>
      <c r="T3" t="s">
        <v>11183</v>
      </c>
      <c r="U3" t="s">
        <v>11199</v>
      </c>
      <c r="V3" t="s">
        <v>259</v>
      </c>
      <c r="W3">
        <v>250</v>
      </c>
      <c r="X3" t="s">
        <v>11331</v>
      </c>
      <c r="Y3" t="s">
        <v>11336</v>
      </c>
      <c r="Z3" t="s">
        <v>11358</v>
      </c>
      <c r="AA3" t="s">
        <v>15272</v>
      </c>
      <c r="AB3" t="s">
        <v>15907</v>
      </c>
      <c r="AC3">
        <v>2</v>
      </c>
      <c r="AD3" t="s">
        <v>19565</v>
      </c>
      <c r="AE3" t="s">
        <v>19580</v>
      </c>
      <c r="AF3">
        <v>5</v>
      </c>
      <c r="AG3">
        <v>1</v>
      </c>
      <c r="AH3">
        <v>0</v>
      </c>
      <c r="AI3">
        <v>0</v>
      </c>
      <c r="AL3" t="s">
        <v>19614</v>
      </c>
      <c r="AM3">
        <v>0</v>
      </c>
      <c r="AS3">
        <v>1.4</v>
      </c>
      <c r="AT3" t="s">
        <v>307</v>
      </c>
      <c r="AU3" t="s">
        <v>20619</v>
      </c>
      <c r="AV3" t="s">
        <v>20733</v>
      </c>
    </row>
    <row r="4" spans="1:48">
      <c r="A4" s="1">
        <f>HYPERLINK("https://lsnyc.legalserver.org/matter/dynamic-profile/view/1874432","18-1874432")</f>
        <v>0</v>
      </c>
      <c r="B4" t="s">
        <v>50</v>
      </c>
      <c r="C4" t="s">
        <v>256</v>
      </c>
      <c r="D4" t="s">
        <v>260</v>
      </c>
      <c r="F4" t="s">
        <v>1139</v>
      </c>
      <c r="G4" t="s">
        <v>3333</v>
      </c>
      <c r="H4" t="s">
        <v>5689</v>
      </c>
      <c r="I4" t="s">
        <v>8107</v>
      </c>
      <c r="J4" t="s">
        <v>9038</v>
      </c>
      <c r="K4">
        <v>11692</v>
      </c>
      <c r="L4" t="s">
        <v>9094</v>
      </c>
      <c r="M4" t="s">
        <v>9094</v>
      </c>
      <c r="N4" t="s">
        <v>9099</v>
      </c>
      <c r="O4" t="s">
        <v>11129</v>
      </c>
      <c r="P4" t="s">
        <v>11164</v>
      </c>
      <c r="R4" t="s">
        <v>11180</v>
      </c>
      <c r="S4" t="s">
        <v>9096</v>
      </c>
      <c r="T4" t="s">
        <v>11183</v>
      </c>
      <c r="U4" t="s">
        <v>11200</v>
      </c>
      <c r="V4" t="s">
        <v>260</v>
      </c>
      <c r="W4">
        <v>1930</v>
      </c>
      <c r="X4" t="s">
        <v>11331</v>
      </c>
      <c r="Y4" t="s">
        <v>11336</v>
      </c>
      <c r="Z4" t="s">
        <v>11359</v>
      </c>
      <c r="AB4" t="s">
        <v>15908</v>
      </c>
      <c r="AC4">
        <v>3</v>
      </c>
      <c r="AD4" t="s">
        <v>15441</v>
      </c>
      <c r="AE4" t="s">
        <v>19580</v>
      </c>
      <c r="AF4">
        <v>5</v>
      </c>
      <c r="AG4">
        <v>3</v>
      </c>
      <c r="AH4">
        <v>4</v>
      </c>
      <c r="AI4">
        <v>0</v>
      </c>
      <c r="AL4" t="s">
        <v>19614</v>
      </c>
      <c r="AM4">
        <v>0</v>
      </c>
      <c r="AS4">
        <v>0.1</v>
      </c>
      <c r="AT4" t="s">
        <v>264</v>
      </c>
      <c r="AU4" t="s">
        <v>50</v>
      </c>
    </row>
    <row r="5" spans="1:48">
      <c r="A5" s="1">
        <f>HYPERLINK("https://lsnyc.legalserver.org/matter/dynamic-profile/view/1899763","19-1899763")</f>
        <v>0</v>
      </c>
      <c r="B5" t="s">
        <v>49</v>
      </c>
      <c r="C5" t="s">
        <v>256</v>
      </c>
      <c r="D5" t="s">
        <v>261</v>
      </c>
      <c r="F5" t="s">
        <v>1140</v>
      </c>
      <c r="G5" t="s">
        <v>3334</v>
      </c>
      <c r="H5" t="s">
        <v>5690</v>
      </c>
      <c r="I5" t="s">
        <v>8108</v>
      </c>
      <c r="J5" t="s">
        <v>9037</v>
      </c>
      <c r="K5">
        <v>11692</v>
      </c>
      <c r="L5" t="s">
        <v>9094</v>
      </c>
      <c r="M5" t="s">
        <v>9095</v>
      </c>
      <c r="N5" t="s">
        <v>9100</v>
      </c>
      <c r="O5" t="s">
        <v>11129</v>
      </c>
      <c r="P5" t="s">
        <v>11165</v>
      </c>
      <c r="R5" t="s">
        <v>11181</v>
      </c>
      <c r="S5" t="s">
        <v>9096</v>
      </c>
      <c r="T5" t="s">
        <v>11183</v>
      </c>
      <c r="U5" t="s">
        <v>11201</v>
      </c>
      <c r="V5" t="s">
        <v>394</v>
      </c>
      <c r="W5">
        <v>2200</v>
      </c>
      <c r="X5" t="s">
        <v>11331</v>
      </c>
      <c r="Y5" t="s">
        <v>11337</v>
      </c>
      <c r="Z5" t="s">
        <v>11360</v>
      </c>
      <c r="AA5" t="s">
        <v>15273</v>
      </c>
      <c r="AB5" t="s">
        <v>15909</v>
      </c>
      <c r="AC5">
        <v>2</v>
      </c>
      <c r="AD5" t="s">
        <v>19565</v>
      </c>
      <c r="AE5" t="s">
        <v>19580</v>
      </c>
      <c r="AF5">
        <v>-1</v>
      </c>
      <c r="AG5">
        <v>1</v>
      </c>
      <c r="AH5">
        <v>4</v>
      </c>
      <c r="AI5">
        <v>0</v>
      </c>
      <c r="AJ5" t="s">
        <v>19591</v>
      </c>
      <c r="AK5" t="s">
        <v>19608</v>
      </c>
      <c r="AL5" t="s">
        <v>19614</v>
      </c>
      <c r="AM5">
        <v>0</v>
      </c>
      <c r="AO5" t="s">
        <v>20290</v>
      </c>
      <c r="AP5" t="s">
        <v>20308</v>
      </c>
      <c r="AQ5" t="s">
        <v>20368</v>
      </c>
      <c r="AR5" t="s">
        <v>20372</v>
      </c>
      <c r="AS5">
        <v>22</v>
      </c>
      <c r="AT5" t="s">
        <v>309</v>
      </c>
      <c r="AU5" t="s">
        <v>49</v>
      </c>
      <c r="AV5" t="s">
        <v>20733</v>
      </c>
    </row>
    <row r="6" spans="1:48">
      <c r="A6" s="1">
        <f>HYPERLINK("https://lsnyc.legalserver.org/matter/dynamic-profile/view/1900415","19-1900415")</f>
        <v>0</v>
      </c>
      <c r="B6" t="s">
        <v>51</v>
      </c>
      <c r="C6" t="s">
        <v>256</v>
      </c>
      <c r="D6" t="s">
        <v>262</v>
      </c>
      <c r="F6" t="s">
        <v>1141</v>
      </c>
      <c r="G6" t="s">
        <v>3335</v>
      </c>
      <c r="H6" t="s">
        <v>5691</v>
      </c>
      <c r="I6">
        <v>206</v>
      </c>
      <c r="J6" t="s">
        <v>9037</v>
      </c>
      <c r="K6">
        <v>11692</v>
      </c>
      <c r="L6" t="s">
        <v>9094</v>
      </c>
      <c r="M6" t="s">
        <v>9095</v>
      </c>
      <c r="N6" t="s">
        <v>9101</v>
      </c>
      <c r="O6" t="s">
        <v>11129</v>
      </c>
      <c r="P6" t="s">
        <v>11164</v>
      </c>
      <c r="R6" t="s">
        <v>11180</v>
      </c>
      <c r="S6" t="s">
        <v>9096</v>
      </c>
      <c r="T6" t="s">
        <v>11183</v>
      </c>
      <c r="U6" t="s">
        <v>11201</v>
      </c>
      <c r="V6" t="s">
        <v>262</v>
      </c>
      <c r="W6">
        <v>1673</v>
      </c>
      <c r="X6" t="s">
        <v>11331</v>
      </c>
      <c r="Y6" t="s">
        <v>11338</v>
      </c>
      <c r="Z6" t="s">
        <v>11361</v>
      </c>
      <c r="AA6" t="s">
        <v>15274</v>
      </c>
      <c r="AB6" t="s">
        <v>15910</v>
      </c>
      <c r="AC6">
        <v>1091</v>
      </c>
      <c r="AD6" t="s">
        <v>19565</v>
      </c>
      <c r="AE6" t="s">
        <v>19580</v>
      </c>
      <c r="AF6">
        <v>6</v>
      </c>
      <c r="AG6">
        <v>1</v>
      </c>
      <c r="AH6">
        <v>0</v>
      </c>
      <c r="AI6">
        <v>0</v>
      </c>
      <c r="AL6" t="s">
        <v>19614</v>
      </c>
      <c r="AM6">
        <v>0</v>
      </c>
      <c r="AS6">
        <v>2.1</v>
      </c>
      <c r="AT6" t="s">
        <v>621</v>
      </c>
      <c r="AU6" t="s">
        <v>20620</v>
      </c>
      <c r="AV6" t="s">
        <v>20733</v>
      </c>
    </row>
    <row r="7" spans="1:48">
      <c r="A7" s="1">
        <f>HYPERLINK("https://lsnyc.legalserver.org/matter/dynamic-profile/view/1912645","19-1912645")</f>
        <v>0</v>
      </c>
      <c r="B7" t="s">
        <v>52</v>
      </c>
      <c r="C7" t="s">
        <v>256</v>
      </c>
      <c r="D7" t="s">
        <v>263</v>
      </c>
      <c r="F7" t="s">
        <v>1142</v>
      </c>
      <c r="G7" t="s">
        <v>3336</v>
      </c>
      <c r="H7" t="s">
        <v>5692</v>
      </c>
      <c r="I7" t="s">
        <v>8109</v>
      </c>
      <c r="J7" t="s">
        <v>9038</v>
      </c>
      <c r="K7">
        <v>11691</v>
      </c>
      <c r="L7" t="s">
        <v>9094</v>
      </c>
      <c r="M7" t="s">
        <v>9095</v>
      </c>
      <c r="O7" t="s">
        <v>11130</v>
      </c>
      <c r="P7" t="s">
        <v>11166</v>
      </c>
      <c r="R7" t="s">
        <v>11180</v>
      </c>
      <c r="S7" t="s">
        <v>9094</v>
      </c>
      <c r="T7" t="s">
        <v>11183</v>
      </c>
      <c r="V7" t="s">
        <v>263</v>
      </c>
      <c r="W7">
        <v>660</v>
      </c>
      <c r="X7" t="s">
        <v>11331</v>
      </c>
      <c r="Y7" t="s">
        <v>11339</v>
      </c>
      <c r="Z7" t="s">
        <v>11362</v>
      </c>
      <c r="AB7" t="s">
        <v>15911</v>
      </c>
      <c r="AC7">
        <v>43</v>
      </c>
      <c r="AD7" t="s">
        <v>19566</v>
      </c>
      <c r="AE7" t="s">
        <v>9144</v>
      </c>
      <c r="AF7">
        <v>8</v>
      </c>
      <c r="AG7">
        <v>1</v>
      </c>
      <c r="AH7">
        <v>0</v>
      </c>
      <c r="AI7">
        <v>0</v>
      </c>
      <c r="AL7" t="s">
        <v>19614</v>
      </c>
      <c r="AM7">
        <v>0</v>
      </c>
      <c r="AS7">
        <v>0.3</v>
      </c>
      <c r="AT7" t="s">
        <v>263</v>
      </c>
      <c r="AU7" t="s">
        <v>20620</v>
      </c>
      <c r="AV7" t="s">
        <v>20733</v>
      </c>
    </row>
    <row r="8" spans="1:48">
      <c r="A8" s="1">
        <f>HYPERLINK("https://lsnyc.legalserver.org/matter/dynamic-profile/view/1895286","19-1895286")</f>
        <v>0</v>
      </c>
      <c r="B8" t="s">
        <v>52</v>
      </c>
      <c r="C8" t="s">
        <v>257</v>
      </c>
      <c r="D8" t="s">
        <v>264</v>
      </c>
      <c r="E8" t="s">
        <v>1016</v>
      </c>
      <c r="F8" t="s">
        <v>1143</v>
      </c>
      <c r="G8" t="s">
        <v>3337</v>
      </c>
      <c r="H8" t="s">
        <v>5693</v>
      </c>
      <c r="I8" t="s">
        <v>8110</v>
      </c>
      <c r="J8" t="s">
        <v>9038</v>
      </c>
      <c r="K8">
        <v>11691</v>
      </c>
      <c r="L8" t="s">
        <v>9094</v>
      </c>
      <c r="M8" t="s">
        <v>9094</v>
      </c>
      <c r="O8" t="s">
        <v>9121</v>
      </c>
      <c r="P8" t="s">
        <v>11167</v>
      </c>
      <c r="Q8" t="s">
        <v>11173</v>
      </c>
      <c r="R8" t="s">
        <v>11180</v>
      </c>
      <c r="S8" t="s">
        <v>9096</v>
      </c>
      <c r="T8" t="s">
        <v>11183</v>
      </c>
      <c r="U8" t="s">
        <v>11201</v>
      </c>
      <c r="V8" t="s">
        <v>278</v>
      </c>
      <c r="W8">
        <v>1233</v>
      </c>
      <c r="X8" t="s">
        <v>11331</v>
      </c>
      <c r="Y8" t="s">
        <v>11339</v>
      </c>
      <c r="Z8" t="s">
        <v>11363</v>
      </c>
      <c r="AB8" t="s">
        <v>15912</v>
      </c>
      <c r="AC8">
        <v>917</v>
      </c>
      <c r="AD8" t="s">
        <v>19566</v>
      </c>
      <c r="AE8" t="s">
        <v>19580</v>
      </c>
      <c r="AF8">
        <v>10</v>
      </c>
      <c r="AG8">
        <v>1</v>
      </c>
      <c r="AH8">
        <v>0</v>
      </c>
      <c r="AI8">
        <v>0</v>
      </c>
      <c r="AL8" t="s">
        <v>19614</v>
      </c>
      <c r="AM8">
        <v>0</v>
      </c>
      <c r="AS8">
        <v>1.5</v>
      </c>
      <c r="AT8" t="s">
        <v>1016</v>
      </c>
      <c r="AU8" t="s">
        <v>52</v>
      </c>
      <c r="AV8" t="s">
        <v>20733</v>
      </c>
    </row>
    <row r="9" spans="1:48">
      <c r="A9" s="1">
        <f>HYPERLINK("https://lsnyc.legalserver.org/matter/dynamic-profile/view/1904337","19-1904337")</f>
        <v>0</v>
      </c>
      <c r="B9" t="s">
        <v>49</v>
      </c>
      <c r="C9" t="s">
        <v>257</v>
      </c>
      <c r="D9" t="s">
        <v>265</v>
      </c>
      <c r="E9" t="s">
        <v>736</v>
      </c>
      <c r="F9" t="s">
        <v>1144</v>
      </c>
      <c r="G9" t="s">
        <v>3338</v>
      </c>
      <c r="H9" t="s">
        <v>5694</v>
      </c>
      <c r="J9" t="s">
        <v>9038</v>
      </c>
      <c r="K9">
        <v>11691</v>
      </c>
      <c r="L9" t="s">
        <v>9094</v>
      </c>
      <c r="M9" t="s">
        <v>9095</v>
      </c>
      <c r="N9" t="s">
        <v>9102</v>
      </c>
      <c r="O9" t="s">
        <v>9121</v>
      </c>
      <c r="P9" t="s">
        <v>11164</v>
      </c>
      <c r="Q9" t="s">
        <v>11172</v>
      </c>
      <c r="R9" t="s">
        <v>11181</v>
      </c>
      <c r="S9" t="s">
        <v>9096</v>
      </c>
      <c r="T9" t="s">
        <v>11183</v>
      </c>
      <c r="U9" t="s">
        <v>11201</v>
      </c>
      <c r="V9" t="s">
        <v>736</v>
      </c>
      <c r="W9">
        <v>600</v>
      </c>
      <c r="X9" t="s">
        <v>11331</v>
      </c>
      <c r="Y9" t="s">
        <v>11337</v>
      </c>
      <c r="Z9" t="s">
        <v>11364</v>
      </c>
      <c r="AA9" t="s">
        <v>9144</v>
      </c>
      <c r="AB9" t="s">
        <v>15274</v>
      </c>
      <c r="AC9">
        <v>2</v>
      </c>
      <c r="AD9" t="s">
        <v>19565</v>
      </c>
      <c r="AE9" t="s">
        <v>9144</v>
      </c>
      <c r="AF9">
        <v>5</v>
      </c>
      <c r="AG9">
        <v>1</v>
      </c>
      <c r="AH9">
        <v>2</v>
      </c>
      <c r="AI9">
        <v>0</v>
      </c>
      <c r="AJ9" t="s">
        <v>19591</v>
      </c>
      <c r="AK9" t="s">
        <v>19608</v>
      </c>
      <c r="AL9" t="s">
        <v>19614</v>
      </c>
      <c r="AM9">
        <v>0</v>
      </c>
      <c r="AS9">
        <v>1.2</v>
      </c>
      <c r="AT9" t="s">
        <v>736</v>
      </c>
      <c r="AU9" t="s">
        <v>49</v>
      </c>
      <c r="AV9" t="s">
        <v>20733</v>
      </c>
    </row>
    <row r="10" spans="1:48">
      <c r="A10" s="1">
        <f>HYPERLINK("https://lsnyc.legalserver.org/matter/dynamic-profile/view/1855129","18-1855129")</f>
        <v>0</v>
      </c>
      <c r="B10" t="s">
        <v>53</v>
      </c>
      <c r="C10" t="s">
        <v>256</v>
      </c>
      <c r="D10" t="s">
        <v>266</v>
      </c>
      <c r="F10" t="s">
        <v>1145</v>
      </c>
      <c r="G10" t="s">
        <v>3339</v>
      </c>
      <c r="H10" t="s">
        <v>5695</v>
      </c>
      <c r="I10" t="s">
        <v>8111</v>
      </c>
      <c r="J10" t="s">
        <v>9038</v>
      </c>
      <c r="K10">
        <v>11691</v>
      </c>
      <c r="L10" t="s">
        <v>9094</v>
      </c>
      <c r="M10" t="s">
        <v>9095</v>
      </c>
      <c r="N10" t="s">
        <v>9103</v>
      </c>
      <c r="O10" t="s">
        <v>11129</v>
      </c>
      <c r="P10" t="s">
        <v>11165</v>
      </c>
      <c r="R10" t="s">
        <v>11180</v>
      </c>
      <c r="S10" t="s">
        <v>9096</v>
      </c>
      <c r="T10" t="s">
        <v>11183</v>
      </c>
      <c r="V10" t="s">
        <v>266</v>
      </c>
      <c r="W10">
        <v>204</v>
      </c>
      <c r="X10" t="s">
        <v>11331</v>
      </c>
      <c r="Y10" t="s">
        <v>11338</v>
      </c>
      <c r="Z10" t="s">
        <v>11365</v>
      </c>
      <c r="AB10" t="s">
        <v>15913</v>
      </c>
      <c r="AC10">
        <v>149</v>
      </c>
      <c r="AD10" t="s">
        <v>19567</v>
      </c>
      <c r="AE10" t="s">
        <v>19580</v>
      </c>
      <c r="AF10">
        <v>21</v>
      </c>
      <c r="AG10">
        <v>2</v>
      </c>
      <c r="AH10">
        <v>0</v>
      </c>
      <c r="AI10">
        <v>0</v>
      </c>
      <c r="AL10" t="s">
        <v>19614</v>
      </c>
      <c r="AM10">
        <v>0</v>
      </c>
      <c r="AS10">
        <v>34.73</v>
      </c>
      <c r="AT10" t="s">
        <v>260</v>
      </c>
      <c r="AU10" t="s">
        <v>20620</v>
      </c>
    </row>
    <row r="11" spans="1:48">
      <c r="A11" s="1">
        <f>HYPERLINK("https://lsnyc.legalserver.org/matter/dynamic-profile/view/1890870","19-1890870")</f>
        <v>0</v>
      </c>
      <c r="B11" t="s">
        <v>48</v>
      </c>
      <c r="C11" t="s">
        <v>256</v>
      </c>
      <c r="D11" t="s">
        <v>267</v>
      </c>
      <c r="F11" t="s">
        <v>1146</v>
      </c>
      <c r="G11" t="s">
        <v>3340</v>
      </c>
      <c r="H11" t="s">
        <v>5696</v>
      </c>
      <c r="I11" t="s">
        <v>8112</v>
      </c>
      <c r="J11" t="s">
        <v>9038</v>
      </c>
      <c r="K11">
        <v>11691</v>
      </c>
      <c r="L11" t="s">
        <v>9094</v>
      </c>
      <c r="M11" t="s">
        <v>9094</v>
      </c>
      <c r="N11" t="s">
        <v>9104</v>
      </c>
      <c r="O11" t="s">
        <v>11129</v>
      </c>
      <c r="P11" t="s">
        <v>11164</v>
      </c>
      <c r="R11" t="s">
        <v>11180</v>
      </c>
      <c r="S11" t="s">
        <v>9096</v>
      </c>
      <c r="T11" t="s">
        <v>11183</v>
      </c>
      <c r="U11" t="s">
        <v>11199</v>
      </c>
      <c r="V11" t="s">
        <v>267</v>
      </c>
      <c r="W11">
        <v>1085</v>
      </c>
      <c r="X11" t="s">
        <v>11331</v>
      </c>
      <c r="Y11" t="s">
        <v>11336</v>
      </c>
      <c r="Z11" t="s">
        <v>11366</v>
      </c>
      <c r="AA11" t="s">
        <v>15275</v>
      </c>
      <c r="AB11" t="s">
        <v>15274</v>
      </c>
      <c r="AC11">
        <v>84</v>
      </c>
      <c r="AD11" t="s">
        <v>19566</v>
      </c>
      <c r="AE11" t="s">
        <v>9144</v>
      </c>
      <c r="AF11">
        <v>25</v>
      </c>
      <c r="AG11">
        <v>3</v>
      </c>
      <c r="AH11">
        <v>0</v>
      </c>
      <c r="AI11">
        <v>0</v>
      </c>
      <c r="AL11" t="s">
        <v>19615</v>
      </c>
      <c r="AM11">
        <v>0</v>
      </c>
      <c r="AS11">
        <v>0.5</v>
      </c>
      <c r="AT11" t="s">
        <v>267</v>
      </c>
      <c r="AU11" t="s">
        <v>81</v>
      </c>
    </row>
    <row r="12" spans="1:48">
      <c r="A12" s="1">
        <f>HYPERLINK("https://lsnyc.legalserver.org/matter/dynamic-profile/view/1902338","19-1902338")</f>
        <v>0</v>
      </c>
      <c r="B12" t="s">
        <v>52</v>
      </c>
      <c r="C12" t="s">
        <v>256</v>
      </c>
      <c r="D12" t="s">
        <v>268</v>
      </c>
      <c r="F12" t="s">
        <v>1147</v>
      </c>
      <c r="G12" t="s">
        <v>3341</v>
      </c>
      <c r="H12" t="s">
        <v>5697</v>
      </c>
      <c r="J12" t="s">
        <v>9038</v>
      </c>
      <c r="K12">
        <v>11691</v>
      </c>
      <c r="L12" t="s">
        <v>9094</v>
      </c>
      <c r="M12" t="s">
        <v>9095</v>
      </c>
      <c r="N12" t="s">
        <v>9105</v>
      </c>
      <c r="O12" t="s">
        <v>11129</v>
      </c>
      <c r="P12" t="s">
        <v>11165</v>
      </c>
      <c r="R12" t="s">
        <v>11180</v>
      </c>
      <c r="S12" t="s">
        <v>9096</v>
      </c>
      <c r="T12" t="s">
        <v>11183</v>
      </c>
      <c r="U12" t="s">
        <v>11201</v>
      </c>
      <c r="V12" t="s">
        <v>736</v>
      </c>
      <c r="W12">
        <v>1075</v>
      </c>
      <c r="X12" t="s">
        <v>11331</v>
      </c>
      <c r="Y12" t="s">
        <v>11157</v>
      </c>
      <c r="Z12" t="s">
        <v>11367</v>
      </c>
      <c r="AB12" t="s">
        <v>15914</v>
      </c>
      <c r="AC12">
        <v>602</v>
      </c>
      <c r="AD12" t="s">
        <v>15441</v>
      </c>
      <c r="AE12" t="s">
        <v>11157</v>
      </c>
      <c r="AF12">
        <v>3</v>
      </c>
      <c r="AG12">
        <v>1</v>
      </c>
      <c r="AH12">
        <v>0</v>
      </c>
      <c r="AI12">
        <v>0</v>
      </c>
      <c r="AL12" t="s">
        <v>19615</v>
      </c>
      <c r="AM12">
        <v>0</v>
      </c>
      <c r="AP12" t="s">
        <v>20309</v>
      </c>
      <c r="AS12">
        <v>2.56</v>
      </c>
      <c r="AT12" t="s">
        <v>474</v>
      </c>
      <c r="AU12" t="s">
        <v>63</v>
      </c>
      <c r="AV12" t="s">
        <v>20733</v>
      </c>
    </row>
    <row r="13" spans="1:48">
      <c r="A13" s="1">
        <f>HYPERLINK("https://lsnyc.legalserver.org/matter/dynamic-profile/view/1912643","19-1912643")</f>
        <v>0</v>
      </c>
      <c r="B13" t="s">
        <v>52</v>
      </c>
      <c r="C13" t="s">
        <v>256</v>
      </c>
      <c r="D13" t="s">
        <v>263</v>
      </c>
      <c r="F13" t="s">
        <v>1142</v>
      </c>
      <c r="G13" t="s">
        <v>3336</v>
      </c>
      <c r="H13" t="s">
        <v>5692</v>
      </c>
      <c r="I13" t="s">
        <v>8109</v>
      </c>
      <c r="J13" t="s">
        <v>9038</v>
      </c>
      <c r="K13">
        <v>11691</v>
      </c>
      <c r="L13" t="s">
        <v>9094</v>
      </c>
      <c r="M13" t="s">
        <v>9095</v>
      </c>
      <c r="O13" t="s">
        <v>11129</v>
      </c>
      <c r="P13" t="s">
        <v>11166</v>
      </c>
      <c r="R13" t="s">
        <v>11180</v>
      </c>
      <c r="S13" t="s">
        <v>9094</v>
      </c>
      <c r="T13" t="s">
        <v>11183</v>
      </c>
      <c r="V13" t="s">
        <v>263</v>
      </c>
      <c r="W13">
        <v>660</v>
      </c>
      <c r="X13" t="s">
        <v>11331</v>
      </c>
      <c r="Y13" t="s">
        <v>11339</v>
      </c>
      <c r="Z13" t="s">
        <v>11362</v>
      </c>
      <c r="AB13" t="s">
        <v>15911</v>
      </c>
      <c r="AC13">
        <v>43</v>
      </c>
      <c r="AD13" t="s">
        <v>19566</v>
      </c>
      <c r="AE13" t="s">
        <v>9144</v>
      </c>
      <c r="AF13">
        <v>8</v>
      </c>
      <c r="AG13">
        <v>1</v>
      </c>
      <c r="AH13">
        <v>0</v>
      </c>
      <c r="AI13">
        <v>0</v>
      </c>
      <c r="AL13" t="s">
        <v>19614</v>
      </c>
      <c r="AM13">
        <v>0</v>
      </c>
      <c r="AS13">
        <v>0.3</v>
      </c>
      <c r="AT13" t="s">
        <v>263</v>
      </c>
      <c r="AU13" t="s">
        <v>20620</v>
      </c>
      <c r="AV13" t="s">
        <v>20733</v>
      </c>
    </row>
    <row r="14" spans="1:48">
      <c r="A14" s="1">
        <f>HYPERLINK("https://lsnyc.legalserver.org/matter/dynamic-profile/view/1895111","19-1895111")</f>
        <v>0</v>
      </c>
      <c r="B14" t="s">
        <v>54</v>
      </c>
      <c r="C14" t="s">
        <v>256</v>
      </c>
      <c r="D14" t="s">
        <v>269</v>
      </c>
      <c r="F14" t="s">
        <v>1148</v>
      </c>
      <c r="G14" t="s">
        <v>3342</v>
      </c>
      <c r="H14" t="s">
        <v>5698</v>
      </c>
      <c r="I14" t="s">
        <v>8113</v>
      </c>
      <c r="J14" t="s">
        <v>9038</v>
      </c>
      <c r="K14">
        <v>11691</v>
      </c>
      <c r="L14" t="s">
        <v>9094</v>
      </c>
      <c r="M14" t="s">
        <v>9094</v>
      </c>
      <c r="O14" t="s">
        <v>11131</v>
      </c>
      <c r="P14" t="s">
        <v>11166</v>
      </c>
      <c r="R14" t="s">
        <v>11180</v>
      </c>
      <c r="S14" t="s">
        <v>9096</v>
      </c>
      <c r="T14" t="s">
        <v>11183</v>
      </c>
      <c r="U14" t="s">
        <v>11201</v>
      </c>
      <c r="V14" t="s">
        <v>848</v>
      </c>
      <c r="W14">
        <v>1000</v>
      </c>
      <c r="X14" t="s">
        <v>11331</v>
      </c>
      <c r="Y14" t="s">
        <v>11340</v>
      </c>
      <c r="Z14" t="s">
        <v>11368</v>
      </c>
      <c r="AA14" t="s">
        <v>15276</v>
      </c>
      <c r="AB14" t="s">
        <v>15915</v>
      </c>
      <c r="AC14">
        <v>231</v>
      </c>
      <c r="AD14" t="s">
        <v>19568</v>
      </c>
      <c r="AE14" t="s">
        <v>19580</v>
      </c>
      <c r="AF14">
        <v>35</v>
      </c>
      <c r="AG14">
        <v>1</v>
      </c>
      <c r="AH14">
        <v>3</v>
      </c>
      <c r="AI14">
        <v>0</v>
      </c>
      <c r="AL14" t="s">
        <v>19614</v>
      </c>
      <c r="AM14">
        <v>0</v>
      </c>
      <c r="AO14" t="s">
        <v>20290</v>
      </c>
      <c r="AP14" t="s">
        <v>20310</v>
      </c>
      <c r="AQ14" t="s">
        <v>20369</v>
      </c>
      <c r="AR14" t="s">
        <v>20373</v>
      </c>
      <c r="AS14">
        <v>0.6</v>
      </c>
      <c r="AT14" t="s">
        <v>336</v>
      </c>
      <c r="AU14" t="s">
        <v>49</v>
      </c>
    </row>
    <row r="15" spans="1:48">
      <c r="A15" s="1">
        <f>HYPERLINK("https://lsnyc.legalserver.org/matter/dynamic-profile/view/1915193","19-1915193")</f>
        <v>0</v>
      </c>
      <c r="B15" t="s">
        <v>55</v>
      </c>
      <c r="C15" t="s">
        <v>256</v>
      </c>
      <c r="D15" t="s">
        <v>270</v>
      </c>
      <c r="F15" t="s">
        <v>1149</v>
      </c>
      <c r="G15" t="s">
        <v>3343</v>
      </c>
      <c r="H15" t="s">
        <v>5699</v>
      </c>
      <c r="J15" t="s">
        <v>9039</v>
      </c>
      <c r="K15">
        <v>11436</v>
      </c>
      <c r="L15" t="s">
        <v>9094</v>
      </c>
      <c r="M15" t="s">
        <v>9095</v>
      </c>
      <c r="N15" t="s">
        <v>9106</v>
      </c>
      <c r="O15" t="s">
        <v>11128</v>
      </c>
      <c r="R15" t="s">
        <v>11180</v>
      </c>
      <c r="S15" t="s">
        <v>9096</v>
      </c>
      <c r="T15" t="s">
        <v>11183</v>
      </c>
      <c r="W15">
        <v>2000</v>
      </c>
      <c r="X15" t="s">
        <v>11331</v>
      </c>
      <c r="Y15" t="s">
        <v>11336</v>
      </c>
      <c r="Z15" t="s">
        <v>11369</v>
      </c>
      <c r="AB15" t="s">
        <v>15916</v>
      </c>
      <c r="AC15">
        <v>1</v>
      </c>
      <c r="AD15" t="s">
        <v>19565</v>
      </c>
      <c r="AF15">
        <v>1</v>
      </c>
      <c r="AG15">
        <v>2</v>
      </c>
      <c r="AH15">
        <v>1</v>
      </c>
      <c r="AI15">
        <v>0</v>
      </c>
      <c r="AM15">
        <v>0</v>
      </c>
      <c r="AS15">
        <v>1.6</v>
      </c>
      <c r="AT15" t="s">
        <v>321</v>
      </c>
      <c r="AU15" t="s">
        <v>153</v>
      </c>
    </row>
    <row r="16" spans="1:48">
      <c r="A16" s="1">
        <f>HYPERLINK("https://lsnyc.legalserver.org/matter/dynamic-profile/view/1904043","19-1904043")</f>
        <v>0</v>
      </c>
      <c r="B16" t="s">
        <v>54</v>
      </c>
      <c r="C16" t="s">
        <v>256</v>
      </c>
      <c r="D16" t="s">
        <v>271</v>
      </c>
      <c r="F16" t="s">
        <v>1150</v>
      </c>
      <c r="G16" t="s">
        <v>3344</v>
      </c>
      <c r="H16" t="s">
        <v>5700</v>
      </c>
      <c r="I16" t="s">
        <v>8114</v>
      </c>
      <c r="J16" t="s">
        <v>9039</v>
      </c>
      <c r="K16">
        <v>11435</v>
      </c>
      <c r="L16" t="s">
        <v>9094</v>
      </c>
      <c r="M16" t="s">
        <v>9095</v>
      </c>
      <c r="N16" t="s">
        <v>9107</v>
      </c>
      <c r="O16" t="s">
        <v>11128</v>
      </c>
      <c r="P16" t="s">
        <v>11164</v>
      </c>
      <c r="R16" t="s">
        <v>11180</v>
      </c>
      <c r="S16" t="s">
        <v>9096</v>
      </c>
      <c r="T16" t="s">
        <v>11183</v>
      </c>
      <c r="U16" t="s">
        <v>11201</v>
      </c>
      <c r="V16" t="s">
        <v>271</v>
      </c>
      <c r="W16">
        <v>2200</v>
      </c>
      <c r="X16" t="s">
        <v>11331</v>
      </c>
      <c r="Y16" t="s">
        <v>11336</v>
      </c>
      <c r="Z16" t="s">
        <v>11370</v>
      </c>
      <c r="AB16" t="s">
        <v>15917</v>
      </c>
      <c r="AC16">
        <v>2</v>
      </c>
      <c r="AD16" t="s">
        <v>15441</v>
      </c>
      <c r="AE16" t="s">
        <v>9144</v>
      </c>
      <c r="AF16">
        <v>1</v>
      </c>
      <c r="AG16">
        <v>2</v>
      </c>
      <c r="AH16">
        <v>0</v>
      </c>
      <c r="AI16">
        <v>0</v>
      </c>
      <c r="AL16" t="s">
        <v>19614</v>
      </c>
      <c r="AM16">
        <v>0</v>
      </c>
      <c r="AS16">
        <v>1.47</v>
      </c>
      <c r="AT16" t="s">
        <v>832</v>
      </c>
      <c r="AU16" t="s">
        <v>20620</v>
      </c>
      <c r="AV16" t="s">
        <v>20733</v>
      </c>
    </row>
    <row r="17" spans="1:48">
      <c r="A17" s="1">
        <f>HYPERLINK("https://lsnyc.legalserver.org/matter/dynamic-profile/view/1867207","18-1867207")</f>
        <v>0</v>
      </c>
      <c r="B17" t="s">
        <v>56</v>
      </c>
      <c r="C17" t="s">
        <v>256</v>
      </c>
      <c r="D17" t="s">
        <v>272</v>
      </c>
      <c r="F17" t="s">
        <v>1151</v>
      </c>
      <c r="G17" t="s">
        <v>3345</v>
      </c>
      <c r="H17" t="s">
        <v>5701</v>
      </c>
      <c r="J17" t="s">
        <v>9039</v>
      </c>
      <c r="K17">
        <v>11435</v>
      </c>
      <c r="L17" t="s">
        <v>9094</v>
      </c>
      <c r="M17" t="s">
        <v>9095</v>
      </c>
      <c r="N17" t="s">
        <v>9108</v>
      </c>
      <c r="O17" t="s">
        <v>11130</v>
      </c>
      <c r="P17" t="s">
        <v>11165</v>
      </c>
      <c r="R17" t="s">
        <v>11180</v>
      </c>
      <c r="S17" t="s">
        <v>9096</v>
      </c>
      <c r="T17" t="s">
        <v>11183</v>
      </c>
      <c r="V17" t="s">
        <v>272</v>
      </c>
      <c r="W17">
        <v>750</v>
      </c>
      <c r="X17" t="s">
        <v>11331</v>
      </c>
      <c r="Y17" t="s">
        <v>11336</v>
      </c>
      <c r="Z17" t="s">
        <v>11371</v>
      </c>
      <c r="AA17" t="s">
        <v>9171</v>
      </c>
      <c r="AB17" t="s">
        <v>15918</v>
      </c>
      <c r="AC17">
        <v>2</v>
      </c>
      <c r="AD17" t="s">
        <v>19565</v>
      </c>
      <c r="AE17" t="s">
        <v>9144</v>
      </c>
      <c r="AF17">
        <v>2</v>
      </c>
      <c r="AG17">
        <v>1</v>
      </c>
      <c r="AH17">
        <v>0</v>
      </c>
      <c r="AI17">
        <v>0</v>
      </c>
      <c r="AL17" t="s">
        <v>19614</v>
      </c>
      <c r="AM17">
        <v>0</v>
      </c>
      <c r="AS17">
        <v>10.4</v>
      </c>
      <c r="AT17" t="s">
        <v>869</v>
      </c>
      <c r="AU17" t="s">
        <v>20620</v>
      </c>
    </row>
    <row r="18" spans="1:48">
      <c r="A18" s="1">
        <f>HYPERLINK("https://lsnyc.legalserver.org/matter/dynamic-profile/view/1909542","19-1909542")</f>
        <v>0</v>
      </c>
      <c r="B18" t="s">
        <v>52</v>
      </c>
      <c r="C18" t="s">
        <v>256</v>
      </c>
      <c r="D18" t="s">
        <v>273</v>
      </c>
      <c r="F18" t="s">
        <v>1152</v>
      </c>
      <c r="G18" t="s">
        <v>1687</v>
      </c>
      <c r="H18" t="s">
        <v>5702</v>
      </c>
      <c r="I18">
        <v>2</v>
      </c>
      <c r="J18" t="s">
        <v>9039</v>
      </c>
      <c r="K18">
        <v>11435</v>
      </c>
      <c r="L18" t="s">
        <v>9094</v>
      </c>
      <c r="M18" t="s">
        <v>9095</v>
      </c>
      <c r="N18" t="s">
        <v>9109</v>
      </c>
      <c r="O18" t="s">
        <v>11130</v>
      </c>
      <c r="P18" t="s">
        <v>11165</v>
      </c>
      <c r="R18" t="s">
        <v>11180</v>
      </c>
      <c r="S18" t="s">
        <v>9096</v>
      </c>
      <c r="T18" t="s">
        <v>11183</v>
      </c>
      <c r="U18" t="s">
        <v>11202</v>
      </c>
      <c r="V18" t="s">
        <v>273</v>
      </c>
      <c r="W18">
        <v>1650</v>
      </c>
      <c r="X18" t="s">
        <v>11331</v>
      </c>
      <c r="Y18" t="s">
        <v>11336</v>
      </c>
      <c r="Z18" t="s">
        <v>11372</v>
      </c>
      <c r="AB18" t="s">
        <v>15919</v>
      </c>
      <c r="AC18">
        <v>2</v>
      </c>
      <c r="AD18" t="s">
        <v>19565</v>
      </c>
      <c r="AE18" t="s">
        <v>9144</v>
      </c>
      <c r="AF18">
        <v>2</v>
      </c>
      <c r="AG18">
        <v>1</v>
      </c>
      <c r="AH18">
        <v>3</v>
      </c>
      <c r="AI18">
        <v>0</v>
      </c>
      <c r="AL18" t="s">
        <v>19614</v>
      </c>
      <c r="AM18">
        <v>0</v>
      </c>
      <c r="AP18" t="s">
        <v>11157</v>
      </c>
      <c r="AS18">
        <v>2.3</v>
      </c>
      <c r="AT18" t="s">
        <v>331</v>
      </c>
      <c r="AU18" t="s">
        <v>20620</v>
      </c>
      <c r="AV18" t="s">
        <v>20733</v>
      </c>
    </row>
    <row r="19" spans="1:48">
      <c r="A19" s="1">
        <f>HYPERLINK("https://lsnyc.legalserver.org/matter/dynamic-profile/view/1893856","19-1893856")</f>
        <v>0</v>
      </c>
      <c r="B19" t="s">
        <v>50</v>
      </c>
      <c r="C19" t="s">
        <v>256</v>
      </c>
      <c r="D19" t="s">
        <v>274</v>
      </c>
      <c r="F19" t="s">
        <v>1153</v>
      </c>
      <c r="G19" t="s">
        <v>3346</v>
      </c>
      <c r="H19" t="s">
        <v>5703</v>
      </c>
      <c r="J19" t="s">
        <v>9039</v>
      </c>
      <c r="K19">
        <v>11435</v>
      </c>
      <c r="L19" t="s">
        <v>9094</v>
      </c>
      <c r="M19" t="s">
        <v>9094</v>
      </c>
      <c r="N19" t="s">
        <v>9110</v>
      </c>
      <c r="O19" t="s">
        <v>11129</v>
      </c>
      <c r="P19" t="s">
        <v>11165</v>
      </c>
      <c r="R19" t="s">
        <v>11180</v>
      </c>
      <c r="S19" t="s">
        <v>9096</v>
      </c>
      <c r="T19" t="s">
        <v>11183</v>
      </c>
      <c r="U19" t="s">
        <v>11199</v>
      </c>
      <c r="V19" t="s">
        <v>413</v>
      </c>
      <c r="W19">
        <v>1017.52</v>
      </c>
      <c r="X19" t="s">
        <v>11331</v>
      </c>
      <c r="Y19" t="s">
        <v>11336</v>
      </c>
      <c r="Z19" t="s">
        <v>11373</v>
      </c>
      <c r="AB19" t="s">
        <v>15920</v>
      </c>
      <c r="AC19">
        <v>70</v>
      </c>
      <c r="AD19" t="s">
        <v>19566</v>
      </c>
      <c r="AE19" t="s">
        <v>9144</v>
      </c>
      <c r="AF19">
        <v>15</v>
      </c>
      <c r="AG19">
        <v>2</v>
      </c>
      <c r="AH19">
        <v>2</v>
      </c>
      <c r="AI19">
        <v>0</v>
      </c>
      <c r="AL19" t="s">
        <v>19615</v>
      </c>
      <c r="AM19">
        <v>0</v>
      </c>
      <c r="AS19">
        <v>7</v>
      </c>
      <c r="AT19" t="s">
        <v>993</v>
      </c>
      <c r="AU19" t="s">
        <v>50</v>
      </c>
      <c r="AV19" t="s">
        <v>20733</v>
      </c>
    </row>
    <row r="20" spans="1:48">
      <c r="A20" s="1">
        <f>HYPERLINK("https://lsnyc.legalserver.org/matter/dynamic-profile/view/1907457","19-1907457")</f>
        <v>0</v>
      </c>
      <c r="B20" t="s">
        <v>52</v>
      </c>
      <c r="C20" t="s">
        <v>256</v>
      </c>
      <c r="D20" t="s">
        <v>275</v>
      </c>
      <c r="F20" t="s">
        <v>1152</v>
      </c>
      <c r="G20" t="s">
        <v>1687</v>
      </c>
      <c r="H20" t="s">
        <v>5704</v>
      </c>
      <c r="J20" t="s">
        <v>9039</v>
      </c>
      <c r="K20">
        <v>11435</v>
      </c>
      <c r="L20" t="s">
        <v>9094</v>
      </c>
      <c r="M20" t="s">
        <v>9095</v>
      </c>
      <c r="N20" t="s">
        <v>9111</v>
      </c>
      <c r="O20" t="s">
        <v>11129</v>
      </c>
      <c r="P20" t="s">
        <v>11165</v>
      </c>
      <c r="R20" t="s">
        <v>11180</v>
      </c>
      <c r="S20" t="s">
        <v>9096</v>
      </c>
      <c r="T20" t="s">
        <v>11183</v>
      </c>
      <c r="U20" t="s">
        <v>11201</v>
      </c>
      <c r="V20" t="s">
        <v>275</v>
      </c>
      <c r="W20">
        <v>1650</v>
      </c>
      <c r="X20" t="s">
        <v>11331</v>
      </c>
      <c r="Y20" t="s">
        <v>11336</v>
      </c>
      <c r="Z20" t="s">
        <v>11372</v>
      </c>
      <c r="AB20" t="s">
        <v>15919</v>
      </c>
      <c r="AC20">
        <v>2</v>
      </c>
      <c r="AD20" t="s">
        <v>19565</v>
      </c>
      <c r="AE20" t="s">
        <v>9144</v>
      </c>
      <c r="AF20">
        <v>2</v>
      </c>
      <c r="AG20">
        <v>1</v>
      </c>
      <c r="AH20">
        <v>3</v>
      </c>
      <c r="AI20">
        <v>0</v>
      </c>
      <c r="AL20" t="s">
        <v>19614</v>
      </c>
      <c r="AM20">
        <v>0</v>
      </c>
      <c r="AP20" t="s">
        <v>11157</v>
      </c>
      <c r="AS20">
        <v>17.85</v>
      </c>
      <c r="AT20" t="s">
        <v>404</v>
      </c>
      <c r="AU20" t="s">
        <v>52</v>
      </c>
      <c r="AV20" t="s">
        <v>20733</v>
      </c>
    </row>
    <row r="21" spans="1:48">
      <c r="A21" s="1">
        <f>HYPERLINK("https://lsnyc.legalserver.org/matter/dynamic-profile/view/1913156","19-1913156")</f>
        <v>0</v>
      </c>
      <c r="B21" t="s">
        <v>57</v>
      </c>
      <c r="C21" t="s">
        <v>256</v>
      </c>
      <c r="D21" t="s">
        <v>276</v>
      </c>
      <c r="F21" t="s">
        <v>1138</v>
      </c>
      <c r="G21" t="s">
        <v>3347</v>
      </c>
      <c r="H21" t="s">
        <v>5705</v>
      </c>
      <c r="J21" t="s">
        <v>9039</v>
      </c>
      <c r="K21">
        <v>11434</v>
      </c>
      <c r="L21" t="s">
        <v>9094</v>
      </c>
      <c r="M21" t="s">
        <v>9095</v>
      </c>
      <c r="N21" t="s">
        <v>9098</v>
      </c>
      <c r="O21" t="s">
        <v>11128</v>
      </c>
      <c r="P21" t="s">
        <v>11164</v>
      </c>
      <c r="R21" t="s">
        <v>11181</v>
      </c>
      <c r="S21" t="s">
        <v>9096</v>
      </c>
      <c r="T21" t="s">
        <v>11183</v>
      </c>
      <c r="U21" t="s">
        <v>11198</v>
      </c>
      <c r="V21" t="s">
        <v>276</v>
      </c>
      <c r="W21">
        <v>0</v>
      </c>
      <c r="X21" t="s">
        <v>11331</v>
      </c>
      <c r="Y21" t="s">
        <v>11337</v>
      </c>
      <c r="Z21" t="s">
        <v>11358</v>
      </c>
      <c r="AB21" t="s">
        <v>15907</v>
      </c>
      <c r="AC21">
        <v>2</v>
      </c>
      <c r="AE21" t="s">
        <v>19580</v>
      </c>
      <c r="AF21">
        <v>0</v>
      </c>
      <c r="AG21">
        <v>1</v>
      </c>
      <c r="AH21">
        <v>0</v>
      </c>
      <c r="AI21">
        <v>0</v>
      </c>
      <c r="AJ21" t="s">
        <v>19591</v>
      </c>
      <c r="AK21" t="s">
        <v>19608</v>
      </c>
      <c r="AL21" t="s">
        <v>19614</v>
      </c>
      <c r="AM21">
        <v>0</v>
      </c>
      <c r="AS21">
        <v>1.7</v>
      </c>
      <c r="AT21" t="s">
        <v>1130</v>
      </c>
      <c r="AU21" t="s">
        <v>57</v>
      </c>
      <c r="AV21" t="s">
        <v>9144</v>
      </c>
    </row>
    <row r="22" spans="1:48">
      <c r="A22" s="1">
        <f>HYPERLINK("https://lsnyc.legalserver.org/matter/dynamic-profile/view/1838097","17-1838097")</f>
        <v>0</v>
      </c>
      <c r="B22" t="s">
        <v>58</v>
      </c>
      <c r="C22" t="s">
        <v>256</v>
      </c>
      <c r="D22" t="s">
        <v>277</v>
      </c>
      <c r="F22" t="s">
        <v>1154</v>
      </c>
      <c r="G22" t="s">
        <v>3348</v>
      </c>
      <c r="H22" t="s">
        <v>5706</v>
      </c>
      <c r="I22" t="s">
        <v>8115</v>
      </c>
      <c r="J22" t="s">
        <v>9039</v>
      </c>
      <c r="K22">
        <v>11432</v>
      </c>
      <c r="L22" t="s">
        <v>9095</v>
      </c>
      <c r="M22" t="s">
        <v>9095</v>
      </c>
      <c r="N22" t="s">
        <v>9112</v>
      </c>
      <c r="O22" t="s">
        <v>11132</v>
      </c>
      <c r="P22" t="s">
        <v>11165</v>
      </c>
      <c r="R22" t="s">
        <v>11180</v>
      </c>
      <c r="S22" t="s">
        <v>9094</v>
      </c>
      <c r="T22" t="s">
        <v>11183</v>
      </c>
      <c r="V22" t="s">
        <v>878</v>
      </c>
      <c r="W22">
        <v>1144</v>
      </c>
      <c r="X22" t="s">
        <v>11331</v>
      </c>
      <c r="Y22" t="s">
        <v>11340</v>
      </c>
      <c r="Z22" t="s">
        <v>11374</v>
      </c>
      <c r="AB22" t="s">
        <v>15921</v>
      </c>
      <c r="AC22">
        <v>185</v>
      </c>
      <c r="AD22" t="s">
        <v>19566</v>
      </c>
      <c r="AE22" t="s">
        <v>9144</v>
      </c>
      <c r="AF22">
        <v>8</v>
      </c>
      <c r="AG22">
        <v>3</v>
      </c>
      <c r="AH22">
        <v>3</v>
      </c>
      <c r="AI22">
        <v>0</v>
      </c>
      <c r="AJ22" t="s">
        <v>19592</v>
      </c>
      <c r="AL22" t="s">
        <v>19616</v>
      </c>
      <c r="AM22">
        <v>0</v>
      </c>
      <c r="AS22">
        <v>0.3</v>
      </c>
      <c r="AT22" t="s">
        <v>277</v>
      </c>
      <c r="AU22" t="s">
        <v>20621</v>
      </c>
    </row>
    <row r="23" spans="1:48">
      <c r="A23" s="1">
        <f>HYPERLINK("https://lsnyc.legalserver.org/matter/dynamic-profile/view/1895163","19-1895163")</f>
        <v>0</v>
      </c>
      <c r="B23" t="s">
        <v>52</v>
      </c>
      <c r="C23" t="s">
        <v>256</v>
      </c>
      <c r="D23" t="s">
        <v>278</v>
      </c>
      <c r="F23" t="s">
        <v>1155</v>
      </c>
      <c r="G23" t="s">
        <v>3349</v>
      </c>
      <c r="H23" t="s">
        <v>5707</v>
      </c>
      <c r="I23">
        <v>41</v>
      </c>
      <c r="J23" t="s">
        <v>9039</v>
      </c>
      <c r="K23">
        <v>11432</v>
      </c>
      <c r="L23" t="s">
        <v>9094</v>
      </c>
      <c r="M23" t="s">
        <v>9094</v>
      </c>
      <c r="N23" t="s">
        <v>9113</v>
      </c>
      <c r="O23" t="s">
        <v>11129</v>
      </c>
      <c r="P23" t="s">
        <v>11165</v>
      </c>
      <c r="R23" t="s">
        <v>11180</v>
      </c>
      <c r="S23" t="s">
        <v>9096</v>
      </c>
      <c r="T23" t="s">
        <v>11183</v>
      </c>
      <c r="U23" t="s">
        <v>11201</v>
      </c>
      <c r="W23">
        <v>1421.57</v>
      </c>
      <c r="X23" t="s">
        <v>11331</v>
      </c>
      <c r="Y23" t="s">
        <v>11340</v>
      </c>
      <c r="Z23" t="s">
        <v>11375</v>
      </c>
      <c r="AA23" t="s">
        <v>15274</v>
      </c>
      <c r="AB23" t="s">
        <v>15922</v>
      </c>
      <c r="AC23">
        <v>36</v>
      </c>
      <c r="AD23" t="s">
        <v>19566</v>
      </c>
      <c r="AE23" t="s">
        <v>9144</v>
      </c>
      <c r="AF23">
        <v>26</v>
      </c>
      <c r="AG23">
        <v>2</v>
      </c>
      <c r="AH23">
        <v>0</v>
      </c>
      <c r="AI23">
        <v>0</v>
      </c>
      <c r="AL23" t="s">
        <v>19614</v>
      </c>
      <c r="AM23">
        <v>0</v>
      </c>
      <c r="AS23">
        <v>26.15</v>
      </c>
      <c r="AT23" t="s">
        <v>341</v>
      </c>
      <c r="AU23" t="s">
        <v>52</v>
      </c>
    </row>
    <row r="24" spans="1:48">
      <c r="A24" s="1">
        <f>HYPERLINK("https://lsnyc.legalserver.org/matter/dynamic-profile/view/1902821","19-1902821")</f>
        <v>0</v>
      </c>
      <c r="B24" t="s">
        <v>59</v>
      </c>
      <c r="C24" t="s">
        <v>256</v>
      </c>
      <c r="D24" t="s">
        <v>279</v>
      </c>
      <c r="F24" t="s">
        <v>1156</v>
      </c>
      <c r="G24" t="s">
        <v>3350</v>
      </c>
      <c r="H24" t="s">
        <v>5708</v>
      </c>
      <c r="I24" t="s">
        <v>8108</v>
      </c>
      <c r="J24" t="s">
        <v>9040</v>
      </c>
      <c r="K24">
        <v>11423</v>
      </c>
      <c r="L24" t="s">
        <v>9094</v>
      </c>
      <c r="M24" t="s">
        <v>9095</v>
      </c>
      <c r="N24" t="s">
        <v>9114</v>
      </c>
      <c r="O24" t="s">
        <v>11129</v>
      </c>
      <c r="P24" t="s">
        <v>11165</v>
      </c>
      <c r="R24" t="s">
        <v>11180</v>
      </c>
      <c r="S24" t="s">
        <v>9096</v>
      </c>
      <c r="T24" t="s">
        <v>11183</v>
      </c>
      <c r="U24" t="s">
        <v>11200</v>
      </c>
      <c r="V24" t="s">
        <v>302</v>
      </c>
      <c r="W24">
        <v>1700</v>
      </c>
      <c r="X24" t="s">
        <v>11331</v>
      </c>
      <c r="Y24" t="s">
        <v>11336</v>
      </c>
      <c r="Z24" t="s">
        <v>11376</v>
      </c>
      <c r="AA24" t="s">
        <v>15277</v>
      </c>
      <c r="AC24">
        <v>3</v>
      </c>
      <c r="AD24" t="s">
        <v>15441</v>
      </c>
      <c r="AE24" t="s">
        <v>9144</v>
      </c>
      <c r="AF24">
        <v>4</v>
      </c>
      <c r="AG24">
        <v>1</v>
      </c>
      <c r="AH24">
        <v>3</v>
      </c>
      <c r="AI24">
        <v>0</v>
      </c>
      <c r="AL24" t="s">
        <v>19617</v>
      </c>
      <c r="AM24">
        <v>0</v>
      </c>
      <c r="AS24">
        <v>17.61</v>
      </c>
      <c r="AT24" t="s">
        <v>1130</v>
      </c>
      <c r="AU24" t="s">
        <v>20619</v>
      </c>
      <c r="AV24" t="s">
        <v>20733</v>
      </c>
    </row>
    <row r="25" spans="1:48">
      <c r="A25" s="1">
        <f>HYPERLINK("https://lsnyc.legalserver.org/matter/dynamic-profile/view/1903246","19-1903246")</f>
        <v>0</v>
      </c>
      <c r="B25" t="s">
        <v>57</v>
      </c>
      <c r="C25" t="s">
        <v>257</v>
      </c>
      <c r="D25" t="s">
        <v>280</v>
      </c>
      <c r="E25" t="s">
        <v>290</v>
      </c>
      <c r="F25" t="s">
        <v>1157</v>
      </c>
      <c r="G25" t="s">
        <v>1330</v>
      </c>
      <c r="H25" t="s">
        <v>5709</v>
      </c>
      <c r="J25" t="s">
        <v>9041</v>
      </c>
      <c r="K25">
        <v>11422</v>
      </c>
      <c r="L25" t="s">
        <v>9094</v>
      </c>
      <c r="M25" t="s">
        <v>9095</v>
      </c>
      <c r="O25" t="s">
        <v>9121</v>
      </c>
      <c r="P25" t="s">
        <v>11164</v>
      </c>
      <c r="Q25" t="s">
        <v>11172</v>
      </c>
      <c r="R25" t="s">
        <v>11181</v>
      </c>
      <c r="S25" t="s">
        <v>9096</v>
      </c>
      <c r="T25" t="s">
        <v>11183</v>
      </c>
      <c r="V25" t="s">
        <v>280</v>
      </c>
      <c r="W25">
        <v>900</v>
      </c>
      <c r="X25" t="s">
        <v>11331</v>
      </c>
      <c r="Y25" t="s">
        <v>11337</v>
      </c>
      <c r="Z25" t="s">
        <v>11377</v>
      </c>
      <c r="AA25" t="s">
        <v>15274</v>
      </c>
      <c r="AB25" t="s">
        <v>15274</v>
      </c>
      <c r="AC25">
        <v>3</v>
      </c>
      <c r="AD25" t="s">
        <v>19565</v>
      </c>
      <c r="AE25" t="s">
        <v>9144</v>
      </c>
      <c r="AF25">
        <v>1</v>
      </c>
      <c r="AG25">
        <v>1</v>
      </c>
      <c r="AH25">
        <v>0</v>
      </c>
      <c r="AI25">
        <v>0</v>
      </c>
      <c r="AJ25" t="s">
        <v>19591</v>
      </c>
      <c r="AK25" t="s">
        <v>19608</v>
      </c>
      <c r="AL25" t="s">
        <v>19614</v>
      </c>
      <c r="AM25">
        <v>0</v>
      </c>
      <c r="AS25">
        <v>1.5</v>
      </c>
      <c r="AT25" t="s">
        <v>295</v>
      </c>
      <c r="AU25" t="s">
        <v>57</v>
      </c>
      <c r="AV25" t="s">
        <v>20733</v>
      </c>
    </row>
    <row r="26" spans="1:48">
      <c r="A26" s="1">
        <f>HYPERLINK("https://lsnyc.legalserver.org/matter/dynamic-profile/view/1868973","18-1868973")</f>
        <v>0</v>
      </c>
      <c r="B26" t="s">
        <v>49</v>
      </c>
      <c r="C26" t="s">
        <v>257</v>
      </c>
      <c r="D26" t="s">
        <v>281</v>
      </c>
      <c r="E26" t="s">
        <v>1076</v>
      </c>
      <c r="F26" t="s">
        <v>1158</v>
      </c>
      <c r="G26" t="s">
        <v>3227</v>
      </c>
      <c r="H26" t="s">
        <v>5710</v>
      </c>
      <c r="J26" t="s">
        <v>9042</v>
      </c>
      <c r="K26">
        <v>11420</v>
      </c>
      <c r="L26" t="s">
        <v>9094</v>
      </c>
      <c r="M26" t="s">
        <v>9094</v>
      </c>
      <c r="N26" t="s">
        <v>9115</v>
      </c>
      <c r="O26" t="s">
        <v>11128</v>
      </c>
      <c r="P26" t="s">
        <v>11165</v>
      </c>
      <c r="Q26" t="s">
        <v>11174</v>
      </c>
      <c r="R26" t="s">
        <v>11181</v>
      </c>
      <c r="S26" t="s">
        <v>9096</v>
      </c>
      <c r="T26" t="s">
        <v>11183</v>
      </c>
      <c r="U26" t="s">
        <v>11201</v>
      </c>
      <c r="V26" t="s">
        <v>469</v>
      </c>
      <c r="W26">
        <v>0</v>
      </c>
      <c r="X26" t="s">
        <v>11331</v>
      </c>
      <c r="Y26" t="s">
        <v>11337</v>
      </c>
      <c r="Z26" t="s">
        <v>11378</v>
      </c>
      <c r="AA26" t="s">
        <v>9144</v>
      </c>
      <c r="AB26" t="s">
        <v>15274</v>
      </c>
      <c r="AC26">
        <v>1</v>
      </c>
      <c r="AD26" t="s">
        <v>19565</v>
      </c>
      <c r="AE26" t="s">
        <v>9144</v>
      </c>
      <c r="AF26">
        <v>5</v>
      </c>
      <c r="AG26">
        <v>1</v>
      </c>
      <c r="AH26">
        <v>0</v>
      </c>
      <c r="AI26">
        <v>0</v>
      </c>
      <c r="AJ26" t="s">
        <v>19591</v>
      </c>
      <c r="AK26" t="s">
        <v>19608</v>
      </c>
      <c r="AL26" t="s">
        <v>19614</v>
      </c>
      <c r="AM26">
        <v>0</v>
      </c>
      <c r="AO26" t="s">
        <v>20291</v>
      </c>
      <c r="AP26" t="s">
        <v>20311</v>
      </c>
      <c r="AQ26" t="s">
        <v>20368</v>
      </c>
      <c r="AR26" t="s">
        <v>20374</v>
      </c>
      <c r="AS26">
        <v>111.41</v>
      </c>
      <c r="AT26" t="s">
        <v>1076</v>
      </c>
      <c r="AU26" t="s">
        <v>153</v>
      </c>
      <c r="AV26" t="s">
        <v>20733</v>
      </c>
    </row>
    <row r="27" spans="1:48">
      <c r="A27" s="1">
        <f>HYPERLINK("https://lsnyc.legalserver.org/matter/dynamic-profile/view/1906436","19-1906436")</f>
        <v>0</v>
      </c>
      <c r="B27" t="s">
        <v>57</v>
      </c>
      <c r="C27" t="s">
        <v>256</v>
      </c>
      <c r="D27" t="s">
        <v>282</v>
      </c>
      <c r="F27" t="s">
        <v>1159</v>
      </c>
      <c r="G27" t="s">
        <v>3351</v>
      </c>
      <c r="H27" t="s">
        <v>5711</v>
      </c>
      <c r="J27" t="s">
        <v>9043</v>
      </c>
      <c r="K27">
        <v>11420</v>
      </c>
      <c r="L27" t="s">
        <v>9094</v>
      </c>
      <c r="M27" t="s">
        <v>9095</v>
      </c>
      <c r="N27" t="s">
        <v>9116</v>
      </c>
      <c r="O27" t="s">
        <v>11128</v>
      </c>
      <c r="P27" t="s">
        <v>11165</v>
      </c>
      <c r="R27" t="s">
        <v>11181</v>
      </c>
      <c r="S27" t="s">
        <v>9096</v>
      </c>
      <c r="T27" t="s">
        <v>11183</v>
      </c>
      <c r="U27" t="s">
        <v>11201</v>
      </c>
      <c r="V27" t="s">
        <v>282</v>
      </c>
      <c r="W27">
        <v>0.01</v>
      </c>
      <c r="X27" t="s">
        <v>11331</v>
      </c>
      <c r="Y27" t="s">
        <v>11337</v>
      </c>
      <c r="Z27" t="s">
        <v>11379</v>
      </c>
      <c r="AB27" t="s">
        <v>15923</v>
      </c>
      <c r="AC27">
        <v>3</v>
      </c>
      <c r="AD27" t="s">
        <v>19565</v>
      </c>
      <c r="AE27" t="s">
        <v>9144</v>
      </c>
      <c r="AF27">
        <v>9</v>
      </c>
      <c r="AG27">
        <v>1</v>
      </c>
      <c r="AH27">
        <v>2</v>
      </c>
      <c r="AI27">
        <v>0</v>
      </c>
      <c r="AJ27" t="s">
        <v>19591</v>
      </c>
      <c r="AK27" t="s">
        <v>19608</v>
      </c>
      <c r="AL27" t="s">
        <v>19615</v>
      </c>
      <c r="AM27">
        <v>0</v>
      </c>
      <c r="AP27" t="s">
        <v>11157</v>
      </c>
      <c r="AS27">
        <v>10.66</v>
      </c>
      <c r="AT27" t="s">
        <v>321</v>
      </c>
      <c r="AU27" t="s">
        <v>57</v>
      </c>
      <c r="AV27" t="s">
        <v>20733</v>
      </c>
    </row>
    <row r="28" spans="1:48">
      <c r="A28" s="1">
        <f>HYPERLINK("https://lsnyc.legalserver.org/matter/dynamic-profile/view/1900668","19-1900668")</f>
        <v>0</v>
      </c>
      <c r="B28" t="s">
        <v>60</v>
      </c>
      <c r="C28" t="s">
        <v>257</v>
      </c>
      <c r="D28" t="s">
        <v>283</v>
      </c>
      <c r="E28" t="s">
        <v>1128</v>
      </c>
      <c r="F28" t="s">
        <v>1160</v>
      </c>
      <c r="G28" t="s">
        <v>3352</v>
      </c>
      <c r="H28" t="s">
        <v>5712</v>
      </c>
      <c r="J28" t="s">
        <v>9044</v>
      </c>
      <c r="K28">
        <v>11419</v>
      </c>
      <c r="L28" t="s">
        <v>9094</v>
      </c>
      <c r="M28" t="s">
        <v>9095</v>
      </c>
      <c r="N28" t="s">
        <v>9117</v>
      </c>
      <c r="O28" t="s">
        <v>11128</v>
      </c>
      <c r="P28" t="s">
        <v>11164</v>
      </c>
      <c r="Q28" t="s">
        <v>11172</v>
      </c>
      <c r="R28" t="s">
        <v>11180</v>
      </c>
      <c r="S28" t="s">
        <v>9096</v>
      </c>
      <c r="T28" t="s">
        <v>11183</v>
      </c>
      <c r="U28" t="s">
        <v>11201</v>
      </c>
      <c r="V28" t="s">
        <v>283</v>
      </c>
      <c r="W28">
        <v>750</v>
      </c>
      <c r="X28" t="s">
        <v>11331</v>
      </c>
      <c r="Y28" t="s">
        <v>11336</v>
      </c>
      <c r="Z28" t="s">
        <v>11380</v>
      </c>
      <c r="AA28" t="s">
        <v>15274</v>
      </c>
      <c r="AB28" t="s">
        <v>15924</v>
      </c>
      <c r="AC28">
        <v>2</v>
      </c>
      <c r="AD28" t="s">
        <v>19565</v>
      </c>
      <c r="AE28" t="s">
        <v>9144</v>
      </c>
      <c r="AF28">
        <v>5</v>
      </c>
      <c r="AG28">
        <v>1</v>
      </c>
      <c r="AH28">
        <v>0</v>
      </c>
      <c r="AI28">
        <v>0</v>
      </c>
      <c r="AL28" t="s">
        <v>19614</v>
      </c>
      <c r="AM28">
        <v>0</v>
      </c>
      <c r="AS28">
        <v>1.5</v>
      </c>
      <c r="AT28" t="s">
        <v>584</v>
      </c>
      <c r="AU28" t="s">
        <v>20622</v>
      </c>
      <c r="AV28" t="s">
        <v>20733</v>
      </c>
    </row>
    <row r="29" spans="1:48">
      <c r="A29" s="1">
        <f>HYPERLINK("https://lsnyc.legalserver.org/matter/dynamic-profile/view/1911831","19-1911831")</f>
        <v>0</v>
      </c>
      <c r="B29" t="s">
        <v>57</v>
      </c>
      <c r="C29" t="s">
        <v>256</v>
      </c>
      <c r="D29" t="s">
        <v>284</v>
      </c>
      <c r="F29" t="s">
        <v>1161</v>
      </c>
      <c r="G29" t="s">
        <v>3353</v>
      </c>
      <c r="H29" t="s">
        <v>5713</v>
      </c>
      <c r="I29" t="s">
        <v>8116</v>
      </c>
      <c r="J29" t="s">
        <v>9045</v>
      </c>
      <c r="K29">
        <v>11417</v>
      </c>
      <c r="L29" t="s">
        <v>9094</v>
      </c>
      <c r="M29" t="s">
        <v>9095</v>
      </c>
      <c r="N29" t="s">
        <v>9118</v>
      </c>
      <c r="O29" t="s">
        <v>11128</v>
      </c>
      <c r="P29" t="s">
        <v>11165</v>
      </c>
      <c r="R29" t="s">
        <v>11180</v>
      </c>
      <c r="S29" t="s">
        <v>9096</v>
      </c>
      <c r="T29" t="s">
        <v>11183</v>
      </c>
      <c r="U29" t="s">
        <v>11198</v>
      </c>
      <c r="V29" t="s">
        <v>284</v>
      </c>
      <c r="W29">
        <v>500</v>
      </c>
      <c r="X29" t="s">
        <v>11331</v>
      </c>
      <c r="Y29" t="s">
        <v>11336</v>
      </c>
      <c r="Z29" t="s">
        <v>11381</v>
      </c>
      <c r="AA29" t="s">
        <v>15278</v>
      </c>
      <c r="AB29" t="s">
        <v>15925</v>
      </c>
      <c r="AC29">
        <v>2</v>
      </c>
      <c r="AD29" t="s">
        <v>15441</v>
      </c>
      <c r="AE29" t="s">
        <v>9144</v>
      </c>
      <c r="AF29">
        <v>1</v>
      </c>
      <c r="AG29">
        <v>1</v>
      </c>
      <c r="AH29">
        <v>1</v>
      </c>
      <c r="AI29">
        <v>0</v>
      </c>
      <c r="AL29" t="s">
        <v>19616</v>
      </c>
      <c r="AM29">
        <v>0</v>
      </c>
      <c r="AP29" t="s">
        <v>20312</v>
      </c>
      <c r="AS29">
        <v>46</v>
      </c>
      <c r="AT29" t="s">
        <v>703</v>
      </c>
      <c r="AU29" t="s">
        <v>20620</v>
      </c>
      <c r="AV29" t="s">
        <v>20733</v>
      </c>
    </row>
    <row r="30" spans="1:48">
      <c r="A30" s="1">
        <f>HYPERLINK("https://lsnyc.legalserver.org/matter/dynamic-profile/view/1880749","18-1880749")</f>
        <v>0</v>
      </c>
      <c r="B30" t="s">
        <v>61</v>
      </c>
      <c r="C30" t="s">
        <v>257</v>
      </c>
      <c r="D30" t="s">
        <v>285</v>
      </c>
      <c r="E30" t="s">
        <v>806</v>
      </c>
      <c r="F30" t="s">
        <v>1162</v>
      </c>
      <c r="G30" t="s">
        <v>3354</v>
      </c>
      <c r="H30" t="s">
        <v>5714</v>
      </c>
      <c r="I30">
        <v>1</v>
      </c>
      <c r="J30" t="s">
        <v>9045</v>
      </c>
      <c r="K30">
        <v>11416</v>
      </c>
      <c r="L30" t="s">
        <v>9094</v>
      </c>
      <c r="M30" t="s">
        <v>9094</v>
      </c>
      <c r="N30" t="s">
        <v>9119</v>
      </c>
      <c r="O30" t="s">
        <v>11129</v>
      </c>
      <c r="P30" t="s">
        <v>11165</v>
      </c>
      <c r="Q30" t="s">
        <v>11175</v>
      </c>
      <c r="R30" t="s">
        <v>11181</v>
      </c>
      <c r="S30" t="s">
        <v>9096</v>
      </c>
      <c r="T30" t="s">
        <v>11183</v>
      </c>
      <c r="U30" t="s">
        <v>11201</v>
      </c>
      <c r="V30" t="s">
        <v>285</v>
      </c>
      <c r="W30">
        <v>2300</v>
      </c>
      <c r="X30" t="s">
        <v>11331</v>
      </c>
      <c r="Y30" t="s">
        <v>11337</v>
      </c>
      <c r="Z30" t="s">
        <v>11382</v>
      </c>
      <c r="AA30" t="s">
        <v>15279</v>
      </c>
      <c r="AB30" t="s">
        <v>15274</v>
      </c>
      <c r="AC30">
        <v>5</v>
      </c>
      <c r="AD30" t="s">
        <v>19565</v>
      </c>
      <c r="AE30" t="s">
        <v>9144</v>
      </c>
      <c r="AF30">
        <v>1</v>
      </c>
      <c r="AG30">
        <v>2</v>
      </c>
      <c r="AH30">
        <v>0</v>
      </c>
      <c r="AI30">
        <v>0</v>
      </c>
      <c r="AJ30" t="s">
        <v>19591</v>
      </c>
      <c r="AK30" t="s">
        <v>19608</v>
      </c>
      <c r="AL30" t="s">
        <v>19615</v>
      </c>
      <c r="AM30">
        <v>0</v>
      </c>
      <c r="AO30" t="s">
        <v>20292</v>
      </c>
      <c r="AP30" t="s">
        <v>20313</v>
      </c>
      <c r="AQ30" t="s">
        <v>20369</v>
      </c>
      <c r="AR30" t="s">
        <v>20375</v>
      </c>
      <c r="AS30">
        <v>38.5</v>
      </c>
      <c r="AT30" t="s">
        <v>806</v>
      </c>
      <c r="AU30" t="s">
        <v>61</v>
      </c>
      <c r="AV30" t="s">
        <v>20733</v>
      </c>
    </row>
    <row r="31" spans="1:48">
      <c r="A31" s="1">
        <f>HYPERLINK("https://lsnyc.legalserver.org/matter/dynamic-profile/view/1913320","19-1913320")</f>
        <v>0</v>
      </c>
      <c r="B31" t="s">
        <v>62</v>
      </c>
      <c r="C31" t="s">
        <v>256</v>
      </c>
      <c r="D31" t="s">
        <v>286</v>
      </c>
      <c r="F31" t="s">
        <v>1163</v>
      </c>
      <c r="G31" t="s">
        <v>3355</v>
      </c>
      <c r="H31" t="s">
        <v>5715</v>
      </c>
      <c r="I31" t="s">
        <v>8117</v>
      </c>
      <c r="J31" t="s">
        <v>9045</v>
      </c>
      <c r="K31">
        <v>11416</v>
      </c>
      <c r="L31" t="s">
        <v>9094</v>
      </c>
      <c r="M31" t="s">
        <v>9095</v>
      </c>
      <c r="N31" t="s">
        <v>9120</v>
      </c>
      <c r="O31" t="s">
        <v>11129</v>
      </c>
      <c r="P31" t="s">
        <v>11165</v>
      </c>
      <c r="R31" t="s">
        <v>11180</v>
      </c>
      <c r="S31" t="s">
        <v>9096</v>
      </c>
      <c r="T31" t="s">
        <v>11183</v>
      </c>
      <c r="U31" t="s">
        <v>11201</v>
      </c>
      <c r="W31">
        <v>1515</v>
      </c>
      <c r="X31" t="s">
        <v>11331</v>
      </c>
      <c r="Y31" t="s">
        <v>11336</v>
      </c>
      <c r="Z31" t="s">
        <v>11383</v>
      </c>
      <c r="AB31" t="s">
        <v>15926</v>
      </c>
      <c r="AC31">
        <v>6</v>
      </c>
      <c r="AD31" t="s">
        <v>19565</v>
      </c>
      <c r="AE31" t="s">
        <v>19581</v>
      </c>
      <c r="AF31">
        <v>1</v>
      </c>
      <c r="AG31">
        <v>1</v>
      </c>
      <c r="AH31">
        <v>2</v>
      </c>
      <c r="AI31">
        <v>0</v>
      </c>
      <c r="AL31" t="s">
        <v>19614</v>
      </c>
      <c r="AM31">
        <v>0</v>
      </c>
      <c r="AS31">
        <v>1.62</v>
      </c>
      <c r="AT31" t="s">
        <v>487</v>
      </c>
      <c r="AU31" t="s">
        <v>20619</v>
      </c>
      <c r="AV31" t="s">
        <v>20733</v>
      </c>
    </row>
    <row r="32" spans="1:48">
      <c r="A32" s="1">
        <f>HYPERLINK("https://lsnyc.legalserver.org/matter/dynamic-profile/view/1884108","18-1884108")</f>
        <v>0</v>
      </c>
      <c r="B32" t="s">
        <v>63</v>
      </c>
      <c r="C32" t="s">
        <v>256</v>
      </c>
      <c r="D32" t="s">
        <v>287</v>
      </c>
      <c r="F32" t="s">
        <v>1146</v>
      </c>
      <c r="G32" t="s">
        <v>3356</v>
      </c>
      <c r="H32" t="s">
        <v>5716</v>
      </c>
      <c r="I32" t="s">
        <v>8118</v>
      </c>
      <c r="J32" t="s">
        <v>9046</v>
      </c>
      <c r="K32">
        <v>11415</v>
      </c>
      <c r="L32" t="s">
        <v>9095</v>
      </c>
      <c r="M32" t="s">
        <v>9095</v>
      </c>
      <c r="N32" t="s">
        <v>9121</v>
      </c>
      <c r="O32" t="s">
        <v>11133</v>
      </c>
      <c r="P32" t="s">
        <v>11166</v>
      </c>
      <c r="R32" t="s">
        <v>11180</v>
      </c>
      <c r="S32" t="s">
        <v>9094</v>
      </c>
      <c r="T32" t="s">
        <v>11183</v>
      </c>
      <c r="U32" t="s">
        <v>11201</v>
      </c>
      <c r="W32">
        <v>0</v>
      </c>
      <c r="X32" t="s">
        <v>11331</v>
      </c>
      <c r="Y32" t="s">
        <v>11340</v>
      </c>
      <c r="Z32" t="s">
        <v>11384</v>
      </c>
      <c r="AA32" t="s">
        <v>15274</v>
      </c>
      <c r="AB32" t="s">
        <v>15274</v>
      </c>
      <c r="AC32">
        <v>57</v>
      </c>
      <c r="AD32" t="s">
        <v>19566</v>
      </c>
      <c r="AE32" t="s">
        <v>9144</v>
      </c>
      <c r="AF32">
        <v>2</v>
      </c>
      <c r="AG32">
        <v>1</v>
      </c>
      <c r="AH32">
        <v>0</v>
      </c>
      <c r="AI32">
        <v>0</v>
      </c>
      <c r="AL32" t="s">
        <v>19615</v>
      </c>
      <c r="AM32">
        <v>0</v>
      </c>
      <c r="AS32">
        <v>1.1</v>
      </c>
      <c r="AT32" t="s">
        <v>20582</v>
      </c>
      <c r="AU32" t="s">
        <v>20620</v>
      </c>
    </row>
    <row r="33" spans="1:48">
      <c r="A33" s="1">
        <f>HYPERLINK("https://lsnyc.legalserver.org/matter/dynamic-profile/view/1907982","19-1907982")</f>
        <v>0</v>
      </c>
      <c r="B33" t="s">
        <v>52</v>
      </c>
      <c r="C33" t="s">
        <v>256</v>
      </c>
      <c r="D33" t="s">
        <v>288</v>
      </c>
      <c r="F33" t="s">
        <v>1164</v>
      </c>
      <c r="G33" t="s">
        <v>3357</v>
      </c>
      <c r="H33" t="s">
        <v>5717</v>
      </c>
      <c r="I33" t="s">
        <v>8119</v>
      </c>
      <c r="J33" t="s">
        <v>9047</v>
      </c>
      <c r="K33">
        <v>11412</v>
      </c>
      <c r="L33" t="s">
        <v>9094</v>
      </c>
      <c r="M33" t="s">
        <v>9095</v>
      </c>
      <c r="N33" t="s">
        <v>9122</v>
      </c>
      <c r="O33" t="s">
        <v>11129</v>
      </c>
      <c r="P33" t="s">
        <v>11165</v>
      </c>
      <c r="R33" t="s">
        <v>11180</v>
      </c>
      <c r="S33" t="s">
        <v>9096</v>
      </c>
      <c r="T33" t="s">
        <v>11183</v>
      </c>
      <c r="W33">
        <v>1400</v>
      </c>
      <c r="X33" t="s">
        <v>11331</v>
      </c>
      <c r="Y33" t="s">
        <v>11336</v>
      </c>
      <c r="Z33" t="s">
        <v>11385</v>
      </c>
      <c r="AB33" t="s">
        <v>15927</v>
      </c>
      <c r="AC33">
        <v>30</v>
      </c>
      <c r="AD33" t="s">
        <v>15441</v>
      </c>
      <c r="AE33" t="s">
        <v>9144</v>
      </c>
      <c r="AF33">
        <v>1</v>
      </c>
      <c r="AG33">
        <v>1</v>
      </c>
      <c r="AH33">
        <v>1</v>
      </c>
      <c r="AI33">
        <v>0</v>
      </c>
      <c r="AL33" t="s">
        <v>19614</v>
      </c>
      <c r="AM33">
        <v>0</v>
      </c>
      <c r="AS33">
        <v>6.5</v>
      </c>
      <c r="AT33" t="s">
        <v>703</v>
      </c>
      <c r="AU33" t="s">
        <v>20619</v>
      </c>
      <c r="AV33" t="s">
        <v>20733</v>
      </c>
    </row>
    <row r="34" spans="1:48">
      <c r="A34" s="1">
        <f>HYPERLINK("https://lsnyc.legalserver.org/matter/dynamic-profile/view/1900069","19-1900069")</f>
        <v>0</v>
      </c>
      <c r="B34" t="s">
        <v>62</v>
      </c>
      <c r="C34" t="s">
        <v>256</v>
      </c>
      <c r="D34" t="s">
        <v>289</v>
      </c>
      <c r="F34" t="s">
        <v>1165</v>
      </c>
      <c r="G34" t="s">
        <v>3358</v>
      </c>
      <c r="H34" t="s">
        <v>5718</v>
      </c>
      <c r="I34" t="s">
        <v>8117</v>
      </c>
      <c r="J34" t="s">
        <v>9048</v>
      </c>
      <c r="K34">
        <v>11385</v>
      </c>
      <c r="L34" t="s">
        <v>9094</v>
      </c>
      <c r="M34" t="s">
        <v>9095</v>
      </c>
      <c r="N34" t="s">
        <v>9123</v>
      </c>
      <c r="O34" t="s">
        <v>11130</v>
      </c>
      <c r="P34" t="s">
        <v>11165</v>
      </c>
      <c r="R34" t="s">
        <v>11180</v>
      </c>
      <c r="S34" t="s">
        <v>9096</v>
      </c>
      <c r="T34" t="s">
        <v>11183</v>
      </c>
      <c r="U34" t="s">
        <v>11201</v>
      </c>
      <c r="V34" t="s">
        <v>760</v>
      </c>
      <c r="W34">
        <v>204</v>
      </c>
      <c r="X34" t="s">
        <v>11331</v>
      </c>
      <c r="Y34" t="s">
        <v>11340</v>
      </c>
      <c r="Z34" t="s">
        <v>11386</v>
      </c>
      <c r="AA34" t="s">
        <v>15274</v>
      </c>
      <c r="AB34" t="s">
        <v>15928</v>
      </c>
      <c r="AC34">
        <v>6</v>
      </c>
      <c r="AD34" t="s">
        <v>19569</v>
      </c>
      <c r="AE34" t="s">
        <v>9144</v>
      </c>
      <c r="AF34">
        <v>52</v>
      </c>
      <c r="AG34">
        <v>2</v>
      </c>
      <c r="AH34">
        <v>1</v>
      </c>
      <c r="AI34">
        <v>0</v>
      </c>
      <c r="AL34" t="s">
        <v>19614</v>
      </c>
      <c r="AM34">
        <v>0</v>
      </c>
      <c r="AS34">
        <v>48.67</v>
      </c>
      <c r="AT34" t="s">
        <v>1135</v>
      </c>
      <c r="AU34" t="s">
        <v>50</v>
      </c>
      <c r="AV34" t="s">
        <v>20733</v>
      </c>
    </row>
    <row r="35" spans="1:48">
      <c r="A35" s="1">
        <f>HYPERLINK("https://lsnyc.legalserver.org/matter/dynamic-profile/view/1911690","19-1911690")</f>
        <v>0</v>
      </c>
      <c r="B35" t="s">
        <v>55</v>
      </c>
      <c r="C35" t="s">
        <v>256</v>
      </c>
      <c r="D35" t="s">
        <v>290</v>
      </c>
      <c r="F35" t="s">
        <v>1166</v>
      </c>
      <c r="G35" t="s">
        <v>3359</v>
      </c>
      <c r="H35" t="s">
        <v>5719</v>
      </c>
      <c r="I35" t="s">
        <v>8120</v>
      </c>
      <c r="J35" t="s">
        <v>9049</v>
      </c>
      <c r="K35">
        <v>11379</v>
      </c>
      <c r="L35" t="s">
        <v>9094</v>
      </c>
      <c r="M35" t="s">
        <v>9095</v>
      </c>
      <c r="N35" t="s">
        <v>9124</v>
      </c>
      <c r="O35" t="s">
        <v>11128</v>
      </c>
      <c r="P35" t="s">
        <v>11164</v>
      </c>
      <c r="R35" t="s">
        <v>11180</v>
      </c>
      <c r="S35" t="s">
        <v>9096</v>
      </c>
      <c r="T35" t="s">
        <v>11183</v>
      </c>
      <c r="W35">
        <v>2250</v>
      </c>
      <c r="X35" t="s">
        <v>11331</v>
      </c>
      <c r="Y35" t="s">
        <v>11336</v>
      </c>
      <c r="Z35" t="s">
        <v>11387</v>
      </c>
      <c r="AB35" t="s">
        <v>15929</v>
      </c>
      <c r="AC35">
        <v>3</v>
      </c>
      <c r="AD35" t="s">
        <v>15441</v>
      </c>
      <c r="AE35" t="s">
        <v>9144</v>
      </c>
      <c r="AF35">
        <v>1</v>
      </c>
      <c r="AG35">
        <v>2</v>
      </c>
      <c r="AH35">
        <v>2</v>
      </c>
      <c r="AI35">
        <v>0</v>
      </c>
      <c r="AL35" t="s">
        <v>19614</v>
      </c>
      <c r="AM35">
        <v>0</v>
      </c>
      <c r="AS35">
        <v>0.67</v>
      </c>
      <c r="AT35" t="s">
        <v>270</v>
      </c>
      <c r="AU35" t="s">
        <v>20620</v>
      </c>
      <c r="AV35" t="s">
        <v>20733</v>
      </c>
    </row>
    <row r="36" spans="1:48">
      <c r="A36" s="1">
        <f>HYPERLINK("https://lsnyc.legalserver.org/matter/dynamic-profile/view/1906212","19-1906212")</f>
        <v>0</v>
      </c>
      <c r="B36" t="s">
        <v>62</v>
      </c>
      <c r="C36" t="s">
        <v>256</v>
      </c>
      <c r="D36" t="s">
        <v>282</v>
      </c>
      <c r="F36" t="s">
        <v>1146</v>
      </c>
      <c r="G36" t="s">
        <v>3360</v>
      </c>
      <c r="H36" t="s">
        <v>5720</v>
      </c>
      <c r="I36" t="s">
        <v>8121</v>
      </c>
      <c r="J36" t="s">
        <v>9050</v>
      </c>
      <c r="K36">
        <v>11377</v>
      </c>
      <c r="L36" t="s">
        <v>9094</v>
      </c>
      <c r="M36" t="s">
        <v>9095</v>
      </c>
      <c r="O36" t="s">
        <v>11128</v>
      </c>
      <c r="P36" t="s">
        <v>11165</v>
      </c>
      <c r="R36" t="s">
        <v>11180</v>
      </c>
      <c r="S36" t="s">
        <v>9096</v>
      </c>
      <c r="T36" t="s">
        <v>11183</v>
      </c>
      <c r="U36" t="s">
        <v>11201</v>
      </c>
      <c r="W36">
        <v>1400</v>
      </c>
      <c r="X36" t="s">
        <v>11331</v>
      </c>
      <c r="Y36" t="s">
        <v>11340</v>
      </c>
      <c r="Z36" t="s">
        <v>11388</v>
      </c>
      <c r="AC36">
        <v>8</v>
      </c>
      <c r="AD36" t="s">
        <v>19565</v>
      </c>
      <c r="AE36" t="s">
        <v>9144</v>
      </c>
      <c r="AF36">
        <v>-1</v>
      </c>
      <c r="AG36">
        <v>1</v>
      </c>
      <c r="AH36">
        <v>1</v>
      </c>
      <c r="AI36">
        <v>0</v>
      </c>
      <c r="AL36" t="s">
        <v>19615</v>
      </c>
      <c r="AM36">
        <v>0</v>
      </c>
      <c r="AS36">
        <v>18.72</v>
      </c>
      <c r="AT36" t="s">
        <v>1130</v>
      </c>
      <c r="AU36" t="s">
        <v>50</v>
      </c>
      <c r="AV36" t="s">
        <v>20733</v>
      </c>
    </row>
    <row r="37" spans="1:48">
      <c r="A37" s="1">
        <f>HYPERLINK("https://lsnyc.legalserver.org/matter/dynamic-profile/view/1897717","19-1897717")</f>
        <v>0</v>
      </c>
      <c r="B37" t="s">
        <v>52</v>
      </c>
      <c r="C37" t="s">
        <v>256</v>
      </c>
      <c r="D37" t="s">
        <v>291</v>
      </c>
      <c r="F37" t="s">
        <v>1167</v>
      </c>
      <c r="G37" t="s">
        <v>3361</v>
      </c>
      <c r="H37" t="s">
        <v>5721</v>
      </c>
      <c r="I37">
        <v>3</v>
      </c>
      <c r="J37" t="s">
        <v>9050</v>
      </c>
      <c r="K37">
        <v>11377</v>
      </c>
      <c r="L37" t="s">
        <v>9094</v>
      </c>
      <c r="M37" t="s">
        <v>9094</v>
      </c>
      <c r="O37" t="s">
        <v>9121</v>
      </c>
      <c r="P37" t="s">
        <v>11167</v>
      </c>
      <c r="R37" t="s">
        <v>11181</v>
      </c>
      <c r="S37" t="s">
        <v>9096</v>
      </c>
      <c r="T37" t="s">
        <v>11183</v>
      </c>
      <c r="V37" t="s">
        <v>499</v>
      </c>
      <c r="W37">
        <v>1700</v>
      </c>
      <c r="X37" t="s">
        <v>11331</v>
      </c>
      <c r="Y37" t="s">
        <v>11337</v>
      </c>
      <c r="Z37" t="s">
        <v>11389</v>
      </c>
      <c r="AA37" t="s">
        <v>15274</v>
      </c>
      <c r="AB37" t="s">
        <v>15274</v>
      </c>
      <c r="AC37">
        <v>2</v>
      </c>
      <c r="AD37" t="s">
        <v>19565</v>
      </c>
      <c r="AE37" t="s">
        <v>9144</v>
      </c>
      <c r="AF37">
        <v>1</v>
      </c>
      <c r="AG37">
        <v>1</v>
      </c>
      <c r="AH37">
        <v>1</v>
      </c>
      <c r="AI37">
        <v>0</v>
      </c>
      <c r="AJ37" t="s">
        <v>19591</v>
      </c>
      <c r="AK37" t="s">
        <v>19608</v>
      </c>
      <c r="AL37" t="s">
        <v>19618</v>
      </c>
      <c r="AM37">
        <v>0</v>
      </c>
      <c r="AS37">
        <v>0.4</v>
      </c>
      <c r="AT37" t="s">
        <v>291</v>
      </c>
      <c r="AU37" t="s">
        <v>52</v>
      </c>
      <c r="AV37" t="s">
        <v>20733</v>
      </c>
    </row>
    <row r="38" spans="1:48">
      <c r="A38" s="1">
        <f>HYPERLINK("https://lsnyc.legalserver.org/matter/dynamic-profile/view/1897710","19-1897710")</f>
        <v>0</v>
      </c>
      <c r="B38" t="s">
        <v>52</v>
      </c>
      <c r="C38" t="s">
        <v>256</v>
      </c>
      <c r="D38" t="s">
        <v>291</v>
      </c>
      <c r="F38" t="s">
        <v>1168</v>
      </c>
      <c r="G38" t="s">
        <v>3362</v>
      </c>
      <c r="H38" t="s">
        <v>5722</v>
      </c>
      <c r="I38" t="s">
        <v>8122</v>
      </c>
      <c r="J38" t="s">
        <v>9051</v>
      </c>
      <c r="K38">
        <v>11374</v>
      </c>
      <c r="L38" t="s">
        <v>9094</v>
      </c>
      <c r="M38" t="s">
        <v>9094</v>
      </c>
      <c r="O38" t="s">
        <v>9121</v>
      </c>
      <c r="P38" t="s">
        <v>11167</v>
      </c>
      <c r="R38" t="s">
        <v>11181</v>
      </c>
      <c r="S38" t="s">
        <v>9096</v>
      </c>
      <c r="T38" t="s">
        <v>11183</v>
      </c>
      <c r="U38" t="s">
        <v>11201</v>
      </c>
      <c r="V38" t="s">
        <v>499</v>
      </c>
      <c r="W38">
        <v>0</v>
      </c>
      <c r="X38" t="s">
        <v>11331</v>
      </c>
      <c r="Y38" t="s">
        <v>11337</v>
      </c>
      <c r="Z38" t="s">
        <v>11390</v>
      </c>
      <c r="AA38" t="s">
        <v>15280</v>
      </c>
      <c r="AC38">
        <v>1</v>
      </c>
      <c r="AD38" t="s">
        <v>19565</v>
      </c>
      <c r="AE38" t="s">
        <v>9144</v>
      </c>
      <c r="AF38">
        <v>6</v>
      </c>
      <c r="AG38">
        <v>5</v>
      </c>
      <c r="AH38">
        <v>0</v>
      </c>
      <c r="AI38">
        <v>0</v>
      </c>
      <c r="AJ38" t="s">
        <v>19591</v>
      </c>
      <c r="AK38" t="s">
        <v>19608</v>
      </c>
      <c r="AL38" t="s">
        <v>19615</v>
      </c>
      <c r="AM38">
        <v>0</v>
      </c>
      <c r="AS38">
        <v>1</v>
      </c>
      <c r="AT38" t="s">
        <v>291</v>
      </c>
      <c r="AU38" t="s">
        <v>52</v>
      </c>
    </row>
    <row r="39" spans="1:48">
      <c r="A39" s="1">
        <f>HYPERLINK("https://lsnyc.legalserver.org/matter/dynamic-profile/view/1911999","19-1911999")</f>
        <v>0</v>
      </c>
      <c r="B39" t="s">
        <v>62</v>
      </c>
      <c r="C39" t="s">
        <v>256</v>
      </c>
      <c r="D39" t="s">
        <v>292</v>
      </c>
      <c r="F39" t="s">
        <v>1169</v>
      </c>
      <c r="G39" t="s">
        <v>3363</v>
      </c>
      <c r="H39" t="s">
        <v>5723</v>
      </c>
      <c r="J39" t="s">
        <v>9052</v>
      </c>
      <c r="K39">
        <v>11373</v>
      </c>
      <c r="L39" t="s">
        <v>9096</v>
      </c>
      <c r="M39" t="s">
        <v>9095</v>
      </c>
      <c r="N39" t="s">
        <v>9102</v>
      </c>
      <c r="O39" t="s">
        <v>9121</v>
      </c>
      <c r="P39" t="s">
        <v>11164</v>
      </c>
      <c r="R39" t="s">
        <v>11181</v>
      </c>
      <c r="S39" t="s">
        <v>9096</v>
      </c>
      <c r="T39" t="s">
        <v>11183</v>
      </c>
      <c r="W39">
        <v>1300</v>
      </c>
      <c r="X39" t="s">
        <v>11331</v>
      </c>
      <c r="Y39" t="s">
        <v>11337</v>
      </c>
      <c r="Z39" t="s">
        <v>11391</v>
      </c>
      <c r="AB39" t="s">
        <v>15930</v>
      </c>
      <c r="AC39">
        <v>3</v>
      </c>
      <c r="AD39" t="s">
        <v>19565</v>
      </c>
      <c r="AF39">
        <v>0</v>
      </c>
      <c r="AG39">
        <v>1</v>
      </c>
      <c r="AH39">
        <v>2</v>
      </c>
      <c r="AI39">
        <v>0</v>
      </c>
      <c r="AJ39" t="s">
        <v>19591</v>
      </c>
      <c r="AK39" t="s">
        <v>19608</v>
      </c>
      <c r="AL39" t="s">
        <v>19614</v>
      </c>
      <c r="AM39">
        <v>0</v>
      </c>
      <c r="AS39">
        <v>0.5</v>
      </c>
      <c r="AT39" t="s">
        <v>292</v>
      </c>
      <c r="AU39" t="s">
        <v>62</v>
      </c>
      <c r="AV39" t="s">
        <v>9144</v>
      </c>
    </row>
    <row r="40" spans="1:48">
      <c r="A40" s="1">
        <f>HYPERLINK("https://lsnyc.legalserver.org/matter/dynamic-profile/view/1900065","19-1900065")</f>
        <v>0</v>
      </c>
      <c r="B40" t="s">
        <v>55</v>
      </c>
      <c r="C40" t="s">
        <v>256</v>
      </c>
      <c r="D40" t="s">
        <v>293</v>
      </c>
      <c r="F40" t="s">
        <v>1170</v>
      </c>
      <c r="G40" t="s">
        <v>3364</v>
      </c>
      <c r="H40" t="s">
        <v>5724</v>
      </c>
      <c r="I40" t="s">
        <v>8123</v>
      </c>
      <c r="J40" t="s">
        <v>9053</v>
      </c>
      <c r="K40">
        <v>11372</v>
      </c>
      <c r="L40" t="s">
        <v>9094</v>
      </c>
      <c r="M40" t="s">
        <v>9095</v>
      </c>
      <c r="N40" t="s">
        <v>9125</v>
      </c>
      <c r="O40" t="s">
        <v>11129</v>
      </c>
      <c r="P40" t="s">
        <v>11165</v>
      </c>
      <c r="R40" t="s">
        <v>11180</v>
      </c>
      <c r="S40" t="s">
        <v>9096</v>
      </c>
      <c r="T40" t="s">
        <v>11183</v>
      </c>
      <c r="U40" t="s">
        <v>11198</v>
      </c>
      <c r="V40" t="s">
        <v>293</v>
      </c>
      <c r="W40">
        <v>750</v>
      </c>
      <c r="X40" t="s">
        <v>11331</v>
      </c>
      <c r="Y40" t="s">
        <v>11340</v>
      </c>
      <c r="Z40" t="s">
        <v>11392</v>
      </c>
      <c r="AA40" t="s">
        <v>15274</v>
      </c>
      <c r="AB40" t="s">
        <v>15931</v>
      </c>
      <c r="AC40">
        <v>43</v>
      </c>
      <c r="AD40" t="s">
        <v>19566</v>
      </c>
      <c r="AE40" t="s">
        <v>19581</v>
      </c>
      <c r="AF40">
        <v>46</v>
      </c>
      <c r="AG40">
        <v>1</v>
      </c>
      <c r="AH40">
        <v>0</v>
      </c>
      <c r="AI40">
        <v>0</v>
      </c>
      <c r="AL40" t="s">
        <v>19614</v>
      </c>
      <c r="AM40">
        <v>0</v>
      </c>
      <c r="AS40">
        <v>23.98</v>
      </c>
      <c r="AT40" t="s">
        <v>320</v>
      </c>
      <c r="AU40" t="s">
        <v>55</v>
      </c>
      <c r="AV40" t="s">
        <v>20733</v>
      </c>
    </row>
    <row r="41" spans="1:48">
      <c r="A41" s="1">
        <f>HYPERLINK("https://lsnyc.legalserver.org/matter/dynamic-profile/view/1912582","19-1912582")</f>
        <v>0</v>
      </c>
      <c r="B41" t="s">
        <v>62</v>
      </c>
      <c r="C41" t="s">
        <v>256</v>
      </c>
      <c r="D41" t="s">
        <v>294</v>
      </c>
      <c r="F41" t="s">
        <v>1171</v>
      </c>
      <c r="G41" t="s">
        <v>3365</v>
      </c>
      <c r="H41" t="s">
        <v>5725</v>
      </c>
      <c r="J41" t="s">
        <v>9054</v>
      </c>
      <c r="K41">
        <v>11368</v>
      </c>
      <c r="L41" t="s">
        <v>9094</v>
      </c>
      <c r="M41" t="s">
        <v>9095</v>
      </c>
      <c r="N41" t="s">
        <v>9126</v>
      </c>
      <c r="O41" t="s">
        <v>11134</v>
      </c>
      <c r="P41" t="s">
        <v>11168</v>
      </c>
      <c r="R41" t="s">
        <v>11180</v>
      </c>
      <c r="S41" t="s">
        <v>9094</v>
      </c>
      <c r="T41" t="s">
        <v>11183</v>
      </c>
      <c r="U41" t="s">
        <v>11201</v>
      </c>
      <c r="V41" t="s">
        <v>294</v>
      </c>
      <c r="W41">
        <v>1240</v>
      </c>
      <c r="X41" t="s">
        <v>11331</v>
      </c>
      <c r="Y41" t="s">
        <v>11339</v>
      </c>
      <c r="Z41" t="s">
        <v>11393</v>
      </c>
      <c r="AA41" t="s">
        <v>15274</v>
      </c>
      <c r="AB41" t="s">
        <v>15274</v>
      </c>
      <c r="AC41">
        <v>0</v>
      </c>
      <c r="AD41" t="s">
        <v>19566</v>
      </c>
      <c r="AE41" t="s">
        <v>9144</v>
      </c>
      <c r="AF41">
        <v>27</v>
      </c>
      <c r="AG41">
        <v>1</v>
      </c>
      <c r="AH41">
        <v>0</v>
      </c>
      <c r="AI41">
        <v>0</v>
      </c>
      <c r="AL41" t="s">
        <v>19614</v>
      </c>
      <c r="AM41">
        <v>0</v>
      </c>
      <c r="AP41" t="s">
        <v>11157</v>
      </c>
      <c r="AS41">
        <v>0.5</v>
      </c>
      <c r="AT41" t="s">
        <v>294</v>
      </c>
      <c r="AU41" t="s">
        <v>20620</v>
      </c>
      <c r="AV41" t="s">
        <v>20733</v>
      </c>
    </row>
    <row r="42" spans="1:48">
      <c r="A42" s="1">
        <f>HYPERLINK("https://lsnyc.legalserver.org/matter/dynamic-profile/view/1910900","19-1910900")</f>
        <v>0</v>
      </c>
      <c r="B42" t="s">
        <v>57</v>
      </c>
      <c r="C42" t="s">
        <v>256</v>
      </c>
      <c r="D42" t="s">
        <v>295</v>
      </c>
      <c r="F42" t="s">
        <v>1162</v>
      </c>
      <c r="G42" t="s">
        <v>3366</v>
      </c>
      <c r="H42" t="s">
        <v>5726</v>
      </c>
      <c r="I42" t="s">
        <v>8124</v>
      </c>
      <c r="J42" t="s">
        <v>9054</v>
      </c>
      <c r="K42">
        <v>11368</v>
      </c>
      <c r="L42" t="s">
        <v>9094</v>
      </c>
      <c r="M42" t="s">
        <v>9095</v>
      </c>
      <c r="O42" t="s">
        <v>9121</v>
      </c>
      <c r="P42" t="s">
        <v>11164</v>
      </c>
      <c r="R42" t="s">
        <v>11181</v>
      </c>
      <c r="S42" t="s">
        <v>9096</v>
      </c>
      <c r="T42" t="s">
        <v>11183</v>
      </c>
      <c r="V42" t="s">
        <v>295</v>
      </c>
      <c r="W42">
        <v>2000</v>
      </c>
      <c r="X42" t="s">
        <v>11331</v>
      </c>
      <c r="Y42" t="s">
        <v>11337</v>
      </c>
      <c r="Z42" t="s">
        <v>11394</v>
      </c>
      <c r="AB42" t="s">
        <v>15932</v>
      </c>
      <c r="AC42">
        <v>11</v>
      </c>
      <c r="AF42">
        <v>1</v>
      </c>
      <c r="AG42">
        <v>1</v>
      </c>
      <c r="AH42">
        <v>4</v>
      </c>
      <c r="AI42">
        <v>0</v>
      </c>
      <c r="AJ42" t="s">
        <v>19591</v>
      </c>
      <c r="AK42" t="s">
        <v>19608</v>
      </c>
      <c r="AL42" t="s">
        <v>19615</v>
      </c>
      <c r="AM42">
        <v>0</v>
      </c>
      <c r="AS42">
        <v>2.7</v>
      </c>
      <c r="AT42" t="s">
        <v>1130</v>
      </c>
      <c r="AU42" t="s">
        <v>57</v>
      </c>
      <c r="AV42" t="s">
        <v>9144</v>
      </c>
    </row>
    <row r="43" spans="1:48">
      <c r="A43" s="1">
        <f>HYPERLINK("https://lsnyc.legalserver.org/matter/dynamic-profile/view/1897042","19-1897042")</f>
        <v>0</v>
      </c>
      <c r="B43" t="s">
        <v>52</v>
      </c>
      <c r="C43" t="s">
        <v>256</v>
      </c>
      <c r="D43" t="s">
        <v>296</v>
      </c>
      <c r="F43" t="s">
        <v>1172</v>
      </c>
      <c r="G43" t="s">
        <v>3367</v>
      </c>
      <c r="H43" t="s">
        <v>5727</v>
      </c>
      <c r="I43">
        <v>50</v>
      </c>
      <c r="J43" t="s">
        <v>9054</v>
      </c>
      <c r="K43">
        <v>11368</v>
      </c>
      <c r="L43" t="s">
        <v>9094</v>
      </c>
      <c r="M43" t="s">
        <v>9094</v>
      </c>
      <c r="N43" t="s">
        <v>9127</v>
      </c>
      <c r="O43" t="s">
        <v>11129</v>
      </c>
      <c r="P43" t="s">
        <v>11169</v>
      </c>
      <c r="R43" t="s">
        <v>11180</v>
      </c>
      <c r="S43" t="s">
        <v>9096</v>
      </c>
      <c r="T43" t="s">
        <v>11183</v>
      </c>
      <c r="U43" t="s">
        <v>11199</v>
      </c>
      <c r="V43" t="s">
        <v>296</v>
      </c>
      <c r="W43">
        <v>1715</v>
      </c>
      <c r="X43" t="s">
        <v>11331</v>
      </c>
      <c r="Y43" t="s">
        <v>11336</v>
      </c>
      <c r="Z43" t="s">
        <v>11395</v>
      </c>
      <c r="AA43" t="s">
        <v>15274</v>
      </c>
      <c r="AC43">
        <v>229</v>
      </c>
      <c r="AD43" t="s">
        <v>19566</v>
      </c>
      <c r="AF43">
        <v>2</v>
      </c>
      <c r="AG43">
        <v>2</v>
      </c>
      <c r="AH43">
        <v>4</v>
      </c>
      <c r="AI43">
        <v>0</v>
      </c>
      <c r="AL43" t="s">
        <v>19615</v>
      </c>
      <c r="AM43">
        <v>0</v>
      </c>
      <c r="AS43">
        <v>1.25</v>
      </c>
      <c r="AT43" t="s">
        <v>20582</v>
      </c>
      <c r="AU43" t="s">
        <v>52</v>
      </c>
    </row>
    <row r="44" spans="1:48">
      <c r="A44" s="1">
        <f>HYPERLINK("https://lsnyc.legalserver.org/matter/dynamic-profile/view/1909287","19-1909287")</f>
        <v>0</v>
      </c>
      <c r="B44" t="s">
        <v>62</v>
      </c>
      <c r="C44" t="s">
        <v>256</v>
      </c>
      <c r="D44" t="s">
        <v>297</v>
      </c>
      <c r="F44" t="s">
        <v>1173</v>
      </c>
      <c r="G44" t="s">
        <v>3195</v>
      </c>
      <c r="H44" t="s">
        <v>5725</v>
      </c>
      <c r="I44" t="s">
        <v>8125</v>
      </c>
      <c r="J44" t="s">
        <v>9054</v>
      </c>
      <c r="K44">
        <v>11368</v>
      </c>
      <c r="L44" t="s">
        <v>9094</v>
      </c>
      <c r="M44" t="s">
        <v>9095</v>
      </c>
      <c r="N44" t="s">
        <v>9128</v>
      </c>
      <c r="O44" t="s">
        <v>11129</v>
      </c>
      <c r="P44" t="s">
        <v>11164</v>
      </c>
      <c r="R44" t="s">
        <v>11180</v>
      </c>
      <c r="S44" t="s">
        <v>9096</v>
      </c>
      <c r="T44" t="s">
        <v>11183</v>
      </c>
      <c r="V44" t="s">
        <v>297</v>
      </c>
      <c r="W44">
        <v>1079</v>
      </c>
      <c r="X44" t="s">
        <v>11331</v>
      </c>
      <c r="Y44" t="s">
        <v>11336</v>
      </c>
      <c r="Z44" t="s">
        <v>11396</v>
      </c>
      <c r="AA44" t="s">
        <v>15281</v>
      </c>
      <c r="AB44" t="s">
        <v>15933</v>
      </c>
      <c r="AC44">
        <v>237</v>
      </c>
      <c r="AD44" t="s">
        <v>19566</v>
      </c>
      <c r="AE44" t="s">
        <v>11157</v>
      </c>
      <c r="AF44">
        <v>2</v>
      </c>
      <c r="AG44">
        <v>1</v>
      </c>
      <c r="AH44">
        <v>0</v>
      </c>
      <c r="AI44">
        <v>0</v>
      </c>
      <c r="AL44" t="s">
        <v>19614</v>
      </c>
      <c r="AM44">
        <v>0</v>
      </c>
      <c r="AS44">
        <v>4.2</v>
      </c>
      <c r="AT44" t="s">
        <v>1135</v>
      </c>
      <c r="AU44" t="s">
        <v>20620</v>
      </c>
      <c r="AV44" t="s">
        <v>20733</v>
      </c>
    </row>
    <row r="45" spans="1:48">
      <c r="A45" s="1">
        <f>HYPERLINK("https://lsnyc.legalserver.org/matter/dynamic-profile/view/1901880","19-1901880")</f>
        <v>0</v>
      </c>
      <c r="B45" t="s">
        <v>57</v>
      </c>
      <c r="C45" t="s">
        <v>256</v>
      </c>
      <c r="D45" t="s">
        <v>298</v>
      </c>
      <c r="F45" t="s">
        <v>1174</v>
      </c>
      <c r="G45" t="s">
        <v>3368</v>
      </c>
      <c r="H45" t="s">
        <v>5728</v>
      </c>
      <c r="J45" t="s">
        <v>9055</v>
      </c>
      <c r="K45">
        <v>11367</v>
      </c>
      <c r="L45" t="s">
        <v>9094</v>
      </c>
      <c r="M45" t="s">
        <v>9095</v>
      </c>
      <c r="N45" t="s">
        <v>9129</v>
      </c>
      <c r="O45" t="s">
        <v>11128</v>
      </c>
      <c r="P45" t="s">
        <v>11165</v>
      </c>
      <c r="R45" t="s">
        <v>11181</v>
      </c>
      <c r="S45" t="s">
        <v>9096</v>
      </c>
      <c r="T45" t="s">
        <v>11183</v>
      </c>
      <c r="U45" t="s">
        <v>11201</v>
      </c>
      <c r="V45" t="s">
        <v>559</v>
      </c>
      <c r="W45">
        <v>1900</v>
      </c>
      <c r="X45" t="s">
        <v>11331</v>
      </c>
      <c r="Y45" t="s">
        <v>11337</v>
      </c>
      <c r="Z45" t="s">
        <v>11397</v>
      </c>
      <c r="AA45" t="s">
        <v>15274</v>
      </c>
      <c r="AB45" t="s">
        <v>15274</v>
      </c>
      <c r="AC45">
        <v>2</v>
      </c>
      <c r="AD45" t="s">
        <v>19565</v>
      </c>
      <c r="AE45" t="s">
        <v>9144</v>
      </c>
      <c r="AF45">
        <v>4</v>
      </c>
      <c r="AG45">
        <v>1</v>
      </c>
      <c r="AH45">
        <v>2</v>
      </c>
      <c r="AI45">
        <v>0</v>
      </c>
      <c r="AJ45" t="s">
        <v>19591</v>
      </c>
      <c r="AK45" t="s">
        <v>19608</v>
      </c>
      <c r="AL45" t="s">
        <v>19619</v>
      </c>
      <c r="AM45">
        <v>0</v>
      </c>
      <c r="AS45">
        <v>19.95</v>
      </c>
      <c r="AT45" t="s">
        <v>321</v>
      </c>
      <c r="AU45" t="s">
        <v>57</v>
      </c>
      <c r="AV45" t="s">
        <v>20733</v>
      </c>
    </row>
    <row r="46" spans="1:48">
      <c r="A46" s="1">
        <f>HYPERLINK("https://lsnyc.legalserver.org/matter/dynamic-profile/view/1900061","19-1900061")</f>
        <v>0</v>
      </c>
      <c r="B46" t="s">
        <v>57</v>
      </c>
      <c r="C46" t="s">
        <v>256</v>
      </c>
      <c r="D46" t="s">
        <v>293</v>
      </c>
      <c r="F46" t="s">
        <v>1175</v>
      </c>
      <c r="G46" t="s">
        <v>3369</v>
      </c>
      <c r="H46" t="s">
        <v>5729</v>
      </c>
      <c r="I46" t="s">
        <v>8126</v>
      </c>
      <c r="J46" t="s">
        <v>9055</v>
      </c>
      <c r="K46">
        <v>11367</v>
      </c>
      <c r="L46" t="s">
        <v>9094</v>
      </c>
      <c r="M46" t="s">
        <v>9095</v>
      </c>
      <c r="N46" t="s">
        <v>9130</v>
      </c>
      <c r="O46" t="s">
        <v>11129</v>
      </c>
      <c r="P46" t="s">
        <v>11165</v>
      </c>
      <c r="R46" t="s">
        <v>11180</v>
      </c>
      <c r="S46" t="s">
        <v>9094</v>
      </c>
      <c r="T46" t="s">
        <v>11183</v>
      </c>
      <c r="U46" t="s">
        <v>11201</v>
      </c>
      <c r="V46" t="s">
        <v>293</v>
      </c>
      <c r="W46">
        <v>1358</v>
      </c>
      <c r="X46" t="s">
        <v>11331</v>
      </c>
      <c r="Y46" t="s">
        <v>11336</v>
      </c>
      <c r="Z46" t="s">
        <v>11398</v>
      </c>
      <c r="AA46" t="s">
        <v>15274</v>
      </c>
      <c r="AB46" t="s">
        <v>15934</v>
      </c>
      <c r="AC46">
        <v>12</v>
      </c>
      <c r="AD46" t="s">
        <v>19566</v>
      </c>
      <c r="AE46" t="s">
        <v>9144</v>
      </c>
      <c r="AF46">
        <v>8</v>
      </c>
      <c r="AG46">
        <v>1</v>
      </c>
      <c r="AH46">
        <v>0</v>
      </c>
      <c r="AI46">
        <v>0</v>
      </c>
      <c r="AL46" t="s">
        <v>19614</v>
      </c>
      <c r="AM46">
        <v>0</v>
      </c>
      <c r="AS46">
        <v>23.7</v>
      </c>
      <c r="AT46" t="s">
        <v>487</v>
      </c>
      <c r="AU46" t="s">
        <v>20622</v>
      </c>
      <c r="AV46" t="s">
        <v>20733</v>
      </c>
    </row>
    <row r="47" spans="1:48">
      <c r="A47" s="1">
        <f>HYPERLINK("https://lsnyc.legalserver.org/matter/dynamic-profile/view/1898361","19-1898361")</f>
        <v>0</v>
      </c>
      <c r="B47" t="s">
        <v>52</v>
      </c>
      <c r="C47" t="s">
        <v>256</v>
      </c>
      <c r="D47" t="s">
        <v>299</v>
      </c>
      <c r="F47" t="s">
        <v>1176</v>
      </c>
      <c r="G47" t="s">
        <v>3370</v>
      </c>
      <c r="H47" t="s">
        <v>5730</v>
      </c>
      <c r="J47" t="s">
        <v>9056</v>
      </c>
      <c r="K47">
        <v>11366</v>
      </c>
      <c r="L47" t="s">
        <v>9094</v>
      </c>
      <c r="M47" t="s">
        <v>9094</v>
      </c>
      <c r="N47" t="s">
        <v>9131</v>
      </c>
      <c r="O47" t="s">
        <v>9121</v>
      </c>
      <c r="P47" t="s">
        <v>11164</v>
      </c>
      <c r="R47" t="s">
        <v>11181</v>
      </c>
      <c r="S47" t="s">
        <v>9096</v>
      </c>
      <c r="T47" t="s">
        <v>11183</v>
      </c>
      <c r="V47" t="s">
        <v>499</v>
      </c>
      <c r="W47">
        <v>500</v>
      </c>
      <c r="X47" t="s">
        <v>11331</v>
      </c>
      <c r="Y47" t="s">
        <v>11337</v>
      </c>
      <c r="Z47" t="s">
        <v>11399</v>
      </c>
      <c r="AA47" t="s">
        <v>15274</v>
      </c>
      <c r="AB47" t="s">
        <v>15274</v>
      </c>
      <c r="AC47">
        <v>1</v>
      </c>
      <c r="AD47" t="s">
        <v>19565</v>
      </c>
      <c r="AE47" t="s">
        <v>9144</v>
      </c>
      <c r="AF47">
        <v>1</v>
      </c>
      <c r="AG47">
        <v>1</v>
      </c>
      <c r="AH47">
        <v>0</v>
      </c>
      <c r="AI47">
        <v>0</v>
      </c>
      <c r="AJ47" t="s">
        <v>19591</v>
      </c>
      <c r="AK47" t="s">
        <v>19608</v>
      </c>
      <c r="AL47" t="s">
        <v>19615</v>
      </c>
      <c r="AM47">
        <v>0</v>
      </c>
      <c r="AS47">
        <v>0</v>
      </c>
      <c r="AU47" t="s">
        <v>52</v>
      </c>
    </row>
    <row r="48" spans="1:48">
      <c r="A48" s="1">
        <f>HYPERLINK("https://lsnyc.legalserver.org/matter/dynamic-profile/view/1898356","19-1898356")</f>
        <v>0</v>
      </c>
      <c r="B48" t="s">
        <v>52</v>
      </c>
      <c r="C48" t="s">
        <v>256</v>
      </c>
      <c r="D48" t="s">
        <v>299</v>
      </c>
      <c r="F48" t="s">
        <v>1177</v>
      </c>
      <c r="G48" t="s">
        <v>3371</v>
      </c>
      <c r="H48" t="s">
        <v>5731</v>
      </c>
      <c r="I48" t="s">
        <v>8127</v>
      </c>
      <c r="J48" t="s">
        <v>9057</v>
      </c>
      <c r="K48">
        <v>11360</v>
      </c>
      <c r="L48" t="s">
        <v>9094</v>
      </c>
      <c r="M48" t="s">
        <v>9094</v>
      </c>
      <c r="N48" t="s">
        <v>9131</v>
      </c>
      <c r="O48" t="s">
        <v>9121</v>
      </c>
      <c r="P48" t="s">
        <v>11164</v>
      </c>
      <c r="R48" t="s">
        <v>11181</v>
      </c>
      <c r="S48" t="s">
        <v>9096</v>
      </c>
      <c r="T48" t="s">
        <v>11183</v>
      </c>
      <c r="V48" t="s">
        <v>499</v>
      </c>
      <c r="W48">
        <v>1160</v>
      </c>
      <c r="X48" t="s">
        <v>11331</v>
      </c>
      <c r="Y48" t="s">
        <v>11337</v>
      </c>
      <c r="Z48" t="s">
        <v>11400</v>
      </c>
      <c r="AA48" t="s">
        <v>15274</v>
      </c>
      <c r="AB48" t="s">
        <v>15274</v>
      </c>
      <c r="AC48">
        <v>61</v>
      </c>
      <c r="AD48" t="s">
        <v>19566</v>
      </c>
      <c r="AE48" t="s">
        <v>9144</v>
      </c>
      <c r="AF48">
        <v>10</v>
      </c>
      <c r="AG48">
        <v>2</v>
      </c>
      <c r="AH48">
        <v>0</v>
      </c>
      <c r="AI48">
        <v>0</v>
      </c>
      <c r="AJ48" t="s">
        <v>19591</v>
      </c>
      <c r="AK48" t="s">
        <v>19608</v>
      </c>
      <c r="AL48" t="s">
        <v>19614</v>
      </c>
      <c r="AM48">
        <v>0</v>
      </c>
      <c r="AS48">
        <v>0</v>
      </c>
      <c r="AU48" t="s">
        <v>52</v>
      </c>
    </row>
    <row r="49" spans="1:48">
      <c r="A49" s="1">
        <f>HYPERLINK("https://lsnyc.legalserver.org/matter/dynamic-profile/view/1895982","19-1895982")</f>
        <v>0</v>
      </c>
      <c r="B49" t="s">
        <v>51</v>
      </c>
      <c r="C49" t="s">
        <v>257</v>
      </c>
      <c r="D49" t="s">
        <v>300</v>
      </c>
      <c r="E49" t="s">
        <v>415</v>
      </c>
      <c r="F49" t="s">
        <v>1178</v>
      </c>
      <c r="G49" t="s">
        <v>3372</v>
      </c>
      <c r="H49" t="s">
        <v>5732</v>
      </c>
      <c r="I49">
        <v>41</v>
      </c>
      <c r="J49" t="s">
        <v>9055</v>
      </c>
      <c r="K49">
        <v>11358</v>
      </c>
      <c r="L49" t="s">
        <v>9094</v>
      </c>
      <c r="M49" t="s">
        <v>9094</v>
      </c>
      <c r="N49" t="s">
        <v>9132</v>
      </c>
      <c r="O49" t="s">
        <v>11128</v>
      </c>
      <c r="P49" t="s">
        <v>11165</v>
      </c>
      <c r="Q49" t="s">
        <v>11176</v>
      </c>
      <c r="R49" t="s">
        <v>11180</v>
      </c>
      <c r="S49" t="s">
        <v>9094</v>
      </c>
      <c r="T49" t="s">
        <v>11183</v>
      </c>
      <c r="U49" t="s">
        <v>11201</v>
      </c>
      <c r="V49" t="s">
        <v>300</v>
      </c>
      <c r="W49">
        <v>1150</v>
      </c>
      <c r="X49" t="s">
        <v>11331</v>
      </c>
      <c r="Y49" t="s">
        <v>11336</v>
      </c>
      <c r="Z49" t="s">
        <v>11401</v>
      </c>
      <c r="AA49" t="s">
        <v>9171</v>
      </c>
      <c r="AB49" t="s">
        <v>15935</v>
      </c>
      <c r="AC49">
        <v>45</v>
      </c>
      <c r="AD49" t="s">
        <v>19566</v>
      </c>
      <c r="AE49" t="s">
        <v>9144</v>
      </c>
      <c r="AF49">
        <v>6</v>
      </c>
      <c r="AG49">
        <v>1</v>
      </c>
      <c r="AH49">
        <v>0</v>
      </c>
      <c r="AI49">
        <v>0</v>
      </c>
      <c r="AL49" t="s">
        <v>19614</v>
      </c>
      <c r="AM49">
        <v>0</v>
      </c>
      <c r="AO49" t="s">
        <v>20293</v>
      </c>
      <c r="AP49" t="s">
        <v>11157</v>
      </c>
      <c r="AQ49" t="s">
        <v>20370</v>
      </c>
      <c r="AR49" t="s">
        <v>20376</v>
      </c>
      <c r="AS49">
        <v>46.1</v>
      </c>
      <c r="AT49" t="s">
        <v>636</v>
      </c>
      <c r="AU49" t="s">
        <v>20622</v>
      </c>
      <c r="AV49" t="s">
        <v>20733</v>
      </c>
    </row>
    <row r="50" spans="1:48">
      <c r="A50" s="1">
        <f>HYPERLINK("https://lsnyc.legalserver.org/matter/dynamic-profile/view/1913825","19-1913825")</f>
        <v>0</v>
      </c>
      <c r="B50" t="s">
        <v>48</v>
      </c>
      <c r="C50" t="s">
        <v>256</v>
      </c>
      <c r="D50" t="s">
        <v>301</v>
      </c>
      <c r="F50" t="s">
        <v>1148</v>
      </c>
      <c r="G50" t="s">
        <v>3373</v>
      </c>
      <c r="H50" t="s">
        <v>5733</v>
      </c>
      <c r="I50" t="s">
        <v>8128</v>
      </c>
      <c r="J50" t="s">
        <v>9055</v>
      </c>
      <c r="K50">
        <v>11358</v>
      </c>
      <c r="L50" t="s">
        <v>9094</v>
      </c>
      <c r="M50" t="s">
        <v>9095</v>
      </c>
      <c r="N50" t="s">
        <v>9133</v>
      </c>
      <c r="O50" t="s">
        <v>11129</v>
      </c>
      <c r="P50" t="s">
        <v>11169</v>
      </c>
      <c r="R50" t="s">
        <v>11180</v>
      </c>
      <c r="S50" t="s">
        <v>9096</v>
      </c>
      <c r="T50" t="s">
        <v>11183</v>
      </c>
      <c r="W50">
        <v>1850</v>
      </c>
      <c r="X50" t="s">
        <v>11331</v>
      </c>
      <c r="Y50" t="s">
        <v>11336</v>
      </c>
      <c r="Z50" t="s">
        <v>11402</v>
      </c>
      <c r="AB50" t="s">
        <v>15936</v>
      </c>
      <c r="AC50">
        <v>6</v>
      </c>
      <c r="AD50" t="s">
        <v>15441</v>
      </c>
      <c r="AE50" t="s">
        <v>9144</v>
      </c>
      <c r="AF50">
        <v>1</v>
      </c>
      <c r="AG50">
        <v>1</v>
      </c>
      <c r="AH50">
        <v>2</v>
      </c>
      <c r="AI50">
        <v>0</v>
      </c>
      <c r="AL50" t="s">
        <v>19614</v>
      </c>
      <c r="AM50">
        <v>0</v>
      </c>
      <c r="AS50">
        <v>2.43</v>
      </c>
      <c r="AT50" t="s">
        <v>496</v>
      </c>
      <c r="AU50" t="s">
        <v>20619</v>
      </c>
      <c r="AV50" t="s">
        <v>20733</v>
      </c>
    </row>
    <row r="51" spans="1:48">
      <c r="A51" s="1">
        <f>HYPERLINK("https://lsnyc.legalserver.org/matter/dynamic-profile/view/1915183","19-1915183")</f>
        <v>0</v>
      </c>
      <c r="B51" t="s">
        <v>49</v>
      </c>
      <c r="C51" t="s">
        <v>256</v>
      </c>
      <c r="D51" t="s">
        <v>270</v>
      </c>
      <c r="F51" t="s">
        <v>1179</v>
      </c>
      <c r="G51" t="s">
        <v>3374</v>
      </c>
      <c r="H51" t="s">
        <v>5734</v>
      </c>
      <c r="I51" t="s">
        <v>8129</v>
      </c>
      <c r="J51" t="s">
        <v>9058</v>
      </c>
      <c r="K51">
        <v>11356</v>
      </c>
      <c r="L51" t="s">
        <v>9094</v>
      </c>
      <c r="M51" t="s">
        <v>9095</v>
      </c>
      <c r="N51" t="s">
        <v>9134</v>
      </c>
      <c r="O51" t="s">
        <v>11129</v>
      </c>
      <c r="R51" t="s">
        <v>11180</v>
      </c>
      <c r="S51" t="s">
        <v>9096</v>
      </c>
      <c r="T51" t="s">
        <v>11183</v>
      </c>
      <c r="U51" t="s">
        <v>11201</v>
      </c>
      <c r="V51" t="s">
        <v>487</v>
      </c>
      <c r="W51">
        <v>1500</v>
      </c>
      <c r="X51" t="s">
        <v>11331</v>
      </c>
      <c r="Y51" t="s">
        <v>11336</v>
      </c>
      <c r="Z51" t="s">
        <v>11403</v>
      </c>
      <c r="AB51" t="s">
        <v>15937</v>
      </c>
      <c r="AC51">
        <v>2</v>
      </c>
      <c r="AD51" t="s">
        <v>19565</v>
      </c>
      <c r="AE51" t="s">
        <v>9144</v>
      </c>
      <c r="AF51">
        <v>6</v>
      </c>
      <c r="AG51">
        <v>2</v>
      </c>
      <c r="AH51">
        <v>0</v>
      </c>
      <c r="AI51">
        <v>0</v>
      </c>
      <c r="AL51" t="s">
        <v>19614</v>
      </c>
      <c r="AM51">
        <v>0</v>
      </c>
      <c r="AS51">
        <v>1.4</v>
      </c>
      <c r="AT51" t="s">
        <v>487</v>
      </c>
      <c r="AU51" t="s">
        <v>153</v>
      </c>
      <c r="AV51" t="s">
        <v>20733</v>
      </c>
    </row>
    <row r="52" spans="1:48">
      <c r="A52" s="1">
        <f>HYPERLINK("https://lsnyc.legalserver.org/matter/dynamic-profile/view/1903492","19-1903492")</f>
        <v>0</v>
      </c>
      <c r="B52" t="s">
        <v>59</v>
      </c>
      <c r="C52" t="s">
        <v>256</v>
      </c>
      <c r="D52" t="s">
        <v>302</v>
      </c>
      <c r="F52" t="s">
        <v>1146</v>
      </c>
      <c r="G52" t="s">
        <v>3375</v>
      </c>
      <c r="H52" t="s">
        <v>5735</v>
      </c>
      <c r="I52" t="s">
        <v>8130</v>
      </c>
      <c r="J52" t="s">
        <v>9055</v>
      </c>
      <c r="K52">
        <v>11354</v>
      </c>
      <c r="L52" t="s">
        <v>9094</v>
      </c>
      <c r="M52" t="s">
        <v>9095</v>
      </c>
      <c r="N52" t="s">
        <v>9135</v>
      </c>
      <c r="O52" t="s">
        <v>11134</v>
      </c>
      <c r="P52" t="s">
        <v>11168</v>
      </c>
      <c r="R52" t="s">
        <v>11180</v>
      </c>
      <c r="S52" t="s">
        <v>9094</v>
      </c>
      <c r="T52" t="s">
        <v>11183</v>
      </c>
      <c r="U52" t="s">
        <v>11201</v>
      </c>
      <c r="V52" t="s">
        <v>302</v>
      </c>
      <c r="W52">
        <v>1000</v>
      </c>
      <c r="X52" t="s">
        <v>11331</v>
      </c>
      <c r="Y52" t="s">
        <v>11341</v>
      </c>
      <c r="Z52" t="s">
        <v>11404</v>
      </c>
      <c r="AA52" t="s">
        <v>15274</v>
      </c>
      <c r="AB52" t="s">
        <v>15274</v>
      </c>
      <c r="AC52">
        <v>91</v>
      </c>
      <c r="AD52" t="s">
        <v>19566</v>
      </c>
      <c r="AE52" t="s">
        <v>9144</v>
      </c>
      <c r="AF52">
        <v>26</v>
      </c>
      <c r="AG52">
        <v>2</v>
      </c>
      <c r="AH52">
        <v>0</v>
      </c>
      <c r="AI52">
        <v>0</v>
      </c>
      <c r="AL52" t="s">
        <v>19615</v>
      </c>
      <c r="AM52">
        <v>0</v>
      </c>
      <c r="AS52">
        <v>0.15</v>
      </c>
      <c r="AT52" t="s">
        <v>302</v>
      </c>
      <c r="AU52" t="s">
        <v>59</v>
      </c>
      <c r="AV52" t="s">
        <v>20733</v>
      </c>
    </row>
    <row r="53" spans="1:48">
      <c r="A53" s="1">
        <f>HYPERLINK("https://lsnyc.legalserver.org/matter/dynamic-profile/view/0781305","15-0781305")</f>
        <v>0</v>
      </c>
      <c r="B53" t="s">
        <v>49</v>
      </c>
      <c r="C53" t="s">
        <v>256</v>
      </c>
      <c r="D53" t="s">
        <v>303</v>
      </c>
      <c r="F53" t="s">
        <v>1180</v>
      </c>
      <c r="G53" t="s">
        <v>3376</v>
      </c>
      <c r="H53" t="s">
        <v>5736</v>
      </c>
      <c r="I53" t="s">
        <v>8131</v>
      </c>
      <c r="J53" t="s">
        <v>9055</v>
      </c>
      <c r="K53">
        <v>11354</v>
      </c>
      <c r="L53" t="s">
        <v>9094</v>
      </c>
      <c r="M53" t="s">
        <v>9095</v>
      </c>
      <c r="N53" t="s">
        <v>9136</v>
      </c>
      <c r="O53" t="s">
        <v>11135</v>
      </c>
      <c r="P53" t="s">
        <v>11168</v>
      </c>
      <c r="R53" t="s">
        <v>11180</v>
      </c>
      <c r="S53" t="s">
        <v>9094</v>
      </c>
      <c r="T53" t="s">
        <v>11183</v>
      </c>
      <c r="V53" t="s">
        <v>11206</v>
      </c>
      <c r="W53">
        <v>850.03</v>
      </c>
      <c r="X53" t="s">
        <v>11331</v>
      </c>
      <c r="Y53" t="s">
        <v>11342</v>
      </c>
      <c r="Z53" t="s">
        <v>11405</v>
      </c>
      <c r="AB53" t="s">
        <v>15938</v>
      </c>
      <c r="AC53">
        <v>175</v>
      </c>
      <c r="AD53" t="s">
        <v>19566</v>
      </c>
      <c r="AE53" t="s">
        <v>9144</v>
      </c>
      <c r="AF53">
        <v>28</v>
      </c>
      <c r="AG53">
        <v>1</v>
      </c>
      <c r="AH53">
        <v>0</v>
      </c>
      <c r="AI53">
        <v>0</v>
      </c>
      <c r="AL53" t="s">
        <v>19614</v>
      </c>
      <c r="AM53">
        <v>0</v>
      </c>
      <c r="AS53">
        <v>118.95</v>
      </c>
      <c r="AT53" t="s">
        <v>496</v>
      </c>
      <c r="AU53" t="s">
        <v>20621</v>
      </c>
    </row>
    <row r="54" spans="1:48">
      <c r="A54" s="1">
        <f>HYPERLINK("https://lsnyc.legalserver.org/matter/dynamic-profile/view/1877165","18-1877165")</f>
        <v>0</v>
      </c>
      <c r="B54" t="s">
        <v>52</v>
      </c>
      <c r="C54" t="s">
        <v>257</v>
      </c>
      <c r="D54" t="s">
        <v>304</v>
      </c>
      <c r="E54" t="s">
        <v>1129</v>
      </c>
      <c r="F54" t="s">
        <v>1181</v>
      </c>
      <c r="G54" t="s">
        <v>3377</v>
      </c>
      <c r="H54" t="s">
        <v>5737</v>
      </c>
      <c r="I54" t="s">
        <v>8132</v>
      </c>
      <c r="J54" t="s">
        <v>9055</v>
      </c>
      <c r="K54">
        <v>11354</v>
      </c>
      <c r="L54" t="s">
        <v>9094</v>
      </c>
      <c r="M54" t="s">
        <v>9094</v>
      </c>
      <c r="N54" t="s">
        <v>9137</v>
      </c>
      <c r="O54" t="s">
        <v>11128</v>
      </c>
      <c r="P54" t="s">
        <v>11165</v>
      </c>
      <c r="Q54" t="s">
        <v>11174</v>
      </c>
      <c r="R54" t="s">
        <v>11180</v>
      </c>
      <c r="S54" t="s">
        <v>9094</v>
      </c>
      <c r="T54" t="s">
        <v>11183</v>
      </c>
      <c r="U54" t="s">
        <v>11201</v>
      </c>
      <c r="V54" t="s">
        <v>605</v>
      </c>
      <c r="W54">
        <v>1100</v>
      </c>
      <c r="X54" t="s">
        <v>11331</v>
      </c>
      <c r="Y54" t="s">
        <v>11342</v>
      </c>
      <c r="Z54" t="s">
        <v>11406</v>
      </c>
      <c r="AB54" t="s">
        <v>15939</v>
      </c>
      <c r="AC54">
        <v>15</v>
      </c>
      <c r="AD54" t="s">
        <v>19565</v>
      </c>
      <c r="AE54" t="s">
        <v>9144</v>
      </c>
      <c r="AF54">
        <v>4</v>
      </c>
      <c r="AG54">
        <v>1</v>
      </c>
      <c r="AH54">
        <v>0</v>
      </c>
      <c r="AI54">
        <v>0</v>
      </c>
      <c r="AL54" t="s">
        <v>19614</v>
      </c>
      <c r="AM54">
        <v>0</v>
      </c>
      <c r="AO54" t="s">
        <v>20291</v>
      </c>
      <c r="AP54" t="s">
        <v>11157</v>
      </c>
      <c r="AQ54" t="s">
        <v>20368</v>
      </c>
      <c r="AR54" t="s">
        <v>20377</v>
      </c>
      <c r="AS54">
        <v>22.6</v>
      </c>
      <c r="AT54" t="s">
        <v>1129</v>
      </c>
      <c r="AU54" t="s">
        <v>20623</v>
      </c>
    </row>
    <row r="55" spans="1:48">
      <c r="A55" s="1">
        <f>HYPERLINK("https://lsnyc.legalserver.org/matter/dynamic-profile/view/0815667","16-0815667")</f>
        <v>0</v>
      </c>
      <c r="B55" t="s">
        <v>56</v>
      </c>
      <c r="C55" t="s">
        <v>256</v>
      </c>
      <c r="D55" t="s">
        <v>305</v>
      </c>
      <c r="F55" t="s">
        <v>1182</v>
      </c>
      <c r="G55" t="s">
        <v>3378</v>
      </c>
      <c r="H55" t="s">
        <v>5738</v>
      </c>
      <c r="I55" t="s">
        <v>8133</v>
      </c>
      <c r="J55" t="s">
        <v>9055</v>
      </c>
      <c r="K55">
        <v>11354</v>
      </c>
      <c r="L55" t="s">
        <v>9094</v>
      </c>
      <c r="M55" t="s">
        <v>9095</v>
      </c>
      <c r="N55" t="s">
        <v>9138</v>
      </c>
      <c r="O55" t="s">
        <v>11129</v>
      </c>
      <c r="P55" t="s">
        <v>11165</v>
      </c>
      <c r="R55" t="s">
        <v>11180</v>
      </c>
      <c r="S55" t="s">
        <v>9096</v>
      </c>
      <c r="T55" t="s">
        <v>11183</v>
      </c>
      <c r="U55" t="s">
        <v>11201</v>
      </c>
      <c r="V55" t="s">
        <v>305</v>
      </c>
      <c r="W55">
        <v>1375</v>
      </c>
      <c r="X55" t="s">
        <v>11331</v>
      </c>
      <c r="Y55" t="s">
        <v>11343</v>
      </c>
      <c r="Z55" t="s">
        <v>11407</v>
      </c>
      <c r="AA55" t="s">
        <v>15282</v>
      </c>
      <c r="AB55" t="s">
        <v>15940</v>
      </c>
      <c r="AC55">
        <v>85</v>
      </c>
      <c r="AD55" t="s">
        <v>19566</v>
      </c>
      <c r="AE55" t="s">
        <v>9144</v>
      </c>
      <c r="AF55">
        <v>8</v>
      </c>
      <c r="AG55">
        <v>1</v>
      </c>
      <c r="AH55">
        <v>0</v>
      </c>
      <c r="AI55">
        <v>0</v>
      </c>
      <c r="AL55" t="s">
        <v>19618</v>
      </c>
      <c r="AM55">
        <v>0</v>
      </c>
      <c r="AR55" t="s">
        <v>20378</v>
      </c>
      <c r="AS55">
        <v>20.4</v>
      </c>
      <c r="AT55" t="s">
        <v>668</v>
      </c>
      <c r="AU55" t="s">
        <v>20624</v>
      </c>
    </row>
    <row r="56" spans="1:48">
      <c r="A56" s="1">
        <f>HYPERLINK("https://lsnyc.legalserver.org/matter/dynamic-profile/view/1895390","19-1895390")</f>
        <v>0</v>
      </c>
      <c r="B56" t="s">
        <v>64</v>
      </c>
      <c r="C56" t="s">
        <v>256</v>
      </c>
      <c r="D56" t="s">
        <v>264</v>
      </c>
      <c r="F56" t="s">
        <v>1183</v>
      </c>
      <c r="G56" t="s">
        <v>3379</v>
      </c>
      <c r="H56" t="s">
        <v>5739</v>
      </c>
      <c r="I56" t="s">
        <v>8134</v>
      </c>
      <c r="J56" t="s">
        <v>9059</v>
      </c>
      <c r="K56">
        <v>11239</v>
      </c>
      <c r="L56" t="s">
        <v>9094</v>
      </c>
      <c r="M56" t="s">
        <v>9094</v>
      </c>
      <c r="N56" t="s">
        <v>9139</v>
      </c>
      <c r="O56" t="s">
        <v>11128</v>
      </c>
      <c r="P56" t="s">
        <v>11165</v>
      </c>
      <c r="R56" t="s">
        <v>11180</v>
      </c>
      <c r="S56" t="s">
        <v>9096</v>
      </c>
      <c r="T56" t="s">
        <v>11183</v>
      </c>
      <c r="V56" t="s">
        <v>264</v>
      </c>
      <c r="W56">
        <v>3260</v>
      </c>
      <c r="X56" t="s">
        <v>11332</v>
      </c>
      <c r="Y56" t="s">
        <v>11336</v>
      </c>
      <c r="Z56" t="s">
        <v>11408</v>
      </c>
      <c r="AB56" t="s">
        <v>15941</v>
      </c>
      <c r="AC56">
        <v>84</v>
      </c>
      <c r="AE56" t="s">
        <v>11157</v>
      </c>
      <c r="AF56">
        <v>43</v>
      </c>
      <c r="AG56">
        <v>1</v>
      </c>
      <c r="AH56">
        <v>1</v>
      </c>
      <c r="AI56">
        <v>0</v>
      </c>
      <c r="AL56" t="s">
        <v>19614</v>
      </c>
      <c r="AM56">
        <v>0</v>
      </c>
      <c r="AS56">
        <v>56.3</v>
      </c>
      <c r="AT56" t="s">
        <v>1135</v>
      </c>
      <c r="AU56" t="s">
        <v>95</v>
      </c>
    </row>
    <row r="57" spans="1:48">
      <c r="A57" s="1">
        <f>HYPERLINK("https://lsnyc.legalserver.org/matter/dynamic-profile/view/1879361","18-1879361")</f>
        <v>0</v>
      </c>
      <c r="B57" t="s">
        <v>64</v>
      </c>
      <c r="C57" t="s">
        <v>256</v>
      </c>
      <c r="D57" t="s">
        <v>306</v>
      </c>
      <c r="F57" t="s">
        <v>1183</v>
      </c>
      <c r="G57" t="s">
        <v>3379</v>
      </c>
      <c r="H57" t="s">
        <v>5739</v>
      </c>
      <c r="I57" t="s">
        <v>8134</v>
      </c>
      <c r="J57" t="s">
        <v>9059</v>
      </c>
      <c r="K57">
        <v>11239</v>
      </c>
      <c r="L57" t="s">
        <v>9094</v>
      </c>
      <c r="M57" t="s">
        <v>9094</v>
      </c>
      <c r="N57" t="s">
        <v>9140</v>
      </c>
      <c r="O57" t="s">
        <v>11129</v>
      </c>
      <c r="P57" t="s">
        <v>11165</v>
      </c>
      <c r="R57" t="s">
        <v>11180</v>
      </c>
      <c r="S57" t="s">
        <v>9096</v>
      </c>
      <c r="T57" t="s">
        <v>11183</v>
      </c>
      <c r="U57" t="s">
        <v>11202</v>
      </c>
      <c r="V57" t="s">
        <v>635</v>
      </c>
      <c r="W57">
        <v>3260</v>
      </c>
      <c r="X57" t="s">
        <v>11332</v>
      </c>
      <c r="Y57" t="s">
        <v>11336</v>
      </c>
      <c r="Z57" t="s">
        <v>11408</v>
      </c>
      <c r="AA57" t="s">
        <v>15283</v>
      </c>
      <c r="AB57" t="s">
        <v>15941</v>
      </c>
      <c r="AC57">
        <v>84</v>
      </c>
      <c r="AD57" t="s">
        <v>19567</v>
      </c>
      <c r="AE57" t="s">
        <v>11157</v>
      </c>
      <c r="AF57">
        <v>43</v>
      </c>
      <c r="AG57">
        <v>1</v>
      </c>
      <c r="AH57">
        <v>1</v>
      </c>
      <c r="AI57">
        <v>0</v>
      </c>
      <c r="AL57" t="s">
        <v>19614</v>
      </c>
      <c r="AM57">
        <v>0</v>
      </c>
      <c r="AS57">
        <v>9.6</v>
      </c>
      <c r="AT57" t="s">
        <v>290</v>
      </c>
      <c r="AU57" t="s">
        <v>20625</v>
      </c>
      <c r="AV57" t="s">
        <v>20733</v>
      </c>
    </row>
    <row r="58" spans="1:48">
      <c r="A58" s="1">
        <f>HYPERLINK("https://lsnyc.legalserver.org/matter/dynamic-profile/view/1879371","18-1879371")</f>
        <v>0</v>
      </c>
      <c r="B58" t="s">
        <v>64</v>
      </c>
      <c r="C58" t="s">
        <v>257</v>
      </c>
      <c r="D58" t="s">
        <v>306</v>
      </c>
      <c r="E58" t="s">
        <v>992</v>
      </c>
      <c r="F58" t="s">
        <v>1183</v>
      </c>
      <c r="G58" t="s">
        <v>3379</v>
      </c>
      <c r="H58" t="s">
        <v>5739</v>
      </c>
      <c r="I58" t="s">
        <v>8134</v>
      </c>
      <c r="J58" t="s">
        <v>9059</v>
      </c>
      <c r="K58">
        <v>11239</v>
      </c>
      <c r="L58" t="s">
        <v>9096</v>
      </c>
      <c r="M58" t="s">
        <v>9096</v>
      </c>
      <c r="N58" t="s">
        <v>9140</v>
      </c>
      <c r="P58" t="s">
        <v>11164</v>
      </c>
      <c r="Q58" t="s">
        <v>11172</v>
      </c>
      <c r="R58" t="s">
        <v>11180</v>
      </c>
      <c r="T58" t="s">
        <v>11184</v>
      </c>
      <c r="W58">
        <v>3260</v>
      </c>
      <c r="X58" t="s">
        <v>11332</v>
      </c>
      <c r="Y58" t="s">
        <v>11336</v>
      </c>
      <c r="Z58" t="s">
        <v>11408</v>
      </c>
      <c r="AB58" t="s">
        <v>15941</v>
      </c>
      <c r="AC58">
        <v>84</v>
      </c>
      <c r="AE58" t="s">
        <v>11157</v>
      </c>
      <c r="AF58">
        <v>43</v>
      </c>
      <c r="AG58">
        <v>1</v>
      </c>
      <c r="AH58">
        <v>1</v>
      </c>
      <c r="AI58">
        <v>0</v>
      </c>
      <c r="AL58" t="s">
        <v>19614</v>
      </c>
      <c r="AM58">
        <v>0</v>
      </c>
      <c r="AS58">
        <v>1.1</v>
      </c>
      <c r="AT58" t="s">
        <v>848</v>
      </c>
      <c r="AU58" t="s">
        <v>20625</v>
      </c>
    </row>
    <row r="59" spans="1:48">
      <c r="A59" s="1">
        <f>HYPERLINK("https://lsnyc.legalserver.org/matter/dynamic-profile/view/1900158","19-1900158")</f>
        <v>0</v>
      </c>
      <c r="B59" t="s">
        <v>65</v>
      </c>
      <c r="C59" t="s">
        <v>256</v>
      </c>
      <c r="D59" t="s">
        <v>289</v>
      </c>
      <c r="F59" t="s">
        <v>1184</v>
      </c>
      <c r="G59" t="s">
        <v>3380</v>
      </c>
      <c r="H59" t="s">
        <v>5740</v>
      </c>
      <c r="I59" t="s">
        <v>8135</v>
      </c>
      <c r="J59" t="s">
        <v>9060</v>
      </c>
      <c r="K59">
        <v>11238</v>
      </c>
      <c r="L59" t="s">
        <v>9094</v>
      </c>
      <c r="M59" t="s">
        <v>9095</v>
      </c>
      <c r="N59" t="s">
        <v>9141</v>
      </c>
      <c r="O59" t="s">
        <v>11134</v>
      </c>
      <c r="P59" t="s">
        <v>11168</v>
      </c>
      <c r="R59" t="s">
        <v>11180</v>
      </c>
      <c r="S59" t="s">
        <v>9094</v>
      </c>
      <c r="T59" t="s">
        <v>11183</v>
      </c>
      <c r="U59" t="s">
        <v>11201</v>
      </c>
      <c r="V59" t="s">
        <v>289</v>
      </c>
      <c r="W59">
        <v>654.34</v>
      </c>
      <c r="X59" t="s">
        <v>11332</v>
      </c>
      <c r="Y59" t="s">
        <v>11340</v>
      </c>
      <c r="Z59" t="s">
        <v>11409</v>
      </c>
      <c r="AB59" t="s">
        <v>15942</v>
      </c>
      <c r="AC59">
        <v>29</v>
      </c>
      <c r="AD59" t="s">
        <v>19566</v>
      </c>
      <c r="AF59">
        <v>44</v>
      </c>
      <c r="AG59">
        <v>1</v>
      </c>
      <c r="AH59">
        <v>0</v>
      </c>
      <c r="AI59">
        <v>0</v>
      </c>
      <c r="AL59" t="s">
        <v>19614</v>
      </c>
      <c r="AM59">
        <v>0</v>
      </c>
      <c r="AS59">
        <v>5.1</v>
      </c>
      <c r="AT59" t="s">
        <v>612</v>
      </c>
      <c r="AU59" t="s">
        <v>65</v>
      </c>
      <c r="AV59" t="s">
        <v>20733</v>
      </c>
    </row>
    <row r="60" spans="1:48">
      <c r="A60" s="1">
        <f>HYPERLINK("https://lsnyc.legalserver.org/matter/dynamic-profile/view/1910682","19-1910682")</f>
        <v>0</v>
      </c>
      <c r="B60" t="s">
        <v>66</v>
      </c>
      <c r="C60" t="s">
        <v>256</v>
      </c>
      <c r="D60" t="s">
        <v>259</v>
      </c>
      <c r="F60" t="s">
        <v>1185</v>
      </c>
      <c r="G60" t="s">
        <v>3381</v>
      </c>
      <c r="H60" t="s">
        <v>5741</v>
      </c>
      <c r="I60">
        <v>11</v>
      </c>
      <c r="J60" t="s">
        <v>9059</v>
      </c>
      <c r="K60">
        <v>11238</v>
      </c>
      <c r="L60" t="s">
        <v>9094</v>
      </c>
      <c r="M60" t="s">
        <v>9095</v>
      </c>
      <c r="O60" t="s">
        <v>11128</v>
      </c>
      <c r="P60" t="s">
        <v>11167</v>
      </c>
      <c r="R60" t="s">
        <v>11180</v>
      </c>
      <c r="S60" t="s">
        <v>9096</v>
      </c>
      <c r="T60" t="s">
        <v>11183</v>
      </c>
      <c r="V60" t="s">
        <v>259</v>
      </c>
      <c r="W60">
        <v>1200</v>
      </c>
      <c r="X60" t="s">
        <v>11332</v>
      </c>
      <c r="Z60" t="s">
        <v>11410</v>
      </c>
      <c r="AB60" t="s">
        <v>15943</v>
      </c>
      <c r="AC60">
        <v>6</v>
      </c>
      <c r="AF60">
        <v>0</v>
      </c>
      <c r="AG60">
        <v>2</v>
      </c>
      <c r="AH60">
        <v>0</v>
      </c>
      <c r="AI60">
        <v>0</v>
      </c>
      <c r="AL60" t="s">
        <v>19614</v>
      </c>
      <c r="AM60">
        <v>0</v>
      </c>
      <c r="AS60">
        <v>0.5</v>
      </c>
      <c r="AT60" t="s">
        <v>594</v>
      </c>
      <c r="AU60" t="s">
        <v>215</v>
      </c>
      <c r="AV60" t="s">
        <v>20733</v>
      </c>
    </row>
    <row r="61" spans="1:48">
      <c r="A61" s="1">
        <f>HYPERLINK("https://lsnyc.legalserver.org/matter/dynamic-profile/view/1893845","19-1893845")</f>
        <v>0</v>
      </c>
      <c r="B61" t="s">
        <v>67</v>
      </c>
      <c r="C61" t="s">
        <v>256</v>
      </c>
      <c r="D61" t="s">
        <v>274</v>
      </c>
      <c r="F61" t="s">
        <v>1186</v>
      </c>
      <c r="G61" t="s">
        <v>3382</v>
      </c>
      <c r="H61" t="s">
        <v>5742</v>
      </c>
      <c r="I61" t="s">
        <v>8136</v>
      </c>
      <c r="J61" t="s">
        <v>9059</v>
      </c>
      <c r="K61">
        <v>11238</v>
      </c>
      <c r="L61" t="s">
        <v>9094</v>
      </c>
      <c r="M61" t="s">
        <v>9094</v>
      </c>
      <c r="O61" t="s">
        <v>9121</v>
      </c>
      <c r="P61" t="s">
        <v>11167</v>
      </c>
      <c r="R61" t="s">
        <v>11180</v>
      </c>
      <c r="S61" t="s">
        <v>9096</v>
      </c>
      <c r="T61" t="s">
        <v>11183</v>
      </c>
      <c r="V61" t="s">
        <v>274</v>
      </c>
      <c r="W61">
        <v>0</v>
      </c>
      <c r="X61" t="s">
        <v>11332</v>
      </c>
      <c r="Z61" t="s">
        <v>11411</v>
      </c>
      <c r="AC61">
        <v>0</v>
      </c>
      <c r="AF61">
        <v>0</v>
      </c>
      <c r="AG61">
        <v>2</v>
      </c>
      <c r="AH61">
        <v>0</v>
      </c>
      <c r="AI61">
        <v>0</v>
      </c>
      <c r="AL61" t="s">
        <v>19614</v>
      </c>
      <c r="AM61">
        <v>0</v>
      </c>
      <c r="AS61">
        <v>0.9</v>
      </c>
      <c r="AT61" t="s">
        <v>779</v>
      </c>
      <c r="AU61" t="s">
        <v>67</v>
      </c>
    </row>
    <row r="62" spans="1:48">
      <c r="A62" s="1">
        <f>HYPERLINK("https://lsnyc.legalserver.org/matter/dynamic-profile/view/1910717","19-1910717")</f>
        <v>0</v>
      </c>
      <c r="B62" t="s">
        <v>65</v>
      </c>
      <c r="C62" t="s">
        <v>256</v>
      </c>
      <c r="D62" t="s">
        <v>307</v>
      </c>
      <c r="F62" t="s">
        <v>1171</v>
      </c>
      <c r="G62" t="s">
        <v>3383</v>
      </c>
      <c r="H62" t="s">
        <v>5743</v>
      </c>
      <c r="I62" t="s">
        <v>8137</v>
      </c>
      <c r="J62" t="s">
        <v>9059</v>
      </c>
      <c r="K62">
        <v>11238</v>
      </c>
      <c r="L62" t="s">
        <v>9095</v>
      </c>
      <c r="M62" t="s">
        <v>9095</v>
      </c>
      <c r="O62" t="s">
        <v>11129</v>
      </c>
      <c r="P62" t="s">
        <v>11165</v>
      </c>
      <c r="R62" t="s">
        <v>11180</v>
      </c>
      <c r="T62" t="s">
        <v>11183</v>
      </c>
      <c r="W62">
        <v>0</v>
      </c>
      <c r="X62" t="s">
        <v>11332</v>
      </c>
      <c r="Z62" t="s">
        <v>11412</v>
      </c>
      <c r="AB62" t="s">
        <v>15944</v>
      </c>
      <c r="AC62">
        <v>0</v>
      </c>
      <c r="AF62">
        <v>0</v>
      </c>
      <c r="AG62">
        <v>3</v>
      </c>
      <c r="AH62">
        <v>0</v>
      </c>
      <c r="AI62">
        <v>0</v>
      </c>
      <c r="AL62" t="s">
        <v>19614</v>
      </c>
      <c r="AM62">
        <v>0</v>
      </c>
      <c r="AS62">
        <v>11.7</v>
      </c>
      <c r="AT62" t="s">
        <v>321</v>
      </c>
      <c r="AU62" t="s">
        <v>67</v>
      </c>
    </row>
    <row r="63" spans="1:48">
      <c r="A63" s="1">
        <f>HYPERLINK("https://lsnyc.legalserver.org/matter/dynamic-profile/view/1910823","19-1910823")</f>
        <v>0</v>
      </c>
      <c r="B63" t="s">
        <v>65</v>
      </c>
      <c r="C63" t="s">
        <v>256</v>
      </c>
      <c r="D63" t="s">
        <v>308</v>
      </c>
      <c r="F63" t="s">
        <v>1187</v>
      </c>
      <c r="G63" t="s">
        <v>3384</v>
      </c>
      <c r="H63" t="s">
        <v>5743</v>
      </c>
      <c r="I63" t="s">
        <v>8138</v>
      </c>
      <c r="J63" t="s">
        <v>9059</v>
      </c>
      <c r="K63">
        <v>11238</v>
      </c>
      <c r="L63" t="s">
        <v>9095</v>
      </c>
      <c r="M63" t="s">
        <v>9095</v>
      </c>
      <c r="N63" t="s">
        <v>9142</v>
      </c>
      <c r="O63" t="s">
        <v>11129</v>
      </c>
      <c r="P63" t="s">
        <v>11165</v>
      </c>
      <c r="R63" t="s">
        <v>11180</v>
      </c>
      <c r="S63" t="s">
        <v>9094</v>
      </c>
      <c r="T63" t="s">
        <v>11183</v>
      </c>
      <c r="U63" t="s">
        <v>11201</v>
      </c>
      <c r="W63">
        <v>1119.8</v>
      </c>
      <c r="X63" t="s">
        <v>11332</v>
      </c>
      <c r="Y63" t="s">
        <v>11342</v>
      </c>
      <c r="Z63" t="s">
        <v>11413</v>
      </c>
      <c r="AB63" t="s">
        <v>15945</v>
      </c>
      <c r="AC63">
        <v>38</v>
      </c>
      <c r="AD63" t="s">
        <v>19566</v>
      </c>
      <c r="AE63" t="s">
        <v>9144</v>
      </c>
      <c r="AF63">
        <v>13</v>
      </c>
      <c r="AG63">
        <v>1</v>
      </c>
      <c r="AH63">
        <v>0</v>
      </c>
      <c r="AI63">
        <v>0</v>
      </c>
      <c r="AL63" t="s">
        <v>19614</v>
      </c>
      <c r="AM63">
        <v>0</v>
      </c>
      <c r="AS63">
        <v>7.3</v>
      </c>
      <c r="AT63" t="s">
        <v>521</v>
      </c>
      <c r="AU63" t="s">
        <v>65</v>
      </c>
    </row>
    <row r="64" spans="1:48">
      <c r="A64" s="1">
        <f>HYPERLINK("https://lsnyc.legalserver.org/matter/dynamic-profile/view/1910906","19-1910906")</f>
        <v>0</v>
      </c>
      <c r="B64" t="s">
        <v>65</v>
      </c>
      <c r="C64" t="s">
        <v>256</v>
      </c>
      <c r="D64" t="s">
        <v>295</v>
      </c>
      <c r="F64" t="s">
        <v>1188</v>
      </c>
      <c r="G64" t="s">
        <v>3385</v>
      </c>
      <c r="J64" t="s">
        <v>9059</v>
      </c>
      <c r="K64">
        <v>11238</v>
      </c>
      <c r="L64" t="s">
        <v>9094</v>
      </c>
      <c r="M64" t="s">
        <v>9095</v>
      </c>
      <c r="O64" t="s">
        <v>11129</v>
      </c>
      <c r="P64" t="s">
        <v>11165</v>
      </c>
      <c r="R64" t="s">
        <v>11180</v>
      </c>
      <c r="S64" t="s">
        <v>9094</v>
      </c>
      <c r="T64" t="s">
        <v>11183</v>
      </c>
      <c r="U64" t="s">
        <v>11201</v>
      </c>
      <c r="V64" t="s">
        <v>307</v>
      </c>
      <c r="W64">
        <v>0</v>
      </c>
      <c r="X64" t="s">
        <v>11332</v>
      </c>
      <c r="Y64" t="s">
        <v>11342</v>
      </c>
      <c r="Z64" t="s">
        <v>11414</v>
      </c>
      <c r="AC64">
        <v>0</v>
      </c>
      <c r="AD64" t="s">
        <v>19566</v>
      </c>
      <c r="AF64">
        <v>0</v>
      </c>
      <c r="AG64">
        <v>1</v>
      </c>
      <c r="AH64">
        <v>0</v>
      </c>
      <c r="AI64">
        <v>0</v>
      </c>
      <c r="AL64" t="s">
        <v>19614</v>
      </c>
      <c r="AM64">
        <v>0</v>
      </c>
      <c r="AS64">
        <v>3</v>
      </c>
      <c r="AT64" t="s">
        <v>307</v>
      </c>
      <c r="AU64" t="s">
        <v>65</v>
      </c>
      <c r="AV64" t="s">
        <v>20733</v>
      </c>
    </row>
    <row r="65" spans="1:48">
      <c r="A65" s="1">
        <f>HYPERLINK("https://lsnyc.legalserver.org/matter/dynamic-profile/view/1912384","19-1912384")</f>
        <v>0</v>
      </c>
      <c r="B65" t="s">
        <v>65</v>
      </c>
      <c r="C65" t="s">
        <v>256</v>
      </c>
      <c r="D65" t="s">
        <v>309</v>
      </c>
      <c r="F65" t="s">
        <v>1189</v>
      </c>
      <c r="G65" t="s">
        <v>3386</v>
      </c>
      <c r="H65" t="s">
        <v>5742</v>
      </c>
      <c r="I65" t="s">
        <v>8139</v>
      </c>
      <c r="J65" t="s">
        <v>9059</v>
      </c>
      <c r="K65">
        <v>11238</v>
      </c>
      <c r="L65" t="s">
        <v>9094</v>
      </c>
      <c r="M65" t="s">
        <v>9095</v>
      </c>
      <c r="O65" t="s">
        <v>11129</v>
      </c>
      <c r="P65" t="s">
        <v>11165</v>
      </c>
      <c r="R65" t="s">
        <v>11180</v>
      </c>
      <c r="S65" t="s">
        <v>9096</v>
      </c>
      <c r="T65" t="s">
        <v>11183</v>
      </c>
      <c r="V65" t="s">
        <v>309</v>
      </c>
      <c r="W65">
        <v>989.25</v>
      </c>
      <c r="X65" t="s">
        <v>11332</v>
      </c>
      <c r="Z65" t="s">
        <v>11415</v>
      </c>
      <c r="AB65" t="s">
        <v>15946</v>
      </c>
      <c r="AC65">
        <v>29</v>
      </c>
      <c r="AE65" t="s">
        <v>19582</v>
      </c>
      <c r="AF65">
        <v>10</v>
      </c>
      <c r="AG65">
        <v>1</v>
      </c>
      <c r="AH65">
        <v>1</v>
      </c>
      <c r="AI65">
        <v>0</v>
      </c>
      <c r="AL65" t="s">
        <v>19614</v>
      </c>
      <c r="AM65">
        <v>0</v>
      </c>
      <c r="AS65">
        <v>5.2</v>
      </c>
      <c r="AT65" t="s">
        <v>487</v>
      </c>
      <c r="AU65" t="s">
        <v>215</v>
      </c>
      <c r="AV65" t="s">
        <v>20733</v>
      </c>
    </row>
    <row r="66" spans="1:48">
      <c r="A66" s="1">
        <f>HYPERLINK("https://lsnyc.legalserver.org/matter/dynamic-profile/view/1899041","19-1899041")</f>
        <v>0</v>
      </c>
      <c r="B66" t="s">
        <v>65</v>
      </c>
      <c r="C66" t="s">
        <v>256</v>
      </c>
      <c r="D66" t="s">
        <v>310</v>
      </c>
      <c r="F66" t="s">
        <v>1171</v>
      </c>
      <c r="G66" t="s">
        <v>3383</v>
      </c>
      <c r="H66" t="s">
        <v>5743</v>
      </c>
      <c r="I66" t="s">
        <v>8137</v>
      </c>
      <c r="J66" t="s">
        <v>9059</v>
      </c>
      <c r="K66">
        <v>11238</v>
      </c>
      <c r="L66" t="s">
        <v>9094</v>
      </c>
      <c r="M66" t="s">
        <v>9095</v>
      </c>
      <c r="O66" t="s">
        <v>11136</v>
      </c>
      <c r="P66" t="s">
        <v>11166</v>
      </c>
      <c r="R66" t="s">
        <v>11180</v>
      </c>
      <c r="S66" t="s">
        <v>9096</v>
      </c>
      <c r="T66" t="s">
        <v>11183</v>
      </c>
      <c r="U66" t="s">
        <v>11201</v>
      </c>
      <c r="V66" t="s">
        <v>310</v>
      </c>
      <c r="W66">
        <v>608.28</v>
      </c>
      <c r="X66" t="s">
        <v>11332</v>
      </c>
      <c r="Y66" t="s">
        <v>11340</v>
      </c>
      <c r="Z66" t="s">
        <v>11412</v>
      </c>
      <c r="AB66" t="s">
        <v>15944</v>
      </c>
      <c r="AC66">
        <v>38</v>
      </c>
      <c r="AD66" t="s">
        <v>19566</v>
      </c>
      <c r="AE66" t="s">
        <v>11157</v>
      </c>
      <c r="AF66">
        <v>30</v>
      </c>
      <c r="AG66">
        <v>3</v>
      </c>
      <c r="AH66">
        <v>0</v>
      </c>
      <c r="AI66">
        <v>0</v>
      </c>
      <c r="AL66" t="s">
        <v>19614</v>
      </c>
      <c r="AM66">
        <v>0</v>
      </c>
      <c r="AS66">
        <v>32.6</v>
      </c>
      <c r="AT66" t="s">
        <v>321</v>
      </c>
      <c r="AU66" t="s">
        <v>65</v>
      </c>
    </row>
    <row r="67" spans="1:48">
      <c r="A67" s="1">
        <f>HYPERLINK("https://lsnyc.legalserver.org/matter/dynamic-profile/view/1892533","19-1892533")</f>
        <v>0</v>
      </c>
      <c r="B67" t="s">
        <v>67</v>
      </c>
      <c r="C67" t="s">
        <v>257</v>
      </c>
      <c r="D67" t="s">
        <v>311</v>
      </c>
      <c r="E67" t="s">
        <v>779</v>
      </c>
      <c r="F67" t="s">
        <v>1190</v>
      </c>
      <c r="G67" t="s">
        <v>3387</v>
      </c>
      <c r="H67" t="s">
        <v>5744</v>
      </c>
      <c r="I67">
        <v>32</v>
      </c>
      <c r="J67" t="s">
        <v>9059</v>
      </c>
      <c r="K67">
        <v>11238</v>
      </c>
      <c r="L67" t="s">
        <v>9096</v>
      </c>
      <c r="M67" t="s">
        <v>9095</v>
      </c>
      <c r="Q67" t="s">
        <v>11173</v>
      </c>
      <c r="R67" t="s">
        <v>11180</v>
      </c>
      <c r="T67" t="s">
        <v>11184</v>
      </c>
      <c r="V67" t="s">
        <v>311</v>
      </c>
      <c r="W67">
        <v>0</v>
      </c>
      <c r="X67" t="s">
        <v>11332</v>
      </c>
      <c r="Z67" t="s">
        <v>11416</v>
      </c>
      <c r="AB67" t="s">
        <v>15947</v>
      </c>
      <c r="AC67">
        <v>0</v>
      </c>
      <c r="AF67">
        <v>0</v>
      </c>
      <c r="AG67">
        <v>1</v>
      </c>
      <c r="AH67">
        <v>2</v>
      </c>
      <c r="AI67">
        <v>0</v>
      </c>
      <c r="AL67" t="s">
        <v>19614</v>
      </c>
      <c r="AM67">
        <v>0</v>
      </c>
      <c r="AS67">
        <v>14.1</v>
      </c>
      <c r="AT67" t="s">
        <v>779</v>
      </c>
      <c r="AU67" t="s">
        <v>67</v>
      </c>
      <c r="AV67" t="s">
        <v>9144</v>
      </c>
    </row>
    <row r="68" spans="1:48">
      <c r="A68" s="1">
        <f>HYPERLINK("https://lsnyc.legalserver.org/matter/dynamic-profile/view/1904193","19-1904193")</f>
        <v>0</v>
      </c>
      <c r="B68" t="s">
        <v>67</v>
      </c>
      <c r="C68" t="s">
        <v>257</v>
      </c>
      <c r="D68" t="s">
        <v>312</v>
      </c>
      <c r="E68" t="s">
        <v>259</v>
      </c>
      <c r="F68" t="s">
        <v>1191</v>
      </c>
      <c r="G68" t="s">
        <v>3388</v>
      </c>
      <c r="H68" t="s">
        <v>5745</v>
      </c>
      <c r="I68" t="s">
        <v>8140</v>
      </c>
      <c r="J68" t="s">
        <v>9059</v>
      </c>
      <c r="K68">
        <v>11238</v>
      </c>
      <c r="L68" t="s">
        <v>9095</v>
      </c>
      <c r="M68" t="s">
        <v>9095</v>
      </c>
      <c r="Q68" t="s">
        <v>11173</v>
      </c>
      <c r="R68" t="s">
        <v>11180</v>
      </c>
      <c r="T68" t="s">
        <v>11184</v>
      </c>
      <c r="W68">
        <v>0</v>
      </c>
      <c r="X68" t="s">
        <v>11332</v>
      </c>
      <c r="Z68" t="s">
        <v>11417</v>
      </c>
      <c r="AC68">
        <v>0</v>
      </c>
      <c r="AF68">
        <v>0</v>
      </c>
      <c r="AG68">
        <v>1</v>
      </c>
      <c r="AH68">
        <v>0</v>
      </c>
      <c r="AI68">
        <v>0</v>
      </c>
      <c r="AL68" t="s">
        <v>19614</v>
      </c>
      <c r="AM68">
        <v>0</v>
      </c>
      <c r="AS68">
        <v>8.4</v>
      </c>
      <c r="AT68" t="s">
        <v>259</v>
      </c>
      <c r="AU68" t="s">
        <v>67</v>
      </c>
    </row>
    <row r="69" spans="1:48">
      <c r="A69" s="1">
        <f>HYPERLINK("https://lsnyc.legalserver.org/matter/dynamic-profile/view/1879962","18-1879962")</f>
        <v>0</v>
      </c>
      <c r="B69" t="s">
        <v>68</v>
      </c>
      <c r="C69" t="s">
        <v>257</v>
      </c>
      <c r="D69" t="s">
        <v>313</v>
      </c>
      <c r="E69" t="s">
        <v>594</v>
      </c>
      <c r="F69" t="s">
        <v>1192</v>
      </c>
      <c r="G69" t="s">
        <v>3389</v>
      </c>
      <c r="H69" t="s">
        <v>5746</v>
      </c>
      <c r="I69" t="s">
        <v>8141</v>
      </c>
      <c r="J69" t="s">
        <v>9059</v>
      </c>
      <c r="K69">
        <v>11237</v>
      </c>
      <c r="L69" t="s">
        <v>9094</v>
      </c>
      <c r="M69" t="s">
        <v>9096</v>
      </c>
      <c r="N69" t="s">
        <v>9143</v>
      </c>
      <c r="O69" t="s">
        <v>11128</v>
      </c>
      <c r="P69" t="s">
        <v>11165</v>
      </c>
      <c r="Q69" t="s">
        <v>11174</v>
      </c>
      <c r="R69" t="s">
        <v>11180</v>
      </c>
      <c r="T69" t="s">
        <v>11183</v>
      </c>
      <c r="V69" t="s">
        <v>635</v>
      </c>
      <c r="W69">
        <v>973</v>
      </c>
      <c r="X69" t="s">
        <v>11332</v>
      </c>
      <c r="Y69" t="s">
        <v>11336</v>
      </c>
      <c r="Z69" t="s">
        <v>11418</v>
      </c>
      <c r="AA69" t="s">
        <v>15284</v>
      </c>
      <c r="AB69" t="s">
        <v>15948</v>
      </c>
      <c r="AC69">
        <v>0</v>
      </c>
      <c r="AE69" t="s">
        <v>19580</v>
      </c>
      <c r="AF69">
        <v>12</v>
      </c>
      <c r="AG69">
        <v>1</v>
      </c>
      <c r="AH69">
        <v>0</v>
      </c>
      <c r="AI69">
        <v>0</v>
      </c>
      <c r="AL69" t="s">
        <v>19614</v>
      </c>
      <c r="AM69">
        <v>0</v>
      </c>
      <c r="AS69">
        <v>88.59999999999999</v>
      </c>
      <c r="AT69" t="s">
        <v>496</v>
      </c>
      <c r="AU69" t="s">
        <v>20625</v>
      </c>
    </row>
    <row r="70" spans="1:48">
      <c r="A70" s="1">
        <f>HYPERLINK("https://lsnyc.legalserver.org/matter/dynamic-profile/view/1908420","19-1908420")</f>
        <v>0</v>
      </c>
      <c r="B70" t="s">
        <v>69</v>
      </c>
      <c r="C70" t="s">
        <v>257</v>
      </c>
      <c r="D70" t="s">
        <v>314</v>
      </c>
      <c r="E70" t="s">
        <v>395</v>
      </c>
      <c r="F70" t="s">
        <v>1192</v>
      </c>
      <c r="G70" t="s">
        <v>3389</v>
      </c>
      <c r="H70" t="s">
        <v>5746</v>
      </c>
      <c r="I70" t="s">
        <v>8141</v>
      </c>
      <c r="J70" t="s">
        <v>9059</v>
      </c>
      <c r="K70">
        <v>11237</v>
      </c>
      <c r="L70" t="s">
        <v>9094</v>
      </c>
      <c r="M70" t="s">
        <v>9095</v>
      </c>
      <c r="N70" t="s">
        <v>9144</v>
      </c>
      <c r="O70" t="s">
        <v>11131</v>
      </c>
      <c r="P70" t="s">
        <v>11168</v>
      </c>
      <c r="Q70" t="s">
        <v>11177</v>
      </c>
      <c r="R70" t="s">
        <v>11180</v>
      </c>
      <c r="S70" t="s">
        <v>9096</v>
      </c>
      <c r="T70" t="s">
        <v>11184</v>
      </c>
      <c r="W70">
        <v>973</v>
      </c>
      <c r="X70" t="s">
        <v>11332</v>
      </c>
      <c r="Y70" t="s">
        <v>11336</v>
      </c>
      <c r="Z70" t="s">
        <v>11418</v>
      </c>
      <c r="AA70" t="s">
        <v>15284</v>
      </c>
      <c r="AB70" t="s">
        <v>15948</v>
      </c>
      <c r="AC70">
        <v>6</v>
      </c>
      <c r="AD70" t="s">
        <v>19566</v>
      </c>
      <c r="AE70" t="s">
        <v>19580</v>
      </c>
      <c r="AF70">
        <v>12</v>
      </c>
      <c r="AG70">
        <v>1</v>
      </c>
      <c r="AH70">
        <v>0</v>
      </c>
      <c r="AI70">
        <v>0</v>
      </c>
      <c r="AL70" t="s">
        <v>19614</v>
      </c>
      <c r="AM70">
        <v>0</v>
      </c>
      <c r="AS70">
        <v>15</v>
      </c>
      <c r="AT70" t="s">
        <v>395</v>
      </c>
      <c r="AU70" t="s">
        <v>79</v>
      </c>
      <c r="AV70" t="s">
        <v>20734</v>
      </c>
    </row>
    <row r="71" spans="1:48">
      <c r="A71" s="1">
        <f>HYPERLINK("https://lsnyc.legalserver.org/matter/dynamic-profile/view/1900869","19-1900869")</f>
        <v>0</v>
      </c>
      <c r="B71" t="s">
        <v>67</v>
      </c>
      <c r="C71" t="s">
        <v>257</v>
      </c>
      <c r="D71" t="s">
        <v>315</v>
      </c>
      <c r="E71" t="s">
        <v>779</v>
      </c>
      <c r="F71" t="s">
        <v>1193</v>
      </c>
      <c r="G71" t="s">
        <v>3390</v>
      </c>
      <c r="H71" t="s">
        <v>5747</v>
      </c>
      <c r="I71" t="s">
        <v>8142</v>
      </c>
      <c r="J71" t="s">
        <v>9059</v>
      </c>
      <c r="K71">
        <v>11237</v>
      </c>
      <c r="L71" t="s">
        <v>9095</v>
      </c>
      <c r="M71" t="s">
        <v>9095</v>
      </c>
      <c r="Q71" t="s">
        <v>11172</v>
      </c>
      <c r="R71" t="s">
        <v>11180</v>
      </c>
      <c r="T71" t="s">
        <v>11183</v>
      </c>
      <c r="W71">
        <v>0</v>
      </c>
      <c r="X71" t="s">
        <v>11332</v>
      </c>
      <c r="Z71" t="s">
        <v>11419</v>
      </c>
      <c r="AB71" t="s">
        <v>15949</v>
      </c>
      <c r="AC71">
        <v>0</v>
      </c>
      <c r="AF71">
        <v>0</v>
      </c>
      <c r="AG71">
        <v>1</v>
      </c>
      <c r="AH71">
        <v>0</v>
      </c>
      <c r="AI71">
        <v>0</v>
      </c>
      <c r="AL71" t="s">
        <v>19614</v>
      </c>
      <c r="AM71">
        <v>0</v>
      </c>
      <c r="AS71">
        <v>1</v>
      </c>
      <c r="AT71" t="s">
        <v>779</v>
      </c>
      <c r="AU71" t="s">
        <v>67</v>
      </c>
    </row>
    <row r="72" spans="1:48">
      <c r="A72" s="1">
        <f>HYPERLINK("https://lsnyc.legalserver.org/matter/dynamic-profile/view/1891491","19-1891491")</f>
        <v>0</v>
      </c>
      <c r="B72" t="s">
        <v>70</v>
      </c>
      <c r="C72" t="s">
        <v>256</v>
      </c>
      <c r="D72" t="s">
        <v>316</v>
      </c>
      <c r="F72" t="s">
        <v>1194</v>
      </c>
      <c r="G72" t="s">
        <v>3391</v>
      </c>
      <c r="H72" t="s">
        <v>5748</v>
      </c>
      <c r="I72" t="s">
        <v>8143</v>
      </c>
      <c r="J72" t="s">
        <v>9059</v>
      </c>
      <c r="K72">
        <v>11233</v>
      </c>
      <c r="L72" t="s">
        <v>9094</v>
      </c>
      <c r="M72" t="s">
        <v>9096</v>
      </c>
      <c r="N72" t="s">
        <v>9145</v>
      </c>
      <c r="O72" t="s">
        <v>11134</v>
      </c>
      <c r="P72" t="s">
        <v>11168</v>
      </c>
      <c r="R72" t="s">
        <v>11180</v>
      </c>
      <c r="S72" t="s">
        <v>9094</v>
      </c>
      <c r="T72" t="s">
        <v>11183</v>
      </c>
      <c r="U72" t="s">
        <v>11201</v>
      </c>
      <c r="V72" t="s">
        <v>482</v>
      </c>
      <c r="W72">
        <v>505</v>
      </c>
      <c r="X72" t="s">
        <v>11332</v>
      </c>
      <c r="Z72" t="s">
        <v>11420</v>
      </c>
      <c r="AC72">
        <v>359</v>
      </c>
      <c r="AD72" t="s">
        <v>19566</v>
      </c>
      <c r="AF72">
        <v>40</v>
      </c>
      <c r="AG72">
        <v>1</v>
      </c>
      <c r="AH72">
        <v>0</v>
      </c>
      <c r="AI72">
        <v>0</v>
      </c>
      <c r="AL72" t="s">
        <v>19614</v>
      </c>
      <c r="AM72">
        <v>0</v>
      </c>
      <c r="AN72" t="s">
        <v>19641</v>
      </c>
      <c r="AS72">
        <v>0</v>
      </c>
      <c r="AU72" t="s">
        <v>95</v>
      </c>
    </row>
    <row r="73" spans="1:48">
      <c r="A73" s="1">
        <f>HYPERLINK("https://lsnyc.legalserver.org/matter/dynamic-profile/view/1891507","19-1891507")</f>
        <v>0</v>
      </c>
      <c r="B73" t="s">
        <v>70</v>
      </c>
      <c r="C73" t="s">
        <v>256</v>
      </c>
      <c r="D73" t="s">
        <v>316</v>
      </c>
      <c r="F73" t="s">
        <v>1195</v>
      </c>
      <c r="G73" t="s">
        <v>1575</v>
      </c>
      <c r="H73" t="s">
        <v>5748</v>
      </c>
      <c r="I73" t="s">
        <v>8131</v>
      </c>
      <c r="J73" t="s">
        <v>9059</v>
      </c>
      <c r="K73">
        <v>11233</v>
      </c>
      <c r="L73" t="s">
        <v>9094</v>
      </c>
      <c r="M73" t="s">
        <v>9096</v>
      </c>
      <c r="N73" t="s">
        <v>9145</v>
      </c>
      <c r="O73" t="s">
        <v>11134</v>
      </c>
      <c r="P73" t="s">
        <v>11168</v>
      </c>
      <c r="R73" t="s">
        <v>11180</v>
      </c>
      <c r="S73" t="s">
        <v>9094</v>
      </c>
      <c r="T73" t="s">
        <v>11183</v>
      </c>
      <c r="U73" t="s">
        <v>11201</v>
      </c>
      <c r="V73" t="s">
        <v>482</v>
      </c>
      <c r="W73">
        <v>0</v>
      </c>
      <c r="X73" t="s">
        <v>11332</v>
      </c>
      <c r="Z73" t="s">
        <v>11421</v>
      </c>
      <c r="AC73">
        <v>359</v>
      </c>
      <c r="AD73" t="s">
        <v>19566</v>
      </c>
      <c r="AF73">
        <v>14</v>
      </c>
      <c r="AG73">
        <v>1</v>
      </c>
      <c r="AH73">
        <v>0</v>
      </c>
      <c r="AI73">
        <v>0</v>
      </c>
      <c r="AL73" t="s">
        <v>19614</v>
      </c>
      <c r="AM73">
        <v>0</v>
      </c>
      <c r="AN73" t="s">
        <v>19641</v>
      </c>
      <c r="AS73">
        <v>0</v>
      </c>
      <c r="AU73" t="s">
        <v>95</v>
      </c>
    </row>
    <row r="74" spans="1:48">
      <c r="A74" s="1">
        <f>HYPERLINK("https://lsnyc.legalserver.org/matter/dynamic-profile/view/1897167","19-1897167")</f>
        <v>0</v>
      </c>
      <c r="B74" t="s">
        <v>70</v>
      </c>
      <c r="C74" t="s">
        <v>256</v>
      </c>
      <c r="D74" t="s">
        <v>317</v>
      </c>
      <c r="F74" t="s">
        <v>1196</v>
      </c>
      <c r="G74" t="s">
        <v>3392</v>
      </c>
      <c r="H74" t="s">
        <v>5749</v>
      </c>
      <c r="I74" t="s">
        <v>8144</v>
      </c>
      <c r="J74" t="s">
        <v>9059</v>
      </c>
      <c r="K74">
        <v>11233</v>
      </c>
      <c r="L74" t="s">
        <v>9094</v>
      </c>
      <c r="M74" t="s">
        <v>9096</v>
      </c>
      <c r="N74" t="s">
        <v>9146</v>
      </c>
      <c r="O74" t="s">
        <v>11134</v>
      </c>
      <c r="P74" t="s">
        <v>11168</v>
      </c>
      <c r="R74" t="s">
        <v>11180</v>
      </c>
      <c r="S74" t="s">
        <v>9094</v>
      </c>
      <c r="T74" t="s">
        <v>11183</v>
      </c>
      <c r="U74" t="s">
        <v>11201</v>
      </c>
      <c r="V74" t="s">
        <v>482</v>
      </c>
      <c r="W74">
        <v>1294.06</v>
      </c>
      <c r="X74" t="s">
        <v>11332</v>
      </c>
      <c r="Y74" t="s">
        <v>11157</v>
      </c>
      <c r="Z74" t="s">
        <v>11422</v>
      </c>
      <c r="AC74">
        <v>359</v>
      </c>
      <c r="AD74" t="s">
        <v>19566</v>
      </c>
      <c r="AE74" t="s">
        <v>9144</v>
      </c>
      <c r="AF74">
        <v>27</v>
      </c>
      <c r="AG74">
        <v>1</v>
      </c>
      <c r="AH74">
        <v>0</v>
      </c>
      <c r="AI74">
        <v>0</v>
      </c>
      <c r="AL74" t="s">
        <v>19614</v>
      </c>
      <c r="AM74">
        <v>0</v>
      </c>
      <c r="AN74" t="s">
        <v>19642</v>
      </c>
      <c r="AS74">
        <v>0</v>
      </c>
      <c r="AU74" t="s">
        <v>79</v>
      </c>
    </row>
    <row r="75" spans="1:48">
      <c r="A75" s="1">
        <f>HYPERLINK("https://lsnyc.legalserver.org/matter/dynamic-profile/view/1897185","19-1897185")</f>
        <v>0</v>
      </c>
      <c r="B75" t="s">
        <v>70</v>
      </c>
      <c r="C75" t="s">
        <v>256</v>
      </c>
      <c r="D75" t="s">
        <v>317</v>
      </c>
      <c r="F75" t="s">
        <v>1197</v>
      </c>
      <c r="G75" t="s">
        <v>1193</v>
      </c>
      <c r="H75" t="s">
        <v>5749</v>
      </c>
      <c r="I75" t="s">
        <v>8140</v>
      </c>
      <c r="J75" t="s">
        <v>9059</v>
      </c>
      <c r="K75">
        <v>11233</v>
      </c>
      <c r="L75" t="s">
        <v>9094</v>
      </c>
      <c r="M75" t="s">
        <v>9096</v>
      </c>
      <c r="N75" t="s">
        <v>9146</v>
      </c>
      <c r="O75" t="s">
        <v>11134</v>
      </c>
      <c r="P75" t="s">
        <v>11168</v>
      </c>
      <c r="R75" t="s">
        <v>11180</v>
      </c>
      <c r="S75" t="s">
        <v>9094</v>
      </c>
      <c r="T75" t="s">
        <v>11183</v>
      </c>
      <c r="U75" t="s">
        <v>11201</v>
      </c>
      <c r="V75" t="s">
        <v>482</v>
      </c>
      <c r="W75">
        <v>1014</v>
      </c>
      <c r="X75" t="s">
        <v>11332</v>
      </c>
      <c r="Y75" t="s">
        <v>11157</v>
      </c>
      <c r="Z75" t="s">
        <v>11423</v>
      </c>
      <c r="AC75">
        <v>359</v>
      </c>
      <c r="AD75" t="s">
        <v>19566</v>
      </c>
      <c r="AF75">
        <v>30</v>
      </c>
      <c r="AG75">
        <v>1</v>
      </c>
      <c r="AH75">
        <v>0</v>
      </c>
      <c r="AI75">
        <v>0</v>
      </c>
      <c r="AL75" t="s">
        <v>19614</v>
      </c>
      <c r="AM75">
        <v>0</v>
      </c>
      <c r="AN75" t="s">
        <v>19643</v>
      </c>
      <c r="AS75">
        <v>0</v>
      </c>
      <c r="AU75" t="s">
        <v>79</v>
      </c>
    </row>
    <row r="76" spans="1:48">
      <c r="A76" s="1">
        <f>HYPERLINK("https://lsnyc.legalserver.org/matter/dynamic-profile/view/1897195","19-1897195")</f>
        <v>0</v>
      </c>
      <c r="B76" t="s">
        <v>70</v>
      </c>
      <c r="C76" t="s">
        <v>256</v>
      </c>
      <c r="D76" t="s">
        <v>317</v>
      </c>
      <c r="F76" t="s">
        <v>1198</v>
      </c>
      <c r="G76" t="s">
        <v>3393</v>
      </c>
      <c r="H76" t="s">
        <v>5750</v>
      </c>
      <c r="I76" t="s">
        <v>8145</v>
      </c>
      <c r="J76" t="s">
        <v>9059</v>
      </c>
      <c r="K76">
        <v>11233</v>
      </c>
      <c r="L76" t="s">
        <v>9094</v>
      </c>
      <c r="M76" t="s">
        <v>9096</v>
      </c>
      <c r="N76" t="s">
        <v>9145</v>
      </c>
      <c r="O76" t="s">
        <v>11134</v>
      </c>
      <c r="P76" t="s">
        <v>11168</v>
      </c>
      <c r="R76" t="s">
        <v>11180</v>
      </c>
      <c r="S76" t="s">
        <v>9094</v>
      </c>
      <c r="T76" t="s">
        <v>11183</v>
      </c>
      <c r="U76" t="s">
        <v>11201</v>
      </c>
      <c r="V76" t="s">
        <v>482</v>
      </c>
      <c r="W76">
        <v>0</v>
      </c>
      <c r="X76" t="s">
        <v>11332</v>
      </c>
      <c r="Y76" t="s">
        <v>11157</v>
      </c>
      <c r="Z76" t="s">
        <v>11424</v>
      </c>
      <c r="AC76">
        <v>359</v>
      </c>
      <c r="AD76" t="s">
        <v>19566</v>
      </c>
      <c r="AF76">
        <v>20</v>
      </c>
      <c r="AG76">
        <v>1</v>
      </c>
      <c r="AH76">
        <v>0</v>
      </c>
      <c r="AI76">
        <v>0</v>
      </c>
      <c r="AL76" t="s">
        <v>19614</v>
      </c>
      <c r="AM76">
        <v>0</v>
      </c>
      <c r="AN76" t="s">
        <v>19642</v>
      </c>
      <c r="AS76">
        <v>0</v>
      </c>
      <c r="AU76" t="s">
        <v>79</v>
      </c>
    </row>
    <row r="77" spans="1:48">
      <c r="A77" s="1">
        <f>HYPERLINK("https://lsnyc.legalserver.org/matter/dynamic-profile/view/1897528","19-1897528")</f>
        <v>0</v>
      </c>
      <c r="B77" t="s">
        <v>70</v>
      </c>
      <c r="C77" t="s">
        <v>256</v>
      </c>
      <c r="D77" t="s">
        <v>318</v>
      </c>
      <c r="F77" t="s">
        <v>1199</v>
      </c>
      <c r="G77" t="s">
        <v>3394</v>
      </c>
      <c r="H77" t="s">
        <v>5749</v>
      </c>
      <c r="I77" t="s">
        <v>8146</v>
      </c>
      <c r="J77" t="s">
        <v>9059</v>
      </c>
      <c r="K77">
        <v>11233</v>
      </c>
      <c r="L77" t="s">
        <v>9094</v>
      </c>
      <c r="M77" t="s">
        <v>9096</v>
      </c>
      <c r="N77" t="s">
        <v>9146</v>
      </c>
      <c r="O77" t="s">
        <v>11134</v>
      </c>
      <c r="P77" t="s">
        <v>11168</v>
      </c>
      <c r="R77" t="s">
        <v>11180</v>
      </c>
      <c r="S77" t="s">
        <v>9094</v>
      </c>
      <c r="T77" t="s">
        <v>11183</v>
      </c>
      <c r="U77" t="s">
        <v>11201</v>
      </c>
      <c r="V77" t="s">
        <v>482</v>
      </c>
      <c r="W77">
        <v>976.08</v>
      </c>
      <c r="X77" t="s">
        <v>11332</v>
      </c>
      <c r="Y77" t="s">
        <v>11342</v>
      </c>
      <c r="Z77" t="s">
        <v>11425</v>
      </c>
      <c r="AC77">
        <v>359</v>
      </c>
      <c r="AD77" t="s">
        <v>19566</v>
      </c>
      <c r="AF77">
        <v>0</v>
      </c>
      <c r="AG77">
        <v>1</v>
      </c>
      <c r="AH77">
        <v>0</v>
      </c>
      <c r="AI77">
        <v>0</v>
      </c>
      <c r="AL77" t="s">
        <v>19614</v>
      </c>
      <c r="AM77">
        <v>0</v>
      </c>
      <c r="AN77" t="s">
        <v>19644</v>
      </c>
      <c r="AS77">
        <v>0</v>
      </c>
      <c r="AU77" t="s">
        <v>95</v>
      </c>
    </row>
    <row r="78" spans="1:48">
      <c r="A78" s="1">
        <f>HYPERLINK("https://lsnyc.legalserver.org/matter/dynamic-profile/view/1901993","19-1901993")</f>
        <v>0</v>
      </c>
      <c r="B78" t="s">
        <v>70</v>
      </c>
      <c r="C78" t="s">
        <v>256</v>
      </c>
      <c r="D78" t="s">
        <v>319</v>
      </c>
      <c r="F78" t="s">
        <v>1200</v>
      </c>
      <c r="G78" t="s">
        <v>3395</v>
      </c>
      <c r="H78" t="s">
        <v>5748</v>
      </c>
      <c r="I78" t="s">
        <v>8147</v>
      </c>
      <c r="J78" t="s">
        <v>9059</v>
      </c>
      <c r="K78">
        <v>11233</v>
      </c>
      <c r="L78" t="s">
        <v>9094</v>
      </c>
      <c r="M78" t="s">
        <v>9095</v>
      </c>
      <c r="N78" t="s">
        <v>9145</v>
      </c>
      <c r="O78" t="s">
        <v>11134</v>
      </c>
      <c r="P78" t="s">
        <v>11168</v>
      </c>
      <c r="R78" t="s">
        <v>11180</v>
      </c>
      <c r="S78" t="s">
        <v>9094</v>
      </c>
      <c r="T78" t="s">
        <v>11183</v>
      </c>
      <c r="U78" t="s">
        <v>11201</v>
      </c>
      <c r="V78" t="s">
        <v>482</v>
      </c>
      <c r="W78">
        <v>840</v>
      </c>
      <c r="X78" t="s">
        <v>11332</v>
      </c>
      <c r="Y78" t="s">
        <v>11157</v>
      </c>
      <c r="Z78" t="s">
        <v>11426</v>
      </c>
      <c r="AC78">
        <v>359</v>
      </c>
      <c r="AD78" t="s">
        <v>19566</v>
      </c>
      <c r="AF78">
        <v>9</v>
      </c>
      <c r="AG78">
        <v>1</v>
      </c>
      <c r="AH78">
        <v>0</v>
      </c>
      <c r="AI78">
        <v>0</v>
      </c>
      <c r="AL78" t="s">
        <v>19614</v>
      </c>
      <c r="AM78">
        <v>0</v>
      </c>
      <c r="AN78" t="s">
        <v>19642</v>
      </c>
      <c r="AS78">
        <v>0</v>
      </c>
      <c r="AU78" t="s">
        <v>79</v>
      </c>
      <c r="AV78" t="s">
        <v>9144</v>
      </c>
    </row>
    <row r="79" spans="1:48">
      <c r="A79" s="1">
        <f>HYPERLINK("https://lsnyc.legalserver.org/matter/dynamic-profile/view/1902020","19-1902020")</f>
        <v>0</v>
      </c>
      <c r="B79" t="s">
        <v>70</v>
      </c>
      <c r="C79" t="s">
        <v>256</v>
      </c>
      <c r="D79" t="s">
        <v>319</v>
      </c>
      <c r="F79" t="s">
        <v>1201</v>
      </c>
      <c r="G79" t="s">
        <v>2212</v>
      </c>
      <c r="H79" t="s">
        <v>5748</v>
      </c>
      <c r="I79" t="s">
        <v>8148</v>
      </c>
      <c r="J79" t="s">
        <v>9059</v>
      </c>
      <c r="K79">
        <v>11233</v>
      </c>
      <c r="L79" t="s">
        <v>9094</v>
      </c>
      <c r="M79" t="s">
        <v>9095</v>
      </c>
      <c r="N79" t="s">
        <v>9145</v>
      </c>
      <c r="O79" t="s">
        <v>11134</v>
      </c>
      <c r="P79" t="s">
        <v>11168</v>
      </c>
      <c r="R79" t="s">
        <v>11180</v>
      </c>
      <c r="S79" t="s">
        <v>9094</v>
      </c>
      <c r="T79" t="s">
        <v>11183</v>
      </c>
      <c r="U79" t="s">
        <v>11201</v>
      </c>
      <c r="V79" t="s">
        <v>482</v>
      </c>
      <c r="W79">
        <v>1126</v>
      </c>
      <c r="X79" t="s">
        <v>11332</v>
      </c>
      <c r="Y79" t="s">
        <v>11157</v>
      </c>
      <c r="Z79" t="s">
        <v>11427</v>
      </c>
      <c r="AC79">
        <v>359</v>
      </c>
      <c r="AD79" t="s">
        <v>19566</v>
      </c>
      <c r="AF79">
        <v>45</v>
      </c>
      <c r="AG79">
        <v>1</v>
      </c>
      <c r="AH79">
        <v>0</v>
      </c>
      <c r="AI79">
        <v>0</v>
      </c>
      <c r="AL79" t="s">
        <v>19614</v>
      </c>
      <c r="AM79">
        <v>0</v>
      </c>
      <c r="AN79" t="s">
        <v>19642</v>
      </c>
      <c r="AS79">
        <v>0</v>
      </c>
      <c r="AU79" t="s">
        <v>79</v>
      </c>
      <c r="AV79" t="s">
        <v>9144</v>
      </c>
    </row>
    <row r="80" spans="1:48">
      <c r="A80" s="1">
        <f>HYPERLINK("https://lsnyc.legalserver.org/matter/dynamic-profile/view/1910536","19-1910536")</f>
        <v>0</v>
      </c>
      <c r="B80" t="s">
        <v>70</v>
      </c>
      <c r="C80" t="s">
        <v>256</v>
      </c>
      <c r="D80" t="s">
        <v>320</v>
      </c>
      <c r="F80" t="s">
        <v>1202</v>
      </c>
      <c r="G80" t="s">
        <v>3396</v>
      </c>
      <c r="H80" t="s">
        <v>5749</v>
      </c>
      <c r="J80" t="s">
        <v>9059</v>
      </c>
      <c r="K80">
        <v>11233</v>
      </c>
      <c r="L80" t="s">
        <v>9094</v>
      </c>
      <c r="M80" t="s">
        <v>9095</v>
      </c>
      <c r="N80" t="s">
        <v>9147</v>
      </c>
      <c r="O80" t="s">
        <v>11134</v>
      </c>
      <c r="P80" t="s">
        <v>11168</v>
      </c>
      <c r="R80" t="s">
        <v>11180</v>
      </c>
      <c r="S80" t="s">
        <v>9094</v>
      </c>
      <c r="T80" t="s">
        <v>11183</v>
      </c>
      <c r="U80" t="s">
        <v>11201</v>
      </c>
      <c r="V80" t="s">
        <v>11207</v>
      </c>
      <c r="W80">
        <v>0</v>
      </c>
      <c r="X80" t="s">
        <v>11332</v>
      </c>
      <c r="Y80" t="s">
        <v>11339</v>
      </c>
      <c r="Z80" t="s">
        <v>11428</v>
      </c>
      <c r="AA80" t="s">
        <v>9171</v>
      </c>
      <c r="AC80">
        <v>1107</v>
      </c>
      <c r="AD80" t="s">
        <v>19566</v>
      </c>
      <c r="AE80" t="s">
        <v>11157</v>
      </c>
      <c r="AF80">
        <v>0</v>
      </c>
      <c r="AG80">
        <v>4</v>
      </c>
      <c r="AH80">
        <v>0</v>
      </c>
      <c r="AI80">
        <v>0</v>
      </c>
      <c r="AL80" t="s">
        <v>19614</v>
      </c>
      <c r="AM80">
        <v>0</v>
      </c>
      <c r="AN80" t="s">
        <v>19645</v>
      </c>
      <c r="AS80">
        <v>0</v>
      </c>
      <c r="AU80" t="s">
        <v>95</v>
      </c>
      <c r="AV80" t="s">
        <v>9144</v>
      </c>
    </row>
    <row r="81" spans="1:48">
      <c r="A81" s="1">
        <f>HYPERLINK("https://lsnyc.legalserver.org/matter/dynamic-profile/view/1915251","19-1915251")</f>
        <v>0</v>
      </c>
      <c r="B81" t="s">
        <v>70</v>
      </c>
      <c r="C81" t="s">
        <v>256</v>
      </c>
      <c r="D81" t="s">
        <v>321</v>
      </c>
      <c r="F81" t="s">
        <v>1203</v>
      </c>
      <c r="G81" t="s">
        <v>3397</v>
      </c>
      <c r="H81" t="s">
        <v>5749</v>
      </c>
      <c r="I81" t="s">
        <v>8149</v>
      </c>
      <c r="J81" t="s">
        <v>9059</v>
      </c>
      <c r="K81">
        <v>11233</v>
      </c>
      <c r="L81" t="s">
        <v>9094</v>
      </c>
      <c r="M81" t="s">
        <v>9095</v>
      </c>
      <c r="N81" t="s">
        <v>9146</v>
      </c>
      <c r="O81" t="s">
        <v>11134</v>
      </c>
      <c r="P81" t="s">
        <v>11168</v>
      </c>
      <c r="R81" t="s">
        <v>11180</v>
      </c>
      <c r="S81" t="s">
        <v>9094</v>
      </c>
      <c r="T81" t="s">
        <v>11183</v>
      </c>
      <c r="U81" t="s">
        <v>11201</v>
      </c>
      <c r="V81" t="s">
        <v>321</v>
      </c>
      <c r="W81">
        <v>1066.79</v>
      </c>
      <c r="X81" t="s">
        <v>11332</v>
      </c>
      <c r="Z81" t="s">
        <v>11429</v>
      </c>
      <c r="AA81" t="s">
        <v>15285</v>
      </c>
      <c r="AC81">
        <v>715</v>
      </c>
      <c r="AD81" t="s">
        <v>19566</v>
      </c>
      <c r="AE81" t="s">
        <v>9144</v>
      </c>
      <c r="AF81">
        <v>33</v>
      </c>
      <c r="AG81">
        <v>1</v>
      </c>
      <c r="AH81">
        <v>0</v>
      </c>
      <c r="AI81">
        <v>0</v>
      </c>
      <c r="AL81" t="s">
        <v>19614</v>
      </c>
      <c r="AM81">
        <v>0</v>
      </c>
      <c r="AN81" t="s">
        <v>19646</v>
      </c>
      <c r="AS81">
        <v>0</v>
      </c>
      <c r="AU81" t="s">
        <v>95</v>
      </c>
      <c r="AV81" t="s">
        <v>9144</v>
      </c>
    </row>
    <row r="82" spans="1:48">
      <c r="A82" s="1">
        <f>HYPERLINK("https://lsnyc.legalserver.org/matter/dynamic-profile/view/1865133","18-1865133")</f>
        <v>0</v>
      </c>
      <c r="B82" t="s">
        <v>64</v>
      </c>
      <c r="C82" t="s">
        <v>256</v>
      </c>
      <c r="D82" t="s">
        <v>322</v>
      </c>
      <c r="F82" t="s">
        <v>1204</v>
      </c>
      <c r="G82" t="s">
        <v>3398</v>
      </c>
      <c r="H82" t="s">
        <v>5751</v>
      </c>
      <c r="I82" t="s">
        <v>8141</v>
      </c>
      <c r="J82" t="s">
        <v>9059</v>
      </c>
      <c r="K82">
        <v>11233</v>
      </c>
      <c r="L82" t="s">
        <v>9094</v>
      </c>
      <c r="M82" t="s">
        <v>9095</v>
      </c>
      <c r="N82" t="s">
        <v>9148</v>
      </c>
      <c r="O82" t="s">
        <v>11128</v>
      </c>
      <c r="P82" t="s">
        <v>11165</v>
      </c>
      <c r="R82" t="s">
        <v>11180</v>
      </c>
      <c r="T82" t="s">
        <v>11183</v>
      </c>
      <c r="V82" t="s">
        <v>673</v>
      </c>
      <c r="W82">
        <v>173.52</v>
      </c>
      <c r="X82" t="s">
        <v>11332</v>
      </c>
      <c r="Y82" t="s">
        <v>11344</v>
      </c>
      <c r="Z82" t="s">
        <v>11430</v>
      </c>
      <c r="AB82" t="s">
        <v>15950</v>
      </c>
      <c r="AC82">
        <v>6</v>
      </c>
      <c r="AE82" t="s">
        <v>9144</v>
      </c>
      <c r="AF82">
        <v>42</v>
      </c>
      <c r="AG82">
        <v>1</v>
      </c>
      <c r="AH82">
        <v>0</v>
      </c>
      <c r="AI82">
        <v>0</v>
      </c>
      <c r="AL82" t="s">
        <v>19614</v>
      </c>
      <c r="AM82">
        <v>0</v>
      </c>
      <c r="AS82">
        <v>77.8</v>
      </c>
      <c r="AT82" t="s">
        <v>632</v>
      </c>
      <c r="AU82" t="s">
        <v>20626</v>
      </c>
    </row>
    <row r="83" spans="1:48">
      <c r="A83" s="1">
        <f>HYPERLINK("https://lsnyc.legalserver.org/matter/dynamic-profile/view/1882574","18-1882574")</f>
        <v>0</v>
      </c>
      <c r="B83" t="s">
        <v>66</v>
      </c>
      <c r="C83" t="s">
        <v>256</v>
      </c>
      <c r="D83" t="s">
        <v>323</v>
      </c>
      <c r="F83" t="s">
        <v>1205</v>
      </c>
      <c r="G83" t="s">
        <v>3399</v>
      </c>
      <c r="H83" t="s">
        <v>5752</v>
      </c>
      <c r="I83" t="s">
        <v>8150</v>
      </c>
      <c r="J83" t="s">
        <v>9059</v>
      </c>
      <c r="K83">
        <v>11233</v>
      </c>
      <c r="L83" t="s">
        <v>9094</v>
      </c>
      <c r="M83" t="s">
        <v>9094</v>
      </c>
      <c r="N83" t="s">
        <v>9149</v>
      </c>
      <c r="O83" t="s">
        <v>11128</v>
      </c>
      <c r="P83" t="s">
        <v>11165</v>
      </c>
      <c r="R83" t="s">
        <v>11180</v>
      </c>
      <c r="S83" t="s">
        <v>9096</v>
      </c>
      <c r="T83" t="s">
        <v>11183</v>
      </c>
      <c r="U83" t="s">
        <v>11202</v>
      </c>
      <c r="V83" t="s">
        <v>11208</v>
      </c>
      <c r="W83">
        <v>800</v>
      </c>
      <c r="X83" t="s">
        <v>11332</v>
      </c>
      <c r="Y83" t="s">
        <v>11336</v>
      </c>
      <c r="Z83" t="s">
        <v>11431</v>
      </c>
      <c r="AA83">
        <v>88034031</v>
      </c>
      <c r="AB83" t="s">
        <v>15951</v>
      </c>
      <c r="AC83">
        <v>2</v>
      </c>
      <c r="AD83" t="s">
        <v>19565</v>
      </c>
      <c r="AE83" t="s">
        <v>19583</v>
      </c>
      <c r="AF83">
        <v>2</v>
      </c>
      <c r="AG83">
        <v>1</v>
      </c>
      <c r="AH83">
        <v>0</v>
      </c>
      <c r="AI83">
        <v>0</v>
      </c>
      <c r="AL83" t="s">
        <v>19615</v>
      </c>
      <c r="AM83">
        <v>0</v>
      </c>
      <c r="AN83" t="s">
        <v>19647</v>
      </c>
      <c r="AS83">
        <v>1</v>
      </c>
      <c r="AT83" t="s">
        <v>358</v>
      </c>
      <c r="AU83" t="s">
        <v>95</v>
      </c>
    </row>
    <row r="84" spans="1:48">
      <c r="A84" s="1">
        <f>HYPERLINK("https://lsnyc.legalserver.org/matter/dynamic-profile/view/1887122","19-1887122")</f>
        <v>0</v>
      </c>
      <c r="B84" t="s">
        <v>71</v>
      </c>
      <c r="C84" t="s">
        <v>256</v>
      </c>
      <c r="D84" t="s">
        <v>324</v>
      </c>
      <c r="F84" t="s">
        <v>1206</v>
      </c>
      <c r="G84" t="s">
        <v>3400</v>
      </c>
      <c r="H84" t="s">
        <v>5753</v>
      </c>
      <c r="J84" t="s">
        <v>9059</v>
      </c>
      <c r="K84">
        <v>11233</v>
      </c>
      <c r="L84" t="s">
        <v>9094</v>
      </c>
      <c r="M84" t="s">
        <v>9094</v>
      </c>
      <c r="N84" t="s">
        <v>9150</v>
      </c>
      <c r="O84" t="s">
        <v>11128</v>
      </c>
      <c r="P84" t="s">
        <v>11165</v>
      </c>
      <c r="R84" t="s">
        <v>11180</v>
      </c>
      <c r="S84" t="s">
        <v>9096</v>
      </c>
      <c r="T84" t="s">
        <v>11183</v>
      </c>
      <c r="U84" t="s">
        <v>11201</v>
      </c>
      <c r="V84" t="s">
        <v>582</v>
      </c>
      <c r="W84">
        <v>525</v>
      </c>
      <c r="X84" t="s">
        <v>11332</v>
      </c>
      <c r="Y84" t="s">
        <v>11345</v>
      </c>
      <c r="Z84" t="s">
        <v>11432</v>
      </c>
      <c r="AA84" t="s">
        <v>9144</v>
      </c>
      <c r="AB84" t="s">
        <v>15952</v>
      </c>
      <c r="AC84">
        <v>3</v>
      </c>
      <c r="AD84" t="s">
        <v>19565</v>
      </c>
      <c r="AE84" t="s">
        <v>9144</v>
      </c>
      <c r="AF84">
        <v>12</v>
      </c>
      <c r="AG84">
        <v>1</v>
      </c>
      <c r="AH84">
        <v>0</v>
      </c>
      <c r="AI84">
        <v>0</v>
      </c>
      <c r="AL84" t="s">
        <v>19614</v>
      </c>
      <c r="AM84">
        <v>0</v>
      </c>
      <c r="AS84">
        <v>108.8</v>
      </c>
      <c r="AT84" t="s">
        <v>669</v>
      </c>
      <c r="AU84" t="s">
        <v>79</v>
      </c>
      <c r="AV84" t="s">
        <v>20733</v>
      </c>
    </row>
    <row r="85" spans="1:48">
      <c r="A85" s="1">
        <f>HYPERLINK("https://lsnyc.legalserver.org/matter/dynamic-profile/view/1888792","19-1888792")</f>
        <v>0</v>
      </c>
      <c r="B85" t="s">
        <v>72</v>
      </c>
      <c r="C85" t="s">
        <v>256</v>
      </c>
      <c r="D85" t="s">
        <v>325</v>
      </c>
      <c r="F85" t="s">
        <v>1207</v>
      </c>
      <c r="G85" t="s">
        <v>3401</v>
      </c>
      <c r="H85" t="s">
        <v>5754</v>
      </c>
      <c r="I85">
        <v>1</v>
      </c>
      <c r="J85" t="s">
        <v>9059</v>
      </c>
      <c r="K85">
        <v>11233</v>
      </c>
      <c r="L85" t="s">
        <v>9094</v>
      </c>
      <c r="M85" t="s">
        <v>9094</v>
      </c>
      <c r="N85" t="s">
        <v>9151</v>
      </c>
      <c r="O85" t="s">
        <v>11128</v>
      </c>
      <c r="P85" t="s">
        <v>11164</v>
      </c>
      <c r="R85" t="s">
        <v>11180</v>
      </c>
      <c r="S85" t="s">
        <v>9096</v>
      </c>
      <c r="T85" t="s">
        <v>11183</v>
      </c>
      <c r="U85" t="s">
        <v>11200</v>
      </c>
      <c r="V85" t="s">
        <v>325</v>
      </c>
      <c r="W85">
        <v>0</v>
      </c>
      <c r="X85" t="s">
        <v>11332</v>
      </c>
      <c r="Z85" t="s">
        <v>11422</v>
      </c>
      <c r="AA85" t="s">
        <v>15286</v>
      </c>
      <c r="AC85">
        <v>0</v>
      </c>
      <c r="AD85" t="s">
        <v>19565</v>
      </c>
      <c r="AE85" t="s">
        <v>19580</v>
      </c>
      <c r="AF85">
        <v>0</v>
      </c>
      <c r="AG85">
        <v>2</v>
      </c>
      <c r="AH85">
        <v>3</v>
      </c>
      <c r="AI85">
        <v>0</v>
      </c>
      <c r="AL85" t="s">
        <v>19614</v>
      </c>
      <c r="AM85">
        <v>0</v>
      </c>
      <c r="AS85">
        <v>1.5</v>
      </c>
      <c r="AT85" t="s">
        <v>784</v>
      </c>
      <c r="AU85" t="s">
        <v>79</v>
      </c>
      <c r="AV85" t="s">
        <v>20733</v>
      </c>
    </row>
    <row r="86" spans="1:48">
      <c r="A86" s="1">
        <f>HYPERLINK("https://lsnyc.legalserver.org/matter/dynamic-profile/view/1902025","19-1902025")</f>
        <v>0</v>
      </c>
      <c r="B86" t="s">
        <v>73</v>
      </c>
      <c r="C86" t="s">
        <v>256</v>
      </c>
      <c r="D86" t="s">
        <v>319</v>
      </c>
      <c r="F86" t="s">
        <v>1208</v>
      </c>
      <c r="G86" t="s">
        <v>3402</v>
      </c>
      <c r="H86" t="s">
        <v>5753</v>
      </c>
      <c r="I86">
        <v>2</v>
      </c>
      <c r="J86" t="s">
        <v>9059</v>
      </c>
      <c r="K86">
        <v>11233</v>
      </c>
      <c r="L86" t="s">
        <v>9094</v>
      </c>
      <c r="M86" t="s">
        <v>9095</v>
      </c>
      <c r="N86" t="s">
        <v>9152</v>
      </c>
      <c r="O86" t="s">
        <v>11128</v>
      </c>
      <c r="P86" t="s">
        <v>11165</v>
      </c>
      <c r="R86" t="s">
        <v>11180</v>
      </c>
      <c r="S86" t="s">
        <v>9096</v>
      </c>
      <c r="T86" t="s">
        <v>11183</v>
      </c>
      <c r="U86" t="s">
        <v>11201</v>
      </c>
      <c r="V86" t="s">
        <v>582</v>
      </c>
      <c r="W86">
        <v>525</v>
      </c>
      <c r="X86" t="s">
        <v>11332</v>
      </c>
      <c r="Y86" t="s">
        <v>11338</v>
      </c>
      <c r="Z86" t="s">
        <v>11433</v>
      </c>
      <c r="AA86" t="s">
        <v>9171</v>
      </c>
      <c r="AB86" t="s">
        <v>15953</v>
      </c>
      <c r="AC86">
        <v>8</v>
      </c>
      <c r="AD86" t="s">
        <v>19566</v>
      </c>
      <c r="AE86" t="s">
        <v>9144</v>
      </c>
      <c r="AF86">
        <v>5</v>
      </c>
      <c r="AG86">
        <v>1</v>
      </c>
      <c r="AH86">
        <v>0</v>
      </c>
      <c r="AI86">
        <v>0</v>
      </c>
      <c r="AL86" t="s">
        <v>19614</v>
      </c>
      <c r="AM86">
        <v>0</v>
      </c>
      <c r="AS86">
        <v>0</v>
      </c>
      <c r="AU86" t="s">
        <v>95</v>
      </c>
      <c r="AV86" t="s">
        <v>20733</v>
      </c>
    </row>
    <row r="87" spans="1:48">
      <c r="A87" s="1">
        <f>HYPERLINK("https://lsnyc.legalserver.org/matter/dynamic-profile/view/1908740","19-1908740")</f>
        <v>0</v>
      </c>
      <c r="B87" t="s">
        <v>71</v>
      </c>
      <c r="C87" t="s">
        <v>257</v>
      </c>
      <c r="D87" t="s">
        <v>326</v>
      </c>
      <c r="E87" t="s">
        <v>483</v>
      </c>
      <c r="F87" t="s">
        <v>1187</v>
      </c>
      <c r="G87" t="s">
        <v>3403</v>
      </c>
      <c r="H87" t="s">
        <v>5755</v>
      </c>
      <c r="I87" t="s">
        <v>8151</v>
      </c>
      <c r="J87" t="s">
        <v>9059</v>
      </c>
      <c r="K87">
        <v>11233</v>
      </c>
      <c r="L87" t="s">
        <v>9094</v>
      </c>
      <c r="M87" t="s">
        <v>9095</v>
      </c>
      <c r="N87" t="s">
        <v>9153</v>
      </c>
      <c r="O87" t="s">
        <v>11128</v>
      </c>
      <c r="P87" t="s">
        <v>11165</v>
      </c>
      <c r="Q87" t="s">
        <v>11174</v>
      </c>
      <c r="R87" t="s">
        <v>11180</v>
      </c>
      <c r="S87" t="s">
        <v>9096</v>
      </c>
      <c r="T87" t="s">
        <v>11183</v>
      </c>
      <c r="U87" t="s">
        <v>11201</v>
      </c>
      <c r="V87" t="s">
        <v>435</v>
      </c>
      <c r="W87">
        <v>1129</v>
      </c>
      <c r="X87" t="s">
        <v>11332</v>
      </c>
      <c r="Y87" t="s">
        <v>11342</v>
      </c>
      <c r="Z87" t="s">
        <v>11434</v>
      </c>
      <c r="AA87" t="s">
        <v>9171</v>
      </c>
      <c r="AB87" t="s">
        <v>15954</v>
      </c>
      <c r="AC87">
        <v>8</v>
      </c>
      <c r="AD87" t="s">
        <v>19566</v>
      </c>
      <c r="AE87" t="s">
        <v>9144</v>
      </c>
      <c r="AF87">
        <v>3</v>
      </c>
      <c r="AG87">
        <v>1</v>
      </c>
      <c r="AH87">
        <v>0</v>
      </c>
      <c r="AI87">
        <v>0</v>
      </c>
      <c r="AL87" t="s">
        <v>19614</v>
      </c>
      <c r="AM87">
        <v>0</v>
      </c>
      <c r="AS87">
        <v>2.7</v>
      </c>
      <c r="AT87" t="s">
        <v>483</v>
      </c>
      <c r="AU87" t="s">
        <v>95</v>
      </c>
      <c r="AV87" t="s">
        <v>20733</v>
      </c>
    </row>
    <row r="88" spans="1:48">
      <c r="A88" s="1">
        <f>HYPERLINK("https://lsnyc.legalserver.org/matter/dynamic-profile/view/1902656","19-1902656")</f>
        <v>0</v>
      </c>
      <c r="B88" t="s">
        <v>74</v>
      </c>
      <c r="C88" t="s">
        <v>256</v>
      </c>
      <c r="D88" t="s">
        <v>327</v>
      </c>
      <c r="F88" t="s">
        <v>1138</v>
      </c>
      <c r="G88" t="s">
        <v>3404</v>
      </c>
      <c r="H88" t="s">
        <v>5756</v>
      </c>
      <c r="I88" t="s">
        <v>8112</v>
      </c>
      <c r="J88" t="s">
        <v>9059</v>
      </c>
      <c r="K88">
        <v>11233</v>
      </c>
      <c r="L88" t="s">
        <v>9094</v>
      </c>
      <c r="M88" t="s">
        <v>9095</v>
      </c>
      <c r="N88" t="s">
        <v>9144</v>
      </c>
      <c r="O88" t="s">
        <v>9121</v>
      </c>
      <c r="R88" t="s">
        <v>11180</v>
      </c>
      <c r="S88" t="s">
        <v>9096</v>
      </c>
      <c r="T88" t="s">
        <v>11183</v>
      </c>
      <c r="U88" t="s">
        <v>11201</v>
      </c>
      <c r="W88">
        <v>333</v>
      </c>
      <c r="X88" t="s">
        <v>11332</v>
      </c>
      <c r="Y88" t="s">
        <v>11341</v>
      </c>
      <c r="Z88" t="s">
        <v>11435</v>
      </c>
      <c r="AA88" t="s">
        <v>15287</v>
      </c>
      <c r="AB88" t="s">
        <v>15955</v>
      </c>
      <c r="AC88">
        <v>6</v>
      </c>
      <c r="AD88" t="s">
        <v>19565</v>
      </c>
      <c r="AE88" t="s">
        <v>19580</v>
      </c>
      <c r="AF88">
        <v>10</v>
      </c>
      <c r="AG88">
        <v>1</v>
      </c>
      <c r="AH88">
        <v>0</v>
      </c>
      <c r="AI88">
        <v>0</v>
      </c>
      <c r="AL88" t="s">
        <v>19614</v>
      </c>
      <c r="AM88">
        <v>0</v>
      </c>
      <c r="AS88">
        <v>5</v>
      </c>
      <c r="AT88" t="s">
        <v>403</v>
      </c>
      <c r="AU88" t="s">
        <v>95</v>
      </c>
      <c r="AV88" t="s">
        <v>20733</v>
      </c>
    </row>
    <row r="89" spans="1:48">
      <c r="A89" s="1">
        <f>HYPERLINK("https://lsnyc.legalserver.org/matter/dynamic-profile/view/1905738","19-1905738")</f>
        <v>0</v>
      </c>
      <c r="B89" t="s">
        <v>75</v>
      </c>
      <c r="C89" t="s">
        <v>257</v>
      </c>
      <c r="D89" t="s">
        <v>328</v>
      </c>
      <c r="E89" t="s">
        <v>1130</v>
      </c>
      <c r="F89" t="s">
        <v>1209</v>
      </c>
      <c r="G89" t="s">
        <v>3405</v>
      </c>
      <c r="H89" t="s">
        <v>5757</v>
      </c>
      <c r="I89" t="s">
        <v>8151</v>
      </c>
      <c r="J89" t="s">
        <v>9059</v>
      </c>
      <c r="K89">
        <v>11233</v>
      </c>
      <c r="L89" t="s">
        <v>9094</v>
      </c>
      <c r="M89" t="s">
        <v>9095</v>
      </c>
      <c r="N89" t="s">
        <v>9154</v>
      </c>
      <c r="O89" t="s">
        <v>9121</v>
      </c>
      <c r="P89" t="s">
        <v>11164</v>
      </c>
      <c r="Q89" t="s">
        <v>11172</v>
      </c>
      <c r="R89" t="s">
        <v>11180</v>
      </c>
      <c r="S89" t="s">
        <v>9096</v>
      </c>
      <c r="T89" t="s">
        <v>11183</v>
      </c>
      <c r="V89" t="s">
        <v>328</v>
      </c>
      <c r="W89">
        <v>215</v>
      </c>
      <c r="X89" t="s">
        <v>11332</v>
      </c>
      <c r="Y89" t="s">
        <v>11157</v>
      </c>
      <c r="Z89" t="s">
        <v>11436</v>
      </c>
      <c r="AA89" t="s">
        <v>15288</v>
      </c>
      <c r="AB89" t="s">
        <v>15956</v>
      </c>
      <c r="AC89">
        <v>48</v>
      </c>
      <c r="AD89" t="s">
        <v>19570</v>
      </c>
      <c r="AE89" t="s">
        <v>11157</v>
      </c>
      <c r="AF89">
        <v>4</v>
      </c>
      <c r="AG89">
        <v>1</v>
      </c>
      <c r="AH89">
        <v>0</v>
      </c>
      <c r="AI89">
        <v>0</v>
      </c>
      <c r="AL89" t="s">
        <v>19614</v>
      </c>
      <c r="AM89">
        <v>0</v>
      </c>
      <c r="AN89" t="s">
        <v>19648</v>
      </c>
      <c r="AS89">
        <v>0.5</v>
      </c>
      <c r="AT89" t="s">
        <v>1130</v>
      </c>
      <c r="AU89" t="s">
        <v>79</v>
      </c>
      <c r="AV89" t="s">
        <v>20734</v>
      </c>
    </row>
    <row r="90" spans="1:48">
      <c r="A90" s="1">
        <f>HYPERLINK("https://lsnyc.legalserver.org/matter/dynamic-profile/view/1906010","19-1906010")</f>
        <v>0</v>
      </c>
      <c r="B90" t="s">
        <v>76</v>
      </c>
      <c r="C90" t="s">
        <v>256</v>
      </c>
      <c r="D90" t="s">
        <v>329</v>
      </c>
      <c r="F90" t="s">
        <v>1146</v>
      </c>
      <c r="G90" t="s">
        <v>3406</v>
      </c>
      <c r="H90" t="s">
        <v>5749</v>
      </c>
      <c r="J90" t="s">
        <v>9059</v>
      </c>
      <c r="K90">
        <v>11233</v>
      </c>
      <c r="L90" t="s">
        <v>9096</v>
      </c>
      <c r="M90" t="s">
        <v>9095</v>
      </c>
      <c r="N90" t="s">
        <v>9102</v>
      </c>
      <c r="O90" t="s">
        <v>9121</v>
      </c>
      <c r="R90" t="s">
        <v>11180</v>
      </c>
      <c r="S90" t="s">
        <v>9096</v>
      </c>
      <c r="T90" t="s">
        <v>11183</v>
      </c>
      <c r="U90" t="s">
        <v>11201</v>
      </c>
      <c r="W90">
        <v>0</v>
      </c>
      <c r="X90" t="s">
        <v>11332</v>
      </c>
      <c r="Y90" t="s">
        <v>11157</v>
      </c>
      <c r="Z90" t="s">
        <v>11414</v>
      </c>
      <c r="AB90" t="s">
        <v>15957</v>
      </c>
      <c r="AC90">
        <v>1117</v>
      </c>
      <c r="AD90" t="s">
        <v>19566</v>
      </c>
      <c r="AF90">
        <v>1</v>
      </c>
      <c r="AG90">
        <v>1</v>
      </c>
      <c r="AH90">
        <v>0</v>
      </c>
      <c r="AI90">
        <v>0</v>
      </c>
      <c r="AL90" t="s">
        <v>19614</v>
      </c>
      <c r="AM90">
        <v>0</v>
      </c>
      <c r="AS90">
        <v>0</v>
      </c>
      <c r="AU90" t="s">
        <v>95</v>
      </c>
      <c r="AV90" t="s">
        <v>9144</v>
      </c>
    </row>
    <row r="91" spans="1:48">
      <c r="A91" s="1">
        <f>HYPERLINK("https://lsnyc.legalserver.org/matter/dynamic-profile/view/1906126","19-1906126")</f>
        <v>0</v>
      </c>
      <c r="B91" t="s">
        <v>69</v>
      </c>
      <c r="C91" t="s">
        <v>257</v>
      </c>
      <c r="D91" t="s">
        <v>330</v>
      </c>
      <c r="E91" t="s">
        <v>410</v>
      </c>
      <c r="F91" t="s">
        <v>1210</v>
      </c>
      <c r="G91" t="s">
        <v>3407</v>
      </c>
      <c r="H91" t="s">
        <v>5758</v>
      </c>
      <c r="I91">
        <v>4</v>
      </c>
      <c r="J91" t="s">
        <v>9059</v>
      </c>
      <c r="K91">
        <v>11233</v>
      </c>
      <c r="L91" t="s">
        <v>9094</v>
      </c>
      <c r="M91" t="s">
        <v>9095</v>
      </c>
      <c r="N91" t="s">
        <v>9121</v>
      </c>
      <c r="O91" t="s">
        <v>9121</v>
      </c>
      <c r="P91" t="s">
        <v>11164</v>
      </c>
      <c r="Q91" t="s">
        <v>11172</v>
      </c>
      <c r="R91" t="s">
        <v>11180</v>
      </c>
      <c r="S91" t="s">
        <v>9096</v>
      </c>
      <c r="T91" t="s">
        <v>11183</v>
      </c>
      <c r="V91" t="s">
        <v>282</v>
      </c>
      <c r="W91">
        <v>2500</v>
      </c>
      <c r="X91" t="s">
        <v>11332</v>
      </c>
      <c r="Z91" t="s">
        <v>11437</v>
      </c>
      <c r="AB91" t="s">
        <v>15958</v>
      </c>
      <c r="AC91">
        <v>8</v>
      </c>
      <c r="AF91">
        <v>1</v>
      </c>
      <c r="AG91">
        <v>1</v>
      </c>
      <c r="AH91">
        <v>0</v>
      </c>
      <c r="AI91">
        <v>0</v>
      </c>
      <c r="AL91" t="s">
        <v>19614</v>
      </c>
      <c r="AM91">
        <v>0</v>
      </c>
      <c r="AS91">
        <v>6.5</v>
      </c>
      <c r="AT91" t="s">
        <v>410</v>
      </c>
      <c r="AU91" t="s">
        <v>20627</v>
      </c>
      <c r="AV91" t="s">
        <v>20733</v>
      </c>
    </row>
    <row r="92" spans="1:48">
      <c r="A92" s="1">
        <f>HYPERLINK("https://lsnyc.legalserver.org/matter/dynamic-profile/view/1911764","19-1911764")</f>
        <v>0</v>
      </c>
      <c r="B92" t="s">
        <v>76</v>
      </c>
      <c r="C92" t="s">
        <v>256</v>
      </c>
      <c r="D92" t="s">
        <v>290</v>
      </c>
      <c r="F92" t="s">
        <v>1211</v>
      </c>
      <c r="G92" t="s">
        <v>3408</v>
      </c>
      <c r="H92" t="s">
        <v>5750</v>
      </c>
      <c r="I92" t="s">
        <v>8152</v>
      </c>
      <c r="J92" t="s">
        <v>9059</v>
      </c>
      <c r="K92">
        <v>11233</v>
      </c>
      <c r="L92" t="s">
        <v>9094</v>
      </c>
      <c r="M92" t="s">
        <v>9095</v>
      </c>
      <c r="N92" t="s">
        <v>9154</v>
      </c>
      <c r="O92" t="s">
        <v>9121</v>
      </c>
      <c r="P92" t="s">
        <v>11167</v>
      </c>
      <c r="R92" t="s">
        <v>11180</v>
      </c>
      <c r="S92" t="s">
        <v>9094</v>
      </c>
      <c r="T92" t="s">
        <v>11183</v>
      </c>
      <c r="U92" t="s">
        <v>11201</v>
      </c>
      <c r="V92" t="s">
        <v>410</v>
      </c>
      <c r="W92">
        <v>1930</v>
      </c>
      <c r="X92" t="s">
        <v>11332</v>
      </c>
      <c r="Y92" t="s">
        <v>11340</v>
      </c>
      <c r="Z92" t="s">
        <v>11438</v>
      </c>
      <c r="AA92" t="s">
        <v>9171</v>
      </c>
      <c r="AB92" t="s">
        <v>15959</v>
      </c>
      <c r="AC92">
        <v>359</v>
      </c>
      <c r="AD92" t="s">
        <v>19566</v>
      </c>
      <c r="AE92" t="s">
        <v>9144</v>
      </c>
      <c r="AF92">
        <v>1</v>
      </c>
      <c r="AG92">
        <v>1</v>
      </c>
      <c r="AH92">
        <v>1</v>
      </c>
      <c r="AI92">
        <v>0</v>
      </c>
      <c r="AL92" t="s">
        <v>19614</v>
      </c>
      <c r="AM92">
        <v>0</v>
      </c>
      <c r="AS92">
        <v>0</v>
      </c>
      <c r="AU92" t="s">
        <v>95</v>
      </c>
      <c r="AV92" t="s">
        <v>9144</v>
      </c>
    </row>
    <row r="93" spans="1:48">
      <c r="A93" s="1">
        <f>HYPERLINK("https://lsnyc.legalserver.org/matter/dynamic-profile/view/1914877","19-1914877")</f>
        <v>0</v>
      </c>
      <c r="B93" t="s">
        <v>77</v>
      </c>
      <c r="C93" t="s">
        <v>256</v>
      </c>
      <c r="D93" t="s">
        <v>331</v>
      </c>
      <c r="F93" t="s">
        <v>1212</v>
      </c>
      <c r="G93" t="s">
        <v>1698</v>
      </c>
      <c r="H93" t="s">
        <v>5748</v>
      </c>
      <c r="I93" t="s">
        <v>8153</v>
      </c>
      <c r="J93" t="s">
        <v>9059</v>
      </c>
      <c r="K93">
        <v>11233</v>
      </c>
      <c r="L93" t="s">
        <v>9096</v>
      </c>
      <c r="M93" t="s">
        <v>9095</v>
      </c>
      <c r="N93" t="s">
        <v>9154</v>
      </c>
      <c r="O93" t="s">
        <v>9121</v>
      </c>
      <c r="R93" t="s">
        <v>11180</v>
      </c>
      <c r="S93" t="s">
        <v>9096</v>
      </c>
      <c r="T93" t="s">
        <v>11183</v>
      </c>
      <c r="U93" t="s">
        <v>11201</v>
      </c>
      <c r="W93">
        <v>1111</v>
      </c>
      <c r="X93" t="s">
        <v>11332</v>
      </c>
      <c r="Y93" t="s">
        <v>11346</v>
      </c>
      <c r="Z93" t="s">
        <v>11439</v>
      </c>
      <c r="AA93" t="s">
        <v>9144</v>
      </c>
      <c r="AB93" t="s">
        <v>15960</v>
      </c>
      <c r="AC93">
        <v>0</v>
      </c>
      <c r="AD93" t="s">
        <v>19566</v>
      </c>
      <c r="AE93" t="s">
        <v>9144</v>
      </c>
      <c r="AF93">
        <v>23</v>
      </c>
      <c r="AG93">
        <v>1</v>
      </c>
      <c r="AH93">
        <v>0</v>
      </c>
      <c r="AI93">
        <v>0</v>
      </c>
      <c r="AL93" t="s">
        <v>19614</v>
      </c>
      <c r="AM93">
        <v>0</v>
      </c>
      <c r="AS93">
        <v>0</v>
      </c>
      <c r="AU93" t="s">
        <v>95</v>
      </c>
      <c r="AV93" t="s">
        <v>9144</v>
      </c>
    </row>
    <row r="94" spans="1:48">
      <c r="A94" s="1">
        <f>HYPERLINK("https://lsnyc.legalserver.org/matter/dynamic-profile/view/1869417","18-1869417")</f>
        <v>0</v>
      </c>
      <c r="B94" t="s">
        <v>78</v>
      </c>
      <c r="C94" t="s">
        <v>256</v>
      </c>
      <c r="D94" t="s">
        <v>332</v>
      </c>
      <c r="F94" t="s">
        <v>1213</v>
      </c>
      <c r="G94" t="s">
        <v>3409</v>
      </c>
      <c r="H94" t="s">
        <v>5759</v>
      </c>
      <c r="I94" t="s">
        <v>8154</v>
      </c>
      <c r="J94" t="s">
        <v>9059</v>
      </c>
      <c r="K94">
        <v>11233</v>
      </c>
      <c r="L94" t="s">
        <v>9094</v>
      </c>
      <c r="M94" t="s">
        <v>9095</v>
      </c>
      <c r="O94" t="s">
        <v>11137</v>
      </c>
      <c r="P94" t="s">
        <v>11167</v>
      </c>
      <c r="R94" t="s">
        <v>11180</v>
      </c>
      <c r="S94" t="s">
        <v>9094</v>
      </c>
      <c r="T94" t="s">
        <v>11183</v>
      </c>
      <c r="V94" t="s">
        <v>975</v>
      </c>
      <c r="W94">
        <v>900</v>
      </c>
      <c r="X94" t="s">
        <v>11332</v>
      </c>
      <c r="Z94" t="s">
        <v>11440</v>
      </c>
      <c r="AB94" t="s">
        <v>15961</v>
      </c>
      <c r="AC94">
        <v>8</v>
      </c>
      <c r="AD94" t="s">
        <v>19566</v>
      </c>
      <c r="AE94" t="s">
        <v>9144</v>
      </c>
      <c r="AF94">
        <v>27</v>
      </c>
      <c r="AG94">
        <v>4</v>
      </c>
      <c r="AH94">
        <v>1</v>
      </c>
      <c r="AI94">
        <v>0</v>
      </c>
      <c r="AL94" t="s">
        <v>19614</v>
      </c>
      <c r="AM94">
        <v>0</v>
      </c>
      <c r="AS94">
        <v>0</v>
      </c>
      <c r="AU94" t="s">
        <v>95</v>
      </c>
    </row>
    <row r="95" spans="1:48">
      <c r="A95" s="1">
        <f>HYPERLINK("https://lsnyc.legalserver.org/matter/dynamic-profile/view/1891494","19-1891494")</f>
        <v>0</v>
      </c>
      <c r="B95" t="s">
        <v>70</v>
      </c>
      <c r="C95" t="s">
        <v>256</v>
      </c>
      <c r="D95" t="s">
        <v>316</v>
      </c>
      <c r="F95" t="s">
        <v>1194</v>
      </c>
      <c r="G95" t="s">
        <v>3391</v>
      </c>
      <c r="H95" t="s">
        <v>5748</v>
      </c>
      <c r="I95" t="s">
        <v>8143</v>
      </c>
      <c r="J95" t="s">
        <v>9059</v>
      </c>
      <c r="K95">
        <v>11233</v>
      </c>
      <c r="L95" t="s">
        <v>9094</v>
      </c>
      <c r="M95" t="s">
        <v>9096</v>
      </c>
      <c r="N95" t="s">
        <v>9144</v>
      </c>
      <c r="O95" t="s">
        <v>11137</v>
      </c>
      <c r="P95" t="s">
        <v>11167</v>
      </c>
      <c r="R95" t="s">
        <v>11180</v>
      </c>
      <c r="S95" t="s">
        <v>9094</v>
      </c>
      <c r="T95" t="s">
        <v>11183</v>
      </c>
      <c r="U95" t="s">
        <v>11201</v>
      </c>
      <c r="V95" t="s">
        <v>749</v>
      </c>
      <c r="W95">
        <v>505</v>
      </c>
      <c r="X95" t="s">
        <v>11332</v>
      </c>
      <c r="Z95" t="s">
        <v>11420</v>
      </c>
      <c r="AC95">
        <v>359</v>
      </c>
      <c r="AD95" t="s">
        <v>19566</v>
      </c>
      <c r="AF95">
        <v>40</v>
      </c>
      <c r="AG95">
        <v>1</v>
      </c>
      <c r="AH95">
        <v>0</v>
      </c>
      <c r="AI95">
        <v>0</v>
      </c>
      <c r="AL95" t="s">
        <v>19614</v>
      </c>
      <c r="AM95">
        <v>0</v>
      </c>
      <c r="AN95" t="s">
        <v>19649</v>
      </c>
      <c r="AS95">
        <v>0</v>
      </c>
      <c r="AU95" t="s">
        <v>95</v>
      </c>
    </row>
    <row r="96" spans="1:48">
      <c r="A96" s="1">
        <f>HYPERLINK("https://lsnyc.legalserver.org/matter/dynamic-profile/view/1891511","19-1891511")</f>
        <v>0</v>
      </c>
      <c r="B96" t="s">
        <v>70</v>
      </c>
      <c r="C96" t="s">
        <v>256</v>
      </c>
      <c r="D96" t="s">
        <v>316</v>
      </c>
      <c r="F96" t="s">
        <v>1195</v>
      </c>
      <c r="G96" t="s">
        <v>1575</v>
      </c>
      <c r="H96" t="s">
        <v>5748</v>
      </c>
      <c r="I96" t="s">
        <v>8131</v>
      </c>
      <c r="J96" t="s">
        <v>9059</v>
      </c>
      <c r="K96">
        <v>11233</v>
      </c>
      <c r="L96" t="s">
        <v>9094</v>
      </c>
      <c r="M96" t="s">
        <v>9096</v>
      </c>
      <c r="N96" t="s">
        <v>9144</v>
      </c>
      <c r="O96" t="s">
        <v>11137</v>
      </c>
      <c r="P96" t="s">
        <v>11167</v>
      </c>
      <c r="R96" t="s">
        <v>11180</v>
      </c>
      <c r="S96" t="s">
        <v>9094</v>
      </c>
      <c r="T96" t="s">
        <v>11183</v>
      </c>
      <c r="U96" t="s">
        <v>11201</v>
      </c>
      <c r="V96" t="s">
        <v>749</v>
      </c>
      <c r="W96">
        <v>0</v>
      </c>
      <c r="X96" t="s">
        <v>11332</v>
      </c>
      <c r="Z96" t="s">
        <v>11421</v>
      </c>
      <c r="AC96">
        <v>359</v>
      </c>
      <c r="AD96" t="s">
        <v>19566</v>
      </c>
      <c r="AF96">
        <v>14</v>
      </c>
      <c r="AG96">
        <v>1</v>
      </c>
      <c r="AH96">
        <v>0</v>
      </c>
      <c r="AI96">
        <v>0</v>
      </c>
      <c r="AL96" t="s">
        <v>19614</v>
      </c>
      <c r="AM96">
        <v>0</v>
      </c>
      <c r="AN96" t="s">
        <v>19650</v>
      </c>
      <c r="AS96">
        <v>0</v>
      </c>
      <c r="AU96" t="s">
        <v>95</v>
      </c>
    </row>
    <row r="97" spans="1:48">
      <c r="A97" s="1">
        <f>HYPERLINK("https://lsnyc.legalserver.org/matter/dynamic-profile/view/1891534","19-1891534")</f>
        <v>0</v>
      </c>
      <c r="B97" t="s">
        <v>70</v>
      </c>
      <c r="C97" t="s">
        <v>256</v>
      </c>
      <c r="D97" t="s">
        <v>316</v>
      </c>
      <c r="F97" t="s">
        <v>1214</v>
      </c>
      <c r="G97" t="s">
        <v>3410</v>
      </c>
      <c r="H97" t="s">
        <v>5748</v>
      </c>
      <c r="I97" t="s">
        <v>8155</v>
      </c>
      <c r="J97" t="s">
        <v>9059</v>
      </c>
      <c r="K97">
        <v>11233</v>
      </c>
      <c r="L97" t="s">
        <v>9094</v>
      </c>
      <c r="M97" t="s">
        <v>9096</v>
      </c>
      <c r="N97" t="s">
        <v>9144</v>
      </c>
      <c r="O97" t="s">
        <v>11137</v>
      </c>
      <c r="P97" t="s">
        <v>11167</v>
      </c>
      <c r="R97" t="s">
        <v>11180</v>
      </c>
      <c r="S97" t="s">
        <v>9094</v>
      </c>
      <c r="T97" t="s">
        <v>11183</v>
      </c>
      <c r="U97" t="s">
        <v>11201</v>
      </c>
      <c r="V97" t="s">
        <v>749</v>
      </c>
      <c r="W97">
        <v>1195</v>
      </c>
      <c r="X97" t="s">
        <v>11332</v>
      </c>
      <c r="Z97" t="s">
        <v>11422</v>
      </c>
      <c r="AA97" t="s">
        <v>9144</v>
      </c>
      <c r="AC97">
        <v>359</v>
      </c>
      <c r="AD97" t="s">
        <v>19566</v>
      </c>
      <c r="AE97" t="s">
        <v>9144</v>
      </c>
      <c r="AF97">
        <v>30</v>
      </c>
      <c r="AG97">
        <v>2</v>
      </c>
      <c r="AH97">
        <v>0</v>
      </c>
      <c r="AI97">
        <v>0</v>
      </c>
      <c r="AL97" t="s">
        <v>19614</v>
      </c>
      <c r="AM97">
        <v>0</v>
      </c>
      <c r="AN97" t="s">
        <v>19651</v>
      </c>
      <c r="AS97">
        <v>0</v>
      </c>
      <c r="AU97" t="s">
        <v>95</v>
      </c>
      <c r="AV97" t="s">
        <v>9144</v>
      </c>
    </row>
    <row r="98" spans="1:48">
      <c r="A98" s="1">
        <f>HYPERLINK("https://lsnyc.legalserver.org/matter/dynamic-profile/view/1897171","19-1897171")</f>
        <v>0</v>
      </c>
      <c r="B98" t="s">
        <v>70</v>
      </c>
      <c r="C98" t="s">
        <v>256</v>
      </c>
      <c r="D98" t="s">
        <v>317</v>
      </c>
      <c r="F98" t="s">
        <v>1196</v>
      </c>
      <c r="G98" t="s">
        <v>3392</v>
      </c>
      <c r="H98" t="s">
        <v>5749</v>
      </c>
      <c r="I98" t="s">
        <v>8144</v>
      </c>
      <c r="J98" t="s">
        <v>9059</v>
      </c>
      <c r="K98">
        <v>11233</v>
      </c>
      <c r="L98" t="s">
        <v>9094</v>
      </c>
      <c r="M98" t="s">
        <v>9096</v>
      </c>
      <c r="O98" t="s">
        <v>11137</v>
      </c>
      <c r="P98" t="s">
        <v>11167</v>
      </c>
      <c r="R98" t="s">
        <v>11180</v>
      </c>
      <c r="S98" t="s">
        <v>9094</v>
      </c>
      <c r="T98" t="s">
        <v>11183</v>
      </c>
      <c r="U98" t="s">
        <v>11201</v>
      </c>
      <c r="V98" t="s">
        <v>749</v>
      </c>
      <c r="W98">
        <v>1294.06</v>
      </c>
      <c r="X98" t="s">
        <v>11332</v>
      </c>
      <c r="Y98" t="s">
        <v>11157</v>
      </c>
      <c r="Z98" t="s">
        <v>11422</v>
      </c>
      <c r="AC98">
        <v>359</v>
      </c>
      <c r="AD98" t="s">
        <v>19566</v>
      </c>
      <c r="AE98" t="s">
        <v>9144</v>
      </c>
      <c r="AF98">
        <v>27</v>
      </c>
      <c r="AG98">
        <v>1</v>
      </c>
      <c r="AH98">
        <v>0</v>
      </c>
      <c r="AI98">
        <v>0</v>
      </c>
      <c r="AL98" t="s">
        <v>19614</v>
      </c>
      <c r="AM98">
        <v>0</v>
      </c>
      <c r="AN98" t="s">
        <v>19652</v>
      </c>
      <c r="AS98">
        <v>0</v>
      </c>
      <c r="AU98" t="s">
        <v>79</v>
      </c>
    </row>
    <row r="99" spans="1:48">
      <c r="A99" s="1">
        <f>HYPERLINK("https://lsnyc.legalserver.org/matter/dynamic-profile/view/1897190","19-1897190")</f>
        <v>0</v>
      </c>
      <c r="B99" t="s">
        <v>70</v>
      </c>
      <c r="C99" t="s">
        <v>256</v>
      </c>
      <c r="D99" t="s">
        <v>317</v>
      </c>
      <c r="F99" t="s">
        <v>1197</v>
      </c>
      <c r="G99" t="s">
        <v>1193</v>
      </c>
      <c r="H99" t="s">
        <v>5749</v>
      </c>
      <c r="I99" t="s">
        <v>8140</v>
      </c>
      <c r="J99" t="s">
        <v>9059</v>
      </c>
      <c r="K99">
        <v>11233</v>
      </c>
      <c r="L99" t="s">
        <v>9094</v>
      </c>
      <c r="M99" t="s">
        <v>9096</v>
      </c>
      <c r="O99" t="s">
        <v>11137</v>
      </c>
      <c r="P99" t="s">
        <v>11167</v>
      </c>
      <c r="R99" t="s">
        <v>11180</v>
      </c>
      <c r="S99" t="s">
        <v>9094</v>
      </c>
      <c r="T99" t="s">
        <v>11183</v>
      </c>
      <c r="U99" t="s">
        <v>11201</v>
      </c>
      <c r="V99" t="s">
        <v>749</v>
      </c>
      <c r="W99">
        <v>1014</v>
      </c>
      <c r="X99" t="s">
        <v>11332</v>
      </c>
      <c r="Y99" t="s">
        <v>11157</v>
      </c>
      <c r="Z99" t="s">
        <v>11423</v>
      </c>
      <c r="AC99">
        <v>359</v>
      </c>
      <c r="AD99" t="s">
        <v>19566</v>
      </c>
      <c r="AF99">
        <v>30</v>
      </c>
      <c r="AG99">
        <v>1</v>
      </c>
      <c r="AH99">
        <v>0</v>
      </c>
      <c r="AI99">
        <v>0</v>
      </c>
      <c r="AL99" t="s">
        <v>19614</v>
      </c>
      <c r="AM99">
        <v>0</v>
      </c>
      <c r="AS99">
        <v>0</v>
      </c>
      <c r="AU99" t="s">
        <v>79</v>
      </c>
    </row>
    <row r="100" spans="1:48">
      <c r="A100" s="1">
        <f>HYPERLINK("https://lsnyc.legalserver.org/matter/dynamic-profile/view/1897201","19-1897201")</f>
        <v>0</v>
      </c>
      <c r="B100" t="s">
        <v>70</v>
      </c>
      <c r="C100" t="s">
        <v>256</v>
      </c>
      <c r="D100" t="s">
        <v>317</v>
      </c>
      <c r="F100" t="s">
        <v>1198</v>
      </c>
      <c r="G100" t="s">
        <v>3393</v>
      </c>
      <c r="H100" t="s">
        <v>5750</v>
      </c>
      <c r="I100" t="s">
        <v>8145</v>
      </c>
      <c r="J100" t="s">
        <v>9059</v>
      </c>
      <c r="K100">
        <v>11233</v>
      </c>
      <c r="L100" t="s">
        <v>9094</v>
      </c>
      <c r="M100" t="s">
        <v>9096</v>
      </c>
      <c r="O100" t="s">
        <v>11137</v>
      </c>
      <c r="P100" t="s">
        <v>11167</v>
      </c>
      <c r="R100" t="s">
        <v>11180</v>
      </c>
      <c r="S100" t="s">
        <v>9094</v>
      </c>
      <c r="T100" t="s">
        <v>11183</v>
      </c>
      <c r="U100" t="s">
        <v>11201</v>
      </c>
      <c r="V100" t="s">
        <v>749</v>
      </c>
      <c r="W100">
        <v>0</v>
      </c>
      <c r="X100" t="s">
        <v>11332</v>
      </c>
      <c r="Y100" t="s">
        <v>11157</v>
      </c>
      <c r="Z100" t="s">
        <v>11424</v>
      </c>
      <c r="AC100">
        <v>359</v>
      </c>
      <c r="AD100" t="s">
        <v>19566</v>
      </c>
      <c r="AF100">
        <v>20</v>
      </c>
      <c r="AG100">
        <v>1</v>
      </c>
      <c r="AH100">
        <v>0</v>
      </c>
      <c r="AI100">
        <v>0</v>
      </c>
      <c r="AL100" t="s">
        <v>19614</v>
      </c>
      <c r="AM100">
        <v>0</v>
      </c>
      <c r="AS100">
        <v>0</v>
      </c>
      <c r="AU100" t="s">
        <v>79</v>
      </c>
    </row>
    <row r="101" spans="1:48">
      <c r="A101" s="1">
        <f>HYPERLINK("https://lsnyc.legalserver.org/matter/dynamic-profile/view/1897530","19-1897530")</f>
        <v>0</v>
      </c>
      <c r="B101" t="s">
        <v>70</v>
      </c>
      <c r="C101" t="s">
        <v>256</v>
      </c>
      <c r="D101" t="s">
        <v>318</v>
      </c>
      <c r="F101" t="s">
        <v>1199</v>
      </c>
      <c r="G101" t="s">
        <v>3394</v>
      </c>
      <c r="H101" t="s">
        <v>5749</v>
      </c>
      <c r="I101" t="s">
        <v>8146</v>
      </c>
      <c r="J101" t="s">
        <v>9059</v>
      </c>
      <c r="K101">
        <v>11233</v>
      </c>
      <c r="L101" t="s">
        <v>9094</v>
      </c>
      <c r="M101" t="s">
        <v>9096</v>
      </c>
      <c r="O101" t="s">
        <v>11137</v>
      </c>
      <c r="P101" t="s">
        <v>11167</v>
      </c>
      <c r="R101" t="s">
        <v>11180</v>
      </c>
      <c r="S101" t="s">
        <v>9094</v>
      </c>
      <c r="T101" t="s">
        <v>11183</v>
      </c>
      <c r="U101" t="s">
        <v>11201</v>
      </c>
      <c r="V101" t="s">
        <v>749</v>
      </c>
      <c r="W101">
        <v>976.08</v>
      </c>
      <c r="X101" t="s">
        <v>11332</v>
      </c>
      <c r="Y101" t="s">
        <v>11342</v>
      </c>
      <c r="Z101" t="s">
        <v>11425</v>
      </c>
      <c r="AC101">
        <v>359</v>
      </c>
      <c r="AD101" t="s">
        <v>19566</v>
      </c>
      <c r="AF101">
        <v>0</v>
      </c>
      <c r="AG101">
        <v>1</v>
      </c>
      <c r="AH101">
        <v>0</v>
      </c>
      <c r="AI101">
        <v>0</v>
      </c>
      <c r="AL101" t="s">
        <v>19614</v>
      </c>
      <c r="AM101">
        <v>0</v>
      </c>
      <c r="AN101" t="s">
        <v>19653</v>
      </c>
      <c r="AS101">
        <v>0</v>
      </c>
      <c r="AU101" t="s">
        <v>95</v>
      </c>
    </row>
    <row r="102" spans="1:48">
      <c r="A102" s="1">
        <f>HYPERLINK("https://lsnyc.legalserver.org/matter/dynamic-profile/view/1901995","19-1901995")</f>
        <v>0</v>
      </c>
      <c r="B102" t="s">
        <v>70</v>
      </c>
      <c r="C102" t="s">
        <v>256</v>
      </c>
      <c r="D102" t="s">
        <v>319</v>
      </c>
      <c r="F102" t="s">
        <v>1200</v>
      </c>
      <c r="G102" t="s">
        <v>3395</v>
      </c>
      <c r="H102" t="s">
        <v>5748</v>
      </c>
      <c r="I102" t="s">
        <v>8147</v>
      </c>
      <c r="J102" t="s">
        <v>9059</v>
      </c>
      <c r="K102">
        <v>11233</v>
      </c>
      <c r="L102" t="s">
        <v>9094</v>
      </c>
      <c r="M102" t="s">
        <v>9095</v>
      </c>
      <c r="N102" t="s">
        <v>9121</v>
      </c>
      <c r="O102" t="s">
        <v>11137</v>
      </c>
      <c r="P102" t="s">
        <v>11167</v>
      </c>
      <c r="R102" t="s">
        <v>11180</v>
      </c>
      <c r="S102" t="s">
        <v>9094</v>
      </c>
      <c r="T102" t="s">
        <v>11183</v>
      </c>
      <c r="U102" t="s">
        <v>11201</v>
      </c>
      <c r="V102" t="s">
        <v>749</v>
      </c>
      <c r="W102">
        <v>840</v>
      </c>
      <c r="X102" t="s">
        <v>11332</v>
      </c>
      <c r="Y102" t="s">
        <v>11157</v>
      </c>
      <c r="Z102" t="s">
        <v>11426</v>
      </c>
      <c r="AC102">
        <v>359</v>
      </c>
      <c r="AD102" t="s">
        <v>19566</v>
      </c>
      <c r="AF102">
        <v>9</v>
      </c>
      <c r="AG102">
        <v>1</v>
      </c>
      <c r="AH102">
        <v>0</v>
      </c>
      <c r="AI102">
        <v>0</v>
      </c>
      <c r="AL102" t="s">
        <v>19614</v>
      </c>
      <c r="AM102">
        <v>0</v>
      </c>
      <c r="AN102" t="s">
        <v>19654</v>
      </c>
      <c r="AS102">
        <v>0</v>
      </c>
      <c r="AU102" t="s">
        <v>79</v>
      </c>
      <c r="AV102" t="s">
        <v>9144</v>
      </c>
    </row>
    <row r="103" spans="1:48">
      <c r="A103" s="1">
        <f>HYPERLINK("https://lsnyc.legalserver.org/matter/dynamic-profile/view/1902021","19-1902021")</f>
        <v>0</v>
      </c>
      <c r="B103" t="s">
        <v>70</v>
      </c>
      <c r="C103" t="s">
        <v>256</v>
      </c>
      <c r="D103" t="s">
        <v>319</v>
      </c>
      <c r="F103" t="s">
        <v>1201</v>
      </c>
      <c r="G103" t="s">
        <v>2212</v>
      </c>
      <c r="H103" t="s">
        <v>5748</v>
      </c>
      <c r="I103" t="s">
        <v>8148</v>
      </c>
      <c r="J103" t="s">
        <v>9059</v>
      </c>
      <c r="K103">
        <v>11233</v>
      </c>
      <c r="L103" t="s">
        <v>9094</v>
      </c>
      <c r="M103" t="s">
        <v>9095</v>
      </c>
      <c r="N103" t="s">
        <v>9121</v>
      </c>
      <c r="O103" t="s">
        <v>11137</v>
      </c>
      <c r="P103" t="s">
        <v>11167</v>
      </c>
      <c r="R103" t="s">
        <v>11180</v>
      </c>
      <c r="S103" t="s">
        <v>9094</v>
      </c>
      <c r="T103" t="s">
        <v>11183</v>
      </c>
      <c r="U103" t="s">
        <v>11201</v>
      </c>
      <c r="V103" t="s">
        <v>749</v>
      </c>
      <c r="W103">
        <v>1126</v>
      </c>
      <c r="X103" t="s">
        <v>11332</v>
      </c>
      <c r="Y103" t="s">
        <v>11157</v>
      </c>
      <c r="Z103" t="s">
        <v>11427</v>
      </c>
      <c r="AC103">
        <v>359</v>
      </c>
      <c r="AD103" t="s">
        <v>19566</v>
      </c>
      <c r="AF103">
        <v>45</v>
      </c>
      <c r="AG103">
        <v>1</v>
      </c>
      <c r="AH103">
        <v>0</v>
      </c>
      <c r="AI103">
        <v>0</v>
      </c>
      <c r="AL103" t="s">
        <v>19614</v>
      </c>
      <c r="AM103">
        <v>0</v>
      </c>
      <c r="AN103" t="s">
        <v>19655</v>
      </c>
      <c r="AS103">
        <v>0</v>
      </c>
      <c r="AU103" t="s">
        <v>79</v>
      </c>
      <c r="AV103" t="s">
        <v>9144</v>
      </c>
    </row>
    <row r="104" spans="1:48">
      <c r="A104" s="1">
        <f>HYPERLINK("https://lsnyc.legalserver.org/matter/dynamic-profile/view/1904189","19-1904189")</f>
        <v>0</v>
      </c>
      <c r="B104" t="s">
        <v>73</v>
      </c>
      <c r="C104" t="s">
        <v>256</v>
      </c>
      <c r="D104" t="s">
        <v>312</v>
      </c>
      <c r="F104" t="s">
        <v>1215</v>
      </c>
      <c r="G104" t="s">
        <v>3411</v>
      </c>
      <c r="H104" t="s">
        <v>5748</v>
      </c>
      <c r="I104" t="s">
        <v>8156</v>
      </c>
      <c r="J104" t="s">
        <v>9059</v>
      </c>
      <c r="K104">
        <v>11233</v>
      </c>
      <c r="L104" t="s">
        <v>9094</v>
      </c>
      <c r="M104" t="s">
        <v>9095</v>
      </c>
      <c r="N104" t="s">
        <v>9155</v>
      </c>
      <c r="O104" t="s">
        <v>11129</v>
      </c>
      <c r="P104" t="s">
        <v>11165</v>
      </c>
      <c r="R104" t="s">
        <v>11180</v>
      </c>
      <c r="S104" t="s">
        <v>9096</v>
      </c>
      <c r="T104" t="s">
        <v>11183</v>
      </c>
      <c r="U104" t="s">
        <v>11201</v>
      </c>
      <c r="V104" t="s">
        <v>11207</v>
      </c>
      <c r="W104">
        <v>980</v>
      </c>
      <c r="X104" t="s">
        <v>11332</v>
      </c>
      <c r="Y104" t="s">
        <v>11342</v>
      </c>
      <c r="Z104" t="s">
        <v>11441</v>
      </c>
      <c r="AA104" t="s">
        <v>9171</v>
      </c>
      <c r="AB104" t="s">
        <v>15962</v>
      </c>
      <c r="AC104">
        <v>359</v>
      </c>
      <c r="AD104" t="s">
        <v>19566</v>
      </c>
      <c r="AE104" t="s">
        <v>19584</v>
      </c>
      <c r="AF104">
        <v>35</v>
      </c>
      <c r="AG104">
        <v>1</v>
      </c>
      <c r="AH104">
        <v>2</v>
      </c>
      <c r="AI104">
        <v>0</v>
      </c>
      <c r="AL104" t="s">
        <v>19614</v>
      </c>
      <c r="AM104">
        <v>0</v>
      </c>
      <c r="AS104">
        <v>14.1</v>
      </c>
      <c r="AT104" t="s">
        <v>301</v>
      </c>
      <c r="AU104" t="s">
        <v>95</v>
      </c>
      <c r="AV104" t="s">
        <v>20733</v>
      </c>
    </row>
    <row r="105" spans="1:48">
      <c r="A105" s="1">
        <f>HYPERLINK("https://lsnyc.legalserver.org/matter/dynamic-profile/view/1906643","19-1906643")</f>
        <v>0</v>
      </c>
      <c r="B105" t="s">
        <v>79</v>
      </c>
      <c r="C105" t="s">
        <v>257</v>
      </c>
      <c r="D105" t="s">
        <v>333</v>
      </c>
      <c r="E105" t="s">
        <v>396</v>
      </c>
      <c r="F105" t="s">
        <v>1216</v>
      </c>
      <c r="G105" t="s">
        <v>3411</v>
      </c>
      <c r="H105" t="s">
        <v>5760</v>
      </c>
      <c r="I105" t="s">
        <v>8157</v>
      </c>
      <c r="J105" t="s">
        <v>9059</v>
      </c>
      <c r="K105">
        <v>11233</v>
      </c>
      <c r="L105" t="s">
        <v>9096</v>
      </c>
      <c r="M105" t="s">
        <v>9095</v>
      </c>
      <c r="N105" t="s">
        <v>9156</v>
      </c>
      <c r="O105" t="s">
        <v>11129</v>
      </c>
      <c r="P105" t="s">
        <v>11164</v>
      </c>
      <c r="Q105" t="s">
        <v>11172</v>
      </c>
      <c r="R105" t="s">
        <v>11180</v>
      </c>
      <c r="S105" t="s">
        <v>9096</v>
      </c>
      <c r="T105" t="s">
        <v>11183</v>
      </c>
      <c r="W105">
        <v>1592</v>
      </c>
      <c r="X105" t="s">
        <v>11332</v>
      </c>
      <c r="Z105" t="s">
        <v>11442</v>
      </c>
      <c r="AA105" t="s">
        <v>9144</v>
      </c>
      <c r="AB105" t="s">
        <v>15963</v>
      </c>
      <c r="AC105">
        <v>43</v>
      </c>
      <c r="AD105" t="s">
        <v>19566</v>
      </c>
      <c r="AE105" t="s">
        <v>9144</v>
      </c>
      <c r="AF105">
        <v>2</v>
      </c>
      <c r="AG105">
        <v>1</v>
      </c>
      <c r="AH105">
        <v>2</v>
      </c>
      <c r="AI105">
        <v>0</v>
      </c>
      <c r="AL105" t="s">
        <v>19614</v>
      </c>
      <c r="AM105">
        <v>0</v>
      </c>
      <c r="AN105" t="s">
        <v>19656</v>
      </c>
      <c r="AS105">
        <v>0.1</v>
      </c>
      <c r="AT105" t="s">
        <v>396</v>
      </c>
      <c r="AU105" t="s">
        <v>79</v>
      </c>
      <c r="AV105" t="s">
        <v>9144</v>
      </c>
    </row>
    <row r="106" spans="1:48">
      <c r="A106" s="1">
        <f>HYPERLINK("https://lsnyc.legalserver.org/matter/dynamic-profile/view/1907358","19-1907358")</f>
        <v>0</v>
      </c>
      <c r="B106" t="s">
        <v>71</v>
      </c>
      <c r="C106" t="s">
        <v>256</v>
      </c>
      <c r="D106" t="s">
        <v>334</v>
      </c>
      <c r="F106" t="s">
        <v>1217</v>
      </c>
      <c r="G106" t="s">
        <v>3412</v>
      </c>
      <c r="H106" t="s">
        <v>5761</v>
      </c>
      <c r="I106" t="s">
        <v>8158</v>
      </c>
      <c r="J106" t="s">
        <v>9059</v>
      </c>
      <c r="K106">
        <v>11233</v>
      </c>
      <c r="L106" t="s">
        <v>9094</v>
      </c>
      <c r="M106" t="s">
        <v>9095</v>
      </c>
      <c r="N106" t="s">
        <v>9157</v>
      </c>
      <c r="O106" t="s">
        <v>11129</v>
      </c>
      <c r="P106" t="s">
        <v>11165</v>
      </c>
      <c r="R106" t="s">
        <v>11180</v>
      </c>
      <c r="S106" t="s">
        <v>9096</v>
      </c>
      <c r="T106" t="s">
        <v>11183</v>
      </c>
      <c r="U106" t="s">
        <v>11199</v>
      </c>
      <c r="V106" t="s">
        <v>275</v>
      </c>
      <c r="W106">
        <v>1542</v>
      </c>
      <c r="X106" t="s">
        <v>11332</v>
      </c>
      <c r="Y106" t="s">
        <v>11157</v>
      </c>
      <c r="Z106" t="s">
        <v>11443</v>
      </c>
      <c r="AB106" t="s">
        <v>15964</v>
      </c>
      <c r="AC106">
        <v>287</v>
      </c>
      <c r="AD106" t="s">
        <v>19568</v>
      </c>
      <c r="AE106" t="s">
        <v>9144</v>
      </c>
      <c r="AF106">
        <v>4</v>
      </c>
      <c r="AG106">
        <v>1</v>
      </c>
      <c r="AH106">
        <v>2</v>
      </c>
      <c r="AI106">
        <v>0</v>
      </c>
      <c r="AL106" t="s">
        <v>19614</v>
      </c>
      <c r="AM106">
        <v>0</v>
      </c>
      <c r="AS106">
        <v>11.7</v>
      </c>
      <c r="AT106" t="s">
        <v>321</v>
      </c>
      <c r="AU106" t="s">
        <v>20627</v>
      </c>
      <c r="AV106" t="s">
        <v>20733</v>
      </c>
    </row>
    <row r="107" spans="1:48">
      <c r="A107" s="1">
        <f>HYPERLINK("https://lsnyc.legalserver.org/matter/dynamic-profile/view/1907517","19-1907517")</f>
        <v>0</v>
      </c>
      <c r="B107" t="s">
        <v>73</v>
      </c>
      <c r="C107" t="s">
        <v>257</v>
      </c>
      <c r="D107" t="s">
        <v>275</v>
      </c>
      <c r="E107" t="s">
        <v>483</v>
      </c>
      <c r="F107" t="s">
        <v>1218</v>
      </c>
      <c r="G107" t="s">
        <v>3413</v>
      </c>
      <c r="H107" t="s">
        <v>5748</v>
      </c>
      <c r="I107" t="s">
        <v>8159</v>
      </c>
      <c r="J107" t="s">
        <v>9059</v>
      </c>
      <c r="K107">
        <v>11233</v>
      </c>
      <c r="L107" t="s">
        <v>9094</v>
      </c>
      <c r="M107" t="s">
        <v>9095</v>
      </c>
      <c r="N107" t="s">
        <v>9158</v>
      </c>
      <c r="O107" t="s">
        <v>11129</v>
      </c>
      <c r="P107" t="s">
        <v>11165</v>
      </c>
      <c r="Q107" t="s">
        <v>11178</v>
      </c>
      <c r="R107" t="s">
        <v>11180</v>
      </c>
      <c r="S107" t="s">
        <v>9096</v>
      </c>
      <c r="T107" t="s">
        <v>11183</v>
      </c>
      <c r="U107" t="s">
        <v>11201</v>
      </c>
      <c r="V107" t="s">
        <v>275</v>
      </c>
      <c r="W107">
        <v>997.45</v>
      </c>
      <c r="X107" t="s">
        <v>11332</v>
      </c>
      <c r="Y107" t="s">
        <v>11157</v>
      </c>
      <c r="Z107" t="s">
        <v>11444</v>
      </c>
      <c r="AA107" t="s">
        <v>15289</v>
      </c>
      <c r="AC107">
        <v>359</v>
      </c>
      <c r="AD107" t="s">
        <v>19566</v>
      </c>
      <c r="AE107" t="s">
        <v>9144</v>
      </c>
      <c r="AF107">
        <v>9</v>
      </c>
      <c r="AG107">
        <v>3</v>
      </c>
      <c r="AH107">
        <v>0</v>
      </c>
      <c r="AI107">
        <v>0</v>
      </c>
      <c r="AL107" t="s">
        <v>19614</v>
      </c>
      <c r="AM107">
        <v>0</v>
      </c>
      <c r="AQ107" t="s">
        <v>20369</v>
      </c>
      <c r="AR107" t="s">
        <v>20379</v>
      </c>
      <c r="AS107">
        <v>18.5</v>
      </c>
      <c r="AT107" t="s">
        <v>648</v>
      </c>
      <c r="AU107" t="s">
        <v>79</v>
      </c>
      <c r="AV107" t="s">
        <v>20733</v>
      </c>
    </row>
    <row r="108" spans="1:48">
      <c r="A108" s="1">
        <f>HYPERLINK("https://lsnyc.legalserver.org/matter/dynamic-profile/view/1908279","19-1908279")</f>
        <v>0</v>
      </c>
      <c r="B108" t="s">
        <v>64</v>
      </c>
      <c r="C108" t="s">
        <v>257</v>
      </c>
      <c r="D108" t="s">
        <v>335</v>
      </c>
      <c r="E108" t="s">
        <v>1131</v>
      </c>
      <c r="F108" t="s">
        <v>1219</v>
      </c>
      <c r="G108" t="s">
        <v>1206</v>
      </c>
      <c r="H108" t="s">
        <v>5762</v>
      </c>
      <c r="I108" t="s">
        <v>8119</v>
      </c>
      <c r="J108" t="s">
        <v>9059</v>
      </c>
      <c r="K108">
        <v>11233</v>
      </c>
      <c r="L108" t="s">
        <v>9094</v>
      </c>
      <c r="M108" t="s">
        <v>9095</v>
      </c>
      <c r="N108" t="s">
        <v>9159</v>
      </c>
      <c r="O108" t="s">
        <v>11129</v>
      </c>
      <c r="P108" t="s">
        <v>11165</v>
      </c>
      <c r="Q108" t="s">
        <v>11174</v>
      </c>
      <c r="R108" t="s">
        <v>11180</v>
      </c>
      <c r="S108" t="s">
        <v>9096</v>
      </c>
      <c r="T108" t="s">
        <v>11183</v>
      </c>
      <c r="U108" t="s">
        <v>11198</v>
      </c>
      <c r="V108" t="s">
        <v>899</v>
      </c>
      <c r="W108">
        <v>0</v>
      </c>
      <c r="X108" t="s">
        <v>11332</v>
      </c>
      <c r="Z108" t="s">
        <v>11445</v>
      </c>
      <c r="AA108" t="s">
        <v>15290</v>
      </c>
      <c r="AB108" t="s">
        <v>15965</v>
      </c>
      <c r="AC108">
        <v>110</v>
      </c>
      <c r="AD108" t="s">
        <v>15441</v>
      </c>
      <c r="AE108" t="s">
        <v>11157</v>
      </c>
      <c r="AF108">
        <v>0</v>
      </c>
      <c r="AG108">
        <v>1</v>
      </c>
      <c r="AH108">
        <v>2</v>
      </c>
      <c r="AI108">
        <v>0</v>
      </c>
      <c r="AL108" t="s">
        <v>19614</v>
      </c>
      <c r="AM108">
        <v>0</v>
      </c>
      <c r="AO108" t="s">
        <v>20294</v>
      </c>
      <c r="AP108" t="s">
        <v>20309</v>
      </c>
      <c r="AQ108" t="s">
        <v>20369</v>
      </c>
      <c r="AR108" t="s">
        <v>20380</v>
      </c>
      <c r="AS108">
        <v>5.2</v>
      </c>
      <c r="AT108" t="s">
        <v>331</v>
      </c>
      <c r="AU108" t="s">
        <v>95</v>
      </c>
      <c r="AV108" t="s">
        <v>20733</v>
      </c>
    </row>
    <row r="109" spans="1:48">
      <c r="A109" s="1">
        <f>HYPERLINK("https://lsnyc.legalserver.org/matter/dynamic-profile/view/1911205","19-1911205")</f>
        <v>0</v>
      </c>
      <c r="B109" t="s">
        <v>80</v>
      </c>
      <c r="C109" t="s">
        <v>257</v>
      </c>
      <c r="D109" t="s">
        <v>336</v>
      </c>
      <c r="E109" t="s">
        <v>284</v>
      </c>
      <c r="F109" t="s">
        <v>1220</v>
      </c>
      <c r="G109" t="s">
        <v>3414</v>
      </c>
      <c r="H109" t="s">
        <v>5763</v>
      </c>
      <c r="J109" t="s">
        <v>9059</v>
      </c>
      <c r="K109">
        <v>11233</v>
      </c>
      <c r="L109" t="s">
        <v>9094</v>
      </c>
      <c r="M109" t="s">
        <v>9095</v>
      </c>
      <c r="N109" t="s">
        <v>9160</v>
      </c>
      <c r="O109" t="s">
        <v>11129</v>
      </c>
      <c r="Q109" t="s">
        <v>11172</v>
      </c>
      <c r="R109" t="s">
        <v>11180</v>
      </c>
      <c r="T109" t="s">
        <v>11183</v>
      </c>
      <c r="W109">
        <v>0</v>
      </c>
      <c r="X109" t="s">
        <v>11332</v>
      </c>
      <c r="Y109" t="s">
        <v>11347</v>
      </c>
      <c r="Z109" t="s">
        <v>11446</v>
      </c>
      <c r="AB109" t="s">
        <v>15966</v>
      </c>
      <c r="AC109">
        <v>0</v>
      </c>
      <c r="AF109">
        <v>0</v>
      </c>
      <c r="AG109">
        <v>1</v>
      </c>
      <c r="AH109">
        <v>2</v>
      </c>
      <c r="AI109">
        <v>0</v>
      </c>
      <c r="AL109" t="s">
        <v>19614</v>
      </c>
      <c r="AM109">
        <v>0</v>
      </c>
      <c r="AS109">
        <v>1</v>
      </c>
      <c r="AT109" t="s">
        <v>336</v>
      </c>
      <c r="AU109" t="s">
        <v>20626</v>
      </c>
      <c r="AV109" t="s">
        <v>20733</v>
      </c>
    </row>
    <row r="110" spans="1:48">
      <c r="A110" s="1">
        <f>HYPERLINK("https://lsnyc.legalserver.org/matter/dynamic-profile/view/1898924","19-1898924")</f>
        <v>0</v>
      </c>
      <c r="B110" t="s">
        <v>81</v>
      </c>
      <c r="C110" t="s">
        <v>257</v>
      </c>
      <c r="D110" t="s">
        <v>337</v>
      </c>
      <c r="E110" t="s">
        <v>275</v>
      </c>
      <c r="F110" t="s">
        <v>1221</v>
      </c>
      <c r="G110" t="s">
        <v>2014</v>
      </c>
      <c r="H110" t="s">
        <v>5764</v>
      </c>
      <c r="I110" t="s">
        <v>8160</v>
      </c>
      <c r="J110" t="s">
        <v>9059</v>
      </c>
      <c r="K110">
        <v>11233</v>
      </c>
      <c r="L110" t="s">
        <v>9094</v>
      </c>
      <c r="M110" t="s">
        <v>9094</v>
      </c>
      <c r="N110" t="s">
        <v>9161</v>
      </c>
      <c r="O110" t="s">
        <v>11138</v>
      </c>
      <c r="P110" t="s">
        <v>11166</v>
      </c>
      <c r="Q110" t="s">
        <v>11173</v>
      </c>
      <c r="R110" t="s">
        <v>11180</v>
      </c>
      <c r="S110" t="s">
        <v>9096</v>
      </c>
      <c r="T110" t="s">
        <v>11183</v>
      </c>
      <c r="U110" t="s">
        <v>11201</v>
      </c>
      <c r="V110" t="s">
        <v>337</v>
      </c>
      <c r="W110">
        <v>1995</v>
      </c>
      <c r="X110" t="s">
        <v>11332</v>
      </c>
      <c r="Y110" t="s">
        <v>11336</v>
      </c>
      <c r="Z110" t="s">
        <v>11447</v>
      </c>
      <c r="AA110" t="s">
        <v>15291</v>
      </c>
      <c r="AB110" t="s">
        <v>15274</v>
      </c>
      <c r="AC110">
        <v>17</v>
      </c>
      <c r="AD110" t="s">
        <v>19566</v>
      </c>
      <c r="AE110" t="s">
        <v>19581</v>
      </c>
      <c r="AF110">
        <v>2</v>
      </c>
      <c r="AG110">
        <v>3</v>
      </c>
      <c r="AH110">
        <v>3</v>
      </c>
      <c r="AI110">
        <v>0</v>
      </c>
      <c r="AL110" t="s">
        <v>19614</v>
      </c>
      <c r="AM110">
        <v>0</v>
      </c>
      <c r="AS110">
        <v>1</v>
      </c>
      <c r="AT110" t="s">
        <v>337</v>
      </c>
      <c r="AU110" t="s">
        <v>81</v>
      </c>
      <c r="AV110" t="s">
        <v>20733</v>
      </c>
    </row>
    <row r="111" spans="1:48">
      <c r="A111" s="1">
        <f>HYPERLINK("https://lsnyc.legalserver.org/matter/dynamic-profile/view/1900750","19-1900750")</f>
        <v>0</v>
      </c>
      <c r="B111" t="s">
        <v>69</v>
      </c>
      <c r="C111" t="s">
        <v>257</v>
      </c>
      <c r="D111" t="s">
        <v>338</v>
      </c>
      <c r="E111" t="s">
        <v>312</v>
      </c>
      <c r="F111" t="s">
        <v>1222</v>
      </c>
      <c r="G111" t="s">
        <v>3415</v>
      </c>
      <c r="H111" t="s">
        <v>5765</v>
      </c>
      <c r="I111" t="s">
        <v>8161</v>
      </c>
      <c r="J111" t="s">
        <v>9059</v>
      </c>
      <c r="K111">
        <v>11233</v>
      </c>
      <c r="L111" t="s">
        <v>9094</v>
      </c>
      <c r="M111" t="s">
        <v>9095</v>
      </c>
      <c r="O111" t="s">
        <v>11139</v>
      </c>
      <c r="P111" t="s">
        <v>11164</v>
      </c>
      <c r="Q111" t="s">
        <v>11172</v>
      </c>
      <c r="R111" t="s">
        <v>11180</v>
      </c>
      <c r="S111" t="s">
        <v>9096</v>
      </c>
      <c r="T111" t="s">
        <v>11184</v>
      </c>
      <c r="U111" t="s">
        <v>11201</v>
      </c>
      <c r="V111" t="s">
        <v>573</v>
      </c>
      <c r="W111">
        <v>1200</v>
      </c>
      <c r="X111" t="s">
        <v>11332</v>
      </c>
      <c r="Y111" t="s">
        <v>11157</v>
      </c>
      <c r="Z111" t="s">
        <v>11448</v>
      </c>
      <c r="AA111" t="s">
        <v>15292</v>
      </c>
      <c r="AB111" t="s">
        <v>15967</v>
      </c>
      <c r="AC111">
        <v>6</v>
      </c>
      <c r="AD111" t="s">
        <v>19566</v>
      </c>
      <c r="AE111" t="s">
        <v>19581</v>
      </c>
      <c r="AF111">
        <v>10</v>
      </c>
      <c r="AG111">
        <v>1</v>
      </c>
      <c r="AH111">
        <v>2</v>
      </c>
      <c r="AI111">
        <v>0</v>
      </c>
      <c r="AL111" t="s">
        <v>19614</v>
      </c>
      <c r="AM111">
        <v>0</v>
      </c>
      <c r="AS111">
        <v>1.5</v>
      </c>
      <c r="AT111" t="s">
        <v>312</v>
      </c>
      <c r="AU111" t="s">
        <v>95</v>
      </c>
      <c r="AV111" t="s">
        <v>20734</v>
      </c>
    </row>
    <row r="112" spans="1:48">
      <c r="A112" s="1">
        <f>HYPERLINK("https://lsnyc.legalserver.org/matter/dynamic-profile/view/1909370","19-1909370")</f>
        <v>0</v>
      </c>
      <c r="B112" t="s">
        <v>69</v>
      </c>
      <c r="C112" t="s">
        <v>256</v>
      </c>
      <c r="D112" t="s">
        <v>339</v>
      </c>
      <c r="F112" t="s">
        <v>1215</v>
      </c>
      <c r="G112" t="s">
        <v>3411</v>
      </c>
      <c r="H112" t="s">
        <v>5748</v>
      </c>
      <c r="I112" t="s">
        <v>8156</v>
      </c>
      <c r="J112" t="s">
        <v>9059</v>
      </c>
      <c r="K112">
        <v>11233</v>
      </c>
      <c r="L112" t="s">
        <v>9094</v>
      </c>
      <c r="M112" t="s">
        <v>9095</v>
      </c>
      <c r="N112" t="s">
        <v>9155</v>
      </c>
      <c r="O112" t="s">
        <v>11139</v>
      </c>
      <c r="R112" t="s">
        <v>11180</v>
      </c>
      <c r="S112" t="s">
        <v>9096</v>
      </c>
      <c r="T112" t="s">
        <v>11184</v>
      </c>
      <c r="U112" t="s">
        <v>11201</v>
      </c>
      <c r="W112">
        <v>980</v>
      </c>
      <c r="X112" t="s">
        <v>11332</v>
      </c>
      <c r="Y112" t="s">
        <v>11340</v>
      </c>
      <c r="Z112" t="s">
        <v>11441</v>
      </c>
      <c r="AA112" t="s">
        <v>9144</v>
      </c>
      <c r="AB112" t="s">
        <v>15962</v>
      </c>
      <c r="AC112">
        <v>1117</v>
      </c>
      <c r="AD112" t="s">
        <v>19566</v>
      </c>
      <c r="AE112" t="s">
        <v>19584</v>
      </c>
      <c r="AF112">
        <v>35</v>
      </c>
      <c r="AG112">
        <v>1</v>
      </c>
      <c r="AH112">
        <v>2</v>
      </c>
      <c r="AI112">
        <v>0</v>
      </c>
      <c r="AL112" t="s">
        <v>19614</v>
      </c>
      <c r="AM112">
        <v>0</v>
      </c>
      <c r="AN112" t="s">
        <v>19657</v>
      </c>
      <c r="AS112">
        <v>16</v>
      </c>
      <c r="AT112" t="s">
        <v>1130</v>
      </c>
      <c r="AU112" t="s">
        <v>95</v>
      </c>
      <c r="AV112" t="s">
        <v>20733</v>
      </c>
    </row>
    <row r="113" spans="1:48">
      <c r="A113" s="1">
        <f>HYPERLINK("https://lsnyc.legalserver.org/matter/dynamic-profile/view/1911716","19-1911716")</f>
        <v>0</v>
      </c>
      <c r="B113" t="s">
        <v>69</v>
      </c>
      <c r="C113" t="s">
        <v>257</v>
      </c>
      <c r="D113" t="s">
        <v>290</v>
      </c>
      <c r="E113" t="s">
        <v>484</v>
      </c>
      <c r="F113" t="s">
        <v>1223</v>
      </c>
      <c r="G113" t="s">
        <v>3416</v>
      </c>
      <c r="H113" t="s">
        <v>5766</v>
      </c>
      <c r="I113">
        <v>7</v>
      </c>
      <c r="J113" t="s">
        <v>9059</v>
      </c>
      <c r="K113">
        <v>11233</v>
      </c>
      <c r="L113" t="s">
        <v>9094</v>
      </c>
      <c r="M113" t="s">
        <v>9095</v>
      </c>
      <c r="N113" t="s">
        <v>9121</v>
      </c>
      <c r="O113" t="s">
        <v>11140</v>
      </c>
      <c r="P113" t="s">
        <v>11164</v>
      </c>
      <c r="Q113" t="s">
        <v>11172</v>
      </c>
      <c r="R113" t="s">
        <v>11180</v>
      </c>
      <c r="S113" t="s">
        <v>9096</v>
      </c>
      <c r="T113" t="s">
        <v>11184</v>
      </c>
      <c r="V113" t="s">
        <v>263</v>
      </c>
      <c r="W113">
        <v>871</v>
      </c>
      <c r="X113" t="s">
        <v>11332</v>
      </c>
      <c r="Y113" t="s">
        <v>11157</v>
      </c>
      <c r="Z113" t="s">
        <v>11449</v>
      </c>
      <c r="AB113" t="s">
        <v>15968</v>
      </c>
      <c r="AC113">
        <v>8</v>
      </c>
      <c r="AD113" t="s">
        <v>19566</v>
      </c>
      <c r="AE113" t="s">
        <v>19580</v>
      </c>
      <c r="AF113">
        <v>0</v>
      </c>
      <c r="AG113">
        <v>2</v>
      </c>
      <c r="AH113">
        <v>0</v>
      </c>
      <c r="AI113">
        <v>0</v>
      </c>
      <c r="AL113" t="s">
        <v>19614</v>
      </c>
      <c r="AM113">
        <v>0</v>
      </c>
      <c r="AS113">
        <v>1.75</v>
      </c>
      <c r="AT113" t="s">
        <v>484</v>
      </c>
      <c r="AU113" t="s">
        <v>79</v>
      </c>
      <c r="AV113" t="s">
        <v>20733</v>
      </c>
    </row>
    <row r="114" spans="1:48">
      <c r="A114" s="1">
        <f>HYPERLINK("https://lsnyc.legalserver.org/matter/dynamic-profile/view/1851961","17-1851961")</f>
        <v>0</v>
      </c>
      <c r="B114" t="s">
        <v>71</v>
      </c>
      <c r="C114" t="s">
        <v>256</v>
      </c>
      <c r="D114" t="s">
        <v>340</v>
      </c>
      <c r="F114" t="s">
        <v>1224</v>
      </c>
      <c r="G114" t="s">
        <v>3417</v>
      </c>
      <c r="H114" t="s">
        <v>5749</v>
      </c>
      <c r="I114" t="s">
        <v>8162</v>
      </c>
      <c r="J114" t="s">
        <v>9059</v>
      </c>
      <c r="K114">
        <v>11233</v>
      </c>
      <c r="L114" t="s">
        <v>9094</v>
      </c>
      <c r="M114" t="s">
        <v>9094</v>
      </c>
      <c r="P114" t="s">
        <v>11165</v>
      </c>
      <c r="R114" t="s">
        <v>11180</v>
      </c>
      <c r="S114" t="s">
        <v>9094</v>
      </c>
      <c r="T114" t="s">
        <v>11183</v>
      </c>
      <c r="V114" t="s">
        <v>364</v>
      </c>
      <c r="W114">
        <v>776</v>
      </c>
      <c r="X114" t="s">
        <v>11332</v>
      </c>
      <c r="Y114" t="s">
        <v>11348</v>
      </c>
      <c r="Z114" t="s">
        <v>11450</v>
      </c>
      <c r="AA114" t="s">
        <v>9144</v>
      </c>
      <c r="AB114" t="s">
        <v>15969</v>
      </c>
      <c r="AC114">
        <v>764</v>
      </c>
      <c r="AD114" t="s">
        <v>19566</v>
      </c>
      <c r="AE114" t="s">
        <v>9144</v>
      </c>
      <c r="AF114">
        <v>29</v>
      </c>
      <c r="AG114">
        <v>1</v>
      </c>
      <c r="AH114">
        <v>0</v>
      </c>
      <c r="AI114">
        <v>0</v>
      </c>
      <c r="AL114" t="s">
        <v>19614</v>
      </c>
      <c r="AM114">
        <v>0</v>
      </c>
      <c r="AS114">
        <v>23.7</v>
      </c>
      <c r="AT114" t="s">
        <v>395</v>
      </c>
      <c r="AU114" t="s">
        <v>95</v>
      </c>
    </row>
    <row r="115" spans="1:48">
      <c r="A115" s="1">
        <f>HYPERLINK("https://lsnyc.legalserver.org/matter/dynamic-profile/view/1906163","19-1906163")</f>
        <v>0</v>
      </c>
      <c r="B115" t="s">
        <v>82</v>
      </c>
      <c r="C115" t="s">
        <v>256</v>
      </c>
      <c r="D115" t="s">
        <v>282</v>
      </c>
      <c r="F115" t="s">
        <v>1209</v>
      </c>
      <c r="G115" t="s">
        <v>3418</v>
      </c>
      <c r="H115" t="s">
        <v>5767</v>
      </c>
      <c r="I115" t="s">
        <v>8141</v>
      </c>
      <c r="J115" t="s">
        <v>9059</v>
      </c>
      <c r="K115">
        <v>11232</v>
      </c>
      <c r="L115" t="s">
        <v>9094</v>
      </c>
      <c r="M115" t="s">
        <v>9095</v>
      </c>
      <c r="N115" t="s">
        <v>9162</v>
      </c>
      <c r="O115" t="s">
        <v>11128</v>
      </c>
      <c r="P115" t="s">
        <v>11164</v>
      </c>
      <c r="R115" t="s">
        <v>11180</v>
      </c>
      <c r="S115" t="s">
        <v>9096</v>
      </c>
      <c r="T115" t="s">
        <v>11183</v>
      </c>
      <c r="U115" t="s">
        <v>11201</v>
      </c>
      <c r="V115" t="s">
        <v>330</v>
      </c>
      <c r="W115">
        <v>600</v>
      </c>
      <c r="X115" t="s">
        <v>11332</v>
      </c>
      <c r="Y115" t="s">
        <v>11336</v>
      </c>
      <c r="Z115" t="s">
        <v>11451</v>
      </c>
      <c r="AA115" t="s">
        <v>9144</v>
      </c>
      <c r="AB115" t="s">
        <v>15970</v>
      </c>
      <c r="AC115">
        <v>6</v>
      </c>
      <c r="AD115" t="s">
        <v>15441</v>
      </c>
      <c r="AE115" t="s">
        <v>9144</v>
      </c>
      <c r="AF115">
        <v>22</v>
      </c>
      <c r="AG115">
        <v>1</v>
      </c>
      <c r="AH115">
        <v>0</v>
      </c>
      <c r="AI115">
        <v>0</v>
      </c>
      <c r="AL115" t="s">
        <v>19614</v>
      </c>
      <c r="AM115">
        <v>0</v>
      </c>
      <c r="AS115">
        <v>49.6</v>
      </c>
      <c r="AT115" t="s">
        <v>594</v>
      </c>
      <c r="AU115" t="s">
        <v>20625</v>
      </c>
      <c r="AV115" t="s">
        <v>20733</v>
      </c>
    </row>
    <row r="116" spans="1:48">
      <c r="A116" s="1">
        <f>HYPERLINK("https://lsnyc.legalserver.org/matter/dynamic-profile/view/1910440","19-1910440")</f>
        <v>0</v>
      </c>
      <c r="B116" t="s">
        <v>83</v>
      </c>
      <c r="C116" t="s">
        <v>256</v>
      </c>
      <c r="D116" t="s">
        <v>341</v>
      </c>
      <c r="F116" t="s">
        <v>1225</v>
      </c>
      <c r="G116" t="s">
        <v>3010</v>
      </c>
      <c r="H116" t="s">
        <v>5768</v>
      </c>
      <c r="I116" t="s">
        <v>8163</v>
      </c>
      <c r="J116" t="s">
        <v>9059</v>
      </c>
      <c r="K116">
        <v>11231</v>
      </c>
      <c r="L116" t="s">
        <v>9094</v>
      </c>
      <c r="M116" t="s">
        <v>9095</v>
      </c>
      <c r="O116" t="s">
        <v>11137</v>
      </c>
      <c r="P116" t="s">
        <v>11166</v>
      </c>
      <c r="R116" t="s">
        <v>11180</v>
      </c>
      <c r="T116" t="s">
        <v>11183</v>
      </c>
      <c r="V116" t="s">
        <v>435</v>
      </c>
      <c r="W116">
        <v>0</v>
      </c>
      <c r="X116" t="s">
        <v>11332</v>
      </c>
      <c r="Z116" t="s">
        <v>11452</v>
      </c>
      <c r="AA116" t="s">
        <v>15293</v>
      </c>
      <c r="AB116" t="s">
        <v>15971</v>
      </c>
      <c r="AC116">
        <v>10</v>
      </c>
      <c r="AF116">
        <v>0</v>
      </c>
      <c r="AG116">
        <v>4</v>
      </c>
      <c r="AH116">
        <v>1</v>
      </c>
      <c r="AI116">
        <v>0</v>
      </c>
      <c r="AL116" t="s">
        <v>19614</v>
      </c>
      <c r="AM116">
        <v>0</v>
      </c>
      <c r="AS116">
        <v>1.6</v>
      </c>
      <c r="AT116" t="s">
        <v>295</v>
      </c>
      <c r="AU116" t="s">
        <v>215</v>
      </c>
    </row>
    <row r="117" spans="1:48">
      <c r="A117" s="1">
        <f>HYPERLINK("https://lsnyc.legalserver.org/matter/dynamic-profile/view/1875110","18-1875110")</f>
        <v>0</v>
      </c>
      <c r="B117" t="s">
        <v>83</v>
      </c>
      <c r="C117" t="s">
        <v>256</v>
      </c>
      <c r="D117" t="s">
        <v>342</v>
      </c>
      <c r="F117" t="s">
        <v>1225</v>
      </c>
      <c r="G117" t="s">
        <v>3010</v>
      </c>
      <c r="H117" t="s">
        <v>5768</v>
      </c>
      <c r="I117" t="s">
        <v>8163</v>
      </c>
      <c r="J117" t="s">
        <v>9059</v>
      </c>
      <c r="K117">
        <v>11231</v>
      </c>
      <c r="L117" t="s">
        <v>9094</v>
      </c>
      <c r="M117" t="s">
        <v>9094</v>
      </c>
      <c r="O117" t="s">
        <v>11129</v>
      </c>
      <c r="P117" t="s">
        <v>11165</v>
      </c>
      <c r="R117" t="s">
        <v>11180</v>
      </c>
      <c r="S117" t="s">
        <v>9096</v>
      </c>
      <c r="T117" t="s">
        <v>11183</v>
      </c>
      <c r="V117" t="s">
        <v>945</v>
      </c>
      <c r="W117">
        <v>0</v>
      </c>
      <c r="X117" t="s">
        <v>11332</v>
      </c>
      <c r="Z117" t="s">
        <v>11452</v>
      </c>
      <c r="AA117" t="s">
        <v>15293</v>
      </c>
      <c r="AB117" t="s">
        <v>15971</v>
      </c>
      <c r="AC117">
        <v>10</v>
      </c>
      <c r="AF117">
        <v>0</v>
      </c>
      <c r="AG117">
        <v>4</v>
      </c>
      <c r="AH117">
        <v>1</v>
      </c>
      <c r="AI117">
        <v>0</v>
      </c>
      <c r="AL117" t="s">
        <v>19614</v>
      </c>
      <c r="AM117">
        <v>0</v>
      </c>
      <c r="AN117" t="s">
        <v>19658</v>
      </c>
      <c r="AS117">
        <v>35.6</v>
      </c>
      <c r="AT117" t="s">
        <v>1130</v>
      </c>
      <c r="AU117" t="s">
        <v>67</v>
      </c>
    </row>
    <row r="118" spans="1:48">
      <c r="A118" s="1">
        <f>HYPERLINK("https://lsnyc.legalserver.org/matter/dynamic-profile/view/1884282","18-1884282")</f>
        <v>0</v>
      </c>
      <c r="B118" t="s">
        <v>67</v>
      </c>
      <c r="C118" t="s">
        <v>256</v>
      </c>
      <c r="D118" t="s">
        <v>343</v>
      </c>
      <c r="F118" t="s">
        <v>1226</v>
      </c>
      <c r="G118" t="s">
        <v>3419</v>
      </c>
      <c r="H118" t="s">
        <v>5769</v>
      </c>
      <c r="I118" t="s">
        <v>8164</v>
      </c>
      <c r="J118" t="s">
        <v>9059</v>
      </c>
      <c r="K118">
        <v>11231</v>
      </c>
      <c r="L118" t="s">
        <v>9096</v>
      </c>
      <c r="M118" t="s">
        <v>9096</v>
      </c>
      <c r="P118" t="s">
        <v>11166</v>
      </c>
      <c r="R118" t="s">
        <v>11180</v>
      </c>
      <c r="T118" t="s">
        <v>11183</v>
      </c>
      <c r="V118" t="s">
        <v>11208</v>
      </c>
      <c r="W118">
        <v>0</v>
      </c>
      <c r="X118" t="s">
        <v>11332</v>
      </c>
      <c r="Z118" t="s">
        <v>11453</v>
      </c>
      <c r="AB118" t="s">
        <v>15972</v>
      </c>
      <c r="AC118">
        <v>0</v>
      </c>
      <c r="AF118">
        <v>0</v>
      </c>
      <c r="AG118">
        <v>2</v>
      </c>
      <c r="AH118">
        <v>0</v>
      </c>
      <c r="AI118">
        <v>0</v>
      </c>
      <c r="AL118" t="s">
        <v>19614</v>
      </c>
      <c r="AM118">
        <v>0</v>
      </c>
      <c r="AS118">
        <v>5.1</v>
      </c>
      <c r="AT118" t="s">
        <v>484</v>
      </c>
      <c r="AU118" t="s">
        <v>67</v>
      </c>
    </row>
    <row r="119" spans="1:48">
      <c r="A119" s="1">
        <f>HYPERLINK("https://lsnyc.legalserver.org/matter/dynamic-profile/view/1887248","19-1887248")</f>
        <v>0</v>
      </c>
      <c r="B119" t="s">
        <v>67</v>
      </c>
      <c r="C119" t="s">
        <v>257</v>
      </c>
      <c r="D119" t="s">
        <v>344</v>
      </c>
      <c r="E119" t="s">
        <v>779</v>
      </c>
      <c r="F119" t="s">
        <v>1227</v>
      </c>
      <c r="G119" t="s">
        <v>3374</v>
      </c>
      <c r="H119" t="s">
        <v>5770</v>
      </c>
      <c r="I119" t="s">
        <v>8140</v>
      </c>
      <c r="J119" t="s">
        <v>9059</v>
      </c>
      <c r="K119">
        <v>11231</v>
      </c>
      <c r="L119" t="s">
        <v>9095</v>
      </c>
      <c r="M119" t="s">
        <v>9095</v>
      </c>
      <c r="Q119" t="s">
        <v>11173</v>
      </c>
      <c r="R119" t="s">
        <v>11180</v>
      </c>
      <c r="T119" t="s">
        <v>11184</v>
      </c>
      <c r="W119">
        <v>0</v>
      </c>
      <c r="X119" t="s">
        <v>11332</v>
      </c>
      <c r="Z119" t="s">
        <v>11454</v>
      </c>
      <c r="AB119" t="s">
        <v>15973</v>
      </c>
      <c r="AC119">
        <v>0</v>
      </c>
      <c r="AF119">
        <v>0</v>
      </c>
      <c r="AG119">
        <v>2</v>
      </c>
      <c r="AH119">
        <v>2</v>
      </c>
      <c r="AI119">
        <v>0</v>
      </c>
      <c r="AL119" t="s">
        <v>19614</v>
      </c>
      <c r="AM119">
        <v>0</v>
      </c>
      <c r="AS119">
        <v>7.8</v>
      </c>
      <c r="AT119" t="s">
        <v>779</v>
      </c>
      <c r="AU119" t="s">
        <v>67</v>
      </c>
    </row>
    <row r="120" spans="1:48">
      <c r="A120" s="1">
        <f>HYPERLINK("https://lsnyc.legalserver.org/matter/dynamic-profile/view/1835046","17-1835046")</f>
        <v>0</v>
      </c>
      <c r="B120" t="s">
        <v>72</v>
      </c>
      <c r="C120" t="s">
        <v>256</v>
      </c>
      <c r="D120" t="s">
        <v>345</v>
      </c>
      <c r="F120" t="s">
        <v>1228</v>
      </c>
      <c r="G120" t="s">
        <v>3420</v>
      </c>
      <c r="H120" t="s">
        <v>5771</v>
      </c>
      <c r="I120" t="s">
        <v>8165</v>
      </c>
      <c r="J120" t="s">
        <v>9059</v>
      </c>
      <c r="K120">
        <v>11230</v>
      </c>
      <c r="L120" t="s">
        <v>9094</v>
      </c>
      <c r="M120" t="s">
        <v>9095</v>
      </c>
      <c r="N120" t="s">
        <v>9163</v>
      </c>
      <c r="O120" t="s">
        <v>11128</v>
      </c>
      <c r="P120" t="s">
        <v>11165</v>
      </c>
      <c r="R120" t="s">
        <v>11180</v>
      </c>
      <c r="S120" t="s">
        <v>9094</v>
      </c>
      <c r="T120" t="s">
        <v>11183</v>
      </c>
      <c r="V120" t="s">
        <v>11209</v>
      </c>
      <c r="W120">
        <v>946</v>
      </c>
      <c r="X120" t="s">
        <v>11332</v>
      </c>
      <c r="Y120" t="s">
        <v>11349</v>
      </c>
      <c r="Z120" t="s">
        <v>11455</v>
      </c>
      <c r="AA120" t="s">
        <v>9171</v>
      </c>
      <c r="AB120" t="s">
        <v>15974</v>
      </c>
      <c r="AC120">
        <v>20</v>
      </c>
      <c r="AD120" t="s">
        <v>19566</v>
      </c>
      <c r="AE120" t="s">
        <v>9144</v>
      </c>
      <c r="AF120">
        <v>6</v>
      </c>
      <c r="AG120">
        <v>1</v>
      </c>
      <c r="AH120">
        <v>0</v>
      </c>
      <c r="AI120">
        <v>0</v>
      </c>
      <c r="AJ120" t="s">
        <v>11269</v>
      </c>
      <c r="AK120" t="s">
        <v>19609</v>
      </c>
      <c r="AL120" t="s">
        <v>19614</v>
      </c>
      <c r="AM120">
        <v>0</v>
      </c>
      <c r="AS120">
        <v>768.8</v>
      </c>
      <c r="AT120" t="s">
        <v>377</v>
      </c>
      <c r="AU120" t="s">
        <v>95</v>
      </c>
    </row>
    <row r="121" spans="1:48">
      <c r="A121" s="1">
        <f>HYPERLINK("https://lsnyc.legalserver.org/matter/dynamic-profile/view/1879947","18-1879947")</f>
        <v>0</v>
      </c>
      <c r="B121" t="s">
        <v>67</v>
      </c>
      <c r="C121" t="s">
        <v>256</v>
      </c>
      <c r="D121" t="s">
        <v>313</v>
      </c>
      <c r="F121" t="s">
        <v>1229</v>
      </c>
      <c r="G121" t="s">
        <v>3421</v>
      </c>
      <c r="H121" t="s">
        <v>5772</v>
      </c>
      <c r="I121" t="s">
        <v>8166</v>
      </c>
      <c r="J121" t="s">
        <v>9059</v>
      </c>
      <c r="K121">
        <v>11230</v>
      </c>
      <c r="L121" t="s">
        <v>9094</v>
      </c>
      <c r="M121" t="s">
        <v>9094</v>
      </c>
      <c r="O121" t="s">
        <v>11133</v>
      </c>
      <c r="P121" t="s">
        <v>11167</v>
      </c>
      <c r="R121" t="s">
        <v>11180</v>
      </c>
      <c r="S121" t="s">
        <v>9094</v>
      </c>
      <c r="T121" t="s">
        <v>11183</v>
      </c>
      <c r="V121" t="s">
        <v>283</v>
      </c>
      <c r="W121">
        <v>0</v>
      </c>
      <c r="X121" t="s">
        <v>11332</v>
      </c>
      <c r="Z121" t="s">
        <v>11456</v>
      </c>
      <c r="AC121">
        <v>51</v>
      </c>
      <c r="AF121">
        <v>0</v>
      </c>
      <c r="AG121">
        <v>2</v>
      </c>
      <c r="AH121">
        <v>0</v>
      </c>
      <c r="AI121">
        <v>0</v>
      </c>
      <c r="AL121" t="s">
        <v>19614</v>
      </c>
      <c r="AM121">
        <v>0</v>
      </c>
      <c r="AN121" t="s">
        <v>19659</v>
      </c>
      <c r="AS121">
        <v>1</v>
      </c>
      <c r="AT121" t="s">
        <v>321</v>
      </c>
      <c r="AU121" t="s">
        <v>67</v>
      </c>
    </row>
    <row r="122" spans="1:48">
      <c r="A122" s="1">
        <f>HYPERLINK("https://lsnyc.legalserver.org/matter/dynamic-profile/view/1878570","18-1878570")</f>
        <v>0</v>
      </c>
      <c r="B122" t="s">
        <v>82</v>
      </c>
      <c r="C122" t="s">
        <v>256</v>
      </c>
      <c r="D122" t="s">
        <v>346</v>
      </c>
      <c r="F122" t="s">
        <v>1230</v>
      </c>
      <c r="G122" t="s">
        <v>3422</v>
      </c>
      <c r="H122" t="s">
        <v>5773</v>
      </c>
      <c r="I122" t="s">
        <v>8167</v>
      </c>
      <c r="J122" t="s">
        <v>9059</v>
      </c>
      <c r="K122">
        <v>11226</v>
      </c>
      <c r="L122" t="s">
        <v>9094</v>
      </c>
      <c r="M122" t="s">
        <v>9095</v>
      </c>
      <c r="O122" t="s">
        <v>11132</v>
      </c>
      <c r="P122" t="s">
        <v>11166</v>
      </c>
      <c r="R122" t="s">
        <v>11180</v>
      </c>
      <c r="S122" t="s">
        <v>9096</v>
      </c>
      <c r="T122" t="s">
        <v>11183</v>
      </c>
      <c r="V122" t="s">
        <v>346</v>
      </c>
      <c r="W122">
        <v>1038</v>
      </c>
      <c r="X122" t="s">
        <v>11332</v>
      </c>
      <c r="Y122" t="s">
        <v>11340</v>
      </c>
      <c r="Z122" t="s">
        <v>11457</v>
      </c>
      <c r="AB122" t="s">
        <v>15975</v>
      </c>
      <c r="AC122">
        <v>55</v>
      </c>
      <c r="AD122" t="s">
        <v>19566</v>
      </c>
      <c r="AF122">
        <v>28</v>
      </c>
      <c r="AG122">
        <v>2</v>
      </c>
      <c r="AH122">
        <v>2</v>
      </c>
      <c r="AI122">
        <v>0</v>
      </c>
      <c r="AL122" t="s">
        <v>19614</v>
      </c>
      <c r="AM122">
        <v>0</v>
      </c>
      <c r="AN122" t="s">
        <v>19660</v>
      </c>
      <c r="AS122">
        <v>34.8</v>
      </c>
      <c r="AT122" t="s">
        <v>359</v>
      </c>
      <c r="AU122" t="s">
        <v>20628</v>
      </c>
    </row>
    <row r="123" spans="1:48">
      <c r="A123" s="1">
        <f>HYPERLINK("https://lsnyc.legalserver.org/matter/dynamic-profile/view/1884078","18-1884078")</f>
        <v>0</v>
      </c>
      <c r="B123" t="s">
        <v>65</v>
      </c>
      <c r="C123" t="s">
        <v>256</v>
      </c>
      <c r="D123" t="s">
        <v>347</v>
      </c>
      <c r="F123" t="s">
        <v>1231</v>
      </c>
      <c r="G123" t="s">
        <v>3423</v>
      </c>
      <c r="H123" t="s">
        <v>5774</v>
      </c>
      <c r="I123" t="s">
        <v>8160</v>
      </c>
      <c r="J123" t="s">
        <v>9059</v>
      </c>
      <c r="K123">
        <v>11226</v>
      </c>
      <c r="L123" t="s">
        <v>9096</v>
      </c>
      <c r="M123" t="s">
        <v>9094</v>
      </c>
      <c r="N123" t="s">
        <v>9164</v>
      </c>
      <c r="O123" t="s">
        <v>11134</v>
      </c>
      <c r="P123" t="s">
        <v>11168</v>
      </c>
      <c r="R123" t="s">
        <v>11180</v>
      </c>
      <c r="S123" t="s">
        <v>9094</v>
      </c>
      <c r="T123" t="s">
        <v>11183</v>
      </c>
      <c r="U123" t="s">
        <v>11201</v>
      </c>
      <c r="V123" t="s">
        <v>347</v>
      </c>
      <c r="W123">
        <v>966.09</v>
      </c>
      <c r="X123" t="s">
        <v>11332</v>
      </c>
      <c r="Y123" t="s">
        <v>11339</v>
      </c>
      <c r="Z123" t="s">
        <v>11458</v>
      </c>
      <c r="AC123">
        <v>43</v>
      </c>
      <c r="AD123" t="s">
        <v>19566</v>
      </c>
      <c r="AF123">
        <v>17</v>
      </c>
      <c r="AG123">
        <v>2</v>
      </c>
      <c r="AH123">
        <v>0</v>
      </c>
      <c r="AI123">
        <v>0</v>
      </c>
      <c r="AL123" t="s">
        <v>19614</v>
      </c>
      <c r="AM123">
        <v>0</v>
      </c>
      <c r="AO123" t="s">
        <v>20293</v>
      </c>
      <c r="AS123">
        <v>0.3</v>
      </c>
      <c r="AT123" t="s">
        <v>288</v>
      </c>
      <c r="AU123" t="s">
        <v>215</v>
      </c>
    </row>
    <row r="124" spans="1:48">
      <c r="A124" s="1">
        <f>HYPERLINK("https://lsnyc.legalserver.org/matter/dynamic-profile/view/1889282","19-1889282")</f>
        <v>0</v>
      </c>
      <c r="B124" t="s">
        <v>66</v>
      </c>
      <c r="C124" t="s">
        <v>256</v>
      </c>
      <c r="D124" t="s">
        <v>348</v>
      </c>
      <c r="F124" t="s">
        <v>1231</v>
      </c>
      <c r="G124" t="s">
        <v>3423</v>
      </c>
      <c r="H124" t="s">
        <v>5774</v>
      </c>
      <c r="I124" t="s">
        <v>8160</v>
      </c>
      <c r="J124" t="s">
        <v>9059</v>
      </c>
      <c r="K124">
        <v>11226</v>
      </c>
      <c r="L124" t="s">
        <v>9096</v>
      </c>
      <c r="M124" t="s">
        <v>9094</v>
      </c>
      <c r="O124" t="s">
        <v>11134</v>
      </c>
      <c r="P124" t="s">
        <v>11168</v>
      </c>
      <c r="R124" t="s">
        <v>11180</v>
      </c>
      <c r="T124" t="s">
        <v>11183</v>
      </c>
      <c r="V124" t="s">
        <v>402</v>
      </c>
      <c r="W124">
        <v>966.09</v>
      </c>
      <c r="X124" t="s">
        <v>11332</v>
      </c>
      <c r="Z124" t="s">
        <v>11458</v>
      </c>
      <c r="AC124">
        <v>0</v>
      </c>
      <c r="AF124">
        <v>17</v>
      </c>
      <c r="AG124">
        <v>2</v>
      </c>
      <c r="AH124">
        <v>0</v>
      </c>
      <c r="AI124">
        <v>0</v>
      </c>
      <c r="AL124" t="s">
        <v>19614</v>
      </c>
      <c r="AM124">
        <v>0</v>
      </c>
      <c r="AS124">
        <v>0</v>
      </c>
      <c r="AU124" t="s">
        <v>215</v>
      </c>
    </row>
    <row r="125" spans="1:48">
      <c r="A125" s="1">
        <f>HYPERLINK("https://lsnyc.legalserver.org/matter/dynamic-profile/view/1889338","19-1889338")</f>
        <v>0</v>
      </c>
      <c r="B125" t="s">
        <v>66</v>
      </c>
      <c r="C125" t="s">
        <v>256</v>
      </c>
      <c r="D125" t="s">
        <v>348</v>
      </c>
      <c r="F125" t="s">
        <v>1146</v>
      </c>
      <c r="G125" t="s">
        <v>3424</v>
      </c>
      <c r="H125" t="s">
        <v>5774</v>
      </c>
      <c r="I125" t="s">
        <v>8134</v>
      </c>
      <c r="J125" t="s">
        <v>9059</v>
      </c>
      <c r="K125">
        <v>11226</v>
      </c>
      <c r="L125" t="s">
        <v>9096</v>
      </c>
      <c r="M125" t="s">
        <v>9094</v>
      </c>
      <c r="O125" t="s">
        <v>11134</v>
      </c>
      <c r="P125" t="s">
        <v>11168</v>
      </c>
      <c r="R125" t="s">
        <v>11180</v>
      </c>
      <c r="S125" t="s">
        <v>9094</v>
      </c>
      <c r="T125" t="s">
        <v>11183</v>
      </c>
      <c r="V125" t="s">
        <v>402</v>
      </c>
      <c r="W125">
        <v>945.2</v>
      </c>
      <c r="X125" t="s">
        <v>11332</v>
      </c>
      <c r="Z125" t="s">
        <v>11459</v>
      </c>
      <c r="AC125">
        <v>0</v>
      </c>
      <c r="AF125">
        <v>20</v>
      </c>
      <c r="AG125">
        <v>1</v>
      </c>
      <c r="AH125">
        <v>0</v>
      </c>
      <c r="AI125">
        <v>0</v>
      </c>
      <c r="AL125" t="s">
        <v>19615</v>
      </c>
      <c r="AM125">
        <v>0</v>
      </c>
      <c r="AS125">
        <v>0</v>
      </c>
      <c r="AU125" t="s">
        <v>215</v>
      </c>
    </row>
    <row r="126" spans="1:48">
      <c r="A126" s="1">
        <f>HYPERLINK("https://lsnyc.legalserver.org/matter/dynamic-profile/view/1889346","19-1889346")</f>
        <v>0</v>
      </c>
      <c r="B126" t="s">
        <v>66</v>
      </c>
      <c r="C126" t="s">
        <v>256</v>
      </c>
      <c r="D126" t="s">
        <v>348</v>
      </c>
      <c r="F126" t="s">
        <v>1232</v>
      </c>
      <c r="G126" t="s">
        <v>3083</v>
      </c>
      <c r="H126" t="s">
        <v>5774</v>
      </c>
      <c r="I126" t="s">
        <v>8168</v>
      </c>
      <c r="J126" t="s">
        <v>9059</v>
      </c>
      <c r="K126">
        <v>11226</v>
      </c>
      <c r="L126" t="s">
        <v>9096</v>
      </c>
      <c r="M126" t="s">
        <v>9094</v>
      </c>
      <c r="O126" t="s">
        <v>11134</v>
      </c>
      <c r="P126" t="s">
        <v>11166</v>
      </c>
      <c r="R126" t="s">
        <v>11180</v>
      </c>
      <c r="S126" t="s">
        <v>9094</v>
      </c>
      <c r="T126" t="s">
        <v>11183</v>
      </c>
      <c r="V126" t="s">
        <v>402</v>
      </c>
      <c r="W126">
        <v>820</v>
      </c>
      <c r="X126" t="s">
        <v>11332</v>
      </c>
      <c r="Z126" t="s">
        <v>11460</v>
      </c>
      <c r="AC126">
        <v>0</v>
      </c>
      <c r="AF126">
        <v>32</v>
      </c>
      <c r="AG126">
        <v>4</v>
      </c>
      <c r="AH126">
        <v>2</v>
      </c>
      <c r="AI126">
        <v>0</v>
      </c>
      <c r="AL126" t="s">
        <v>19614</v>
      </c>
      <c r="AM126">
        <v>0</v>
      </c>
      <c r="AS126">
        <v>0</v>
      </c>
      <c r="AU126" t="s">
        <v>215</v>
      </c>
    </row>
    <row r="127" spans="1:48">
      <c r="A127" s="1">
        <f>HYPERLINK("https://lsnyc.legalserver.org/matter/dynamic-profile/view/1875936","18-1875936")</f>
        <v>0</v>
      </c>
      <c r="B127" t="s">
        <v>65</v>
      </c>
      <c r="C127" t="s">
        <v>256</v>
      </c>
      <c r="D127" t="s">
        <v>349</v>
      </c>
      <c r="F127" t="s">
        <v>1230</v>
      </c>
      <c r="G127" t="s">
        <v>3422</v>
      </c>
      <c r="H127" t="s">
        <v>5773</v>
      </c>
      <c r="I127" t="s">
        <v>8167</v>
      </c>
      <c r="J127" t="s">
        <v>9059</v>
      </c>
      <c r="K127">
        <v>11226</v>
      </c>
      <c r="L127" t="s">
        <v>9094</v>
      </c>
      <c r="M127" t="s">
        <v>9094</v>
      </c>
      <c r="N127" t="s">
        <v>9165</v>
      </c>
      <c r="O127" t="s">
        <v>11130</v>
      </c>
      <c r="P127" t="s">
        <v>11165</v>
      </c>
      <c r="R127" t="s">
        <v>11180</v>
      </c>
      <c r="S127" t="s">
        <v>9094</v>
      </c>
      <c r="T127" t="s">
        <v>11183</v>
      </c>
      <c r="U127" t="s">
        <v>11201</v>
      </c>
      <c r="V127" t="s">
        <v>11210</v>
      </c>
      <c r="W127">
        <v>1031.15</v>
      </c>
      <c r="X127" t="s">
        <v>11332</v>
      </c>
      <c r="Y127" t="s">
        <v>11346</v>
      </c>
      <c r="Z127" t="s">
        <v>11457</v>
      </c>
      <c r="AB127" t="s">
        <v>15975</v>
      </c>
      <c r="AC127">
        <v>55</v>
      </c>
      <c r="AD127" t="s">
        <v>19566</v>
      </c>
      <c r="AF127">
        <v>28</v>
      </c>
      <c r="AG127">
        <v>2</v>
      </c>
      <c r="AH127">
        <v>2</v>
      </c>
      <c r="AI127">
        <v>0</v>
      </c>
      <c r="AL127" t="s">
        <v>19614</v>
      </c>
      <c r="AM127">
        <v>0</v>
      </c>
      <c r="AO127" t="s">
        <v>20295</v>
      </c>
      <c r="AP127" t="s">
        <v>20314</v>
      </c>
      <c r="AQ127" t="s">
        <v>20369</v>
      </c>
      <c r="AS127">
        <v>235.25</v>
      </c>
      <c r="AT127" t="s">
        <v>334</v>
      </c>
      <c r="AU127" t="s">
        <v>65</v>
      </c>
    </row>
    <row r="128" spans="1:48">
      <c r="A128" s="1">
        <f>HYPERLINK("https://lsnyc.legalserver.org/matter/dynamic-profile/view/1896386","19-1896386")</f>
        <v>0</v>
      </c>
      <c r="B128" t="s">
        <v>84</v>
      </c>
      <c r="C128" t="s">
        <v>256</v>
      </c>
      <c r="D128" t="s">
        <v>350</v>
      </c>
      <c r="F128" t="s">
        <v>1233</v>
      </c>
      <c r="G128" t="s">
        <v>1362</v>
      </c>
      <c r="H128" t="s">
        <v>5775</v>
      </c>
      <c r="I128">
        <v>8</v>
      </c>
      <c r="J128" t="s">
        <v>9059</v>
      </c>
      <c r="K128">
        <v>11226</v>
      </c>
      <c r="L128" t="s">
        <v>9094</v>
      </c>
      <c r="M128" t="s">
        <v>9096</v>
      </c>
      <c r="O128" t="s">
        <v>11130</v>
      </c>
      <c r="P128" t="s">
        <v>11167</v>
      </c>
      <c r="R128" t="s">
        <v>11180</v>
      </c>
      <c r="S128" t="s">
        <v>9094</v>
      </c>
      <c r="T128" t="s">
        <v>11183</v>
      </c>
      <c r="V128" t="s">
        <v>300</v>
      </c>
      <c r="W128">
        <v>0</v>
      </c>
      <c r="X128" t="s">
        <v>11332</v>
      </c>
      <c r="Z128" t="s">
        <v>11422</v>
      </c>
      <c r="AC128">
        <v>0</v>
      </c>
      <c r="AF128">
        <v>0</v>
      </c>
      <c r="AG128">
        <v>2</v>
      </c>
      <c r="AH128">
        <v>1</v>
      </c>
      <c r="AI128">
        <v>0</v>
      </c>
      <c r="AL128" t="s">
        <v>19614</v>
      </c>
      <c r="AM128">
        <v>0</v>
      </c>
      <c r="AS128">
        <v>0.7</v>
      </c>
      <c r="AT128" t="s">
        <v>268</v>
      </c>
      <c r="AU128" t="s">
        <v>67</v>
      </c>
    </row>
    <row r="129" spans="1:48">
      <c r="A129" s="1">
        <f>HYPERLINK("https://lsnyc.legalserver.org/matter/dynamic-profile/view/1910612","19-1910612")</f>
        <v>0</v>
      </c>
      <c r="B129" t="s">
        <v>82</v>
      </c>
      <c r="C129" t="s">
        <v>256</v>
      </c>
      <c r="D129" t="s">
        <v>259</v>
      </c>
      <c r="F129" t="s">
        <v>1234</v>
      </c>
      <c r="G129" t="s">
        <v>1145</v>
      </c>
      <c r="H129" t="s">
        <v>5776</v>
      </c>
      <c r="I129" t="s">
        <v>8169</v>
      </c>
      <c r="J129" t="s">
        <v>9059</v>
      </c>
      <c r="K129">
        <v>11226</v>
      </c>
      <c r="L129" t="s">
        <v>9094</v>
      </c>
      <c r="M129" t="s">
        <v>9095</v>
      </c>
      <c r="O129" t="s">
        <v>11130</v>
      </c>
      <c r="P129" t="s">
        <v>11165</v>
      </c>
      <c r="R129" t="s">
        <v>11180</v>
      </c>
      <c r="S129" t="s">
        <v>9094</v>
      </c>
      <c r="T129" t="s">
        <v>11183</v>
      </c>
      <c r="U129" t="s">
        <v>11201</v>
      </c>
      <c r="V129" t="s">
        <v>259</v>
      </c>
      <c r="W129">
        <v>820</v>
      </c>
      <c r="X129" t="s">
        <v>11332</v>
      </c>
      <c r="Y129" t="s">
        <v>11346</v>
      </c>
      <c r="AC129">
        <v>16</v>
      </c>
      <c r="AD129" t="s">
        <v>19566</v>
      </c>
      <c r="AF129">
        <v>15</v>
      </c>
      <c r="AG129">
        <v>1</v>
      </c>
      <c r="AH129">
        <v>0</v>
      </c>
      <c r="AI129">
        <v>0</v>
      </c>
      <c r="AL129" t="s">
        <v>19614</v>
      </c>
      <c r="AM129">
        <v>0</v>
      </c>
      <c r="AS129">
        <v>0.2</v>
      </c>
      <c r="AT129" t="s">
        <v>259</v>
      </c>
      <c r="AU129" t="s">
        <v>67</v>
      </c>
    </row>
    <row r="130" spans="1:48">
      <c r="A130" s="1">
        <f>HYPERLINK("https://lsnyc.legalserver.org/matter/dynamic-profile/view/1910619","19-1910619")</f>
        <v>0</v>
      </c>
      <c r="B130" t="s">
        <v>82</v>
      </c>
      <c r="C130" t="s">
        <v>256</v>
      </c>
      <c r="D130" t="s">
        <v>259</v>
      </c>
      <c r="F130" t="s">
        <v>1235</v>
      </c>
      <c r="G130" t="s">
        <v>3425</v>
      </c>
      <c r="H130" t="s">
        <v>5776</v>
      </c>
      <c r="I130" t="s">
        <v>8170</v>
      </c>
      <c r="J130" t="s">
        <v>9059</v>
      </c>
      <c r="K130">
        <v>11226</v>
      </c>
      <c r="L130" t="s">
        <v>9094</v>
      </c>
      <c r="M130" t="s">
        <v>9095</v>
      </c>
      <c r="O130" t="s">
        <v>11130</v>
      </c>
      <c r="P130" t="s">
        <v>11165</v>
      </c>
      <c r="R130" t="s">
        <v>11180</v>
      </c>
      <c r="S130" t="s">
        <v>9094</v>
      </c>
      <c r="T130" t="s">
        <v>11183</v>
      </c>
      <c r="U130" t="s">
        <v>11201</v>
      </c>
      <c r="V130" t="s">
        <v>259</v>
      </c>
      <c r="W130">
        <v>1375</v>
      </c>
      <c r="X130" t="s">
        <v>11332</v>
      </c>
      <c r="Y130" t="s">
        <v>11346</v>
      </c>
      <c r="Z130" t="s">
        <v>11461</v>
      </c>
      <c r="AA130" t="s">
        <v>15294</v>
      </c>
      <c r="AB130" t="s">
        <v>15976</v>
      </c>
      <c r="AC130">
        <v>16</v>
      </c>
      <c r="AD130" t="s">
        <v>19566</v>
      </c>
      <c r="AE130" t="s">
        <v>19585</v>
      </c>
      <c r="AF130">
        <v>9</v>
      </c>
      <c r="AG130">
        <v>1</v>
      </c>
      <c r="AH130">
        <v>0</v>
      </c>
      <c r="AI130">
        <v>0</v>
      </c>
      <c r="AL130" t="s">
        <v>19614</v>
      </c>
      <c r="AM130">
        <v>0</v>
      </c>
      <c r="AS130">
        <v>0.8</v>
      </c>
      <c r="AT130" t="s">
        <v>301</v>
      </c>
      <c r="AU130" t="s">
        <v>67</v>
      </c>
    </row>
    <row r="131" spans="1:48">
      <c r="A131" s="1">
        <f>HYPERLINK("https://lsnyc.legalserver.org/matter/dynamic-profile/view/1879880","18-1879880")</f>
        <v>0</v>
      </c>
      <c r="B131" t="s">
        <v>67</v>
      </c>
      <c r="C131" t="s">
        <v>256</v>
      </c>
      <c r="D131" t="s">
        <v>313</v>
      </c>
      <c r="F131" t="s">
        <v>1236</v>
      </c>
      <c r="G131" t="s">
        <v>3426</v>
      </c>
      <c r="H131" t="s">
        <v>5777</v>
      </c>
      <c r="J131" t="s">
        <v>9059</v>
      </c>
      <c r="K131">
        <v>11226</v>
      </c>
      <c r="L131" t="s">
        <v>9094</v>
      </c>
      <c r="M131" t="s">
        <v>9094</v>
      </c>
      <c r="O131" t="s">
        <v>11137</v>
      </c>
      <c r="P131" t="s">
        <v>11166</v>
      </c>
      <c r="R131" t="s">
        <v>11180</v>
      </c>
      <c r="T131" t="s">
        <v>11183</v>
      </c>
      <c r="V131" t="s">
        <v>313</v>
      </c>
      <c r="W131">
        <v>0</v>
      </c>
      <c r="X131" t="s">
        <v>11332</v>
      </c>
      <c r="Z131" t="s">
        <v>11462</v>
      </c>
      <c r="AB131" t="s">
        <v>15977</v>
      </c>
      <c r="AC131">
        <v>0</v>
      </c>
      <c r="AF131">
        <v>0</v>
      </c>
      <c r="AG131">
        <v>2</v>
      </c>
      <c r="AH131">
        <v>0</v>
      </c>
      <c r="AI131">
        <v>0</v>
      </c>
      <c r="AL131" t="s">
        <v>19614</v>
      </c>
      <c r="AM131">
        <v>0</v>
      </c>
      <c r="AS131">
        <v>4.5</v>
      </c>
      <c r="AT131" t="s">
        <v>988</v>
      </c>
      <c r="AU131" t="s">
        <v>67</v>
      </c>
    </row>
    <row r="132" spans="1:48">
      <c r="A132" s="1">
        <f>HYPERLINK("https://lsnyc.legalserver.org/matter/dynamic-profile/view/0819244","16-0819244")</f>
        <v>0</v>
      </c>
      <c r="B132" t="s">
        <v>85</v>
      </c>
      <c r="C132" t="s">
        <v>257</v>
      </c>
      <c r="D132" t="s">
        <v>351</v>
      </c>
      <c r="E132" t="s">
        <v>574</v>
      </c>
      <c r="F132" t="s">
        <v>1237</v>
      </c>
      <c r="G132" t="s">
        <v>3427</v>
      </c>
      <c r="H132" t="s">
        <v>5778</v>
      </c>
      <c r="I132" t="s">
        <v>8170</v>
      </c>
      <c r="J132" t="s">
        <v>9059</v>
      </c>
      <c r="K132">
        <v>11226</v>
      </c>
      <c r="L132" t="s">
        <v>9096</v>
      </c>
      <c r="M132" t="s">
        <v>9095</v>
      </c>
      <c r="N132" t="s">
        <v>9166</v>
      </c>
      <c r="O132" t="s">
        <v>11129</v>
      </c>
      <c r="P132" t="s">
        <v>11165</v>
      </c>
      <c r="Q132" t="s">
        <v>11174</v>
      </c>
      <c r="R132" t="s">
        <v>11180</v>
      </c>
      <c r="S132" t="s">
        <v>9094</v>
      </c>
      <c r="T132" t="s">
        <v>11183</v>
      </c>
      <c r="W132">
        <v>1560.44</v>
      </c>
      <c r="X132" t="s">
        <v>11332</v>
      </c>
      <c r="Y132" t="s">
        <v>11350</v>
      </c>
      <c r="Z132" t="s">
        <v>11463</v>
      </c>
      <c r="AB132" t="s">
        <v>15978</v>
      </c>
      <c r="AC132">
        <v>60</v>
      </c>
      <c r="AD132" t="s">
        <v>19566</v>
      </c>
      <c r="AE132" t="s">
        <v>19580</v>
      </c>
      <c r="AF132">
        <v>33</v>
      </c>
      <c r="AG132">
        <v>2</v>
      </c>
      <c r="AH132">
        <v>0</v>
      </c>
      <c r="AI132">
        <v>0</v>
      </c>
      <c r="AL132" t="s">
        <v>19614</v>
      </c>
      <c r="AM132">
        <v>0</v>
      </c>
      <c r="AS132">
        <v>68.55</v>
      </c>
      <c r="AT132" t="s">
        <v>574</v>
      </c>
      <c r="AU132" t="s">
        <v>20629</v>
      </c>
    </row>
    <row r="133" spans="1:48">
      <c r="A133" s="1">
        <f>HYPERLINK("https://lsnyc.legalserver.org/matter/dynamic-profile/view/1872177","18-1872177")</f>
        <v>0</v>
      </c>
      <c r="B133" t="s">
        <v>71</v>
      </c>
      <c r="C133" t="s">
        <v>256</v>
      </c>
      <c r="D133" t="s">
        <v>352</v>
      </c>
      <c r="F133" t="s">
        <v>1238</v>
      </c>
      <c r="G133" t="s">
        <v>3428</v>
      </c>
      <c r="H133" t="s">
        <v>5779</v>
      </c>
      <c r="I133" t="s">
        <v>8171</v>
      </c>
      <c r="J133" t="s">
        <v>9059</v>
      </c>
      <c r="K133">
        <v>11226</v>
      </c>
      <c r="L133" t="s">
        <v>9094</v>
      </c>
      <c r="M133" t="s">
        <v>9094</v>
      </c>
      <c r="N133" t="s">
        <v>9167</v>
      </c>
      <c r="O133" t="s">
        <v>11129</v>
      </c>
      <c r="P133" t="s">
        <v>11165</v>
      </c>
      <c r="R133" t="s">
        <v>11181</v>
      </c>
      <c r="S133" t="s">
        <v>9096</v>
      </c>
      <c r="T133" t="s">
        <v>11183</v>
      </c>
      <c r="V133" t="s">
        <v>352</v>
      </c>
      <c r="W133">
        <v>1850</v>
      </c>
      <c r="X133" t="s">
        <v>11332</v>
      </c>
      <c r="Y133" t="s">
        <v>11337</v>
      </c>
      <c r="Z133" t="s">
        <v>11464</v>
      </c>
      <c r="AA133" t="s">
        <v>15295</v>
      </c>
      <c r="AB133" t="s">
        <v>15979</v>
      </c>
      <c r="AC133">
        <v>16</v>
      </c>
      <c r="AD133" t="s">
        <v>19566</v>
      </c>
      <c r="AF133">
        <v>10</v>
      </c>
      <c r="AG133">
        <v>1</v>
      </c>
      <c r="AH133">
        <v>0</v>
      </c>
      <c r="AI133">
        <v>0</v>
      </c>
      <c r="AJ133" t="s">
        <v>19591</v>
      </c>
      <c r="AK133" t="s">
        <v>19608</v>
      </c>
      <c r="AL133" t="s">
        <v>19614</v>
      </c>
      <c r="AM133">
        <v>0</v>
      </c>
      <c r="AS133">
        <v>53.2</v>
      </c>
      <c r="AT133" t="s">
        <v>476</v>
      </c>
      <c r="AU133" t="s">
        <v>20628</v>
      </c>
    </row>
    <row r="134" spans="1:48">
      <c r="A134" s="1">
        <f>HYPERLINK("https://lsnyc.legalserver.org/matter/dynamic-profile/view/1883811","18-1883811")</f>
        <v>0</v>
      </c>
      <c r="B134" t="s">
        <v>65</v>
      </c>
      <c r="C134" t="s">
        <v>256</v>
      </c>
      <c r="D134" t="s">
        <v>353</v>
      </c>
      <c r="F134" t="s">
        <v>1239</v>
      </c>
      <c r="G134" t="s">
        <v>3429</v>
      </c>
      <c r="H134" t="s">
        <v>5780</v>
      </c>
      <c r="I134" t="s">
        <v>8172</v>
      </c>
      <c r="J134" t="s">
        <v>9059</v>
      </c>
      <c r="K134">
        <v>11226</v>
      </c>
      <c r="L134" t="s">
        <v>9094</v>
      </c>
      <c r="M134" t="s">
        <v>9094</v>
      </c>
      <c r="N134" t="s">
        <v>9168</v>
      </c>
      <c r="O134" t="s">
        <v>11129</v>
      </c>
      <c r="P134" t="s">
        <v>11165</v>
      </c>
      <c r="R134" t="s">
        <v>11180</v>
      </c>
      <c r="S134" t="s">
        <v>9096</v>
      </c>
      <c r="T134" t="s">
        <v>11183</v>
      </c>
      <c r="U134" t="s">
        <v>11201</v>
      </c>
      <c r="V134" t="s">
        <v>553</v>
      </c>
      <c r="W134">
        <v>2182.37</v>
      </c>
      <c r="X134" t="s">
        <v>11332</v>
      </c>
      <c r="Y134" t="s">
        <v>11340</v>
      </c>
      <c r="Z134" t="s">
        <v>11465</v>
      </c>
      <c r="AB134" t="s">
        <v>15980</v>
      </c>
      <c r="AC134">
        <v>39</v>
      </c>
      <c r="AD134" t="s">
        <v>19566</v>
      </c>
      <c r="AF134">
        <v>20</v>
      </c>
      <c r="AG134">
        <v>1</v>
      </c>
      <c r="AH134">
        <v>0</v>
      </c>
      <c r="AI134">
        <v>0</v>
      </c>
      <c r="AL134" t="s">
        <v>19614</v>
      </c>
      <c r="AM134">
        <v>0</v>
      </c>
      <c r="AO134" t="s">
        <v>20290</v>
      </c>
      <c r="AS134">
        <v>110.8</v>
      </c>
      <c r="AT134" t="s">
        <v>395</v>
      </c>
      <c r="AU134" t="s">
        <v>67</v>
      </c>
      <c r="AV134" t="s">
        <v>20733</v>
      </c>
    </row>
    <row r="135" spans="1:48">
      <c r="A135" s="1">
        <f>HYPERLINK("https://lsnyc.legalserver.org/matter/dynamic-profile/view/1888436","19-1888436")</f>
        <v>0</v>
      </c>
      <c r="B135" t="s">
        <v>69</v>
      </c>
      <c r="C135" t="s">
        <v>256</v>
      </c>
      <c r="D135" t="s">
        <v>354</v>
      </c>
      <c r="F135" t="s">
        <v>1238</v>
      </c>
      <c r="G135" t="s">
        <v>3428</v>
      </c>
      <c r="H135" t="s">
        <v>5779</v>
      </c>
      <c r="I135" t="s">
        <v>8171</v>
      </c>
      <c r="J135" t="s">
        <v>9059</v>
      </c>
      <c r="K135">
        <v>11226</v>
      </c>
      <c r="L135" t="s">
        <v>9094</v>
      </c>
      <c r="M135" t="s">
        <v>9094</v>
      </c>
      <c r="N135" t="s">
        <v>9169</v>
      </c>
      <c r="O135" t="s">
        <v>11129</v>
      </c>
      <c r="P135" t="s">
        <v>11169</v>
      </c>
      <c r="R135" t="s">
        <v>11180</v>
      </c>
      <c r="S135" t="s">
        <v>9096</v>
      </c>
      <c r="T135" t="s">
        <v>11184</v>
      </c>
      <c r="V135" t="s">
        <v>352</v>
      </c>
      <c r="W135">
        <v>1850</v>
      </c>
      <c r="X135" t="s">
        <v>11332</v>
      </c>
      <c r="Y135" t="s">
        <v>11337</v>
      </c>
      <c r="Z135" t="s">
        <v>11464</v>
      </c>
      <c r="AA135" t="s">
        <v>15295</v>
      </c>
      <c r="AB135" t="s">
        <v>15979</v>
      </c>
      <c r="AC135">
        <v>16</v>
      </c>
      <c r="AD135" t="s">
        <v>19566</v>
      </c>
      <c r="AF135">
        <v>10</v>
      </c>
      <c r="AG135">
        <v>1</v>
      </c>
      <c r="AH135">
        <v>0</v>
      </c>
      <c r="AI135">
        <v>0</v>
      </c>
      <c r="AJ135" t="s">
        <v>19591</v>
      </c>
      <c r="AK135" t="s">
        <v>19608</v>
      </c>
      <c r="AL135" t="s">
        <v>19614</v>
      </c>
      <c r="AM135">
        <v>0</v>
      </c>
      <c r="AN135" t="s">
        <v>19661</v>
      </c>
      <c r="AS135">
        <v>31.85</v>
      </c>
      <c r="AT135" t="s">
        <v>1130</v>
      </c>
      <c r="AU135" t="s">
        <v>79</v>
      </c>
      <c r="AV135" t="s">
        <v>20733</v>
      </c>
    </row>
    <row r="136" spans="1:48">
      <c r="A136" s="1">
        <f>HYPERLINK("https://lsnyc.legalserver.org/matter/dynamic-profile/view/1880403","18-1880403")</f>
        <v>0</v>
      </c>
      <c r="B136" t="s">
        <v>67</v>
      </c>
      <c r="C136" t="s">
        <v>256</v>
      </c>
      <c r="D136" t="s">
        <v>355</v>
      </c>
      <c r="F136" t="s">
        <v>1240</v>
      </c>
      <c r="G136" t="s">
        <v>3427</v>
      </c>
      <c r="H136" t="s">
        <v>5781</v>
      </c>
      <c r="I136" t="s">
        <v>8173</v>
      </c>
      <c r="J136" t="s">
        <v>9059</v>
      </c>
      <c r="K136">
        <v>11226</v>
      </c>
      <c r="L136" t="s">
        <v>9094</v>
      </c>
      <c r="M136" t="s">
        <v>9095</v>
      </c>
      <c r="O136" t="s">
        <v>11133</v>
      </c>
      <c r="P136" t="s">
        <v>11166</v>
      </c>
      <c r="R136" t="s">
        <v>11180</v>
      </c>
      <c r="T136" t="s">
        <v>11183</v>
      </c>
      <c r="V136" t="s">
        <v>355</v>
      </c>
      <c r="W136">
        <v>0</v>
      </c>
      <c r="X136" t="s">
        <v>11332</v>
      </c>
      <c r="Y136" t="s">
        <v>11339</v>
      </c>
      <c r="Z136" t="s">
        <v>11466</v>
      </c>
      <c r="AC136">
        <v>0</v>
      </c>
      <c r="AF136">
        <v>0</v>
      </c>
      <c r="AG136">
        <v>2</v>
      </c>
      <c r="AH136">
        <v>0</v>
      </c>
      <c r="AI136">
        <v>0</v>
      </c>
      <c r="AL136" t="s">
        <v>19614</v>
      </c>
      <c r="AM136">
        <v>0</v>
      </c>
      <c r="AS136">
        <v>1</v>
      </c>
      <c r="AT136" t="s">
        <v>988</v>
      </c>
      <c r="AU136" t="s">
        <v>20625</v>
      </c>
    </row>
    <row r="137" spans="1:48">
      <c r="A137" s="1">
        <f>HYPERLINK("https://lsnyc.legalserver.org/matter/dynamic-profile/view/1880405","18-1880405")</f>
        <v>0</v>
      </c>
      <c r="B137" t="s">
        <v>67</v>
      </c>
      <c r="C137" t="s">
        <v>256</v>
      </c>
      <c r="D137" t="s">
        <v>355</v>
      </c>
      <c r="F137" t="s">
        <v>1241</v>
      </c>
      <c r="G137" t="s">
        <v>3430</v>
      </c>
      <c r="H137" t="s">
        <v>5781</v>
      </c>
      <c r="I137" t="s">
        <v>8174</v>
      </c>
      <c r="J137" t="s">
        <v>9059</v>
      </c>
      <c r="K137">
        <v>11226</v>
      </c>
      <c r="L137" t="s">
        <v>9094</v>
      </c>
      <c r="M137" t="s">
        <v>9095</v>
      </c>
      <c r="O137" t="s">
        <v>11133</v>
      </c>
      <c r="P137" t="s">
        <v>11166</v>
      </c>
      <c r="R137" t="s">
        <v>11180</v>
      </c>
      <c r="T137" t="s">
        <v>11183</v>
      </c>
      <c r="V137" t="s">
        <v>355</v>
      </c>
      <c r="W137">
        <v>0</v>
      </c>
      <c r="X137" t="s">
        <v>11332</v>
      </c>
      <c r="Y137" t="s">
        <v>11339</v>
      </c>
      <c r="Z137" t="s">
        <v>11467</v>
      </c>
      <c r="AC137">
        <v>0</v>
      </c>
      <c r="AF137">
        <v>0</v>
      </c>
      <c r="AG137">
        <v>3</v>
      </c>
      <c r="AH137">
        <v>0</v>
      </c>
      <c r="AI137">
        <v>0</v>
      </c>
      <c r="AL137" t="s">
        <v>19614</v>
      </c>
      <c r="AM137">
        <v>0</v>
      </c>
      <c r="AS137">
        <v>0.7</v>
      </c>
      <c r="AT137" t="s">
        <v>988</v>
      </c>
      <c r="AU137" t="s">
        <v>20625</v>
      </c>
    </row>
    <row r="138" spans="1:48">
      <c r="A138" s="1">
        <f>HYPERLINK("https://lsnyc.legalserver.org/matter/dynamic-profile/view/1863481","18-1863481")</f>
        <v>0</v>
      </c>
      <c r="B138" t="s">
        <v>86</v>
      </c>
      <c r="C138" t="s">
        <v>256</v>
      </c>
      <c r="D138" t="s">
        <v>356</v>
      </c>
      <c r="F138" t="s">
        <v>1242</v>
      </c>
      <c r="G138" t="s">
        <v>3431</v>
      </c>
      <c r="H138" t="s">
        <v>5778</v>
      </c>
      <c r="I138" t="s">
        <v>8175</v>
      </c>
      <c r="J138" t="s">
        <v>9059</v>
      </c>
      <c r="K138">
        <v>11226</v>
      </c>
      <c r="L138" t="s">
        <v>9094</v>
      </c>
      <c r="M138" t="s">
        <v>9094</v>
      </c>
      <c r="O138" t="s">
        <v>11136</v>
      </c>
      <c r="P138" t="s">
        <v>11166</v>
      </c>
      <c r="R138" t="s">
        <v>11180</v>
      </c>
      <c r="S138" t="s">
        <v>9094</v>
      </c>
      <c r="T138" t="s">
        <v>11183</v>
      </c>
      <c r="V138" t="s">
        <v>723</v>
      </c>
      <c r="W138">
        <v>0</v>
      </c>
      <c r="X138" t="s">
        <v>11332</v>
      </c>
      <c r="Y138" t="s">
        <v>11340</v>
      </c>
      <c r="Z138" t="s">
        <v>11468</v>
      </c>
      <c r="AC138">
        <v>65</v>
      </c>
      <c r="AF138">
        <v>0</v>
      </c>
      <c r="AG138">
        <v>2</v>
      </c>
      <c r="AH138">
        <v>2</v>
      </c>
      <c r="AI138">
        <v>0</v>
      </c>
      <c r="AL138" t="s">
        <v>19614</v>
      </c>
      <c r="AM138">
        <v>0</v>
      </c>
      <c r="AN138" t="s">
        <v>19662</v>
      </c>
      <c r="AS138">
        <v>2.05</v>
      </c>
      <c r="AT138" t="s">
        <v>629</v>
      </c>
      <c r="AU138" t="s">
        <v>20630</v>
      </c>
    </row>
    <row r="139" spans="1:48">
      <c r="A139" s="1">
        <f>HYPERLINK("https://lsnyc.legalserver.org/matter/dynamic-profile/view/1883539","18-1883539")</f>
        <v>0</v>
      </c>
      <c r="B139" t="s">
        <v>67</v>
      </c>
      <c r="C139" t="s">
        <v>256</v>
      </c>
      <c r="D139" t="s">
        <v>357</v>
      </c>
      <c r="F139" t="s">
        <v>1243</v>
      </c>
      <c r="G139" t="s">
        <v>3432</v>
      </c>
      <c r="H139" t="s">
        <v>5774</v>
      </c>
      <c r="I139" t="s">
        <v>8176</v>
      </c>
      <c r="J139" t="s">
        <v>9059</v>
      </c>
      <c r="K139">
        <v>11226</v>
      </c>
      <c r="L139" t="s">
        <v>9095</v>
      </c>
      <c r="M139" t="s">
        <v>9095</v>
      </c>
      <c r="R139" t="s">
        <v>11180</v>
      </c>
      <c r="T139" t="s">
        <v>11183</v>
      </c>
      <c r="W139">
        <v>0</v>
      </c>
      <c r="X139" t="s">
        <v>11332</v>
      </c>
      <c r="Z139" t="s">
        <v>11469</v>
      </c>
      <c r="AB139" t="s">
        <v>15981</v>
      </c>
      <c r="AC139">
        <v>0</v>
      </c>
      <c r="AF139">
        <v>0</v>
      </c>
      <c r="AG139">
        <v>2</v>
      </c>
      <c r="AH139">
        <v>0</v>
      </c>
      <c r="AI139">
        <v>0</v>
      </c>
      <c r="AL139" t="s">
        <v>19620</v>
      </c>
      <c r="AM139">
        <v>0</v>
      </c>
      <c r="AN139" t="s">
        <v>19663</v>
      </c>
      <c r="AS139">
        <v>0.9</v>
      </c>
      <c r="AT139" t="s">
        <v>288</v>
      </c>
      <c r="AU139" t="s">
        <v>67</v>
      </c>
    </row>
    <row r="140" spans="1:48">
      <c r="A140" s="1">
        <f>HYPERLINK("https://lsnyc.legalserver.org/matter/dynamic-profile/view/1884067","18-1884067")</f>
        <v>0</v>
      </c>
      <c r="B140" t="s">
        <v>64</v>
      </c>
      <c r="C140" t="s">
        <v>257</v>
      </c>
      <c r="D140" t="s">
        <v>358</v>
      </c>
      <c r="E140" t="s">
        <v>992</v>
      </c>
      <c r="F140" t="s">
        <v>1244</v>
      </c>
      <c r="G140" t="s">
        <v>3433</v>
      </c>
      <c r="H140" t="s">
        <v>5782</v>
      </c>
      <c r="I140" t="s">
        <v>8177</v>
      </c>
      <c r="J140" t="s">
        <v>9059</v>
      </c>
      <c r="K140">
        <v>11226</v>
      </c>
      <c r="L140" t="s">
        <v>9095</v>
      </c>
      <c r="M140" t="s">
        <v>9095</v>
      </c>
      <c r="Q140" t="s">
        <v>11172</v>
      </c>
      <c r="R140" t="s">
        <v>11180</v>
      </c>
      <c r="T140" t="s">
        <v>11183</v>
      </c>
      <c r="W140">
        <v>1850</v>
      </c>
      <c r="X140" t="s">
        <v>11332</v>
      </c>
      <c r="Z140" t="s">
        <v>11470</v>
      </c>
      <c r="AB140" t="s">
        <v>15982</v>
      </c>
      <c r="AC140">
        <v>27</v>
      </c>
      <c r="AF140">
        <v>3</v>
      </c>
      <c r="AG140">
        <v>1</v>
      </c>
      <c r="AH140">
        <v>0</v>
      </c>
      <c r="AI140">
        <v>0</v>
      </c>
      <c r="AL140" t="s">
        <v>19614</v>
      </c>
      <c r="AM140">
        <v>0</v>
      </c>
      <c r="AS140">
        <v>0.5</v>
      </c>
      <c r="AT140" t="s">
        <v>358</v>
      </c>
      <c r="AU140" t="s">
        <v>20631</v>
      </c>
    </row>
    <row r="141" spans="1:48">
      <c r="A141" s="1">
        <f>HYPERLINK("https://lsnyc.legalserver.org/matter/dynamic-profile/view/1884209","18-1884209")</f>
        <v>0</v>
      </c>
      <c r="B141" t="s">
        <v>67</v>
      </c>
      <c r="C141" t="s">
        <v>256</v>
      </c>
      <c r="D141" t="s">
        <v>287</v>
      </c>
      <c r="F141" t="s">
        <v>1245</v>
      </c>
      <c r="G141" t="s">
        <v>3434</v>
      </c>
      <c r="H141" t="s">
        <v>5774</v>
      </c>
      <c r="I141" t="s">
        <v>8109</v>
      </c>
      <c r="J141" t="s">
        <v>9059</v>
      </c>
      <c r="K141">
        <v>11226</v>
      </c>
      <c r="L141" t="s">
        <v>9095</v>
      </c>
      <c r="M141" t="s">
        <v>9095</v>
      </c>
      <c r="R141" t="s">
        <v>11180</v>
      </c>
      <c r="T141" t="s">
        <v>11183</v>
      </c>
      <c r="W141">
        <v>0</v>
      </c>
      <c r="X141" t="s">
        <v>11332</v>
      </c>
      <c r="Z141" t="s">
        <v>11471</v>
      </c>
      <c r="AC141">
        <v>0</v>
      </c>
      <c r="AF141">
        <v>0</v>
      </c>
      <c r="AG141">
        <v>2</v>
      </c>
      <c r="AH141">
        <v>0</v>
      </c>
      <c r="AI141">
        <v>0</v>
      </c>
      <c r="AL141" t="s">
        <v>19614</v>
      </c>
      <c r="AM141">
        <v>0</v>
      </c>
      <c r="AS141">
        <v>1.4</v>
      </c>
      <c r="AT141" t="s">
        <v>288</v>
      </c>
      <c r="AU141" t="s">
        <v>67</v>
      </c>
    </row>
    <row r="142" spans="1:48">
      <c r="A142" s="1">
        <f>HYPERLINK("https://lsnyc.legalserver.org/matter/dynamic-profile/view/1884985","18-1884985")</f>
        <v>0</v>
      </c>
      <c r="B142" t="s">
        <v>67</v>
      </c>
      <c r="C142" t="s">
        <v>256</v>
      </c>
      <c r="D142" t="s">
        <v>359</v>
      </c>
      <c r="F142" t="s">
        <v>1187</v>
      </c>
      <c r="G142" t="s">
        <v>3435</v>
      </c>
      <c r="H142" t="s">
        <v>5783</v>
      </c>
      <c r="I142" t="s">
        <v>8178</v>
      </c>
      <c r="J142" t="s">
        <v>9059</v>
      </c>
      <c r="K142">
        <v>11226</v>
      </c>
      <c r="L142" t="s">
        <v>9095</v>
      </c>
      <c r="M142" t="s">
        <v>9095</v>
      </c>
      <c r="P142" t="s">
        <v>11166</v>
      </c>
      <c r="R142" t="s">
        <v>11180</v>
      </c>
      <c r="T142" t="s">
        <v>11183</v>
      </c>
      <c r="W142">
        <v>0</v>
      </c>
      <c r="X142" t="s">
        <v>11332</v>
      </c>
      <c r="Z142" t="s">
        <v>11472</v>
      </c>
      <c r="AB142" t="s">
        <v>15983</v>
      </c>
      <c r="AC142">
        <v>0</v>
      </c>
      <c r="AF142">
        <v>0</v>
      </c>
      <c r="AG142">
        <v>2</v>
      </c>
      <c r="AH142">
        <v>0</v>
      </c>
      <c r="AI142">
        <v>0</v>
      </c>
      <c r="AL142" t="s">
        <v>19614</v>
      </c>
      <c r="AM142">
        <v>0</v>
      </c>
      <c r="AS142">
        <v>3.8</v>
      </c>
      <c r="AT142" t="s">
        <v>753</v>
      </c>
      <c r="AU142" t="s">
        <v>67</v>
      </c>
    </row>
    <row r="143" spans="1:48">
      <c r="A143" s="1">
        <f>HYPERLINK("https://lsnyc.legalserver.org/matter/dynamic-profile/view/1887085","19-1887085")</f>
        <v>0</v>
      </c>
      <c r="B143" t="s">
        <v>65</v>
      </c>
      <c r="C143" t="s">
        <v>256</v>
      </c>
      <c r="D143" t="s">
        <v>324</v>
      </c>
      <c r="F143" t="s">
        <v>1146</v>
      </c>
      <c r="G143" t="s">
        <v>3424</v>
      </c>
      <c r="H143" t="s">
        <v>5774</v>
      </c>
      <c r="J143" t="s">
        <v>9059</v>
      </c>
      <c r="K143">
        <v>11226</v>
      </c>
      <c r="L143" t="s">
        <v>9096</v>
      </c>
      <c r="M143" t="s">
        <v>9094</v>
      </c>
      <c r="P143" t="s">
        <v>11168</v>
      </c>
      <c r="R143" t="s">
        <v>11180</v>
      </c>
      <c r="S143" t="s">
        <v>9094</v>
      </c>
      <c r="T143" t="s">
        <v>11183</v>
      </c>
      <c r="V143" t="s">
        <v>848</v>
      </c>
      <c r="W143">
        <v>945.2</v>
      </c>
      <c r="X143" t="s">
        <v>11332</v>
      </c>
      <c r="Z143" t="s">
        <v>11459</v>
      </c>
      <c r="AC143">
        <v>0</v>
      </c>
      <c r="AF143">
        <v>20</v>
      </c>
      <c r="AG143">
        <v>1</v>
      </c>
      <c r="AH143">
        <v>0</v>
      </c>
      <c r="AI143">
        <v>0</v>
      </c>
      <c r="AL143" t="s">
        <v>19615</v>
      </c>
      <c r="AM143">
        <v>0</v>
      </c>
      <c r="AS143">
        <v>0.2</v>
      </c>
      <c r="AT143" t="s">
        <v>288</v>
      </c>
      <c r="AU143" t="s">
        <v>215</v>
      </c>
    </row>
    <row r="144" spans="1:48">
      <c r="A144" s="1">
        <f>HYPERLINK("https://lsnyc.legalserver.org/matter/dynamic-profile/view/1895026","19-1895026")</f>
        <v>0</v>
      </c>
      <c r="B144" t="s">
        <v>67</v>
      </c>
      <c r="C144" t="s">
        <v>256</v>
      </c>
      <c r="D144" t="s">
        <v>360</v>
      </c>
      <c r="F144" t="s">
        <v>1246</v>
      </c>
      <c r="G144" t="s">
        <v>3436</v>
      </c>
      <c r="H144" t="s">
        <v>5784</v>
      </c>
      <c r="I144" t="s">
        <v>8179</v>
      </c>
      <c r="J144" t="s">
        <v>9059</v>
      </c>
      <c r="K144">
        <v>11226</v>
      </c>
      <c r="L144" t="s">
        <v>9094</v>
      </c>
      <c r="M144" t="s">
        <v>9094</v>
      </c>
      <c r="P144" t="s">
        <v>11166</v>
      </c>
      <c r="R144" t="s">
        <v>11180</v>
      </c>
      <c r="S144" t="s">
        <v>9096</v>
      </c>
      <c r="T144" t="s">
        <v>11183</v>
      </c>
      <c r="V144" t="s">
        <v>278</v>
      </c>
      <c r="W144">
        <v>1290.86</v>
      </c>
      <c r="X144" t="s">
        <v>11332</v>
      </c>
      <c r="Z144" t="s">
        <v>11473</v>
      </c>
      <c r="AC144">
        <v>0</v>
      </c>
      <c r="AF144">
        <v>36</v>
      </c>
      <c r="AG144">
        <v>1</v>
      </c>
      <c r="AH144">
        <v>0</v>
      </c>
      <c r="AI144">
        <v>0</v>
      </c>
      <c r="AL144" t="s">
        <v>19614</v>
      </c>
      <c r="AM144">
        <v>0</v>
      </c>
      <c r="AS144">
        <v>5.3</v>
      </c>
      <c r="AT144" t="s">
        <v>377</v>
      </c>
      <c r="AU144" t="s">
        <v>215</v>
      </c>
    </row>
    <row r="145" spans="1:48">
      <c r="A145" s="1">
        <f>HYPERLINK("https://lsnyc.legalserver.org/matter/dynamic-profile/view/1898773","19-1898773")</f>
        <v>0</v>
      </c>
      <c r="B145" t="s">
        <v>67</v>
      </c>
      <c r="C145" t="s">
        <v>256</v>
      </c>
      <c r="D145" t="s">
        <v>361</v>
      </c>
      <c r="F145" t="s">
        <v>1246</v>
      </c>
      <c r="G145" t="s">
        <v>3437</v>
      </c>
      <c r="H145" t="s">
        <v>5784</v>
      </c>
      <c r="I145" t="s">
        <v>8180</v>
      </c>
      <c r="J145" t="s">
        <v>9059</v>
      </c>
      <c r="K145">
        <v>11226</v>
      </c>
      <c r="L145" t="s">
        <v>9094</v>
      </c>
      <c r="M145" t="s">
        <v>9094</v>
      </c>
      <c r="P145" t="s">
        <v>11166</v>
      </c>
      <c r="R145" t="s">
        <v>11180</v>
      </c>
      <c r="T145" t="s">
        <v>11183</v>
      </c>
      <c r="V145" t="s">
        <v>361</v>
      </c>
      <c r="W145">
        <v>1290.86</v>
      </c>
      <c r="X145" t="s">
        <v>11332</v>
      </c>
      <c r="Z145" t="s">
        <v>11474</v>
      </c>
      <c r="AC145">
        <v>0</v>
      </c>
      <c r="AF145">
        <v>0</v>
      </c>
      <c r="AG145">
        <v>1</v>
      </c>
      <c r="AH145">
        <v>0</v>
      </c>
      <c r="AI145">
        <v>0</v>
      </c>
      <c r="AL145" t="s">
        <v>19614</v>
      </c>
      <c r="AM145">
        <v>0</v>
      </c>
      <c r="AS145">
        <v>11.5</v>
      </c>
      <c r="AT145" t="s">
        <v>1130</v>
      </c>
      <c r="AU145" t="s">
        <v>67</v>
      </c>
    </row>
    <row r="146" spans="1:48">
      <c r="A146" s="1">
        <f>HYPERLINK("https://lsnyc.legalserver.org/matter/dynamic-profile/view/1911522","19-1911522")</f>
        <v>0</v>
      </c>
      <c r="B146" t="s">
        <v>82</v>
      </c>
      <c r="C146" t="s">
        <v>256</v>
      </c>
      <c r="D146" t="s">
        <v>362</v>
      </c>
      <c r="F146" t="s">
        <v>1235</v>
      </c>
      <c r="G146" t="s">
        <v>3425</v>
      </c>
      <c r="H146" t="s">
        <v>5776</v>
      </c>
      <c r="I146" t="s">
        <v>8170</v>
      </c>
      <c r="J146" t="s">
        <v>9059</v>
      </c>
      <c r="K146">
        <v>11226</v>
      </c>
      <c r="L146" t="s">
        <v>9094</v>
      </c>
      <c r="M146" t="s">
        <v>9095</v>
      </c>
      <c r="P146" t="s">
        <v>11165</v>
      </c>
      <c r="R146" t="s">
        <v>11180</v>
      </c>
      <c r="T146" t="s">
        <v>11183</v>
      </c>
      <c r="V146" t="s">
        <v>832</v>
      </c>
      <c r="W146">
        <v>0</v>
      </c>
      <c r="X146" t="s">
        <v>11332</v>
      </c>
      <c r="Z146" t="s">
        <v>11461</v>
      </c>
      <c r="AA146" t="s">
        <v>15294</v>
      </c>
      <c r="AB146" t="s">
        <v>15976</v>
      </c>
      <c r="AC146">
        <v>16</v>
      </c>
      <c r="AF146">
        <v>0</v>
      </c>
      <c r="AG146">
        <v>1</v>
      </c>
      <c r="AH146">
        <v>0</v>
      </c>
      <c r="AI146">
        <v>0</v>
      </c>
      <c r="AL146" t="s">
        <v>19614</v>
      </c>
      <c r="AM146">
        <v>0</v>
      </c>
      <c r="AS146">
        <v>0</v>
      </c>
      <c r="AU146" t="s">
        <v>215</v>
      </c>
      <c r="AV146" t="s">
        <v>20733</v>
      </c>
    </row>
    <row r="147" spans="1:48">
      <c r="A147" s="1">
        <f>HYPERLINK("https://lsnyc.legalserver.org/matter/dynamic-profile/view/1911770","19-1911770")</f>
        <v>0</v>
      </c>
      <c r="B147" t="s">
        <v>82</v>
      </c>
      <c r="C147" t="s">
        <v>256</v>
      </c>
      <c r="D147" t="s">
        <v>290</v>
      </c>
      <c r="F147" t="s">
        <v>1234</v>
      </c>
      <c r="G147" t="s">
        <v>1145</v>
      </c>
      <c r="H147" t="s">
        <v>5776</v>
      </c>
      <c r="I147">
        <v>1</v>
      </c>
      <c r="J147" t="s">
        <v>9059</v>
      </c>
      <c r="K147">
        <v>11226</v>
      </c>
      <c r="L147" t="s">
        <v>9094</v>
      </c>
      <c r="M147" t="s">
        <v>9095</v>
      </c>
      <c r="P147" t="s">
        <v>11165</v>
      </c>
      <c r="R147" t="s">
        <v>11180</v>
      </c>
      <c r="T147" t="s">
        <v>11183</v>
      </c>
      <c r="V147" t="s">
        <v>832</v>
      </c>
      <c r="W147">
        <v>0</v>
      </c>
      <c r="X147" t="s">
        <v>11332</v>
      </c>
      <c r="AC147">
        <v>16</v>
      </c>
      <c r="AF147">
        <v>0</v>
      </c>
      <c r="AG147">
        <v>1</v>
      </c>
      <c r="AH147">
        <v>0</v>
      </c>
      <c r="AI147">
        <v>0</v>
      </c>
      <c r="AL147" t="s">
        <v>19614</v>
      </c>
      <c r="AM147">
        <v>0</v>
      </c>
      <c r="AN147" t="s">
        <v>19664</v>
      </c>
      <c r="AS147">
        <v>0</v>
      </c>
      <c r="AU147" t="s">
        <v>215</v>
      </c>
      <c r="AV147" t="s">
        <v>20733</v>
      </c>
    </row>
    <row r="148" spans="1:48">
      <c r="A148" s="1">
        <f>HYPERLINK("https://lsnyc.legalserver.org/matter/dynamic-profile/view/1887811","19-1887811")</f>
        <v>0</v>
      </c>
      <c r="B148" t="s">
        <v>78</v>
      </c>
      <c r="C148" t="s">
        <v>256</v>
      </c>
      <c r="D148" t="s">
        <v>363</v>
      </c>
      <c r="F148" t="s">
        <v>1223</v>
      </c>
      <c r="G148" t="s">
        <v>3438</v>
      </c>
      <c r="H148" t="s">
        <v>5785</v>
      </c>
      <c r="I148" t="s">
        <v>8181</v>
      </c>
      <c r="J148" t="s">
        <v>9059</v>
      </c>
      <c r="K148">
        <v>11225</v>
      </c>
      <c r="L148" t="s">
        <v>9094</v>
      </c>
      <c r="M148" t="s">
        <v>9094</v>
      </c>
      <c r="O148" t="s">
        <v>11134</v>
      </c>
      <c r="P148" t="s">
        <v>11168</v>
      </c>
      <c r="R148" t="s">
        <v>11180</v>
      </c>
      <c r="S148" t="s">
        <v>9094</v>
      </c>
      <c r="T148" t="s">
        <v>11183</v>
      </c>
      <c r="V148" t="s">
        <v>412</v>
      </c>
      <c r="W148">
        <v>757.21</v>
      </c>
      <c r="X148" t="s">
        <v>11332</v>
      </c>
      <c r="Z148" t="s">
        <v>11475</v>
      </c>
      <c r="AB148" t="s">
        <v>15984</v>
      </c>
      <c r="AC148">
        <v>89</v>
      </c>
      <c r="AD148" t="s">
        <v>19566</v>
      </c>
      <c r="AE148" t="s">
        <v>9144</v>
      </c>
      <c r="AF148">
        <v>29</v>
      </c>
      <c r="AG148">
        <v>2</v>
      </c>
      <c r="AH148">
        <v>2</v>
      </c>
      <c r="AI148">
        <v>0</v>
      </c>
      <c r="AL148" t="s">
        <v>19614</v>
      </c>
      <c r="AM148">
        <v>0</v>
      </c>
      <c r="AS148">
        <v>0</v>
      </c>
      <c r="AU148" t="s">
        <v>79</v>
      </c>
    </row>
    <row r="149" spans="1:48">
      <c r="A149" s="1">
        <f>HYPERLINK("https://lsnyc.legalserver.org/matter/dynamic-profile/view/1887833","19-1887833")</f>
        <v>0</v>
      </c>
      <c r="B149" t="s">
        <v>78</v>
      </c>
      <c r="C149" t="s">
        <v>256</v>
      </c>
      <c r="D149" t="s">
        <v>363</v>
      </c>
      <c r="F149" t="s">
        <v>1247</v>
      </c>
      <c r="G149" t="s">
        <v>3332</v>
      </c>
      <c r="H149" t="s">
        <v>5785</v>
      </c>
      <c r="I149" t="s">
        <v>8182</v>
      </c>
      <c r="J149" t="s">
        <v>9059</v>
      </c>
      <c r="K149">
        <v>11225</v>
      </c>
      <c r="L149" t="s">
        <v>9094</v>
      </c>
      <c r="M149" t="s">
        <v>9095</v>
      </c>
      <c r="O149" t="s">
        <v>11134</v>
      </c>
      <c r="P149" t="s">
        <v>11168</v>
      </c>
      <c r="R149" t="s">
        <v>11180</v>
      </c>
      <c r="S149" t="s">
        <v>9094</v>
      </c>
      <c r="T149" t="s">
        <v>11183</v>
      </c>
      <c r="V149" t="s">
        <v>412</v>
      </c>
      <c r="W149">
        <v>1021</v>
      </c>
      <c r="X149" t="s">
        <v>11332</v>
      </c>
      <c r="Y149" t="s">
        <v>11339</v>
      </c>
      <c r="Z149" t="s">
        <v>11476</v>
      </c>
      <c r="AB149" t="s">
        <v>15985</v>
      </c>
      <c r="AC149">
        <v>89</v>
      </c>
      <c r="AD149" t="s">
        <v>19566</v>
      </c>
      <c r="AE149" t="s">
        <v>9144</v>
      </c>
      <c r="AF149">
        <v>17</v>
      </c>
      <c r="AG149">
        <v>1</v>
      </c>
      <c r="AH149">
        <v>0</v>
      </c>
      <c r="AI149">
        <v>0</v>
      </c>
      <c r="AL149" t="s">
        <v>19614</v>
      </c>
      <c r="AM149">
        <v>0</v>
      </c>
      <c r="AS149">
        <v>0</v>
      </c>
      <c r="AU149" t="s">
        <v>79</v>
      </c>
    </row>
    <row r="150" spans="1:48">
      <c r="A150" s="1">
        <f>HYPERLINK("https://lsnyc.legalserver.org/matter/dynamic-profile/view/1887838","19-1887838")</f>
        <v>0</v>
      </c>
      <c r="B150" t="s">
        <v>78</v>
      </c>
      <c r="C150" t="s">
        <v>256</v>
      </c>
      <c r="D150" t="s">
        <v>363</v>
      </c>
      <c r="F150" t="s">
        <v>1248</v>
      </c>
      <c r="G150" t="s">
        <v>3359</v>
      </c>
      <c r="H150" t="s">
        <v>5785</v>
      </c>
      <c r="I150" t="s">
        <v>8183</v>
      </c>
      <c r="J150" t="s">
        <v>9059</v>
      </c>
      <c r="K150">
        <v>11225</v>
      </c>
      <c r="L150" t="s">
        <v>9094</v>
      </c>
      <c r="M150" t="s">
        <v>9094</v>
      </c>
      <c r="N150" t="s">
        <v>9170</v>
      </c>
      <c r="O150" t="s">
        <v>11134</v>
      </c>
      <c r="P150" t="s">
        <v>11168</v>
      </c>
      <c r="R150" t="s">
        <v>11180</v>
      </c>
      <c r="S150" t="s">
        <v>9094</v>
      </c>
      <c r="T150" t="s">
        <v>11183</v>
      </c>
      <c r="V150" t="s">
        <v>11211</v>
      </c>
      <c r="W150">
        <v>978.0700000000001</v>
      </c>
      <c r="X150" t="s">
        <v>11332</v>
      </c>
      <c r="Z150" t="s">
        <v>11477</v>
      </c>
      <c r="AB150" t="s">
        <v>15986</v>
      </c>
      <c r="AC150">
        <v>89</v>
      </c>
      <c r="AD150" t="s">
        <v>19566</v>
      </c>
      <c r="AE150" t="s">
        <v>9144</v>
      </c>
      <c r="AF150">
        <v>28</v>
      </c>
      <c r="AG150">
        <v>1</v>
      </c>
      <c r="AH150">
        <v>0</v>
      </c>
      <c r="AI150">
        <v>0</v>
      </c>
      <c r="AL150" t="s">
        <v>19614</v>
      </c>
      <c r="AM150">
        <v>0</v>
      </c>
      <c r="AS150">
        <v>2</v>
      </c>
      <c r="AT150" t="s">
        <v>261</v>
      </c>
      <c r="AU150" t="s">
        <v>79</v>
      </c>
    </row>
    <row r="151" spans="1:48">
      <c r="A151" s="1">
        <f>HYPERLINK("https://lsnyc.legalserver.org/matter/dynamic-profile/view/1860383","18-1860383")</f>
        <v>0</v>
      </c>
      <c r="B151" t="s">
        <v>86</v>
      </c>
      <c r="C151" t="s">
        <v>256</v>
      </c>
      <c r="D151" t="s">
        <v>364</v>
      </c>
      <c r="F151" t="s">
        <v>1249</v>
      </c>
      <c r="G151" t="s">
        <v>3439</v>
      </c>
      <c r="H151" t="s">
        <v>5786</v>
      </c>
      <c r="I151" t="s">
        <v>8184</v>
      </c>
      <c r="J151" t="s">
        <v>9059</v>
      </c>
      <c r="K151">
        <v>11225</v>
      </c>
      <c r="L151" t="s">
        <v>9094</v>
      </c>
      <c r="M151" t="s">
        <v>9095</v>
      </c>
      <c r="O151" t="s">
        <v>11130</v>
      </c>
      <c r="P151" t="s">
        <v>11165</v>
      </c>
      <c r="R151" t="s">
        <v>11180</v>
      </c>
      <c r="S151" t="s">
        <v>9094</v>
      </c>
      <c r="T151" t="s">
        <v>11183</v>
      </c>
      <c r="V151" t="s">
        <v>11212</v>
      </c>
      <c r="W151">
        <v>1262.69</v>
      </c>
      <c r="X151" t="s">
        <v>11332</v>
      </c>
      <c r="Y151" t="s">
        <v>11346</v>
      </c>
      <c r="Z151" t="s">
        <v>11478</v>
      </c>
      <c r="AC151">
        <v>50</v>
      </c>
      <c r="AD151" t="s">
        <v>19566</v>
      </c>
      <c r="AE151" t="s">
        <v>9144</v>
      </c>
      <c r="AF151">
        <v>18</v>
      </c>
      <c r="AG151">
        <v>1</v>
      </c>
      <c r="AH151">
        <v>0</v>
      </c>
      <c r="AI151">
        <v>0</v>
      </c>
      <c r="AL151" t="s">
        <v>19621</v>
      </c>
      <c r="AM151">
        <v>0</v>
      </c>
      <c r="AS151">
        <v>0.82</v>
      </c>
      <c r="AT151" t="s">
        <v>485</v>
      </c>
      <c r="AU151" t="s">
        <v>20630</v>
      </c>
      <c r="AV151" t="s">
        <v>20733</v>
      </c>
    </row>
    <row r="152" spans="1:48">
      <c r="A152" s="1">
        <f>HYPERLINK("https://lsnyc.legalserver.org/matter/dynamic-profile/view/1870234","18-1870234")</f>
        <v>0</v>
      </c>
      <c r="B152" t="s">
        <v>86</v>
      </c>
      <c r="C152" t="s">
        <v>256</v>
      </c>
      <c r="D152" t="s">
        <v>365</v>
      </c>
      <c r="F152" t="s">
        <v>1145</v>
      </c>
      <c r="G152" t="s">
        <v>3440</v>
      </c>
      <c r="H152" t="s">
        <v>5786</v>
      </c>
      <c r="I152" t="s">
        <v>8185</v>
      </c>
      <c r="J152" t="s">
        <v>9059</v>
      </c>
      <c r="K152">
        <v>11225</v>
      </c>
      <c r="L152" t="s">
        <v>9094</v>
      </c>
      <c r="M152" t="s">
        <v>9094</v>
      </c>
      <c r="O152" t="s">
        <v>11130</v>
      </c>
      <c r="P152" t="s">
        <v>11165</v>
      </c>
      <c r="R152" t="s">
        <v>11180</v>
      </c>
      <c r="S152" t="s">
        <v>9094</v>
      </c>
      <c r="T152" t="s">
        <v>11183</v>
      </c>
      <c r="V152" t="s">
        <v>945</v>
      </c>
      <c r="W152">
        <v>0</v>
      </c>
      <c r="X152" t="s">
        <v>11332</v>
      </c>
      <c r="Y152" t="s">
        <v>11346</v>
      </c>
      <c r="Z152" t="s">
        <v>11479</v>
      </c>
      <c r="AC152">
        <v>47</v>
      </c>
      <c r="AD152" t="s">
        <v>19566</v>
      </c>
      <c r="AF152">
        <v>41</v>
      </c>
      <c r="AG152">
        <v>3</v>
      </c>
      <c r="AH152">
        <v>2</v>
      </c>
      <c r="AI152">
        <v>0</v>
      </c>
      <c r="AL152" t="s">
        <v>19614</v>
      </c>
      <c r="AM152">
        <v>0</v>
      </c>
      <c r="AS152">
        <v>1.1</v>
      </c>
      <c r="AT152" t="s">
        <v>685</v>
      </c>
      <c r="AU152" t="s">
        <v>20630</v>
      </c>
    </row>
    <row r="153" spans="1:48">
      <c r="A153" s="1">
        <f>HYPERLINK("https://lsnyc.legalserver.org/matter/dynamic-profile/view/1876016","18-1876016")</f>
        <v>0</v>
      </c>
      <c r="B153" t="s">
        <v>78</v>
      </c>
      <c r="C153" t="s">
        <v>256</v>
      </c>
      <c r="D153" t="s">
        <v>366</v>
      </c>
      <c r="F153" t="s">
        <v>1248</v>
      </c>
      <c r="G153" t="s">
        <v>3359</v>
      </c>
      <c r="H153" t="s">
        <v>5785</v>
      </c>
      <c r="I153" t="s">
        <v>8183</v>
      </c>
      <c r="J153" t="s">
        <v>9059</v>
      </c>
      <c r="K153">
        <v>11225</v>
      </c>
      <c r="L153" t="s">
        <v>9094</v>
      </c>
      <c r="M153" t="s">
        <v>9094</v>
      </c>
      <c r="N153" t="s">
        <v>9121</v>
      </c>
      <c r="O153" t="s">
        <v>9121</v>
      </c>
      <c r="P153" t="s">
        <v>11167</v>
      </c>
      <c r="R153" t="s">
        <v>11180</v>
      </c>
      <c r="S153" t="s">
        <v>9096</v>
      </c>
      <c r="T153" t="s">
        <v>11183</v>
      </c>
      <c r="W153">
        <v>978.0700000000001</v>
      </c>
      <c r="X153" t="s">
        <v>11332</v>
      </c>
      <c r="Z153" t="s">
        <v>11477</v>
      </c>
      <c r="AB153" t="s">
        <v>15986</v>
      </c>
      <c r="AC153">
        <v>89</v>
      </c>
      <c r="AD153" t="s">
        <v>19566</v>
      </c>
      <c r="AE153" t="s">
        <v>9144</v>
      </c>
      <c r="AF153">
        <v>28</v>
      </c>
      <c r="AG153">
        <v>1</v>
      </c>
      <c r="AH153">
        <v>0</v>
      </c>
      <c r="AI153">
        <v>0</v>
      </c>
      <c r="AL153" t="s">
        <v>19614</v>
      </c>
      <c r="AM153">
        <v>0</v>
      </c>
      <c r="AN153" t="s">
        <v>19665</v>
      </c>
      <c r="AS153">
        <v>0</v>
      </c>
      <c r="AU153" t="s">
        <v>95</v>
      </c>
    </row>
    <row r="154" spans="1:48">
      <c r="A154" s="1">
        <f>HYPERLINK("https://lsnyc.legalserver.org/matter/dynamic-profile/view/1872081","18-1872081")</f>
        <v>0</v>
      </c>
      <c r="B154" t="s">
        <v>78</v>
      </c>
      <c r="C154" t="s">
        <v>256</v>
      </c>
      <c r="D154" t="s">
        <v>352</v>
      </c>
      <c r="F154" t="s">
        <v>1223</v>
      </c>
      <c r="G154" t="s">
        <v>3438</v>
      </c>
      <c r="H154" t="s">
        <v>5785</v>
      </c>
      <c r="I154" t="s">
        <v>8181</v>
      </c>
      <c r="J154" t="s">
        <v>9059</v>
      </c>
      <c r="K154">
        <v>11225</v>
      </c>
      <c r="L154" t="s">
        <v>9094</v>
      </c>
      <c r="M154" t="s">
        <v>9094</v>
      </c>
      <c r="O154" t="s">
        <v>11137</v>
      </c>
      <c r="P154" t="s">
        <v>11167</v>
      </c>
      <c r="R154" t="s">
        <v>11180</v>
      </c>
      <c r="S154" t="s">
        <v>9094</v>
      </c>
      <c r="T154" t="s">
        <v>11183</v>
      </c>
      <c r="V154" t="s">
        <v>412</v>
      </c>
      <c r="W154">
        <v>757.21</v>
      </c>
      <c r="X154" t="s">
        <v>11332</v>
      </c>
      <c r="Y154" t="s">
        <v>11339</v>
      </c>
      <c r="Z154" t="s">
        <v>11475</v>
      </c>
      <c r="AB154" t="s">
        <v>15984</v>
      </c>
      <c r="AC154">
        <v>89</v>
      </c>
      <c r="AD154" t="s">
        <v>19566</v>
      </c>
      <c r="AE154" t="s">
        <v>9144</v>
      </c>
      <c r="AF154">
        <v>29</v>
      </c>
      <c r="AG154">
        <v>2</v>
      </c>
      <c r="AH154">
        <v>2</v>
      </c>
      <c r="AI154">
        <v>0</v>
      </c>
      <c r="AL154" t="s">
        <v>19614</v>
      </c>
      <c r="AM154">
        <v>0</v>
      </c>
      <c r="AS154">
        <v>0</v>
      </c>
      <c r="AU154" t="s">
        <v>95</v>
      </c>
    </row>
    <row r="155" spans="1:48">
      <c r="A155" s="1">
        <f>HYPERLINK("https://lsnyc.legalserver.org/matter/dynamic-profile/view/1872110","18-1872110")</f>
        <v>0</v>
      </c>
      <c r="B155" t="s">
        <v>78</v>
      </c>
      <c r="C155" t="s">
        <v>256</v>
      </c>
      <c r="D155" t="s">
        <v>352</v>
      </c>
      <c r="F155" t="s">
        <v>1247</v>
      </c>
      <c r="G155" t="s">
        <v>3332</v>
      </c>
      <c r="H155" t="s">
        <v>5785</v>
      </c>
      <c r="I155" t="s">
        <v>8182</v>
      </c>
      <c r="J155" t="s">
        <v>9059</v>
      </c>
      <c r="K155">
        <v>11225</v>
      </c>
      <c r="L155" t="s">
        <v>9094</v>
      </c>
      <c r="M155" t="s">
        <v>9095</v>
      </c>
      <c r="O155" t="s">
        <v>11137</v>
      </c>
      <c r="P155" t="s">
        <v>11167</v>
      </c>
      <c r="R155" t="s">
        <v>11180</v>
      </c>
      <c r="S155" t="s">
        <v>9094</v>
      </c>
      <c r="T155" t="s">
        <v>11183</v>
      </c>
      <c r="V155" t="s">
        <v>412</v>
      </c>
      <c r="W155">
        <v>1021</v>
      </c>
      <c r="X155" t="s">
        <v>11332</v>
      </c>
      <c r="Y155" t="s">
        <v>11339</v>
      </c>
      <c r="Z155" t="s">
        <v>11476</v>
      </c>
      <c r="AB155" t="s">
        <v>15985</v>
      </c>
      <c r="AC155">
        <v>89</v>
      </c>
      <c r="AD155" t="s">
        <v>19566</v>
      </c>
      <c r="AE155" t="s">
        <v>9144</v>
      </c>
      <c r="AF155">
        <v>17</v>
      </c>
      <c r="AG155">
        <v>1</v>
      </c>
      <c r="AH155">
        <v>0</v>
      </c>
      <c r="AI155">
        <v>0</v>
      </c>
      <c r="AL155" t="s">
        <v>19614</v>
      </c>
      <c r="AM155">
        <v>0</v>
      </c>
      <c r="AS155">
        <v>0</v>
      </c>
      <c r="AU155" t="s">
        <v>95</v>
      </c>
    </row>
    <row r="156" spans="1:48">
      <c r="A156" s="1">
        <f>HYPERLINK("https://lsnyc.legalserver.org/matter/dynamic-profile/view/1907514","19-1907514")</f>
        <v>0</v>
      </c>
      <c r="B156" t="s">
        <v>86</v>
      </c>
      <c r="C156" t="s">
        <v>256</v>
      </c>
      <c r="D156" t="s">
        <v>275</v>
      </c>
      <c r="F156" t="s">
        <v>1145</v>
      </c>
      <c r="G156" t="s">
        <v>3440</v>
      </c>
      <c r="H156" t="s">
        <v>5786</v>
      </c>
      <c r="I156" t="s">
        <v>8185</v>
      </c>
      <c r="J156" t="s">
        <v>9059</v>
      </c>
      <c r="K156">
        <v>11225</v>
      </c>
      <c r="L156" t="s">
        <v>9094</v>
      </c>
      <c r="M156" t="s">
        <v>9095</v>
      </c>
      <c r="O156" t="s">
        <v>11137</v>
      </c>
      <c r="P156" t="s">
        <v>11166</v>
      </c>
      <c r="R156" t="s">
        <v>11180</v>
      </c>
      <c r="S156" t="s">
        <v>9094</v>
      </c>
      <c r="T156" t="s">
        <v>11183</v>
      </c>
      <c r="V156" t="s">
        <v>275</v>
      </c>
      <c r="W156">
        <v>0</v>
      </c>
      <c r="X156" t="s">
        <v>11332</v>
      </c>
      <c r="Z156" t="s">
        <v>11479</v>
      </c>
      <c r="AC156">
        <v>46</v>
      </c>
      <c r="AF156">
        <v>0</v>
      </c>
      <c r="AG156">
        <v>3</v>
      </c>
      <c r="AH156">
        <v>2</v>
      </c>
      <c r="AI156">
        <v>0</v>
      </c>
      <c r="AL156" t="s">
        <v>19614</v>
      </c>
      <c r="AM156">
        <v>0</v>
      </c>
      <c r="AS156">
        <v>0</v>
      </c>
      <c r="AU156" t="s">
        <v>215</v>
      </c>
      <c r="AV156" t="s">
        <v>20733</v>
      </c>
    </row>
    <row r="157" spans="1:48">
      <c r="A157" s="1">
        <f>HYPERLINK("https://lsnyc.legalserver.org/matter/dynamic-profile/view/1907437","19-1907437")</f>
        <v>0</v>
      </c>
      <c r="B157" t="s">
        <v>64</v>
      </c>
      <c r="C157" t="s">
        <v>257</v>
      </c>
      <c r="D157" t="s">
        <v>275</v>
      </c>
      <c r="E157" t="s">
        <v>297</v>
      </c>
      <c r="F157" t="s">
        <v>1250</v>
      </c>
      <c r="G157" t="s">
        <v>3441</v>
      </c>
      <c r="H157" t="s">
        <v>5787</v>
      </c>
      <c r="I157" t="s">
        <v>8161</v>
      </c>
      <c r="J157" t="s">
        <v>9059</v>
      </c>
      <c r="K157">
        <v>11222</v>
      </c>
      <c r="L157" t="s">
        <v>9094</v>
      </c>
      <c r="M157" t="s">
        <v>9095</v>
      </c>
      <c r="N157" t="s">
        <v>9171</v>
      </c>
      <c r="O157" t="s">
        <v>11130</v>
      </c>
      <c r="P157" t="s">
        <v>11164</v>
      </c>
      <c r="Q157" t="s">
        <v>11172</v>
      </c>
      <c r="R157" t="s">
        <v>11180</v>
      </c>
      <c r="S157" t="s">
        <v>9096</v>
      </c>
      <c r="T157" t="s">
        <v>11183</v>
      </c>
      <c r="U157" t="s">
        <v>11201</v>
      </c>
      <c r="V157" t="s">
        <v>472</v>
      </c>
      <c r="W157">
        <v>2400</v>
      </c>
      <c r="X157" t="s">
        <v>11332</v>
      </c>
      <c r="Y157" t="s">
        <v>11157</v>
      </c>
      <c r="Z157" t="s">
        <v>11480</v>
      </c>
      <c r="AA157" t="s">
        <v>9171</v>
      </c>
      <c r="AB157" t="s">
        <v>15987</v>
      </c>
      <c r="AC157">
        <v>4</v>
      </c>
      <c r="AD157" t="s">
        <v>19566</v>
      </c>
      <c r="AE157" t="s">
        <v>9144</v>
      </c>
      <c r="AF157">
        <v>10</v>
      </c>
      <c r="AG157">
        <v>1</v>
      </c>
      <c r="AH157">
        <v>0</v>
      </c>
      <c r="AI157">
        <v>0</v>
      </c>
      <c r="AL157" t="s">
        <v>19614</v>
      </c>
      <c r="AM157">
        <v>0</v>
      </c>
      <c r="AS157">
        <v>1.8</v>
      </c>
      <c r="AT157" t="s">
        <v>472</v>
      </c>
      <c r="AU157" t="s">
        <v>20632</v>
      </c>
      <c r="AV157" t="s">
        <v>20734</v>
      </c>
    </row>
    <row r="158" spans="1:48">
      <c r="A158" s="1">
        <f>HYPERLINK("https://lsnyc.legalserver.org/matter/dynamic-profile/view/1880673","18-1880673")</f>
        <v>0</v>
      </c>
      <c r="B158" t="s">
        <v>87</v>
      </c>
      <c r="C158" t="s">
        <v>256</v>
      </c>
      <c r="D158" t="s">
        <v>285</v>
      </c>
      <c r="F158" t="s">
        <v>1251</v>
      </c>
      <c r="G158" t="s">
        <v>3442</v>
      </c>
      <c r="H158" t="s">
        <v>5788</v>
      </c>
      <c r="I158" t="s">
        <v>8186</v>
      </c>
      <c r="J158" t="s">
        <v>9059</v>
      </c>
      <c r="K158">
        <v>11221</v>
      </c>
      <c r="L158" t="s">
        <v>9094</v>
      </c>
      <c r="M158" t="s">
        <v>9094</v>
      </c>
      <c r="N158" t="s">
        <v>9172</v>
      </c>
      <c r="O158" t="s">
        <v>11130</v>
      </c>
      <c r="P158" t="s">
        <v>11165</v>
      </c>
      <c r="R158" t="s">
        <v>11180</v>
      </c>
      <c r="S158" t="s">
        <v>9094</v>
      </c>
      <c r="T158" t="s">
        <v>11183</v>
      </c>
      <c r="V158" t="s">
        <v>285</v>
      </c>
      <c r="W158">
        <v>0</v>
      </c>
      <c r="X158" t="s">
        <v>11332</v>
      </c>
      <c r="Y158" t="s">
        <v>11340</v>
      </c>
      <c r="Z158" t="s">
        <v>11481</v>
      </c>
      <c r="AB158" t="s">
        <v>15988</v>
      </c>
      <c r="AC158">
        <v>7</v>
      </c>
      <c r="AF158">
        <v>13</v>
      </c>
      <c r="AG158">
        <v>1</v>
      </c>
      <c r="AH158">
        <v>1</v>
      </c>
      <c r="AI158">
        <v>0</v>
      </c>
      <c r="AL158" t="s">
        <v>19614</v>
      </c>
      <c r="AM158">
        <v>0</v>
      </c>
      <c r="AS158">
        <v>26.2</v>
      </c>
      <c r="AT158" t="s">
        <v>502</v>
      </c>
      <c r="AU158" t="s">
        <v>20633</v>
      </c>
    </row>
    <row r="159" spans="1:48">
      <c r="A159" s="1">
        <f>HYPERLINK("https://lsnyc.legalserver.org/matter/dynamic-profile/view/1904324","19-1904324")</f>
        <v>0</v>
      </c>
      <c r="B159" t="s">
        <v>86</v>
      </c>
      <c r="C159" t="s">
        <v>256</v>
      </c>
      <c r="D159" t="s">
        <v>265</v>
      </c>
      <c r="F159" t="s">
        <v>1252</v>
      </c>
      <c r="G159" t="s">
        <v>3443</v>
      </c>
      <c r="H159" t="s">
        <v>5788</v>
      </c>
      <c r="I159" t="s">
        <v>8187</v>
      </c>
      <c r="J159" t="s">
        <v>9059</v>
      </c>
      <c r="K159">
        <v>11221</v>
      </c>
      <c r="L159" t="s">
        <v>9094</v>
      </c>
      <c r="M159" t="s">
        <v>9095</v>
      </c>
      <c r="O159" t="s">
        <v>11137</v>
      </c>
      <c r="P159" t="s">
        <v>11166</v>
      </c>
      <c r="R159" t="s">
        <v>11180</v>
      </c>
      <c r="S159" t="s">
        <v>9094</v>
      </c>
      <c r="T159" t="s">
        <v>11183</v>
      </c>
      <c r="V159" t="s">
        <v>265</v>
      </c>
      <c r="W159">
        <v>0</v>
      </c>
      <c r="X159" t="s">
        <v>11332</v>
      </c>
      <c r="Z159" t="s">
        <v>11482</v>
      </c>
      <c r="AC159">
        <v>2</v>
      </c>
      <c r="AF159">
        <v>0</v>
      </c>
      <c r="AG159">
        <v>1</v>
      </c>
      <c r="AH159">
        <v>0</v>
      </c>
      <c r="AI159">
        <v>0</v>
      </c>
      <c r="AL159" t="s">
        <v>19614</v>
      </c>
      <c r="AM159">
        <v>0</v>
      </c>
      <c r="AS159">
        <v>2</v>
      </c>
      <c r="AT159" t="s">
        <v>265</v>
      </c>
      <c r="AU159" t="s">
        <v>67</v>
      </c>
    </row>
    <row r="160" spans="1:48">
      <c r="A160" s="1">
        <f>HYPERLINK("https://lsnyc.legalserver.org/matter/dynamic-profile/view/1905064","19-1905064")</f>
        <v>0</v>
      </c>
      <c r="B160" t="s">
        <v>86</v>
      </c>
      <c r="C160" t="s">
        <v>256</v>
      </c>
      <c r="D160" t="s">
        <v>367</v>
      </c>
      <c r="F160" t="s">
        <v>1253</v>
      </c>
      <c r="G160" t="s">
        <v>3444</v>
      </c>
      <c r="H160" t="s">
        <v>5788</v>
      </c>
      <c r="I160">
        <v>1</v>
      </c>
      <c r="J160" t="s">
        <v>9059</v>
      </c>
      <c r="K160">
        <v>11221</v>
      </c>
      <c r="L160" t="s">
        <v>9094</v>
      </c>
      <c r="M160" t="s">
        <v>9095</v>
      </c>
      <c r="O160" t="s">
        <v>11137</v>
      </c>
      <c r="P160" t="s">
        <v>11166</v>
      </c>
      <c r="R160" t="s">
        <v>11180</v>
      </c>
      <c r="S160" t="s">
        <v>9094</v>
      </c>
      <c r="T160" t="s">
        <v>11183</v>
      </c>
      <c r="V160" t="s">
        <v>706</v>
      </c>
      <c r="W160">
        <v>0</v>
      </c>
      <c r="X160" t="s">
        <v>11332</v>
      </c>
      <c r="Z160" t="s">
        <v>11483</v>
      </c>
      <c r="AB160" t="s">
        <v>15989</v>
      </c>
      <c r="AC160">
        <v>2</v>
      </c>
      <c r="AF160">
        <v>0</v>
      </c>
      <c r="AG160">
        <v>1</v>
      </c>
      <c r="AH160">
        <v>0</v>
      </c>
      <c r="AI160">
        <v>0</v>
      </c>
      <c r="AL160" t="s">
        <v>19614</v>
      </c>
      <c r="AM160">
        <v>0</v>
      </c>
      <c r="AS160">
        <v>0.7</v>
      </c>
      <c r="AT160" t="s">
        <v>308</v>
      </c>
      <c r="AU160" t="s">
        <v>67</v>
      </c>
    </row>
    <row r="161" spans="1:48">
      <c r="A161" s="1">
        <f>HYPERLINK("https://lsnyc.legalserver.org/matter/dynamic-profile/view/0830965","17-0830965")</f>
        <v>0</v>
      </c>
      <c r="B161" t="s">
        <v>88</v>
      </c>
      <c r="C161" t="s">
        <v>257</v>
      </c>
      <c r="D161" t="s">
        <v>368</v>
      </c>
      <c r="E161" t="s">
        <v>314</v>
      </c>
      <c r="F161" t="s">
        <v>1209</v>
      </c>
      <c r="G161" t="s">
        <v>3445</v>
      </c>
      <c r="H161" t="s">
        <v>5789</v>
      </c>
      <c r="I161" t="s">
        <v>8188</v>
      </c>
      <c r="J161" t="s">
        <v>9059</v>
      </c>
      <c r="K161">
        <v>11220</v>
      </c>
      <c r="L161" t="s">
        <v>9096</v>
      </c>
      <c r="M161" t="s">
        <v>9095</v>
      </c>
      <c r="O161" t="s">
        <v>11132</v>
      </c>
      <c r="P161" t="s">
        <v>11165</v>
      </c>
      <c r="Q161" t="s">
        <v>11174</v>
      </c>
      <c r="R161" t="s">
        <v>11180</v>
      </c>
      <c r="T161" t="s">
        <v>11183</v>
      </c>
      <c r="W161">
        <v>869.28</v>
      </c>
      <c r="X161" t="s">
        <v>11332</v>
      </c>
      <c r="Z161" t="s">
        <v>11484</v>
      </c>
      <c r="AB161" t="s">
        <v>15990</v>
      </c>
      <c r="AC161">
        <v>0</v>
      </c>
      <c r="AD161" t="s">
        <v>19566</v>
      </c>
      <c r="AF161">
        <v>43</v>
      </c>
      <c r="AG161">
        <v>1</v>
      </c>
      <c r="AH161">
        <v>0</v>
      </c>
      <c r="AI161">
        <v>0</v>
      </c>
      <c r="AL161" t="s">
        <v>19614</v>
      </c>
      <c r="AM161">
        <v>0</v>
      </c>
      <c r="AS161">
        <v>66</v>
      </c>
      <c r="AT161" t="s">
        <v>899</v>
      </c>
      <c r="AU161" t="s">
        <v>20634</v>
      </c>
    </row>
    <row r="162" spans="1:48">
      <c r="A162" s="1">
        <f>HYPERLINK("https://lsnyc.legalserver.org/matter/dynamic-profile/view/1843785","17-1843785")</f>
        <v>0</v>
      </c>
      <c r="B162" t="s">
        <v>75</v>
      </c>
      <c r="C162" t="s">
        <v>257</v>
      </c>
      <c r="D162" t="s">
        <v>369</v>
      </c>
      <c r="E162" t="s">
        <v>1132</v>
      </c>
      <c r="F162" t="s">
        <v>1254</v>
      </c>
      <c r="G162" t="s">
        <v>3446</v>
      </c>
      <c r="H162" t="s">
        <v>5790</v>
      </c>
      <c r="I162" t="s">
        <v>8107</v>
      </c>
      <c r="J162" t="s">
        <v>9059</v>
      </c>
      <c r="K162">
        <v>11220</v>
      </c>
      <c r="L162" t="s">
        <v>9094</v>
      </c>
      <c r="M162" t="s">
        <v>9095</v>
      </c>
      <c r="N162" t="s">
        <v>9173</v>
      </c>
      <c r="O162" t="s">
        <v>11128</v>
      </c>
      <c r="P162" t="s">
        <v>11165</v>
      </c>
      <c r="Q162" t="s">
        <v>11174</v>
      </c>
      <c r="R162" t="s">
        <v>11181</v>
      </c>
      <c r="S162" t="s">
        <v>9096</v>
      </c>
      <c r="T162" t="s">
        <v>11183</v>
      </c>
      <c r="V162" t="s">
        <v>369</v>
      </c>
      <c r="W162">
        <v>1200</v>
      </c>
      <c r="X162" t="s">
        <v>11332</v>
      </c>
      <c r="Y162" t="s">
        <v>11337</v>
      </c>
      <c r="Z162" t="s">
        <v>11485</v>
      </c>
      <c r="AB162" t="s">
        <v>15991</v>
      </c>
      <c r="AC162">
        <v>2</v>
      </c>
      <c r="AD162" t="s">
        <v>15441</v>
      </c>
      <c r="AF162">
        <v>1</v>
      </c>
      <c r="AG162">
        <v>1</v>
      </c>
      <c r="AH162">
        <v>0</v>
      </c>
      <c r="AI162">
        <v>0</v>
      </c>
      <c r="AJ162" t="s">
        <v>19591</v>
      </c>
      <c r="AK162" t="s">
        <v>19608</v>
      </c>
      <c r="AL162" t="s">
        <v>19622</v>
      </c>
      <c r="AM162">
        <v>0</v>
      </c>
      <c r="AS162">
        <v>14.4</v>
      </c>
      <c r="AT162" t="s">
        <v>724</v>
      </c>
      <c r="AU162" t="s">
        <v>20628</v>
      </c>
    </row>
    <row r="163" spans="1:48">
      <c r="A163" s="1">
        <f>HYPERLINK("https://lsnyc.legalserver.org/matter/dynamic-profile/view/1906538","19-1906538")</f>
        <v>0</v>
      </c>
      <c r="B163" t="s">
        <v>64</v>
      </c>
      <c r="C163" t="s">
        <v>257</v>
      </c>
      <c r="D163" t="s">
        <v>370</v>
      </c>
      <c r="E163" t="s">
        <v>488</v>
      </c>
      <c r="F163" t="s">
        <v>1255</v>
      </c>
      <c r="G163" t="s">
        <v>3447</v>
      </c>
      <c r="H163" t="s">
        <v>5791</v>
      </c>
      <c r="I163" t="s">
        <v>8189</v>
      </c>
      <c r="J163" t="s">
        <v>9059</v>
      </c>
      <c r="K163">
        <v>11220</v>
      </c>
      <c r="L163" t="s">
        <v>9094</v>
      </c>
      <c r="M163" t="s">
        <v>9095</v>
      </c>
      <c r="N163" t="s">
        <v>9174</v>
      </c>
      <c r="O163" t="s">
        <v>11129</v>
      </c>
      <c r="P163" t="s">
        <v>11165</v>
      </c>
      <c r="Q163" t="s">
        <v>11174</v>
      </c>
      <c r="R163" t="s">
        <v>11180</v>
      </c>
      <c r="S163" t="s">
        <v>9096</v>
      </c>
      <c r="T163" t="s">
        <v>11183</v>
      </c>
      <c r="U163" t="s">
        <v>11201</v>
      </c>
      <c r="V163" t="s">
        <v>396</v>
      </c>
      <c r="W163">
        <v>1938</v>
      </c>
      <c r="X163" t="s">
        <v>11332</v>
      </c>
      <c r="Y163" t="s">
        <v>11351</v>
      </c>
      <c r="Z163" t="s">
        <v>11486</v>
      </c>
      <c r="AA163" t="s">
        <v>15296</v>
      </c>
      <c r="AB163" t="s">
        <v>15992</v>
      </c>
      <c r="AC163">
        <v>60</v>
      </c>
      <c r="AD163" t="s">
        <v>19566</v>
      </c>
      <c r="AE163" t="s">
        <v>9144</v>
      </c>
      <c r="AF163">
        <v>2</v>
      </c>
      <c r="AG163">
        <v>1</v>
      </c>
      <c r="AH163">
        <v>1</v>
      </c>
      <c r="AI163">
        <v>0</v>
      </c>
      <c r="AL163" t="s">
        <v>19614</v>
      </c>
      <c r="AM163">
        <v>0</v>
      </c>
      <c r="AP163" t="s">
        <v>11157</v>
      </c>
      <c r="AQ163" t="s">
        <v>20368</v>
      </c>
      <c r="AR163" t="s">
        <v>20381</v>
      </c>
      <c r="AS163">
        <v>23.7</v>
      </c>
      <c r="AT163" t="s">
        <v>488</v>
      </c>
      <c r="AU163" t="s">
        <v>79</v>
      </c>
      <c r="AV163" t="s">
        <v>20733</v>
      </c>
    </row>
    <row r="164" spans="1:48">
      <c r="A164" s="1">
        <f>HYPERLINK("https://lsnyc.legalserver.org/matter/dynamic-profile/view/1899996","19-1899996")</f>
        <v>0</v>
      </c>
      <c r="B164" t="s">
        <v>82</v>
      </c>
      <c r="C164" t="s">
        <v>256</v>
      </c>
      <c r="D164" t="s">
        <v>293</v>
      </c>
      <c r="F164" t="s">
        <v>1256</v>
      </c>
      <c r="G164" t="s">
        <v>3448</v>
      </c>
      <c r="H164" t="s">
        <v>5792</v>
      </c>
      <c r="I164">
        <v>31</v>
      </c>
      <c r="J164" t="s">
        <v>9059</v>
      </c>
      <c r="K164">
        <v>11220</v>
      </c>
      <c r="L164" t="s">
        <v>9094</v>
      </c>
      <c r="M164" t="s">
        <v>9095</v>
      </c>
      <c r="N164" t="s">
        <v>9144</v>
      </c>
      <c r="O164" t="s">
        <v>11136</v>
      </c>
      <c r="P164" t="s">
        <v>11167</v>
      </c>
      <c r="R164" t="s">
        <v>11180</v>
      </c>
      <c r="S164" t="s">
        <v>9096</v>
      </c>
      <c r="T164" t="s">
        <v>11183</v>
      </c>
      <c r="U164" t="s">
        <v>11201</v>
      </c>
      <c r="V164" t="s">
        <v>293</v>
      </c>
      <c r="W164">
        <v>0</v>
      </c>
      <c r="X164" t="s">
        <v>11332</v>
      </c>
      <c r="Y164" t="s">
        <v>11346</v>
      </c>
      <c r="Z164" t="s">
        <v>11487</v>
      </c>
      <c r="AA164" t="s">
        <v>9144</v>
      </c>
      <c r="AC164">
        <v>84</v>
      </c>
      <c r="AD164" t="s">
        <v>19566</v>
      </c>
      <c r="AE164" t="s">
        <v>9144</v>
      </c>
      <c r="AF164">
        <v>25</v>
      </c>
      <c r="AG164">
        <v>3</v>
      </c>
      <c r="AH164">
        <v>0</v>
      </c>
      <c r="AI164">
        <v>0</v>
      </c>
      <c r="AL164" t="s">
        <v>19615</v>
      </c>
      <c r="AM164">
        <v>0</v>
      </c>
      <c r="AS164">
        <v>0.8</v>
      </c>
      <c r="AT164" t="s">
        <v>293</v>
      </c>
      <c r="AU164" t="s">
        <v>67</v>
      </c>
    </row>
    <row r="165" spans="1:48">
      <c r="A165" s="1">
        <f>HYPERLINK("https://lsnyc.legalserver.org/matter/dynamic-profile/view/1883756","18-1883756")</f>
        <v>0</v>
      </c>
      <c r="B165" t="s">
        <v>64</v>
      </c>
      <c r="C165" t="s">
        <v>257</v>
      </c>
      <c r="D165" t="s">
        <v>371</v>
      </c>
      <c r="E165" t="s">
        <v>549</v>
      </c>
      <c r="F165" t="s">
        <v>1257</v>
      </c>
      <c r="G165" t="s">
        <v>1461</v>
      </c>
      <c r="H165" t="s">
        <v>5793</v>
      </c>
      <c r="I165" t="s">
        <v>8190</v>
      </c>
      <c r="J165" t="s">
        <v>9059</v>
      </c>
      <c r="K165">
        <v>11219</v>
      </c>
      <c r="L165" t="s">
        <v>9096</v>
      </c>
      <c r="M165" t="s">
        <v>9095</v>
      </c>
      <c r="O165" t="s">
        <v>9121</v>
      </c>
      <c r="P165" t="s">
        <v>11164</v>
      </c>
      <c r="Q165" t="s">
        <v>11172</v>
      </c>
      <c r="R165" t="s">
        <v>11180</v>
      </c>
      <c r="S165" t="s">
        <v>9096</v>
      </c>
      <c r="T165" t="s">
        <v>11183</v>
      </c>
      <c r="V165" t="s">
        <v>371</v>
      </c>
      <c r="W165">
        <v>950</v>
      </c>
      <c r="X165" t="s">
        <v>11332</v>
      </c>
      <c r="Z165" t="s">
        <v>11488</v>
      </c>
      <c r="AB165" t="s">
        <v>15993</v>
      </c>
      <c r="AC165">
        <v>34</v>
      </c>
      <c r="AD165" t="s">
        <v>19566</v>
      </c>
      <c r="AE165" t="s">
        <v>9144</v>
      </c>
      <c r="AF165">
        <v>12</v>
      </c>
      <c r="AG165">
        <v>1</v>
      </c>
      <c r="AH165">
        <v>0</v>
      </c>
      <c r="AI165">
        <v>0</v>
      </c>
      <c r="AL165" t="s">
        <v>19614</v>
      </c>
      <c r="AM165">
        <v>0</v>
      </c>
      <c r="AS165">
        <v>0.7</v>
      </c>
      <c r="AT165" t="s">
        <v>415</v>
      </c>
      <c r="AU165" t="s">
        <v>20635</v>
      </c>
      <c r="AV165" t="s">
        <v>9144</v>
      </c>
    </row>
    <row r="166" spans="1:48">
      <c r="A166" s="1">
        <f>HYPERLINK("https://lsnyc.legalserver.org/matter/dynamic-profile/view/1899781","19-1899781")</f>
        <v>0</v>
      </c>
      <c r="B166" t="s">
        <v>84</v>
      </c>
      <c r="C166" t="s">
        <v>256</v>
      </c>
      <c r="D166" t="s">
        <v>372</v>
      </c>
      <c r="F166" t="s">
        <v>1258</v>
      </c>
      <c r="G166" t="s">
        <v>3449</v>
      </c>
      <c r="H166" t="s">
        <v>5794</v>
      </c>
      <c r="I166" t="s">
        <v>8164</v>
      </c>
      <c r="J166" t="s">
        <v>9059</v>
      </c>
      <c r="K166">
        <v>11217</v>
      </c>
      <c r="L166" t="s">
        <v>9094</v>
      </c>
      <c r="M166" t="s">
        <v>9095</v>
      </c>
      <c r="O166" t="s">
        <v>11134</v>
      </c>
      <c r="P166" t="s">
        <v>11168</v>
      </c>
      <c r="R166" t="s">
        <v>11180</v>
      </c>
      <c r="S166" t="s">
        <v>9094</v>
      </c>
      <c r="T166" t="s">
        <v>11183</v>
      </c>
      <c r="V166" t="s">
        <v>261</v>
      </c>
      <c r="W166">
        <v>1133.28</v>
      </c>
      <c r="X166" t="s">
        <v>11332</v>
      </c>
      <c r="Z166" t="s">
        <v>11489</v>
      </c>
      <c r="AB166" t="s">
        <v>15994</v>
      </c>
      <c r="AC166">
        <v>0</v>
      </c>
      <c r="AF166">
        <v>4</v>
      </c>
      <c r="AG166">
        <v>1</v>
      </c>
      <c r="AH166">
        <v>0</v>
      </c>
      <c r="AI166">
        <v>0</v>
      </c>
      <c r="AL166" t="s">
        <v>19614</v>
      </c>
      <c r="AM166">
        <v>0</v>
      </c>
      <c r="AS166">
        <v>0</v>
      </c>
      <c r="AU166" t="s">
        <v>215</v>
      </c>
    </row>
    <row r="167" spans="1:48">
      <c r="A167" s="1">
        <f>HYPERLINK("https://lsnyc.legalserver.org/matter/dynamic-profile/view/1899785","19-1899785")</f>
        <v>0</v>
      </c>
      <c r="B167" t="s">
        <v>84</v>
      </c>
      <c r="C167" t="s">
        <v>256</v>
      </c>
      <c r="D167" t="s">
        <v>261</v>
      </c>
      <c r="F167" t="s">
        <v>1259</v>
      </c>
      <c r="G167" t="s">
        <v>2884</v>
      </c>
      <c r="H167" t="s">
        <v>5794</v>
      </c>
      <c r="I167" t="s">
        <v>8141</v>
      </c>
      <c r="J167" t="s">
        <v>9059</v>
      </c>
      <c r="K167">
        <v>11217</v>
      </c>
      <c r="L167" t="s">
        <v>9094</v>
      </c>
      <c r="M167" t="s">
        <v>9095</v>
      </c>
      <c r="N167" t="s">
        <v>9175</v>
      </c>
      <c r="O167" t="s">
        <v>11134</v>
      </c>
      <c r="P167" t="s">
        <v>11168</v>
      </c>
      <c r="R167" t="s">
        <v>11180</v>
      </c>
      <c r="S167" t="s">
        <v>9094</v>
      </c>
      <c r="T167" t="s">
        <v>11183</v>
      </c>
      <c r="V167" t="s">
        <v>261</v>
      </c>
      <c r="W167">
        <v>626.29</v>
      </c>
      <c r="X167" t="s">
        <v>11332</v>
      </c>
      <c r="Z167" t="s">
        <v>11490</v>
      </c>
      <c r="AB167" t="s">
        <v>15995</v>
      </c>
      <c r="AC167">
        <v>0</v>
      </c>
      <c r="AF167">
        <v>0</v>
      </c>
      <c r="AG167">
        <v>1</v>
      </c>
      <c r="AH167">
        <v>0</v>
      </c>
      <c r="AI167">
        <v>0</v>
      </c>
      <c r="AL167" t="s">
        <v>19614</v>
      </c>
      <c r="AM167">
        <v>0</v>
      </c>
      <c r="AS167">
        <v>1</v>
      </c>
      <c r="AT167" t="s">
        <v>298</v>
      </c>
      <c r="AU167" t="s">
        <v>215</v>
      </c>
    </row>
    <row r="168" spans="1:48">
      <c r="A168" s="1">
        <f>HYPERLINK("https://lsnyc.legalserver.org/matter/dynamic-profile/view/1899861","19-1899861")</f>
        <v>0</v>
      </c>
      <c r="B168" t="s">
        <v>84</v>
      </c>
      <c r="C168" t="s">
        <v>256</v>
      </c>
      <c r="D168" t="s">
        <v>372</v>
      </c>
      <c r="F168" t="s">
        <v>1260</v>
      </c>
      <c r="G168" t="s">
        <v>3450</v>
      </c>
      <c r="H168" t="s">
        <v>5794</v>
      </c>
      <c r="I168" t="s">
        <v>8191</v>
      </c>
      <c r="J168" t="s">
        <v>9059</v>
      </c>
      <c r="K168">
        <v>11217</v>
      </c>
      <c r="L168" t="s">
        <v>9094</v>
      </c>
      <c r="M168" t="s">
        <v>9095</v>
      </c>
      <c r="O168" t="s">
        <v>11134</v>
      </c>
      <c r="P168" t="s">
        <v>11168</v>
      </c>
      <c r="R168" t="s">
        <v>11180</v>
      </c>
      <c r="S168" t="s">
        <v>9094</v>
      </c>
      <c r="T168" t="s">
        <v>11183</v>
      </c>
      <c r="V168" t="s">
        <v>411</v>
      </c>
      <c r="W168">
        <v>869.85</v>
      </c>
      <c r="X168" t="s">
        <v>11332</v>
      </c>
      <c r="Z168" t="s">
        <v>11491</v>
      </c>
      <c r="AB168" t="s">
        <v>15996</v>
      </c>
      <c r="AC168">
        <v>0</v>
      </c>
      <c r="AF168">
        <v>10</v>
      </c>
      <c r="AG168">
        <v>1</v>
      </c>
      <c r="AH168">
        <v>0</v>
      </c>
      <c r="AI168">
        <v>0</v>
      </c>
      <c r="AL168" t="s">
        <v>19614</v>
      </c>
      <c r="AM168">
        <v>0</v>
      </c>
      <c r="AS168">
        <v>0</v>
      </c>
      <c r="AU168" t="s">
        <v>215</v>
      </c>
    </row>
    <row r="169" spans="1:48">
      <c r="A169" s="1">
        <f>HYPERLINK("https://lsnyc.legalserver.org/matter/dynamic-profile/view/1893268","19-1893268")</f>
        <v>0</v>
      </c>
      <c r="B169" t="s">
        <v>84</v>
      </c>
      <c r="C169" t="s">
        <v>256</v>
      </c>
      <c r="D169" t="s">
        <v>373</v>
      </c>
      <c r="F169" t="s">
        <v>1259</v>
      </c>
      <c r="G169" t="s">
        <v>2884</v>
      </c>
      <c r="H169" t="s">
        <v>5794</v>
      </c>
      <c r="I169" t="s">
        <v>8141</v>
      </c>
      <c r="J169" t="s">
        <v>9059</v>
      </c>
      <c r="K169">
        <v>11217</v>
      </c>
      <c r="L169" t="s">
        <v>9094</v>
      </c>
      <c r="M169" t="s">
        <v>9094</v>
      </c>
      <c r="O169" t="s">
        <v>11130</v>
      </c>
      <c r="P169" t="s">
        <v>11165</v>
      </c>
      <c r="R169" t="s">
        <v>11180</v>
      </c>
      <c r="S169" t="s">
        <v>9094</v>
      </c>
      <c r="T169" t="s">
        <v>11183</v>
      </c>
      <c r="V169" t="s">
        <v>423</v>
      </c>
      <c r="W169">
        <v>626.29</v>
      </c>
      <c r="X169" t="s">
        <v>11332</v>
      </c>
      <c r="Z169" t="s">
        <v>11490</v>
      </c>
      <c r="AB169" t="s">
        <v>15995</v>
      </c>
      <c r="AC169">
        <v>0</v>
      </c>
      <c r="AF169">
        <v>0</v>
      </c>
      <c r="AG169">
        <v>1</v>
      </c>
      <c r="AH169">
        <v>0</v>
      </c>
      <c r="AI169">
        <v>0</v>
      </c>
      <c r="AL169" t="s">
        <v>19614</v>
      </c>
      <c r="AM169">
        <v>0</v>
      </c>
      <c r="AS169">
        <v>88.09999999999999</v>
      </c>
      <c r="AT169" t="s">
        <v>1132</v>
      </c>
      <c r="AU169" t="s">
        <v>215</v>
      </c>
    </row>
    <row r="170" spans="1:48">
      <c r="A170" s="1">
        <f>HYPERLINK("https://lsnyc.legalserver.org/matter/dynamic-profile/view/1899775","19-1899775")</f>
        <v>0</v>
      </c>
      <c r="B170" t="s">
        <v>84</v>
      </c>
      <c r="C170" t="s">
        <v>256</v>
      </c>
      <c r="D170" t="s">
        <v>372</v>
      </c>
      <c r="F170" t="s">
        <v>1258</v>
      </c>
      <c r="G170" t="s">
        <v>3449</v>
      </c>
      <c r="H170" t="s">
        <v>5794</v>
      </c>
      <c r="I170" t="s">
        <v>8164</v>
      </c>
      <c r="J170" t="s">
        <v>9059</v>
      </c>
      <c r="K170">
        <v>11217</v>
      </c>
      <c r="L170" t="s">
        <v>9094</v>
      </c>
      <c r="M170" t="s">
        <v>9095</v>
      </c>
      <c r="O170" t="s">
        <v>11130</v>
      </c>
      <c r="P170" t="s">
        <v>11165</v>
      </c>
      <c r="R170" t="s">
        <v>11180</v>
      </c>
      <c r="T170" t="s">
        <v>11183</v>
      </c>
      <c r="V170" t="s">
        <v>261</v>
      </c>
      <c r="W170">
        <v>1133.28</v>
      </c>
      <c r="X170" t="s">
        <v>11332</v>
      </c>
      <c r="Z170" t="s">
        <v>11489</v>
      </c>
      <c r="AB170" t="s">
        <v>15994</v>
      </c>
      <c r="AC170">
        <v>0</v>
      </c>
      <c r="AF170">
        <v>4</v>
      </c>
      <c r="AG170">
        <v>1</v>
      </c>
      <c r="AH170">
        <v>0</v>
      </c>
      <c r="AI170">
        <v>0</v>
      </c>
      <c r="AL170" t="s">
        <v>19614</v>
      </c>
      <c r="AM170">
        <v>0</v>
      </c>
      <c r="AS170">
        <v>6.8</v>
      </c>
      <c r="AT170" t="s">
        <v>992</v>
      </c>
      <c r="AU170" t="s">
        <v>215</v>
      </c>
    </row>
    <row r="171" spans="1:48">
      <c r="A171" s="1">
        <f>HYPERLINK("https://lsnyc.legalserver.org/matter/dynamic-profile/view/1899784","19-1899784")</f>
        <v>0</v>
      </c>
      <c r="B171" t="s">
        <v>84</v>
      </c>
      <c r="C171" t="s">
        <v>256</v>
      </c>
      <c r="D171" t="s">
        <v>372</v>
      </c>
      <c r="F171" t="s">
        <v>1259</v>
      </c>
      <c r="G171" t="s">
        <v>2884</v>
      </c>
      <c r="H171" t="s">
        <v>5794</v>
      </c>
      <c r="I171" t="s">
        <v>8141</v>
      </c>
      <c r="J171" t="s">
        <v>9059</v>
      </c>
      <c r="K171">
        <v>11217</v>
      </c>
      <c r="L171" t="s">
        <v>9094</v>
      </c>
      <c r="M171" t="s">
        <v>9095</v>
      </c>
      <c r="O171" t="s">
        <v>11130</v>
      </c>
      <c r="P171" t="s">
        <v>11168</v>
      </c>
      <c r="R171" t="s">
        <v>11180</v>
      </c>
      <c r="T171" t="s">
        <v>11183</v>
      </c>
      <c r="V171" t="s">
        <v>261</v>
      </c>
      <c r="W171">
        <v>626.29</v>
      </c>
      <c r="X171" t="s">
        <v>11332</v>
      </c>
      <c r="Z171" t="s">
        <v>11490</v>
      </c>
      <c r="AB171" t="s">
        <v>15995</v>
      </c>
      <c r="AC171">
        <v>0</v>
      </c>
      <c r="AF171">
        <v>0</v>
      </c>
      <c r="AG171">
        <v>1</v>
      </c>
      <c r="AH171">
        <v>0</v>
      </c>
      <c r="AI171">
        <v>0</v>
      </c>
      <c r="AL171" t="s">
        <v>19614</v>
      </c>
      <c r="AM171">
        <v>0</v>
      </c>
      <c r="AS171">
        <v>51.7</v>
      </c>
      <c r="AT171" t="s">
        <v>442</v>
      </c>
      <c r="AU171" t="s">
        <v>215</v>
      </c>
    </row>
    <row r="172" spans="1:48">
      <c r="A172" s="1">
        <f>HYPERLINK("https://lsnyc.legalserver.org/matter/dynamic-profile/view/1899835","19-1899835")</f>
        <v>0</v>
      </c>
      <c r="B172" t="s">
        <v>84</v>
      </c>
      <c r="C172" t="s">
        <v>256</v>
      </c>
      <c r="D172" t="s">
        <v>372</v>
      </c>
      <c r="F172" t="s">
        <v>1260</v>
      </c>
      <c r="G172" t="s">
        <v>3450</v>
      </c>
      <c r="H172" t="s">
        <v>5794</v>
      </c>
      <c r="I172" t="s">
        <v>8191</v>
      </c>
      <c r="J172" t="s">
        <v>9059</v>
      </c>
      <c r="K172">
        <v>11217</v>
      </c>
      <c r="L172" t="s">
        <v>9094</v>
      </c>
      <c r="M172" t="s">
        <v>9095</v>
      </c>
      <c r="O172" t="s">
        <v>11130</v>
      </c>
      <c r="P172" t="s">
        <v>11165</v>
      </c>
      <c r="R172" t="s">
        <v>11180</v>
      </c>
      <c r="S172" t="s">
        <v>9094</v>
      </c>
      <c r="T172" t="s">
        <v>11183</v>
      </c>
      <c r="V172" t="s">
        <v>411</v>
      </c>
      <c r="W172">
        <v>869.85</v>
      </c>
      <c r="X172" t="s">
        <v>11332</v>
      </c>
      <c r="Z172" t="s">
        <v>11491</v>
      </c>
      <c r="AB172" t="s">
        <v>15996</v>
      </c>
      <c r="AC172">
        <v>0</v>
      </c>
      <c r="AF172">
        <v>10</v>
      </c>
      <c r="AG172">
        <v>1</v>
      </c>
      <c r="AH172">
        <v>0</v>
      </c>
      <c r="AI172">
        <v>0</v>
      </c>
      <c r="AL172" t="s">
        <v>19614</v>
      </c>
      <c r="AM172">
        <v>0</v>
      </c>
      <c r="AS172">
        <v>8.199999999999999</v>
      </c>
      <c r="AT172" t="s">
        <v>273</v>
      </c>
      <c r="AU172" t="s">
        <v>215</v>
      </c>
    </row>
    <row r="173" spans="1:48">
      <c r="A173" s="1">
        <f>HYPERLINK("https://lsnyc.legalserver.org/matter/dynamic-profile/view/1896213","19-1896213")</f>
        <v>0</v>
      </c>
      <c r="B173" t="s">
        <v>84</v>
      </c>
      <c r="C173" t="s">
        <v>256</v>
      </c>
      <c r="D173" t="s">
        <v>374</v>
      </c>
      <c r="F173" t="s">
        <v>1260</v>
      </c>
      <c r="G173" t="s">
        <v>3450</v>
      </c>
      <c r="H173" t="s">
        <v>5794</v>
      </c>
      <c r="I173" t="s">
        <v>8191</v>
      </c>
      <c r="J173" t="s">
        <v>9059</v>
      </c>
      <c r="K173">
        <v>11217</v>
      </c>
      <c r="L173" t="s">
        <v>9094</v>
      </c>
      <c r="M173" t="s">
        <v>9095</v>
      </c>
      <c r="O173" t="s">
        <v>11129</v>
      </c>
      <c r="P173" t="s">
        <v>11165</v>
      </c>
      <c r="R173" t="s">
        <v>11180</v>
      </c>
      <c r="T173" t="s">
        <v>11183</v>
      </c>
      <c r="V173" t="s">
        <v>374</v>
      </c>
      <c r="W173">
        <v>0</v>
      </c>
      <c r="X173" t="s">
        <v>11332</v>
      </c>
      <c r="Z173" t="s">
        <v>11491</v>
      </c>
      <c r="AA173" t="s">
        <v>15297</v>
      </c>
      <c r="AB173" t="s">
        <v>15996</v>
      </c>
      <c r="AC173">
        <v>0</v>
      </c>
      <c r="AD173" t="s">
        <v>19566</v>
      </c>
      <c r="AE173" t="s">
        <v>19580</v>
      </c>
      <c r="AF173">
        <v>0</v>
      </c>
      <c r="AG173">
        <v>1</v>
      </c>
      <c r="AH173">
        <v>0</v>
      </c>
      <c r="AI173">
        <v>0</v>
      </c>
      <c r="AL173" t="s">
        <v>19614</v>
      </c>
      <c r="AM173">
        <v>0</v>
      </c>
      <c r="AN173" t="s">
        <v>19666</v>
      </c>
      <c r="AS173">
        <v>28.8</v>
      </c>
      <c r="AT173" t="s">
        <v>444</v>
      </c>
      <c r="AU173" t="s">
        <v>67</v>
      </c>
      <c r="AV173" t="s">
        <v>20734</v>
      </c>
    </row>
    <row r="174" spans="1:48">
      <c r="A174" s="1">
        <f>HYPERLINK("https://lsnyc.legalserver.org/matter/dynamic-profile/view/1912335","19-1912335")</f>
        <v>0</v>
      </c>
      <c r="B174" t="s">
        <v>65</v>
      </c>
      <c r="C174" t="s">
        <v>256</v>
      </c>
      <c r="D174" t="s">
        <v>309</v>
      </c>
      <c r="F174" t="s">
        <v>1206</v>
      </c>
      <c r="G174" t="s">
        <v>3451</v>
      </c>
      <c r="H174" t="s">
        <v>5795</v>
      </c>
      <c r="I174" t="s">
        <v>8192</v>
      </c>
      <c r="J174" t="s">
        <v>9059</v>
      </c>
      <c r="K174">
        <v>11217</v>
      </c>
      <c r="L174" t="s">
        <v>9094</v>
      </c>
      <c r="M174" t="s">
        <v>9095</v>
      </c>
      <c r="O174" t="s">
        <v>11129</v>
      </c>
      <c r="P174" t="s">
        <v>11169</v>
      </c>
      <c r="R174" t="s">
        <v>11180</v>
      </c>
      <c r="S174" t="s">
        <v>9096</v>
      </c>
      <c r="T174" t="s">
        <v>11183</v>
      </c>
      <c r="U174" t="s">
        <v>11201</v>
      </c>
      <c r="V174" t="s">
        <v>309</v>
      </c>
      <c r="W174">
        <v>0</v>
      </c>
      <c r="X174" t="s">
        <v>11332</v>
      </c>
      <c r="Y174" t="s">
        <v>11336</v>
      </c>
      <c r="Z174" t="s">
        <v>11422</v>
      </c>
      <c r="AC174">
        <v>0</v>
      </c>
      <c r="AD174" t="s">
        <v>19566</v>
      </c>
      <c r="AE174" t="s">
        <v>9144</v>
      </c>
      <c r="AF174">
        <v>0</v>
      </c>
      <c r="AG174">
        <v>1</v>
      </c>
      <c r="AH174">
        <v>0</v>
      </c>
      <c r="AI174">
        <v>0</v>
      </c>
      <c r="AL174" t="s">
        <v>19614</v>
      </c>
      <c r="AM174">
        <v>0</v>
      </c>
      <c r="AS174">
        <v>6.2</v>
      </c>
      <c r="AT174" t="s">
        <v>377</v>
      </c>
      <c r="AU174" t="s">
        <v>65</v>
      </c>
      <c r="AV174" t="s">
        <v>20733</v>
      </c>
    </row>
    <row r="175" spans="1:48">
      <c r="A175" s="1">
        <f>HYPERLINK("https://lsnyc.legalserver.org/matter/dynamic-profile/view/1885097","18-1885097")</f>
        <v>0</v>
      </c>
      <c r="B175" t="s">
        <v>67</v>
      </c>
      <c r="C175" t="s">
        <v>256</v>
      </c>
      <c r="D175" t="s">
        <v>375</v>
      </c>
      <c r="F175" t="s">
        <v>1147</v>
      </c>
      <c r="G175" t="s">
        <v>3452</v>
      </c>
      <c r="H175" t="s">
        <v>5796</v>
      </c>
      <c r="J175" t="s">
        <v>9059</v>
      </c>
      <c r="K175">
        <v>11217</v>
      </c>
      <c r="L175" t="s">
        <v>9095</v>
      </c>
      <c r="M175" t="s">
        <v>9095</v>
      </c>
      <c r="R175" t="s">
        <v>11180</v>
      </c>
      <c r="T175" t="s">
        <v>11184</v>
      </c>
      <c r="W175">
        <v>0</v>
      </c>
      <c r="X175" t="s">
        <v>11332</v>
      </c>
      <c r="Z175" t="s">
        <v>11492</v>
      </c>
      <c r="AC175">
        <v>0</v>
      </c>
      <c r="AF175">
        <v>0</v>
      </c>
      <c r="AG175">
        <v>2</v>
      </c>
      <c r="AH175">
        <v>1</v>
      </c>
      <c r="AI175">
        <v>0</v>
      </c>
      <c r="AL175" t="s">
        <v>19614</v>
      </c>
      <c r="AM175">
        <v>0</v>
      </c>
      <c r="AS175">
        <v>1.1</v>
      </c>
      <c r="AT175" t="s">
        <v>375</v>
      </c>
      <c r="AU175" t="s">
        <v>67</v>
      </c>
    </row>
    <row r="176" spans="1:48">
      <c r="A176" s="1">
        <f>HYPERLINK("https://lsnyc.legalserver.org/matter/dynamic-profile/view/1895823","19-1895823")</f>
        <v>0</v>
      </c>
      <c r="B176" t="s">
        <v>84</v>
      </c>
      <c r="C176" t="s">
        <v>256</v>
      </c>
      <c r="D176" t="s">
        <v>376</v>
      </c>
      <c r="F176" t="s">
        <v>1260</v>
      </c>
      <c r="G176" t="s">
        <v>3450</v>
      </c>
      <c r="H176" t="s">
        <v>5794</v>
      </c>
      <c r="I176" t="s">
        <v>8191</v>
      </c>
      <c r="J176" t="s">
        <v>9059</v>
      </c>
      <c r="K176">
        <v>11217</v>
      </c>
      <c r="L176" t="s">
        <v>9094</v>
      </c>
      <c r="M176" t="s">
        <v>9095</v>
      </c>
      <c r="P176" t="s">
        <v>11165</v>
      </c>
      <c r="R176" t="s">
        <v>11180</v>
      </c>
      <c r="S176" t="s">
        <v>9094</v>
      </c>
      <c r="T176" t="s">
        <v>11183</v>
      </c>
      <c r="V176" t="s">
        <v>376</v>
      </c>
      <c r="W176">
        <v>869.85</v>
      </c>
      <c r="X176" t="s">
        <v>11332</v>
      </c>
      <c r="Z176" t="s">
        <v>11491</v>
      </c>
      <c r="AA176" t="s">
        <v>15298</v>
      </c>
      <c r="AB176" t="s">
        <v>15996</v>
      </c>
      <c r="AC176">
        <v>0</v>
      </c>
      <c r="AF176">
        <v>10</v>
      </c>
      <c r="AG176">
        <v>1</v>
      </c>
      <c r="AH176">
        <v>0</v>
      </c>
      <c r="AI176">
        <v>0</v>
      </c>
      <c r="AL176" t="s">
        <v>19614</v>
      </c>
      <c r="AM176">
        <v>0</v>
      </c>
      <c r="AS176">
        <v>27</v>
      </c>
      <c r="AT176" t="s">
        <v>284</v>
      </c>
      <c r="AU176" t="s">
        <v>67</v>
      </c>
      <c r="AV176" t="s">
        <v>20734</v>
      </c>
    </row>
    <row r="177" spans="1:48">
      <c r="A177" s="1">
        <f>HYPERLINK("https://lsnyc.legalserver.org/matter/dynamic-profile/view/1895830","19-1895830")</f>
        <v>0</v>
      </c>
      <c r="B177" t="s">
        <v>84</v>
      </c>
      <c r="C177" t="s">
        <v>256</v>
      </c>
      <c r="D177" t="s">
        <v>376</v>
      </c>
      <c r="F177" t="s">
        <v>1258</v>
      </c>
      <c r="G177" t="s">
        <v>3449</v>
      </c>
      <c r="H177" t="s">
        <v>5794</v>
      </c>
      <c r="I177" t="s">
        <v>8164</v>
      </c>
      <c r="J177" t="s">
        <v>9059</v>
      </c>
      <c r="K177">
        <v>11217</v>
      </c>
      <c r="L177" t="s">
        <v>9095</v>
      </c>
      <c r="M177" t="s">
        <v>9095</v>
      </c>
      <c r="N177" t="s">
        <v>9176</v>
      </c>
      <c r="P177" t="s">
        <v>11165</v>
      </c>
      <c r="R177" t="s">
        <v>11180</v>
      </c>
      <c r="T177" t="s">
        <v>11183</v>
      </c>
      <c r="V177" t="s">
        <v>376</v>
      </c>
      <c r="W177">
        <v>1133.28</v>
      </c>
      <c r="X177" t="s">
        <v>11332</v>
      </c>
      <c r="Z177" t="s">
        <v>11489</v>
      </c>
      <c r="AB177" t="s">
        <v>15994</v>
      </c>
      <c r="AC177">
        <v>0</v>
      </c>
      <c r="AF177">
        <v>4</v>
      </c>
      <c r="AG177">
        <v>1</v>
      </c>
      <c r="AH177">
        <v>0</v>
      </c>
      <c r="AI177">
        <v>0</v>
      </c>
      <c r="AL177" t="s">
        <v>19614</v>
      </c>
      <c r="AM177">
        <v>0</v>
      </c>
      <c r="AS177">
        <v>3.7</v>
      </c>
      <c r="AT177" t="s">
        <v>442</v>
      </c>
      <c r="AU177" t="s">
        <v>67</v>
      </c>
    </row>
    <row r="178" spans="1:48">
      <c r="A178" s="1">
        <f>HYPERLINK("https://lsnyc.legalserver.org/matter/dynamic-profile/view/1915056","19-1915056")</f>
        <v>0</v>
      </c>
      <c r="B178" t="s">
        <v>84</v>
      </c>
      <c r="C178" t="s">
        <v>256</v>
      </c>
      <c r="D178" t="s">
        <v>377</v>
      </c>
      <c r="F178" t="s">
        <v>1261</v>
      </c>
      <c r="G178" t="s">
        <v>3453</v>
      </c>
      <c r="H178" t="s">
        <v>5797</v>
      </c>
      <c r="I178" t="s">
        <v>8128</v>
      </c>
      <c r="J178" t="s">
        <v>9059</v>
      </c>
      <c r="K178">
        <v>11217</v>
      </c>
      <c r="L178" t="s">
        <v>9094</v>
      </c>
      <c r="M178" t="s">
        <v>9095</v>
      </c>
      <c r="R178" t="s">
        <v>11180</v>
      </c>
      <c r="T178" t="s">
        <v>11183</v>
      </c>
      <c r="V178" t="s">
        <v>331</v>
      </c>
      <c r="W178">
        <v>0</v>
      </c>
      <c r="X178" t="s">
        <v>11332</v>
      </c>
      <c r="Z178" t="s">
        <v>11493</v>
      </c>
      <c r="AC178">
        <v>0</v>
      </c>
      <c r="AF178">
        <v>0</v>
      </c>
      <c r="AG178">
        <v>2</v>
      </c>
      <c r="AH178">
        <v>1</v>
      </c>
      <c r="AI178">
        <v>0</v>
      </c>
      <c r="AL178" t="s">
        <v>19614</v>
      </c>
      <c r="AM178">
        <v>0</v>
      </c>
      <c r="AS178">
        <v>0.4</v>
      </c>
      <c r="AT178" t="s">
        <v>377</v>
      </c>
      <c r="AU178" t="s">
        <v>67</v>
      </c>
    </row>
    <row r="179" spans="1:48">
      <c r="A179" s="1">
        <f>HYPERLINK("https://lsnyc.legalserver.org/matter/dynamic-profile/view/1915095","19-1915095")</f>
        <v>0</v>
      </c>
      <c r="B179" t="s">
        <v>84</v>
      </c>
      <c r="C179" t="s">
        <v>256</v>
      </c>
      <c r="D179" t="s">
        <v>377</v>
      </c>
      <c r="F179" t="s">
        <v>1145</v>
      </c>
      <c r="G179" t="s">
        <v>3454</v>
      </c>
      <c r="H179" t="s">
        <v>5797</v>
      </c>
      <c r="I179" t="s">
        <v>8191</v>
      </c>
      <c r="J179" t="s">
        <v>9059</v>
      </c>
      <c r="K179">
        <v>11217</v>
      </c>
      <c r="L179" t="s">
        <v>9094</v>
      </c>
      <c r="M179" t="s">
        <v>9095</v>
      </c>
      <c r="R179" t="s">
        <v>11180</v>
      </c>
      <c r="T179" t="s">
        <v>11183</v>
      </c>
      <c r="V179" t="s">
        <v>556</v>
      </c>
      <c r="W179">
        <v>0</v>
      </c>
      <c r="X179" t="s">
        <v>11332</v>
      </c>
      <c r="Z179" t="s">
        <v>11494</v>
      </c>
      <c r="AB179" t="s">
        <v>15997</v>
      </c>
      <c r="AC179">
        <v>0</v>
      </c>
      <c r="AF179">
        <v>0</v>
      </c>
      <c r="AG179">
        <v>1</v>
      </c>
      <c r="AH179">
        <v>0</v>
      </c>
      <c r="AI179">
        <v>0</v>
      </c>
      <c r="AL179" t="s">
        <v>19614</v>
      </c>
      <c r="AM179">
        <v>0</v>
      </c>
      <c r="AS179">
        <v>0.3</v>
      </c>
      <c r="AT179" t="s">
        <v>377</v>
      </c>
      <c r="AU179" t="s">
        <v>67</v>
      </c>
    </row>
    <row r="180" spans="1:48">
      <c r="A180" s="1">
        <f>HYPERLINK("https://lsnyc.legalserver.org/matter/dynamic-profile/view/0779614","15-0779614")</f>
        <v>0</v>
      </c>
      <c r="B180" t="s">
        <v>75</v>
      </c>
      <c r="C180" t="s">
        <v>257</v>
      </c>
      <c r="D180" t="s">
        <v>378</v>
      </c>
      <c r="E180" t="s">
        <v>1133</v>
      </c>
      <c r="F180" t="s">
        <v>1262</v>
      </c>
      <c r="G180" t="s">
        <v>3455</v>
      </c>
      <c r="H180" t="s">
        <v>5798</v>
      </c>
      <c r="J180" t="s">
        <v>9059</v>
      </c>
      <c r="K180">
        <v>11216</v>
      </c>
      <c r="L180" t="s">
        <v>9096</v>
      </c>
      <c r="M180" t="s">
        <v>9095</v>
      </c>
      <c r="N180" t="s">
        <v>9177</v>
      </c>
      <c r="O180" t="s">
        <v>11128</v>
      </c>
      <c r="P180" t="s">
        <v>11165</v>
      </c>
      <c r="Q180" t="s">
        <v>11174</v>
      </c>
      <c r="R180" t="s">
        <v>11180</v>
      </c>
      <c r="T180" t="s">
        <v>11183</v>
      </c>
      <c r="W180">
        <v>0</v>
      </c>
      <c r="X180" t="s">
        <v>11332</v>
      </c>
      <c r="Z180" t="s">
        <v>11495</v>
      </c>
      <c r="AB180" t="s">
        <v>15998</v>
      </c>
      <c r="AC180">
        <v>0</v>
      </c>
      <c r="AD180" t="s">
        <v>19565</v>
      </c>
      <c r="AF180">
        <v>8</v>
      </c>
      <c r="AG180">
        <v>1</v>
      </c>
      <c r="AH180">
        <v>0</v>
      </c>
      <c r="AI180">
        <v>0</v>
      </c>
      <c r="AL180" t="s">
        <v>19614</v>
      </c>
      <c r="AM180">
        <v>0</v>
      </c>
      <c r="AN180" t="s">
        <v>19667</v>
      </c>
      <c r="AS180">
        <v>28.5</v>
      </c>
      <c r="AT180" t="s">
        <v>1133</v>
      </c>
      <c r="AU180" t="s">
        <v>75</v>
      </c>
    </row>
    <row r="181" spans="1:48">
      <c r="A181" s="1">
        <f>HYPERLINK("https://lsnyc.legalserver.org/matter/dynamic-profile/view/0808322","16-0808322")</f>
        <v>0</v>
      </c>
      <c r="B181" t="s">
        <v>89</v>
      </c>
      <c r="C181" t="s">
        <v>256</v>
      </c>
      <c r="D181" t="s">
        <v>379</v>
      </c>
      <c r="F181" t="s">
        <v>1263</v>
      </c>
      <c r="G181" t="s">
        <v>3398</v>
      </c>
      <c r="H181" t="s">
        <v>5799</v>
      </c>
      <c r="I181">
        <v>5</v>
      </c>
      <c r="J181" t="s">
        <v>9059</v>
      </c>
      <c r="K181">
        <v>11216</v>
      </c>
      <c r="L181" t="s">
        <v>9094</v>
      </c>
      <c r="M181" t="s">
        <v>9095</v>
      </c>
      <c r="N181" t="s">
        <v>9178</v>
      </c>
      <c r="O181" t="s">
        <v>11128</v>
      </c>
      <c r="P181" t="s">
        <v>11165</v>
      </c>
      <c r="R181" t="s">
        <v>11180</v>
      </c>
      <c r="T181" t="s">
        <v>11183</v>
      </c>
      <c r="V181" t="s">
        <v>856</v>
      </c>
      <c r="W181">
        <v>877.6799999999999</v>
      </c>
      <c r="X181" t="s">
        <v>11332</v>
      </c>
      <c r="Y181" t="s">
        <v>11346</v>
      </c>
      <c r="Z181" t="s">
        <v>11496</v>
      </c>
      <c r="AB181" t="s">
        <v>15999</v>
      </c>
      <c r="AC181">
        <v>16</v>
      </c>
      <c r="AD181" t="s">
        <v>19566</v>
      </c>
      <c r="AE181" t="s">
        <v>9144</v>
      </c>
      <c r="AF181">
        <v>14</v>
      </c>
      <c r="AG181">
        <v>1</v>
      </c>
      <c r="AH181">
        <v>0</v>
      </c>
      <c r="AI181">
        <v>0</v>
      </c>
      <c r="AL181" t="s">
        <v>19614</v>
      </c>
      <c r="AM181">
        <v>0</v>
      </c>
      <c r="AS181">
        <v>109.65</v>
      </c>
      <c r="AT181" t="s">
        <v>316</v>
      </c>
      <c r="AU181" t="s">
        <v>20630</v>
      </c>
    </row>
    <row r="182" spans="1:48">
      <c r="A182" s="1">
        <f>HYPERLINK("https://lsnyc.legalserver.org/matter/dynamic-profile/view/1868237","18-1868237")</f>
        <v>0</v>
      </c>
      <c r="B182" t="s">
        <v>67</v>
      </c>
      <c r="C182" t="s">
        <v>256</v>
      </c>
      <c r="D182" t="s">
        <v>380</v>
      </c>
      <c r="F182" t="s">
        <v>1264</v>
      </c>
      <c r="G182" t="s">
        <v>3456</v>
      </c>
      <c r="H182" t="s">
        <v>5800</v>
      </c>
      <c r="I182">
        <v>14</v>
      </c>
      <c r="J182" t="s">
        <v>9059</v>
      </c>
      <c r="K182">
        <v>11215</v>
      </c>
      <c r="L182" t="s">
        <v>9095</v>
      </c>
      <c r="M182" t="s">
        <v>9095</v>
      </c>
      <c r="R182" t="s">
        <v>11180</v>
      </c>
      <c r="T182" t="s">
        <v>11184</v>
      </c>
      <c r="W182">
        <v>0</v>
      </c>
      <c r="X182" t="s">
        <v>11332</v>
      </c>
      <c r="Z182" t="s">
        <v>11497</v>
      </c>
      <c r="AB182" t="s">
        <v>16000</v>
      </c>
      <c r="AC182">
        <v>0</v>
      </c>
      <c r="AF182">
        <v>0</v>
      </c>
      <c r="AG182">
        <v>3</v>
      </c>
      <c r="AH182">
        <v>0</v>
      </c>
      <c r="AI182">
        <v>0</v>
      </c>
      <c r="AL182" t="s">
        <v>19614</v>
      </c>
      <c r="AM182">
        <v>0</v>
      </c>
      <c r="AS182">
        <v>7.1</v>
      </c>
      <c r="AT182" t="s">
        <v>414</v>
      </c>
      <c r="AU182" t="s">
        <v>67</v>
      </c>
    </row>
    <row r="183" spans="1:48">
      <c r="A183" s="1">
        <f>HYPERLINK("https://lsnyc.legalserver.org/matter/dynamic-profile/view/1890723","19-1890723")</f>
        <v>0</v>
      </c>
      <c r="B183" t="s">
        <v>67</v>
      </c>
      <c r="C183" t="s">
        <v>257</v>
      </c>
      <c r="D183" t="s">
        <v>381</v>
      </c>
      <c r="E183" t="s">
        <v>282</v>
      </c>
      <c r="F183" t="s">
        <v>1197</v>
      </c>
      <c r="G183" t="s">
        <v>3457</v>
      </c>
      <c r="H183" t="s">
        <v>5801</v>
      </c>
      <c r="J183" t="s">
        <v>9059</v>
      </c>
      <c r="K183">
        <v>11215</v>
      </c>
      <c r="L183" t="s">
        <v>9095</v>
      </c>
      <c r="M183" t="s">
        <v>9095</v>
      </c>
      <c r="Q183" t="s">
        <v>11173</v>
      </c>
      <c r="R183" t="s">
        <v>11180</v>
      </c>
      <c r="T183" t="s">
        <v>11184</v>
      </c>
      <c r="W183">
        <v>0</v>
      </c>
      <c r="X183" t="s">
        <v>11332</v>
      </c>
      <c r="Z183" t="s">
        <v>11498</v>
      </c>
      <c r="AB183" t="s">
        <v>16001</v>
      </c>
      <c r="AC183">
        <v>0</v>
      </c>
      <c r="AF183">
        <v>0</v>
      </c>
      <c r="AG183">
        <v>1</v>
      </c>
      <c r="AH183">
        <v>0</v>
      </c>
      <c r="AI183">
        <v>0</v>
      </c>
      <c r="AL183" t="s">
        <v>19614</v>
      </c>
      <c r="AM183">
        <v>0</v>
      </c>
      <c r="AS183">
        <v>11.9</v>
      </c>
      <c r="AT183" t="s">
        <v>472</v>
      </c>
      <c r="AU183" t="s">
        <v>67</v>
      </c>
    </row>
    <row r="184" spans="1:48">
      <c r="A184" s="1">
        <f>HYPERLINK("https://lsnyc.legalserver.org/matter/dynamic-profile/view/0817618","16-0817618")</f>
        <v>0</v>
      </c>
      <c r="B184" t="s">
        <v>75</v>
      </c>
      <c r="C184" t="s">
        <v>257</v>
      </c>
      <c r="D184" t="s">
        <v>382</v>
      </c>
      <c r="E184" t="s">
        <v>1132</v>
      </c>
      <c r="F184" t="s">
        <v>1240</v>
      </c>
      <c r="G184" t="s">
        <v>3458</v>
      </c>
      <c r="H184" t="s">
        <v>5802</v>
      </c>
      <c r="J184" t="s">
        <v>9059</v>
      </c>
      <c r="K184">
        <v>11213</v>
      </c>
      <c r="L184" t="s">
        <v>9094</v>
      </c>
      <c r="M184" t="s">
        <v>9095</v>
      </c>
      <c r="O184" t="s">
        <v>11130</v>
      </c>
      <c r="P184" t="s">
        <v>11165</v>
      </c>
      <c r="Q184" t="s">
        <v>11174</v>
      </c>
      <c r="R184" t="s">
        <v>11180</v>
      </c>
      <c r="S184" t="s">
        <v>9094</v>
      </c>
      <c r="T184" t="s">
        <v>11183</v>
      </c>
      <c r="V184" t="s">
        <v>382</v>
      </c>
      <c r="W184">
        <v>0</v>
      </c>
      <c r="X184" t="s">
        <v>11332</v>
      </c>
      <c r="Y184" t="s">
        <v>11338</v>
      </c>
      <c r="Z184" t="s">
        <v>11499</v>
      </c>
      <c r="AC184">
        <v>6</v>
      </c>
      <c r="AD184" t="s">
        <v>19566</v>
      </c>
      <c r="AF184">
        <v>0</v>
      </c>
      <c r="AG184">
        <v>2</v>
      </c>
      <c r="AH184">
        <v>1</v>
      </c>
      <c r="AI184">
        <v>0</v>
      </c>
      <c r="AJ184" t="s">
        <v>805</v>
      </c>
      <c r="AL184" t="s">
        <v>19614</v>
      </c>
      <c r="AM184">
        <v>0</v>
      </c>
      <c r="AS184">
        <v>7</v>
      </c>
      <c r="AT184" t="s">
        <v>963</v>
      </c>
      <c r="AU184" t="s">
        <v>20636</v>
      </c>
    </row>
    <row r="185" spans="1:48">
      <c r="A185" s="1">
        <f>HYPERLINK("https://lsnyc.legalserver.org/matter/dynamic-profile/view/1891794","19-1891794")</f>
        <v>0</v>
      </c>
      <c r="B185" t="s">
        <v>76</v>
      </c>
      <c r="C185" t="s">
        <v>256</v>
      </c>
      <c r="D185" t="s">
        <v>383</v>
      </c>
      <c r="F185" t="s">
        <v>1265</v>
      </c>
      <c r="G185" t="s">
        <v>3431</v>
      </c>
      <c r="H185" t="s">
        <v>5803</v>
      </c>
      <c r="I185" t="s">
        <v>8160</v>
      </c>
      <c r="J185" t="s">
        <v>9059</v>
      </c>
      <c r="K185">
        <v>11213</v>
      </c>
      <c r="L185" t="s">
        <v>9094</v>
      </c>
      <c r="M185" t="s">
        <v>9094</v>
      </c>
      <c r="N185" t="s">
        <v>9179</v>
      </c>
      <c r="O185" t="s">
        <v>11130</v>
      </c>
      <c r="P185" t="s">
        <v>11165</v>
      </c>
      <c r="R185" t="s">
        <v>11180</v>
      </c>
      <c r="S185" t="s">
        <v>9094</v>
      </c>
      <c r="T185" t="s">
        <v>11183</v>
      </c>
      <c r="U185" t="s">
        <v>11201</v>
      </c>
      <c r="V185" t="s">
        <v>510</v>
      </c>
      <c r="W185">
        <v>852</v>
      </c>
      <c r="X185" t="s">
        <v>11332</v>
      </c>
      <c r="Z185" t="s">
        <v>11500</v>
      </c>
      <c r="AB185" t="s">
        <v>16002</v>
      </c>
      <c r="AC185">
        <v>23</v>
      </c>
      <c r="AD185" t="s">
        <v>19566</v>
      </c>
      <c r="AF185">
        <v>20</v>
      </c>
      <c r="AG185">
        <v>2</v>
      </c>
      <c r="AH185">
        <v>0</v>
      </c>
      <c r="AI185">
        <v>0</v>
      </c>
      <c r="AL185" t="s">
        <v>19614</v>
      </c>
      <c r="AM185">
        <v>0</v>
      </c>
      <c r="AS185">
        <v>0.1</v>
      </c>
      <c r="AT185" t="s">
        <v>311</v>
      </c>
      <c r="AU185" t="s">
        <v>95</v>
      </c>
    </row>
    <row r="186" spans="1:48">
      <c r="A186" s="1">
        <f>HYPERLINK("https://lsnyc.legalserver.org/matter/dynamic-profile/view/1900703","19-1900703")</f>
        <v>0</v>
      </c>
      <c r="B186" t="s">
        <v>76</v>
      </c>
      <c r="C186" t="s">
        <v>256</v>
      </c>
      <c r="D186" t="s">
        <v>338</v>
      </c>
      <c r="F186" t="s">
        <v>1265</v>
      </c>
      <c r="G186" t="s">
        <v>3431</v>
      </c>
      <c r="H186" t="s">
        <v>5803</v>
      </c>
      <c r="I186" t="s">
        <v>8160</v>
      </c>
      <c r="J186" t="s">
        <v>9059</v>
      </c>
      <c r="K186">
        <v>11213</v>
      </c>
      <c r="L186" t="s">
        <v>9094</v>
      </c>
      <c r="M186" t="s">
        <v>9095</v>
      </c>
      <c r="N186" t="s">
        <v>9121</v>
      </c>
      <c r="O186" t="s">
        <v>9121</v>
      </c>
      <c r="P186" t="s">
        <v>11166</v>
      </c>
      <c r="R186" t="s">
        <v>11180</v>
      </c>
      <c r="S186" t="s">
        <v>9094</v>
      </c>
      <c r="T186" t="s">
        <v>11183</v>
      </c>
      <c r="U186" t="s">
        <v>11201</v>
      </c>
      <c r="V186" t="s">
        <v>512</v>
      </c>
      <c r="W186">
        <v>862</v>
      </c>
      <c r="X186" t="s">
        <v>11332</v>
      </c>
      <c r="Y186" t="s">
        <v>11346</v>
      </c>
      <c r="Z186" t="s">
        <v>11500</v>
      </c>
      <c r="AB186" t="s">
        <v>16002</v>
      </c>
      <c r="AC186">
        <v>23</v>
      </c>
      <c r="AD186" t="s">
        <v>19566</v>
      </c>
      <c r="AE186" t="s">
        <v>9144</v>
      </c>
      <c r="AF186">
        <v>20</v>
      </c>
      <c r="AG186">
        <v>2</v>
      </c>
      <c r="AH186">
        <v>0</v>
      </c>
      <c r="AI186">
        <v>0</v>
      </c>
      <c r="AL186" t="s">
        <v>19614</v>
      </c>
      <c r="AM186">
        <v>0</v>
      </c>
      <c r="AN186" t="s">
        <v>19668</v>
      </c>
      <c r="AS186">
        <v>0.1</v>
      </c>
      <c r="AT186" t="s">
        <v>445</v>
      </c>
      <c r="AU186" t="s">
        <v>95</v>
      </c>
      <c r="AV186" t="s">
        <v>20733</v>
      </c>
    </row>
    <row r="187" spans="1:48">
      <c r="A187" s="1">
        <f>HYPERLINK("https://lsnyc.legalserver.org/matter/dynamic-profile/view/1905722","19-1905722")</f>
        <v>0</v>
      </c>
      <c r="B187" t="s">
        <v>64</v>
      </c>
      <c r="C187" t="s">
        <v>257</v>
      </c>
      <c r="D187" t="s">
        <v>328</v>
      </c>
      <c r="E187" t="s">
        <v>444</v>
      </c>
      <c r="F187" t="s">
        <v>1238</v>
      </c>
      <c r="G187" t="s">
        <v>3459</v>
      </c>
      <c r="H187" t="s">
        <v>5804</v>
      </c>
      <c r="I187">
        <v>1</v>
      </c>
      <c r="J187" t="s">
        <v>9059</v>
      </c>
      <c r="K187">
        <v>11213</v>
      </c>
      <c r="L187" t="s">
        <v>9094</v>
      </c>
      <c r="M187" t="s">
        <v>9095</v>
      </c>
      <c r="N187" t="s">
        <v>9121</v>
      </c>
      <c r="O187" t="s">
        <v>9121</v>
      </c>
      <c r="P187" t="s">
        <v>11167</v>
      </c>
      <c r="Q187" t="s">
        <v>11173</v>
      </c>
      <c r="R187" t="s">
        <v>11180</v>
      </c>
      <c r="S187" t="s">
        <v>9096</v>
      </c>
      <c r="T187" t="s">
        <v>11183</v>
      </c>
      <c r="V187" t="s">
        <v>333</v>
      </c>
      <c r="W187">
        <v>2000</v>
      </c>
      <c r="X187" t="s">
        <v>11332</v>
      </c>
      <c r="Y187" t="s">
        <v>11157</v>
      </c>
      <c r="Z187" t="s">
        <v>11501</v>
      </c>
      <c r="AB187" t="s">
        <v>16003</v>
      </c>
      <c r="AC187">
        <v>3</v>
      </c>
      <c r="AF187">
        <v>5</v>
      </c>
      <c r="AG187">
        <v>1</v>
      </c>
      <c r="AH187">
        <v>0</v>
      </c>
      <c r="AI187">
        <v>0</v>
      </c>
      <c r="AL187" t="s">
        <v>19614</v>
      </c>
      <c r="AM187">
        <v>0</v>
      </c>
      <c r="AS187">
        <v>1.3</v>
      </c>
      <c r="AT187" t="s">
        <v>474</v>
      </c>
      <c r="AU187" t="s">
        <v>20627</v>
      </c>
      <c r="AV187" t="s">
        <v>20733</v>
      </c>
    </row>
    <row r="188" spans="1:48">
      <c r="A188" s="1">
        <f>HYPERLINK("https://lsnyc.legalserver.org/matter/dynamic-profile/view/1896517","19-1896517")</f>
        <v>0</v>
      </c>
      <c r="B188" t="s">
        <v>70</v>
      </c>
      <c r="C188" t="s">
        <v>256</v>
      </c>
      <c r="D188" t="s">
        <v>384</v>
      </c>
      <c r="F188" t="s">
        <v>1266</v>
      </c>
      <c r="G188" t="s">
        <v>1145</v>
      </c>
      <c r="H188" t="s">
        <v>5803</v>
      </c>
      <c r="I188" t="s">
        <v>8193</v>
      </c>
      <c r="J188" t="s">
        <v>9059</v>
      </c>
      <c r="K188">
        <v>11213</v>
      </c>
      <c r="L188" t="s">
        <v>9094</v>
      </c>
      <c r="M188" t="s">
        <v>9094</v>
      </c>
      <c r="N188" t="s">
        <v>9180</v>
      </c>
      <c r="O188" t="s">
        <v>11129</v>
      </c>
      <c r="P188" t="s">
        <v>11165</v>
      </c>
      <c r="R188" t="s">
        <v>11180</v>
      </c>
      <c r="S188" t="s">
        <v>9096</v>
      </c>
      <c r="T188" t="s">
        <v>11183</v>
      </c>
      <c r="U188" t="s">
        <v>11201</v>
      </c>
      <c r="V188" t="s">
        <v>614</v>
      </c>
      <c r="W188">
        <v>0</v>
      </c>
      <c r="X188" t="s">
        <v>11332</v>
      </c>
      <c r="Z188" t="s">
        <v>11502</v>
      </c>
      <c r="AC188">
        <v>0</v>
      </c>
      <c r="AF188">
        <v>0</v>
      </c>
      <c r="AG188">
        <v>1</v>
      </c>
      <c r="AH188">
        <v>0</v>
      </c>
      <c r="AI188">
        <v>0</v>
      </c>
      <c r="AL188" t="s">
        <v>19614</v>
      </c>
      <c r="AM188">
        <v>0</v>
      </c>
      <c r="AS188">
        <v>71.84999999999999</v>
      </c>
      <c r="AT188" t="s">
        <v>331</v>
      </c>
      <c r="AU188" t="s">
        <v>95</v>
      </c>
      <c r="AV188" t="s">
        <v>20733</v>
      </c>
    </row>
    <row r="189" spans="1:48">
      <c r="A189" s="1">
        <f>HYPERLINK("https://lsnyc.legalserver.org/matter/dynamic-profile/view/1900011","19-1900011")</f>
        <v>0</v>
      </c>
      <c r="B189" t="s">
        <v>90</v>
      </c>
      <c r="C189" t="s">
        <v>257</v>
      </c>
      <c r="D189" t="s">
        <v>293</v>
      </c>
      <c r="E189" t="s">
        <v>259</v>
      </c>
      <c r="F189" t="s">
        <v>1267</v>
      </c>
      <c r="G189" t="s">
        <v>3374</v>
      </c>
      <c r="H189" t="s">
        <v>5805</v>
      </c>
      <c r="I189" t="s">
        <v>8193</v>
      </c>
      <c r="J189" t="s">
        <v>9059</v>
      </c>
      <c r="K189">
        <v>11213</v>
      </c>
      <c r="L189" t="s">
        <v>9094</v>
      </c>
      <c r="M189" t="s">
        <v>9095</v>
      </c>
      <c r="N189" t="s">
        <v>9181</v>
      </c>
      <c r="O189" t="s">
        <v>11129</v>
      </c>
      <c r="P189" t="s">
        <v>11165</v>
      </c>
      <c r="Q189" t="s">
        <v>11174</v>
      </c>
      <c r="R189" t="s">
        <v>11180</v>
      </c>
      <c r="S189" t="s">
        <v>9096</v>
      </c>
      <c r="T189" t="s">
        <v>11183</v>
      </c>
      <c r="U189" t="s">
        <v>11201</v>
      </c>
      <c r="V189" t="s">
        <v>394</v>
      </c>
      <c r="W189">
        <v>412</v>
      </c>
      <c r="X189" t="s">
        <v>11332</v>
      </c>
      <c r="Y189" t="s">
        <v>11348</v>
      </c>
      <c r="Z189" t="s">
        <v>11503</v>
      </c>
      <c r="AA189" t="s">
        <v>15287</v>
      </c>
      <c r="AB189" t="s">
        <v>16004</v>
      </c>
      <c r="AC189">
        <v>19</v>
      </c>
      <c r="AD189" t="s">
        <v>19566</v>
      </c>
      <c r="AE189" t="s">
        <v>9144</v>
      </c>
      <c r="AF189">
        <v>12</v>
      </c>
      <c r="AG189">
        <v>2</v>
      </c>
      <c r="AH189">
        <v>1</v>
      </c>
      <c r="AI189">
        <v>0</v>
      </c>
      <c r="AL189" t="s">
        <v>19614</v>
      </c>
      <c r="AM189">
        <v>0</v>
      </c>
      <c r="AS189">
        <v>7.5</v>
      </c>
      <c r="AT189" t="s">
        <v>706</v>
      </c>
      <c r="AU189" t="s">
        <v>95</v>
      </c>
      <c r="AV189" t="s">
        <v>20733</v>
      </c>
    </row>
    <row r="190" spans="1:48">
      <c r="A190" s="1">
        <f>HYPERLINK("https://lsnyc.legalserver.org/matter/dynamic-profile/view/1895314","19-1895314")</f>
        <v>0</v>
      </c>
      <c r="B190" t="s">
        <v>90</v>
      </c>
      <c r="C190" t="s">
        <v>256</v>
      </c>
      <c r="D190" t="s">
        <v>264</v>
      </c>
      <c r="F190" t="s">
        <v>1267</v>
      </c>
      <c r="G190" t="s">
        <v>3374</v>
      </c>
      <c r="H190" t="s">
        <v>5805</v>
      </c>
      <c r="I190" t="s">
        <v>8193</v>
      </c>
      <c r="J190" t="s">
        <v>9059</v>
      </c>
      <c r="K190">
        <v>11213</v>
      </c>
      <c r="L190" t="s">
        <v>9094</v>
      </c>
      <c r="M190" t="s">
        <v>9094</v>
      </c>
      <c r="N190" t="s">
        <v>9182</v>
      </c>
      <c r="O190" t="s">
        <v>11141</v>
      </c>
      <c r="P190" t="s">
        <v>11170</v>
      </c>
      <c r="R190" t="s">
        <v>11180</v>
      </c>
      <c r="S190" t="s">
        <v>9094</v>
      </c>
      <c r="T190" t="s">
        <v>11185</v>
      </c>
      <c r="U190" t="s">
        <v>11201</v>
      </c>
      <c r="V190" t="s">
        <v>264</v>
      </c>
      <c r="W190">
        <v>412</v>
      </c>
      <c r="X190" t="s">
        <v>11332</v>
      </c>
      <c r="Y190" t="s">
        <v>11348</v>
      </c>
      <c r="Z190" t="s">
        <v>11503</v>
      </c>
      <c r="AB190" t="s">
        <v>16004</v>
      </c>
      <c r="AC190">
        <v>19</v>
      </c>
      <c r="AD190" t="s">
        <v>19566</v>
      </c>
      <c r="AE190" t="s">
        <v>9144</v>
      </c>
      <c r="AF190">
        <v>12</v>
      </c>
      <c r="AG190">
        <v>2</v>
      </c>
      <c r="AH190">
        <v>1</v>
      </c>
      <c r="AI190">
        <v>0</v>
      </c>
      <c r="AL190" t="s">
        <v>19614</v>
      </c>
      <c r="AM190">
        <v>0</v>
      </c>
      <c r="AN190" t="s">
        <v>19669</v>
      </c>
      <c r="AS190">
        <v>6.5</v>
      </c>
      <c r="AT190" t="s">
        <v>280</v>
      </c>
      <c r="AU190" t="s">
        <v>79</v>
      </c>
      <c r="AV190" t="s">
        <v>20733</v>
      </c>
    </row>
    <row r="191" spans="1:48">
      <c r="A191" s="1">
        <f>HYPERLINK("https://lsnyc.legalserver.org/matter/dynamic-profile/view/1892535","19-1892535")</f>
        <v>0</v>
      </c>
      <c r="B191" t="s">
        <v>67</v>
      </c>
      <c r="C191" t="s">
        <v>257</v>
      </c>
      <c r="D191" t="s">
        <v>311</v>
      </c>
      <c r="E191" t="s">
        <v>259</v>
      </c>
      <c r="F191" t="s">
        <v>1268</v>
      </c>
      <c r="G191" t="s">
        <v>3460</v>
      </c>
      <c r="H191" t="s">
        <v>5806</v>
      </c>
      <c r="I191" t="s">
        <v>8194</v>
      </c>
      <c r="J191" t="s">
        <v>9059</v>
      </c>
      <c r="K191">
        <v>11213</v>
      </c>
      <c r="L191" t="s">
        <v>9095</v>
      </c>
      <c r="M191" t="s">
        <v>9095</v>
      </c>
      <c r="Q191" t="s">
        <v>11173</v>
      </c>
      <c r="R191" t="s">
        <v>11180</v>
      </c>
      <c r="T191" t="s">
        <v>11184</v>
      </c>
      <c r="V191" t="s">
        <v>311</v>
      </c>
      <c r="W191">
        <v>0</v>
      </c>
      <c r="X191" t="s">
        <v>11332</v>
      </c>
      <c r="Z191" t="s">
        <v>11504</v>
      </c>
      <c r="AA191" t="s">
        <v>15299</v>
      </c>
      <c r="AB191" t="s">
        <v>16005</v>
      </c>
      <c r="AC191">
        <v>0</v>
      </c>
      <c r="AF191">
        <v>0</v>
      </c>
      <c r="AG191">
        <v>1</v>
      </c>
      <c r="AH191">
        <v>1</v>
      </c>
      <c r="AI191">
        <v>0</v>
      </c>
      <c r="AL191" t="s">
        <v>19614</v>
      </c>
      <c r="AM191">
        <v>0</v>
      </c>
      <c r="AS191">
        <v>5.7</v>
      </c>
      <c r="AT191" t="s">
        <v>259</v>
      </c>
      <c r="AU191" t="s">
        <v>67</v>
      </c>
    </row>
    <row r="192" spans="1:48">
      <c r="A192" s="1">
        <f>HYPERLINK("https://lsnyc.legalserver.org/matter/dynamic-profile/view/0820310","16-0820310")</f>
        <v>0</v>
      </c>
      <c r="B192" t="s">
        <v>91</v>
      </c>
      <c r="C192" t="s">
        <v>256</v>
      </c>
      <c r="D192" t="s">
        <v>385</v>
      </c>
      <c r="F192" t="s">
        <v>1269</v>
      </c>
      <c r="G192" t="s">
        <v>3461</v>
      </c>
      <c r="H192" t="s">
        <v>5807</v>
      </c>
      <c r="I192" t="s">
        <v>8132</v>
      </c>
      <c r="J192" t="s">
        <v>9059</v>
      </c>
      <c r="K192">
        <v>11212</v>
      </c>
      <c r="L192" t="s">
        <v>9094</v>
      </c>
      <c r="M192" t="s">
        <v>9095</v>
      </c>
      <c r="N192" t="s">
        <v>9183</v>
      </c>
      <c r="O192" t="s">
        <v>11132</v>
      </c>
      <c r="P192" t="s">
        <v>11165</v>
      </c>
      <c r="R192" t="s">
        <v>11180</v>
      </c>
      <c r="T192" t="s">
        <v>11183</v>
      </c>
      <c r="V192" t="s">
        <v>385</v>
      </c>
      <c r="W192">
        <v>0</v>
      </c>
      <c r="X192" t="s">
        <v>11332</v>
      </c>
      <c r="Y192" t="s">
        <v>11343</v>
      </c>
      <c r="Z192" t="s">
        <v>11505</v>
      </c>
      <c r="AB192" t="s">
        <v>16006</v>
      </c>
      <c r="AC192">
        <v>21</v>
      </c>
      <c r="AD192" t="s">
        <v>19566</v>
      </c>
      <c r="AF192">
        <v>1</v>
      </c>
      <c r="AG192">
        <v>1</v>
      </c>
      <c r="AH192">
        <v>1</v>
      </c>
      <c r="AI192">
        <v>0</v>
      </c>
      <c r="AL192" t="s">
        <v>19614</v>
      </c>
      <c r="AM192">
        <v>0</v>
      </c>
      <c r="AS192">
        <v>29.7</v>
      </c>
      <c r="AT192" t="s">
        <v>570</v>
      </c>
      <c r="AU192" t="s">
        <v>95</v>
      </c>
    </row>
    <row r="193" spans="1:48">
      <c r="A193" s="1">
        <f>HYPERLINK("https://lsnyc.legalserver.org/matter/dynamic-profile/view/1905790","19-1905790")</f>
        <v>0</v>
      </c>
      <c r="B193" t="s">
        <v>92</v>
      </c>
      <c r="C193" t="s">
        <v>256</v>
      </c>
      <c r="D193" t="s">
        <v>328</v>
      </c>
      <c r="F193" t="s">
        <v>1270</v>
      </c>
      <c r="G193" t="s">
        <v>3462</v>
      </c>
      <c r="H193" t="s">
        <v>5808</v>
      </c>
      <c r="I193" t="s">
        <v>8151</v>
      </c>
      <c r="J193" t="s">
        <v>9059</v>
      </c>
      <c r="K193">
        <v>11212</v>
      </c>
      <c r="L193" t="s">
        <v>9094</v>
      </c>
      <c r="M193" t="s">
        <v>9095</v>
      </c>
      <c r="N193" t="s">
        <v>9184</v>
      </c>
      <c r="O193" t="s">
        <v>11132</v>
      </c>
      <c r="P193" t="s">
        <v>11167</v>
      </c>
      <c r="R193" t="s">
        <v>11180</v>
      </c>
      <c r="S193" t="s">
        <v>9094</v>
      </c>
      <c r="T193" t="s">
        <v>11186</v>
      </c>
      <c r="U193" t="s">
        <v>11201</v>
      </c>
      <c r="V193" t="s">
        <v>512</v>
      </c>
      <c r="W193">
        <v>683</v>
      </c>
      <c r="X193" t="s">
        <v>11332</v>
      </c>
      <c r="Y193" t="s">
        <v>11340</v>
      </c>
      <c r="Z193" t="s">
        <v>11506</v>
      </c>
      <c r="AA193" t="s">
        <v>9171</v>
      </c>
      <c r="AC193">
        <v>8</v>
      </c>
      <c r="AD193" t="s">
        <v>19566</v>
      </c>
      <c r="AE193" t="s">
        <v>9144</v>
      </c>
      <c r="AF193">
        <v>30</v>
      </c>
      <c r="AG193">
        <v>2</v>
      </c>
      <c r="AH193">
        <v>0</v>
      </c>
      <c r="AI193">
        <v>0</v>
      </c>
      <c r="AL193" t="s">
        <v>19614</v>
      </c>
      <c r="AM193">
        <v>0</v>
      </c>
      <c r="AN193" t="s">
        <v>19670</v>
      </c>
      <c r="AS193">
        <v>0</v>
      </c>
      <c r="AU193" t="s">
        <v>95</v>
      </c>
      <c r="AV193" t="s">
        <v>20733</v>
      </c>
    </row>
    <row r="194" spans="1:48">
      <c r="A194" s="1">
        <f>HYPERLINK("https://lsnyc.legalserver.org/matter/dynamic-profile/view/1836085","17-1836085")</f>
        <v>0</v>
      </c>
      <c r="B194" t="s">
        <v>93</v>
      </c>
      <c r="C194" t="s">
        <v>256</v>
      </c>
      <c r="D194" t="s">
        <v>386</v>
      </c>
      <c r="F194" t="s">
        <v>1271</v>
      </c>
      <c r="G194" t="s">
        <v>3463</v>
      </c>
      <c r="H194" t="s">
        <v>5809</v>
      </c>
      <c r="I194" t="s">
        <v>8133</v>
      </c>
      <c r="J194" t="s">
        <v>9059</v>
      </c>
      <c r="K194">
        <v>11212</v>
      </c>
      <c r="L194" t="s">
        <v>9094</v>
      </c>
      <c r="M194" t="s">
        <v>9095</v>
      </c>
      <c r="O194" t="s">
        <v>11135</v>
      </c>
      <c r="P194" t="s">
        <v>11168</v>
      </c>
      <c r="R194" t="s">
        <v>11180</v>
      </c>
      <c r="S194" t="s">
        <v>9094</v>
      </c>
      <c r="T194" t="s">
        <v>11183</v>
      </c>
      <c r="V194" t="s">
        <v>386</v>
      </c>
      <c r="W194">
        <v>1180.14</v>
      </c>
      <c r="X194" t="s">
        <v>11332</v>
      </c>
      <c r="Y194" t="s">
        <v>11340</v>
      </c>
      <c r="Z194" t="s">
        <v>11507</v>
      </c>
      <c r="AB194" t="s">
        <v>16007</v>
      </c>
      <c r="AC194">
        <v>31</v>
      </c>
      <c r="AD194" t="s">
        <v>19566</v>
      </c>
      <c r="AF194">
        <v>16</v>
      </c>
      <c r="AG194">
        <v>1</v>
      </c>
      <c r="AH194">
        <v>0</v>
      </c>
      <c r="AI194">
        <v>0</v>
      </c>
      <c r="AL194" t="s">
        <v>19614</v>
      </c>
      <c r="AM194">
        <v>0</v>
      </c>
      <c r="AS194">
        <v>0.1</v>
      </c>
      <c r="AT194" t="s">
        <v>386</v>
      </c>
      <c r="AU194" t="s">
        <v>59</v>
      </c>
    </row>
    <row r="195" spans="1:48">
      <c r="A195" s="1">
        <f>HYPERLINK("https://lsnyc.legalserver.org/matter/dynamic-profile/view/0809425","16-0809425")</f>
        <v>0</v>
      </c>
      <c r="B195" t="s">
        <v>94</v>
      </c>
      <c r="C195" t="s">
        <v>256</v>
      </c>
      <c r="D195" t="s">
        <v>387</v>
      </c>
      <c r="F195" t="s">
        <v>1269</v>
      </c>
      <c r="G195" t="s">
        <v>3461</v>
      </c>
      <c r="H195" t="s">
        <v>5807</v>
      </c>
      <c r="I195" t="s">
        <v>8132</v>
      </c>
      <c r="J195" t="s">
        <v>9059</v>
      </c>
      <c r="K195">
        <v>11212</v>
      </c>
      <c r="L195" t="s">
        <v>9094</v>
      </c>
      <c r="M195" t="s">
        <v>9095</v>
      </c>
      <c r="N195" t="s">
        <v>9185</v>
      </c>
      <c r="O195" t="s">
        <v>11128</v>
      </c>
      <c r="P195" t="s">
        <v>11165</v>
      </c>
      <c r="R195" t="s">
        <v>11180</v>
      </c>
      <c r="S195" t="s">
        <v>9094</v>
      </c>
      <c r="T195" t="s">
        <v>11183</v>
      </c>
      <c r="V195" t="s">
        <v>11213</v>
      </c>
      <c r="W195">
        <v>0</v>
      </c>
      <c r="X195" t="s">
        <v>11332</v>
      </c>
      <c r="Y195" t="s">
        <v>11343</v>
      </c>
      <c r="Z195" t="s">
        <v>11505</v>
      </c>
      <c r="AB195" t="s">
        <v>16006</v>
      </c>
      <c r="AC195">
        <v>12</v>
      </c>
      <c r="AD195" t="s">
        <v>19566</v>
      </c>
      <c r="AF195">
        <v>1</v>
      </c>
      <c r="AG195">
        <v>1</v>
      </c>
      <c r="AH195">
        <v>1</v>
      </c>
      <c r="AI195">
        <v>0</v>
      </c>
      <c r="AL195" t="s">
        <v>19614</v>
      </c>
      <c r="AM195">
        <v>0</v>
      </c>
      <c r="AN195" t="s">
        <v>19671</v>
      </c>
      <c r="AS195">
        <v>7.35</v>
      </c>
      <c r="AT195" t="s">
        <v>20583</v>
      </c>
      <c r="AU195" t="s">
        <v>95</v>
      </c>
    </row>
    <row r="196" spans="1:48">
      <c r="A196" s="1">
        <f>HYPERLINK("https://lsnyc.legalserver.org/matter/dynamic-profile/view/1911142","19-1911142")</f>
        <v>0</v>
      </c>
      <c r="B196" t="s">
        <v>91</v>
      </c>
      <c r="C196" t="s">
        <v>256</v>
      </c>
      <c r="D196" t="s">
        <v>336</v>
      </c>
      <c r="F196" t="s">
        <v>1272</v>
      </c>
      <c r="G196" t="s">
        <v>3464</v>
      </c>
      <c r="H196" t="s">
        <v>5810</v>
      </c>
      <c r="J196" t="s">
        <v>9059</v>
      </c>
      <c r="K196">
        <v>11212</v>
      </c>
      <c r="L196" t="s">
        <v>9094</v>
      </c>
      <c r="M196" t="s">
        <v>9095</v>
      </c>
      <c r="N196" t="s">
        <v>9186</v>
      </c>
      <c r="O196" t="s">
        <v>11128</v>
      </c>
      <c r="P196" t="s">
        <v>11167</v>
      </c>
      <c r="R196" t="s">
        <v>11180</v>
      </c>
      <c r="S196" t="s">
        <v>9096</v>
      </c>
      <c r="T196" t="s">
        <v>11183</v>
      </c>
      <c r="U196" t="s">
        <v>11201</v>
      </c>
      <c r="V196" t="s">
        <v>292</v>
      </c>
      <c r="W196">
        <v>1500</v>
      </c>
      <c r="X196" t="s">
        <v>11332</v>
      </c>
      <c r="Y196" t="s">
        <v>11336</v>
      </c>
      <c r="Z196" t="s">
        <v>11508</v>
      </c>
      <c r="AB196" t="s">
        <v>16008</v>
      </c>
      <c r="AC196">
        <v>4</v>
      </c>
      <c r="AD196" t="s">
        <v>19565</v>
      </c>
      <c r="AE196" t="s">
        <v>19580</v>
      </c>
      <c r="AF196">
        <v>7</v>
      </c>
      <c r="AG196">
        <v>1</v>
      </c>
      <c r="AH196">
        <v>4</v>
      </c>
      <c r="AI196">
        <v>0</v>
      </c>
      <c r="AL196" t="s">
        <v>19614</v>
      </c>
      <c r="AM196">
        <v>0</v>
      </c>
      <c r="AS196">
        <v>2.5</v>
      </c>
      <c r="AT196" t="s">
        <v>563</v>
      </c>
      <c r="AU196" t="s">
        <v>20626</v>
      </c>
      <c r="AV196" t="s">
        <v>20733</v>
      </c>
    </row>
    <row r="197" spans="1:48">
      <c r="A197" s="1">
        <f>HYPERLINK("https://lsnyc.legalserver.org/matter/dynamic-profile/view/1911784","19-1911784")</f>
        <v>0</v>
      </c>
      <c r="B197" t="s">
        <v>72</v>
      </c>
      <c r="C197" t="s">
        <v>257</v>
      </c>
      <c r="D197" t="s">
        <v>284</v>
      </c>
      <c r="E197" t="s">
        <v>321</v>
      </c>
      <c r="F197" t="s">
        <v>1273</v>
      </c>
      <c r="G197" t="s">
        <v>3465</v>
      </c>
      <c r="H197" t="s">
        <v>5811</v>
      </c>
      <c r="I197" t="s">
        <v>8171</v>
      </c>
      <c r="J197" t="s">
        <v>9059</v>
      </c>
      <c r="K197">
        <v>11212</v>
      </c>
      <c r="L197" t="s">
        <v>9094</v>
      </c>
      <c r="M197" t="s">
        <v>9095</v>
      </c>
      <c r="N197" t="s">
        <v>9187</v>
      </c>
      <c r="O197" t="s">
        <v>11128</v>
      </c>
      <c r="P197" t="s">
        <v>11164</v>
      </c>
      <c r="Q197" t="s">
        <v>11172</v>
      </c>
      <c r="R197" t="s">
        <v>11180</v>
      </c>
      <c r="S197" t="s">
        <v>9096</v>
      </c>
      <c r="T197" t="s">
        <v>11183</v>
      </c>
      <c r="V197" t="s">
        <v>284</v>
      </c>
      <c r="W197">
        <v>70</v>
      </c>
      <c r="X197" t="s">
        <v>11332</v>
      </c>
      <c r="Y197" t="s">
        <v>11157</v>
      </c>
      <c r="Z197" t="s">
        <v>11509</v>
      </c>
      <c r="AB197" t="s">
        <v>16009</v>
      </c>
      <c r="AC197">
        <v>19</v>
      </c>
      <c r="AD197" t="s">
        <v>19566</v>
      </c>
      <c r="AE197" t="s">
        <v>9144</v>
      </c>
      <c r="AF197">
        <v>7</v>
      </c>
      <c r="AG197">
        <v>1</v>
      </c>
      <c r="AH197">
        <v>1</v>
      </c>
      <c r="AI197">
        <v>0</v>
      </c>
      <c r="AL197" t="s">
        <v>19614</v>
      </c>
      <c r="AM197">
        <v>0</v>
      </c>
      <c r="AS197">
        <v>2.7</v>
      </c>
      <c r="AT197" t="s">
        <v>632</v>
      </c>
      <c r="AU197" t="s">
        <v>79</v>
      </c>
      <c r="AV197" t="s">
        <v>20733</v>
      </c>
    </row>
    <row r="198" spans="1:48">
      <c r="A198" s="1">
        <f>HYPERLINK("https://lsnyc.legalserver.org/matter/dynamic-profile/view/1913355","19-1913355")</f>
        <v>0</v>
      </c>
      <c r="B198" t="s">
        <v>90</v>
      </c>
      <c r="C198" t="s">
        <v>256</v>
      </c>
      <c r="D198" t="s">
        <v>286</v>
      </c>
      <c r="F198" t="s">
        <v>1274</v>
      </c>
      <c r="G198" t="s">
        <v>3411</v>
      </c>
      <c r="H198" t="s">
        <v>5812</v>
      </c>
      <c r="I198" t="s">
        <v>8154</v>
      </c>
      <c r="J198" t="s">
        <v>9059</v>
      </c>
      <c r="K198">
        <v>11212</v>
      </c>
      <c r="L198" t="s">
        <v>9095</v>
      </c>
      <c r="M198" t="s">
        <v>9095</v>
      </c>
      <c r="N198" t="s">
        <v>9188</v>
      </c>
      <c r="O198" t="s">
        <v>11128</v>
      </c>
      <c r="P198" t="s">
        <v>11169</v>
      </c>
      <c r="R198" t="s">
        <v>11180</v>
      </c>
      <c r="S198" t="s">
        <v>9096</v>
      </c>
      <c r="T198" t="s">
        <v>11183</v>
      </c>
      <c r="W198">
        <v>1400</v>
      </c>
      <c r="X198" t="s">
        <v>11332</v>
      </c>
      <c r="Y198" t="s">
        <v>11351</v>
      </c>
      <c r="Z198" t="s">
        <v>11510</v>
      </c>
      <c r="AB198" t="s">
        <v>16010</v>
      </c>
      <c r="AC198">
        <v>4</v>
      </c>
      <c r="AD198" t="s">
        <v>19565</v>
      </c>
      <c r="AE198" t="s">
        <v>9144</v>
      </c>
      <c r="AF198">
        <v>3</v>
      </c>
      <c r="AG198">
        <v>1</v>
      </c>
      <c r="AH198">
        <v>0</v>
      </c>
      <c r="AI198">
        <v>0</v>
      </c>
      <c r="AL198" t="s">
        <v>19614</v>
      </c>
      <c r="AM198">
        <v>0</v>
      </c>
      <c r="AS198">
        <v>3</v>
      </c>
      <c r="AT198" t="s">
        <v>377</v>
      </c>
      <c r="AU198" t="s">
        <v>79</v>
      </c>
    </row>
    <row r="199" spans="1:48">
      <c r="A199" s="1">
        <f>HYPERLINK("https://lsnyc.legalserver.org/matter/dynamic-profile/view/0828947","17-0828947")</f>
        <v>0</v>
      </c>
      <c r="B199" t="s">
        <v>78</v>
      </c>
      <c r="C199" t="s">
        <v>256</v>
      </c>
      <c r="D199" t="s">
        <v>388</v>
      </c>
      <c r="F199" t="s">
        <v>1271</v>
      </c>
      <c r="G199" t="s">
        <v>3463</v>
      </c>
      <c r="H199" t="s">
        <v>5809</v>
      </c>
      <c r="I199" t="s">
        <v>8133</v>
      </c>
      <c r="J199" t="s">
        <v>9059</v>
      </c>
      <c r="K199">
        <v>11212</v>
      </c>
      <c r="L199" t="s">
        <v>9094</v>
      </c>
      <c r="M199" t="s">
        <v>9095</v>
      </c>
      <c r="N199" t="s">
        <v>9189</v>
      </c>
      <c r="O199" t="s">
        <v>9121</v>
      </c>
      <c r="P199" t="s">
        <v>11168</v>
      </c>
      <c r="R199" t="s">
        <v>11180</v>
      </c>
      <c r="S199" t="s">
        <v>9094</v>
      </c>
      <c r="T199" t="s">
        <v>11183</v>
      </c>
      <c r="V199" t="s">
        <v>804</v>
      </c>
      <c r="W199">
        <v>1180.14</v>
      </c>
      <c r="X199" t="s">
        <v>11332</v>
      </c>
      <c r="Y199" t="s">
        <v>11157</v>
      </c>
      <c r="Z199" t="s">
        <v>11507</v>
      </c>
      <c r="AB199" t="s">
        <v>16007</v>
      </c>
      <c r="AC199">
        <v>32</v>
      </c>
      <c r="AD199" t="s">
        <v>19566</v>
      </c>
      <c r="AF199">
        <v>16</v>
      </c>
      <c r="AG199">
        <v>1</v>
      </c>
      <c r="AH199">
        <v>0</v>
      </c>
      <c r="AI199">
        <v>0</v>
      </c>
      <c r="AL199" t="s">
        <v>19614</v>
      </c>
      <c r="AM199">
        <v>0</v>
      </c>
      <c r="AS199">
        <v>1</v>
      </c>
      <c r="AT199" t="s">
        <v>19597</v>
      </c>
      <c r="AU199" t="s">
        <v>78</v>
      </c>
    </row>
    <row r="200" spans="1:48">
      <c r="A200" s="1">
        <f>HYPERLINK("https://lsnyc.legalserver.org/matter/dynamic-profile/view/1871569","18-1871569")</f>
        <v>0</v>
      </c>
      <c r="B200" t="s">
        <v>78</v>
      </c>
      <c r="C200" t="s">
        <v>256</v>
      </c>
      <c r="D200" t="s">
        <v>389</v>
      </c>
      <c r="F200" t="s">
        <v>1271</v>
      </c>
      <c r="G200" t="s">
        <v>3463</v>
      </c>
      <c r="H200" t="s">
        <v>5809</v>
      </c>
      <c r="I200" t="s">
        <v>8133</v>
      </c>
      <c r="J200" t="s">
        <v>9059</v>
      </c>
      <c r="K200">
        <v>11212</v>
      </c>
      <c r="L200" t="s">
        <v>9094</v>
      </c>
      <c r="M200" t="s">
        <v>9095</v>
      </c>
      <c r="O200" t="s">
        <v>9121</v>
      </c>
      <c r="P200" t="s">
        <v>11167</v>
      </c>
      <c r="R200" t="s">
        <v>11180</v>
      </c>
      <c r="S200" t="s">
        <v>9094</v>
      </c>
      <c r="T200" t="s">
        <v>11183</v>
      </c>
      <c r="V200" t="s">
        <v>11214</v>
      </c>
      <c r="W200">
        <v>1180.14</v>
      </c>
      <c r="X200" t="s">
        <v>11332</v>
      </c>
      <c r="Y200" t="s">
        <v>11157</v>
      </c>
      <c r="Z200" t="s">
        <v>11507</v>
      </c>
      <c r="AB200" t="s">
        <v>16007</v>
      </c>
      <c r="AC200">
        <v>32</v>
      </c>
      <c r="AD200" t="s">
        <v>19566</v>
      </c>
      <c r="AF200">
        <v>16</v>
      </c>
      <c r="AG200">
        <v>1</v>
      </c>
      <c r="AH200">
        <v>0</v>
      </c>
      <c r="AI200">
        <v>0</v>
      </c>
      <c r="AL200" t="s">
        <v>19614</v>
      </c>
      <c r="AM200">
        <v>0</v>
      </c>
      <c r="AS200">
        <v>0</v>
      </c>
      <c r="AU200" t="s">
        <v>20637</v>
      </c>
    </row>
    <row r="201" spans="1:48">
      <c r="A201" s="1">
        <f>HYPERLINK("https://lsnyc.legalserver.org/matter/dynamic-profile/view/1907942","19-1907942")</f>
        <v>0</v>
      </c>
      <c r="B201" t="s">
        <v>95</v>
      </c>
      <c r="C201" t="s">
        <v>257</v>
      </c>
      <c r="D201" t="s">
        <v>288</v>
      </c>
      <c r="E201" t="s">
        <v>335</v>
      </c>
      <c r="F201" t="s">
        <v>1275</v>
      </c>
      <c r="G201" t="s">
        <v>2681</v>
      </c>
      <c r="H201" t="s">
        <v>5813</v>
      </c>
      <c r="I201" t="s">
        <v>8195</v>
      </c>
      <c r="J201" t="s">
        <v>9059</v>
      </c>
      <c r="K201">
        <v>11212</v>
      </c>
      <c r="L201" t="s">
        <v>9096</v>
      </c>
      <c r="M201" t="s">
        <v>9095</v>
      </c>
      <c r="N201" t="s">
        <v>9102</v>
      </c>
      <c r="O201" t="s">
        <v>9121</v>
      </c>
      <c r="Q201" t="s">
        <v>11172</v>
      </c>
      <c r="R201" t="s">
        <v>11180</v>
      </c>
      <c r="S201" t="s">
        <v>9096</v>
      </c>
      <c r="T201" t="s">
        <v>11183</v>
      </c>
      <c r="U201" t="s">
        <v>11201</v>
      </c>
      <c r="W201">
        <v>1400</v>
      </c>
      <c r="X201" t="s">
        <v>11332</v>
      </c>
      <c r="Z201" t="s">
        <v>11511</v>
      </c>
      <c r="AA201" t="s">
        <v>9171</v>
      </c>
      <c r="AB201" t="s">
        <v>16011</v>
      </c>
      <c r="AC201">
        <v>2</v>
      </c>
      <c r="AD201" t="s">
        <v>19565</v>
      </c>
      <c r="AF201">
        <v>11</v>
      </c>
      <c r="AG201">
        <v>1</v>
      </c>
      <c r="AH201">
        <v>0</v>
      </c>
      <c r="AI201">
        <v>0</v>
      </c>
      <c r="AL201" t="s">
        <v>19614</v>
      </c>
      <c r="AM201">
        <v>0</v>
      </c>
      <c r="AS201">
        <v>0.3</v>
      </c>
      <c r="AT201" t="s">
        <v>288</v>
      </c>
      <c r="AU201" t="s">
        <v>20638</v>
      </c>
      <c r="AV201" t="s">
        <v>9144</v>
      </c>
    </row>
    <row r="202" spans="1:48">
      <c r="A202" s="1">
        <f>HYPERLINK("https://lsnyc.legalserver.org/matter/dynamic-profile/view/1867085","18-1867085")</f>
        <v>0</v>
      </c>
      <c r="B202" t="s">
        <v>78</v>
      </c>
      <c r="C202" t="s">
        <v>256</v>
      </c>
      <c r="D202" t="s">
        <v>390</v>
      </c>
      <c r="F202" t="s">
        <v>1271</v>
      </c>
      <c r="G202" t="s">
        <v>3463</v>
      </c>
      <c r="H202" t="s">
        <v>5809</v>
      </c>
      <c r="I202" t="s">
        <v>8133</v>
      </c>
      <c r="J202" t="s">
        <v>9059</v>
      </c>
      <c r="K202">
        <v>11212</v>
      </c>
      <c r="L202" t="s">
        <v>9094</v>
      </c>
      <c r="M202" t="s">
        <v>9095</v>
      </c>
      <c r="O202" t="s">
        <v>11137</v>
      </c>
      <c r="P202" t="s">
        <v>11168</v>
      </c>
      <c r="R202" t="s">
        <v>11180</v>
      </c>
      <c r="S202" t="s">
        <v>9094</v>
      </c>
      <c r="T202" t="s">
        <v>11183</v>
      </c>
      <c r="V202" t="s">
        <v>673</v>
      </c>
      <c r="W202">
        <v>1180.14</v>
      </c>
      <c r="X202" t="s">
        <v>11332</v>
      </c>
      <c r="Y202" t="s">
        <v>11157</v>
      </c>
      <c r="Z202" t="s">
        <v>11507</v>
      </c>
      <c r="AB202" t="s">
        <v>16007</v>
      </c>
      <c r="AC202">
        <v>0</v>
      </c>
      <c r="AD202" t="s">
        <v>19566</v>
      </c>
      <c r="AF202">
        <v>16</v>
      </c>
      <c r="AG202">
        <v>1</v>
      </c>
      <c r="AH202">
        <v>0</v>
      </c>
      <c r="AI202">
        <v>0</v>
      </c>
      <c r="AL202" t="s">
        <v>19614</v>
      </c>
      <c r="AM202">
        <v>0</v>
      </c>
      <c r="AS202">
        <v>0</v>
      </c>
      <c r="AU202" t="s">
        <v>95</v>
      </c>
    </row>
    <row r="203" spans="1:48">
      <c r="A203" s="1">
        <f>HYPERLINK("https://lsnyc.legalserver.org/matter/dynamic-profile/view/1889769","19-1889769")</f>
        <v>0</v>
      </c>
      <c r="B203" t="s">
        <v>73</v>
      </c>
      <c r="C203" t="s">
        <v>256</v>
      </c>
      <c r="D203" t="s">
        <v>391</v>
      </c>
      <c r="F203" t="s">
        <v>1276</v>
      </c>
      <c r="G203" t="s">
        <v>3466</v>
      </c>
      <c r="H203" t="s">
        <v>5814</v>
      </c>
      <c r="I203" t="s">
        <v>8196</v>
      </c>
      <c r="J203" t="s">
        <v>9059</v>
      </c>
      <c r="K203">
        <v>11212</v>
      </c>
      <c r="L203" t="s">
        <v>9094</v>
      </c>
      <c r="M203" t="s">
        <v>9094</v>
      </c>
      <c r="N203" t="s">
        <v>9190</v>
      </c>
      <c r="O203" t="s">
        <v>11129</v>
      </c>
      <c r="P203" t="s">
        <v>11165</v>
      </c>
      <c r="R203" t="s">
        <v>11180</v>
      </c>
      <c r="S203" t="s">
        <v>9096</v>
      </c>
      <c r="T203" t="s">
        <v>11183</v>
      </c>
      <c r="V203" t="s">
        <v>441</v>
      </c>
      <c r="W203">
        <v>1268</v>
      </c>
      <c r="X203" t="s">
        <v>11332</v>
      </c>
      <c r="Y203" t="s">
        <v>11336</v>
      </c>
      <c r="Z203" t="s">
        <v>11482</v>
      </c>
      <c r="AA203" t="s">
        <v>15300</v>
      </c>
      <c r="AB203" t="s">
        <v>16012</v>
      </c>
      <c r="AC203">
        <v>31</v>
      </c>
      <c r="AD203" t="s">
        <v>19566</v>
      </c>
      <c r="AE203" t="s">
        <v>19586</v>
      </c>
      <c r="AF203">
        <v>2</v>
      </c>
      <c r="AG203">
        <v>2</v>
      </c>
      <c r="AH203">
        <v>0</v>
      </c>
      <c r="AI203">
        <v>0</v>
      </c>
      <c r="AL203" t="s">
        <v>19614</v>
      </c>
      <c r="AM203">
        <v>0</v>
      </c>
      <c r="AS203">
        <v>22.45</v>
      </c>
      <c r="AT203" t="s">
        <v>484</v>
      </c>
      <c r="AU203" t="s">
        <v>79</v>
      </c>
    </row>
    <row r="204" spans="1:48">
      <c r="A204" s="1">
        <f>HYPERLINK("https://lsnyc.legalserver.org/matter/dynamic-profile/view/1895178","19-1895178")</f>
        <v>0</v>
      </c>
      <c r="B204" t="s">
        <v>69</v>
      </c>
      <c r="C204" t="s">
        <v>256</v>
      </c>
      <c r="D204" t="s">
        <v>278</v>
      </c>
      <c r="F204" t="s">
        <v>1276</v>
      </c>
      <c r="G204" t="s">
        <v>3466</v>
      </c>
      <c r="H204" t="s">
        <v>5814</v>
      </c>
      <c r="I204" t="s">
        <v>8196</v>
      </c>
      <c r="J204" t="s">
        <v>9059</v>
      </c>
      <c r="K204">
        <v>11212</v>
      </c>
      <c r="L204" t="s">
        <v>9094</v>
      </c>
      <c r="M204" t="s">
        <v>9094</v>
      </c>
      <c r="N204" t="s">
        <v>9190</v>
      </c>
      <c r="O204" t="s">
        <v>11129</v>
      </c>
      <c r="P204" t="s">
        <v>11164</v>
      </c>
      <c r="R204" t="s">
        <v>11180</v>
      </c>
      <c r="S204" t="s">
        <v>9096</v>
      </c>
      <c r="T204" t="s">
        <v>11184</v>
      </c>
      <c r="V204" t="s">
        <v>441</v>
      </c>
      <c r="W204">
        <v>1268</v>
      </c>
      <c r="X204" t="s">
        <v>11332</v>
      </c>
      <c r="Y204" t="s">
        <v>11336</v>
      </c>
      <c r="Z204" t="s">
        <v>11482</v>
      </c>
      <c r="AA204" t="s">
        <v>15300</v>
      </c>
      <c r="AB204" t="s">
        <v>16012</v>
      </c>
      <c r="AC204">
        <v>31</v>
      </c>
      <c r="AD204" t="s">
        <v>19566</v>
      </c>
      <c r="AE204" t="s">
        <v>19586</v>
      </c>
      <c r="AF204">
        <v>2</v>
      </c>
      <c r="AG204">
        <v>2</v>
      </c>
      <c r="AH204">
        <v>0</v>
      </c>
      <c r="AI204">
        <v>0</v>
      </c>
      <c r="AL204" t="s">
        <v>19614</v>
      </c>
      <c r="AM204">
        <v>0</v>
      </c>
      <c r="AS204">
        <v>1.25</v>
      </c>
      <c r="AT204" t="s">
        <v>301</v>
      </c>
      <c r="AU204" t="s">
        <v>79</v>
      </c>
      <c r="AV204" t="s">
        <v>20733</v>
      </c>
    </row>
    <row r="205" spans="1:48">
      <c r="A205" s="1">
        <f>HYPERLINK("https://lsnyc.legalserver.org/matter/dynamic-profile/view/1905791","19-1905791")</f>
        <v>0</v>
      </c>
      <c r="B205" t="s">
        <v>92</v>
      </c>
      <c r="C205" t="s">
        <v>256</v>
      </c>
      <c r="D205" t="s">
        <v>328</v>
      </c>
      <c r="F205" t="s">
        <v>1270</v>
      </c>
      <c r="G205" t="s">
        <v>3462</v>
      </c>
      <c r="H205" t="s">
        <v>5808</v>
      </c>
      <c r="I205" t="s">
        <v>8151</v>
      </c>
      <c r="J205" t="s">
        <v>9059</v>
      </c>
      <c r="K205">
        <v>11212</v>
      </c>
      <c r="L205" t="s">
        <v>9094</v>
      </c>
      <c r="M205" t="s">
        <v>9095</v>
      </c>
      <c r="N205" t="s">
        <v>9191</v>
      </c>
      <c r="O205" t="s">
        <v>11129</v>
      </c>
      <c r="P205" t="s">
        <v>11165</v>
      </c>
      <c r="R205" t="s">
        <v>11180</v>
      </c>
      <c r="S205" t="s">
        <v>9094</v>
      </c>
      <c r="T205" t="s">
        <v>11183</v>
      </c>
      <c r="U205" t="s">
        <v>11201</v>
      </c>
      <c r="V205" t="s">
        <v>512</v>
      </c>
      <c r="W205">
        <v>683</v>
      </c>
      <c r="X205" t="s">
        <v>11332</v>
      </c>
      <c r="Y205" t="s">
        <v>11340</v>
      </c>
      <c r="Z205" t="s">
        <v>11506</v>
      </c>
      <c r="AA205" t="s">
        <v>9171</v>
      </c>
      <c r="AC205">
        <v>8</v>
      </c>
      <c r="AD205" t="s">
        <v>19566</v>
      </c>
      <c r="AE205" t="s">
        <v>9144</v>
      </c>
      <c r="AF205">
        <v>30</v>
      </c>
      <c r="AG205">
        <v>2</v>
      </c>
      <c r="AH205">
        <v>0</v>
      </c>
      <c r="AI205">
        <v>0</v>
      </c>
      <c r="AL205" t="s">
        <v>19614</v>
      </c>
      <c r="AM205">
        <v>0</v>
      </c>
      <c r="AN205" t="s">
        <v>19672</v>
      </c>
      <c r="AS205">
        <v>0</v>
      </c>
      <c r="AU205" t="s">
        <v>95</v>
      </c>
      <c r="AV205" t="s">
        <v>20733</v>
      </c>
    </row>
    <row r="206" spans="1:48">
      <c r="A206" s="1">
        <f>HYPERLINK("https://lsnyc.legalserver.org/matter/dynamic-profile/view/1836485","17-1836485")</f>
        <v>0</v>
      </c>
      <c r="B206" t="s">
        <v>78</v>
      </c>
      <c r="C206" t="s">
        <v>257</v>
      </c>
      <c r="D206" t="s">
        <v>392</v>
      </c>
      <c r="E206" t="s">
        <v>457</v>
      </c>
      <c r="F206" t="s">
        <v>1271</v>
      </c>
      <c r="G206" t="s">
        <v>3463</v>
      </c>
      <c r="H206" t="s">
        <v>5809</v>
      </c>
      <c r="I206" t="s">
        <v>8133</v>
      </c>
      <c r="J206" t="s">
        <v>9059</v>
      </c>
      <c r="K206">
        <v>11212</v>
      </c>
      <c r="L206" t="s">
        <v>9094</v>
      </c>
      <c r="M206" t="s">
        <v>9095</v>
      </c>
      <c r="O206" t="s">
        <v>11133</v>
      </c>
      <c r="P206" t="s">
        <v>11167</v>
      </c>
      <c r="Q206" t="s">
        <v>11173</v>
      </c>
      <c r="R206" t="s">
        <v>11180</v>
      </c>
      <c r="S206" t="s">
        <v>9094</v>
      </c>
      <c r="T206" t="s">
        <v>11183</v>
      </c>
      <c r="V206" t="s">
        <v>392</v>
      </c>
      <c r="W206">
        <v>1180</v>
      </c>
      <c r="X206" t="s">
        <v>11332</v>
      </c>
      <c r="Y206" t="s">
        <v>11157</v>
      </c>
      <c r="Z206" t="s">
        <v>11507</v>
      </c>
      <c r="AB206" t="s">
        <v>16007</v>
      </c>
      <c r="AC206">
        <v>31</v>
      </c>
      <c r="AD206" t="s">
        <v>19566</v>
      </c>
      <c r="AE206" t="s">
        <v>19587</v>
      </c>
      <c r="AF206">
        <v>16</v>
      </c>
      <c r="AG206">
        <v>1</v>
      </c>
      <c r="AH206">
        <v>0</v>
      </c>
      <c r="AI206">
        <v>0</v>
      </c>
      <c r="AL206" t="s">
        <v>19614</v>
      </c>
      <c r="AM206">
        <v>0</v>
      </c>
      <c r="AN206" t="s">
        <v>19673</v>
      </c>
      <c r="AS206">
        <v>1</v>
      </c>
      <c r="AT206" t="s">
        <v>828</v>
      </c>
      <c r="AU206" t="s">
        <v>78</v>
      </c>
    </row>
    <row r="207" spans="1:48">
      <c r="A207" s="1">
        <f>HYPERLINK("https://lsnyc.legalserver.org/matter/dynamic-profile/view/1895273","19-1895273")</f>
        <v>0</v>
      </c>
      <c r="B207" t="s">
        <v>93</v>
      </c>
      <c r="C207" t="s">
        <v>256</v>
      </c>
      <c r="D207" t="s">
        <v>264</v>
      </c>
      <c r="F207" t="s">
        <v>1270</v>
      </c>
      <c r="G207" t="s">
        <v>3462</v>
      </c>
      <c r="H207" t="s">
        <v>5808</v>
      </c>
      <c r="I207" t="s">
        <v>8151</v>
      </c>
      <c r="J207" t="s">
        <v>9059</v>
      </c>
      <c r="K207">
        <v>11212</v>
      </c>
      <c r="L207" t="s">
        <v>9094</v>
      </c>
      <c r="M207" t="s">
        <v>9096</v>
      </c>
      <c r="N207" t="s">
        <v>9182</v>
      </c>
      <c r="O207" t="s">
        <v>11136</v>
      </c>
      <c r="P207" t="s">
        <v>11170</v>
      </c>
      <c r="R207" t="s">
        <v>11180</v>
      </c>
      <c r="S207" t="s">
        <v>9094</v>
      </c>
      <c r="T207" t="s">
        <v>11183</v>
      </c>
      <c r="U207" t="s">
        <v>11201</v>
      </c>
      <c r="V207" t="s">
        <v>706</v>
      </c>
      <c r="W207">
        <v>683</v>
      </c>
      <c r="X207" t="s">
        <v>11332</v>
      </c>
      <c r="Y207" t="s">
        <v>11348</v>
      </c>
      <c r="Z207" t="s">
        <v>11506</v>
      </c>
      <c r="AC207">
        <v>10</v>
      </c>
      <c r="AD207" t="s">
        <v>19566</v>
      </c>
      <c r="AE207" t="s">
        <v>9144</v>
      </c>
      <c r="AF207">
        <v>30</v>
      </c>
      <c r="AG207">
        <v>2</v>
      </c>
      <c r="AH207">
        <v>0</v>
      </c>
      <c r="AI207">
        <v>0</v>
      </c>
      <c r="AL207" t="s">
        <v>19614</v>
      </c>
      <c r="AM207">
        <v>0</v>
      </c>
      <c r="AN207" t="s">
        <v>19674</v>
      </c>
      <c r="AS207">
        <v>1</v>
      </c>
      <c r="AT207" t="s">
        <v>337</v>
      </c>
      <c r="AU207" t="s">
        <v>95</v>
      </c>
      <c r="AV207" t="s">
        <v>9144</v>
      </c>
    </row>
    <row r="208" spans="1:48">
      <c r="A208" s="1">
        <f>HYPERLINK("https://lsnyc.legalserver.org/matter/dynamic-profile/view/1895289","19-1895289")</f>
        <v>0</v>
      </c>
      <c r="B208" t="s">
        <v>76</v>
      </c>
      <c r="C208" t="s">
        <v>256</v>
      </c>
      <c r="D208" t="s">
        <v>393</v>
      </c>
      <c r="F208" t="s">
        <v>1277</v>
      </c>
      <c r="G208" t="s">
        <v>3467</v>
      </c>
      <c r="H208" t="s">
        <v>5815</v>
      </c>
      <c r="I208" t="s">
        <v>8197</v>
      </c>
      <c r="J208" t="s">
        <v>9059</v>
      </c>
      <c r="K208">
        <v>11212</v>
      </c>
      <c r="L208" t="s">
        <v>9094</v>
      </c>
      <c r="M208" t="s">
        <v>9094</v>
      </c>
      <c r="N208" t="s">
        <v>9184</v>
      </c>
      <c r="O208" t="s">
        <v>11136</v>
      </c>
      <c r="P208" t="s">
        <v>11167</v>
      </c>
      <c r="R208" t="s">
        <v>11180</v>
      </c>
      <c r="S208" t="s">
        <v>9094</v>
      </c>
      <c r="T208" t="s">
        <v>11186</v>
      </c>
      <c r="U208" t="s">
        <v>11201</v>
      </c>
      <c r="V208" t="s">
        <v>383</v>
      </c>
      <c r="W208">
        <v>1515</v>
      </c>
      <c r="X208" t="s">
        <v>11332</v>
      </c>
      <c r="Y208" t="s">
        <v>11339</v>
      </c>
      <c r="Z208" t="s">
        <v>11512</v>
      </c>
      <c r="AB208" t="s">
        <v>16013</v>
      </c>
      <c r="AC208">
        <v>16</v>
      </c>
      <c r="AD208" t="s">
        <v>19566</v>
      </c>
      <c r="AE208" t="s">
        <v>19588</v>
      </c>
      <c r="AF208">
        <v>3</v>
      </c>
      <c r="AG208">
        <v>2</v>
      </c>
      <c r="AH208">
        <v>0</v>
      </c>
      <c r="AI208">
        <v>0</v>
      </c>
      <c r="AL208" t="s">
        <v>19614</v>
      </c>
      <c r="AM208">
        <v>0</v>
      </c>
      <c r="AN208" t="s">
        <v>19675</v>
      </c>
      <c r="AS208">
        <v>0</v>
      </c>
      <c r="AU208" t="s">
        <v>79</v>
      </c>
      <c r="AV208" t="s">
        <v>20733</v>
      </c>
    </row>
    <row r="209" spans="1:48">
      <c r="A209" s="1">
        <f>HYPERLINK("https://lsnyc.legalserver.org/matter/dynamic-profile/view/1901085","19-1901085")</f>
        <v>0</v>
      </c>
      <c r="B209" t="s">
        <v>76</v>
      </c>
      <c r="C209" t="s">
        <v>256</v>
      </c>
      <c r="D209" t="s">
        <v>394</v>
      </c>
      <c r="F209" t="s">
        <v>1277</v>
      </c>
      <c r="G209" t="s">
        <v>3467</v>
      </c>
      <c r="H209" t="s">
        <v>5815</v>
      </c>
      <c r="I209" t="s">
        <v>8197</v>
      </c>
      <c r="J209" t="s">
        <v>9059</v>
      </c>
      <c r="K209">
        <v>11212</v>
      </c>
      <c r="L209" t="s">
        <v>9094</v>
      </c>
      <c r="M209" t="s">
        <v>9095</v>
      </c>
      <c r="N209" t="s">
        <v>9192</v>
      </c>
      <c r="P209" t="s">
        <v>11170</v>
      </c>
      <c r="R209" t="s">
        <v>11180</v>
      </c>
      <c r="S209" t="s">
        <v>9094</v>
      </c>
      <c r="T209" t="s">
        <v>11185</v>
      </c>
      <c r="U209" t="s">
        <v>11201</v>
      </c>
      <c r="V209" t="s">
        <v>264</v>
      </c>
      <c r="W209">
        <v>1515</v>
      </c>
      <c r="X209" t="s">
        <v>11332</v>
      </c>
      <c r="Y209" t="s">
        <v>11339</v>
      </c>
      <c r="Z209" t="s">
        <v>11512</v>
      </c>
      <c r="AB209" t="s">
        <v>16013</v>
      </c>
      <c r="AC209">
        <v>16</v>
      </c>
      <c r="AD209" t="s">
        <v>19566</v>
      </c>
      <c r="AE209" t="s">
        <v>19588</v>
      </c>
      <c r="AF209">
        <v>3</v>
      </c>
      <c r="AG209">
        <v>2</v>
      </c>
      <c r="AH209">
        <v>0</v>
      </c>
      <c r="AI209">
        <v>0</v>
      </c>
      <c r="AL209" t="s">
        <v>19614</v>
      </c>
      <c r="AM209">
        <v>0</v>
      </c>
      <c r="AN209" t="s">
        <v>19676</v>
      </c>
      <c r="AS209">
        <v>0.7</v>
      </c>
      <c r="AT209" t="s">
        <v>403</v>
      </c>
      <c r="AU209" t="s">
        <v>95</v>
      </c>
      <c r="AV209" t="s">
        <v>20733</v>
      </c>
    </row>
    <row r="210" spans="1:48">
      <c r="A210" s="1">
        <f>HYPERLINK("https://lsnyc.legalserver.org/matter/dynamic-profile/view/1914075","19-1914075")</f>
        <v>0</v>
      </c>
      <c r="B210" t="s">
        <v>67</v>
      </c>
      <c r="C210" t="s">
        <v>256</v>
      </c>
      <c r="D210" t="s">
        <v>395</v>
      </c>
      <c r="F210" t="s">
        <v>1278</v>
      </c>
      <c r="G210" t="s">
        <v>3468</v>
      </c>
      <c r="H210" t="s">
        <v>5816</v>
      </c>
      <c r="I210">
        <v>2</v>
      </c>
      <c r="J210" t="s">
        <v>9059</v>
      </c>
      <c r="K210">
        <v>11211</v>
      </c>
      <c r="L210" t="s">
        <v>9095</v>
      </c>
      <c r="M210" t="s">
        <v>9095</v>
      </c>
      <c r="R210" t="s">
        <v>11180</v>
      </c>
      <c r="T210" t="s">
        <v>11183</v>
      </c>
      <c r="W210">
        <v>0</v>
      </c>
      <c r="X210" t="s">
        <v>11332</v>
      </c>
      <c r="Z210" t="s">
        <v>11513</v>
      </c>
      <c r="AC210">
        <v>0</v>
      </c>
      <c r="AF210">
        <v>0</v>
      </c>
      <c r="AG210">
        <v>2</v>
      </c>
      <c r="AH210">
        <v>0</v>
      </c>
      <c r="AI210">
        <v>0</v>
      </c>
      <c r="AL210" t="s">
        <v>19614</v>
      </c>
      <c r="AM210">
        <v>0</v>
      </c>
      <c r="AS210">
        <v>0.6</v>
      </c>
      <c r="AT210" t="s">
        <v>395</v>
      </c>
      <c r="AU210" t="s">
        <v>67</v>
      </c>
    </row>
    <row r="211" spans="1:48">
      <c r="A211" s="1">
        <f>HYPERLINK("https://lsnyc.legalserver.org/matter/dynamic-profile/view/1907743","19-1907743")</f>
        <v>0</v>
      </c>
      <c r="B211" t="s">
        <v>86</v>
      </c>
      <c r="C211" t="s">
        <v>256</v>
      </c>
      <c r="D211" t="s">
        <v>396</v>
      </c>
      <c r="F211" t="s">
        <v>1279</v>
      </c>
      <c r="G211" t="s">
        <v>3469</v>
      </c>
      <c r="H211" t="s">
        <v>5817</v>
      </c>
      <c r="I211" t="s">
        <v>8132</v>
      </c>
      <c r="J211" t="s">
        <v>9059</v>
      </c>
      <c r="K211">
        <v>11210</v>
      </c>
      <c r="L211" t="s">
        <v>9094</v>
      </c>
      <c r="M211" t="s">
        <v>9095</v>
      </c>
      <c r="N211" t="s">
        <v>9193</v>
      </c>
      <c r="O211" t="s">
        <v>11128</v>
      </c>
      <c r="P211" t="s">
        <v>11165</v>
      </c>
      <c r="R211" t="s">
        <v>11180</v>
      </c>
      <c r="S211" t="s">
        <v>9096</v>
      </c>
      <c r="T211" t="s">
        <v>11183</v>
      </c>
      <c r="V211" t="s">
        <v>396</v>
      </c>
      <c r="W211">
        <v>1400</v>
      </c>
      <c r="X211" t="s">
        <v>11332</v>
      </c>
      <c r="Z211" t="s">
        <v>11514</v>
      </c>
      <c r="AB211" t="s">
        <v>16014</v>
      </c>
      <c r="AC211">
        <v>42</v>
      </c>
      <c r="AD211" t="s">
        <v>19566</v>
      </c>
      <c r="AF211">
        <v>23</v>
      </c>
      <c r="AG211">
        <v>1</v>
      </c>
      <c r="AH211">
        <v>2</v>
      </c>
      <c r="AI211">
        <v>0</v>
      </c>
      <c r="AL211" t="s">
        <v>19614</v>
      </c>
      <c r="AM211">
        <v>0</v>
      </c>
      <c r="AS211">
        <v>9.85</v>
      </c>
      <c r="AT211" t="s">
        <v>259</v>
      </c>
      <c r="AU211" t="s">
        <v>20632</v>
      </c>
      <c r="AV211" t="s">
        <v>20733</v>
      </c>
    </row>
    <row r="212" spans="1:48">
      <c r="A212" s="1">
        <f>HYPERLINK("https://lsnyc.legalserver.org/matter/dynamic-profile/view/1886104","18-1886104")</f>
        <v>0</v>
      </c>
      <c r="B212" t="s">
        <v>84</v>
      </c>
      <c r="C212" t="s">
        <v>256</v>
      </c>
      <c r="D212" t="s">
        <v>397</v>
      </c>
      <c r="F212" t="s">
        <v>1280</v>
      </c>
      <c r="G212" t="s">
        <v>3470</v>
      </c>
      <c r="H212" t="s">
        <v>5818</v>
      </c>
      <c r="J212" t="s">
        <v>9059</v>
      </c>
      <c r="K212">
        <v>11210</v>
      </c>
      <c r="L212" t="s">
        <v>9094</v>
      </c>
      <c r="M212" t="s">
        <v>9094</v>
      </c>
      <c r="N212" t="s">
        <v>9194</v>
      </c>
      <c r="O212" t="s">
        <v>11129</v>
      </c>
      <c r="P212" t="s">
        <v>11165</v>
      </c>
      <c r="R212" t="s">
        <v>11180</v>
      </c>
      <c r="S212" t="s">
        <v>9096</v>
      </c>
      <c r="T212" t="s">
        <v>11183</v>
      </c>
      <c r="V212" t="s">
        <v>397</v>
      </c>
      <c r="W212">
        <v>0</v>
      </c>
      <c r="X212" t="s">
        <v>11332</v>
      </c>
      <c r="Z212" t="s">
        <v>11515</v>
      </c>
      <c r="AB212" t="s">
        <v>16015</v>
      </c>
      <c r="AC212">
        <v>0</v>
      </c>
      <c r="AD212" t="s">
        <v>19565</v>
      </c>
      <c r="AF212">
        <v>6</v>
      </c>
      <c r="AG212">
        <v>1</v>
      </c>
      <c r="AH212">
        <v>1</v>
      </c>
      <c r="AI212">
        <v>0</v>
      </c>
      <c r="AM212">
        <v>0</v>
      </c>
      <c r="AS212">
        <v>61</v>
      </c>
      <c r="AT212" t="s">
        <v>453</v>
      </c>
      <c r="AU212" t="s">
        <v>215</v>
      </c>
    </row>
    <row r="213" spans="1:48">
      <c r="A213" s="1">
        <f>HYPERLINK("https://lsnyc.legalserver.org/matter/dynamic-profile/view/1849905","17-1849905")</f>
        <v>0</v>
      </c>
      <c r="B213" t="s">
        <v>72</v>
      </c>
      <c r="C213" t="s">
        <v>256</v>
      </c>
      <c r="D213" t="s">
        <v>398</v>
      </c>
      <c r="F213" t="s">
        <v>1281</v>
      </c>
      <c r="G213" t="s">
        <v>3471</v>
      </c>
      <c r="H213" t="s">
        <v>5819</v>
      </c>
      <c r="I213" t="s">
        <v>8141</v>
      </c>
      <c r="J213" t="s">
        <v>9059</v>
      </c>
      <c r="K213">
        <v>11208</v>
      </c>
      <c r="L213" t="s">
        <v>9094</v>
      </c>
      <c r="M213" t="s">
        <v>9095</v>
      </c>
      <c r="O213" t="s">
        <v>11128</v>
      </c>
      <c r="P213" t="s">
        <v>11165</v>
      </c>
      <c r="R213" t="s">
        <v>11180</v>
      </c>
      <c r="S213" t="s">
        <v>9094</v>
      </c>
      <c r="T213" t="s">
        <v>11183</v>
      </c>
      <c r="V213" t="s">
        <v>398</v>
      </c>
      <c r="W213">
        <v>0</v>
      </c>
      <c r="X213" t="s">
        <v>11332</v>
      </c>
      <c r="Y213" t="s">
        <v>11349</v>
      </c>
      <c r="Z213" t="s">
        <v>11516</v>
      </c>
      <c r="AC213">
        <v>5</v>
      </c>
      <c r="AD213" t="s">
        <v>19565</v>
      </c>
      <c r="AE213" t="s">
        <v>9144</v>
      </c>
      <c r="AF213">
        <v>5</v>
      </c>
      <c r="AG213">
        <v>1</v>
      </c>
      <c r="AH213">
        <v>0</v>
      </c>
      <c r="AI213">
        <v>0</v>
      </c>
      <c r="AL213" t="s">
        <v>19614</v>
      </c>
      <c r="AM213">
        <v>0</v>
      </c>
      <c r="AS213">
        <v>23.7</v>
      </c>
      <c r="AT213" t="s">
        <v>486</v>
      </c>
      <c r="AU213" t="s">
        <v>59</v>
      </c>
    </row>
    <row r="214" spans="1:48">
      <c r="A214" s="1">
        <f>HYPERLINK("https://lsnyc.legalserver.org/matter/dynamic-profile/view/1845274","17-1845274")</f>
        <v>0</v>
      </c>
      <c r="B214" t="s">
        <v>76</v>
      </c>
      <c r="C214" t="s">
        <v>257</v>
      </c>
      <c r="D214" t="s">
        <v>399</v>
      </c>
      <c r="E214" t="s">
        <v>328</v>
      </c>
      <c r="F214" t="s">
        <v>1282</v>
      </c>
      <c r="G214" t="s">
        <v>3427</v>
      </c>
      <c r="H214" t="s">
        <v>5820</v>
      </c>
      <c r="I214" t="s">
        <v>8198</v>
      </c>
      <c r="J214" t="s">
        <v>9059</v>
      </c>
      <c r="K214">
        <v>11208</v>
      </c>
      <c r="L214" t="s">
        <v>9094</v>
      </c>
      <c r="M214" t="s">
        <v>9095</v>
      </c>
      <c r="O214" t="s">
        <v>11130</v>
      </c>
      <c r="P214" t="s">
        <v>11165</v>
      </c>
      <c r="Q214" t="s">
        <v>11173</v>
      </c>
      <c r="R214" t="s">
        <v>11180</v>
      </c>
      <c r="S214" t="s">
        <v>9094</v>
      </c>
      <c r="T214" t="s">
        <v>11183</v>
      </c>
      <c r="V214" t="s">
        <v>11215</v>
      </c>
      <c r="W214">
        <v>0</v>
      </c>
      <c r="X214" t="s">
        <v>11332</v>
      </c>
      <c r="Y214" t="s">
        <v>11341</v>
      </c>
      <c r="Z214" t="s">
        <v>11517</v>
      </c>
      <c r="AC214">
        <v>16</v>
      </c>
      <c r="AD214" t="s">
        <v>19566</v>
      </c>
      <c r="AF214">
        <v>0</v>
      </c>
      <c r="AG214">
        <v>1</v>
      </c>
      <c r="AH214">
        <v>0</v>
      </c>
      <c r="AI214">
        <v>0</v>
      </c>
      <c r="AL214" t="s">
        <v>19614</v>
      </c>
      <c r="AM214">
        <v>0</v>
      </c>
      <c r="AS214">
        <v>1.63</v>
      </c>
      <c r="AT214" t="s">
        <v>606</v>
      </c>
      <c r="AU214" t="s">
        <v>95</v>
      </c>
    </row>
    <row r="215" spans="1:48">
      <c r="A215" s="1">
        <f>HYPERLINK("https://lsnyc.legalserver.org/matter/dynamic-profile/view/1870497","18-1870497")</f>
        <v>0</v>
      </c>
      <c r="B215" t="s">
        <v>96</v>
      </c>
      <c r="C215" t="s">
        <v>256</v>
      </c>
      <c r="D215" t="s">
        <v>400</v>
      </c>
      <c r="F215" t="s">
        <v>1283</v>
      </c>
      <c r="G215" t="s">
        <v>3472</v>
      </c>
      <c r="H215" t="s">
        <v>5821</v>
      </c>
      <c r="I215" t="s">
        <v>8199</v>
      </c>
      <c r="J215" t="s">
        <v>9059</v>
      </c>
      <c r="K215">
        <v>11208</v>
      </c>
      <c r="L215" t="s">
        <v>9095</v>
      </c>
      <c r="M215" t="s">
        <v>9095</v>
      </c>
      <c r="N215" t="s">
        <v>9195</v>
      </c>
      <c r="O215" t="s">
        <v>11130</v>
      </c>
      <c r="R215" t="s">
        <v>11180</v>
      </c>
      <c r="T215" t="s">
        <v>11183</v>
      </c>
      <c r="W215">
        <v>800</v>
      </c>
      <c r="X215" t="s">
        <v>11332</v>
      </c>
      <c r="Z215" t="s">
        <v>11488</v>
      </c>
      <c r="AB215" t="s">
        <v>16016</v>
      </c>
      <c r="AC215">
        <v>8</v>
      </c>
      <c r="AD215" t="s">
        <v>19566</v>
      </c>
      <c r="AE215" t="s">
        <v>19582</v>
      </c>
      <c r="AF215">
        <v>0</v>
      </c>
      <c r="AG215">
        <v>1</v>
      </c>
      <c r="AH215">
        <v>0</v>
      </c>
      <c r="AI215">
        <v>0</v>
      </c>
      <c r="AL215" t="s">
        <v>19614</v>
      </c>
      <c r="AM215">
        <v>0</v>
      </c>
      <c r="AS215">
        <v>25.8</v>
      </c>
      <c r="AT215" t="s">
        <v>594</v>
      </c>
      <c r="AU215" t="s">
        <v>20626</v>
      </c>
    </row>
    <row r="216" spans="1:48">
      <c r="A216" s="1">
        <f>HYPERLINK("https://lsnyc.legalserver.org/matter/dynamic-profile/view/1870507","18-1870507")</f>
        <v>0</v>
      </c>
      <c r="B216" t="s">
        <v>96</v>
      </c>
      <c r="C216" t="s">
        <v>256</v>
      </c>
      <c r="D216" t="s">
        <v>400</v>
      </c>
      <c r="F216" t="s">
        <v>1143</v>
      </c>
      <c r="G216" t="s">
        <v>3473</v>
      </c>
      <c r="H216" t="s">
        <v>5821</v>
      </c>
      <c r="I216" t="s">
        <v>8181</v>
      </c>
      <c r="J216" t="s">
        <v>9059</v>
      </c>
      <c r="K216">
        <v>11208</v>
      </c>
      <c r="L216" t="s">
        <v>9095</v>
      </c>
      <c r="M216" t="s">
        <v>9095</v>
      </c>
      <c r="N216" t="s">
        <v>9195</v>
      </c>
      <c r="O216" t="s">
        <v>11130</v>
      </c>
      <c r="R216" t="s">
        <v>11180</v>
      </c>
      <c r="T216" t="s">
        <v>11183</v>
      </c>
      <c r="W216">
        <v>700</v>
      </c>
      <c r="X216" t="s">
        <v>11332</v>
      </c>
      <c r="Z216" t="s">
        <v>11518</v>
      </c>
      <c r="AB216" t="s">
        <v>16017</v>
      </c>
      <c r="AC216">
        <v>0</v>
      </c>
      <c r="AE216" t="s">
        <v>11157</v>
      </c>
      <c r="AF216">
        <v>2</v>
      </c>
      <c r="AG216">
        <v>1</v>
      </c>
      <c r="AH216">
        <v>0</v>
      </c>
      <c r="AI216">
        <v>0</v>
      </c>
      <c r="AL216" t="s">
        <v>19614</v>
      </c>
      <c r="AM216">
        <v>0</v>
      </c>
      <c r="AS216">
        <v>17.8</v>
      </c>
      <c r="AT216" t="s">
        <v>594</v>
      </c>
      <c r="AU216" t="s">
        <v>20626</v>
      </c>
    </row>
    <row r="217" spans="1:48">
      <c r="A217" s="1">
        <f>HYPERLINK("https://lsnyc.legalserver.org/matter/dynamic-profile/view/1906688","19-1906688")</f>
        <v>0</v>
      </c>
      <c r="B217" t="s">
        <v>79</v>
      </c>
      <c r="C217" t="s">
        <v>257</v>
      </c>
      <c r="D217" t="s">
        <v>333</v>
      </c>
      <c r="E217" t="s">
        <v>333</v>
      </c>
      <c r="F217" t="s">
        <v>1284</v>
      </c>
      <c r="G217" t="s">
        <v>3474</v>
      </c>
      <c r="H217" t="s">
        <v>5822</v>
      </c>
      <c r="J217" t="s">
        <v>9059</v>
      </c>
      <c r="K217">
        <v>11208</v>
      </c>
      <c r="L217" t="s">
        <v>9096</v>
      </c>
      <c r="M217" t="s">
        <v>9095</v>
      </c>
      <c r="N217" t="s">
        <v>9171</v>
      </c>
      <c r="O217" t="s">
        <v>9121</v>
      </c>
      <c r="P217" t="s">
        <v>11164</v>
      </c>
      <c r="Q217" t="s">
        <v>11172</v>
      </c>
      <c r="R217" t="s">
        <v>11180</v>
      </c>
      <c r="S217" t="s">
        <v>9096</v>
      </c>
      <c r="T217" t="s">
        <v>11183</v>
      </c>
      <c r="W217">
        <v>0</v>
      </c>
      <c r="X217" t="s">
        <v>11332</v>
      </c>
      <c r="Z217" t="s">
        <v>11519</v>
      </c>
      <c r="AC217">
        <v>2</v>
      </c>
      <c r="AD217" t="s">
        <v>19565</v>
      </c>
      <c r="AF217">
        <v>42</v>
      </c>
      <c r="AG217">
        <v>1</v>
      </c>
      <c r="AH217">
        <v>0</v>
      </c>
      <c r="AI217">
        <v>0</v>
      </c>
      <c r="AL217" t="s">
        <v>19614</v>
      </c>
      <c r="AM217">
        <v>0</v>
      </c>
      <c r="AN217" t="s">
        <v>19677</v>
      </c>
      <c r="AS217">
        <v>0.9</v>
      </c>
      <c r="AT217" t="s">
        <v>333</v>
      </c>
      <c r="AU217" t="s">
        <v>20627</v>
      </c>
      <c r="AV217" t="s">
        <v>9144</v>
      </c>
    </row>
    <row r="218" spans="1:48">
      <c r="A218" s="1">
        <f>HYPERLINK("https://lsnyc.legalserver.org/matter/dynamic-profile/view/1852535","17-1852535")</f>
        <v>0</v>
      </c>
      <c r="B218" t="s">
        <v>68</v>
      </c>
      <c r="C218" t="s">
        <v>257</v>
      </c>
      <c r="D218" t="s">
        <v>401</v>
      </c>
      <c r="E218" t="s">
        <v>621</v>
      </c>
      <c r="F218" t="s">
        <v>1285</v>
      </c>
      <c r="G218" t="s">
        <v>3475</v>
      </c>
      <c r="H218" t="s">
        <v>5823</v>
      </c>
      <c r="J218" t="s">
        <v>9059</v>
      </c>
      <c r="K218">
        <v>11208</v>
      </c>
      <c r="L218" t="s">
        <v>9094</v>
      </c>
      <c r="M218" t="s">
        <v>9094</v>
      </c>
      <c r="N218" t="s">
        <v>9196</v>
      </c>
      <c r="O218" t="s">
        <v>11129</v>
      </c>
      <c r="P218" t="s">
        <v>11165</v>
      </c>
      <c r="Q218" t="s">
        <v>11174</v>
      </c>
      <c r="R218" t="s">
        <v>11180</v>
      </c>
      <c r="S218" t="s">
        <v>9094</v>
      </c>
      <c r="T218" t="s">
        <v>11183</v>
      </c>
      <c r="V218" t="s">
        <v>856</v>
      </c>
      <c r="W218">
        <v>1272</v>
      </c>
      <c r="X218" t="s">
        <v>11332</v>
      </c>
      <c r="Y218" t="s">
        <v>11340</v>
      </c>
      <c r="Z218" t="s">
        <v>11520</v>
      </c>
      <c r="AB218" t="s">
        <v>16018</v>
      </c>
      <c r="AC218">
        <v>19</v>
      </c>
      <c r="AD218" t="s">
        <v>19566</v>
      </c>
      <c r="AF218">
        <v>3</v>
      </c>
      <c r="AG218">
        <v>1</v>
      </c>
      <c r="AH218">
        <v>0</v>
      </c>
      <c r="AI218">
        <v>0</v>
      </c>
      <c r="AL218" t="s">
        <v>19614</v>
      </c>
      <c r="AM218">
        <v>0</v>
      </c>
      <c r="AS218">
        <v>34.45</v>
      </c>
      <c r="AT218" t="s">
        <v>367</v>
      </c>
      <c r="AU218" t="s">
        <v>20636</v>
      </c>
      <c r="AV218" t="s">
        <v>20733</v>
      </c>
    </row>
    <row r="219" spans="1:48">
      <c r="A219" s="1">
        <f>HYPERLINK("https://lsnyc.legalserver.org/matter/dynamic-profile/view/1887311","19-1887311")</f>
        <v>0</v>
      </c>
      <c r="B219" t="s">
        <v>73</v>
      </c>
      <c r="C219" t="s">
        <v>257</v>
      </c>
      <c r="D219" t="s">
        <v>402</v>
      </c>
      <c r="E219" t="s">
        <v>372</v>
      </c>
      <c r="F219" t="s">
        <v>1286</v>
      </c>
      <c r="G219" t="s">
        <v>3366</v>
      </c>
      <c r="H219" t="s">
        <v>5824</v>
      </c>
      <c r="I219" t="s">
        <v>8154</v>
      </c>
      <c r="J219" t="s">
        <v>9059</v>
      </c>
      <c r="K219">
        <v>11208</v>
      </c>
      <c r="L219" t="s">
        <v>9094</v>
      </c>
      <c r="M219" t="s">
        <v>9096</v>
      </c>
      <c r="N219" t="s">
        <v>9197</v>
      </c>
      <c r="O219" t="s">
        <v>11129</v>
      </c>
      <c r="P219" t="s">
        <v>11165</v>
      </c>
      <c r="Q219" t="s">
        <v>11174</v>
      </c>
      <c r="R219" t="s">
        <v>11180</v>
      </c>
      <c r="S219" t="s">
        <v>9096</v>
      </c>
      <c r="T219" t="s">
        <v>11183</v>
      </c>
      <c r="U219" t="s">
        <v>11201</v>
      </c>
      <c r="V219" t="s">
        <v>494</v>
      </c>
      <c r="W219">
        <v>300</v>
      </c>
      <c r="X219" t="s">
        <v>11332</v>
      </c>
      <c r="Y219" t="s">
        <v>11338</v>
      </c>
      <c r="Z219" t="s">
        <v>11521</v>
      </c>
      <c r="AA219" t="s">
        <v>9144</v>
      </c>
      <c r="AB219" t="s">
        <v>16019</v>
      </c>
      <c r="AC219">
        <v>4</v>
      </c>
      <c r="AD219" t="s">
        <v>19565</v>
      </c>
      <c r="AE219" t="s">
        <v>9144</v>
      </c>
      <c r="AF219">
        <v>2</v>
      </c>
      <c r="AG219">
        <v>1</v>
      </c>
      <c r="AH219">
        <v>0</v>
      </c>
      <c r="AI219">
        <v>0</v>
      </c>
      <c r="AL219" t="s">
        <v>19614</v>
      </c>
      <c r="AM219">
        <v>0</v>
      </c>
      <c r="AQ219" t="s">
        <v>20368</v>
      </c>
      <c r="AR219" t="s">
        <v>20382</v>
      </c>
      <c r="AS219">
        <v>62.5</v>
      </c>
      <c r="AT219" t="s">
        <v>750</v>
      </c>
      <c r="AU219" t="s">
        <v>20627</v>
      </c>
      <c r="AV219" t="s">
        <v>20733</v>
      </c>
    </row>
    <row r="220" spans="1:48">
      <c r="A220" s="1">
        <f>HYPERLINK("https://lsnyc.legalserver.org/matter/dynamic-profile/view/1903031","19-1903031")</f>
        <v>0</v>
      </c>
      <c r="B220" t="s">
        <v>71</v>
      </c>
      <c r="C220" t="s">
        <v>256</v>
      </c>
      <c r="D220" t="s">
        <v>403</v>
      </c>
      <c r="F220" t="s">
        <v>1287</v>
      </c>
      <c r="G220" t="s">
        <v>3476</v>
      </c>
      <c r="H220" t="s">
        <v>5825</v>
      </c>
      <c r="I220">
        <v>318</v>
      </c>
      <c r="J220" t="s">
        <v>9059</v>
      </c>
      <c r="K220">
        <v>11208</v>
      </c>
      <c r="L220" t="s">
        <v>9096</v>
      </c>
      <c r="M220" t="s">
        <v>9095</v>
      </c>
      <c r="N220" t="s">
        <v>9198</v>
      </c>
      <c r="O220" t="s">
        <v>11129</v>
      </c>
      <c r="P220" t="s">
        <v>11165</v>
      </c>
      <c r="R220" t="s">
        <v>11180</v>
      </c>
      <c r="S220" t="s">
        <v>9096</v>
      </c>
      <c r="T220" t="s">
        <v>11183</v>
      </c>
      <c r="W220">
        <v>1348</v>
      </c>
      <c r="X220" t="s">
        <v>11332</v>
      </c>
      <c r="Y220" t="s">
        <v>11340</v>
      </c>
      <c r="Z220" t="s">
        <v>11522</v>
      </c>
      <c r="AA220" t="s">
        <v>15301</v>
      </c>
      <c r="AB220" t="s">
        <v>16020</v>
      </c>
      <c r="AC220">
        <v>323</v>
      </c>
      <c r="AD220" t="s">
        <v>19566</v>
      </c>
      <c r="AE220" t="s">
        <v>19581</v>
      </c>
      <c r="AF220">
        <v>0</v>
      </c>
      <c r="AG220">
        <v>1</v>
      </c>
      <c r="AH220">
        <v>0</v>
      </c>
      <c r="AI220">
        <v>0</v>
      </c>
      <c r="AL220" t="s">
        <v>19614</v>
      </c>
      <c r="AM220">
        <v>0</v>
      </c>
      <c r="AS220">
        <v>3.1</v>
      </c>
      <c r="AT220" t="s">
        <v>728</v>
      </c>
      <c r="AU220" t="s">
        <v>79</v>
      </c>
      <c r="AV220" t="s">
        <v>20734</v>
      </c>
    </row>
    <row r="221" spans="1:48">
      <c r="A221" s="1">
        <f>HYPERLINK("https://lsnyc.legalserver.org/matter/dynamic-profile/view/1912118","19-1912118")</f>
        <v>0</v>
      </c>
      <c r="B221" t="s">
        <v>72</v>
      </c>
      <c r="C221" t="s">
        <v>256</v>
      </c>
      <c r="D221" t="s">
        <v>404</v>
      </c>
      <c r="F221" t="s">
        <v>1288</v>
      </c>
      <c r="G221" t="s">
        <v>3477</v>
      </c>
      <c r="H221" t="s">
        <v>5826</v>
      </c>
      <c r="I221" t="s">
        <v>8200</v>
      </c>
      <c r="J221" t="s">
        <v>9059</v>
      </c>
      <c r="K221">
        <v>11208</v>
      </c>
      <c r="L221" t="s">
        <v>9096</v>
      </c>
      <c r="M221" t="s">
        <v>9095</v>
      </c>
      <c r="N221" t="s">
        <v>9199</v>
      </c>
      <c r="O221" t="s">
        <v>11129</v>
      </c>
      <c r="P221" t="s">
        <v>11165</v>
      </c>
      <c r="R221" t="s">
        <v>11180</v>
      </c>
      <c r="S221" t="s">
        <v>9096</v>
      </c>
      <c r="T221" t="s">
        <v>11183</v>
      </c>
      <c r="V221" t="s">
        <v>1063</v>
      </c>
      <c r="W221">
        <v>895</v>
      </c>
      <c r="X221" t="s">
        <v>11332</v>
      </c>
      <c r="Y221" t="s">
        <v>11340</v>
      </c>
      <c r="Z221" t="s">
        <v>11523</v>
      </c>
      <c r="AA221" t="s">
        <v>15302</v>
      </c>
      <c r="AB221" t="s">
        <v>16021</v>
      </c>
      <c r="AC221">
        <v>319</v>
      </c>
      <c r="AD221" t="s">
        <v>19566</v>
      </c>
      <c r="AE221" t="s">
        <v>19581</v>
      </c>
      <c r="AF221">
        <v>4</v>
      </c>
      <c r="AG221">
        <v>1</v>
      </c>
      <c r="AH221">
        <v>2</v>
      </c>
      <c r="AI221">
        <v>0</v>
      </c>
      <c r="AL221" t="s">
        <v>19614</v>
      </c>
      <c r="AM221">
        <v>0</v>
      </c>
      <c r="AS221">
        <v>2</v>
      </c>
      <c r="AT221" t="s">
        <v>556</v>
      </c>
      <c r="AU221" t="s">
        <v>79</v>
      </c>
      <c r="AV221" t="s">
        <v>20734</v>
      </c>
    </row>
    <row r="222" spans="1:48">
      <c r="A222" s="1">
        <f>HYPERLINK("https://lsnyc.legalserver.org/matter/dynamic-profile/view/1912566","19-1912566")</f>
        <v>0</v>
      </c>
      <c r="B222" t="s">
        <v>71</v>
      </c>
      <c r="C222" t="s">
        <v>257</v>
      </c>
      <c r="D222" t="s">
        <v>263</v>
      </c>
      <c r="E222" t="s">
        <v>632</v>
      </c>
      <c r="F222" t="s">
        <v>1163</v>
      </c>
      <c r="G222" t="s">
        <v>3478</v>
      </c>
      <c r="H222" t="s">
        <v>5827</v>
      </c>
      <c r="I222">
        <v>2</v>
      </c>
      <c r="J222" t="s">
        <v>9059</v>
      </c>
      <c r="K222">
        <v>11208</v>
      </c>
      <c r="L222" t="s">
        <v>9096</v>
      </c>
      <c r="M222" t="s">
        <v>9095</v>
      </c>
      <c r="N222" t="s">
        <v>9200</v>
      </c>
      <c r="O222" t="s">
        <v>11129</v>
      </c>
      <c r="P222" t="s">
        <v>11164</v>
      </c>
      <c r="Q222" t="s">
        <v>11172</v>
      </c>
      <c r="R222" t="s">
        <v>11180</v>
      </c>
      <c r="S222" t="s">
        <v>9096</v>
      </c>
      <c r="T222" t="s">
        <v>11183</v>
      </c>
      <c r="W222">
        <v>2200</v>
      </c>
      <c r="X222" t="s">
        <v>11332</v>
      </c>
      <c r="Y222" t="s">
        <v>11157</v>
      </c>
      <c r="Z222" t="s">
        <v>11524</v>
      </c>
      <c r="AB222" t="s">
        <v>16022</v>
      </c>
      <c r="AC222">
        <v>3</v>
      </c>
      <c r="AD222" t="s">
        <v>19565</v>
      </c>
      <c r="AE222" t="s">
        <v>9144</v>
      </c>
      <c r="AF222">
        <v>3</v>
      </c>
      <c r="AG222">
        <v>1</v>
      </c>
      <c r="AH222">
        <v>0</v>
      </c>
      <c r="AI222">
        <v>0</v>
      </c>
      <c r="AL222" t="s">
        <v>19614</v>
      </c>
      <c r="AM222">
        <v>0</v>
      </c>
      <c r="AN222" t="s">
        <v>19678</v>
      </c>
      <c r="AS222">
        <v>0.2</v>
      </c>
      <c r="AT222" t="s">
        <v>632</v>
      </c>
      <c r="AU222" t="s">
        <v>79</v>
      </c>
      <c r="AV222" t="s">
        <v>20733</v>
      </c>
    </row>
    <row r="223" spans="1:48">
      <c r="A223" s="1">
        <f>HYPERLINK("https://lsnyc.legalserver.org/matter/dynamic-profile/view/1911798","19-1911798")</f>
        <v>0</v>
      </c>
      <c r="B223" t="s">
        <v>71</v>
      </c>
      <c r="C223" t="s">
        <v>257</v>
      </c>
      <c r="D223" t="s">
        <v>284</v>
      </c>
      <c r="E223" t="s">
        <v>284</v>
      </c>
      <c r="F223" t="s">
        <v>1289</v>
      </c>
      <c r="G223" t="s">
        <v>1538</v>
      </c>
      <c r="H223" t="s">
        <v>5828</v>
      </c>
      <c r="J223" t="s">
        <v>9059</v>
      </c>
      <c r="K223">
        <v>11208</v>
      </c>
      <c r="L223" t="s">
        <v>9094</v>
      </c>
      <c r="M223" t="s">
        <v>9095</v>
      </c>
      <c r="O223" t="s">
        <v>11142</v>
      </c>
      <c r="P223" t="s">
        <v>11164</v>
      </c>
      <c r="Q223" t="s">
        <v>11172</v>
      </c>
      <c r="R223" t="s">
        <v>11180</v>
      </c>
      <c r="S223" t="s">
        <v>9096</v>
      </c>
      <c r="T223" t="s">
        <v>11183</v>
      </c>
      <c r="V223" t="s">
        <v>341</v>
      </c>
      <c r="W223">
        <v>0</v>
      </c>
      <c r="X223" t="s">
        <v>11332</v>
      </c>
      <c r="Y223" t="s">
        <v>11346</v>
      </c>
      <c r="Z223" t="s">
        <v>11525</v>
      </c>
      <c r="AC223">
        <v>6</v>
      </c>
      <c r="AF223">
        <v>0</v>
      </c>
      <c r="AG223">
        <v>1</v>
      </c>
      <c r="AH223">
        <v>3</v>
      </c>
      <c r="AI223">
        <v>0</v>
      </c>
      <c r="AL223" t="s">
        <v>19614</v>
      </c>
      <c r="AM223">
        <v>0</v>
      </c>
      <c r="AS223">
        <v>0.2</v>
      </c>
      <c r="AT223" t="s">
        <v>284</v>
      </c>
      <c r="AU223" t="s">
        <v>95</v>
      </c>
      <c r="AV223" t="s">
        <v>20733</v>
      </c>
    </row>
    <row r="224" spans="1:48">
      <c r="A224" s="1">
        <f>HYPERLINK("https://lsnyc.legalserver.org/matter/dynamic-profile/view/1839479","17-1839479")</f>
        <v>0</v>
      </c>
      <c r="B224" t="s">
        <v>92</v>
      </c>
      <c r="C224" t="s">
        <v>256</v>
      </c>
      <c r="D224" t="s">
        <v>405</v>
      </c>
      <c r="F224" t="s">
        <v>1290</v>
      </c>
      <c r="G224" t="s">
        <v>3479</v>
      </c>
      <c r="H224" t="s">
        <v>5829</v>
      </c>
      <c r="I224">
        <v>5</v>
      </c>
      <c r="J224" t="s">
        <v>9059</v>
      </c>
      <c r="K224">
        <v>11207</v>
      </c>
      <c r="L224" t="s">
        <v>9094</v>
      </c>
      <c r="M224" t="s">
        <v>9095</v>
      </c>
      <c r="O224" t="s">
        <v>11132</v>
      </c>
      <c r="P224" t="s">
        <v>11165</v>
      </c>
      <c r="R224" t="s">
        <v>11180</v>
      </c>
      <c r="S224" t="s">
        <v>9094</v>
      </c>
      <c r="T224" t="s">
        <v>11183</v>
      </c>
      <c r="V224" t="s">
        <v>722</v>
      </c>
      <c r="W224">
        <v>500</v>
      </c>
      <c r="X224" t="s">
        <v>11332</v>
      </c>
      <c r="Z224" t="s">
        <v>11526</v>
      </c>
      <c r="AB224" t="s">
        <v>16023</v>
      </c>
      <c r="AC224">
        <v>7</v>
      </c>
      <c r="AD224" t="s">
        <v>19565</v>
      </c>
      <c r="AF224">
        <v>46</v>
      </c>
      <c r="AG224">
        <v>3</v>
      </c>
      <c r="AH224">
        <v>0</v>
      </c>
      <c r="AI224">
        <v>0</v>
      </c>
      <c r="AL224" t="s">
        <v>19614</v>
      </c>
      <c r="AM224">
        <v>0</v>
      </c>
      <c r="AS224">
        <v>179.9</v>
      </c>
      <c r="AT224" t="s">
        <v>331</v>
      </c>
      <c r="AU224" t="s">
        <v>20636</v>
      </c>
    </row>
    <row r="225" spans="1:48">
      <c r="A225" s="1">
        <f>HYPERLINK("https://lsnyc.legalserver.org/matter/dynamic-profile/view/1838614","17-1838614")</f>
        <v>0</v>
      </c>
      <c r="B225" t="s">
        <v>93</v>
      </c>
      <c r="C225" t="s">
        <v>256</v>
      </c>
      <c r="D225" t="s">
        <v>406</v>
      </c>
      <c r="F225" t="s">
        <v>1291</v>
      </c>
      <c r="G225" t="s">
        <v>3480</v>
      </c>
      <c r="H225" t="s">
        <v>5830</v>
      </c>
      <c r="J225" t="s">
        <v>9059</v>
      </c>
      <c r="K225">
        <v>11207</v>
      </c>
      <c r="L225" t="s">
        <v>9094</v>
      </c>
      <c r="M225" t="s">
        <v>9094</v>
      </c>
      <c r="N225" t="s">
        <v>9201</v>
      </c>
      <c r="O225" t="s">
        <v>11128</v>
      </c>
      <c r="P225" t="s">
        <v>11165</v>
      </c>
      <c r="R225" t="s">
        <v>11180</v>
      </c>
      <c r="S225" t="s">
        <v>9094</v>
      </c>
      <c r="T225" t="s">
        <v>11183</v>
      </c>
      <c r="V225" t="s">
        <v>11216</v>
      </c>
      <c r="W225">
        <v>600</v>
      </c>
      <c r="X225" t="s">
        <v>11332</v>
      </c>
      <c r="Z225" t="s">
        <v>11527</v>
      </c>
      <c r="AB225" t="s">
        <v>16024</v>
      </c>
      <c r="AC225">
        <v>7</v>
      </c>
      <c r="AD225" t="s">
        <v>19565</v>
      </c>
      <c r="AF225">
        <v>0</v>
      </c>
      <c r="AG225">
        <v>1</v>
      </c>
      <c r="AH225">
        <v>0</v>
      </c>
      <c r="AI225">
        <v>0</v>
      </c>
      <c r="AL225" t="s">
        <v>19614</v>
      </c>
      <c r="AM225">
        <v>0</v>
      </c>
      <c r="AN225" t="s">
        <v>19679</v>
      </c>
      <c r="AS225">
        <v>40.4</v>
      </c>
      <c r="AT225" t="s">
        <v>482</v>
      </c>
      <c r="AU225" t="s">
        <v>93</v>
      </c>
      <c r="AV225" t="s">
        <v>20733</v>
      </c>
    </row>
    <row r="226" spans="1:48">
      <c r="A226" s="1">
        <f>HYPERLINK("https://lsnyc.legalserver.org/matter/dynamic-profile/view/1883185","18-1883185")</f>
        <v>0</v>
      </c>
      <c r="B226" t="s">
        <v>71</v>
      </c>
      <c r="C226" t="s">
        <v>257</v>
      </c>
      <c r="D226" t="s">
        <v>407</v>
      </c>
      <c r="E226" t="s">
        <v>457</v>
      </c>
      <c r="F226" t="s">
        <v>1173</v>
      </c>
      <c r="G226" t="s">
        <v>3481</v>
      </c>
      <c r="H226" t="s">
        <v>5831</v>
      </c>
      <c r="I226" t="s">
        <v>8201</v>
      </c>
      <c r="J226" t="s">
        <v>9059</v>
      </c>
      <c r="K226">
        <v>11207</v>
      </c>
      <c r="L226" t="s">
        <v>9094</v>
      </c>
      <c r="M226" t="s">
        <v>9094</v>
      </c>
      <c r="N226" t="s">
        <v>9202</v>
      </c>
      <c r="O226" t="s">
        <v>11128</v>
      </c>
      <c r="P226" t="s">
        <v>11165</v>
      </c>
      <c r="Q226" t="s">
        <v>11174</v>
      </c>
      <c r="R226" t="s">
        <v>11180</v>
      </c>
      <c r="S226" t="s">
        <v>9096</v>
      </c>
      <c r="T226" t="s">
        <v>11183</v>
      </c>
      <c r="V226" t="s">
        <v>407</v>
      </c>
      <c r="W226">
        <v>500</v>
      </c>
      <c r="X226" t="s">
        <v>11332</v>
      </c>
      <c r="Y226" t="s">
        <v>11345</v>
      </c>
      <c r="Z226" t="s">
        <v>11528</v>
      </c>
      <c r="AB226" t="s">
        <v>16025</v>
      </c>
      <c r="AC226">
        <v>4</v>
      </c>
      <c r="AD226" t="s">
        <v>19565</v>
      </c>
      <c r="AE226" t="s">
        <v>9144</v>
      </c>
      <c r="AF226">
        <v>1</v>
      </c>
      <c r="AG226">
        <v>1</v>
      </c>
      <c r="AH226">
        <v>0</v>
      </c>
      <c r="AI226">
        <v>0</v>
      </c>
      <c r="AL226" t="s">
        <v>19614</v>
      </c>
      <c r="AM226">
        <v>0</v>
      </c>
      <c r="AN226" t="s">
        <v>19680</v>
      </c>
      <c r="AS226">
        <v>24.4</v>
      </c>
      <c r="AT226" t="s">
        <v>694</v>
      </c>
      <c r="AU226" t="s">
        <v>79</v>
      </c>
    </row>
    <row r="227" spans="1:48">
      <c r="A227" s="1">
        <f>HYPERLINK("https://lsnyc.legalserver.org/matter/dynamic-profile/view/1907956","19-1907956")</f>
        <v>0</v>
      </c>
      <c r="B227" t="s">
        <v>73</v>
      </c>
      <c r="C227" t="s">
        <v>256</v>
      </c>
      <c r="D227" t="s">
        <v>288</v>
      </c>
      <c r="F227" t="s">
        <v>1292</v>
      </c>
      <c r="G227" t="s">
        <v>3482</v>
      </c>
      <c r="H227" t="s">
        <v>5832</v>
      </c>
      <c r="I227" t="s">
        <v>8107</v>
      </c>
      <c r="J227" t="s">
        <v>9059</v>
      </c>
      <c r="K227">
        <v>11207</v>
      </c>
      <c r="L227" t="s">
        <v>9094</v>
      </c>
      <c r="M227" t="s">
        <v>9095</v>
      </c>
      <c r="N227" t="s">
        <v>9203</v>
      </c>
      <c r="O227" t="s">
        <v>11128</v>
      </c>
      <c r="P227" t="s">
        <v>11165</v>
      </c>
      <c r="R227" t="s">
        <v>11180</v>
      </c>
      <c r="S227" t="s">
        <v>9096</v>
      </c>
      <c r="T227" t="s">
        <v>11183</v>
      </c>
      <c r="U227" t="s">
        <v>11201</v>
      </c>
      <c r="V227" t="s">
        <v>288</v>
      </c>
      <c r="W227">
        <v>1000</v>
      </c>
      <c r="X227" t="s">
        <v>11332</v>
      </c>
      <c r="Y227" t="s">
        <v>11338</v>
      </c>
      <c r="Z227" t="s">
        <v>11529</v>
      </c>
      <c r="AA227" t="s">
        <v>15285</v>
      </c>
      <c r="AB227" t="s">
        <v>16026</v>
      </c>
      <c r="AC227">
        <v>3</v>
      </c>
      <c r="AD227" t="s">
        <v>19565</v>
      </c>
      <c r="AE227" t="s">
        <v>9144</v>
      </c>
      <c r="AF227">
        <v>2</v>
      </c>
      <c r="AG227">
        <v>2</v>
      </c>
      <c r="AH227">
        <v>0</v>
      </c>
      <c r="AI227">
        <v>0</v>
      </c>
      <c r="AL227" t="s">
        <v>19614</v>
      </c>
      <c r="AM227">
        <v>0</v>
      </c>
      <c r="AS227">
        <v>25</v>
      </c>
      <c r="AT227" t="s">
        <v>292</v>
      </c>
      <c r="AU227" t="s">
        <v>79</v>
      </c>
      <c r="AV227" t="s">
        <v>20733</v>
      </c>
    </row>
    <row r="228" spans="1:48">
      <c r="A228" s="1">
        <f>HYPERLINK("https://lsnyc.legalserver.org/matter/dynamic-profile/view/1908687","19-1908687")</f>
        <v>0</v>
      </c>
      <c r="B228" t="s">
        <v>79</v>
      </c>
      <c r="C228" t="s">
        <v>257</v>
      </c>
      <c r="D228" t="s">
        <v>326</v>
      </c>
      <c r="E228" t="s">
        <v>664</v>
      </c>
      <c r="F228" t="s">
        <v>1293</v>
      </c>
      <c r="G228" t="s">
        <v>3483</v>
      </c>
      <c r="H228" t="s">
        <v>5833</v>
      </c>
      <c r="I228" t="s">
        <v>8119</v>
      </c>
      <c r="J228" t="s">
        <v>9059</v>
      </c>
      <c r="K228">
        <v>11207</v>
      </c>
      <c r="L228" t="s">
        <v>9096</v>
      </c>
      <c r="M228" t="s">
        <v>9095</v>
      </c>
      <c r="N228" t="s">
        <v>9204</v>
      </c>
      <c r="O228" t="s">
        <v>11128</v>
      </c>
      <c r="P228" t="s">
        <v>11164</v>
      </c>
      <c r="Q228" t="s">
        <v>11172</v>
      </c>
      <c r="R228" t="s">
        <v>11180</v>
      </c>
      <c r="S228" t="s">
        <v>9096</v>
      </c>
      <c r="T228" t="s">
        <v>11183</v>
      </c>
      <c r="W228">
        <v>1515</v>
      </c>
      <c r="X228" t="s">
        <v>11332</v>
      </c>
      <c r="Y228" t="s">
        <v>11338</v>
      </c>
      <c r="Z228" t="s">
        <v>11530</v>
      </c>
      <c r="AB228" t="s">
        <v>16027</v>
      </c>
      <c r="AC228">
        <v>3</v>
      </c>
      <c r="AE228" t="s">
        <v>19586</v>
      </c>
      <c r="AF228">
        <v>3</v>
      </c>
      <c r="AG228">
        <v>2</v>
      </c>
      <c r="AH228">
        <v>4</v>
      </c>
      <c r="AI228">
        <v>0</v>
      </c>
      <c r="AL228" t="s">
        <v>19614</v>
      </c>
      <c r="AM228">
        <v>0</v>
      </c>
      <c r="AN228" t="s">
        <v>19681</v>
      </c>
      <c r="AS228">
        <v>1</v>
      </c>
      <c r="AT228" t="s">
        <v>326</v>
      </c>
      <c r="AU228" t="s">
        <v>20639</v>
      </c>
      <c r="AV228" t="s">
        <v>9144</v>
      </c>
    </row>
    <row r="229" spans="1:48">
      <c r="A229" s="1">
        <f>HYPERLINK("https://lsnyc.legalserver.org/matter/dynamic-profile/view/1905490","19-1905490")</f>
        <v>0</v>
      </c>
      <c r="B229" t="s">
        <v>79</v>
      </c>
      <c r="C229" t="s">
        <v>257</v>
      </c>
      <c r="D229" t="s">
        <v>408</v>
      </c>
      <c r="E229" t="s">
        <v>396</v>
      </c>
      <c r="F229" t="s">
        <v>1294</v>
      </c>
      <c r="G229" t="s">
        <v>3448</v>
      </c>
      <c r="H229" t="s">
        <v>5834</v>
      </c>
      <c r="I229">
        <v>2</v>
      </c>
      <c r="J229" t="s">
        <v>9059</v>
      </c>
      <c r="K229">
        <v>11207</v>
      </c>
      <c r="L229" t="s">
        <v>9096</v>
      </c>
      <c r="M229" t="s">
        <v>9095</v>
      </c>
      <c r="N229" t="s">
        <v>9144</v>
      </c>
      <c r="O229" t="s">
        <v>9121</v>
      </c>
      <c r="P229" t="s">
        <v>11164</v>
      </c>
      <c r="Q229" t="s">
        <v>11172</v>
      </c>
      <c r="R229" t="s">
        <v>11180</v>
      </c>
      <c r="S229" t="s">
        <v>9096</v>
      </c>
      <c r="T229" t="s">
        <v>11183</v>
      </c>
      <c r="W229">
        <v>0</v>
      </c>
      <c r="X229" t="s">
        <v>11332</v>
      </c>
      <c r="Y229" t="s">
        <v>11157</v>
      </c>
      <c r="Z229" t="s">
        <v>11531</v>
      </c>
      <c r="AB229" t="s">
        <v>16028</v>
      </c>
      <c r="AC229">
        <v>16</v>
      </c>
      <c r="AD229" t="s">
        <v>19566</v>
      </c>
      <c r="AE229" t="s">
        <v>9144</v>
      </c>
      <c r="AF229">
        <v>1</v>
      </c>
      <c r="AG229">
        <v>1</v>
      </c>
      <c r="AH229">
        <v>0</v>
      </c>
      <c r="AI229">
        <v>0</v>
      </c>
      <c r="AL229" t="s">
        <v>19615</v>
      </c>
      <c r="AM229">
        <v>0</v>
      </c>
      <c r="AN229" t="s">
        <v>19682</v>
      </c>
      <c r="AS229">
        <v>1</v>
      </c>
      <c r="AT229" t="s">
        <v>408</v>
      </c>
      <c r="AU229" t="s">
        <v>20640</v>
      </c>
      <c r="AV229" t="s">
        <v>9144</v>
      </c>
    </row>
    <row r="230" spans="1:48">
      <c r="A230" s="1">
        <f>HYPERLINK("https://lsnyc.legalserver.org/matter/dynamic-profile/view/1848024","17-1848024")</f>
        <v>0</v>
      </c>
      <c r="B230" t="s">
        <v>92</v>
      </c>
      <c r="C230" t="s">
        <v>256</v>
      </c>
      <c r="D230" t="s">
        <v>409</v>
      </c>
      <c r="F230" t="s">
        <v>1290</v>
      </c>
      <c r="G230" t="s">
        <v>3479</v>
      </c>
      <c r="H230" t="s">
        <v>5829</v>
      </c>
      <c r="I230">
        <v>5</v>
      </c>
      <c r="J230" t="s">
        <v>9059</v>
      </c>
      <c r="K230">
        <v>11207</v>
      </c>
      <c r="L230" t="s">
        <v>9094</v>
      </c>
      <c r="M230" t="s">
        <v>9095</v>
      </c>
      <c r="O230" t="s">
        <v>11137</v>
      </c>
      <c r="P230" t="s">
        <v>11167</v>
      </c>
      <c r="R230" t="s">
        <v>11180</v>
      </c>
      <c r="S230" t="s">
        <v>9094</v>
      </c>
      <c r="T230" t="s">
        <v>11183</v>
      </c>
      <c r="V230" t="s">
        <v>799</v>
      </c>
      <c r="W230">
        <v>500</v>
      </c>
      <c r="X230" t="s">
        <v>11332</v>
      </c>
      <c r="Y230" t="s">
        <v>11341</v>
      </c>
      <c r="Z230" t="s">
        <v>11532</v>
      </c>
      <c r="AC230">
        <v>7</v>
      </c>
      <c r="AD230" t="s">
        <v>19565</v>
      </c>
      <c r="AE230" t="s">
        <v>9144</v>
      </c>
      <c r="AF230">
        <v>0</v>
      </c>
      <c r="AG230">
        <v>3</v>
      </c>
      <c r="AH230">
        <v>0</v>
      </c>
      <c r="AI230">
        <v>0</v>
      </c>
      <c r="AM230">
        <v>0</v>
      </c>
      <c r="AS230">
        <v>0.7</v>
      </c>
      <c r="AT230" t="s">
        <v>270</v>
      </c>
      <c r="AU230" t="s">
        <v>95</v>
      </c>
    </row>
    <row r="231" spans="1:48">
      <c r="A231" s="1">
        <f>HYPERLINK("https://lsnyc.legalserver.org/matter/dynamic-profile/view/1889277","19-1889277")</f>
        <v>0</v>
      </c>
      <c r="B231" t="s">
        <v>72</v>
      </c>
      <c r="C231" t="s">
        <v>256</v>
      </c>
      <c r="D231" t="s">
        <v>348</v>
      </c>
      <c r="F231" t="s">
        <v>1295</v>
      </c>
      <c r="G231" t="s">
        <v>1248</v>
      </c>
      <c r="H231" t="s">
        <v>5835</v>
      </c>
      <c r="I231">
        <v>3</v>
      </c>
      <c r="J231" t="s">
        <v>9059</v>
      </c>
      <c r="K231">
        <v>11207</v>
      </c>
      <c r="L231" t="s">
        <v>9096</v>
      </c>
      <c r="M231" t="s">
        <v>9096</v>
      </c>
      <c r="N231" t="s">
        <v>9205</v>
      </c>
      <c r="O231" t="s">
        <v>11129</v>
      </c>
      <c r="P231" t="s">
        <v>11164</v>
      </c>
      <c r="R231" t="s">
        <v>11180</v>
      </c>
      <c r="S231" t="s">
        <v>9096</v>
      </c>
      <c r="T231" t="s">
        <v>11183</v>
      </c>
      <c r="W231">
        <v>2600</v>
      </c>
      <c r="X231" t="s">
        <v>11332</v>
      </c>
      <c r="Y231" t="s">
        <v>11157</v>
      </c>
      <c r="Z231" t="s">
        <v>11533</v>
      </c>
      <c r="AB231" t="s">
        <v>16029</v>
      </c>
      <c r="AC231">
        <v>3</v>
      </c>
      <c r="AD231" t="s">
        <v>19565</v>
      </c>
      <c r="AE231" t="s">
        <v>9144</v>
      </c>
      <c r="AF231">
        <v>0</v>
      </c>
      <c r="AG231">
        <v>1</v>
      </c>
      <c r="AH231">
        <v>1</v>
      </c>
      <c r="AI231">
        <v>0</v>
      </c>
      <c r="AL231" t="s">
        <v>19614</v>
      </c>
      <c r="AM231">
        <v>0</v>
      </c>
      <c r="AS231">
        <v>2.25</v>
      </c>
      <c r="AT231" t="s">
        <v>311</v>
      </c>
      <c r="AU231" t="s">
        <v>20619</v>
      </c>
    </row>
    <row r="232" spans="1:48">
      <c r="A232" s="1">
        <f>HYPERLINK("https://lsnyc.legalserver.org/matter/dynamic-profile/view/1896403","19-1896403")</f>
        <v>0</v>
      </c>
      <c r="B232" t="s">
        <v>64</v>
      </c>
      <c r="C232" t="s">
        <v>257</v>
      </c>
      <c r="D232" t="s">
        <v>350</v>
      </c>
      <c r="E232" t="s">
        <v>367</v>
      </c>
      <c r="F232" t="s">
        <v>1296</v>
      </c>
      <c r="G232" t="s">
        <v>3484</v>
      </c>
      <c r="H232" t="s">
        <v>5836</v>
      </c>
      <c r="I232" t="s">
        <v>8202</v>
      </c>
      <c r="J232" t="s">
        <v>9059</v>
      </c>
      <c r="K232">
        <v>11207</v>
      </c>
      <c r="L232" t="s">
        <v>9094</v>
      </c>
      <c r="M232" t="s">
        <v>9094</v>
      </c>
      <c r="N232" t="s">
        <v>9206</v>
      </c>
      <c r="O232" t="s">
        <v>11129</v>
      </c>
      <c r="P232" t="s">
        <v>11165</v>
      </c>
      <c r="Q232" t="s">
        <v>11174</v>
      </c>
      <c r="R232" t="s">
        <v>11180</v>
      </c>
      <c r="S232" t="s">
        <v>9096</v>
      </c>
      <c r="T232" t="s">
        <v>11183</v>
      </c>
      <c r="U232" t="s">
        <v>11201</v>
      </c>
      <c r="V232" t="s">
        <v>453</v>
      </c>
      <c r="W232">
        <v>1699</v>
      </c>
      <c r="X232" t="s">
        <v>11332</v>
      </c>
      <c r="Y232" t="s">
        <v>11345</v>
      </c>
      <c r="Z232" t="s">
        <v>11534</v>
      </c>
      <c r="AB232" t="s">
        <v>16030</v>
      </c>
      <c r="AC232">
        <v>168</v>
      </c>
      <c r="AD232" t="s">
        <v>19571</v>
      </c>
      <c r="AE232" t="s">
        <v>19584</v>
      </c>
      <c r="AF232">
        <v>23</v>
      </c>
      <c r="AG232">
        <v>1</v>
      </c>
      <c r="AH232">
        <v>0</v>
      </c>
      <c r="AI232">
        <v>0</v>
      </c>
      <c r="AL232" t="s">
        <v>19614</v>
      </c>
      <c r="AM232">
        <v>0</v>
      </c>
      <c r="AP232" t="s">
        <v>20309</v>
      </c>
      <c r="AQ232" t="s">
        <v>20369</v>
      </c>
      <c r="AR232" t="s">
        <v>20382</v>
      </c>
      <c r="AS232">
        <v>11.6</v>
      </c>
      <c r="AT232" t="s">
        <v>367</v>
      </c>
      <c r="AU232" t="s">
        <v>20632</v>
      </c>
      <c r="AV232" t="s">
        <v>20733</v>
      </c>
    </row>
    <row r="233" spans="1:48">
      <c r="A233" s="1">
        <f>HYPERLINK("https://lsnyc.legalserver.org/matter/dynamic-profile/view/1899962","19-1899962")</f>
        <v>0</v>
      </c>
      <c r="B233" t="s">
        <v>64</v>
      </c>
      <c r="C233" t="s">
        <v>257</v>
      </c>
      <c r="D233" t="s">
        <v>293</v>
      </c>
      <c r="E233" t="s">
        <v>483</v>
      </c>
      <c r="F233" t="s">
        <v>1297</v>
      </c>
      <c r="G233" t="s">
        <v>3485</v>
      </c>
      <c r="H233" t="s">
        <v>5837</v>
      </c>
      <c r="I233">
        <v>413</v>
      </c>
      <c r="J233" t="s">
        <v>9059</v>
      </c>
      <c r="K233">
        <v>11207</v>
      </c>
      <c r="L233" t="s">
        <v>9094</v>
      </c>
      <c r="M233" t="s">
        <v>9095</v>
      </c>
      <c r="N233" t="s">
        <v>9207</v>
      </c>
      <c r="O233" t="s">
        <v>11129</v>
      </c>
      <c r="P233" t="s">
        <v>11165</v>
      </c>
      <c r="Q233" t="s">
        <v>11174</v>
      </c>
      <c r="R233" t="s">
        <v>11180</v>
      </c>
      <c r="S233" t="s">
        <v>9096</v>
      </c>
      <c r="T233" t="s">
        <v>11183</v>
      </c>
      <c r="U233" t="s">
        <v>11201</v>
      </c>
      <c r="V233" t="s">
        <v>394</v>
      </c>
      <c r="W233">
        <v>906</v>
      </c>
      <c r="X233" t="s">
        <v>11332</v>
      </c>
      <c r="Z233" t="s">
        <v>11535</v>
      </c>
      <c r="AB233" t="s">
        <v>16031</v>
      </c>
      <c r="AC233">
        <v>98</v>
      </c>
      <c r="AF233">
        <v>8</v>
      </c>
      <c r="AG233">
        <v>1</v>
      </c>
      <c r="AH233">
        <v>0</v>
      </c>
      <c r="AI233">
        <v>0</v>
      </c>
      <c r="AL233" t="s">
        <v>19614</v>
      </c>
      <c r="AM233">
        <v>0</v>
      </c>
      <c r="AS233">
        <v>20.4</v>
      </c>
      <c r="AT233" t="s">
        <v>307</v>
      </c>
      <c r="AU233" t="s">
        <v>79</v>
      </c>
      <c r="AV233" t="s">
        <v>20733</v>
      </c>
    </row>
    <row r="234" spans="1:48">
      <c r="A234" s="1">
        <f>HYPERLINK("https://lsnyc.legalserver.org/matter/dynamic-profile/view/1908579","19-1908579")</f>
        <v>0</v>
      </c>
      <c r="B234" t="s">
        <v>72</v>
      </c>
      <c r="C234" t="s">
        <v>256</v>
      </c>
      <c r="D234" t="s">
        <v>410</v>
      </c>
      <c r="F234" t="s">
        <v>1298</v>
      </c>
      <c r="G234" t="s">
        <v>3486</v>
      </c>
      <c r="H234" t="s">
        <v>5838</v>
      </c>
      <c r="I234" t="s">
        <v>8203</v>
      </c>
      <c r="J234" t="s">
        <v>9059</v>
      </c>
      <c r="K234">
        <v>11207</v>
      </c>
      <c r="L234" t="s">
        <v>9094</v>
      </c>
      <c r="M234" t="s">
        <v>9095</v>
      </c>
      <c r="N234" t="s">
        <v>9208</v>
      </c>
      <c r="O234" t="s">
        <v>11129</v>
      </c>
      <c r="P234" t="s">
        <v>11169</v>
      </c>
      <c r="R234" t="s">
        <v>11180</v>
      </c>
      <c r="T234" t="s">
        <v>11183</v>
      </c>
      <c r="W234">
        <v>710</v>
      </c>
      <c r="X234" t="s">
        <v>11332</v>
      </c>
      <c r="Y234" t="s">
        <v>11336</v>
      </c>
      <c r="Z234" t="s">
        <v>11536</v>
      </c>
      <c r="AB234" t="s">
        <v>16032</v>
      </c>
      <c r="AC234">
        <v>0</v>
      </c>
      <c r="AF234">
        <v>0</v>
      </c>
      <c r="AG234">
        <v>1</v>
      </c>
      <c r="AH234">
        <v>0</v>
      </c>
      <c r="AI234">
        <v>0</v>
      </c>
      <c r="AL234" t="s">
        <v>19614</v>
      </c>
      <c r="AM234">
        <v>0</v>
      </c>
      <c r="AS234">
        <v>1.5</v>
      </c>
      <c r="AT234" t="s">
        <v>481</v>
      </c>
      <c r="AU234" t="s">
        <v>20626</v>
      </c>
      <c r="AV234" t="s">
        <v>20733</v>
      </c>
    </row>
    <row r="235" spans="1:48">
      <c r="A235" s="1">
        <f>HYPERLINK("https://lsnyc.legalserver.org/matter/dynamic-profile/view/1899905","19-1899905")</f>
        <v>0</v>
      </c>
      <c r="B235" t="s">
        <v>69</v>
      </c>
      <c r="C235" t="s">
        <v>257</v>
      </c>
      <c r="D235" t="s">
        <v>411</v>
      </c>
      <c r="E235" t="s">
        <v>395</v>
      </c>
      <c r="F235" t="s">
        <v>1296</v>
      </c>
      <c r="G235" t="s">
        <v>3484</v>
      </c>
      <c r="H235" t="s">
        <v>5836</v>
      </c>
      <c r="I235" t="s">
        <v>8202</v>
      </c>
      <c r="J235" t="s">
        <v>9059</v>
      </c>
      <c r="K235">
        <v>11207</v>
      </c>
      <c r="L235" t="s">
        <v>9094</v>
      </c>
      <c r="M235" t="s">
        <v>9095</v>
      </c>
      <c r="N235" t="s">
        <v>9206</v>
      </c>
      <c r="O235" t="s">
        <v>11139</v>
      </c>
      <c r="P235" t="s">
        <v>11167</v>
      </c>
      <c r="Q235" t="s">
        <v>11173</v>
      </c>
      <c r="R235" t="s">
        <v>11180</v>
      </c>
      <c r="S235" t="s">
        <v>9096</v>
      </c>
      <c r="T235" t="s">
        <v>11184</v>
      </c>
      <c r="U235" t="s">
        <v>11202</v>
      </c>
      <c r="V235" t="s">
        <v>411</v>
      </c>
      <c r="W235">
        <v>1699</v>
      </c>
      <c r="X235" t="s">
        <v>11332</v>
      </c>
      <c r="Y235" t="s">
        <v>11345</v>
      </c>
      <c r="Z235" t="s">
        <v>11534</v>
      </c>
      <c r="AB235" t="s">
        <v>16030</v>
      </c>
      <c r="AC235">
        <v>168</v>
      </c>
      <c r="AD235" t="s">
        <v>19571</v>
      </c>
      <c r="AE235" t="s">
        <v>19584</v>
      </c>
      <c r="AF235">
        <v>23</v>
      </c>
      <c r="AG235">
        <v>1</v>
      </c>
      <c r="AH235">
        <v>0</v>
      </c>
      <c r="AI235">
        <v>0</v>
      </c>
      <c r="AL235" t="s">
        <v>19614</v>
      </c>
      <c r="AM235">
        <v>0</v>
      </c>
      <c r="AS235">
        <v>11.75</v>
      </c>
      <c r="AT235" t="s">
        <v>395</v>
      </c>
      <c r="AU235" t="s">
        <v>79</v>
      </c>
      <c r="AV235" t="s">
        <v>20733</v>
      </c>
    </row>
    <row r="236" spans="1:48">
      <c r="A236" s="1">
        <f>HYPERLINK("https://lsnyc.legalserver.org/matter/dynamic-profile/view/1859694","18-1859694")</f>
        <v>0</v>
      </c>
      <c r="B236" t="s">
        <v>97</v>
      </c>
      <c r="C236" t="s">
        <v>256</v>
      </c>
      <c r="D236" t="s">
        <v>412</v>
      </c>
      <c r="F236" t="s">
        <v>1299</v>
      </c>
      <c r="G236" t="s">
        <v>3487</v>
      </c>
      <c r="H236" t="s">
        <v>5839</v>
      </c>
      <c r="I236" t="s">
        <v>8204</v>
      </c>
      <c r="J236" t="s">
        <v>9059</v>
      </c>
      <c r="K236">
        <v>11206</v>
      </c>
      <c r="L236" t="s">
        <v>9094</v>
      </c>
      <c r="M236" t="s">
        <v>9095</v>
      </c>
      <c r="N236" t="s">
        <v>9209</v>
      </c>
      <c r="O236" t="s">
        <v>11129</v>
      </c>
      <c r="P236" t="s">
        <v>11165</v>
      </c>
      <c r="R236" t="s">
        <v>11180</v>
      </c>
      <c r="S236" t="s">
        <v>9096</v>
      </c>
      <c r="T236" t="s">
        <v>11183</v>
      </c>
      <c r="V236" t="s">
        <v>828</v>
      </c>
      <c r="W236">
        <v>572</v>
      </c>
      <c r="X236" t="s">
        <v>11332</v>
      </c>
      <c r="Y236" t="s">
        <v>11344</v>
      </c>
      <c r="Z236" t="s">
        <v>11537</v>
      </c>
      <c r="AB236" t="s">
        <v>16033</v>
      </c>
      <c r="AC236">
        <v>267</v>
      </c>
      <c r="AF236">
        <v>15</v>
      </c>
      <c r="AG236">
        <v>1</v>
      </c>
      <c r="AH236">
        <v>0</v>
      </c>
      <c r="AI236">
        <v>0</v>
      </c>
      <c r="AL236" t="s">
        <v>19614</v>
      </c>
      <c r="AM236">
        <v>0</v>
      </c>
      <c r="AS236">
        <v>7.4</v>
      </c>
      <c r="AT236" t="s">
        <v>1017</v>
      </c>
      <c r="AU236" t="s">
        <v>20633</v>
      </c>
    </row>
    <row r="237" spans="1:48">
      <c r="A237" s="1">
        <f>HYPERLINK("https://lsnyc.legalserver.org/matter/dynamic-profile/view/1899697","19-1899697")</f>
        <v>0</v>
      </c>
      <c r="B237" t="s">
        <v>65</v>
      </c>
      <c r="C237" t="s">
        <v>257</v>
      </c>
      <c r="D237" t="s">
        <v>261</v>
      </c>
      <c r="E237" t="s">
        <v>472</v>
      </c>
      <c r="F237" t="s">
        <v>1300</v>
      </c>
      <c r="G237" t="s">
        <v>3488</v>
      </c>
      <c r="H237" t="s">
        <v>5840</v>
      </c>
      <c r="I237" t="s">
        <v>8132</v>
      </c>
      <c r="J237" t="s">
        <v>9059</v>
      </c>
      <c r="K237">
        <v>11206</v>
      </c>
      <c r="L237" t="s">
        <v>9094</v>
      </c>
      <c r="M237" t="s">
        <v>9095</v>
      </c>
      <c r="N237" t="s">
        <v>9210</v>
      </c>
      <c r="O237" t="s">
        <v>11129</v>
      </c>
      <c r="P237" t="s">
        <v>11165</v>
      </c>
      <c r="Q237" t="s">
        <v>11174</v>
      </c>
      <c r="R237" t="s">
        <v>11180</v>
      </c>
      <c r="S237" t="s">
        <v>9096</v>
      </c>
      <c r="T237" t="s">
        <v>11183</v>
      </c>
      <c r="U237" t="s">
        <v>11200</v>
      </c>
      <c r="V237" t="s">
        <v>261</v>
      </c>
      <c r="W237">
        <v>0</v>
      </c>
      <c r="X237" t="s">
        <v>11332</v>
      </c>
      <c r="Z237" t="s">
        <v>11538</v>
      </c>
      <c r="AC237">
        <v>0</v>
      </c>
      <c r="AD237" t="s">
        <v>19572</v>
      </c>
      <c r="AF237">
        <v>3</v>
      </c>
      <c r="AG237">
        <v>1</v>
      </c>
      <c r="AH237">
        <v>2</v>
      </c>
      <c r="AI237">
        <v>0</v>
      </c>
      <c r="AL237" t="s">
        <v>19614</v>
      </c>
      <c r="AM237">
        <v>0</v>
      </c>
      <c r="AS237">
        <v>5.8</v>
      </c>
      <c r="AT237" t="s">
        <v>736</v>
      </c>
      <c r="AU237" t="s">
        <v>67</v>
      </c>
      <c r="AV237" t="s">
        <v>20733</v>
      </c>
    </row>
    <row r="238" spans="1:48">
      <c r="A238" s="1">
        <f>HYPERLINK("https://lsnyc.legalserver.org/matter/dynamic-profile/view/1893914","19-1893914")</f>
        <v>0</v>
      </c>
      <c r="B238" t="s">
        <v>67</v>
      </c>
      <c r="C238" t="s">
        <v>256</v>
      </c>
      <c r="D238" t="s">
        <v>413</v>
      </c>
      <c r="F238" t="s">
        <v>1301</v>
      </c>
      <c r="G238" t="s">
        <v>1206</v>
      </c>
      <c r="H238" t="s">
        <v>5839</v>
      </c>
      <c r="I238" t="s">
        <v>8205</v>
      </c>
      <c r="J238" t="s">
        <v>9059</v>
      </c>
      <c r="K238">
        <v>11206</v>
      </c>
      <c r="L238" t="s">
        <v>9096</v>
      </c>
      <c r="M238" t="s">
        <v>9095</v>
      </c>
      <c r="P238" t="s">
        <v>11165</v>
      </c>
      <c r="R238" t="s">
        <v>11180</v>
      </c>
      <c r="T238" t="s">
        <v>11184</v>
      </c>
      <c r="V238" t="s">
        <v>413</v>
      </c>
      <c r="W238">
        <v>0</v>
      </c>
      <c r="X238" t="s">
        <v>11332</v>
      </c>
      <c r="Z238" t="s">
        <v>11539</v>
      </c>
      <c r="AB238" t="s">
        <v>16034</v>
      </c>
      <c r="AC238">
        <v>0</v>
      </c>
      <c r="AF238">
        <v>0</v>
      </c>
      <c r="AG238">
        <v>1</v>
      </c>
      <c r="AH238">
        <v>0</v>
      </c>
      <c r="AI238">
        <v>0</v>
      </c>
      <c r="AL238" t="s">
        <v>19614</v>
      </c>
      <c r="AM238">
        <v>0</v>
      </c>
      <c r="AS238">
        <v>7.5</v>
      </c>
      <c r="AT238" t="s">
        <v>664</v>
      </c>
      <c r="AU238" t="s">
        <v>67</v>
      </c>
    </row>
    <row r="239" spans="1:48">
      <c r="A239" s="1">
        <f>HYPERLINK("https://lsnyc.legalserver.org/matter/dynamic-profile/view/1899700","19-1899700")</f>
        <v>0</v>
      </c>
      <c r="B239" t="s">
        <v>67</v>
      </c>
      <c r="C239" t="s">
        <v>256</v>
      </c>
      <c r="D239" t="s">
        <v>261</v>
      </c>
      <c r="F239" t="s">
        <v>1300</v>
      </c>
      <c r="G239" t="s">
        <v>3488</v>
      </c>
      <c r="H239" t="s">
        <v>5840</v>
      </c>
      <c r="I239" t="s">
        <v>8132</v>
      </c>
      <c r="J239" t="s">
        <v>9059</v>
      </c>
      <c r="K239">
        <v>11206</v>
      </c>
      <c r="L239" t="s">
        <v>9095</v>
      </c>
      <c r="M239" t="s">
        <v>9095</v>
      </c>
      <c r="R239" t="s">
        <v>11180</v>
      </c>
      <c r="T239" t="s">
        <v>11184</v>
      </c>
      <c r="W239">
        <v>0</v>
      </c>
      <c r="X239" t="s">
        <v>11332</v>
      </c>
      <c r="Z239" t="s">
        <v>11538</v>
      </c>
      <c r="AC239">
        <v>0</v>
      </c>
      <c r="AF239">
        <v>0</v>
      </c>
      <c r="AG239">
        <v>1</v>
      </c>
      <c r="AH239">
        <v>2</v>
      </c>
      <c r="AI239">
        <v>0</v>
      </c>
      <c r="AL239" t="s">
        <v>19614</v>
      </c>
      <c r="AM239">
        <v>0</v>
      </c>
      <c r="AS239">
        <v>5.3</v>
      </c>
      <c r="AT239" t="s">
        <v>414</v>
      </c>
      <c r="AU239" t="s">
        <v>67</v>
      </c>
    </row>
    <row r="240" spans="1:48">
      <c r="A240" s="1">
        <f>HYPERLINK("https://lsnyc.legalserver.org/matter/dynamic-profile/view/1905286","19-1905286")</f>
        <v>0</v>
      </c>
      <c r="B240" t="s">
        <v>67</v>
      </c>
      <c r="C240" t="s">
        <v>257</v>
      </c>
      <c r="D240" t="s">
        <v>414</v>
      </c>
      <c r="E240" t="s">
        <v>703</v>
      </c>
      <c r="F240" t="s">
        <v>1193</v>
      </c>
      <c r="G240" t="s">
        <v>3489</v>
      </c>
      <c r="H240" t="s">
        <v>5841</v>
      </c>
      <c r="I240">
        <v>4</v>
      </c>
      <c r="J240" t="s">
        <v>9059</v>
      </c>
      <c r="K240">
        <v>11206</v>
      </c>
      <c r="L240" t="s">
        <v>9095</v>
      </c>
      <c r="M240" t="s">
        <v>9095</v>
      </c>
      <c r="Q240" t="s">
        <v>11172</v>
      </c>
      <c r="R240" t="s">
        <v>11180</v>
      </c>
      <c r="T240" t="s">
        <v>11183</v>
      </c>
      <c r="W240">
        <v>0</v>
      </c>
      <c r="X240" t="s">
        <v>11332</v>
      </c>
      <c r="Z240" t="s">
        <v>11540</v>
      </c>
      <c r="AB240" t="s">
        <v>16035</v>
      </c>
      <c r="AC240">
        <v>0</v>
      </c>
      <c r="AF240">
        <v>0</v>
      </c>
      <c r="AG240">
        <v>2</v>
      </c>
      <c r="AH240">
        <v>0</v>
      </c>
      <c r="AI240">
        <v>0</v>
      </c>
      <c r="AL240" t="s">
        <v>19614</v>
      </c>
      <c r="AM240">
        <v>0</v>
      </c>
      <c r="AS240">
        <v>1.1</v>
      </c>
      <c r="AT240" t="s">
        <v>703</v>
      </c>
      <c r="AU240" t="s">
        <v>67</v>
      </c>
    </row>
    <row r="241" spans="1:48">
      <c r="A241" s="1">
        <f>HYPERLINK("https://lsnyc.legalserver.org/matter/dynamic-profile/view/1889349","19-1889349")</f>
        <v>0</v>
      </c>
      <c r="B241" t="s">
        <v>71</v>
      </c>
      <c r="C241" t="s">
        <v>257</v>
      </c>
      <c r="D241" t="s">
        <v>348</v>
      </c>
      <c r="E241" t="s">
        <v>483</v>
      </c>
      <c r="F241" t="s">
        <v>1302</v>
      </c>
      <c r="G241" t="s">
        <v>2578</v>
      </c>
      <c r="H241" t="s">
        <v>5842</v>
      </c>
      <c r="I241" t="s">
        <v>8150</v>
      </c>
      <c r="J241" t="s">
        <v>9059</v>
      </c>
      <c r="K241">
        <v>11203</v>
      </c>
      <c r="L241" t="s">
        <v>9094</v>
      </c>
      <c r="M241" t="s">
        <v>9094</v>
      </c>
      <c r="N241" t="s">
        <v>9211</v>
      </c>
      <c r="O241" t="s">
        <v>11128</v>
      </c>
      <c r="P241" t="s">
        <v>11164</v>
      </c>
      <c r="Q241" t="s">
        <v>11172</v>
      </c>
      <c r="R241" t="s">
        <v>11180</v>
      </c>
      <c r="S241" t="s">
        <v>9096</v>
      </c>
      <c r="T241" t="s">
        <v>11183</v>
      </c>
      <c r="U241" t="s">
        <v>11201</v>
      </c>
      <c r="V241" t="s">
        <v>269</v>
      </c>
      <c r="W241">
        <v>2500</v>
      </c>
      <c r="X241" t="s">
        <v>11332</v>
      </c>
      <c r="Y241" t="s">
        <v>11351</v>
      </c>
      <c r="Z241" t="s">
        <v>11541</v>
      </c>
      <c r="AA241" t="s">
        <v>9144</v>
      </c>
      <c r="AB241" t="s">
        <v>16036</v>
      </c>
      <c r="AC241">
        <v>2</v>
      </c>
      <c r="AD241" t="s">
        <v>19565</v>
      </c>
      <c r="AE241" t="s">
        <v>9144</v>
      </c>
      <c r="AF241">
        <v>1</v>
      </c>
      <c r="AG241">
        <v>3</v>
      </c>
      <c r="AH241">
        <v>0</v>
      </c>
      <c r="AI241">
        <v>0</v>
      </c>
      <c r="AL241" t="s">
        <v>19614</v>
      </c>
      <c r="AM241">
        <v>0</v>
      </c>
      <c r="AN241" t="s">
        <v>19683</v>
      </c>
      <c r="AS241">
        <v>0.5</v>
      </c>
      <c r="AT241" t="s">
        <v>483</v>
      </c>
      <c r="AU241" t="s">
        <v>95</v>
      </c>
    </row>
    <row r="242" spans="1:48">
      <c r="A242" s="1">
        <f>HYPERLINK("https://lsnyc.legalserver.org/matter/dynamic-profile/view/1892536","19-1892536")</f>
        <v>0</v>
      </c>
      <c r="B242" t="s">
        <v>67</v>
      </c>
      <c r="C242" t="s">
        <v>257</v>
      </c>
      <c r="D242" t="s">
        <v>311</v>
      </c>
      <c r="E242" t="s">
        <v>779</v>
      </c>
      <c r="F242" t="s">
        <v>1303</v>
      </c>
      <c r="G242" t="s">
        <v>3488</v>
      </c>
      <c r="H242" t="s">
        <v>5843</v>
      </c>
      <c r="I242" t="s">
        <v>8206</v>
      </c>
      <c r="J242" t="s">
        <v>9059</v>
      </c>
      <c r="K242">
        <v>11203</v>
      </c>
      <c r="L242" t="s">
        <v>9095</v>
      </c>
      <c r="M242" t="s">
        <v>9095</v>
      </c>
      <c r="Q242" t="s">
        <v>11173</v>
      </c>
      <c r="R242" t="s">
        <v>11180</v>
      </c>
      <c r="T242" t="s">
        <v>11184</v>
      </c>
      <c r="V242" t="s">
        <v>311</v>
      </c>
      <c r="W242">
        <v>0</v>
      </c>
      <c r="X242" t="s">
        <v>11332</v>
      </c>
      <c r="Z242" t="s">
        <v>11542</v>
      </c>
      <c r="AB242" t="s">
        <v>16037</v>
      </c>
      <c r="AC242">
        <v>0</v>
      </c>
      <c r="AF242">
        <v>0</v>
      </c>
      <c r="AG242">
        <v>1</v>
      </c>
      <c r="AH242">
        <v>0</v>
      </c>
      <c r="AI242">
        <v>0</v>
      </c>
      <c r="AL242" t="s">
        <v>19614</v>
      </c>
      <c r="AM242">
        <v>0</v>
      </c>
      <c r="AS242">
        <v>4.7</v>
      </c>
      <c r="AT242" t="s">
        <v>779</v>
      </c>
      <c r="AU242" t="s">
        <v>67</v>
      </c>
    </row>
    <row r="243" spans="1:48">
      <c r="A243" s="1">
        <f>HYPERLINK("https://lsnyc.legalserver.org/matter/dynamic-profile/view/1893757","19-1893757")</f>
        <v>0</v>
      </c>
      <c r="B243" t="s">
        <v>67</v>
      </c>
      <c r="C243" t="s">
        <v>256</v>
      </c>
      <c r="D243" t="s">
        <v>274</v>
      </c>
      <c r="F243" t="s">
        <v>1144</v>
      </c>
      <c r="G243" t="s">
        <v>3490</v>
      </c>
      <c r="H243" t="s">
        <v>5843</v>
      </c>
      <c r="I243" t="s">
        <v>8207</v>
      </c>
      <c r="J243" t="s">
        <v>9059</v>
      </c>
      <c r="K243">
        <v>11203</v>
      </c>
      <c r="L243" t="s">
        <v>9095</v>
      </c>
      <c r="M243" t="s">
        <v>9095</v>
      </c>
      <c r="R243" t="s">
        <v>11180</v>
      </c>
      <c r="T243" t="s">
        <v>11184</v>
      </c>
      <c r="V243" t="s">
        <v>274</v>
      </c>
      <c r="W243">
        <v>0</v>
      </c>
      <c r="X243" t="s">
        <v>11332</v>
      </c>
      <c r="Z243" t="s">
        <v>11543</v>
      </c>
      <c r="AB243" t="s">
        <v>16038</v>
      </c>
      <c r="AC243">
        <v>0</v>
      </c>
      <c r="AF243">
        <v>0</v>
      </c>
      <c r="AG243">
        <v>1</v>
      </c>
      <c r="AH243">
        <v>0</v>
      </c>
      <c r="AI243">
        <v>0</v>
      </c>
      <c r="AM243">
        <v>0</v>
      </c>
      <c r="AN243" t="s">
        <v>19684</v>
      </c>
      <c r="AS243">
        <v>4.7</v>
      </c>
      <c r="AT243" t="s">
        <v>476</v>
      </c>
      <c r="AU243" t="s">
        <v>67</v>
      </c>
    </row>
    <row r="244" spans="1:48">
      <c r="A244" s="1">
        <f>HYPERLINK("https://lsnyc.legalserver.org/matter/dynamic-profile/view/1896003","19-1896003")</f>
        <v>0</v>
      </c>
      <c r="B244" t="s">
        <v>56</v>
      </c>
      <c r="C244" t="s">
        <v>257</v>
      </c>
      <c r="D244" t="s">
        <v>300</v>
      </c>
      <c r="E244" t="s">
        <v>1129</v>
      </c>
      <c r="F244" t="s">
        <v>1304</v>
      </c>
      <c r="G244" t="s">
        <v>3491</v>
      </c>
      <c r="H244" t="s">
        <v>5844</v>
      </c>
      <c r="I244" t="s">
        <v>8208</v>
      </c>
      <c r="J244" t="s">
        <v>9061</v>
      </c>
      <c r="K244">
        <v>11106</v>
      </c>
      <c r="L244" t="s">
        <v>9094</v>
      </c>
      <c r="M244" t="s">
        <v>9094</v>
      </c>
      <c r="N244" t="s">
        <v>9212</v>
      </c>
      <c r="O244" t="s">
        <v>11129</v>
      </c>
      <c r="P244" t="s">
        <v>11167</v>
      </c>
      <c r="Q244" t="s">
        <v>11173</v>
      </c>
      <c r="R244" t="s">
        <v>11180</v>
      </c>
      <c r="S244" t="s">
        <v>9094</v>
      </c>
      <c r="T244" t="s">
        <v>11183</v>
      </c>
      <c r="U244" t="s">
        <v>11200</v>
      </c>
      <c r="V244" t="s">
        <v>300</v>
      </c>
      <c r="W244">
        <v>871</v>
      </c>
      <c r="X244" t="s">
        <v>11331</v>
      </c>
      <c r="Y244" t="s">
        <v>11336</v>
      </c>
      <c r="Z244" t="s">
        <v>11544</v>
      </c>
      <c r="AA244" t="s">
        <v>15303</v>
      </c>
      <c r="AC244">
        <v>19</v>
      </c>
      <c r="AD244" t="s">
        <v>19566</v>
      </c>
      <c r="AE244" t="s">
        <v>19581</v>
      </c>
      <c r="AF244">
        <v>5</v>
      </c>
      <c r="AG244">
        <v>1</v>
      </c>
      <c r="AH244">
        <v>3</v>
      </c>
      <c r="AI244">
        <v>0</v>
      </c>
      <c r="AL244" t="s">
        <v>19614</v>
      </c>
      <c r="AM244">
        <v>0</v>
      </c>
      <c r="AS244">
        <v>1.15</v>
      </c>
      <c r="AT244" t="s">
        <v>1129</v>
      </c>
      <c r="AU244" t="s">
        <v>20622</v>
      </c>
      <c r="AV244" t="s">
        <v>20733</v>
      </c>
    </row>
    <row r="245" spans="1:48">
      <c r="A245" s="1">
        <f>HYPERLINK("https://lsnyc.legalserver.org/matter/dynamic-profile/view/1907285","19-1907285")</f>
        <v>0</v>
      </c>
      <c r="B245" t="s">
        <v>57</v>
      </c>
      <c r="C245" t="s">
        <v>256</v>
      </c>
      <c r="D245" t="s">
        <v>415</v>
      </c>
      <c r="F245" t="s">
        <v>1210</v>
      </c>
      <c r="G245" t="s">
        <v>3492</v>
      </c>
      <c r="H245" t="s">
        <v>5845</v>
      </c>
      <c r="I245" t="s">
        <v>8209</v>
      </c>
      <c r="J245" t="s">
        <v>9061</v>
      </c>
      <c r="K245">
        <v>11106</v>
      </c>
      <c r="L245" t="s">
        <v>9094</v>
      </c>
      <c r="M245" t="s">
        <v>9095</v>
      </c>
      <c r="N245" t="s">
        <v>9213</v>
      </c>
      <c r="O245" t="s">
        <v>11129</v>
      </c>
      <c r="P245" t="s">
        <v>11164</v>
      </c>
      <c r="R245" t="s">
        <v>11181</v>
      </c>
      <c r="S245" t="s">
        <v>9096</v>
      </c>
      <c r="T245" t="s">
        <v>11183</v>
      </c>
      <c r="U245" t="s">
        <v>11201</v>
      </c>
      <c r="V245" t="s">
        <v>415</v>
      </c>
      <c r="W245">
        <v>474</v>
      </c>
      <c r="X245" t="s">
        <v>11331</v>
      </c>
      <c r="Y245" t="s">
        <v>11337</v>
      </c>
      <c r="Z245" t="s">
        <v>11545</v>
      </c>
      <c r="AA245" t="s">
        <v>15304</v>
      </c>
      <c r="AB245" t="s">
        <v>16039</v>
      </c>
      <c r="AC245">
        <v>6</v>
      </c>
      <c r="AD245" t="s">
        <v>19566</v>
      </c>
      <c r="AE245" t="s">
        <v>9144</v>
      </c>
      <c r="AF245">
        <v>1</v>
      </c>
      <c r="AG245">
        <v>1</v>
      </c>
      <c r="AH245">
        <v>1</v>
      </c>
      <c r="AI245">
        <v>0</v>
      </c>
      <c r="AJ245" t="s">
        <v>19591</v>
      </c>
      <c r="AK245" t="s">
        <v>19608</v>
      </c>
      <c r="AL245" t="s">
        <v>19614</v>
      </c>
      <c r="AM245">
        <v>0</v>
      </c>
      <c r="AS245">
        <v>3.65</v>
      </c>
      <c r="AT245" t="s">
        <v>307</v>
      </c>
      <c r="AU245" t="s">
        <v>57</v>
      </c>
      <c r="AV245" t="s">
        <v>20734</v>
      </c>
    </row>
    <row r="246" spans="1:48">
      <c r="A246" s="1">
        <f>HYPERLINK("https://lsnyc.legalserver.org/matter/dynamic-profile/view/1910620","19-1910620")</f>
        <v>0</v>
      </c>
      <c r="B246" t="s">
        <v>52</v>
      </c>
      <c r="C246" t="s">
        <v>256</v>
      </c>
      <c r="D246" t="s">
        <v>259</v>
      </c>
      <c r="F246" t="s">
        <v>1305</v>
      </c>
      <c r="G246" t="s">
        <v>3427</v>
      </c>
      <c r="H246" t="s">
        <v>5846</v>
      </c>
      <c r="I246" t="s">
        <v>8141</v>
      </c>
      <c r="J246" t="s">
        <v>9062</v>
      </c>
      <c r="K246">
        <v>11104</v>
      </c>
      <c r="L246" t="s">
        <v>9094</v>
      </c>
      <c r="M246" t="s">
        <v>9095</v>
      </c>
      <c r="N246" t="s">
        <v>9214</v>
      </c>
      <c r="O246" t="s">
        <v>11129</v>
      </c>
      <c r="P246" t="s">
        <v>11167</v>
      </c>
      <c r="R246" t="s">
        <v>11180</v>
      </c>
      <c r="S246" t="s">
        <v>9096</v>
      </c>
      <c r="T246" t="s">
        <v>11183</v>
      </c>
      <c r="V246" t="s">
        <v>259</v>
      </c>
      <c r="W246">
        <v>1298.07</v>
      </c>
      <c r="X246" t="s">
        <v>11331</v>
      </c>
      <c r="Y246" t="s">
        <v>11336</v>
      </c>
      <c r="Z246" t="s">
        <v>11546</v>
      </c>
      <c r="AA246" t="s">
        <v>15305</v>
      </c>
      <c r="AB246" t="s">
        <v>16040</v>
      </c>
      <c r="AC246">
        <v>6</v>
      </c>
      <c r="AD246" t="s">
        <v>15441</v>
      </c>
      <c r="AE246" t="s">
        <v>9144</v>
      </c>
      <c r="AF246">
        <v>19</v>
      </c>
      <c r="AG246">
        <v>2</v>
      </c>
      <c r="AH246">
        <v>1</v>
      </c>
      <c r="AI246">
        <v>0</v>
      </c>
      <c r="AL246" t="s">
        <v>19614</v>
      </c>
      <c r="AM246">
        <v>0</v>
      </c>
      <c r="AS246">
        <v>1.4</v>
      </c>
      <c r="AT246" t="s">
        <v>395</v>
      </c>
      <c r="AU246" t="s">
        <v>20620</v>
      </c>
      <c r="AV246" t="s">
        <v>20733</v>
      </c>
    </row>
    <row r="247" spans="1:48">
      <c r="A247" s="1">
        <f>HYPERLINK("https://lsnyc.legalserver.org/matter/dynamic-profile/view/1907572","19-1907572")</f>
        <v>0</v>
      </c>
      <c r="B247" t="s">
        <v>49</v>
      </c>
      <c r="C247" t="s">
        <v>256</v>
      </c>
      <c r="D247" t="s">
        <v>416</v>
      </c>
      <c r="F247" t="s">
        <v>1306</v>
      </c>
      <c r="G247" t="s">
        <v>1333</v>
      </c>
      <c r="H247" t="s">
        <v>5847</v>
      </c>
      <c r="J247" t="s">
        <v>9062</v>
      </c>
      <c r="K247">
        <v>11104</v>
      </c>
      <c r="L247" t="s">
        <v>9095</v>
      </c>
      <c r="M247" t="s">
        <v>9095</v>
      </c>
      <c r="P247" t="s">
        <v>11164</v>
      </c>
      <c r="R247" t="s">
        <v>11180</v>
      </c>
      <c r="S247" t="s">
        <v>9096</v>
      </c>
      <c r="T247" t="s">
        <v>11183</v>
      </c>
      <c r="U247" t="s">
        <v>11201</v>
      </c>
      <c r="W247">
        <v>513.9299999999999</v>
      </c>
      <c r="X247" t="s">
        <v>11331</v>
      </c>
      <c r="Y247" t="s">
        <v>11346</v>
      </c>
      <c r="AC247">
        <v>8</v>
      </c>
      <c r="AE247" t="s">
        <v>19587</v>
      </c>
      <c r="AF247">
        <v>0</v>
      </c>
      <c r="AG247">
        <v>1</v>
      </c>
      <c r="AH247">
        <v>0</v>
      </c>
      <c r="AI247">
        <v>0</v>
      </c>
      <c r="AL247" t="s">
        <v>19623</v>
      </c>
      <c r="AM247">
        <v>0</v>
      </c>
      <c r="AS247">
        <v>0.2</v>
      </c>
      <c r="AT247" t="s">
        <v>416</v>
      </c>
      <c r="AU247" t="s">
        <v>49</v>
      </c>
    </row>
    <row r="248" spans="1:48">
      <c r="A248" s="1">
        <f>HYPERLINK("https://lsnyc.legalserver.org/matter/dynamic-profile/view/1896539","19-1896539")</f>
        <v>0</v>
      </c>
      <c r="B248" t="s">
        <v>50</v>
      </c>
      <c r="C248" t="s">
        <v>256</v>
      </c>
      <c r="D248" t="s">
        <v>384</v>
      </c>
      <c r="F248" t="s">
        <v>1307</v>
      </c>
      <c r="G248" t="s">
        <v>3493</v>
      </c>
      <c r="H248" t="s">
        <v>5848</v>
      </c>
      <c r="I248" t="s">
        <v>8107</v>
      </c>
      <c r="J248" t="s">
        <v>9061</v>
      </c>
      <c r="K248">
        <v>11103</v>
      </c>
      <c r="L248" t="s">
        <v>9094</v>
      </c>
      <c r="M248" t="s">
        <v>9096</v>
      </c>
      <c r="N248" t="s">
        <v>9215</v>
      </c>
      <c r="O248" t="s">
        <v>11128</v>
      </c>
      <c r="P248" t="s">
        <v>11167</v>
      </c>
      <c r="R248" t="s">
        <v>11180</v>
      </c>
      <c r="S248" t="s">
        <v>9096</v>
      </c>
      <c r="T248" t="s">
        <v>11183</v>
      </c>
      <c r="U248" t="s">
        <v>11201</v>
      </c>
      <c r="V248" t="s">
        <v>11217</v>
      </c>
      <c r="W248">
        <v>1750</v>
      </c>
      <c r="X248" t="s">
        <v>11331</v>
      </c>
      <c r="Y248" t="s">
        <v>11336</v>
      </c>
      <c r="Z248" t="s">
        <v>11547</v>
      </c>
      <c r="AB248" t="s">
        <v>16041</v>
      </c>
      <c r="AC248">
        <v>2</v>
      </c>
      <c r="AD248" t="s">
        <v>19565</v>
      </c>
      <c r="AE248" t="s">
        <v>9144</v>
      </c>
      <c r="AF248">
        <v>1</v>
      </c>
      <c r="AG248">
        <v>1</v>
      </c>
      <c r="AH248">
        <v>2</v>
      </c>
      <c r="AI248">
        <v>0</v>
      </c>
      <c r="AL248" t="s">
        <v>19618</v>
      </c>
      <c r="AM248">
        <v>0</v>
      </c>
      <c r="AS248">
        <v>3.48</v>
      </c>
      <c r="AT248" t="s">
        <v>703</v>
      </c>
      <c r="AU248" t="s">
        <v>50</v>
      </c>
      <c r="AV248" t="s">
        <v>20733</v>
      </c>
    </row>
    <row r="249" spans="1:48">
      <c r="A249" s="1">
        <f>HYPERLINK("https://lsnyc.legalserver.org/matter/dynamic-profile/view/1864858","18-1864858")</f>
        <v>0</v>
      </c>
      <c r="B249" t="s">
        <v>56</v>
      </c>
      <c r="C249" t="s">
        <v>256</v>
      </c>
      <c r="D249" t="s">
        <v>322</v>
      </c>
      <c r="F249" t="s">
        <v>1308</v>
      </c>
      <c r="G249" t="s">
        <v>3494</v>
      </c>
      <c r="J249" t="s">
        <v>9061</v>
      </c>
      <c r="K249">
        <v>11103</v>
      </c>
      <c r="L249" t="s">
        <v>9094</v>
      </c>
      <c r="M249" t="s">
        <v>9095</v>
      </c>
      <c r="O249" t="s">
        <v>11141</v>
      </c>
      <c r="P249" t="s">
        <v>11165</v>
      </c>
      <c r="R249" t="s">
        <v>11180</v>
      </c>
      <c r="S249" t="s">
        <v>9096</v>
      </c>
      <c r="T249" t="s">
        <v>11187</v>
      </c>
      <c r="V249" t="s">
        <v>322</v>
      </c>
      <c r="W249">
        <v>0</v>
      </c>
      <c r="X249" t="s">
        <v>11331</v>
      </c>
      <c r="Y249" t="s">
        <v>11157</v>
      </c>
      <c r="Z249" t="s">
        <v>11548</v>
      </c>
      <c r="AA249" t="s">
        <v>9171</v>
      </c>
      <c r="AB249" t="s">
        <v>16042</v>
      </c>
      <c r="AC249">
        <v>0</v>
      </c>
      <c r="AD249" t="s">
        <v>19565</v>
      </c>
      <c r="AE249" t="s">
        <v>9144</v>
      </c>
      <c r="AF249">
        <v>0</v>
      </c>
      <c r="AG249">
        <v>2</v>
      </c>
      <c r="AH249">
        <v>3</v>
      </c>
      <c r="AI249">
        <v>0</v>
      </c>
      <c r="AL249" t="s">
        <v>19614</v>
      </c>
      <c r="AM249">
        <v>0</v>
      </c>
      <c r="AN249" t="s">
        <v>19685</v>
      </c>
      <c r="AS249">
        <v>37.6</v>
      </c>
      <c r="AT249" t="s">
        <v>864</v>
      </c>
      <c r="AU249" t="s">
        <v>49</v>
      </c>
    </row>
    <row r="250" spans="1:48">
      <c r="A250" s="1">
        <f>HYPERLINK("https://lsnyc.legalserver.org/matter/dynamic-profile/view/0805089","16-0805089")</f>
        <v>0</v>
      </c>
      <c r="B250" t="s">
        <v>56</v>
      </c>
      <c r="C250" t="s">
        <v>256</v>
      </c>
      <c r="D250" t="s">
        <v>417</v>
      </c>
      <c r="F250" t="s">
        <v>1309</v>
      </c>
      <c r="G250" t="s">
        <v>3495</v>
      </c>
      <c r="H250" t="s">
        <v>5849</v>
      </c>
      <c r="I250" t="s">
        <v>8210</v>
      </c>
      <c r="J250" t="s">
        <v>9063</v>
      </c>
      <c r="K250">
        <v>11101</v>
      </c>
      <c r="L250" t="s">
        <v>9096</v>
      </c>
      <c r="M250" t="s">
        <v>9095</v>
      </c>
      <c r="N250" t="s">
        <v>9216</v>
      </c>
      <c r="O250" t="s">
        <v>11132</v>
      </c>
      <c r="P250" t="s">
        <v>11165</v>
      </c>
      <c r="R250" t="s">
        <v>11180</v>
      </c>
      <c r="S250" t="s">
        <v>9096</v>
      </c>
      <c r="T250" t="s">
        <v>11183</v>
      </c>
      <c r="V250" t="s">
        <v>417</v>
      </c>
      <c r="W250">
        <v>2600</v>
      </c>
      <c r="X250" t="s">
        <v>11331</v>
      </c>
      <c r="Y250" t="s">
        <v>11342</v>
      </c>
      <c r="Z250" t="s">
        <v>11549</v>
      </c>
      <c r="AB250" t="s">
        <v>16043</v>
      </c>
      <c r="AC250">
        <v>8</v>
      </c>
      <c r="AD250" t="s">
        <v>15441</v>
      </c>
      <c r="AE250" t="s">
        <v>9144</v>
      </c>
      <c r="AF250">
        <v>2</v>
      </c>
      <c r="AG250">
        <v>1</v>
      </c>
      <c r="AH250">
        <v>0</v>
      </c>
      <c r="AI250">
        <v>0</v>
      </c>
      <c r="AL250" t="s">
        <v>19614</v>
      </c>
      <c r="AM250">
        <v>0</v>
      </c>
      <c r="AS250">
        <v>1.81</v>
      </c>
      <c r="AT250" t="s">
        <v>1118</v>
      </c>
      <c r="AU250" t="s">
        <v>20641</v>
      </c>
    </row>
    <row r="251" spans="1:48">
      <c r="A251" s="1">
        <f>HYPERLINK("https://lsnyc.legalserver.org/matter/dynamic-profile/view/1900499","19-1900499")</f>
        <v>0</v>
      </c>
      <c r="B251" t="s">
        <v>49</v>
      </c>
      <c r="C251" t="s">
        <v>256</v>
      </c>
      <c r="D251" t="s">
        <v>262</v>
      </c>
      <c r="F251" t="s">
        <v>1222</v>
      </c>
      <c r="G251" t="s">
        <v>1553</v>
      </c>
      <c r="H251" t="s">
        <v>5850</v>
      </c>
      <c r="I251" t="s">
        <v>8211</v>
      </c>
      <c r="J251" t="s">
        <v>9064</v>
      </c>
      <c r="K251">
        <v>11101</v>
      </c>
      <c r="L251" t="s">
        <v>9094</v>
      </c>
      <c r="M251" t="s">
        <v>9095</v>
      </c>
      <c r="N251" t="s">
        <v>9217</v>
      </c>
      <c r="O251" t="s">
        <v>11129</v>
      </c>
      <c r="P251" t="s">
        <v>11165</v>
      </c>
      <c r="R251" t="s">
        <v>11180</v>
      </c>
      <c r="S251" t="s">
        <v>9096</v>
      </c>
      <c r="T251" t="s">
        <v>11183</v>
      </c>
      <c r="U251" t="s">
        <v>11199</v>
      </c>
      <c r="V251" t="s">
        <v>262</v>
      </c>
      <c r="W251">
        <v>1193.64</v>
      </c>
      <c r="X251" t="s">
        <v>11331</v>
      </c>
      <c r="Y251" t="s">
        <v>11336</v>
      </c>
      <c r="Z251" t="s">
        <v>11550</v>
      </c>
      <c r="AA251" t="s">
        <v>15306</v>
      </c>
      <c r="AB251" t="s">
        <v>16044</v>
      </c>
      <c r="AC251">
        <v>140</v>
      </c>
      <c r="AD251" t="s">
        <v>19566</v>
      </c>
      <c r="AE251" t="s">
        <v>19586</v>
      </c>
      <c r="AF251">
        <v>1</v>
      </c>
      <c r="AG251">
        <v>2</v>
      </c>
      <c r="AH251">
        <v>0</v>
      </c>
      <c r="AI251">
        <v>0</v>
      </c>
      <c r="AL251" t="s">
        <v>19614</v>
      </c>
      <c r="AM251">
        <v>0</v>
      </c>
      <c r="AO251" t="s">
        <v>20292</v>
      </c>
      <c r="AP251" t="s">
        <v>20309</v>
      </c>
      <c r="AQ251" t="s">
        <v>20369</v>
      </c>
      <c r="AR251" t="s">
        <v>20383</v>
      </c>
      <c r="AS251">
        <v>33.25</v>
      </c>
      <c r="AT251" t="s">
        <v>259</v>
      </c>
      <c r="AU251" t="s">
        <v>56</v>
      </c>
      <c r="AV251" t="s">
        <v>20733</v>
      </c>
    </row>
    <row r="252" spans="1:48">
      <c r="A252" s="1">
        <f>HYPERLINK("https://lsnyc.legalserver.org/matter/dynamic-profile/view/1907532","19-1907532")</f>
        <v>0</v>
      </c>
      <c r="B252" t="s">
        <v>98</v>
      </c>
      <c r="C252" t="s">
        <v>256</v>
      </c>
      <c r="D252" t="s">
        <v>275</v>
      </c>
      <c r="F252" t="s">
        <v>1146</v>
      </c>
      <c r="G252" t="s">
        <v>3333</v>
      </c>
      <c r="H252" t="s">
        <v>5851</v>
      </c>
      <c r="I252" t="s">
        <v>8212</v>
      </c>
      <c r="J252" t="s">
        <v>9065</v>
      </c>
      <c r="K252">
        <v>10474</v>
      </c>
      <c r="L252" t="s">
        <v>9095</v>
      </c>
      <c r="M252" t="s">
        <v>9095</v>
      </c>
      <c r="N252" t="s">
        <v>9218</v>
      </c>
      <c r="O252" t="s">
        <v>11134</v>
      </c>
      <c r="P252" t="s">
        <v>11168</v>
      </c>
      <c r="R252" t="s">
        <v>11180</v>
      </c>
      <c r="T252" t="s">
        <v>11183</v>
      </c>
      <c r="W252">
        <v>0</v>
      </c>
      <c r="X252" t="s">
        <v>11333</v>
      </c>
      <c r="Z252" t="s">
        <v>11551</v>
      </c>
      <c r="AB252" t="s">
        <v>16045</v>
      </c>
      <c r="AC252">
        <v>0</v>
      </c>
      <c r="AF252">
        <v>0</v>
      </c>
      <c r="AG252">
        <v>2</v>
      </c>
      <c r="AH252">
        <v>3</v>
      </c>
      <c r="AI252">
        <v>0</v>
      </c>
      <c r="AL252" t="s">
        <v>19615</v>
      </c>
      <c r="AM252">
        <v>0</v>
      </c>
      <c r="AS252">
        <v>0</v>
      </c>
      <c r="AU252" t="s">
        <v>98</v>
      </c>
    </row>
    <row r="253" spans="1:48">
      <c r="A253" s="1">
        <f>HYPERLINK("https://lsnyc.legalserver.org/matter/dynamic-profile/view/1907244","19-1907244")</f>
        <v>0</v>
      </c>
      <c r="B253" t="s">
        <v>99</v>
      </c>
      <c r="C253" t="s">
        <v>257</v>
      </c>
      <c r="D253" t="s">
        <v>415</v>
      </c>
      <c r="E253" t="s">
        <v>833</v>
      </c>
      <c r="F253" t="s">
        <v>1310</v>
      </c>
      <c r="G253" t="s">
        <v>3496</v>
      </c>
      <c r="H253" t="s">
        <v>5852</v>
      </c>
      <c r="I253" t="s">
        <v>8176</v>
      </c>
      <c r="J253" t="s">
        <v>9065</v>
      </c>
      <c r="K253">
        <v>10470</v>
      </c>
      <c r="L253" t="s">
        <v>9094</v>
      </c>
      <c r="M253" t="s">
        <v>9095</v>
      </c>
      <c r="N253" t="s">
        <v>9171</v>
      </c>
      <c r="O253" t="s">
        <v>9121</v>
      </c>
      <c r="P253" t="s">
        <v>11164</v>
      </c>
      <c r="Q253" t="s">
        <v>11172</v>
      </c>
      <c r="R253" t="s">
        <v>11180</v>
      </c>
      <c r="S253" t="s">
        <v>9096</v>
      </c>
      <c r="T253" t="s">
        <v>11183</v>
      </c>
      <c r="V253" t="s">
        <v>288</v>
      </c>
      <c r="W253">
        <v>1486.4</v>
      </c>
      <c r="X253" t="s">
        <v>11333</v>
      </c>
      <c r="Y253" t="s">
        <v>11346</v>
      </c>
      <c r="Z253" t="s">
        <v>11552</v>
      </c>
      <c r="AC253">
        <v>84</v>
      </c>
      <c r="AD253" t="s">
        <v>19566</v>
      </c>
      <c r="AE253" t="s">
        <v>9144</v>
      </c>
      <c r="AF253">
        <v>12</v>
      </c>
      <c r="AG253">
        <v>1</v>
      </c>
      <c r="AH253">
        <v>0</v>
      </c>
      <c r="AI253">
        <v>0</v>
      </c>
      <c r="AL253" t="s">
        <v>19614</v>
      </c>
      <c r="AM253">
        <v>0</v>
      </c>
      <c r="AS253">
        <v>2</v>
      </c>
      <c r="AT253" t="s">
        <v>833</v>
      </c>
      <c r="AU253" t="s">
        <v>99</v>
      </c>
      <c r="AV253" t="s">
        <v>20733</v>
      </c>
    </row>
    <row r="254" spans="1:48">
      <c r="A254" s="1">
        <f>HYPERLINK("https://lsnyc.legalserver.org/matter/dynamic-profile/view/1907538","19-1907538")</f>
        <v>0</v>
      </c>
      <c r="B254" t="s">
        <v>100</v>
      </c>
      <c r="C254" t="s">
        <v>256</v>
      </c>
      <c r="D254" t="s">
        <v>275</v>
      </c>
      <c r="F254" t="s">
        <v>1310</v>
      </c>
      <c r="G254" t="s">
        <v>3496</v>
      </c>
      <c r="H254" t="s">
        <v>5852</v>
      </c>
      <c r="I254" t="s">
        <v>8176</v>
      </c>
      <c r="J254" t="s">
        <v>9065</v>
      </c>
      <c r="K254">
        <v>10470</v>
      </c>
      <c r="L254" t="s">
        <v>9094</v>
      </c>
      <c r="M254" t="s">
        <v>9095</v>
      </c>
      <c r="O254" t="s">
        <v>9121</v>
      </c>
      <c r="P254" t="s">
        <v>11164</v>
      </c>
      <c r="R254" t="s">
        <v>11180</v>
      </c>
      <c r="T254" t="s">
        <v>11183</v>
      </c>
      <c r="U254" t="s">
        <v>11201</v>
      </c>
      <c r="W254">
        <v>0</v>
      </c>
      <c r="X254" t="s">
        <v>11333</v>
      </c>
      <c r="Z254" t="s">
        <v>11552</v>
      </c>
      <c r="AB254" t="s">
        <v>16046</v>
      </c>
      <c r="AC254">
        <v>0</v>
      </c>
      <c r="AE254" t="s">
        <v>9144</v>
      </c>
      <c r="AF254">
        <v>12</v>
      </c>
      <c r="AG254">
        <v>1</v>
      </c>
      <c r="AH254">
        <v>4</v>
      </c>
      <c r="AI254">
        <v>0</v>
      </c>
      <c r="AL254" t="s">
        <v>19614</v>
      </c>
      <c r="AM254">
        <v>0</v>
      </c>
      <c r="AS254">
        <v>0.2</v>
      </c>
      <c r="AT254" t="s">
        <v>442</v>
      </c>
      <c r="AU254" t="s">
        <v>100</v>
      </c>
      <c r="AV254" t="s">
        <v>20733</v>
      </c>
    </row>
    <row r="255" spans="1:48">
      <c r="A255" s="1">
        <f>HYPERLINK("https://lsnyc.legalserver.org/matter/dynamic-profile/view/1907622","19-1907622")</f>
        <v>0</v>
      </c>
      <c r="B255" t="s">
        <v>101</v>
      </c>
      <c r="C255" t="s">
        <v>256</v>
      </c>
      <c r="D255" t="s">
        <v>416</v>
      </c>
      <c r="F255" t="s">
        <v>1311</v>
      </c>
      <c r="G255" t="s">
        <v>3497</v>
      </c>
      <c r="H255" t="s">
        <v>5853</v>
      </c>
      <c r="I255" t="s">
        <v>8213</v>
      </c>
      <c r="J255" t="s">
        <v>9065</v>
      </c>
      <c r="K255">
        <v>10470</v>
      </c>
      <c r="L255" t="s">
        <v>9094</v>
      </c>
      <c r="M255" t="s">
        <v>9095</v>
      </c>
      <c r="O255" t="s">
        <v>9121</v>
      </c>
      <c r="P255" t="s">
        <v>11164</v>
      </c>
      <c r="R255" t="s">
        <v>11180</v>
      </c>
      <c r="S255" t="s">
        <v>9096</v>
      </c>
      <c r="T255" t="s">
        <v>11183</v>
      </c>
      <c r="W255">
        <v>0</v>
      </c>
      <c r="X255" t="s">
        <v>11333</v>
      </c>
      <c r="Y255" t="s">
        <v>11338</v>
      </c>
      <c r="Z255" t="s">
        <v>11553</v>
      </c>
      <c r="AC255">
        <v>0</v>
      </c>
      <c r="AF255">
        <v>0</v>
      </c>
      <c r="AG255">
        <v>1</v>
      </c>
      <c r="AH255">
        <v>0</v>
      </c>
      <c r="AI255">
        <v>0</v>
      </c>
      <c r="AL255" t="s">
        <v>19614</v>
      </c>
      <c r="AM255">
        <v>0</v>
      </c>
      <c r="AS255">
        <v>0.2</v>
      </c>
      <c r="AT255" t="s">
        <v>416</v>
      </c>
      <c r="AU255" t="s">
        <v>101</v>
      </c>
    </row>
    <row r="256" spans="1:48">
      <c r="A256" s="1">
        <f>HYPERLINK("https://lsnyc.legalserver.org/matter/dynamic-profile/view/1899597","19-1899597")</f>
        <v>0</v>
      </c>
      <c r="B256" t="s">
        <v>102</v>
      </c>
      <c r="C256" t="s">
        <v>256</v>
      </c>
      <c r="D256" t="s">
        <v>418</v>
      </c>
      <c r="F256" t="s">
        <v>1311</v>
      </c>
      <c r="G256" t="s">
        <v>3497</v>
      </c>
      <c r="H256" t="s">
        <v>5853</v>
      </c>
      <c r="I256" t="s">
        <v>8213</v>
      </c>
      <c r="J256" t="s">
        <v>9065</v>
      </c>
      <c r="K256">
        <v>10470</v>
      </c>
      <c r="L256" t="s">
        <v>9094</v>
      </c>
      <c r="M256" t="s">
        <v>9095</v>
      </c>
      <c r="O256" t="s">
        <v>11129</v>
      </c>
      <c r="P256" t="s">
        <v>11164</v>
      </c>
      <c r="R256" t="s">
        <v>11180</v>
      </c>
      <c r="S256" t="s">
        <v>9096</v>
      </c>
      <c r="T256" t="s">
        <v>11183</v>
      </c>
      <c r="V256" t="s">
        <v>11218</v>
      </c>
      <c r="W256">
        <v>0</v>
      </c>
      <c r="X256" t="s">
        <v>11333</v>
      </c>
      <c r="Y256" t="s">
        <v>11339</v>
      </c>
      <c r="Z256" t="s">
        <v>11553</v>
      </c>
      <c r="AC256">
        <v>61</v>
      </c>
      <c r="AD256" t="s">
        <v>15441</v>
      </c>
      <c r="AE256" t="s">
        <v>9144</v>
      </c>
      <c r="AF256">
        <v>0</v>
      </c>
      <c r="AG256">
        <v>1</v>
      </c>
      <c r="AH256">
        <v>0</v>
      </c>
      <c r="AI256">
        <v>0</v>
      </c>
      <c r="AL256" t="s">
        <v>19614</v>
      </c>
      <c r="AM256">
        <v>0</v>
      </c>
      <c r="AS256">
        <v>0</v>
      </c>
      <c r="AU256" t="s">
        <v>20642</v>
      </c>
      <c r="AV256" t="s">
        <v>20733</v>
      </c>
    </row>
    <row r="257" spans="1:48">
      <c r="A257" s="1">
        <f>HYPERLINK("https://lsnyc.legalserver.org/matter/dynamic-profile/view/1908298","19-1908298")</f>
        <v>0</v>
      </c>
      <c r="B257" t="s">
        <v>103</v>
      </c>
      <c r="C257" t="s">
        <v>257</v>
      </c>
      <c r="D257" t="s">
        <v>335</v>
      </c>
      <c r="E257" t="s">
        <v>326</v>
      </c>
      <c r="F257" t="s">
        <v>1310</v>
      </c>
      <c r="G257" t="s">
        <v>3496</v>
      </c>
      <c r="H257" t="s">
        <v>5852</v>
      </c>
      <c r="I257" t="s">
        <v>8176</v>
      </c>
      <c r="J257" t="s">
        <v>9065</v>
      </c>
      <c r="K257">
        <v>10470</v>
      </c>
      <c r="L257" t="s">
        <v>9094</v>
      </c>
      <c r="M257" t="s">
        <v>9095</v>
      </c>
      <c r="P257" t="s">
        <v>11164</v>
      </c>
      <c r="Q257" t="s">
        <v>11172</v>
      </c>
      <c r="R257" t="s">
        <v>11180</v>
      </c>
      <c r="S257" t="s">
        <v>9096</v>
      </c>
      <c r="T257" t="s">
        <v>11183</v>
      </c>
      <c r="W257">
        <v>1468.05</v>
      </c>
      <c r="X257" t="s">
        <v>11333</v>
      </c>
      <c r="Y257" t="s">
        <v>11346</v>
      </c>
      <c r="Z257" t="s">
        <v>11552</v>
      </c>
      <c r="AB257" t="s">
        <v>16046</v>
      </c>
      <c r="AC257">
        <v>89</v>
      </c>
      <c r="AD257" t="s">
        <v>19566</v>
      </c>
      <c r="AE257" t="s">
        <v>9144</v>
      </c>
      <c r="AF257">
        <v>12</v>
      </c>
      <c r="AG257">
        <v>1</v>
      </c>
      <c r="AH257">
        <v>0</v>
      </c>
      <c r="AI257">
        <v>0</v>
      </c>
      <c r="AL257" t="s">
        <v>19614</v>
      </c>
      <c r="AM257">
        <v>0</v>
      </c>
      <c r="AS257">
        <v>0.1</v>
      </c>
      <c r="AT257" t="s">
        <v>326</v>
      </c>
      <c r="AU257" t="s">
        <v>220</v>
      </c>
      <c r="AV257" t="s">
        <v>20733</v>
      </c>
    </row>
    <row r="258" spans="1:48">
      <c r="A258" s="1">
        <f>HYPERLINK("https://lsnyc.legalserver.org/matter/dynamic-profile/view/1875678","18-1875678")</f>
        <v>0</v>
      </c>
      <c r="B258" t="s">
        <v>103</v>
      </c>
      <c r="C258" t="s">
        <v>257</v>
      </c>
      <c r="D258" t="s">
        <v>419</v>
      </c>
      <c r="E258" t="s">
        <v>334</v>
      </c>
      <c r="F258" t="s">
        <v>1210</v>
      </c>
      <c r="G258" t="s">
        <v>3498</v>
      </c>
      <c r="H258" t="s">
        <v>5854</v>
      </c>
      <c r="I258" t="s">
        <v>8214</v>
      </c>
      <c r="J258" t="s">
        <v>9065</v>
      </c>
      <c r="K258">
        <v>10468</v>
      </c>
      <c r="L258" t="s">
        <v>9094</v>
      </c>
      <c r="M258" t="s">
        <v>9094</v>
      </c>
      <c r="O258" t="s">
        <v>11134</v>
      </c>
      <c r="P258" t="s">
        <v>11168</v>
      </c>
      <c r="Q258" t="s">
        <v>11176</v>
      </c>
      <c r="R258" t="s">
        <v>11180</v>
      </c>
      <c r="S258" t="s">
        <v>9094</v>
      </c>
      <c r="T258" t="s">
        <v>11183</v>
      </c>
      <c r="V258" t="s">
        <v>572</v>
      </c>
      <c r="W258">
        <v>1100</v>
      </c>
      <c r="X258" t="s">
        <v>11333</v>
      </c>
      <c r="Y258" t="s">
        <v>11346</v>
      </c>
      <c r="Z258" t="s">
        <v>11554</v>
      </c>
      <c r="AB258" t="s">
        <v>16047</v>
      </c>
      <c r="AC258">
        <v>58</v>
      </c>
      <c r="AD258" t="s">
        <v>19566</v>
      </c>
      <c r="AE258" t="s">
        <v>19580</v>
      </c>
      <c r="AF258">
        <v>38</v>
      </c>
      <c r="AG258">
        <v>2</v>
      </c>
      <c r="AH258">
        <v>0</v>
      </c>
      <c r="AI258">
        <v>0</v>
      </c>
      <c r="AL258" t="s">
        <v>19614</v>
      </c>
      <c r="AM258">
        <v>0</v>
      </c>
      <c r="AS258">
        <v>0.6</v>
      </c>
      <c r="AT258" t="s">
        <v>334</v>
      </c>
      <c r="AU258" t="s">
        <v>20642</v>
      </c>
    </row>
    <row r="259" spans="1:48">
      <c r="A259" s="1">
        <f>HYPERLINK("https://lsnyc.legalserver.org/matter/dynamic-profile/view/1875674","18-1875674")</f>
        <v>0</v>
      </c>
      <c r="B259" t="s">
        <v>103</v>
      </c>
      <c r="C259" t="s">
        <v>257</v>
      </c>
      <c r="D259" t="s">
        <v>419</v>
      </c>
      <c r="E259" t="s">
        <v>275</v>
      </c>
      <c r="F259" t="s">
        <v>1210</v>
      </c>
      <c r="G259" t="s">
        <v>3498</v>
      </c>
      <c r="H259" t="s">
        <v>5854</v>
      </c>
      <c r="I259" t="s">
        <v>8214</v>
      </c>
      <c r="J259" t="s">
        <v>9065</v>
      </c>
      <c r="K259">
        <v>10468</v>
      </c>
      <c r="L259" t="s">
        <v>9094</v>
      </c>
      <c r="M259" t="s">
        <v>9094</v>
      </c>
      <c r="N259" t="s">
        <v>9219</v>
      </c>
      <c r="O259" t="s">
        <v>11130</v>
      </c>
      <c r="P259" t="s">
        <v>11165</v>
      </c>
      <c r="Q259" t="s">
        <v>11174</v>
      </c>
      <c r="R259" t="s">
        <v>11180</v>
      </c>
      <c r="S259" t="s">
        <v>9094</v>
      </c>
      <c r="T259" t="s">
        <v>11183</v>
      </c>
      <c r="V259" t="s">
        <v>738</v>
      </c>
      <c r="W259">
        <v>1100</v>
      </c>
      <c r="X259" t="s">
        <v>11333</v>
      </c>
      <c r="Y259" t="s">
        <v>11346</v>
      </c>
      <c r="Z259" t="s">
        <v>11554</v>
      </c>
      <c r="AB259" t="s">
        <v>16047</v>
      </c>
      <c r="AC259">
        <v>0</v>
      </c>
      <c r="AD259" t="s">
        <v>19566</v>
      </c>
      <c r="AE259" t="s">
        <v>19580</v>
      </c>
      <c r="AF259">
        <v>38</v>
      </c>
      <c r="AG259">
        <v>2</v>
      </c>
      <c r="AH259">
        <v>0</v>
      </c>
      <c r="AI259">
        <v>0</v>
      </c>
      <c r="AL259" t="s">
        <v>19614</v>
      </c>
      <c r="AM259">
        <v>0</v>
      </c>
      <c r="AS259">
        <v>0.5</v>
      </c>
      <c r="AT259" t="s">
        <v>275</v>
      </c>
      <c r="AU259" t="s">
        <v>20642</v>
      </c>
    </row>
    <row r="260" spans="1:48">
      <c r="A260" s="1">
        <f>HYPERLINK("https://lsnyc.legalserver.org/matter/dynamic-profile/view/0826011","17-0826011")</f>
        <v>0</v>
      </c>
      <c r="B260" t="s">
        <v>104</v>
      </c>
      <c r="C260" t="s">
        <v>256</v>
      </c>
      <c r="D260" t="s">
        <v>420</v>
      </c>
      <c r="F260" t="s">
        <v>1312</v>
      </c>
      <c r="G260" t="s">
        <v>2118</v>
      </c>
      <c r="H260" t="s">
        <v>5855</v>
      </c>
      <c r="I260" t="s">
        <v>8168</v>
      </c>
      <c r="J260" t="s">
        <v>9065</v>
      </c>
      <c r="K260">
        <v>10467</v>
      </c>
      <c r="L260" t="s">
        <v>9094</v>
      </c>
      <c r="M260" t="s">
        <v>9095</v>
      </c>
      <c r="N260" t="s">
        <v>9220</v>
      </c>
      <c r="O260" t="s">
        <v>11143</v>
      </c>
      <c r="P260" t="s">
        <v>11165</v>
      </c>
      <c r="R260" t="s">
        <v>11180</v>
      </c>
      <c r="S260" t="s">
        <v>9094</v>
      </c>
      <c r="T260" t="s">
        <v>11183</v>
      </c>
      <c r="V260" t="s">
        <v>11219</v>
      </c>
      <c r="W260">
        <v>1811</v>
      </c>
      <c r="X260" t="s">
        <v>11333</v>
      </c>
      <c r="Y260" t="s">
        <v>11338</v>
      </c>
      <c r="Z260" t="s">
        <v>11555</v>
      </c>
      <c r="AA260" t="s">
        <v>15307</v>
      </c>
      <c r="AB260" t="s">
        <v>16048</v>
      </c>
      <c r="AC260">
        <v>30</v>
      </c>
      <c r="AD260" t="s">
        <v>19566</v>
      </c>
      <c r="AE260" t="s">
        <v>19580</v>
      </c>
      <c r="AF260">
        <v>5</v>
      </c>
      <c r="AG260">
        <v>2</v>
      </c>
      <c r="AH260">
        <v>3</v>
      </c>
      <c r="AI260">
        <v>0</v>
      </c>
      <c r="AJ260" t="s">
        <v>865</v>
      </c>
      <c r="AL260" t="s">
        <v>19614</v>
      </c>
      <c r="AM260">
        <v>0</v>
      </c>
      <c r="AS260">
        <v>0.2</v>
      </c>
      <c r="AT260" t="s">
        <v>753</v>
      </c>
      <c r="AU260" t="s">
        <v>20643</v>
      </c>
    </row>
    <row r="261" spans="1:48">
      <c r="A261" s="1">
        <f>HYPERLINK("https://lsnyc.legalserver.org/matter/dynamic-profile/view/0826016","17-0826016")</f>
        <v>0</v>
      </c>
      <c r="B261" t="s">
        <v>105</v>
      </c>
      <c r="C261" t="s">
        <v>256</v>
      </c>
      <c r="D261" t="s">
        <v>420</v>
      </c>
      <c r="F261" t="s">
        <v>1313</v>
      </c>
      <c r="G261" t="s">
        <v>3195</v>
      </c>
      <c r="H261" t="s">
        <v>5855</v>
      </c>
      <c r="I261" t="s">
        <v>8134</v>
      </c>
      <c r="J261" t="s">
        <v>9065</v>
      </c>
      <c r="K261">
        <v>10467</v>
      </c>
      <c r="L261" t="s">
        <v>9094</v>
      </c>
      <c r="M261" t="s">
        <v>9095</v>
      </c>
      <c r="N261" t="s">
        <v>9220</v>
      </c>
      <c r="O261" t="s">
        <v>11143</v>
      </c>
      <c r="P261" t="s">
        <v>11165</v>
      </c>
      <c r="R261" t="s">
        <v>11180</v>
      </c>
      <c r="S261" t="s">
        <v>9094</v>
      </c>
      <c r="T261" t="s">
        <v>11183</v>
      </c>
      <c r="V261" t="s">
        <v>734</v>
      </c>
      <c r="W261">
        <v>0</v>
      </c>
      <c r="X261" t="s">
        <v>11333</v>
      </c>
      <c r="Y261" t="s">
        <v>11338</v>
      </c>
      <c r="Z261" t="s">
        <v>11556</v>
      </c>
      <c r="AA261">
        <v>5575353</v>
      </c>
      <c r="AB261" t="s">
        <v>16049</v>
      </c>
      <c r="AC261">
        <v>30</v>
      </c>
      <c r="AD261" t="s">
        <v>19566</v>
      </c>
      <c r="AE261" t="s">
        <v>19580</v>
      </c>
      <c r="AF261">
        <v>3</v>
      </c>
      <c r="AG261">
        <v>1</v>
      </c>
      <c r="AH261">
        <v>0</v>
      </c>
      <c r="AI261">
        <v>0</v>
      </c>
      <c r="AJ261" t="s">
        <v>865</v>
      </c>
      <c r="AL261" t="s">
        <v>19614</v>
      </c>
      <c r="AM261">
        <v>0</v>
      </c>
      <c r="AN261" t="s">
        <v>19686</v>
      </c>
      <c r="AS261">
        <v>0.5</v>
      </c>
      <c r="AT261" t="s">
        <v>20584</v>
      </c>
      <c r="AU261" t="s">
        <v>20643</v>
      </c>
    </row>
    <row r="262" spans="1:48">
      <c r="A262" s="1">
        <f>HYPERLINK("https://lsnyc.legalserver.org/matter/dynamic-profile/view/1894599","19-1894599")</f>
        <v>0</v>
      </c>
      <c r="B262" t="s">
        <v>99</v>
      </c>
      <c r="C262" t="s">
        <v>257</v>
      </c>
      <c r="D262" t="s">
        <v>421</v>
      </c>
      <c r="E262" t="s">
        <v>362</v>
      </c>
      <c r="F262" t="s">
        <v>1314</v>
      </c>
      <c r="G262" t="s">
        <v>3499</v>
      </c>
      <c r="H262" t="s">
        <v>5856</v>
      </c>
      <c r="I262" t="s">
        <v>8215</v>
      </c>
      <c r="J262" t="s">
        <v>9065</v>
      </c>
      <c r="K262">
        <v>10467</v>
      </c>
      <c r="L262" t="s">
        <v>9094</v>
      </c>
      <c r="M262" t="s">
        <v>9094</v>
      </c>
      <c r="O262" t="s">
        <v>9121</v>
      </c>
      <c r="P262" t="s">
        <v>11164</v>
      </c>
      <c r="Q262" t="s">
        <v>11172</v>
      </c>
      <c r="R262" t="s">
        <v>11180</v>
      </c>
      <c r="S262" t="s">
        <v>9096</v>
      </c>
      <c r="T262" t="s">
        <v>11183</v>
      </c>
      <c r="V262" t="s">
        <v>421</v>
      </c>
      <c r="W262">
        <v>0</v>
      </c>
      <c r="X262" t="s">
        <v>11333</v>
      </c>
      <c r="Y262" t="s">
        <v>11346</v>
      </c>
      <c r="Z262" t="s">
        <v>11557</v>
      </c>
      <c r="AB262" t="s">
        <v>16050</v>
      </c>
      <c r="AC262">
        <v>49</v>
      </c>
      <c r="AD262" t="s">
        <v>19566</v>
      </c>
      <c r="AE262" t="s">
        <v>9144</v>
      </c>
      <c r="AF262">
        <v>0</v>
      </c>
      <c r="AG262">
        <v>1</v>
      </c>
      <c r="AH262">
        <v>0</v>
      </c>
      <c r="AI262">
        <v>0</v>
      </c>
      <c r="AL262" t="s">
        <v>19615</v>
      </c>
      <c r="AM262">
        <v>0</v>
      </c>
      <c r="AS262">
        <v>1.8</v>
      </c>
      <c r="AT262" t="s">
        <v>362</v>
      </c>
      <c r="AU262" t="s">
        <v>99</v>
      </c>
    </row>
    <row r="263" spans="1:48">
      <c r="A263" s="1">
        <f>HYPERLINK("https://lsnyc.legalserver.org/matter/dynamic-profile/view/1895116","19-1895116")</f>
        <v>0</v>
      </c>
      <c r="B263" t="s">
        <v>106</v>
      </c>
      <c r="C263" t="s">
        <v>256</v>
      </c>
      <c r="D263" t="s">
        <v>278</v>
      </c>
      <c r="F263" t="s">
        <v>1315</v>
      </c>
      <c r="G263" t="s">
        <v>1488</v>
      </c>
      <c r="H263" t="s">
        <v>5857</v>
      </c>
      <c r="J263" t="s">
        <v>9065</v>
      </c>
      <c r="K263">
        <v>10467</v>
      </c>
      <c r="L263" t="s">
        <v>9094</v>
      </c>
      <c r="M263" t="s">
        <v>9094</v>
      </c>
      <c r="N263" t="s">
        <v>9171</v>
      </c>
      <c r="O263" t="s">
        <v>11144</v>
      </c>
      <c r="P263" t="s">
        <v>11166</v>
      </c>
      <c r="R263" t="s">
        <v>11181</v>
      </c>
      <c r="S263" t="s">
        <v>9096</v>
      </c>
      <c r="T263" t="s">
        <v>11188</v>
      </c>
      <c r="V263" t="s">
        <v>296</v>
      </c>
      <c r="W263">
        <v>670</v>
      </c>
      <c r="X263" t="s">
        <v>11333</v>
      </c>
      <c r="Y263" t="s">
        <v>11337</v>
      </c>
      <c r="Z263" t="s">
        <v>11558</v>
      </c>
      <c r="AA263" t="s">
        <v>15308</v>
      </c>
      <c r="AC263">
        <v>300</v>
      </c>
      <c r="AD263" t="s">
        <v>19573</v>
      </c>
      <c r="AE263" t="s">
        <v>9144</v>
      </c>
      <c r="AF263">
        <v>-1</v>
      </c>
      <c r="AG263">
        <v>1</v>
      </c>
      <c r="AH263">
        <v>0</v>
      </c>
      <c r="AI263">
        <v>0</v>
      </c>
      <c r="AJ263" t="s">
        <v>19591</v>
      </c>
      <c r="AK263" t="s">
        <v>19608</v>
      </c>
      <c r="AL263" t="s">
        <v>19614</v>
      </c>
      <c r="AM263">
        <v>0</v>
      </c>
      <c r="AS263">
        <v>14.5</v>
      </c>
      <c r="AT263" t="s">
        <v>703</v>
      </c>
      <c r="AU263" t="s">
        <v>220</v>
      </c>
      <c r="AV263" t="s">
        <v>20734</v>
      </c>
    </row>
    <row r="264" spans="1:48">
      <c r="A264" s="1">
        <f>HYPERLINK("https://lsnyc.legalserver.org/matter/dynamic-profile/view/1901275","19-1901275")</f>
        <v>0</v>
      </c>
      <c r="B264" t="s">
        <v>107</v>
      </c>
      <c r="C264" t="s">
        <v>256</v>
      </c>
      <c r="D264" t="s">
        <v>422</v>
      </c>
      <c r="F264" t="s">
        <v>1316</v>
      </c>
      <c r="G264" t="s">
        <v>3500</v>
      </c>
      <c r="H264" t="s">
        <v>5858</v>
      </c>
      <c r="I264" t="s">
        <v>8216</v>
      </c>
      <c r="J264" t="s">
        <v>9065</v>
      </c>
      <c r="K264">
        <v>10467</v>
      </c>
      <c r="L264" t="s">
        <v>9094</v>
      </c>
      <c r="M264" t="s">
        <v>9095</v>
      </c>
      <c r="N264" t="s">
        <v>9171</v>
      </c>
      <c r="O264" t="s">
        <v>11133</v>
      </c>
      <c r="P264" t="s">
        <v>11168</v>
      </c>
      <c r="R264" t="s">
        <v>11180</v>
      </c>
      <c r="S264" t="s">
        <v>9096</v>
      </c>
      <c r="T264" t="s">
        <v>11189</v>
      </c>
      <c r="V264" t="s">
        <v>422</v>
      </c>
      <c r="W264">
        <v>1069.23</v>
      </c>
      <c r="X264" t="s">
        <v>11333</v>
      </c>
      <c r="Y264" t="s">
        <v>11345</v>
      </c>
      <c r="Z264" t="s">
        <v>11559</v>
      </c>
      <c r="AA264" t="s">
        <v>15309</v>
      </c>
      <c r="AB264" t="s">
        <v>16051</v>
      </c>
      <c r="AC264">
        <v>37</v>
      </c>
      <c r="AD264" t="s">
        <v>19566</v>
      </c>
      <c r="AF264">
        <v>25</v>
      </c>
      <c r="AG264">
        <v>4</v>
      </c>
      <c r="AH264">
        <v>0</v>
      </c>
      <c r="AI264">
        <v>0</v>
      </c>
      <c r="AL264" t="s">
        <v>19614</v>
      </c>
      <c r="AM264">
        <v>0</v>
      </c>
      <c r="AS264">
        <v>9.85</v>
      </c>
      <c r="AT264" t="s">
        <v>331</v>
      </c>
      <c r="AU264" t="s">
        <v>107</v>
      </c>
      <c r="AV264" t="s">
        <v>20734</v>
      </c>
    </row>
    <row r="265" spans="1:48">
      <c r="A265" s="1">
        <f>HYPERLINK("https://lsnyc.legalserver.org/matter/dynamic-profile/view/1893033","19-1893033")</f>
        <v>0</v>
      </c>
      <c r="B265" t="s">
        <v>108</v>
      </c>
      <c r="C265" t="s">
        <v>256</v>
      </c>
      <c r="D265" t="s">
        <v>423</v>
      </c>
      <c r="F265" t="s">
        <v>1317</v>
      </c>
      <c r="G265" t="s">
        <v>3501</v>
      </c>
      <c r="H265" t="s">
        <v>5859</v>
      </c>
      <c r="I265" t="s">
        <v>8176</v>
      </c>
      <c r="J265" t="s">
        <v>9065</v>
      </c>
      <c r="K265">
        <v>10467</v>
      </c>
      <c r="L265" t="s">
        <v>9094</v>
      </c>
      <c r="M265" t="s">
        <v>9094</v>
      </c>
      <c r="P265" t="s">
        <v>11166</v>
      </c>
      <c r="R265" t="s">
        <v>11180</v>
      </c>
      <c r="S265" t="s">
        <v>9094</v>
      </c>
      <c r="T265" t="s">
        <v>11183</v>
      </c>
      <c r="V265" t="s">
        <v>11218</v>
      </c>
      <c r="W265">
        <v>1500</v>
      </c>
      <c r="X265" t="s">
        <v>11333</v>
      </c>
      <c r="Y265" t="s">
        <v>11339</v>
      </c>
      <c r="Z265" t="s">
        <v>11560</v>
      </c>
      <c r="AC265">
        <v>122</v>
      </c>
      <c r="AD265" t="s">
        <v>19565</v>
      </c>
      <c r="AE265" t="s">
        <v>9144</v>
      </c>
      <c r="AF265">
        <v>6</v>
      </c>
      <c r="AG265">
        <v>1</v>
      </c>
      <c r="AH265">
        <v>0</v>
      </c>
      <c r="AI265">
        <v>0</v>
      </c>
      <c r="AL265" t="s">
        <v>19614</v>
      </c>
      <c r="AM265">
        <v>0</v>
      </c>
      <c r="AS265">
        <v>0</v>
      </c>
      <c r="AU265" t="s">
        <v>220</v>
      </c>
      <c r="AV265" t="s">
        <v>20733</v>
      </c>
    </row>
    <row r="266" spans="1:48">
      <c r="A266" s="1">
        <f>HYPERLINK("https://lsnyc.legalserver.org/matter/dynamic-profile/view/1913859","19-1913859")</f>
        <v>0</v>
      </c>
      <c r="B266" t="s">
        <v>109</v>
      </c>
      <c r="C266" t="s">
        <v>256</v>
      </c>
      <c r="D266" t="s">
        <v>301</v>
      </c>
      <c r="F266" t="s">
        <v>1318</v>
      </c>
      <c r="G266" t="s">
        <v>3502</v>
      </c>
      <c r="H266" t="s">
        <v>5860</v>
      </c>
      <c r="J266" t="s">
        <v>9065</v>
      </c>
      <c r="K266">
        <v>10466</v>
      </c>
      <c r="L266" t="s">
        <v>9094</v>
      </c>
      <c r="M266" t="s">
        <v>9095</v>
      </c>
      <c r="P266" t="s">
        <v>11167</v>
      </c>
      <c r="R266" t="s">
        <v>11180</v>
      </c>
      <c r="T266" t="s">
        <v>11183</v>
      </c>
      <c r="W266">
        <v>0</v>
      </c>
      <c r="X266" t="s">
        <v>11333</v>
      </c>
      <c r="Y266" t="s">
        <v>11339</v>
      </c>
      <c r="Z266" t="s">
        <v>11561</v>
      </c>
      <c r="AA266" t="s">
        <v>15310</v>
      </c>
      <c r="AB266" t="s">
        <v>16052</v>
      </c>
      <c r="AC266">
        <v>4</v>
      </c>
      <c r="AE266" t="s">
        <v>19582</v>
      </c>
      <c r="AF266">
        <v>0</v>
      </c>
      <c r="AG266">
        <v>1</v>
      </c>
      <c r="AH266">
        <v>1</v>
      </c>
      <c r="AI266">
        <v>0</v>
      </c>
      <c r="AL266" t="s">
        <v>19614</v>
      </c>
      <c r="AM266">
        <v>0</v>
      </c>
      <c r="AS266">
        <v>0.5</v>
      </c>
      <c r="AT266" t="s">
        <v>270</v>
      </c>
      <c r="AU266" t="s">
        <v>109</v>
      </c>
      <c r="AV266" t="s">
        <v>20733</v>
      </c>
    </row>
    <row r="267" spans="1:48">
      <c r="A267" s="1">
        <f>HYPERLINK("https://lsnyc.legalserver.org/matter/dynamic-profile/view/1908112","19-1908112")</f>
        <v>0</v>
      </c>
      <c r="B267" t="s">
        <v>110</v>
      </c>
      <c r="C267" t="s">
        <v>257</v>
      </c>
      <c r="D267" t="s">
        <v>288</v>
      </c>
      <c r="E267" t="s">
        <v>574</v>
      </c>
      <c r="F267" t="s">
        <v>1319</v>
      </c>
      <c r="G267" t="s">
        <v>3394</v>
      </c>
      <c r="H267" t="s">
        <v>5861</v>
      </c>
      <c r="I267" t="s">
        <v>8151</v>
      </c>
      <c r="J267" t="s">
        <v>9065</v>
      </c>
      <c r="K267">
        <v>10463</v>
      </c>
      <c r="L267" t="s">
        <v>9094</v>
      </c>
      <c r="M267" t="s">
        <v>9095</v>
      </c>
      <c r="O267" t="s">
        <v>9121</v>
      </c>
      <c r="P267" t="s">
        <v>11167</v>
      </c>
      <c r="Q267" t="s">
        <v>11173</v>
      </c>
      <c r="R267" t="s">
        <v>11180</v>
      </c>
      <c r="T267" t="s">
        <v>11183</v>
      </c>
      <c r="W267">
        <v>884.9400000000001</v>
      </c>
      <c r="X267" t="s">
        <v>11333</v>
      </c>
      <c r="AB267" t="s">
        <v>16053</v>
      </c>
      <c r="AC267">
        <v>0</v>
      </c>
      <c r="AE267" t="s">
        <v>9144</v>
      </c>
      <c r="AF267">
        <v>38</v>
      </c>
      <c r="AG267">
        <v>1</v>
      </c>
      <c r="AH267">
        <v>0</v>
      </c>
      <c r="AI267">
        <v>0</v>
      </c>
      <c r="AL267" t="s">
        <v>19614</v>
      </c>
      <c r="AM267">
        <v>0</v>
      </c>
      <c r="AS267">
        <v>1.75</v>
      </c>
      <c r="AT267" t="s">
        <v>551</v>
      </c>
      <c r="AU267" t="s">
        <v>110</v>
      </c>
      <c r="AV267" t="s">
        <v>20733</v>
      </c>
    </row>
    <row r="268" spans="1:48">
      <c r="A268" s="1">
        <f>HYPERLINK("https://lsnyc.legalserver.org/matter/dynamic-profile/view/1903259","19-1903259")</f>
        <v>0</v>
      </c>
      <c r="B268" t="s">
        <v>111</v>
      </c>
      <c r="C268" t="s">
        <v>256</v>
      </c>
      <c r="D268" t="s">
        <v>280</v>
      </c>
      <c r="F268" t="s">
        <v>1320</v>
      </c>
      <c r="G268" t="s">
        <v>3503</v>
      </c>
      <c r="H268" t="s">
        <v>5862</v>
      </c>
      <c r="I268" t="s">
        <v>8170</v>
      </c>
      <c r="J268" t="s">
        <v>9065</v>
      </c>
      <c r="K268">
        <v>10462</v>
      </c>
      <c r="L268" t="s">
        <v>9094</v>
      </c>
      <c r="M268" t="s">
        <v>9095</v>
      </c>
      <c r="N268" t="s">
        <v>9221</v>
      </c>
      <c r="O268" t="s">
        <v>11129</v>
      </c>
      <c r="P268" t="s">
        <v>11169</v>
      </c>
      <c r="R268" t="s">
        <v>11181</v>
      </c>
      <c r="S268" t="s">
        <v>9096</v>
      </c>
      <c r="T268" t="s">
        <v>11183</v>
      </c>
      <c r="U268" t="s">
        <v>11201</v>
      </c>
      <c r="W268">
        <v>1700</v>
      </c>
      <c r="X268" t="s">
        <v>11333</v>
      </c>
      <c r="Y268" t="s">
        <v>11345</v>
      </c>
      <c r="Z268" t="s">
        <v>11562</v>
      </c>
      <c r="AA268" t="s">
        <v>15311</v>
      </c>
      <c r="AB268" t="s">
        <v>16054</v>
      </c>
      <c r="AC268">
        <v>4</v>
      </c>
      <c r="AD268" t="s">
        <v>15441</v>
      </c>
      <c r="AE268" t="s">
        <v>9144</v>
      </c>
      <c r="AF268">
        <v>3</v>
      </c>
      <c r="AG268">
        <v>1</v>
      </c>
      <c r="AH268">
        <v>1</v>
      </c>
      <c r="AI268">
        <v>0</v>
      </c>
      <c r="AJ268" t="s">
        <v>19591</v>
      </c>
      <c r="AK268" t="s">
        <v>19608</v>
      </c>
      <c r="AL268" t="s">
        <v>19615</v>
      </c>
      <c r="AM268">
        <v>0</v>
      </c>
      <c r="AS268">
        <v>1.1</v>
      </c>
      <c r="AT268" t="s">
        <v>280</v>
      </c>
      <c r="AU268" t="s">
        <v>220</v>
      </c>
      <c r="AV268" t="s">
        <v>20734</v>
      </c>
    </row>
    <row r="269" spans="1:48">
      <c r="A269" s="1">
        <f>HYPERLINK("https://lsnyc.legalserver.org/matter/dynamic-profile/view/1908417","19-1908417")</f>
        <v>0</v>
      </c>
      <c r="B269" t="s">
        <v>112</v>
      </c>
      <c r="C269" t="s">
        <v>256</v>
      </c>
      <c r="D269" t="s">
        <v>314</v>
      </c>
      <c r="F269" t="s">
        <v>1321</v>
      </c>
      <c r="G269" t="s">
        <v>3497</v>
      </c>
      <c r="H269" t="s">
        <v>5863</v>
      </c>
      <c r="I269" t="s">
        <v>8217</v>
      </c>
      <c r="J269" t="s">
        <v>9065</v>
      </c>
      <c r="K269">
        <v>10462</v>
      </c>
      <c r="L269" t="s">
        <v>9094</v>
      </c>
      <c r="M269" t="s">
        <v>9095</v>
      </c>
      <c r="O269" t="s">
        <v>11145</v>
      </c>
      <c r="P269" t="s">
        <v>11166</v>
      </c>
      <c r="R269" t="s">
        <v>11180</v>
      </c>
      <c r="S269" t="s">
        <v>9096</v>
      </c>
      <c r="T269" t="s">
        <v>11190</v>
      </c>
      <c r="W269">
        <v>0</v>
      </c>
      <c r="X269" t="s">
        <v>11333</v>
      </c>
      <c r="Y269" t="s">
        <v>11340</v>
      </c>
      <c r="Z269" t="s">
        <v>11563</v>
      </c>
      <c r="AA269" t="s">
        <v>15312</v>
      </c>
      <c r="AB269" t="s">
        <v>16055</v>
      </c>
      <c r="AC269">
        <v>79</v>
      </c>
      <c r="AD269" t="s">
        <v>19566</v>
      </c>
      <c r="AE269" t="s">
        <v>19580</v>
      </c>
      <c r="AF269">
        <v>8</v>
      </c>
      <c r="AG269">
        <v>2</v>
      </c>
      <c r="AH269">
        <v>0</v>
      </c>
      <c r="AI269">
        <v>0</v>
      </c>
      <c r="AL269" t="s">
        <v>19614</v>
      </c>
      <c r="AM269">
        <v>0</v>
      </c>
      <c r="AS269">
        <v>0.5</v>
      </c>
      <c r="AT269" t="s">
        <v>314</v>
      </c>
      <c r="AU269" t="s">
        <v>20644</v>
      </c>
      <c r="AV269" t="s">
        <v>20733</v>
      </c>
    </row>
    <row r="270" spans="1:48">
      <c r="A270" s="1">
        <f>HYPERLINK("https://lsnyc.legalserver.org/matter/dynamic-profile/view/1885679","18-1885679")</f>
        <v>0</v>
      </c>
      <c r="B270" t="s">
        <v>113</v>
      </c>
      <c r="C270" t="s">
        <v>256</v>
      </c>
      <c r="D270" t="s">
        <v>424</v>
      </c>
      <c r="F270" t="s">
        <v>1146</v>
      </c>
      <c r="G270" t="s">
        <v>3504</v>
      </c>
      <c r="H270" t="s">
        <v>5864</v>
      </c>
      <c r="I270" t="s">
        <v>8218</v>
      </c>
      <c r="J270" t="s">
        <v>9065</v>
      </c>
      <c r="K270">
        <v>10460</v>
      </c>
      <c r="L270" t="s">
        <v>9094</v>
      </c>
      <c r="M270" t="s">
        <v>9094</v>
      </c>
      <c r="N270" t="s">
        <v>9222</v>
      </c>
      <c r="O270" t="s">
        <v>11130</v>
      </c>
      <c r="P270" t="s">
        <v>11165</v>
      </c>
      <c r="R270" t="s">
        <v>11180</v>
      </c>
      <c r="S270" t="s">
        <v>9094</v>
      </c>
      <c r="T270" t="s">
        <v>11183</v>
      </c>
      <c r="V270" t="s">
        <v>512</v>
      </c>
      <c r="W270">
        <v>0</v>
      </c>
      <c r="X270" t="s">
        <v>11333</v>
      </c>
      <c r="Y270" t="s">
        <v>11346</v>
      </c>
      <c r="Z270" t="s">
        <v>11564</v>
      </c>
      <c r="AB270" t="s">
        <v>16056</v>
      </c>
      <c r="AC270">
        <v>168</v>
      </c>
      <c r="AD270" t="s">
        <v>19569</v>
      </c>
      <c r="AE270" t="s">
        <v>19580</v>
      </c>
      <c r="AF270">
        <v>3</v>
      </c>
      <c r="AG270">
        <v>2</v>
      </c>
      <c r="AH270">
        <v>1</v>
      </c>
      <c r="AI270">
        <v>0</v>
      </c>
      <c r="AL270" t="s">
        <v>19614</v>
      </c>
      <c r="AM270">
        <v>0</v>
      </c>
      <c r="AS270">
        <v>0</v>
      </c>
      <c r="AU270" t="s">
        <v>20642</v>
      </c>
    </row>
    <row r="271" spans="1:48">
      <c r="A271" s="1">
        <f>HYPERLINK("https://lsnyc.legalserver.org/matter/dynamic-profile/view/1885683","18-1885683")</f>
        <v>0</v>
      </c>
      <c r="B271" t="s">
        <v>113</v>
      </c>
      <c r="C271" t="s">
        <v>257</v>
      </c>
      <c r="D271" t="s">
        <v>424</v>
      </c>
      <c r="E271" t="s">
        <v>301</v>
      </c>
      <c r="F271" t="s">
        <v>1322</v>
      </c>
      <c r="G271" t="s">
        <v>3505</v>
      </c>
      <c r="H271" t="s">
        <v>5864</v>
      </c>
      <c r="I271" t="s">
        <v>8134</v>
      </c>
      <c r="J271" t="s">
        <v>9065</v>
      </c>
      <c r="K271">
        <v>10460</v>
      </c>
      <c r="L271" t="s">
        <v>9094</v>
      </c>
      <c r="M271" t="s">
        <v>9094</v>
      </c>
      <c r="N271" t="s">
        <v>9222</v>
      </c>
      <c r="O271" t="s">
        <v>11130</v>
      </c>
      <c r="P271" t="s">
        <v>11165</v>
      </c>
      <c r="Q271" t="s">
        <v>11174</v>
      </c>
      <c r="R271" t="s">
        <v>11180</v>
      </c>
      <c r="S271" t="s">
        <v>9094</v>
      </c>
      <c r="T271" t="s">
        <v>11183</v>
      </c>
      <c r="V271" t="s">
        <v>512</v>
      </c>
      <c r="W271">
        <v>1100</v>
      </c>
      <c r="X271" t="s">
        <v>11333</v>
      </c>
      <c r="Y271" t="s">
        <v>11346</v>
      </c>
      <c r="Z271" t="s">
        <v>11565</v>
      </c>
      <c r="AB271" t="s">
        <v>16057</v>
      </c>
      <c r="AC271">
        <v>168</v>
      </c>
      <c r="AD271" t="s">
        <v>19566</v>
      </c>
      <c r="AE271" t="s">
        <v>11157</v>
      </c>
      <c r="AF271">
        <v>4</v>
      </c>
      <c r="AG271">
        <v>2</v>
      </c>
      <c r="AH271">
        <v>0</v>
      </c>
      <c r="AI271">
        <v>0</v>
      </c>
      <c r="AL271" t="s">
        <v>19614</v>
      </c>
      <c r="AM271">
        <v>0</v>
      </c>
      <c r="AS271">
        <v>0.25</v>
      </c>
      <c r="AT271" t="s">
        <v>301</v>
      </c>
      <c r="AU271" t="s">
        <v>20642</v>
      </c>
    </row>
    <row r="272" spans="1:48">
      <c r="A272" s="1">
        <f>HYPERLINK("https://lsnyc.legalserver.org/matter/dynamic-profile/view/1900522","19-1900522")</f>
        <v>0</v>
      </c>
      <c r="B272" t="s">
        <v>113</v>
      </c>
      <c r="C272" t="s">
        <v>256</v>
      </c>
      <c r="D272" t="s">
        <v>283</v>
      </c>
      <c r="F272" t="s">
        <v>1146</v>
      </c>
      <c r="G272" t="s">
        <v>3504</v>
      </c>
      <c r="H272" t="s">
        <v>5864</v>
      </c>
      <c r="I272" t="s">
        <v>8218</v>
      </c>
      <c r="J272" t="s">
        <v>9065</v>
      </c>
      <c r="K272">
        <v>10460</v>
      </c>
      <c r="L272" t="s">
        <v>9094</v>
      </c>
      <c r="M272" t="s">
        <v>9095</v>
      </c>
      <c r="N272" t="s">
        <v>9171</v>
      </c>
      <c r="O272" t="s">
        <v>9121</v>
      </c>
      <c r="P272" t="s">
        <v>11166</v>
      </c>
      <c r="R272" t="s">
        <v>11180</v>
      </c>
      <c r="S272" t="s">
        <v>9096</v>
      </c>
      <c r="T272" t="s">
        <v>11183</v>
      </c>
      <c r="V272" t="s">
        <v>11218</v>
      </c>
      <c r="W272">
        <v>0</v>
      </c>
      <c r="X272" t="s">
        <v>11333</v>
      </c>
      <c r="Y272" t="s">
        <v>11340</v>
      </c>
      <c r="Z272" t="s">
        <v>11564</v>
      </c>
      <c r="AB272" t="s">
        <v>16056</v>
      </c>
      <c r="AC272">
        <v>168</v>
      </c>
      <c r="AD272" t="s">
        <v>19569</v>
      </c>
      <c r="AE272" t="s">
        <v>19580</v>
      </c>
      <c r="AF272">
        <v>3</v>
      </c>
      <c r="AG272">
        <v>2</v>
      </c>
      <c r="AH272">
        <v>1</v>
      </c>
      <c r="AI272">
        <v>0</v>
      </c>
      <c r="AL272" t="s">
        <v>19614</v>
      </c>
      <c r="AM272">
        <v>0</v>
      </c>
      <c r="AS272">
        <v>0</v>
      </c>
      <c r="AU272" t="s">
        <v>20642</v>
      </c>
      <c r="AV272" t="s">
        <v>20733</v>
      </c>
    </row>
    <row r="273" spans="1:48">
      <c r="A273" s="1">
        <f>HYPERLINK("https://lsnyc.legalserver.org/matter/dynamic-profile/view/1900526","19-1900526")</f>
        <v>0</v>
      </c>
      <c r="B273" t="s">
        <v>113</v>
      </c>
      <c r="C273" t="s">
        <v>256</v>
      </c>
      <c r="D273" t="s">
        <v>283</v>
      </c>
      <c r="F273" t="s">
        <v>1322</v>
      </c>
      <c r="G273" t="s">
        <v>3505</v>
      </c>
      <c r="H273" t="s">
        <v>5864</v>
      </c>
      <c r="I273" t="s">
        <v>8134</v>
      </c>
      <c r="J273" t="s">
        <v>9065</v>
      </c>
      <c r="K273">
        <v>10460</v>
      </c>
      <c r="L273" t="s">
        <v>9094</v>
      </c>
      <c r="M273" t="s">
        <v>9095</v>
      </c>
      <c r="N273" t="s">
        <v>9171</v>
      </c>
      <c r="O273" t="s">
        <v>9121</v>
      </c>
      <c r="P273" t="s">
        <v>11166</v>
      </c>
      <c r="R273" t="s">
        <v>11180</v>
      </c>
      <c r="S273" t="s">
        <v>9094</v>
      </c>
      <c r="T273" t="s">
        <v>11183</v>
      </c>
      <c r="V273" t="s">
        <v>11218</v>
      </c>
      <c r="W273">
        <v>1100</v>
      </c>
      <c r="X273" t="s">
        <v>11333</v>
      </c>
      <c r="Y273" t="s">
        <v>11340</v>
      </c>
      <c r="Z273" t="s">
        <v>11565</v>
      </c>
      <c r="AB273" t="s">
        <v>16057</v>
      </c>
      <c r="AC273">
        <v>168</v>
      </c>
      <c r="AD273" t="s">
        <v>19566</v>
      </c>
      <c r="AE273" t="s">
        <v>11157</v>
      </c>
      <c r="AF273">
        <v>4</v>
      </c>
      <c r="AG273">
        <v>2</v>
      </c>
      <c r="AH273">
        <v>0</v>
      </c>
      <c r="AI273">
        <v>0</v>
      </c>
      <c r="AL273" t="s">
        <v>19614</v>
      </c>
      <c r="AM273">
        <v>0</v>
      </c>
      <c r="AS273">
        <v>0</v>
      </c>
      <c r="AU273" t="s">
        <v>20642</v>
      </c>
      <c r="AV273" t="s">
        <v>20733</v>
      </c>
    </row>
    <row r="274" spans="1:48">
      <c r="A274" s="1">
        <f>HYPERLINK("https://lsnyc.legalserver.org/matter/dynamic-profile/view/1880802","18-1880802")</f>
        <v>0</v>
      </c>
      <c r="B274" t="s">
        <v>114</v>
      </c>
      <c r="C274" t="s">
        <v>256</v>
      </c>
      <c r="D274" t="s">
        <v>285</v>
      </c>
      <c r="F274" t="s">
        <v>1323</v>
      </c>
      <c r="G274" t="s">
        <v>3506</v>
      </c>
      <c r="H274" t="s">
        <v>5865</v>
      </c>
      <c r="I274" t="s">
        <v>8125</v>
      </c>
      <c r="J274" t="s">
        <v>9065</v>
      </c>
      <c r="K274">
        <v>10460</v>
      </c>
      <c r="L274" t="s">
        <v>9094</v>
      </c>
      <c r="M274" t="s">
        <v>9094</v>
      </c>
      <c r="N274" t="s">
        <v>9223</v>
      </c>
      <c r="O274" t="s">
        <v>11129</v>
      </c>
      <c r="P274" t="s">
        <v>11165</v>
      </c>
      <c r="R274" t="s">
        <v>11180</v>
      </c>
      <c r="T274" t="s">
        <v>11183</v>
      </c>
      <c r="V274" t="s">
        <v>285</v>
      </c>
      <c r="W274">
        <v>1325</v>
      </c>
      <c r="X274" t="s">
        <v>11333</v>
      </c>
      <c r="Y274" t="s">
        <v>11157</v>
      </c>
      <c r="Z274" t="s">
        <v>11566</v>
      </c>
      <c r="AB274" t="s">
        <v>16058</v>
      </c>
      <c r="AC274">
        <v>44</v>
      </c>
      <c r="AD274" t="s">
        <v>15441</v>
      </c>
      <c r="AE274" t="s">
        <v>19580</v>
      </c>
      <c r="AF274">
        <v>3</v>
      </c>
      <c r="AG274">
        <v>2</v>
      </c>
      <c r="AH274">
        <v>3</v>
      </c>
      <c r="AI274">
        <v>0</v>
      </c>
      <c r="AL274" t="s">
        <v>19614</v>
      </c>
      <c r="AM274">
        <v>0</v>
      </c>
      <c r="AS274">
        <v>32.5</v>
      </c>
      <c r="AT274" t="s">
        <v>484</v>
      </c>
      <c r="AU274" t="s">
        <v>20619</v>
      </c>
    </row>
    <row r="275" spans="1:48">
      <c r="A275" s="1">
        <f>HYPERLINK("https://lsnyc.legalserver.org/matter/dynamic-profile/view/1901843","19-1901843")</f>
        <v>0</v>
      </c>
      <c r="B275" t="s">
        <v>115</v>
      </c>
      <c r="C275" t="s">
        <v>257</v>
      </c>
      <c r="D275" t="s">
        <v>425</v>
      </c>
      <c r="E275" t="s">
        <v>425</v>
      </c>
      <c r="F275" t="s">
        <v>1324</v>
      </c>
      <c r="G275" t="s">
        <v>3507</v>
      </c>
      <c r="H275" t="s">
        <v>5866</v>
      </c>
      <c r="I275" t="s">
        <v>8171</v>
      </c>
      <c r="J275" t="s">
        <v>9065</v>
      </c>
      <c r="K275">
        <v>10460</v>
      </c>
      <c r="L275" t="s">
        <v>9094</v>
      </c>
      <c r="M275" t="s">
        <v>9095</v>
      </c>
      <c r="N275" t="s">
        <v>9224</v>
      </c>
      <c r="O275" t="s">
        <v>11129</v>
      </c>
      <c r="P275" t="s">
        <v>11164</v>
      </c>
      <c r="Q275" t="s">
        <v>11172</v>
      </c>
      <c r="R275" t="s">
        <v>11180</v>
      </c>
      <c r="S275" t="s">
        <v>9096</v>
      </c>
      <c r="T275" t="s">
        <v>11183</v>
      </c>
      <c r="U275" t="s">
        <v>11202</v>
      </c>
      <c r="W275">
        <v>25</v>
      </c>
      <c r="X275" t="s">
        <v>11333</v>
      </c>
      <c r="Z275" t="s">
        <v>11567</v>
      </c>
      <c r="AB275" t="s">
        <v>16059</v>
      </c>
      <c r="AC275">
        <v>0</v>
      </c>
      <c r="AD275" t="s">
        <v>19571</v>
      </c>
      <c r="AE275" t="s">
        <v>11157</v>
      </c>
      <c r="AF275">
        <v>21</v>
      </c>
      <c r="AG275">
        <v>2</v>
      </c>
      <c r="AH275">
        <v>0</v>
      </c>
      <c r="AI275">
        <v>0</v>
      </c>
      <c r="AL275" t="s">
        <v>19614</v>
      </c>
      <c r="AM275">
        <v>0</v>
      </c>
      <c r="AS275">
        <v>0.1</v>
      </c>
      <c r="AT275" t="s">
        <v>425</v>
      </c>
      <c r="AU275" t="s">
        <v>115</v>
      </c>
      <c r="AV275" t="s">
        <v>20733</v>
      </c>
    </row>
    <row r="276" spans="1:48">
      <c r="A276" s="1">
        <f>HYPERLINK("https://lsnyc.legalserver.org/matter/dynamic-profile/view/1912937","19-1912937")</f>
        <v>0</v>
      </c>
      <c r="B276" t="s">
        <v>115</v>
      </c>
      <c r="C276" t="s">
        <v>256</v>
      </c>
      <c r="D276" t="s">
        <v>294</v>
      </c>
      <c r="F276" t="s">
        <v>1325</v>
      </c>
      <c r="G276" t="s">
        <v>1193</v>
      </c>
      <c r="H276" t="s">
        <v>5864</v>
      </c>
      <c r="I276" t="s">
        <v>8219</v>
      </c>
      <c r="J276" t="s">
        <v>9065</v>
      </c>
      <c r="K276">
        <v>10460</v>
      </c>
      <c r="L276" t="s">
        <v>9094</v>
      </c>
      <c r="M276" t="s">
        <v>9095</v>
      </c>
      <c r="N276" t="s">
        <v>9225</v>
      </c>
      <c r="O276" t="s">
        <v>11129</v>
      </c>
      <c r="P276" t="s">
        <v>11166</v>
      </c>
      <c r="R276" t="s">
        <v>11180</v>
      </c>
      <c r="S276" t="s">
        <v>9094</v>
      </c>
      <c r="T276" t="s">
        <v>11184</v>
      </c>
      <c r="U276" t="s">
        <v>11202</v>
      </c>
      <c r="W276">
        <v>140</v>
      </c>
      <c r="X276" t="s">
        <v>11333</v>
      </c>
      <c r="Y276" t="s">
        <v>11347</v>
      </c>
      <c r="Z276" t="s">
        <v>11568</v>
      </c>
      <c r="AA276" t="s">
        <v>15313</v>
      </c>
      <c r="AB276" t="s">
        <v>16060</v>
      </c>
      <c r="AC276">
        <v>0</v>
      </c>
      <c r="AD276" t="s">
        <v>19567</v>
      </c>
      <c r="AE276" t="s">
        <v>19580</v>
      </c>
      <c r="AF276">
        <v>12</v>
      </c>
      <c r="AG276">
        <v>1</v>
      </c>
      <c r="AH276">
        <v>1</v>
      </c>
      <c r="AI276">
        <v>0</v>
      </c>
      <c r="AL276" t="s">
        <v>19614</v>
      </c>
      <c r="AM276">
        <v>0</v>
      </c>
      <c r="AS276">
        <v>4.1</v>
      </c>
      <c r="AT276" t="s">
        <v>1135</v>
      </c>
      <c r="AU276" t="s">
        <v>115</v>
      </c>
      <c r="AV276" t="s">
        <v>20733</v>
      </c>
    </row>
    <row r="277" spans="1:48">
      <c r="A277" s="1">
        <f>HYPERLINK("https://lsnyc.legalserver.org/matter/dynamic-profile/view/1887213","19-1887213")</f>
        <v>0</v>
      </c>
      <c r="B277" t="s">
        <v>115</v>
      </c>
      <c r="C277" t="s">
        <v>257</v>
      </c>
      <c r="D277" t="s">
        <v>344</v>
      </c>
      <c r="E277" t="s">
        <v>1134</v>
      </c>
      <c r="F277" t="s">
        <v>1326</v>
      </c>
      <c r="G277" t="s">
        <v>3508</v>
      </c>
      <c r="H277" t="s">
        <v>5867</v>
      </c>
      <c r="I277" t="s">
        <v>8124</v>
      </c>
      <c r="J277" t="s">
        <v>9065</v>
      </c>
      <c r="K277">
        <v>10460</v>
      </c>
      <c r="L277" t="s">
        <v>9094</v>
      </c>
      <c r="M277" t="s">
        <v>9095</v>
      </c>
      <c r="O277" t="s">
        <v>11146</v>
      </c>
      <c r="P277" t="s">
        <v>11164</v>
      </c>
      <c r="Q277" t="s">
        <v>11172</v>
      </c>
      <c r="R277" t="s">
        <v>11180</v>
      </c>
      <c r="S277" t="s">
        <v>9096</v>
      </c>
      <c r="T277" t="s">
        <v>11184</v>
      </c>
      <c r="U277" t="s">
        <v>11201</v>
      </c>
      <c r="W277">
        <v>0</v>
      </c>
      <c r="X277" t="s">
        <v>11333</v>
      </c>
      <c r="Z277" t="s">
        <v>11569</v>
      </c>
      <c r="AB277" t="s">
        <v>16061</v>
      </c>
      <c r="AC277">
        <v>0</v>
      </c>
      <c r="AD277" t="s">
        <v>19566</v>
      </c>
      <c r="AF277">
        <v>0</v>
      </c>
      <c r="AG277">
        <v>1</v>
      </c>
      <c r="AH277">
        <v>2</v>
      </c>
      <c r="AI277">
        <v>0</v>
      </c>
      <c r="AL277" t="s">
        <v>19614</v>
      </c>
      <c r="AM277">
        <v>0</v>
      </c>
      <c r="AS277">
        <v>1.3</v>
      </c>
      <c r="AT277" t="s">
        <v>1134</v>
      </c>
      <c r="AU277" t="s">
        <v>163</v>
      </c>
      <c r="AV277" t="s">
        <v>20733</v>
      </c>
    </row>
    <row r="278" spans="1:48">
      <c r="A278" s="1">
        <f>HYPERLINK("https://lsnyc.legalserver.org/matter/dynamic-profile/view/1906843","19-1906843")</f>
        <v>0</v>
      </c>
      <c r="B278" t="s">
        <v>110</v>
      </c>
      <c r="C278" t="s">
        <v>257</v>
      </c>
      <c r="D278" t="s">
        <v>426</v>
      </c>
      <c r="E278" t="s">
        <v>574</v>
      </c>
      <c r="F278" t="s">
        <v>1150</v>
      </c>
      <c r="G278" t="s">
        <v>3509</v>
      </c>
      <c r="H278" t="s">
        <v>5868</v>
      </c>
      <c r="I278" t="s">
        <v>8170</v>
      </c>
      <c r="J278" t="s">
        <v>9065</v>
      </c>
      <c r="K278">
        <v>10459</v>
      </c>
      <c r="L278" t="s">
        <v>9094</v>
      </c>
      <c r="M278" t="s">
        <v>9095</v>
      </c>
      <c r="O278" t="s">
        <v>9121</v>
      </c>
      <c r="P278" t="s">
        <v>11167</v>
      </c>
      <c r="Q278" t="s">
        <v>11173</v>
      </c>
      <c r="R278" t="s">
        <v>11180</v>
      </c>
      <c r="S278" t="s">
        <v>9096</v>
      </c>
      <c r="T278" t="s">
        <v>11183</v>
      </c>
      <c r="W278">
        <v>1750</v>
      </c>
      <c r="X278" t="s">
        <v>11333</v>
      </c>
      <c r="Y278" t="s">
        <v>11340</v>
      </c>
      <c r="Z278" t="s">
        <v>11570</v>
      </c>
      <c r="AB278" t="s">
        <v>16062</v>
      </c>
      <c r="AC278">
        <v>0</v>
      </c>
      <c r="AD278" t="s">
        <v>15441</v>
      </c>
      <c r="AE278" t="s">
        <v>9144</v>
      </c>
      <c r="AF278">
        <v>1</v>
      </c>
      <c r="AG278">
        <v>2</v>
      </c>
      <c r="AH278">
        <v>0</v>
      </c>
      <c r="AI278">
        <v>0</v>
      </c>
      <c r="AL278" t="s">
        <v>19614</v>
      </c>
      <c r="AM278">
        <v>0</v>
      </c>
      <c r="AS278">
        <v>0.25</v>
      </c>
      <c r="AT278" t="s">
        <v>574</v>
      </c>
      <c r="AU278" t="s">
        <v>110</v>
      </c>
      <c r="AV278" t="s">
        <v>20733</v>
      </c>
    </row>
    <row r="279" spans="1:48">
      <c r="A279" s="1">
        <f>HYPERLINK("https://lsnyc.legalserver.org/matter/dynamic-profile/view/1903268","19-1903268")</f>
        <v>0</v>
      </c>
      <c r="B279" t="s">
        <v>113</v>
      </c>
      <c r="C279" t="s">
        <v>256</v>
      </c>
      <c r="D279" t="s">
        <v>280</v>
      </c>
      <c r="F279" t="s">
        <v>1327</v>
      </c>
      <c r="G279" t="s">
        <v>3510</v>
      </c>
      <c r="H279" t="s">
        <v>5869</v>
      </c>
      <c r="I279" t="s">
        <v>8192</v>
      </c>
      <c r="J279" t="s">
        <v>9065</v>
      </c>
      <c r="K279">
        <v>10459</v>
      </c>
      <c r="L279" t="s">
        <v>9094</v>
      </c>
      <c r="M279" t="s">
        <v>9095</v>
      </c>
      <c r="N279" t="s">
        <v>9226</v>
      </c>
      <c r="O279" t="s">
        <v>11129</v>
      </c>
      <c r="P279" t="s">
        <v>11165</v>
      </c>
      <c r="R279" t="s">
        <v>11180</v>
      </c>
      <c r="S279" t="s">
        <v>9096</v>
      </c>
      <c r="T279" t="s">
        <v>11183</v>
      </c>
      <c r="V279" t="s">
        <v>11218</v>
      </c>
      <c r="W279">
        <v>763</v>
      </c>
      <c r="X279" t="s">
        <v>11333</v>
      </c>
      <c r="Y279" t="s">
        <v>11157</v>
      </c>
      <c r="Z279" t="s">
        <v>11571</v>
      </c>
      <c r="AC279">
        <v>60</v>
      </c>
      <c r="AD279" t="s">
        <v>19566</v>
      </c>
      <c r="AE279" t="s">
        <v>19581</v>
      </c>
      <c r="AF279">
        <v>1</v>
      </c>
      <c r="AG279">
        <v>1</v>
      </c>
      <c r="AH279">
        <v>1</v>
      </c>
      <c r="AI279">
        <v>0</v>
      </c>
      <c r="AL279" t="s">
        <v>19614</v>
      </c>
      <c r="AM279">
        <v>0</v>
      </c>
      <c r="AS279">
        <v>57.6</v>
      </c>
      <c r="AT279" t="s">
        <v>331</v>
      </c>
      <c r="AU279" t="s">
        <v>113</v>
      </c>
      <c r="AV279" t="s">
        <v>20733</v>
      </c>
    </row>
    <row r="280" spans="1:48">
      <c r="A280" s="1">
        <f>HYPERLINK("https://lsnyc.legalserver.org/matter/dynamic-profile/view/1886582","18-1886582")</f>
        <v>0</v>
      </c>
      <c r="B280" t="s">
        <v>100</v>
      </c>
      <c r="C280" t="s">
        <v>256</v>
      </c>
      <c r="D280" t="s">
        <v>427</v>
      </c>
      <c r="F280" t="s">
        <v>1328</v>
      </c>
      <c r="G280" t="s">
        <v>2119</v>
      </c>
      <c r="H280" t="s">
        <v>5870</v>
      </c>
      <c r="I280" t="s">
        <v>8151</v>
      </c>
      <c r="J280" t="s">
        <v>9065</v>
      </c>
      <c r="K280">
        <v>10458</v>
      </c>
      <c r="L280" t="s">
        <v>9094</v>
      </c>
      <c r="M280" t="s">
        <v>9094</v>
      </c>
      <c r="N280" t="s">
        <v>9227</v>
      </c>
      <c r="O280" t="s">
        <v>11129</v>
      </c>
      <c r="P280" t="s">
        <v>11165</v>
      </c>
      <c r="R280" t="s">
        <v>11180</v>
      </c>
      <c r="T280" t="s">
        <v>11183</v>
      </c>
      <c r="U280" t="s">
        <v>11201</v>
      </c>
      <c r="V280" t="s">
        <v>427</v>
      </c>
      <c r="W280">
        <v>972</v>
      </c>
      <c r="X280" t="s">
        <v>11333</v>
      </c>
      <c r="Y280" t="s">
        <v>11345</v>
      </c>
      <c r="Z280" t="s">
        <v>11572</v>
      </c>
      <c r="AB280" t="s">
        <v>16063</v>
      </c>
      <c r="AC280">
        <v>0</v>
      </c>
      <c r="AD280" t="s">
        <v>19566</v>
      </c>
      <c r="AE280" t="s">
        <v>19581</v>
      </c>
      <c r="AF280">
        <v>30</v>
      </c>
      <c r="AG280">
        <v>1</v>
      </c>
      <c r="AH280">
        <v>1</v>
      </c>
      <c r="AI280">
        <v>0</v>
      </c>
      <c r="AL280" t="s">
        <v>19614</v>
      </c>
      <c r="AM280">
        <v>0</v>
      </c>
      <c r="AS280">
        <v>73.2</v>
      </c>
      <c r="AT280" t="s">
        <v>307</v>
      </c>
      <c r="AU280" t="s">
        <v>247</v>
      </c>
    </row>
    <row r="281" spans="1:48">
      <c r="A281" s="1">
        <f>HYPERLINK("https://lsnyc.legalserver.org/matter/dynamic-profile/view/1892178","19-1892178")</f>
        <v>0</v>
      </c>
      <c r="B281" t="s">
        <v>116</v>
      </c>
      <c r="C281" t="s">
        <v>256</v>
      </c>
      <c r="D281" t="s">
        <v>428</v>
      </c>
      <c r="F281" t="s">
        <v>1329</v>
      </c>
      <c r="G281" t="s">
        <v>3341</v>
      </c>
      <c r="H281" t="s">
        <v>5871</v>
      </c>
      <c r="I281" t="s">
        <v>8198</v>
      </c>
      <c r="J281" t="s">
        <v>9065</v>
      </c>
      <c r="K281">
        <v>10458</v>
      </c>
      <c r="L281" t="s">
        <v>9096</v>
      </c>
      <c r="M281" t="s">
        <v>9096</v>
      </c>
      <c r="O281" t="s">
        <v>11136</v>
      </c>
      <c r="P281" t="s">
        <v>11167</v>
      </c>
      <c r="R281" t="s">
        <v>11180</v>
      </c>
      <c r="S281" t="s">
        <v>9096</v>
      </c>
      <c r="T281" t="s">
        <v>11183</v>
      </c>
      <c r="W281">
        <v>0</v>
      </c>
      <c r="X281" t="s">
        <v>11333</v>
      </c>
      <c r="AC281">
        <v>22</v>
      </c>
      <c r="AF281">
        <v>0</v>
      </c>
      <c r="AG281">
        <v>1</v>
      </c>
      <c r="AH281">
        <v>0</v>
      </c>
      <c r="AI281">
        <v>0</v>
      </c>
      <c r="AL281" t="s">
        <v>19614</v>
      </c>
      <c r="AM281">
        <v>0</v>
      </c>
      <c r="AN281" t="s">
        <v>19687</v>
      </c>
      <c r="AS281">
        <v>15.1</v>
      </c>
      <c r="AT281" t="s">
        <v>270</v>
      </c>
      <c r="AU281" t="s">
        <v>20644</v>
      </c>
    </row>
    <row r="282" spans="1:48">
      <c r="A282" s="1">
        <f>HYPERLINK("https://lsnyc.legalserver.org/matter/dynamic-profile/view/1907724","19-1907724")</f>
        <v>0</v>
      </c>
      <c r="B282" t="s">
        <v>117</v>
      </c>
      <c r="C282" t="s">
        <v>257</v>
      </c>
      <c r="D282" t="s">
        <v>429</v>
      </c>
      <c r="E282" t="s">
        <v>339</v>
      </c>
      <c r="F282" t="s">
        <v>1330</v>
      </c>
      <c r="G282" t="s">
        <v>3511</v>
      </c>
      <c r="H282" t="s">
        <v>5872</v>
      </c>
      <c r="I282" t="s">
        <v>8220</v>
      </c>
      <c r="J282" t="s">
        <v>9065</v>
      </c>
      <c r="K282">
        <v>10458</v>
      </c>
      <c r="L282" t="s">
        <v>9094</v>
      </c>
      <c r="M282" t="s">
        <v>9095</v>
      </c>
      <c r="P282" t="s">
        <v>11164</v>
      </c>
      <c r="Q282" t="s">
        <v>11172</v>
      </c>
      <c r="R282" t="s">
        <v>11180</v>
      </c>
      <c r="S282" t="s">
        <v>9096</v>
      </c>
      <c r="T282" t="s">
        <v>11183</v>
      </c>
      <c r="W282">
        <v>141</v>
      </c>
      <c r="X282" t="s">
        <v>11333</v>
      </c>
      <c r="Y282" t="s">
        <v>11346</v>
      </c>
      <c r="Z282" t="s">
        <v>11573</v>
      </c>
      <c r="AB282" t="s">
        <v>16064</v>
      </c>
      <c r="AC282">
        <v>49</v>
      </c>
      <c r="AD282" t="s">
        <v>19565</v>
      </c>
      <c r="AE282" t="s">
        <v>19580</v>
      </c>
      <c r="AF282">
        <v>10</v>
      </c>
      <c r="AG282">
        <v>1</v>
      </c>
      <c r="AH282">
        <v>0</v>
      </c>
      <c r="AI282">
        <v>0</v>
      </c>
      <c r="AL282" t="s">
        <v>19614</v>
      </c>
      <c r="AM282">
        <v>0</v>
      </c>
      <c r="AS282">
        <v>0.25</v>
      </c>
      <c r="AT282" t="s">
        <v>339</v>
      </c>
      <c r="AU282" t="s">
        <v>20642</v>
      </c>
      <c r="AV282" t="s">
        <v>20733</v>
      </c>
    </row>
    <row r="283" spans="1:48">
      <c r="A283" s="1">
        <f>HYPERLINK("https://lsnyc.legalserver.org/matter/dynamic-profile/view/0799844","16-0799844")</f>
        <v>0</v>
      </c>
      <c r="B283" t="s">
        <v>103</v>
      </c>
      <c r="C283" t="s">
        <v>256</v>
      </c>
      <c r="D283" t="s">
        <v>430</v>
      </c>
      <c r="F283" t="s">
        <v>1331</v>
      </c>
      <c r="G283" t="s">
        <v>1665</v>
      </c>
      <c r="H283" t="s">
        <v>5873</v>
      </c>
      <c r="I283" t="s">
        <v>8221</v>
      </c>
      <c r="J283" t="s">
        <v>9065</v>
      </c>
      <c r="K283">
        <v>10457</v>
      </c>
      <c r="L283" t="s">
        <v>9094</v>
      </c>
      <c r="M283" t="s">
        <v>9095</v>
      </c>
      <c r="N283" t="s">
        <v>9228</v>
      </c>
      <c r="O283" t="s">
        <v>11132</v>
      </c>
      <c r="P283" t="s">
        <v>11165</v>
      </c>
      <c r="R283" t="s">
        <v>11180</v>
      </c>
      <c r="S283" t="s">
        <v>9094</v>
      </c>
      <c r="T283" t="s">
        <v>11183</v>
      </c>
      <c r="V283" t="s">
        <v>11220</v>
      </c>
      <c r="W283">
        <v>0</v>
      </c>
      <c r="X283" t="s">
        <v>11333</v>
      </c>
      <c r="Y283" t="s">
        <v>11338</v>
      </c>
      <c r="Z283" t="s">
        <v>11574</v>
      </c>
      <c r="AC283">
        <v>0</v>
      </c>
      <c r="AD283" t="s">
        <v>19566</v>
      </c>
      <c r="AF283">
        <v>0</v>
      </c>
      <c r="AG283">
        <v>2</v>
      </c>
      <c r="AH283">
        <v>0</v>
      </c>
      <c r="AI283">
        <v>0</v>
      </c>
      <c r="AJ283" t="s">
        <v>11262</v>
      </c>
      <c r="AL283" t="s">
        <v>19614</v>
      </c>
      <c r="AM283">
        <v>0</v>
      </c>
      <c r="AS283">
        <v>0.5</v>
      </c>
      <c r="AT283" t="s">
        <v>530</v>
      </c>
      <c r="AU283" t="s">
        <v>109</v>
      </c>
    </row>
    <row r="284" spans="1:48">
      <c r="A284" s="1">
        <f>HYPERLINK("https://lsnyc.legalserver.org/matter/dynamic-profile/view/0809055","16-0809055")</f>
        <v>0</v>
      </c>
      <c r="B284" t="s">
        <v>103</v>
      </c>
      <c r="C284" t="s">
        <v>256</v>
      </c>
      <c r="D284" t="s">
        <v>431</v>
      </c>
      <c r="F284" t="s">
        <v>1332</v>
      </c>
      <c r="G284" t="s">
        <v>3512</v>
      </c>
      <c r="H284" t="s">
        <v>5873</v>
      </c>
      <c r="I284" t="s">
        <v>8222</v>
      </c>
      <c r="J284" t="s">
        <v>9065</v>
      </c>
      <c r="K284">
        <v>10457</v>
      </c>
      <c r="L284" t="s">
        <v>9094</v>
      </c>
      <c r="M284" t="s">
        <v>9095</v>
      </c>
      <c r="N284" t="s">
        <v>9229</v>
      </c>
      <c r="O284" t="s">
        <v>11132</v>
      </c>
      <c r="P284" t="s">
        <v>11165</v>
      </c>
      <c r="R284" t="s">
        <v>11180</v>
      </c>
      <c r="S284" t="s">
        <v>9094</v>
      </c>
      <c r="T284" t="s">
        <v>11183</v>
      </c>
      <c r="V284" t="s">
        <v>11221</v>
      </c>
      <c r="W284">
        <v>803</v>
      </c>
      <c r="X284" t="s">
        <v>11333</v>
      </c>
      <c r="Y284" t="s">
        <v>11346</v>
      </c>
      <c r="Z284" t="s">
        <v>11575</v>
      </c>
      <c r="AC284">
        <v>0</v>
      </c>
      <c r="AD284" t="s">
        <v>19566</v>
      </c>
      <c r="AE284" t="s">
        <v>9144</v>
      </c>
      <c r="AF284">
        <v>21</v>
      </c>
      <c r="AG284">
        <v>2</v>
      </c>
      <c r="AH284">
        <v>0</v>
      </c>
      <c r="AI284">
        <v>0</v>
      </c>
      <c r="AL284" t="s">
        <v>19615</v>
      </c>
      <c r="AM284">
        <v>0</v>
      </c>
      <c r="AS284">
        <v>0</v>
      </c>
      <c r="AU284" t="s">
        <v>109</v>
      </c>
    </row>
    <row r="285" spans="1:48">
      <c r="A285" s="1">
        <f>HYPERLINK("https://lsnyc.legalserver.org/matter/dynamic-profile/view/0811047","16-0811047")</f>
        <v>0</v>
      </c>
      <c r="B285" t="s">
        <v>103</v>
      </c>
      <c r="C285" t="s">
        <v>256</v>
      </c>
      <c r="D285" t="s">
        <v>432</v>
      </c>
      <c r="F285" t="s">
        <v>1146</v>
      </c>
      <c r="G285" t="s">
        <v>3513</v>
      </c>
      <c r="H285" t="s">
        <v>5873</v>
      </c>
      <c r="I285" t="s">
        <v>8223</v>
      </c>
      <c r="J285" t="s">
        <v>9065</v>
      </c>
      <c r="K285">
        <v>10457</v>
      </c>
      <c r="L285" t="s">
        <v>9094</v>
      </c>
      <c r="M285" t="s">
        <v>9095</v>
      </c>
      <c r="N285" t="s">
        <v>9229</v>
      </c>
      <c r="O285" t="s">
        <v>11132</v>
      </c>
      <c r="P285" t="s">
        <v>11165</v>
      </c>
      <c r="R285" t="s">
        <v>11180</v>
      </c>
      <c r="S285" t="s">
        <v>9094</v>
      </c>
      <c r="T285" t="s">
        <v>11183</v>
      </c>
      <c r="V285" t="s">
        <v>675</v>
      </c>
      <c r="W285">
        <v>0</v>
      </c>
      <c r="X285" t="s">
        <v>11333</v>
      </c>
      <c r="Y285" t="s">
        <v>11348</v>
      </c>
      <c r="Z285" t="s">
        <v>11576</v>
      </c>
      <c r="AC285">
        <v>100</v>
      </c>
      <c r="AD285" t="s">
        <v>19566</v>
      </c>
      <c r="AF285">
        <v>0</v>
      </c>
      <c r="AG285">
        <v>1</v>
      </c>
      <c r="AH285">
        <v>0</v>
      </c>
      <c r="AI285">
        <v>0</v>
      </c>
      <c r="AL285" t="s">
        <v>19615</v>
      </c>
      <c r="AM285">
        <v>0</v>
      </c>
      <c r="AS285">
        <v>0</v>
      </c>
      <c r="AU285" t="s">
        <v>20645</v>
      </c>
    </row>
    <row r="286" spans="1:48">
      <c r="A286" s="1">
        <f>HYPERLINK("https://lsnyc.legalserver.org/matter/dynamic-profile/view/1882654","18-1882654")</f>
        <v>0</v>
      </c>
      <c r="B286" t="s">
        <v>106</v>
      </c>
      <c r="C286" t="s">
        <v>256</v>
      </c>
      <c r="D286" t="s">
        <v>433</v>
      </c>
      <c r="F286" t="s">
        <v>1333</v>
      </c>
      <c r="G286" t="s">
        <v>3514</v>
      </c>
      <c r="H286" t="s">
        <v>5874</v>
      </c>
      <c r="I286" t="s">
        <v>8224</v>
      </c>
      <c r="J286" t="s">
        <v>9065</v>
      </c>
      <c r="K286">
        <v>10457</v>
      </c>
      <c r="L286" t="s">
        <v>9094</v>
      </c>
      <c r="M286" t="s">
        <v>9094</v>
      </c>
      <c r="N286" t="s">
        <v>9230</v>
      </c>
      <c r="O286" t="s">
        <v>11134</v>
      </c>
      <c r="P286" t="s">
        <v>11168</v>
      </c>
      <c r="R286" t="s">
        <v>11180</v>
      </c>
      <c r="S286" t="s">
        <v>9094</v>
      </c>
      <c r="T286" t="s">
        <v>11183</v>
      </c>
      <c r="V286" t="s">
        <v>738</v>
      </c>
      <c r="W286">
        <v>1089</v>
      </c>
      <c r="X286" t="s">
        <v>11333</v>
      </c>
      <c r="Y286" t="s">
        <v>11340</v>
      </c>
      <c r="Z286" t="s">
        <v>11577</v>
      </c>
      <c r="AB286" t="s">
        <v>16065</v>
      </c>
      <c r="AC286">
        <v>47</v>
      </c>
      <c r="AD286" t="s">
        <v>19566</v>
      </c>
      <c r="AE286" t="s">
        <v>19580</v>
      </c>
      <c r="AF286">
        <v>24</v>
      </c>
      <c r="AG286">
        <v>1</v>
      </c>
      <c r="AH286">
        <v>0</v>
      </c>
      <c r="AI286">
        <v>0</v>
      </c>
      <c r="AL286" t="s">
        <v>19614</v>
      </c>
      <c r="AM286">
        <v>0</v>
      </c>
      <c r="AS286">
        <v>15</v>
      </c>
      <c r="AT286" t="s">
        <v>297</v>
      </c>
      <c r="AU286" t="s">
        <v>20642</v>
      </c>
    </row>
    <row r="287" spans="1:48">
      <c r="A287" s="1">
        <f>HYPERLINK("https://lsnyc.legalserver.org/matter/dynamic-profile/view/1882688","18-1882688")</f>
        <v>0</v>
      </c>
      <c r="B287" t="s">
        <v>106</v>
      </c>
      <c r="C287" t="s">
        <v>256</v>
      </c>
      <c r="D287" t="s">
        <v>433</v>
      </c>
      <c r="F287" t="s">
        <v>1143</v>
      </c>
      <c r="G287" t="s">
        <v>3515</v>
      </c>
      <c r="H287" t="s">
        <v>5874</v>
      </c>
      <c r="I287" t="s">
        <v>8134</v>
      </c>
      <c r="J287" t="s">
        <v>9065</v>
      </c>
      <c r="K287">
        <v>10457</v>
      </c>
      <c r="L287" t="s">
        <v>9094</v>
      </c>
      <c r="M287" t="s">
        <v>9094</v>
      </c>
      <c r="N287" t="s">
        <v>9230</v>
      </c>
      <c r="O287" t="s">
        <v>11134</v>
      </c>
      <c r="P287" t="s">
        <v>11168</v>
      </c>
      <c r="R287" t="s">
        <v>11180</v>
      </c>
      <c r="S287" t="s">
        <v>9094</v>
      </c>
      <c r="T287" t="s">
        <v>11183</v>
      </c>
      <c r="V287" t="s">
        <v>738</v>
      </c>
      <c r="W287">
        <v>1180</v>
      </c>
      <c r="X287" t="s">
        <v>11333</v>
      </c>
      <c r="Y287" t="s">
        <v>11346</v>
      </c>
      <c r="Z287" t="s">
        <v>11578</v>
      </c>
      <c r="AB287" t="s">
        <v>16066</v>
      </c>
      <c r="AC287">
        <v>47</v>
      </c>
      <c r="AD287" t="s">
        <v>19566</v>
      </c>
      <c r="AE287" t="s">
        <v>19580</v>
      </c>
      <c r="AF287">
        <v>15</v>
      </c>
      <c r="AG287">
        <v>1</v>
      </c>
      <c r="AH287">
        <v>0</v>
      </c>
      <c r="AI287">
        <v>0</v>
      </c>
      <c r="AL287" t="s">
        <v>19614</v>
      </c>
      <c r="AM287">
        <v>0</v>
      </c>
      <c r="AS287">
        <v>0</v>
      </c>
      <c r="AU287" t="s">
        <v>20642</v>
      </c>
    </row>
    <row r="288" spans="1:48">
      <c r="A288" s="1">
        <f>HYPERLINK("https://lsnyc.legalserver.org/matter/dynamic-profile/view/1882734","18-1882734")</f>
        <v>0</v>
      </c>
      <c r="B288" t="s">
        <v>106</v>
      </c>
      <c r="C288" t="s">
        <v>256</v>
      </c>
      <c r="D288" t="s">
        <v>433</v>
      </c>
      <c r="F288" t="s">
        <v>1227</v>
      </c>
      <c r="G288" t="s">
        <v>3516</v>
      </c>
      <c r="H288" t="s">
        <v>5874</v>
      </c>
      <c r="I288" t="s">
        <v>8225</v>
      </c>
      <c r="J288" t="s">
        <v>9065</v>
      </c>
      <c r="K288">
        <v>10457</v>
      </c>
      <c r="L288" t="s">
        <v>9094</v>
      </c>
      <c r="M288" t="s">
        <v>9094</v>
      </c>
      <c r="N288" t="s">
        <v>9230</v>
      </c>
      <c r="O288" t="s">
        <v>11134</v>
      </c>
      <c r="P288" t="s">
        <v>11168</v>
      </c>
      <c r="R288" t="s">
        <v>11180</v>
      </c>
      <c r="S288" t="s">
        <v>9094</v>
      </c>
      <c r="T288" t="s">
        <v>11183</v>
      </c>
      <c r="V288" t="s">
        <v>738</v>
      </c>
      <c r="W288">
        <v>1160</v>
      </c>
      <c r="X288" t="s">
        <v>11333</v>
      </c>
      <c r="Y288" t="s">
        <v>11346</v>
      </c>
      <c r="Z288" t="s">
        <v>11579</v>
      </c>
      <c r="AA288" t="s">
        <v>15314</v>
      </c>
      <c r="AC288">
        <v>47</v>
      </c>
      <c r="AD288" t="s">
        <v>19566</v>
      </c>
      <c r="AE288" t="s">
        <v>9144</v>
      </c>
      <c r="AF288">
        <v>10</v>
      </c>
      <c r="AG288">
        <v>1</v>
      </c>
      <c r="AH288">
        <v>0</v>
      </c>
      <c r="AI288">
        <v>0</v>
      </c>
      <c r="AL288" t="s">
        <v>19615</v>
      </c>
      <c r="AM288">
        <v>0</v>
      </c>
      <c r="AS288">
        <v>0.6</v>
      </c>
      <c r="AT288" t="s">
        <v>608</v>
      </c>
      <c r="AU288" t="s">
        <v>20642</v>
      </c>
    </row>
    <row r="289" spans="1:48">
      <c r="A289" s="1">
        <f>HYPERLINK("https://lsnyc.legalserver.org/matter/dynamic-profile/view/1897359","19-1897359")</f>
        <v>0</v>
      </c>
      <c r="B289" t="s">
        <v>101</v>
      </c>
      <c r="C289" t="s">
        <v>257</v>
      </c>
      <c r="D289" t="s">
        <v>434</v>
      </c>
      <c r="E289" t="s">
        <v>632</v>
      </c>
      <c r="F289" t="s">
        <v>1334</v>
      </c>
      <c r="G289" t="s">
        <v>3517</v>
      </c>
      <c r="H289" t="s">
        <v>5874</v>
      </c>
      <c r="I289" t="s">
        <v>8214</v>
      </c>
      <c r="J289" t="s">
        <v>9065</v>
      </c>
      <c r="K289">
        <v>10457</v>
      </c>
      <c r="L289" t="s">
        <v>9094</v>
      </c>
      <c r="M289" t="s">
        <v>9094</v>
      </c>
      <c r="O289" t="s">
        <v>11134</v>
      </c>
      <c r="P289" t="s">
        <v>11164</v>
      </c>
      <c r="Q289" t="s">
        <v>11172</v>
      </c>
      <c r="R289" t="s">
        <v>11180</v>
      </c>
      <c r="S289" t="s">
        <v>9096</v>
      </c>
      <c r="T289" t="s">
        <v>11183</v>
      </c>
      <c r="V289" t="s">
        <v>596</v>
      </c>
      <c r="W289">
        <v>1750</v>
      </c>
      <c r="X289" t="s">
        <v>11333</v>
      </c>
      <c r="AB289" t="s">
        <v>16067</v>
      </c>
      <c r="AC289">
        <v>0</v>
      </c>
      <c r="AD289" t="s">
        <v>19566</v>
      </c>
      <c r="AF289">
        <v>0</v>
      </c>
      <c r="AG289">
        <v>2</v>
      </c>
      <c r="AH289">
        <v>1</v>
      </c>
      <c r="AI289">
        <v>0</v>
      </c>
      <c r="AL289" t="s">
        <v>19615</v>
      </c>
      <c r="AM289">
        <v>0</v>
      </c>
      <c r="AS289">
        <v>1.3</v>
      </c>
      <c r="AT289" t="s">
        <v>632</v>
      </c>
      <c r="AU289" t="s">
        <v>101</v>
      </c>
    </row>
    <row r="290" spans="1:48">
      <c r="A290" s="1">
        <f>HYPERLINK("https://lsnyc.legalserver.org/matter/dynamic-profile/view/1908006","19-1908006")</f>
        <v>0</v>
      </c>
      <c r="B290" t="s">
        <v>106</v>
      </c>
      <c r="C290" t="s">
        <v>256</v>
      </c>
      <c r="D290" t="s">
        <v>288</v>
      </c>
      <c r="F290" t="s">
        <v>1335</v>
      </c>
      <c r="G290" t="s">
        <v>3518</v>
      </c>
      <c r="H290" t="s">
        <v>5874</v>
      </c>
      <c r="I290" t="s">
        <v>8226</v>
      </c>
      <c r="J290" t="s">
        <v>9065</v>
      </c>
      <c r="K290">
        <v>10457</v>
      </c>
      <c r="L290" t="s">
        <v>9094</v>
      </c>
      <c r="M290" t="s">
        <v>9095</v>
      </c>
      <c r="N290" t="s">
        <v>9231</v>
      </c>
      <c r="O290" t="s">
        <v>11134</v>
      </c>
      <c r="P290" t="s">
        <v>11168</v>
      </c>
      <c r="R290" t="s">
        <v>11180</v>
      </c>
      <c r="S290" t="s">
        <v>9094</v>
      </c>
      <c r="T290" t="s">
        <v>11183</v>
      </c>
      <c r="W290">
        <v>186</v>
      </c>
      <c r="X290" t="s">
        <v>11333</v>
      </c>
      <c r="Y290" t="s">
        <v>11346</v>
      </c>
      <c r="Z290" t="s">
        <v>11580</v>
      </c>
      <c r="AB290" t="s">
        <v>16068</v>
      </c>
      <c r="AC290">
        <v>48</v>
      </c>
      <c r="AD290" t="s">
        <v>15441</v>
      </c>
      <c r="AE290" t="s">
        <v>19580</v>
      </c>
      <c r="AF290">
        <v>5</v>
      </c>
      <c r="AG290">
        <v>1</v>
      </c>
      <c r="AH290">
        <v>0</v>
      </c>
      <c r="AI290">
        <v>0</v>
      </c>
      <c r="AL290" t="s">
        <v>19615</v>
      </c>
      <c r="AM290">
        <v>0</v>
      </c>
      <c r="AS290">
        <v>0</v>
      </c>
      <c r="AU290" t="s">
        <v>220</v>
      </c>
    </row>
    <row r="291" spans="1:48">
      <c r="A291" s="1">
        <f>HYPERLINK("https://lsnyc.legalserver.org/matter/dynamic-profile/view/1910070","19-1910070")</f>
        <v>0</v>
      </c>
      <c r="B291" t="s">
        <v>118</v>
      </c>
      <c r="C291" t="s">
        <v>256</v>
      </c>
      <c r="D291" t="s">
        <v>435</v>
      </c>
      <c r="F291" t="s">
        <v>1144</v>
      </c>
      <c r="G291" t="s">
        <v>3519</v>
      </c>
      <c r="H291" t="s">
        <v>5875</v>
      </c>
      <c r="I291" t="s">
        <v>8227</v>
      </c>
      <c r="J291" t="s">
        <v>9065</v>
      </c>
      <c r="K291">
        <v>10457</v>
      </c>
      <c r="L291" t="s">
        <v>9094</v>
      </c>
      <c r="M291" t="s">
        <v>9095</v>
      </c>
      <c r="O291" t="s">
        <v>11134</v>
      </c>
      <c r="P291" t="s">
        <v>11167</v>
      </c>
      <c r="R291" t="s">
        <v>11180</v>
      </c>
      <c r="S291" t="s">
        <v>9096</v>
      </c>
      <c r="T291" t="s">
        <v>11183</v>
      </c>
      <c r="W291">
        <v>1167</v>
      </c>
      <c r="X291" t="s">
        <v>11333</v>
      </c>
      <c r="Y291" t="s">
        <v>11346</v>
      </c>
      <c r="Z291" t="s">
        <v>11581</v>
      </c>
      <c r="AC291">
        <v>0</v>
      </c>
      <c r="AD291" t="s">
        <v>19566</v>
      </c>
      <c r="AE291" t="s">
        <v>9144</v>
      </c>
      <c r="AF291">
        <v>23</v>
      </c>
      <c r="AG291">
        <v>1</v>
      </c>
      <c r="AH291">
        <v>0</v>
      </c>
      <c r="AI291">
        <v>0</v>
      </c>
      <c r="AL291" t="s">
        <v>19614</v>
      </c>
      <c r="AM291">
        <v>0</v>
      </c>
      <c r="AS291">
        <v>0</v>
      </c>
      <c r="AU291" t="s">
        <v>118</v>
      </c>
      <c r="AV291" t="s">
        <v>20733</v>
      </c>
    </row>
    <row r="292" spans="1:48">
      <c r="A292" s="1">
        <f>HYPERLINK("https://lsnyc.legalserver.org/matter/dynamic-profile/view/0800080","16-0800080")</f>
        <v>0</v>
      </c>
      <c r="B292" t="s">
        <v>103</v>
      </c>
      <c r="C292" t="s">
        <v>256</v>
      </c>
      <c r="D292" t="s">
        <v>430</v>
      </c>
      <c r="F292" t="s">
        <v>1331</v>
      </c>
      <c r="G292" t="s">
        <v>1665</v>
      </c>
      <c r="H292" t="s">
        <v>5873</v>
      </c>
      <c r="I292" t="s">
        <v>8221</v>
      </c>
      <c r="J292" t="s">
        <v>9065</v>
      </c>
      <c r="K292">
        <v>10457</v>
      </c>
      <c r="L292" t="s">
        <v>9094</v>
      </c>
      <c r="M292" t="s">
        <v>9095</v>
      </c>
      <c r="O292" t="s">
        <v>11135</v>
      </c>
      <c r="P292" t="s">
        <v>11168</v>
      </c>
      <c r="R292" t="s">
        <v>11180</v>
      </c>
      <c r="S292" t="s">
        <v>9094</v>
      </c>
      <c r="T292" t="s">
        <v>11183</v>
      </c>
      <c r="V292" t="s">
        <v>1038</v>
      </c>
      <c r="W292">
        <v>0</v>
      </c>
      <c r="X292" t="s">
        <v>11333</v>
      </c>
      <c r="Y292" t="s">
        <v>11338</v>
      </c>
      <c r="Z292" t="s">
        <v>11574</v>
      </c>
      <c r="AC292">
        <v>0</v>
      </c>
      <c r="AD292" t="s">
        <v>19566</v>
      </c>
      <c r="AF292">
        <v>0</v>
      </c>
      <c r="AG292">
        <v>2</v>
      </c>
      <c r="AH292">
        <v>0</v>
      </c>
      <c r="AI292">
        <v>0</v>
      </c>
      <c r="AJ292" t="s">
        <v>11262</v>
      </c>
      <c r="AL292" t="s">
        <v>19614</v>
      </c>
      <c r="AM292">
        <v>0</v>
      </c>
      <c r="AS292">
        <v>0.1</v>
      </c>
      <c r="AT292" t="s">
        <v>430</v>
      </c>
      <c r="AU292" t="s">
        <v>109</v>
      </c>
    </row>
    <row r="293" spans="1:48">
      <c r="A293" s="1">
        <f>HYPERLINK("https://lsnyc.legalserver.org/matter/dynamic-profile/view/0816819","16-0816819")</f>
        <v>0</v>
      </c>
      <c r="B293" t="s">
        <v>103</v>
      </c>
      <c r="C293" t="s">
        <v>256</v>
      </c>
      <c r="D293" t="s">
        <v>436</v>
      </c>
      <c r="F293" t="s">
        <v>1331</v>
      </c>
      <c r="G293" t="s">
        <v>1665</v>
      </c>
      <c r="H293" t="s">
        <v>5873</v>
      </c>
      <c r="I293" t="s">
        <v>8221</v>
      </c>
      <c r="J293" t="s">
        <v>9065</v>
      </c>
      <c r="K293">
        <v>10457</v>
      </c>
      <c r="L293" t="s">
        <v>9094</v>
      </c>
      <c r="M293" t="s">
        <v>9095</v>
      </c>
      <c r="N293" t="s">
        <v>9229</v>
      </c>
      <c r="O293" t="s">
        <v>11135</v>
      </c>
      <c r="P293" t="s">
        <v>11168</v>
      </c>
      <c r="R293" t="s">
        <v>11180</v>
      </c>
      <c r="S293" t="s">
        <v>9094</v>
      </c>
      <c r="T293" t="s">
        <v>11183</v>
      </c>
      <c r="V293" t="s">
        <v>1024</v>
      </c>
      <c r="W293">
        <v>0</v>
      </c>
      <c r="X293" t="s">
        <v>11333</v>
      </c>
      <c r="Y293" t="s">
        <v>11338</v>
      </c>
      <c r="Z293" t="s">
        <v>11574</v>
      </c>
      <c r="AC293">
        <v>100</v>
      </c>
      <c r="AD293" t="s">
        <v>19566</v>
      </c>
      <c r="AF293">
        <v>0</v>
      </c>
      <c r="AG293">
        <v>2</v>
      </c>
      <c r="AH293">
        <v>0</v>
      </c>
      <c r="AI293">
        <v>0</v>
      </c>
      <c r="AJ293" t="s">
        <v>11262</v>
      </c>
      <c r="AL293" t="s">
        <v>19614</v>
      </c>
      <c r="AM293">
        <v>0</v>
      </c>
      <c r="AS293">
        <v>1.25</v>
      </c>
      <c r="AT293" t="s">
        <v>718</v>
      </c>
      <c r="AU293" t="s">
        <v>20643</v>
      </c>
    </row>
    <row r="294" spans="1:48">
      <c r="A294" s="1">
        <f>HYPERLINK("https://lsnyc.legalserver.org/matter/dynamic-profile/view/0816897","16-0816897")</f>
        <v>0</v>
      </c>
      <c r="B294" t="s">
        <v>103</v>
      </c>
      <c r="C294" t="s">
        <v>256</v>
      </c>
      <c r="D294" t="s">
        <v>437</v>
      </c>
      <c r="F294" t="s">
        <v>1332</v>
      </c>
      <c r="G294" t="s">
        <v>3512</v>
      </c>
      <c r="H294" t="s">
        <v>5873</v>
      </c>
      <c r="I294" t="s">
        <v>8222</v>
      </c>
      <c r="J294" t="s">
        <v>9065</v>
      </c>
      <c r="K294">
        <v>10457</v>
      </c>
      <c r="L294" t="s">
        <v>9094</v>
      </c>
      <c r="M294" t="s">
        <v>9095</v>
      </c>
      <c r="N294" t="s">
        <v>9229</v>
      </c>
      <c r="O294" t="s">
        <v>11135</v>
      </c>
      <c r="P294" t="s">
        <v>11168</v>
      </c>
      <c r="R294" t="s">
        <v>11180</v>
      </c>
      <c r="S294" t="s">
        <v>9094</v>
      </c>
      <c r="T294" t="s">
        <v>11183</v>
      </c>
      <c r="V294" t="s">
        <v>1024</v>
      </c>
      <c r="W294">
        <v>803</v>
      </c>
      <c r="X294" t="s">
        <v>11333</v>
      </c>
      <c r="Y294" t="s">
        <v>11346</v>
      </c>
      <c r="Z294" t="s">
        <v>11575</v>
      </c>
      <c r="AC294">
        <v>100</v>
      </c>
      <c r="AD294" t="s">
        <v>19566</v>
      </c>
      <c r="AE294" t="s">
        <v>9144</v>
      </c>
      <c r="AF294">
        <v>21</v>
      </c>
      <c r="AG294">
        <v>2</v>
      </c>
      <c r="AH294">
        <v>0</v>
      </c>
      <c r="AI294">
        <v>0</v>
      </c>
      <c r="AJ294" t="s">
        <v>11262</v>
      </c>
      <c r="AL294" t="s">
        <v>19615</v>
      </c>
      <c r="AM294">
        <v>0</v>
      </c>
      <c r="AS294">
        <v>0.5</v>
      </c>
      <c r="AT294" t="s">
        <v>437</v>
      </c>
      <c r="AU294" t="s">
        <v>20643</v>
      </c>
    </row>
    <row r="295" spans="1:48">
      <c r="A295" s="1">
        <f>HYPERLINK("https://lsnyc.legalserver.org/matter/dynamic-profile/view/0816930","16-0816930")</f>
        <v>0</v>
      </c>
      <c r="B295" t="s">
        <v>103</v>
      </c>
      <c r="C295" t="s">
        <v>256</v>
      </c>
      <c r="D295" t="s">
        <v>437</v>
      </c>
      <c r="F295" t="s">
        <v>1146</v>
      </c>
      <c r="G295" t="s">
        <v>3513</v>
      </c>
      <c r="H295" t="s">
        <v>5873</v>
      </c>
      <c r="I295" t="s">
        <v>8223</v>
      </c>
      <c r="J295" t="s">
        <v>9065</v>
      </c>
      <c r="K295">
        <v>10457</v>
      </c>
      <c r="L295" t="s">
        <v>9094</v>
      </c>
      <c r="M295" t="s">
        <v>9095</v>
      </c>
      <c r="O295" t="s">
        <v>11135</v>
      </c>
      <c r="P295" t="s">
        <v>11168</v>
      </c>
      <c r="R295" t="s">
        <v>11180</v>
      </c>
      <c r="S295" t="s">
        <v>9094</v>
      </c>
      <c r="T295" t="s">
        <v>11183</v>
      </c>
      <c r="V295" t="s">
        <v>810</v>
      </c>
      <c r="W295">
        <v>0</v>
      </c>
      <c r="X295" t="s">
        <v>11333</v>
      </c>
      <c r="Y295" t="s">
        <v>11348</v>
      </c>
      <c r="Z295" t="s">
        <v>11576</v>
      </c>
      <c r="AC295">
        <v>0</v>
      </c>
      <c r="AD295" t="s">
        <v>19566</v>
      </c>
      <c r="AF295">
        <v>0</v>
      </c>
      <c r="AG295">
        <v>1</v>
      </c>
      <c r="AH295">
        <v>0</v>
      </c>
      <c r="AI295">
        <v>0</v>
      </c>
      <c r="AL295" t="s">
        <v>19615</v>
      </c>
      <c r="AM295">
        <v>0</v>
      </c>
      <c r="AS295">
        <v>0.5</v>
      </c>
      <c r="AT295" t="s">
        <v>437</v>
      </c>
      <c r="AU295" t="s">
        <v>20643</v>
      </c>
    </row>
    <row r="296" spans="1:48">
      <c r="A296" s="1">
        <f>HYPERLINK("https://lsnyc.legalserver.org/matter/dynamic-profile/view/0824075","17-0824075")</f>
        <v>0</v>
      </c>
      <c r="B296" t="s">
        <v>103</v>
      </c>
      <c r="C296" t="s">
        <v>256</v>
      </c>
      <c r="D296" t="s">
        <v>438</v>
      </c>
      <c r="F296" t="s">
        <v>1146</v>
      </c>
      <c r="G296" t="s">
        <v>3513</v>
      </c>
      <c r="H296" t="s">
        <v>5873</v>
      </c>
      <c r="I296" t="s">
        <v>8223</v>
      </c>
      <c r="J296" t="s">
        <v>9065</v>
      </c>
      <c r="K296">
        <v>10457</v>
      </c>
      <c r="L296" t="s">
        <v>9094</v>
      </c>
      <c r="M296" t="s">
        <v>9095</v>
      </c>
      <c r="N296" t="s">
        <v>9232</v>
      </c>
      <c r="O296" t="s">
        <v>11135</v>
      </c>
      <c r="P296" t="s">
        <v>11168</v>
      </c>
      <c r="R296" t="s">
        <v>11180</v>
      </c>
      <c r="S296" t="s">
        <v>9094</v>
      </c>
      <c r="T296" t="s">
        <v>11183</v>
      </c>
      <c r="V296" t="s">
        <v>306</v>
      </c>
      <c r="W296">
        <v>0</v>
      </c>
      <c r="X296" t="s">
        <v>11333</v>
      </c>
      <c r="Y296" t="s">
        <v>11348</v>
      </c>
      <c r="Z296" t="s">
        <v>11576</v>
      </c>
      <c r="AB296" t="s">
        <v>15274</v>
      </c>
      <c r="AC296">
        <v>100</v>
      </c>
      <c r="AD296" t="s">
        <v>19566</v>
      </c>
      <c r="AF296">
        <v>0</v>
      </c>
      <c r="AG296">
        <v>1</v>
      </c>
      <c r="AH296">
        <v>0</v>
      </c>
      <c r="AI296">
        <v>0</v>
      </c>
      <c r="AL296" t="s">
        <v>19615</v>
      </c>
      <c r="AM296">
        <v>0</v>
      </c>
      <c r="AN296" t="s">
        <v>19688</v>
      </c>
      <c r="AS296">
        <v>0</v>
      </c>
      <c r="AU296" t="s">
        <v>20645</v>
      </c>
    </row>
    <row r="297" spans="1:48">
      <c r="A297" s="1">
        <f>HYPERLINK("https://lsnyc.legalserver.org/matter/dynamic-profile/view/1862820","18-1862820")</f>
        <v>0</v>
      </c>
      <c r="B297" t="s">
        <v>103</v>
      </c>
      <c r="C297" t="s">
        <v>256</v>
      </c>
      <c r="D297" t="s">
        <v>439</v>
      </c>
      <c r="F297" t="s">
        <v>1331</v>
      </c>
      <c r="G297" t="s">
        <v>1665</v>
      </c>
      <c r="H297" t="s">
        <v>5873</v>
      </c>
      <c r="I297" t="s">
        <v>8221</v>
      </c>
      <c r="J297" t="s">
        <v>9065</v>
      </c>
      <c r="K297">
        <v>10457</v>
      </c>
      <c r="L297" t="s">
        <v>9094</v>
      </c>
      <c r="M297" t="s">
        <v>9095</v>
      </c>
      <c r="N297" t="s">
        <v>9233</v>
      </c>
      <c r="O297" t="s">
        <v>11135</v>
      </c>
      <c r="P297" t="s">
        <v>11168</v>
      </c>
      <c r="R297" t="s">
        <v>11180</v>
      </c>
      <c r="S297" t="s">
        <v>9094</v>
      </c>
      <c r="T297" t="s">
        <v>11183</v>
      </c>
      <c r="W297">
        <v>0</v>
      </c>
      <c r="X297" t="s">
        <v>11333</v>
      </c>
      <c r="Y297" t="s">
        <v>11340</v>
      </c>
      <c r="Z297" t="s">
        <v>11574</v>
      </c>
      <c r="AC297">
        <v>100</v>
      </c>
      <c r="AD297" t="s">
        <v>19566</v>
      </c>
      <c r="AF297">
        <v>0</v>
      </c>
      <c r="AG297">
        <v>2</v>
      </c>
      <c r="AH297">
        <v>0</v>
      </c>
      <c r="AI297">
        <v>0</v>
      </c>
      <c r="AL297" t="s">
        <v>19614</v>
      </c>
      <c r="AM297">
        <v>0</v>
      </c>
      <c r="AS297">
        <v>0.4</v>
      </c>
      <c r="AT297" t="s">
        <v>439</v>
      </c>
      <c r="AU297" t="s">
        <v>20642</v>
      </c>
    </row>
    <row r="298" spans="1:48">
      <c r="A298" s="1">
        <f>HYPERLINK("https://lsnyc.legalserver.org/matter/dynamic-profile/view/1862841","18-1862841")</f>
        <v>0</v>
      </c>
      <c r="B298" t="s">
        <v>103</v>
      </c>
      <c r="C298" t="s">
        <v>256</v>
      </c>
      <c r="D298" t="s">
        <v>439</v>
      </c>
      <c r="F298" t="s">
        <v>1146</v>
      </c>
      <c r="G298" t="s">
        <v>3513</v>
      </c>
      <c r="H298" t="s">
        <v>5873</v>
      </c>
      <c r="I298" t="s">
        <v>8223</v>
      </c>
      <c r="J298" t="s">
        <v>9065</v>
      </c>
      <c r="K298">
        <v>10457</v>
      </c>
      <c r="L298" t="s">
        <v>9094</v>
      </c>
      <c r="M298" t="s">
        <v>9095</v>
      </c>
      <c r="N298" t="s">
        <v>9233</v>
      </c>
      <c r="O298" t="s">
        <v>11135</v>
      </c>
      <c r="P298" t="s">
        <v>11168</v>
      </c>
      <c r="R298" t="s">
        <v>11180</v>
      </c>
      <c r="S298" t="s">
        <v>9094</v>
      </c>
      <c r="T298" t="s">
        <v>11183</v>
      </c>
      <c r="V298" t="s">
        <v>11222</v>
      </c>
      <c r="W298">
        <v>0</v>
      </c>
      <c r="X298" t="s">
        <v>11333</v>
      </c>
      <c r="Y298" t="s">
        <v>11340</v>
      </c>
      <c r="Z298" t="s">
        <v>11576</v>
      </c>
      <c r="AB298" t="s">
        <v>15274</v>
      </c>
      <c r="AC298">
        <v>100</v>
      </c>
      <c r="AD298" t="s">
        <v>19566</v>
      </c>
      <c r="AF298">
        <v>0</v>
      </c>
      <c r="AG298">
        <v>1</v>
      </c>
      <c r="AH298">
        <v>0</v>
      </c>
      <c r="AI298">
        <v>0</v>
      </c>
      <c r="AL298" t="s">
        <v>19615</v>
      </c>
      <c r="AM298">
        <v>0</v>
      </c>
      <c r="AN298" t="s">
        <v>19689</v>
      </c>
      <c r="AS298">
        <v>0.4</v>
      </c>
      <c r="AT298" t="s">
        <v>439</v>
      </c>
      <c r="AU298" t="s">
        <v>20642</v>
      </c>
    </row>
    <row r="299" spans="1:48">
      <c r="A299" s="1">
        <f>HYPERLINK("https://lsnyc.legalserver.org/matter/dynamic-profile/view/1882097","18-1882097")</f>
        <v>0</v>
      </c>
      <c r="B299" t="s">
        <v>106</v>
      </c>
      <c r="C299" t="s">
        <v>256</v>
      </c>
      <c r="D299" t="s">
        <v>440</v>
      </c>
      <c r="F299" t="s">
        <v>1333</v>
      </c>
      <c r="G299" t="s">
        <v>3514</v>
      </c>
      <c r="H299" t="s">
        <v>5874</v>
      </c>
      <c r="I299" t="s">
        <v>8224</v>
      </c>
      <c r="J299" t="s">
        <v>9065</v>
      </c>
      <c r="K299">
        <v>10457</v>
      </c>
      <c r="L299" t="s">
        <v>9094</v>
      </c>
      <c r="M299" t="s">
        <v>9094</v>
      </c>
      <c r="N299" t="s">
        <v>9231</v>
      </c>
      <c r="O299" t="s">
        <v>11130</v>
      </c>
      <c r="P299" t="s">
        <v>11165</v>
      </c>
      <c r="R299" t="s">
        <v>11180</v>
      </c>
      <c r="S299" t="s">
        <v>9094</v>
      </c>
      <c r="T299" t="s">
        <v>11183</v>
      </c>
      <c r="V299" t="s">
        <v>738</v>
      </c>
      <c r="W299">
        <v>0</v>
      </c>
      <c r="X299" t="s">
        <v>11333</v>
      </c>
      <c r="Y299" t="s">
        <v>11346</v>
      </c>
      <c r="Z299" t="s">
        <v>11577</v>
      </c>
      <c r="AB299" t="s">
        <v>16065</v>
      </c>
      <c r="AC299">
        <v>47</v>
      </c>
      <c r="AD299" t="s">
        <v>19566</v>
      </c>
      <c r="AE299" t="s">
        <v>19580</v>
      </c>
      <c r="AF299">
        <v>0</v>
      </c>
      <c r="AG299">
        <v>1</v>
      </c>
      <c r="AH299">
        <v>0</v>
      </c>
      <c r="AI299">
        <v>0</v>
      </c>
      <c r="AL299" t="s">
        <v>19614</v>
      </c>
      <c r="AM299">
        <v>0</v>
      </c>
      <c r="AS299">
        <v>517.8099999999999</v>
      </c>
      <c r="AT299" t="s">
        <v>1130</v>
      </c>
      <c r="AU299" t="s">
        <v>174</v>
      </c>
    </row>
    <row r="300" spans="1:48">
      <c r="A300" s="1">
        <f>HYPERLINK("https://lsnyc.legalserver.org/matter/dynamic-profile/view/1882687","18-1882687")</f>
        <v>0</v>
      </c>
      <c r="B300" t="s">
        <v>106</v>
      </c>
      <c r="C300" t="s">
        <v>256</v>
      </c>
      <c r="D300" t="s">
        <v>433</v>
      </c>
      <c r="F300" t="s">
        <v>1143</v>
      </c>
      <c r="G300" t="s">
        <v>3515</v>
      </c>
      <c r="H300" t="s">
        <v>5874</v>
      </c>
      <c r="I300" t="s">
        <v>8134</v>
      </c>
      <c r="J300" t="s">
        <v>9065</v>
      </c>
      <c r="K300">
        <v>10457</v>
      </c>
      <c r="L300" t="s">
        <v>9094</v>
      </c>
      <c r="M300" t="s">
        <v>9094</v>
      </c>
      <c r="N300" t="s">
        <v>9231</v>
      </c>
      <c r="O300" t="s">
        <v>11130</v>
      </c>
      <c r="P300" t="s">
        <v>11165</v>
      </c>
      <c r="R300" t="s">
        <v>11180</v>
      </c>
      <c r="S300" t="s">
        <v>9094</v>
      </c>
      <c r="T300" t="s">
        <v>11183</v>
      </c>
      <c r="V300" t="s">
        <v>738</v>
      </c>
      <c r="W300">
        <v>1180</v>
      </c>
      <c r="X300" t="s">
        <v>11333</v>
      </c>
      <c r="Y300" t="s">
        <v>11346</v>
      </c>
      <c r="Z300" t="s">
        <v>11578</v>
      </c>
      <c r="AB300" t="s">
        <v>16066</v>
      </c>
      <c r="AC300">
        <v>47</v>
      </c>
      <c r="AD300" t="s">
        <v>19566</v>
      </c>
      <c r="AE300" t="s">
        <v>19580</v>
      </c>
      <c r="AF300">
        <v>15</v>
      </c>
      <c r="AG300">
        <v>1</v>
      </c>
      <c r="AH300">
        <v>0</v>
      </c>
      <c r="AI300">
        <v>0</v>
      </c>
      <c r="AL300" t="s">
        <v>19614</v>
      </c>
      <c r="AM300">
        <v>0</v>
      </c>
      <c r="AS300">
        <v>0</v>
      </c>
      <c r="AU300" t="s">
        <v>20642</v>
      </c>
    </row>
    <row r="301" spans="1:48">
      <c r="A301" s="1">
        <f>HYPERLINK("https://lsnyc.legalserver.org/matter/dynamic-profile/view/1882733","18-1882733")</f>
        <v>0</v>
      </c>
      <c r="B301" t="s">
        <v>106</v>
      </c>
      <c r="C301" t="s">
        <v>256</v>
      </c>
      <c r="D301" t="s">
        <v>433</v>
      </c>
      <c r="F301" t="s">
        <v>1227</v>
      </c>
      <c r="G301" t="s">
        <v>3516</v>
      </c>
      <c r="H301" t="s">
        <v>5874</v>
      </c>
      <c r="I301" t="s">
        <v>8225</v>
      </c>
      <c r="J301" t="s">
        <v>9065</v>
      </c>
      <c r="K301">
        <v>10457</v>
      </c>
      <c r="L301" t="s">
        <v>9094</v>
      </c>
      <c r="M301" t="s">
        <v>9094</v>
      </c>
      <c r="N301" t="s">
        <v>9231</v>
      </c>
      <c r="O301" t="s">
        <v>11130</v>
      </c>
      <c r="P301" t="s">
        <v>11165</v>
      </c>
      <c r="R301" t="s">
        <v>11180</v>
      </c>
      <c r="S301" t="s">
        <v>9094</v>
      </c>
      <c r="T301" t="s">
        <v>11183</v>
      </c>
      <c r="V301" t="s">
        <v>738</v>
      </c>
      <c r="W301">
        <v>1160</v>
      </c>
      <c r="X301" t="s">
        <v>11333</v>
      </c>
      <c r="Y301" t="s">
        <v>11346</v>
      </c>
      <c r="Z301" t="s">
        <v>11579</v>
      </c>
      <c r="AA301" t="s">
        <v>15314</v>
      </c>
      <c r="AC301">
        <v>47</v>
      </c>
      <c r="AD301" t="s">
        <v>19566</v>
      </c>
      <c r="AE301" t="s">
        <v>9144</v>
      </c>
      <c r="AF301">
        <v>10</v>
      </c>
      <c r="AG301">
        <v>1</v>
      </c>
      <c r="AH301">
        <v>0</v>
      </c>
      <c r="AI301">
        <v>0</v>
      </c>
      <c r="AL301" t="s">
        <v>19615</v>
      </c>
      <c r="AM301">
        <v>0</v>
      </c>
      <c r="AS301">
        <v>0.3</v>
      </c>
      <c r="AT301" t="s">
        <v>427</v>
      </c>
      <c r="AU301" t="s">
        <v>20642</v>
      </c>
    </row>
    <row r="302" spans="1:48">
      <c r="A302" s="1">
        <f>HYPERLINK("https://lsnyc.legalserver.org/matter/dynamic-profile/view/1886131","18-1886131")</f>
        <v>0</v>
      </c>
      <c r="B302" t="s">
        <v>106</v>
      </c>
      <c r="C302" t="s">
        <v>256</v>
      </c>
      <c r="D302" t="s">
        <v>397</v>
      </c>
      <c r="F302" t="s">
        <v>1335</v>
      </c>
      <c r="G302" t="s">
        <v>3518</v>
      </c>
      <c r="H302" t="s">
        <v>5874</v>
      </c>
      <c r="I302" t="s">
        <v>8226</v>
      </c>
      <c r="J302" t="s">
        <v>9065</v>
      </c>
      <c r="K302">
        <v>10457</v>
      </c>
      <c r="L302" t="s">
        <v>9094</v>
      </c>
      <c r="M302" t="s">
        <v>9094</v>
      </c>
      <c r="N302" t="s">
        <v>9231</v>
      </c>
      <c r="O302" t="s">
        <v>11130</v>
      </c>
      <c r="P302" t="s">
        <v>11165</v>
      </c>
      <c r="R302" t="s">
        <v>11180</v>
      </c>
      <c r="S302" t="s">
        <v>9094</v>
      </c>
      <c r="T302" t="s">
        <v>11183</v>
      </c>
      <c r="V302" t="s">
        <v>738</v>
      </c>
      <c r="W302">
        <v>186</v>
      </c>
      <c r="X302" t="s">
        <v>11333</v>
      </c>
      <c r="Y302" t="s">
        <v>11346</v>
      </c>
      <c r="Z302" t="s">
        <v>11580</v>
      </c>
      <c r="AB302" t="s">
        <v>16068</v>
      </c>
      <c r="AC302">
        <v>48</v>
      </c>
      <c r="AD302" t="s">
        <v>15441</v>
      </c>
      <c r="AE302" t="s">
        <v>19580</v>
      </c>
      <c r="AF302">
        <v>5</v>
      </c>
      <c r="AG302">
        <v>1</v>
      </c>
      <c r="AH302">
        <v>0</v>
      </c>
      <c r="AI302">
        <v>0</v>
      </c>
      <c r="AL302" t="s">
        <v>19615</v>
      </c>
      <c r="AM302">
        <v>0</v>
      </c>
      <c r="AS302">
        <v>1</v>
      </c>
      <c r="AT302" t="s">
        <v>397</v>
      </c>
      <c r="AU302" t="s">
        <v>174</v>
      </c>
    </row>
    <row r="303" spans="1:48">
      <c r="A303" s="1">
        <f>HYPERLINK("https://lsnyc.legalserver.org/matter/dynamic-profile/view/1910837","19-1910837")</f>
        <v>0</v>
      </c>
      <c r="B303" t="s">
        <v>110</v>
      </c>
      <c r="C303" t="s">
        <v>257</v>
      </c>
      <c r="D303" t="s">
        <v>259</v>
      </c>
      <c r="E303" t="s">
        <v>632</v>
      </c>
      <c r="F303" t="s">
        <v>1336</v>
      </c>
      <c r="G303" t="s">
        <v>3520</v>
      </c>
      <c r="H303" t="s">
        <v>5874</v>
      </c>
      <c r="J303" t="s">
        <v>9065</v>
      </c>
      <c r="K303">
        <v>10457</v>
      </c>
      <c r="L303" t="s">
        <v>9094</v>
      </c>
      <c r="M303" t="s">
        <v>9095</v>
      </c>
      <c r="O303" t="s">
        <v>9121</v>
      </c>
      <c r="P303" t="s">
        <v>11164</v>
      </c>
      <c r="Q303" t="s">
        <v>11172</v>
      </c>
      <c r="R303" t="s">
        <v>11180</v>
      </c>
      <c r="S303" t="s">
        <v>9096</v>
      </c>
      <c r="T303" t="s">
        <v>11183</v>
      </c>
      <c r="W303">
        <v>944</v>
      </c>
      <c r="X303" t="s">
        <v>11333</v>
      </c>
      <c r="Y303" t="s">
        <v>11346</v>
      </c>
      <c r="Z303" t="s">
        <v>11582</v>
      </c>
      <c r="AC303">
        <v>0</v>
      </c>
      <c r="AD303" t="s">
        <v>19566</v>
      </c>
      <c r="AE303" t="s">
        <v>9144</v>
      </c>
      <c r="AF303">
        <v>24</v>
      </c>
      <c r="AG303">
        <v>2</v>
      </c>
      <c r="AH303">
        <v>0</v>
      </c>
      <c r="AI303">
        <v>0</v>
      </c>
      <c r="AL303" t="s">
        <v>19614</v>
      </c>
      <c r="AM303">
        <v>0</v>
      </c>
      <c r="AS303">
        <v>0.5</v>
      </c>
      <c r="AT303" t="s">
        <v>308</v>
      </c>
      <c r="AU303" t="s">
        <v>110</v>
      </c>
      <c r="AV303" t="s">
        <v>20733</v>
      </c>
    </row>
    <row r="304" spans="1:48">
      <c r="A304" s="1">
        <f>HYPERLINK("https://lsnyc.legalserver.org/matter/dynamic-profile/view/1890025","19-1890025")</f>
        <v>0</v>
      </c>
      <c r="B304" t="s">
        <v>102</v>
      </c>
      <c r="C304" t="s">
        <v>256</v>
      </c>
      <c r="D304" t="s">
        <v>441</v>
      </c>
      <c r="F304" t="s">
        <v>1143</v>
      </c>
      <c r="G304" t="s">
        <v>3521</v>
      </c>
      <c r="H304" t="s">
        <v>5876</v>
      </c>
      <c r="I304">
        <v>402</v>
      </c>
      <c r="J304" t="s">
        <v>9065</v>
      </c>
      <c r="K304">
        <v>10457</v>
      </c>
      <c r="L304" t="s">
        <v>9094</v>
      </c>
      <c r="M304" t="s">
        <v>9094</v>
      </c>
      <c r="O304" t="s">
        <v>11136</v>
      </c>
      <c r="P304" t="s">
        <v>11164</v>
      </c>
      <c r="R304" t="s">
        <v>11180</v>
      </c>
      <c r="T304" t="s">
        <v>11183</v>
      </c>
      <c r="V304" t="s">
        <v>441</v>
      </c>
      <c r="W304">
        <v>400</v>
      </c>
      <c r="X304" t="s">
        <v>11333</v>
      </c>
      <c r="Z304" t="s">
        <v>11583</v>
      </c>
      <c r="AB304" t="s">
        <v>16069</v>
      </c>
      <c r="AC304">
        <v>0</v>
      </c>
      <c r="AF304">
        <v>12</v>
      </c>
      <c r="AG304">
        <v>2</v>
      </c>
      <c r="AH304">
        <v>0</v>
      </c>
      <c r="AI304">
        <v>0</v>
      </c>
      <c r="AL304" t="s">
        <v>19614</v>
      </c>
      <c r="AM304">
        <v>0</v>
      </c>
      <c r="AS304">
        <v>0</v>
      </c>
      <c r="AU304" t="s">
        <v>20646</v>
      </c>
    </row>
    <row r="305" spans="1:48">
      <c r="A305" s="1">
        <f>HYPERLINK("https://lsnyc.legalserver.org/matter/dynamic-profile/view/1907676","19-1907676")</f>
        <v>0</v>
      </c>
      <c r="B305" t="s">
        <v>114</v>
      </c>
      <c r="C305" t="s">
        <v>256</v>
      </c>
      <c r="D305" t="s">
        <v>429</v>
      </c>
      <c r="F305" t="s">
        <v>1337</v>
      </c>
      <c r="G305" t="s">
        <v>3522</v>
      </c>
      <c r="H305" t="s">
        <v>5877</v>
      </c>
      <c r="I305" t="s">
        <v>8228</v>
      </c>
      <c r="J305" t="s">
        <v>9065</v>
      </c>
      <c r="K305">
        <v>10457</v>
      </c>
      <c r="L305" t="s">
        <v>9095</v>
      </c>
      <c r="M305" t="s">
        <v>9095</v>
      </c>
      <c r="P305" t="s">
        <v>11168</v>
      </c>
      <c r="R305" t="s">
        <v>11180</v>
      </c>
      <c r="T305" t="s">
        <v>11190</v>
      </c>
      <c r="W305">
        <v>1696</v>
      </c>
      <c r="X305" t="s">
        <v>11333</v>
      </c>
      <c r="Y305" t="s">
        <v>11345</v>
      </c>
      <c r="Z305" t="s">
        <v>11584</v>
      </c>
      <c r="AB305" t="s">
        <v>16070</v>
      </c>
      <c r="AC305">
        <v>84</v>
      </c>
      <c r="AE305" t="s">
        <v>19580</v>
      </c>
      <c r="AF305">
        <v>5</v>
      </c>
      <c r="AG305">
        <v>1</v>
      </c>
      <c r="AH305">
        <v>1</v>
      </c>
      <c r="AI305">
        <v>0</v>
      </c>
      <c r="AL305" t="s">
        <v>19614</v>
      </c>
      <c r="AM305">
        <v>0</v>
      </c>
      <c r="AS305">
        <v>5.5</v>
      </c>
      <c r="AT305" t="s">
        <v>301</v>
      </c>
      <c r="AU305" t="s">
        <v>20631</v>
      </c>
    </row>
    <row r="306" spans="1:48">
      <c r="A306" s="1">
        <f>HYPERLINK("https://lsnyc.legalserver.org/matter/dynamic-profile/view/1910186","19-1910186")</f>
        <v>0</v>
      </c>
      <c r="B306" t="s">
        <v>98</v>
      </c>
      <c r="C306" t="s">
        <v>256</v>
      </c>
      <c r="D306" t="s">
        <v>442</v>
      </c>
      <c r="F306" t="s">
        <v>1338</v>
      </c>
      <c r="G306" t="s">
        <v>3523</v>
      </c>
      <c r="H306" t="s">
        <v>5878</v>
      </c>
      <c r="I306" t="s">
        <v>8119</v>
      </c>
      <c r="J306" t="s">
        <v>9065</v>
      </c>
      <c r="K306">
        <v>10456</v>
      </c>
      <c r="L306" t="s">
        <v>9094</v>
      </c>
      <c r="M306" t="s">
        <v>9095</v>
      </c>
      <c r="O306" t="s">
        <v>11134</v>
      </c>
      <c r="P306" t="s">
        <v>11168</v>
      </c>
      <c r="R306" t="s">
        <v>11180</v>
      </c>
      <c r="S306" t="s">
        <v>9094</v>
      </c>
      <c r="T306" t="s">
        <v>11183</v>
      </c>
      <c r="W306">
        <v>1150</v>
      </c>
      <c r="X306" t="s">
        <v>11333</v>
      </c>
      <c r="Y306" t="s">
        <v>11346</v>
      </c>
      <c r="Z306" t="s">
        <v>11585</v>
      </c>
      <c r="AB306" t="s">
        <v>16071</v>
      </c>
      <c r="AC306">
        <v>30</v>
      </c>
      <c r="AD306" t="s">
        <v>15441</v>
      </c>
      <c r="AE306" t="s">
        <v>9144</v>
      </c>
      <c r="AF306">
        <v>23</v>
      </c>
      <c r="AG306">
        <v>5</v>
      </c>
      <c r="AH306">
        <v>1</v>
      </c>
      <c r="AI306">
        <v>0</v>
      </c>
      <c r="AL306" t="s">
        <v>19614</v>
      </c>
      <c r="AM306">
        <v>0</v>
      </c>
      <c r="AS306">
        <v>0</v>
      </c>
      <c r="AU306" t="s">
        <v>20642</v>
      </c>
      <c r="AV306" t="s">
        <v>20733</v>
      </c>
    </row>
    <row r="307" spans="1:48">
      <c r="A307" s="1">
        <f>HYPERLINK("https://lsnyc.legalserver.org/matter/dynamic-profile/view/1910201","19-1910201")</f>
        <v>0</v>
      </c>
      <c r="B307" t="s">
        <v>98</v>
      </c>
      <c r="C307" t="s">
        <v>256</v>
      </c>
      <c r="D307" t="s">
        <v>442</v>
      </c>
      <c r="F307" t="s">
        <v>1339</v>
      </c>
      <c r="G307" t="s">
        <v>3524</v>
      </c>
      <c r="H307" t="s">
        <v>5878</v>
      </c>
      <c r="I307" t="s">
        <v>8134</v>
      </c>
      <c r="J307" t="s">
        <v>9065</v>
      </c>
      <c r="K307">
        <v>10456</v>
      </c>
      <c r="L307" t="s">
        <v>9094</v>
      </c>
      <c r="M307" t="s">
        <v>9095</v>
      </c>
      <c r="O307" t="s">
        <v>11134</v>
      </c>
      <c r="P307" t="s">
        <v>11168</v>
      </c>
      <c r="R307" t="s">
        <v>11180</v>
      </c>
      <c r="S307" t="s">
        <v>9094</v>
      </c>
      <c r="T307" t="s">
        <v>11183</v>
      </c>
      <c r="W307">
        <v>0</v>
      </c>
      <c r="X307" t="s">
        <v>11333</v>
      </c>
      <c r="Y307" t="s">
        <v>11346</v>
      </c>
      <c r="Z307" t="s">
        <v>11586</v>
      </c>
      <c r="AB307" t="s">
        <v>16072</v>
      </c>
      <c r="AC307">
        <v>30</v>
      </c>
      <c r="AD307" t="s">
        <v>15441</v>
      </c>
      <c r="AE307" t="s">
        <v>9144</v>
      </c>
      <c r="AF307">
        <v>8</v>
      </c>
      <c r="AG307">
        <v>2</v>
      </c>
      <c r="AH307">
        <v>3</v>
      </c>
      <c r="AI307">
        <v>0</v>
      </c>
      <c r="AL307" t="s">
        <v>19614</v>
      </c>
      <c r="AM307">
        <v>0</v>
      </c>
      <c r="AS307">
        <v>0</v>
      </c>
      <c r="AU307" t="s">
        <v>20642</v>
      </c>
      <c r="AV307" t="s">
        <v>20733</v>
      </c>
    </row>
    <row r="308" spans="1:48">
      <c r="A308" s="1">
        <f>HYPERLINK("https://lsnyc.legalserver.org/matter/dynamic-profile/view/1914109","19-1914109")</f>
        <v>0</v>
      </c>
      <c r="B308" t="s">
        <v>98</v>
      </c>
      <c r="C308" t="s">
        <v>256</v>
      </c>
      <c r="D308" t="s">
        <v>395</v>
      </c>
      <c r="F308" t="s">
        <v>1340</v>
      </c>
      <c r="G308" t="s">
        <v>3525</v>
      </c>
      <c r="H308" t="s">
        <v>5879</v>
      </c>
      <c r="I308" t="s">
        <v>8140</v>
      </c>
      <c r="J308" t="s">
        <v>9065</v>
      </c>
      <c r="K308">
        <v>10456</v>
      </c>
      <c r="L308" t="s">
        <v>9095</v>
      </c>
      <c r="M308" t="s">
        <v>9095</v>
      </c>
      <c r="O308" t="s">
        <v>11134</v>
      </c>
      <c r="P308" t="s">
        <v>11168</v>
      </c>
      <c r="R308" t="s">
        <v>11180</v>
      </c>
      <c r="S308" t="s">
        <v>9094</v>
      </c>
      <c r="T308" t="s">
        <v>11183</v>
      </c>
      <c r="W308">
        <v>1025</v>
      </c>
      <c r="X308" t="s">
        <v>11333</v>
      </c>
      <c r="Y308" t="s">
        <v>11346</v>
      </c>
      <c r="Z308" t="s">
        <v>11587</v>
      </c>
      <c r="AB308" t="s">
        <v>16073</v>
      </c>
      <c r="AC308">
        <v>28</v>
      </c>
      <c r="AD308" t="s">
        <v>19566</v>
      </c>
      <c r="AF308">
        <v>0</v>
      </c>
      <c r="AG308">
        <v>1</v>
      </c>
      <c r="AH308">
        <v>2</v>
      </c>
      <c r="AI308">
        <v>0</v>
      </c>
      <c r="AL308" t="s">
        <v>19614</v>
      </c>
      <c r="AM308">
        <v>0</v>
      </c>
      <c r="AS308">
        <v>0</v>
      </c>
      <c r="AU308" t="s">
        <v>98</v>
      </c>
    </row>
    <row r="309" spans="1:48">
      <c r="A309" s="1">
        <f>HYPERLINK("https://lsnyc.legalserver.org/matter/dynamic-profile/view/1887935","19-1887935")</f>
        <v>0</v>
      </c>
      <c r="B309" t="s">
        <v>119</v>
      </c>
      <c r="C309" t="s">
        <v>256</v>
      </c>
      <c r="D309" t="s">
        <v>443</v>
      </c>
      <c r="F309" t="s">
        <v>1341</v>
      </c>
      <c r="G309" t="s">
        <v>1305</v>
      </c>
      <c r="H309" t="s">
        <v>5880</v>
      </c>
      <c r="I309" t="s">
        <v>8193</v>
      </c>
      <c r="J309" t="s">
        <v>9065</v>
      </c>
      <c r="K309">
        <v>10456</v>
      </c>
      <c r="L309" t="s">
        <v>9094</v>
      </c>
      <c r="M309" t="s">
        <v>9094</v>
      </c>
      <c r="N309" t="s">
        <v>9234</v>
      </c>
      <c r="O309" t="s">
        <v>11130</v>
      </c>
      <c r="P309" t="s">
        <v>11165</v>
      </c>
      <c r="R309" t="s">
        <v>11180</v>
      </c>
      <c r="S309" t="s">
        <v>9094</v>
      </c>
      <c r="T309" t="s">
        <v>11183</v>
      </c>
      <c r="V309" t="s">
        <v>11218</v>
      </c>
      <c r="W309">
        <v>247</v>
      </c>
      <c r="X309" t="s">
        <v>11333</v>
      </c>
      <c r="Y309" t="s">
        <v>11347</v>
      </c>
      <c r="Z309" t="s">
        <v>11588</v>
      </c>
      <c r="AB309" t="s">
        <v>16074</v>
      </c>
      <c r="AC309">
        <v>17</v>
      </c>
      <c r="AD309" t="s">
        <v>19569</v>
      </c>
      <c r="AE309" t="s">
        <v>19580</v>
      </c>
      <c r="AF309">
        <v>30</v>
      </c>
      <c r="AG309">
        <v>1</v>
      </c>
      <c r="AH309">
        <v>0</v>
      </c>
      <c r="AI309">
        <v>0</v>
      </c>
      <c r="AL309" t="s">
        <v>19614</v>
      </c>
      <c r="AM309">
        <v>0</v>
      </c>
      <c r="AS309">
        <v>144.1</v>
      </c>
      <c r="AT309" t="s">
        <v>331</v>
      </c>
      <c r="AU309" t="s">
        <v>174</v>
      </c>
      <c r="AV309" t="s">
        <v>20733</v>
      </c>
    </row>
    <row r="310" spans="1:48">
      <c r="A310" s="1">
        <f>HYPERLINK("https://lsnyc.legalserver.org/matter/dynamic-profile/view/1907516","19-1907516")</f>
        <v>0</v>
      </c>
      <c r="B310" t="s">
        <v>100</v>
      </c>
      <c r="C310" t="s">
        <v>256</v>
      </c>
      <c r="D310" t="s">
        <v>275</v>
      </c>
      <c r="F310" t="s">
        <v>1342</v>
      </c>
      <c r="G310" t="s">
        <v>1215</v>
      </c>
      <c r="H310" t="s">
        <v>5881</v>
      </c>
      <c r="I310" t="s">
        <v>8229</v>
      </c>
      <c r="J310" t="s">
        <v>9065</v>
      </c>
      <c r="K310">
        <v>10456</v>
      </c>
      <c r="L310" t="s">
        <v>9094</v>
      </c>
      <c r="M310" t="s">
        <v>9095</v>
      </c>
      <c r="O310" t="s">
        <v>11130</v>
      </c>
      <c r="P310" t="s">
        <v>11164</v>
      </c>
      <c r="R310" t="s">
        <v>11180</v>
      </c>
      <c r="S310" t="s">
        <v>9094</v>
      </c>
      <c r="T310" t="s">
        <v>11183</v>
      </c>
      <c r="W310">
        <v>255</v>
      </c>
      <c r="X310" t="s">
        <v>11333</v>
      </c>
      <c r="Y310" t="s">
        <v>11346</v>
      </c>
      <c r="Z310" t="s">
        <v>11589</v>
      </c>
      <c r="AB310" t="s">
        <v>16075</v>
      </c>
      <c r="AC310">
        <v>65</v>
      </c>
      <c r="AD310" t="s">
        <v>19566</v>
      </c>
      <c r="AF310">
        <v>6</v>
      </c>
      <c r="AG310">
        <v>1</v>
      </c>
      <c r="AH310">
        <v>0</v>
      </c>
      <c r="AI310">
        <v>0</v>
      </c>
      <c r="AM310">
        <v>0</v>
      </c>
      <c r="AS310">
        <v>1.65</v>
      </c>
      <c r="AT310" t="s">
        <v>301</v>
      </c>
      <c r="AU310" t="s">
        <v>100</v>
      </c>
      <c r="AV310" t="s">
        <v>20733</v>
      </c>
    </row>
    <row r="311" spans="1:48">
      <c r="A311" s="1">
        <f>HYPERLINK("https://lsnyc.legalserver.org/matter/dynamic-profile/view/1910183","19-1910183")</f>
        <v>0</v>
      </c>
      <c r="B311" t="s">
        <v>98</v>
      </c>
      <c r="C311" t="s">
        <v>256</v>
      </c>
      <c r="D311" t="s">
        <v>442</v>
      </c>
      <c r="F311" t="s">
        <v>1338</v>
      </c>
      <c r="G311" t="s">
        <v>3523</v>
      </c>
      <c r="H311" t="s">
        <v>5878</v>
      </c>
      <c r="I311" t="s">
        <v>8119</v>
      </c>
      <c r="J311" t="s">
        <v>9065</v>
      </c>
      <c r="K311">
        <v>10456</v>
      </c>
      <c r="L311" t="s">
        <v>9094</v>
      </c>
      <c r="M311" t="s">
        <v>9095</v>
      </c>
      <c r="N311" t="s">
        <v>9235</v>
      </c>
      <c r="O311" t="s">
        <v>11130</v>
      </c>
      <c r="P311" t="s">
        <v>11165</v>
      </c>
      <c r="R311" t="s">
        <v>11180</v>
      </c>
      <c r="S311" t="s">
        <v>9094</v>
      </c>
      <c r="T311" t="s">
        <v>11183</v>
      </c>
      <c r="W311">
        <v>1150</v>
      </c>
      <c r="X311" t="s">
        <v>11333</v>
      </c>
      <c r="Y311" t="s">
        <v>11346</v>
      </c>
      <c r="Z311" t="s">
        <v>11585</v>
      </c>
      <c r="AB311" t="s">
        <v>16071</v>
      </c>
      <c r="AC311">
        <v>30</v>
      </c>
      <c r="AD311" t="s">
        <v>19566</v>
      </c>
      <c r="AE311" t="s">
        <v>9144</v>
      </c>
      <c r="AF311">
        <v>23</v>
      </c>
      <c r="AG311">
        <v>5</v>
      </c>
      <c r="AH311">
        <v>1</v>
      </c>
      <c r="AI311">
        <v>0</v>
      </c>
      <c r="AL311" t="s">
        <v>19614</v>
      </c>
      <c r="AM311">
        <v>0</v>
      </c>
      <c r="AS311">
        <v>0</v>
      </c>
      <c r="AU311" t="s">
        <v>20642</v>
      </c>
      <c r="AV311" t="s">
        <v>20733</v>
      </c>
    </row>
    <row r="312" spans="1:48">
      <c r="A312" s="1">
        <f>HYPERLINK("https://lsnyc.legalserver.org/matter/dynamic-profile/view/1910197","19-1910197")</f>
        <v>0</v>
      </c>
      <c r="B312" t="s">
        <v>98</v>
      </c>
      <c r="C312" t="s">
        <v>256</v>
      </c>
      <c r="D312" t="s">
        <v>442</v>
      </c>
      <c r="F312" t="s">
        <v>1339</v>
      </c>
      <c r="G312" t="s">
        <v>3524</v>
      </c>
      <c r="H312" t="s">
        <v>5878</v>
      </c>
      <c r="I312" t="s">
        <v>8134</v>
      </c>
      <c r="J312" t="s">
        <v>9065</v>
      </c>
      <c r="K312">
        <v>10456</v>
      </c>
      <c r="L312" t="s">
        <v>9094</v>
      </c>
      <c r="M312" t="s">
        <v>9095</v>
      </c>
      <c r="N312" t="s">
        <v>9235</v>
      </c>
      <c r="O312" t="s">
        <v>11130</v>
      </c>
      <c r="P312" t="s">
        <v>11165</v>
      </c>
      <c r="R312" t="s">
        <v>11180</v>
      </c>
      <c r="S312" t="s">
        <v>9094</v>
      </c>
      <c r="T312" t="s">
        <v>11183</v>
      </c>
      <c r="W312">
        <v>0</v>
      </c>
      <c r="X312" t="s">
        <v>11333</v>
      </c>
      <c r="Y312" t="s">
        <v>11346</v>
      </c>
      <c r="Z312" t="s">
        <v>11586</v>
      </c>
      <c r="AB312" t="s">
        <v>16072</v>
      </c>
      <c r="AC312">
        <v>30</v>
      </c>
      <c r="AD312" t="s">
        <v>15441</v>
      </c>
      <c r="AE312" t="s">
        <v>9144</v>
      </c>
      <c r="AF312">
        <v>8</v>
      </c>
      <c r="AG312">
        <v>2</v>
      </c>
      <c r="AH312">
        <v>3</v>
      </c>
      <c r="AI312">
        <v>0</v>
      </c>
      <c r="AL312" t="s">
        <v>19614</v>
      </c>
      <c r="AM312">
        <v>0</v>
      </c>
      <c r="AS312">
        <v>0</v>
      </c>
      <c r="AU312" t="s">
        <v>20642</v>
      </c>
      <c r="AV312" t="s">
        <v>20733</v>
      </c>
    </row>
    <row r="313" spans="1:48">
      <c r="A313" s="1">
        <f>HYPERLINK("https://lsnyc.legalserver.org/matter/dynamic-profile/view/1911782","19-1911782")</f>
        <v>0</v>
      </c>
      <c r="B313" t="s">
        <v>98</v>
      </c>
      <c r="C313" t="s">
        <v>256</v>
      </c>
      <c r="D313" t="s">
        <v>284</v>
      </c>
      <c r="F313" t="s">
        <v>1340</v>
      </c>
      <c r="G313" t="s">
        <v>3525</v>
      </c>
      <c r="H313" t="s">
        <v>5879</v>
      </c>
      <c r="I313" t="s">
        <v>8140</v>
      </c>
      <c r="J313" t="s">
        <v>9065</v>
      </c>
      <c r="K313">
        <v>10456</v>
      </c>
      <c r="L313" t="s">
        <v>9094</v>
      </c>
      <c r="M313" t="s">
        <v>9095</v>
      </c>
      <c r="N313" t="s">
        <v>9235</v>
      </c>
      <c r="O313" t="s">
        <v>11130</v>
      </c>
      <c r="P313" t="s">
        <v>11165</v>
      </c>
      <c r="R313" t="s">
        <v>11180</v>
      </c>
      <c r="S313" t="s">
        <v>9094</v>
      </c>
      <c r="T313" t="s">
        <v>11183</v>
      </c>
      <c r="W313">
        <v>1025</v>
      </c>
      <c r="X313" t="s">
        <v>11333</v>
      </c>
      <c r="Y313" t="s">
        <v>11345</v>
      </c>
      <c r="Z313" t="s">
        <v>11587</v>
      </c>
      <c r="AB313" t="s">
        <v>16073</v>
      </c>
      <c r="AC313">
        <v>30</v>
      </c>
      <c r="AD313" t="s">
        <v>15441</v>
      </c>
      <c r="AE313" t="s">
        <v>11157</v>
      </c>
      <c r="AF313">
        <v>28</v>
      </c>
      <c r="AG313">
        <v>1</v>
      </c>
      <c r="AH313">
        <v>2</v>
      </c>
      <c r="AI313">
        <v>0</v>
      </c>
      <c r="AL313" t="s">
        <v>19614</v>
      </c>
      <c r="AM313">
        <v>0</v>
      </c>
      <c r="AS313">
        <v>0.1</v>
      </c>
      <c r="AT313" t="s">
        <v>284</v>
      </c>
      <c r="AU313" t="s">
        <v>20642</v>
      </c>
      <c r="AV313" t="s">
        <v>20733</v>
      </c>
    </row>
    <row r="314" spans="1:48">
      <c r="A314" s="1">
        <f>HYPERLINK("https://lsnyc.legalserver.org/matter/dynamic-profile/view/1909649","19-1909649")</f>
        <v>0</v>
      </c>
      <c r="B314" t="s">
        <v>110</v>
      </c>
      <c r="C314" t="s">
        <v>257</v>
      </c>
      <c r="D314" t="s">
        <v>444</v>
      </c>
      <c r="E314" t="s">
        <v>476</v>
      </c>
      <c r="F314" t="s">
        <v>1146</v>
      </c>
      <c r="G314" t="s">
        <v>3526</v>
      </c>
      <c r="H314" t="s">
        <v>5882</v>
      </c>
      <c r="I314">
        <v>45</v>
      </c>
      <c r="J314" t="s">
        <v>9065</v>
      </c>
      <c r="K314">
        <v>10456</v>
      </c>
      <c r="L314" t="s">
        <v>9094</v>
      </c>
      <c r="M314" t="s">
        <v>9095</v>
      </c>
      <c r="O314" t="s">
        <v>9121</v>
      </c>
      <c r="P314" t="s">
        <v>11164</v>
      </c>
      <c r="Q314" t="s">
        <v>11172</v>
      </c>
      <c r="R314" t="s">
        <v>11180</v>
      </c>
      <c r="S314" t="s">
        <v>9096</v>
      </c>
      <c r="T314" t="s">
        <v>11183</v>
      </c>
      <c r="W314">
        <v>0</v>
      </c>
      <c r="X314" t="s">
        <v>11333</v>
      </c>
      <c r="Z314" t="s">
        <v>11590</v>
      </c>
      <c r="AB314" t="s">
        <v>16076</v>
      </c>
      <c r="AC314">
        <v>0</v>
      </c>
      <c r="AE314" t="s">
        <v>9144</v>
      </c>
      <c r="AF314">
        <v>30</v>
      </c>
      <c r="AG314">
        <v>1</v>
      </c>
      <c r="AH314">
        <v>0</v>
      </c>
      <c r="AI314">
        <v>0</v>
      </c>
      <c r="AL314" t="s">
        <v>19615</v>
      </c>
      <c r="AM314">
        <v>0</v>
      </c>
      <c r="AS314">
        <v>0.1</v>
      </c>
      <c r="AT314" t="s">
        <v>308</v>
      </c>
      <c r="AU314" t="s">
        <v>110</v>
      </c>
      <c r="AV314" t="s">
        <v>20733</v>
      </c>
    </row>
    <row r="315" spans="1:48">
      <c r="A315" s="1">
        <f>HYPERLINK("https://lsnyc.legalserver.org/matter/dynamic-profile/view/1907525","19-1907525")</f>
        <v>0</v>
      </c>
      <c r="B315" t="s">
        <v>100</v>
      </c>
      <c r="C315" t="s">
        <v>256</v>
      </c>
      <c r="D315" t="s">
        <v>275</v>
      </c>
      <c r="F315" t="s">
        <v>1343</v>
      </c>
      <c r="G315" t="s">
        <v>3527</v>
      </c>
      <c r="H315" t="s">
        <v>5883</v>
      </c>
      <c r="I315">
        <v>29</v>
      </c>
      <c r="J315" t="s">
        <v>9065</v>
      </c>
      <c r="K315">
        <v>10456</v>
      </c>
      <c r="L315" t="s">
        <v>9095</v>
      </c>
      <c r="M315" t="s">
        <v>9095</v>
      </c>
      <c r="P315" t="s">
        <v>11164</v>
      </c>
      <c r="R315" t="s">
        <v>11180</v>
      </c>
      <c r="S315" t="s">
        <v>9094</v>
      </c>
      <c r="T315" t="s">
        <v>11183</v>
      </c>
      <c r="W315">
        <v>50</v>
      </c>
      <c r="X315" t="s">
        <v>11333</v>
      </c>
      <c r="Y315" t="s">
        <v>11339</v>
      </c>
      <c r="Z315" t="s">
        <v>11591</v>
      </c>
      <c r="AB315" t="s">
        <v>16077</v>
      </c>
      <c r="AC315">
        <v>54</v>
      </c>
      <c r="AD315" t="s">
        <v>19566</v>
      </c>
      <c r="AF315">
        <v>0</v>
      </c>
      <c r="AG315">
        <v>2</v>
      </c>
      <c r="AH315">
        <v>0</v>
      </c>
      <c r="AI315">
        <v>0</v>
      </c>
      <c r="AL315" t="s">
        <v>19614</v>
      </c>
      <c r="AM315">
        <v>0</v>
      </c>
      <c r="AS315">
        <v>0</v>
      </c>
      <c r="AU315" t="s">
        <v>100</v>
      </c>
    </row>
    <row r="316" spans="1:48">
      <c r="A316" s="1">
        <f>HYPERLINK("https://lsnyc.legalserver.org/matter/dynamic-profile/view/1904342","19-1904342")</f>
        <v>0</v>
      </c>
      <c r="B316" t="s">
        <v>103</v>
      </c>
      <c r="C316" t="s">
        <v>256</v>
      </c>
      <c r="D316" t="s">
        <v>265</v>
      </c>
      <c r="F316" t="s">
        <v>1344</v>
      </c>
      <c r="G316" t="s">
        <v>3528</v>
      </c>
      <c r="H316" t="s">
        <v>5884</v>
      </c>
      <c r="I316" t="s">
        <v>8230</v>
      </c>
      <c r="J316" t="s">
        <v>9065</v>
      </c>
      <c r="K316">
        <v>10455</v>
      </c>
      <c r="L316" t="s">
        <v>9094</v>
      </c>
      <c r="M316" t="s">
        <v>9095</v>
      </c>
      <c r="O316" t="s">
        <v>11134</v>
      </c>
      <c r="P316" t="s">
        <v>11168</v>
      </c>
      <c r="R316" t="s">
        <v>11180</v>
      </c>
      <c r="T316" t="s">
        <v>11183</v>
      </c>
      <c r="W316">
        <v>1500</v>
      </c>
      <c r="X316" t="s">
        <v>11333</v>
      </c>
      <c r="Y316" t="s">
        <v>11342</v>
      </c>
      <c r="Z316" t="s">
        <v>11592</v>
      </c>
      <c r="AB316" t="s">
        <v>16078</v>
      </c>
      <c r="AC316">
        <v>49</v>
      </c>
      <c r="AD316" t="s">
        <v>19566</v>
      </c>
      <c r="AE316" t="s">
        <v>9144</v>
      </c>
      <c r="AF316">
        <v>4</v>
      </c>
      <c r="AG316">
        <v>2</v>
      </c>
      <c r="AH316">
        <v>0</v>
      </c>
      <c r="AI316">
        <v>0</v>
      </c>
      <c r="AL316" t="s">
        <v>19615</v>
      </c>
      <c r="AM316">
        <v>0</v>
      </c>
      <c r="AS316">
        <v>1.6</v>
      </c>
      <c r="AT316" t="s">
        <v>487</v>
      </c>
      <c r="AU316" t="s">
        <v>110</v>
      </c>
      <c r="AV316" t="s">
        <v>20733</v>
      </c>
    </row>
    <row r="317" spans="1:48">
      <c r="A317" s="1">
        <f>HYPERLINK("https://lsnyc.legalserver.org/matter/dynamic-profile/view/1905147","19-1905147")</f>
        <v>0</v>
      </c>
      <c r="B317" t="s">
        <v>103</v>
      </c>
      <c r="C317" t="s">
        <v>256</v>
      </c>
      <c r="D317" t="s">
        <v>367</v>
      </c>
      <c r="F317" t="s">
        <v>1344</v>
      </c>
      <c r="G317" t="s">
        <v>3528</v>
      </c>
      <c r="H317" t="s">
        <v>5884</v>
      </c>
      <c r="I317" t="s">
        <v>8230</v>
      </c>
      <c r="J317" t="s">
        <v>9065</v>
      </c>
      <c r="K317">
        <v>10455</v>
      </c>
      <c r="L317" t="s">
        <v>9094</v>
      </c>
      <c r="M317" t="s">
        <v>9095</v>
      </c>
      <c r="O317" t="s">
        <v>11134</v>
      </c>
      <c r="P317" t="s">
        <v>11168</v>
      </c>
      <c r="R317" t="s">
        <v>11180</v>
      </c>
      <c r="S317" t="s">
        <v>9094</v>
      </c>
      <c r="T317" t="s">
        <v>11183</v>
      </c>
      <c r="W317">
        <v>1421</v>
      </c>
      <c r="X317" t="s">
        <v>11333</v>
      </c>
      <c r="Y317" t="s">
        <v>11340</v>
      </c>
      <c r="Z317" t="s">
        <v>11592</v>
      </c>
      <c r="AB317" t="s">
        <v>16078</v>
      </c>
      <c r="AC317">
        <v>49</v>
      </c>
      <c r="AD317" t="s">
        <v>19566</v>
      </c>
      <c r="AE317" t="s">
        <v>9144</v>
      </c>
      <c r="AF317">
        <v>5</v>
      </c>
      <c r="AG317">
        <v>2</v>
      </c>
      <c r="AH317">
        <v>0</v>
      </c>
      <c r="AI317">
        <v>0</v>
      </c>
      <c r="AL317" t="s">
        <v>19615</v>
      </c>
      <c r="AM317">
        <v>0</v>
      </c>
      <c r="AS317">
        <v>0</v>
      </c>
      <c r="AU317" t="s">
        <v>220</v>
      </c>
      <c r="AV317" t="s">
        <v>20733</v>
      </c>
    </row>
    <row r="318" spans="1:48">
      <c r="A318" s="1">
        <f>HYPERLINK("https://lsnyc.legalserver.org/matter/dynamic-profile/view/1901015","19-1901015")</f>
        <v>0</v>
      </c>
      <c r="B318" t="s">
        <v>103</v>
      </c>
      <c r="C318" t="s">
        <v>256</v>
      </c>
      <c r="D318" t="s">
        <v>445</v>
      </c>
      <c r="F318" t="s">
        <v>1344</v>
      </c>
      <c r="G318" t="s">
        <v>3528</v>
      </c>
      <c r="H318" t="s">
        <v>5884</v>
      </c>
      <c r="I318" t="s">
        <v>8230</v>
      </c>
      <c r="J318" t="s">
        <v>9065</v>
      </c>
      <c r="K318">
        <v>10455</v>
      </c>
      <c r="L318" t="s">
        <v>9094</v>
      </c>
      <c r="M318" t="s">
        <v>9095</v>
      </c>
      <c r="N318" t="s">
        <v>9236</v>
      </c>
      <c r="O318" t="s">
        <v>11130</v>
      </c>
      <c r="P318" t="s">
        <v>11165</v>
      </c>
      <c r="R318" t="s">
        <v>11180</v>
      </c>
      <c r="T318" t="s">
        <v>11183</v>
      </c>
      <c r="V318" t="s">
        <v>563</v>
      </c>
      <c r="W318">
        <v>1421</v>
      </c>
      <c r="X318" t="s">
        <v>11333</v>
      </c>
      <c r="Z318" t="s">
        <v>11592</v>
      </c>
      <c r="AB318" t="s">
        <v>16078</v>
      </c>
      <c r="AC318">
        <v>49</v>
      </c>
      <c r="AD318" t="s">
        <v>19566</v>
      </c>
      <c r="AE318" t="s">
        <v>9144</v>
      </c>
      <c r="AF318">
        <v>5</v>
      </c>
      <c r="AG318">
        <v>2</v>
      </c>
      <c r="AH318">
        <v>0</v>
      </c>
      <c r="AI318">
        <v>0</v>
      </c>
      <c r="AL318" t="s">
        <v>19615</v>
      </c>
      <c r="AM318">
        <v>0</v>
      </c>
      <c r="AS318">
        <v>0</v>
      </c>
      <c r="AU318" t="s">
        <v>110</v>
      </c>
      <c r="AV318" t="s">
        <v>20733</v>
      </c>
    </row>
    <row r="319" spans="1:48">
      <c r="A319" s="1">
        <f>HYPERLINK("https://lsnyc.legalserver.org/matter/dynamic-profile/view/1910321","19-1910321")</f>
        <v>0</v>
      </c>
      <c r="B319" t="s">
        <v>106</v>
      </c>
      <c r="C319" t="s">
        <v>256</v>
      </c>
      <c r="D319" t="s">
        <v>446</v>
      </c>
      <c r="F319" t="s">
        <v>1345</v>
      </c>
      <c r="G319" t="s">
        <v>3529</v>
      </c>
      <c r="H319" t="s">
        <v>5885</v>
      </c>
      <c r="I319">
        <v>23</v>
      </c>
      <c r="J319" t="s">
        <v>9065</v>
      </c>
      <c r="K319">
        <v>10455</v>
      </c>
      <c r="L319" t="s">
        <v>9094</v>
      </c>
      <c r="M319" t="s">
        <v>9095</v>
      </c>
      <c r="N319" t="s">
        <v>9237</v>
      </c>
      <c r="O319" t="s">
        <v>11129</v>
      </c>
      <c r="P319" t="s">
        <v>11165</v>
      </c>
      <c r="R319" t="s">
        <v>11181</v>
      </c>
      <c r="S319" t="s">
        <v>9096</v>
      </c>
      <c r="T319" t="s">
        <v>11183</v>
      </c>
      <c r="U319" t="s">
        <v>11201</v>
      </c>
      <c r="V319" t="s">
        <v>833</v>
      </c>
      <c r="W319">
        <v>1272</v>
      </c>
      <c r="X319" t="s">
        <v>11333</v>
      </c>
      <c r="Y319" t="s">
        <v>11337</v>
      </c>
      <c r="Z319" t="s">
        <v>11593</v>
      </c>
      <c r="AB319" t="s">
        <v>16079</v>
      </c>
      <c r="AC319">
        <v>41</v>
      </c>
      <c r="AD319" t="s">
        <v>19566</v>
      </c>
      <c r="AF319">
        <v>13</v>
      </c>
      <c r="AG319">
        <v>2</v>
      </c>
      <c r="AH319">
        <v>1</v>
      </c>
      <c r="AI319">
        <v>0</v>
      </c>
      <c r="AJ319" t="s">
        <v>19591</v>
      </c>
      <c r="AK319" t="s">
        <v>19608</v>
      </c>
      <c r="AL319" t="s">
        <v>19615</v>
      </c>
      <c r="AM319">
        <v>0</v>
      </c>
      <c r="AS319">
        <v>18.8</v>
      </c>
      <c r="AT319" t="s">
        <v>1135</v>
      </c>
      <c r="AU319" t="s">
        <v>220</v>
      </c>
      <c r="AV319" t="s">
        <v>20733</v>
      </c>
    </row>
    <row r="320" spans="1:48">
      <c r="A320" s="1">
        <f>HYPERLINK("https://lsnyc.legalserver.org/matter/dynamic-profile/view/1887394","19-1887394")</f>
        <v>0</v>
      </c>
      <c r="B320" t="s">
        <v>103</v>
      </c>
      <c r="C320" t="s">
        <v>256</v>
      </c>
      <c r="D320" t="s">
        <v>402</v>
      </c>
      <c r="F320" t="s">
        <v>1346</v>
      </c>
      <c r="G320" t="s">
        <v>3419</v>
      </c>
      <c r="H320" t="s">
        <v>5886</v>
      </c>
      <c r="I320">
        <v>41</v>
      </c>
      <c r="J320" t="s">
        <v>9065</v>
      </c>
      <c r="K320">
        <v>10453</v>
      </c>
      <c r="L320" t="s">
        <v>9094</v>
      </c>
      <c r="M320" t="s">
        <v>9094</v>
      </c>
      <c r="N320" t="s">
        <v>9238</v>
      </c>
      <c r="O320" t="s">
        <v>11134</v>
      </c>
      <c r="P320" t="s">
        <v>11168</v>
      </c>
      <c r="R320" t="s">
        <v>11180</v>
      </c>
      <c r="S320" t="s">
        <v>9094</v>
      </c>
      <c r="T320" t="s">
        <v>11183</v>
      </c>
      <c r="V320" t="s">
        <v>512</v>
      </c>
      <c r="W320">
        <v>1175.29</v>
      </c>
      <c r="X320" t="s">
        <v>11333</v>
      </c>
      <c r="Y320" t="s">
        <v>11339</v>
      </c>
      <c r="Z320" t="s">
        <v>11594</v>
      </c>
      <c r="AB320" t="s">
        <v>16080</v>
      </c>
      <c r="AC320">
        <v>46</v>
      </c>
      <c r="AD320" t="s">
        <v>19566</v>
      </c>
      <c r="AE320" t="s">
        <v>19588</v>
      </c>
      <c r="AF320">
        <v>8</v>
      </c>
      <c r="AG320">
        <v>1</v>
      </c>
      <c r="AH320">
        <v>0</v>
      </c>
      <c r="AI320">
        <v>0</v>
      </c>
      <c r="AL320" t="s">
        <v>19614</v>
      </c>
      <c r="AM320">
        <v>0</v>
      </c>
      <c r="AS320">
        <v>0</v>
      </c>
      <c r="AU320" t="s">
        <v>20647</v>
      </c>
    </row>
    <row r="321" spans="1:48">
      <c r="A321" s="1">
        <f>HYPERLINK("https://lsnyc.legalserver.org/matter/dynamic-profile/view/1889950","19-1889950")</f>
        <v>0</v>
      </c>
      <c r="B321" t="s">
        <v>103</v>
      </c>
      <c r="C321" t="s">
        <v>256</v>
      </c>
      <c r="D321" t="s">
        <v>447</v>
      </c>
      <c r="F321" t="s">
        <v>1347</v>
      </c>
      <c r="G321" t="s">
        <v>3530</v>
      </c>
      <c r="H321" t="s">
        <v>5887</v>
      </c>
      <c r="I321" t="s">
        <v>8176</v>
      </c>
      <c r="J321" t="s">
        <v>9065</v>
      </c>
      <c r="K321">
        <v>10453</v>
      </c>
      <c r="L321" t="s">
        <v>9094</v>
      </c>
      <c r="M321" t="s">
        <v>9094</v>
      </c>
      <c r="O321" t="s">
        <v>11134</v>
      </c>
      <c r="P321" t="s">
        <v>11168</v>
      </c>
      <c r="R321" t="s">
        <v>11180</v>
      </c>
      <c r="S321" t="s">
        <v>9094</v>
      </c>
      <c r="T321" t="s">
        <v>11183</v>
      </c>
      <c r="V321" t="s">
        <v>512</v>
      </c>
      <c r="W321">
        <v>1273</v>
      </c>
      <c r="X321" t="s">
        <v>11333</v>
      </c>
      <c r="Y321" t="s">
        <v>11346</v>
      </c>
      <c r="Z321" t="s">
        <v>11595</v>
      </c>
      <c r="AC321">
        <v>167</v>
      </c>
      <c r="AD321" t="s">
        <v>19566</v>
      </c>
      <c r="AE321" t="s">
        <v>9144</v>
      </c>
      <c r="AF321">
        <v>11</v>
      </c>
      <c r="AG321">
        <v>2</v>
      </c>
      <c r="AH321">
        <v>2</v>
      </c>
      <c r="AI321">
        <v>0</v>
      </c>
      <c r="AL321" t="s">
        <v>19615</v>
      </c>
      <c r="AM321">
        <v>0</v>
      </c>
      <c r="AS321">
        <v>0</v>
      </c>
      <c r="AU321" t="s">
        <v>20642</v>
      </c>
    </row>
    <row r="322" spans="1:48">
      <c r="A322" s="1">
        <f>HYPERLINK("https://lsnyc.legalserver.org/matter/dynamic-profile/view/1890574","19-1890574")</f>
        <v>0</v>
      </c>
      <c r="B322" t="s">
        <v>117</v>
      </c>
      <c r="C322" t="s">
        <v>256</v>
      </c>
      <c r="D322" t="s">
        <v>448</v>
      </c>
      <c r="F322" t="s">
        <v>1348</v>
      </c>
      <c r="G322" t="s">
        <v>3344</v>
      </c>
      <c r="H322" t="s">
        <v>5888</v>
      </c>
      <c r="I322" t="s">
        <v>8168</v>
      </c>
      <c r="J322" t="s">
        <v>9065</v>
      </c>
      <c r="K322">
        <v>10453</v>
      </c>
      <c r="L322" t="s">
        <v>9094</v>
      </c>
      <c r="M322" t="s">
        <v>9094</v>
      </c>
      <c r="O322" t="s">
        <v>11134</v>
      </c>
      <c r="P322" t="s">
        <v>11168</v>
      </c>
      <c r="R322" t="s">
        <v>11180</v>
      </c>
      <c r="S322" t="s">
        <v>9094</v>
      </c>
      <c r="T322" t="s">
        <v>11183</v>
      </c>
      <c r="V322" t="s">
        <v>512</v>
      </c>
      <c r="W322">
        <v>800</v>
      </c>
      <c r="X322" t="s">
        <v>11333</v>
      </c>
      <c r="Y322" t="s">
        <v>11346</v>
      </c>
      <c r="Z322" t="s">
        <v>11596</v>
      </c>
      <c r="AB322" t="s">
        <v>16081</v>
      </c>
      <c r="AC322">
        <v>44</v>
      </c>
      <c r="AD322" t="s">
        <v>19566</v>
      </c>
      <c r="AE322" t="s">
        <v>9144</v>
      </c>
      <c r="AF322">
        <v>1</v>
      </c>
      <c r="AG322">
        <v>2</v>
      </c>
      <c r="AH322">
        <v>0</v>
      </c>
      <c r="AI322">
        <v>0</v>
      </c>
      <c r="AL322" t="s">
        <v>19614</v>
      </c>
      <c r="AM322">
        <v>0</v>
      </c>
      <c r="AS322">
        <v>0</v>
      </c>
      <c r="AU322" t="s">
        <v>163</v>
      </c>
    </row>
    <row r="323" spans="1:48">
      <c r="A323" s="1">
        <f>HYPERLINK("https://lsnyc.legalserver.org/matter/dynamic-profile/view/1905206","19-1905206")</f>
        <v>0</v>
      </c>
      <c r="B323" t="s">
        <v>103</v>
      </c>
      <c r="C323" t="s">
        <v>256</v>
      </c>
      <c r="D323" t="s">
        <v>414</v>
      </c>
      <c r="F323" t="s">
        <v>1347</v>
      </c>
      <c r="G323" t="s">
        <v>3530</v>
      </c>
      <c r="H323" t="s">
        <v>5887</v>
      </c>
      <c r="I323" t="s">
        <v>8176</v>
      </c>
      <c r="J323" t="s">
        <v>9065</v>
      </c>
      <c r="K323">
        <v>10453</v>
      </c>
      <c r="L323" t="s">
        <v>9094</v>
      </c>
      <c r="M323" t="s">
        <v>9095</v>
      </c>
      <c r="N323" t="s">
        <v>9239</v>
      </c>
      <c r="O323" t="s">
        <v>11134</v>
      </c>
      <c r="P323" t="s">
        <v>11168</v>
      </c>
      <c r="R323" t="s">
        <v>11180</v>
      </c>
      <c r="S323" t="s">
        <v>9094</v>
      </c>
      <c r="T323" t="s">
        <v>11183</v>
      </c>
      <c r="V323" t="s">
        <v>1061</v>
      </c>
      <c r="W323">
        <v>1273</v>
      </c>
      <c r="X323" t="s">
        <v>11333</v>
      </c>
      <c r="Y323" t="s">
        <v>11346</v>
      </c>
      <c r="Z323" t="s">
        <v>11595</v>
      </c>
      <c r="AC323">
        <v>170</v>
      </c>
      <c r="AD323" t="s">
        <v>19566</v>
      </c>
      <c r="AE323" t="s">
        <v>9144</v>
      </c>
      <c r="AF323">
        <v>11</v>
      </c>
      <c r="AG323">
        <v>2</v>
      </c>
      <c r="AH323">
        <v>2</v>
      </c>
      <c r="AI323">
        <v>0</v>
      </c>
      <c r="AL323" t="s">
        <v>19615</v>
      </c>
      <c r="AM323">
        <v>0</v>
      </c>
      <c r="AS323">
        <v>0</v>
      </c>
      <c r="AU323" t="s">
        <v>20642</v>
      </c>
      <c r="AV323" t="s">
        <v>20733</v>
      </c>
    </row>
    <row r="324" spans="1:48">
      <c r="A324" s="1">
        <f>HYPERLINK("https://lsnyc.legalserver.org/matter/dynamic-profile/view/1905265","19-1905265")</f>
        <v>0</v>
      </c>
      <c r="B324" t="s">
        <v>103</v>
      </c>
      <c r="C324" t="s">
        <v>256</v>
      </c>
      <c r="D324" t="s">
        <v>414</v>
      </c>
      <c r="F324" t="s">
        <v>1347</v>
      </c>
      <c r="G324" t="s">
        <v>3530</v>
      </c>
      <c r="H324" t="s">
        <v>5887</v>
      </c>
      <c r="I324" t="s">
        <v>8176</v>
      </c>
      <c r="J324" t="s">
        <v>9065</v>
      </c>
      <c r="K324">
        <v>10453</v>
      </c>
      <c r="L324" t="s">
        <v>9094</v>
      </c>
      <c r="M324" t="s">
        <v>9095</v>
      </c>
      <c r="N324" t="s">
        <v>9240</v>
      </c>
      <c r="O324" t="s">
        <v>11134</v>
      </c>
      <c r="P324" t="s">
        <v>11168</v>
      </c>
      <c r="R324" t="s">
        <v>11180</v>
      </c>
      <c r="S324" t="s">
        <v>9094</v>
      </c>
      <c r="T324" t="s">
        <v>11183</v>
      </c>
      <c r="V324" t="s">
        <v>422</v>
      </c>
      <c r="W324">
        <v>1273</v>
      </c>
      <c r="X324" t="s">
        <v>11333</v>
      </c>
      <c r="Y324" t="s">
        <v>11346</v>
      </c>
      <c r="Z324" t="s">
        <v>11595</v>
      </c>
      <c r="AC324">
        <v>170</v>
      </c>
      <c r="AD324" t="s">
        <v>19566</v>
      </c>
      <c r="AE324" t="s">
        <v>9144</v>
      </c>
      <c r="AF324">
        <v>11</v>
      </c>
      <c r="AG324">
        <v>2</v>
      </c>
      <c r="AH324">
        <v>2</v>
      </c>
      <c r="AI324">
        <v>0</v>
      </c>
      <c r="AL324" t="s">
        <v>19615</v>
      </c>
      <c r="AM324">
        <v>0</v>
      </c>
      <c r="AS324">
        <v>0</v>
      </c>
      <c r="AU324" t="s">
        <v>20642</v>
      </c>
      <c r="AV324" t="s">
        <v>20733</v>
      </c>
    </row>
    <row r="325" spans="1:48">
      <c r="A325" s="1">
        <f>HYPERLINK("https://lsnyc.legalserver.org/matter/dynamic-profile/view/1853337","17-1853337")</f>
        <v>0</v>
      </c>
      <c r="B325" t="s">
        <v>114</v>
      </c>
      <c r="C325" t="s">
        <v>256</v>
      </c>
      <c r="D325" t="s">
        <v>449</v>
      </c>
      <c r="F325" t="s">
        <v>1245</v>
      </c>
      <c r="G325" t="s">
        <v>3531</v>
      </c>
      <c r="H325" t="s">
        <v>5889</v>
      </c>
      <c r="I325" t="s">
        <v>8231</v>
      </c>
      <c r="J325" t="s">
        <v>9065</v>
      </c>
      <c r="K325">
        <v>10453</v>
      </c>
      <c r="L325" t="s">
        <v>9094</v>
      </c>
      <c r="M325" t="s">
        <v>9095</v>
      </c>
      <c r="N325" t="s">
        <v>9241</v>
      </c>
      <c r="O325" t="s">
        <v>11135</v>
      </c>
      <c r="P325" t="s">
        <v>11168</v>
      </c>
      <c r="R325" t="s">
        <v>11180</v>
      </c>
      <c r="S325" t="s">
        <v>9094</v>
      </c>
      <c r="T325" t="s">
        <v>11183</v>
      </c>
      <c r="V325" t="s">
        <v>11223</v>
      </c>
      <c r="W325">
        <v>900.11</v>
      </c>
      <c r="X325" t="s">
        <v>11333</v>
      </c>
      <c r="Y325" t="s">
        <v>11346</v>
      </c>
      <c r="Z325" t="s">
        <v>11597</v>
      </c>
      <c r="AB325" t="s">
        <v>16082</v>
      </c>
      <c r="AC325">
        <v>21</v>
      </c>
      <c r="AD325" t="s">
        <v>19566</v>
      </c>
      <c r="AF325">
        <v>0</v>
      </c>
      <c r="AG325">
        <v>2</v>
      </c>
      <c r="AH325">
        <v>2</v>
      </c>
      <c r="AI325">
        <v>0</v>
      </c>
      <c r="AL325" t="s">
        <v>19615</v>
      </c>
      <c r="AM325">
        <v>0</v>
      </c>
      <c r="AS325">
        <v>0</v>
      </c>
      <c r="AU325" t="s">
        <v>20645</v>
      </c>
    </row>
    <row r="326" spans="1:48">
      <c r="A326" s="1">
        <f>HYPERLINK("https://lsnyc.legalserver.org/matter/dynamic-profile/view/1860904","18-1860904")</f>
        <v>0</v>
      </c>
      <c r="B326" t="s">
        <v>101</v>
      </c>
      <c r="C326" t="s">
        <v>256</v>
      </c>
      <c r="D326" t="s">
        <v>450</v>
      </c>
      <c r="F326" t="s">
        <v>1349</v>
      </c>
      <c r="G326" t="s">
        <v>3532</v>
      </c>
      <c r="H326" t="s">
        <v>5890</v>
      </c>
      <c r="I326" t="s">
        <v>8232</v>
      </c>
      <c r="J326" t="s">
        <v>9065</v>
      </c>
      <c r="K326">
        <v>10453</v>
      </c>
      <c r="L326" t="s">
        <v>9094</v>
      </c>
      <c r="M326" t="s">
        <v>9095</v>
      </c>
      <c r="N326" t="s">
        <v>9242</v>
      </c>
      <c r="O326" t="s">
        <v>11130</v>
      </c>
      <c r="P326" t="s">
        <v>11165</v>
      </c>
      <c r="R326" t="s">
        <v>11180</v>
      </c>
      <c r="S326" t="s">
        <v>9094</v>
      </c>
      <c r="T326" t="s">
        <v>11183</v>
      </c>
      <c r="V326" t="s">
        <v>874</v>
      </c>
      <c r="W326">
        <v>1293</v>
      </c>
      <c r="X326" t="s">
        <v>11333</v>
      </c>
      <c r="Y326" t="s">
        <v>11338</v>
      </c>
      <c r="Z326" t="s">
        <v>11598</v>
      </c>
      <c r="AB326" t="s">
        <v>16083</v>
      </c>
      <c r="AC326">
        <v>46</v>
      </c>
      <c r="AD326" t="s">
        <v>19566</v>
      </c>
      <c r="AE326" t="s">
        <v>9144</v>
      </c>
      <c r="AF326">
        <v>6</v>
      </c>
      <c r="AG326">
        <v>2</v>
      </c>
      <c r="AH326">
        <v>3</v>
      </c>
      <c r="AI326">
        <v>0</v>
      </c>
      <c r="AL326" t="s">
        <v>19615</v>
      </c>
      <c r="AM326">
        <v>26000</v>
      </c>
      <c r="AS326">
        <v>0.8</v>
      </c>
      <c r="AT326" t="s">
        <v>616</v>
      </c>
      <c r="AU326" t="s">
        <v>174</v>
      </c>
    </row>
    <row r="327" spans="1:48">
      <c r="A327" s="1">
        <f>HYPERLINK("https://lsnyc.legalserver.org/matter/dynamic-profile/view/1861954","18-1861954")</f>
        <v>0</v>
      </c>
      <c r="B327" t="s">
        <v>101</v>
      </c>
      <c r="C327" t="s">
        <v>256</v>
      </c>
      <c r="D327" t="s">
        <v>451</v>
      </c>
      <c r="F327" t="s">
        <v>1350</v>
      </c>
      <c r="G327" t="s">
        <v>3533</v>
      </c>
      <c r="H327" t="s">
        <v>5890</v>
      </c>
      <c r="I327" t="s">
        <v>8233</v>
      </c>
      <c r="J327" t="s">
        <v>9065</v>
      </c>
      <c r="K327">
        <v>10453</v>
      </c>
      <c r="L327" t="s">
        <v>9094</v>
      </c>
      <c r="M327" t="s">
        <v>9095</v>
      </c>
      <c r="N327" t="s">
        <v>9242</v>
      </c>
      <c r="O327" t="s">
        <v>11130</v>
      </c>
      <c r="P327" t="s">
        <v>11165</v>
      </c>
      <c r="R327" t="s">
        <v>11180</v>
      </c>
      <c r="S327" t="s">
        <v>9094</v>
      </c>
      <c r="T327" t="s">
        <v>11183</v>
      </c>
      <c r="V327" t="s">
        <v>874</v>
      </c>
      <c r="W327">
        <v>1612.04</v>
      </c>
      <c r="X327" t="s">
        <v>11333</v>
      </c>
      <c r="Y327" t="s">
        <v>11338</v>
      </c>
      <c r="Z327" t="s">
        <v>11599</v>
      </c>
      <c r="AA327" t="s">
        <v>15315</v>
      </c>
      <c r="AB327" t="s">
        <v>16084</v>
      </c>
      <c r="AC327">
        <v>46</v>
      </c>
      <c r="AD327" t="s">
        <v>19566</v>
      </c>
      <c r="AE327" t="s">
        <v>19581</v>
      </c>
      <c r="AF327">
        <v>11</v>
      </c>
      <c r="AG327">
        <v>1</v>
      </c>
      <c r="AH327">
        <v>4</v>
      </c>
      <c r="AI327">
        <v>0</v>
      </c>
      <c r="AL327" t="s">
        <v>19615</v>
      </c>
      <c r="AM327">
        <v>0</v>
      </c>
      <c r="AS327">
        <v>1.2</v>
      </c>
      <c r="AT327" t="s">
        <v>685</v>
      </c>
      <c r="AU327" t="s">
        <v>174</v>
      </c>
    </row>
    <row r="328" spans="1:48">
      <c r="A328" s="1">
        <f>HYPERLINK("https://lsnyc.legalserver.org/matter/dynamic-profile/view/1879510","18-1879510")</f>
        <v>0</v>
      </c>
      <c r="B328" t="s">
        <v>115</v>
      </c>
      <c r="C328" t="s">
        <v>256</v>
      </c>
      <c r="D328" t="s">
        <v>452</v>
      </c>
      <c r="F328" t="s">
        <v>1351</v>
      </c>
      <c r="G328" t="s">
        <v>3534</v>
      </c>
      <c r="H328" t="s">
        <v>5890</v>
      </c>
      <c r="I328" t="s">
        <v>8193</v>
      </c>
      <c r="J328" t="s">
        <v>9065</v>
      </c>
      <c r="K328">
        <v>10453</v>
      </c>
      <c r="L328" t="s">
        <v>9094</v>
      </c>
      <c r="M328" t="s">
        <v>9094</v>
      </c>
      <c r="O328" t="s">
        <v>11130</v>
      </c>
      <c r="P328" t="s">
        <v>11165</v>
      </c>
      <c r="R328" t="s">
        <v>11180</v>
      </c>
      <c r="S328" t="s">
        <v>9096</v>
      </c>
      <c r="T328" t="s">
        <v>11183</v>
      </c>
      <c r="U328" t="s">
        <v>11201</v>
      </c>
      <c r="V328" t="s">
        <v>834</v>
      </c>
      <c r="W328">
        <v>1220</v>
      </c>
      <c r="X328" t="s">
        <v>11333</v>
      </c>
      <c r="Y328" t="s">
        <v>11340</v>
      </c>
      <c r="Z328" t="s">
        <v>11600</v>
      </c>
      <c r="AA328" t="s">
        <v>15316</v>
      </c>
      <c r="AB328" t="s">
        <v>16085</v>
      </c>
      <c r="AC328">
        <v>46</v>
      </c>
      <c r="AD328" t="s">
        <v>19566</v>
      </c>
      <c r="AE328" t="s">
        <v>19581</v>
      </c>
      <c r="AF328">
        <v>4</v>
      </c>
      <c r="AG328">
        <v>1</v>
      </c>
      <c r="AH328">
        <v>1</v>
      </c>
      <c r="AI328">
        <v>0</v>
      </c>
      <c r="AL328" t="s">
        <v>19615</v>
      </c>
      <c r="AM328">
        <v>0</v>
      </c>
      <c r="AS328">
        <v>70.5</v>
      </c>
      <c r="AT328" t="s">
        <v>290</v>
      </c>
      <c r="AU328" t="s">
        <v>163</v>
      </c>
    </row>
    <row r="329" spans="1:48">
      <c r="A329" s="1">
        <f>HYPERLINK("https://lsnyc.legalserver.org/matter/dynamic-profile/view/1890570","19-1890570")</f>
        <v>0</v>
      </c>
      <c r="B329" t="s">
        <v>117</v>
      </c>
      <c r="C329" t="s">
        <v>257</v>
      </c>
      <c r="D329" t="s">
        <v>448</v>
      </c>
      <c r="E329" t="s">
        <v>339</v>
      </c>
      <c r="F329" t="s">
        <v>1348</v>
      </c>
      <c r="G329" t="s">
        <v>3344</v>
      </c>
      <c r="H329" t="s">
        <v>5888</v>
      </c>
      <c r="I329" t="s">
        <v>8168</v>
      </c>
      <c r="J329" t="s">
        <v>9065</v>
      </c>
      <c r="K329">
        <v>10453</v>
      </c>
      <c r="L329" t="s">
        <v>9094</v>
      </c>
      <c r="M329" t="s">
        <v>9094</v>
      </c>
      <c r="N329" t="s">
        <v>9243</v>
      </c>
      <c r="O329" t="s">
        <v>11130</v>
      </c>
      <c r="P329" t="s">
        <v>11165</v>
      </c>
      <c r="Q329" t="s">
        <v>11172</v>
      </c>
      <c r="R329" t="s">
        <v>11180</v>
      </c>
      <c r="S329" t="s">
        <v>9094</v>
      </c>
      <c r="T329" t="s">
        <v>11183</v>
      </c>
      <c r="V329" t="s">
        <v>512</v>
      </c>
      <c r="W329">
        <v>800</v>
      </c>
      <c r="X329" t="s">
        <v>11333</v>
      </c>
      <c r="Y329" t="s">
        <v>11346</v>
      </c>
      <c r="Z329" t="s">
        <v>11596</v>
      </c>
      <c r="AB329" t="s">
        <v>16081</v>
      </c>
      <c r="AC329">
        <v>44</v>
      </c>
      <c r="AD329" t="s">
        <v>19566</v>
      </c>
      <c r="AE329" t="s">
        <v>9144</v>
      </c>
      <c r="AF329">
        <v>1</v>
      </c>
      <c r="AG329">
        <v>2</v>
      </c>
      <c r="AH329">
        <v>0</v>
      </c>
      <c r="AI329">
        <v>0</v>
      </c>
      <c r="AL329" t="s">
        <v>19614</v>
      </c>
      <c r="AM329">
        <v>0</v>
      </c>
      <c r="AS329">
        <v>0.1</v>
      </c>
      <c r="AT329" t="s">
        <v>339</v>
      </c>
      <c r="AU329" t="s">
        <v>163</v>
      </c>
    </row>
    <row r="330" spans="1:48">
      <c r="A330" s="1">
        <f>HYPERLINK("https://lsnyc.legalserver.org/matter/dynamic-profile/view/1900199","19-1900199")</f>
        <v>0</v>
      </c>
      <c r="B330" t="s">
        <v>108</v>
      </c>
      <c r="C330" t="s">
        <v>256</v>
      </c>
      <c r="D330" t="s">
        <v>453</v>
      </c>
      <c r="F330" t="s">
        <v>1352</v>
      </c>
      <c r="G330" t="s">
        <v>1386</v>
      </c>
      <c r="H330" t="s">
        <v>5891</v>
      </c>
      <c r="I330" t="s">
        <v>8234</v>
      </c>
      <c r="J330" t="s">
        <v>9065</v>
      </c>
      <c r="K330">
        <v>10453</v>
      </c>
      <c r="L330" t="s">
        <v>9094</v>
      </c>
      <c r="M330" t="s">
        <v>9095</v>
      </c>
      <c r="N330" t="s">
        <v>9244</v>
      </c>
      <c r="O330" t="s">
        <v>11130</v>
      </c>
      <c r="P330" t="s">
        <v>11165</v>
      </c>
      <c r="R330" t="s">
        <v>11180</v>
      </c>
      <c r="S330" t="s">
        <v>9096</v>
      </c>
      <c r="T330" t="s">
        <v>11183</v>
      </c>
      <c r="U330" t="s">
        <v>11201</v>
      </c>
      <c r="V330" t="s">
        <v>11218</v>
      </c>
      <c r="W330">
        <v>176</v>
      </c>
      <c r="X330" t="s">
        <v>11333</v>
      </c>
      <c r="Y330" t="s">
        <v>11340</v>
      </c>
      <c r="Z330" t="s">
        <v>11601</v>
      </c>
      <c r="AB330" t="s">
        <v>16086</v>
      </c>
      <c r="AC330">
        <v>383</v>
      </c>
      <c r="AD330" t="s">
        <v>19567</v>
      </c>
      <c r="AE330" t="s">
        <v>19580</v>
      </c>
      <c r="AF330">
        <v>12</v>
      </c>
      <c r="AG330">
        <v>1</v>
      </c>
      <c r="AH330">
        <v>0</v>
      </c>
      <c r="AI330">
        <v>0</v>
      </c>
      <c r="AL330" t="s">
        <v>19614</v>
      </c>
      <c r="AM330">
        <v>0</v>
      </c>
      <c r="AS330">
        <v>10</v>
      </c>
      <c r="AT330" t="s">
        <v>993</v>
      </c>
      <c r="AU330" t="s">
        <v>108</v>
      </c>
      <c r="AV330" t="s">
        <v>20733</v>
      </c>
    </row>
    <row r="331" spans="1:48">
      <c r="A331" s="1">
        <f>HYPERLINK("https://lsnyc.legalserver.org/matter/dynamic-profile/view/1890563","19-1890563")</f>
        <v>0</v>
      </c>
      <c r="B331" t="s">
        <v>117</v>
      </c>
      <c r="C331" t="s">
        <v>256</v>
      </c>
      <c r="D331" t="s">
        <v>448</v>
      </c>
      <c r="F331" t="s">
        <v>1348</v>
      </c>
      <c r="G331" t="s">
        <v>3344</v>
      </c>
      <c r="H331" t="s">
        <v>5888</v>
      </c>
      <c r="I331" t="s">
        <v>8168</v>
      </c>
      <c r="J331" t="s">
        <v>9065</v>
      </c>
      <c r="K331">
        <v>10453</v>
      </c>
      <c r="L331" t="s">
        <v>9094</v>
      </c>
      <c r="M331" t="s">
        <v>9094</v>
      </c>
      <c r="O331" t="s">
        <v>9121</v>
      </c>
      <c r="P331" t="s">
        <v>11166</v>
      </c>
      <c r="R331" t="s">
        <v>11180</v>
      </c>
      <c r="S331" t="s">
        <v>9096</v>
      </c>
      <c r="T331" t="s">
        <v>11183</v>
      </c>
      <c r="V331" t="s">
        <v>746</v>
      </c>
      <c r="W331">
        <v>800</v>
      </c>
      <c r="X331" t="s">
        <v>11333</v>
      </c>
      <c r="Y331" t="s">
        <v>11346</v>
      </c>
      <c r="Z331" t="s">
        <v>11596</v>
      </c>
      <c r="AB331" t="s">
        <v>16081</v>
      </c>
      <c r="AC331">
        <v>44</v>
      </c>
      <c r="AD331" t="s">
        <v>19566</v>
      </c>
      <c r="AE331" t="s">
        <v>9144</v>
      </c>
      <c r="AF331">
        <v>1</v>
      </c>
      <c r="AG331">
        <v>2</v>
      </c>
      <c r="AH331">
        <v>0</v>
      </c>
      <c r="AI331">
        <v>0</v>
      </c>
      <c r="AL331" t="s">
        <v>19614</v>
      </c>
      <c r="AM331">
        <v>0</v>
      </c>
      <c r="AN331" t="s">
        <v>19690</v>
      </c>
      <c r="AS331">
        <v>0</v>
      </c>
      <c r="AU331" t="s">
        <v>163</v>
      </c>
    </row>
    <row r="332" spans="1:48">
      <c r="A332" s="1">
        <f>HYPERLINK("https://lsnyc.legalserver.org/matter/dynamic-profile/view/1896633","19-1896633")</f>
        <v>0</v>
      </c>
      <c r="B332" t="s">
        <v>113</v>
      </c>
      <c r="C332" t="s">
        <v>256</v>
      </c>
      <c r="D332" t="s">
        <v>454</v>
      </c>
      <c r="F332" t="s">
        <v>1353</v>
      </c>
      <c r="G332" t="s">
        <v>3535</v>
      </c>
      <c r="H332" t="s">
        <v>5892</v>
      </c>
      <c r="I332" t="s">
        <v>8169</v>
      </c>
      <c r="J332" t="s">
        <v>9065</v>
      </c>
      <c r="K332">
        <v>10453</v>
      </c>
      <c r="L332" t="s">
        <v>9094</v>
      </c>
      <c r="M332" t="s">
        <v>9094</v>
      </c>
      <c r="O332" t="s">
        <v>9121</v>
      </c>
      <c r="P332" t="s">
        <v>11167</v>
      </c>
      <c r="R332" t="s">
        <v>11180</v>
      </c>
      <c r="S332" t="s">
        <v>9094</v>
      </c>
      <c r="T332" t="s">
        <v>11183</v>
      </c>
      <c r="V332" t="s">
        <v>11218</v>
      </c>
      <c r="W332">
        <v>169</v>
      </c>
      <c r="X332" t="s">
        <v>11333</v>
      </c>
      <c r="Y332" t="s">
        <v>11346</v>
      </c>
      <c r="Z332" t="s">
        <v>11602</v>
      </c>
      <c r="AC332">
        <v>99</v>
      </c>
      <c r="AD332" t="s">
        <v>19566</v>
      </c>
      <c r="AE332" t="s">
        <v>19580</v>
      </c>
      <c r="AF332">
        <v>6</v>
      </c>
      <c r="AG332">
        <v>1</v>
      </c>
      <c r="AH332">
        <v>0</v>
      </c>
      <c r="AI332">
        <v>0</v>
      </c>
      <c r="AL332" t="s">
        <v>19614</v>
      </c>
      <c r="AM332">
        <v>0</v>
      </c>
      <c r="AS332">
        <v>0</v>
      </c>
      <c r="AU332" t="s">
        <v>163</v>
      </c>
      <c r="AV332" t="s">
        <v>20733</v>
      </c>
    </row>
    <row r="333" spans="1:48">
      <c r="A333" s="1">
        <f>HYPERLINK("https://lsnyc.legalserver.org/matter/dynamic-profile/view/1840965","17-1840965")</f>
        <v>0</v>
      </c>
      <c r="B333" t="s">
        <v>114</v>
      </c>
      <c r="C333" t="s">
        <v>256</v>
      </c>
      <c r="D333" t="s">
        <v>455</v>
      </c>
      <c r="F333" t="s">
        <v>1354</v>
      </c>
      <c r="G333" t="s">
        <v>3536</v>
      </c>
      <c r="H333" t="s">
        <v>5893</v>
      </c>
      <c r="I333" t="s">
        <v>8187</v>
      </c>
      <c r="J333" t="s">
        <v>9065</v>
      </c>
      <c r="K333">
        <v>10453</v>
      </c>
      <c r="L333" t="s">
        <v>9094</v>
      </c>
      <c r="M333" t="s">
        <v>9095</v>
      </c>
      <c r="N333" t="s">
        <v>9245</v>
      </c>
      <c r="O333" t="s">
        <v>11129</v>
      </c>
      <c r="P333" t="s">
        <v>11166</v>
      </c>
      <c r="R333" t="s">
        <v>11180</v>
      </c>
      <c r="T333" t="s">
        <v>11183</v>
      </c>
      <c r="V333" t="s">
        <v>765</v>
      </c>
      <c r="W333">
        <v>1086</v>
      </c>
      <c r="X333" t="s">
        <v>11333</v>
      </c>
      <c r="Z333" t="s">
        <v>11603</v>
      </c>
      <c r="AB333" t="s">
        <v>16087</v>
      </c>
      <c r="AC333">
        <v>20</v>
      </c>
      <c r="AD333" t="s">
        <v>19569</v>
      </c>
      <c r="AF333">
        <v>16</v>
      </c>
      <c r="AG333">
        <v>1</v>
      </c>
      <c r="AH333">
        <v>0</v>
      </c>
      <c r="AI333">
        <v>0</v>
      </c>
      <c r="AL333" t="s">
        <v>19615</v>
      </c>
      <c r="AM333">
        <v>0</v>
      </c>
      <c r="AS333">
        <v>7.9</v>
      </c>
      <c r="AT333" t="s">
        <v>974</v>
      </c>
      <c r="AU333" t="s">
        <v>20640</v>
      </c>
    </row>
    <row r="334" spans="1:48">
      <c r="A334" s="1">
        <f>HYPERLINK("https://lsnyc.legalserver.org/matter/dynamic-profile/view/1869425","18-1869425")</f>
        <v>0</v>
      </c>
      <c r="B334" t="s">
        <v>120</v>
      </c>
      <c r="C334" t="s">
        <v>257</v>
      </c>
      <c r="D334" t="s">
        <v>456</v>
      </c>
      <c r="E334" t="s">
        <v>748</v>
      </c>
      <c r="F334" t="s">
        <v>1355</v>
      </c>
      <c r="G334" t="s">
        <v>3537</v>
      </c>
      <c r="H334" t="s">
        <v>5894</v>
      </c>
      <c r="J334" t="s">
        <v>9065</v>
      </c>
      <c r="K334">
        <v>10453</v>
      </c>
      <c r="L334" t="s">
        <v>9094</v>
      </c>
      <c r="M334" t="s">
        <v>9094</v>
      </c>
      <c r="N334" t="s">
        <v>9246</v>
      </c>
      <c r="O334" t="s">
        <v>11129</v>
      </c>
      <c r="P334" t="s">
        <v>11165</v>
      </c>
      <c r="Q334" t="s">
        <v>11174</v>
      </c>
      <c r="R334" t="s">
        <v>11180</v>
      </c>
      <c r="S334" t="s">
        <v>9096</v>
      </c>
      <c r="T334" t="s">
        <v>11183</v>
      </c>
      <c r="U334" t="s">
        <v>11201</v>
      </c>
      <c r="V334" t="s">
        <v>945</v>
      </c>
      <c r="W334">
        <v>1931</v>
      </c>
      <c r="X334" t="s">
        <v>11333</v>
      </c>
      <c r="Y334" t="s">
        <v>11340</v>
      </c>
      <c r="Z334" t="s">
        <v>11604</v>
      </c>
      <c r="AA334" t="s">
        <v>15317</v>
      </c>
      <c r="AB334" t="s">
        <v>16088</v>
      </c>
      <c r="AC334">
        <v>439</v>
      </c>
      <c r="AD334" t="s">
        <v>19566</v>
      </c>
      <c r="AE334" t="s">
        <v>19580</v>
      </c>
      <c r="AF334">
        <v>7</v>
      </c>
      <c r="AG334">
        <v>3</v>
      </c>
      <c r="AH334">
        <v>3</v>
      </c>
      <c r="AI334">
        <v>0</v>
      </c>
      <c r="AL334" t="s">
        <v>19614</v>
      </c>
      <c r="AM334">
        <v>0</v>
      </c>
      <c r="AO334" t="s">
        <v>20294</v>
      </c>
      <c r="AP334" t="s">
        <v>20315</v>
      </c>
      <c r="AQ334" t="s">
        <v>20369</v>
      </c>
      <c r="AR334" t="s">
        <v>20384</v>
      </c>
      <c r="AS334">
        <v>44.5</v>
      </c>
      <c r="AT334" t="s">
        <v>748</v>
      </c>
      <c r="AU334" t="s">
        <v>163</v>
      </c>
      <c r="AV334" t="s">
        <v>20734</v>
      </c>
    </row>
    <row r="335" spans="1:48">
      <c r="A335" s="1">
        <f>HYPERLINK("https://lsnyc.legalserver.org/matter/dynamic-profile/view/1893016","19-1893016")</f>
        <v>0</v>
      </c>
      <c r="B335" t="s">
        <v>108</v>
      </c>
      <c r="C335" t="s">
        <v>257</v>
      </c>
      <c r="D335" t="s">
        <v>423</v>
      </c>
      <c r="E335" t="s">
        <v>483</v>
      </c>
      <c r="F335" t="s">
        <v>1356</v>
      </c>
      <c r="G335" t="s">
        <v>3538</v>
      </c>
      <c r="H335" t="s">
        <v>5895</v>
      </c>
      <c r="I335" t="s">
        <v>8176</v>
      </c>
      <c r="J335" t="s">
        <v>9065</v>
      </c>
      <c r="K335">
        <v>10453</v>
      </c>
      <c r="L335" t="s">
        <v>9094</v>
      </c>
      <c r="M335" t="s">
        <v>9094</v>
      </c>
      <c r="O335" t="s">
        <v>11129</v>
      </c>
      <c r="P335" t="s">
        <v>11164</v>
      </c>
      <c r="Q335" t="s">
        <v>11172</v>
      </c>
      <c r="R335" t="s">
        <v>11180</v>
      </c>
      <c r="S335" t="s">
        <v>9096</v>
      </c>
      <c r="T335" t="s">
        <v>11183</v>
      </c>
      <c r="V335" t="s">
        <v>423</v>
      </c>
      <c r="W335">
        <v>1527.83</v>
      </c>
      <c r="X335" t="s">
        <v>11333</v>
      </c>
      <c r="Z335" t="s">
        <v>11605</v>
      </c>
      <c r="AB335" t="s">
        <v>16089</v>
      </c>
      <c r="AC335">
        <v>0</v>
      </c>
      <c r="AD335" t="s">
        <v>19566</v>
      </c>
      <c r="AE335" t="s">
        <v>19580</v>
      </c>
      <c r="AF335">
        <v>3</v>
      </c>
      <c r="AG335">
        <v>2</v>
      </c>
      <c r="AH335">
        <v>0</v>
      </c>
      <c r="AI335">
        <v>0</v>
      </c>
      <c r="AL335" t="s">
        <v>19624</v>
      </c>
      <c r="AM335">
        <v>0</v>
      </c>
      <c r="AS335">
        <v>0.2</v>
      </c>
      <c r="AT335" t="s">
        <v>483</v>
      </c>
      <c r="AU335" t="s">
        <v>108</v>
      </c>
    </row>
    <row r="336" spans="1:48">
      <c r="A336" s="1">
        <f>HYPERLINK("https://lsnyc.legalserver.org/matter/dynamic-profile/view/1894026","19-1894026")</f>
        <v>0</v>
      </c>
      <c r="B336" t="s">
        <v>111</v>
      </c>
      <c r="C336" t="s">
        <v>256</v>
      </c>
      <c r="D336" t="s">
        <v>413</v>
      </c>
      <c r="F336" t="s">
        <v>1353</v>
      </c>
      <c r="G336" t="s">
        <v>3535</v>
      </c>
      <c r="H336" t="s">
        <v>5892</v>
      </c>
      <c r="I336" t="s">
        <v>8169</v>
      </c>
      <c r="J336" t="s">
        <v>9065</v>
      </c>
      <c r="K336">
        <v>10453</v>
      </c>
      <c r="L336" t="s">
        <v>9094</v>
      </c>
      <c r="M336" t="s">
        <v>9094</v>
      </c>
      <c r="N336" t="s">
        <v>9247</v>
      </c>
      <c r="O336" t="s">
        <v>11129</v>
      </c>
      <c r="P336" t="s">
        <v>11165</v>
      </c>
      <c r="R336" t="s">
        <v>11180</v>
      </c>
      <c r="S336" t="s">
        <v>9096</v>
      </c>
      <c r="T336" t="s">
        <v>11183</v>
      </c>
      <c r="V336" t="s">
        <v>413</v>
      </c>
      <c r="W336">
        <v>169</v>
      </c>
      <c r="X336" t="s">
        <v>11333</v>
      </c>
      <c r="Y336" t="s">
        <v>11346</v>
      </c>
      <c r="Z336" t="s">
        <v>11602</v>
      </c>
      <c r="AC336">
        <v>99</v>
      </c>
      <c r="AD336" t="s">
        <v>19566</v>
      </c>
      <c r="AE336" t="s">
        <v>19580</v>
      </c>
      <c r="AF336">
        <v>6</v>
      </c>
      <c r="AG336">
        <v>1</v>
      </c>
      <c r="AH336">
        <v>0</v>
      </c>
      <c r="AI336">
        <v>0</v>
      </c>
      <c r="AL336" t="s">
        <v>19614</v>
      </c>
      <c r="AM336">
        <v>0</v>
      </c>
      <c r="AS336">
        <v>29.7</v>
      </c>
      <c r="AT336" t="s">
        <v>377</v>
      </c>
      <c r="AU336" t="s">
        <v>99</v>
      </c>
    </row>
    <row r="337" spans="1:48">
      <c r="A337" s="1">
        <f>HYPERLINK("https://lsnyc.legalserver.org/matter/dynamic-profile/view/1895588","19-1895588")</f>
        <v>0</v>
      </c>
      <c r="B337" t="s">
        <v>115</v>
      </c>
      <c r="C337" t="s">
        <v>256</v>
      </c>
      <c r="D337" t="s">
        <v>360</v>
      </c>
      <c r="F337" t="s">
        <v>1347</v>
      </c>
      <c r="G337" t="s">
        <v>3530</v>
      </c>
      <c r="H337" t="s">
        <v>5887</v>
      </c>
      <c r="I337" t="s">
        <v>8176</v>
      </c>
      <c r="J337" t="s">
        <v>9065</v>
      </c>
      <c r="K337">
        <v>10453</v>
      </c>
      <c r="L337" t="s">
        <v>9094</v>
      </c>
      <c r="M337" t="s">
        <v>9094</v>
      </c>
      <c r="N337" t="s">
        <v>9248</v>
      </c>
      <c r="O337" t="s">
        <v>11129</v>
      </c>
      <c r="P337" t="s">
        <v>11165</v>
      </c>
      <c r="R337" t="s">
        <v>11180</v>
      </c>
      <c r="S337" t="s">
        <v>9094</v>
      </c>
      <c r="T337" t="s">
        <v>11183</v>
      </c>
      <c r="U337" t="s">
        <v>11201</v>
      </c>
      <c r="V337" t="s">
        <v>614</v>
      </c>
      <c r="W337">
        <v>1273</v>
      </c>
      <c r="X337" t="s">
        <v>11333</v>
      </c>
      <c r="Y337" t="s">
        <v>11346</v>
      </c>
      <c r="Z337" t="s">
        <v>11595</v>
      </c>
      <c r="AC337">
        <v>167</v>
      </c>
      <c r="AD337" t="s">
        <v>19566</v>
      </c>
      <c r="AE337" t="s">
        <v>9144</v>
      </c>
      <c r="AF337">
        <v>11</v>
      </c>
      <c r="AG337">
        <v>2</v>
      </c>
      <c r="AH337">
        <v>0</v>
      </c>
      <c r="AI337">
        <v>0</v>
      </c>
      <c r="AL337" t="s">
        <v>19615</v>
      </c>
      <c r="AM337">
        <v>0</v>
      </c>
      <c r="AS337">
        <v>41.3</v>
      </c>
      <c r="AT337" t="s">
        <v>1135</v>
      </c>
      <c r="AU337" t="s">
        <v>220</v>
      </c>
      <c r="AV337" t="s">
        <v>20733</v>
      </c>
    </row>
    <row r="338" spans="1:48">
      <c r="A338" s="1">
        <f>HYPERLINK("https://lsnyc.legalserver.org/matter/dynamic-profile/view/1905559","19-1905559")</f>
        <v>0</v>
      </c>
      <c r="B338" t="s">
        <v>113</v>
      </c>
      <c r="C338" t="s">
        <v>256</v>
      </c>
      <c r="D338" t="s">
        <v>457</v>
      </c>
      <c r="F338" t="s">
        <v>1357</v>
      </c>
      <c r="G338" t="s">
        <v>3539</v>
      </c>
      <c r="H338" t="s">
        <v>5896</v>
      </c>
      <c r="I338" t="s">
        <v>8149</v>
      </c>
      <c r="J338" t="s">
        <v>9065</v>
      </c>
      <c r="K338">
        <v>10453</v>
      </c>
      <c r="L338" t="s">
        <v>9095</v>
      </c>
      <c r="M338" t="s">
        <v>9095</v>
      </c>
      <c r="N338" t="s">
        <v>9249</v>
      </c>
      <c r="O338" t="s">
        <v>11129</v>
      </c>
      <c r="P338" t="s">
        <v>11165</v>
      </c>
      <c r="R338" t="s">
        <v>11180</v>
      </c>
      <c r="S338" t="s">
        <v>9096</v>
      </c>
      <c r="T338" t="s">
        <v>11183</v>
      </c>
      <c r="U338" t="s">
        <v>11201</v>
      </c>
      <c r="W338">
        <v>0</v>
      </c>
      <c r="X338" t="s">
        <v>11333</v>
      </c>
      <c r="Z338" t="s">
        <v>11606</v>
      </c>
      <c r="AB338" t="s">
        <v>16090</v>
      </c>
      <c r="AC338">
        <v>33</v>
      </c>
      <c r="AF338">
        <v>0</v>
      </c>
      <c r="AG338">
        <v>4</v>
      </c>
      <c r="AH338">
        <v>0</v>
      </c>
      <c r="AI338">
        <v>0</v>
      </c>
      <c r="AL338" t="s">
        <v>19615</v>
      </c>
      <c r="AM338">
        <v>0</v>
      </c>
      <c r="AS338">
        <v>15.8</v>
      </c>
      <c r="AT338" t="s">
        <v>521</v>
      </c>
      <c r="AU338" t="s">
        <v>113</v>
      </c>
    </row>
    <row r="339" spans="1:48">
      <c r="A339" s="1">
        <f>HYPERLINK("https://lsnyc.legalserver.org/matter/dynamic-profile/view/1880340","18-1880340")</f>
        <v>0</v>
      </c>
      <c r="B339" t="s">
        <v>120</v>
      </c>
      <c r="C339" t="s">
        <v>257</v>
      </c>
      <c r="D339" t="s">
        <v>458</v>
      </c>
      <c r="E339" t="s">
        <v>748</v>
      </c>
      <c r="F339" t="s">
        <v>1355</v>
      </c>
      <c r="G339" t="s">
        <v>3537</v>
      </c>
      <c r="H339" t="s">
        <v>5894</v>
      </c>
      <c r="J339" t="s">
        <v>9065</v>
      </c>
      <c r="K339">
        <v>10453</v>
      </c>
      <c r="L339" t="s">
        <v>9094</v>
      </c>
      <c r="M339" t="s">
        <v>9094</v>
      </c>
      <c r="O339" t="s">
        <v>11145</v>
      </c>
      <c r="P339" t="s">
        <v>11166</v>
      </c>
      <c r="Q339" t="s">
        <v>11177</v>
      </c>
      <c r="R339" t="s">
        <v>11180</v>
      </c>
      <c r="S339" t="s">
        <v>9096</v>
      </c>
      <c r="T339" t="s">
        <v>11190</v>
      </c>
      <c r="V339" t="s">
        <v>458</v>
      </c>
      <c r="W339">
        <v>1931</v>
      </c>
      <c r="X339" t="s">
        <v>11333</v>
      </c>
      <c r="Y339" t="s">
        <v>11340</v>
      </c>
      <c r="Z339" t="s">
        <v>11604</v>
      </c>
      <c r="AA339" t="s">
        <v>15317</v>
      </c>
      <c r="AB339" t="s">
        <v>16088</v>
      </c>
      <c r="AC339">
        <v>1654</v>
      </c>
      <c r="AD339" t="s">
        <v>19566</v>
      </c>
      <c r="AE339" t="s">
        <v>19580</v>
      </c>
      <c r="AF339">
        <v>7</v>
      </c>
      <c r="AG339">
        <v>3</v>
      </c>
      <c r="AH339">
        <v>3</v>
      </c>
      <c r="AI339">
        <v>0</v>
      </c>
      <c r="AL339" t="s">
        <v>19614</v>
      </c>
      <c r="AM339">
        <v>0</v>
      </c>
      <c r="AS339">
        <v>2.25</v>
      </c>
      <c r="AT339" t="s">
        <v>337</v>
      </c>
      <c r="AU339" t="s">
        <v>163</v>
      </c>
      <c r="AV339" t="s">
        <v>20734</v>
      </c>
    </row>
    <row r="340" spans="1:48">
      <c r="A340" s="1">
        <f>HYPERLINK("https://lsnyc.legalserver.org/matter/dynamic-profile/view/0806145","16-0806145")</f>
        <v>0</v>
      </c>
      <c r="B340" t="s">
        <v>119</v>
      </c>
      <c r="C340" t="s">
        <v>256</v>
      </c>
      <c r="D340" t="s">
        <v>459</v>
      </c>
      <c r="F340" t="s">
        <v>1358</v>
      </c>
      <c r="G340" t="s">
        <v>3540</v>
      </c>
      <c r="H340" t="s">
        <v>5897</v>
      </c>
      <c r="I340" t="s">
        <v>8235</v>
      </c>
      <c r="J340" t="s">
        <v>9065</v>
      </c>
      <c r="K340">
        <v>10452</v>
      </c>
      <c r="L340" t="s">
        <v>9094</v>
      </c>
      <c r="M340" t="s">
        <v>9095</v>
      </c>
      <c r="N340" t="s">
        <v>9250</v>
      </c>
      <c r="O340" t="s">
        <v>11132</v>
      </c>
      <c r="P340" t="s">
        <v>11165</v>
      </c>
      <c r="R340" t="s">
        <v>11180</v>
      </c>
      <c r="S340" t="s">
        <v>9094</v>
      </c>
      <c r="T340" t="s">
        <v>11183</v>
      </c>
      <c r="V340" t="s">
        <v>969</v>
      </c>
      <c r="W340">
        <v>0</v>
      </c>
      <c r="X340" t="s">
        <v>11333</v>
      </c>
      <c r="Z340" t="s">
        <v>11607</v>
      </c>
      <c r="AB340" t="s">
        <v>16091</v>
      </c>
      <c r="AC340">
        <v>122</v>
      </c>
      <c r="AD340" t="s">
        <v>19566</v>
      </c>
      <c r="AF340">
        <v>0</v>
      </c>
      <c r="AG340">
        <v>1</v>
      </c>
      <c r="AH340">
        <v>0</v>
      </c>
      <c r="AI340">
        <v>0</v>
      </c>
      <c r="AL340" t="s">
        <v>19615</v>
      </c>
      <c r="AM340">
        <v>0</v>
      </c>
      <c r="AS340">
        <v>0.1</v>
      </c>
      <c r="AT340" t="s">
        <v>20585</v>
      </c>
      <c r="AU340" t="s">
        <v>109</v>
      </c>
    </row>
    <row r="341" spans="1:48">
      <c r="A341" s="1">
        <f>HYPERLINK("https://lsnyc.legalserver.org/matter/dynamic-profile/view/0806149","16-0806149")</f>
        <v>0</v>
      </c>
      <c r="B341" t="s">
        <v>119</v>
      </c>
      <c r="C341" t="s">
        <v>256</v>
      </c>
      <c r="D341" t="s">
        <v>459</v>
      </c>
      <c r="F341" t="s">
        <v>1359</v>
      </c>
      <c r="G341" t="s">
        <v>3541</v>
      </c>
      <c r="H341" t="s">
        <v>5897</v>
      </c>
      <c r="I341" t="s">
        <v>8236</v>
      </c>
      <c r="J341" t="s">
        <v>9065</v>
      </c>
      <c r="K341">
        <v>10452</v>
      </c>
      <c r="L341" t="s">
        <v>9094</v>
      </c>
      <c r="M341" t="s">
        <v>9095</v>
      </c>
      <c r="N341" t="s">
        <v>9250</v>
      </c>
      <c r="O341" t="s">
        <v>11132</v>
      </c>
      <c r="P341" t="s">
        <v>11165</v>
      </c>
      <c r="R341" t="s">
        <v>11180</v>
      </c>
      <c r="S341" t="s">
        <v>9094</v>
      </c>
      <c r="T341" t="s">
        <v>11183</v>
      </c>
      <c r="V341" t="s">
        <v>11224</v>
      </c>
      <c r="W341">
        <v>652</v>
      </c>
      <c r="X341" t="s">
        <v>11333</v>
      </c>
      <c r="Y341" t="s">
        <v>11346</v>
      </c>
      <c r="Z341" t="s">
        <v>11608</v>
      </c>
      <c r="AB341" t="s">
        <v>16092</v>
      </c>
      <c r="AC341">
        <v>122</v>
      </c>
      <c r="AD341" t="s">
        <v>19566</v>
      </c>
      <c r="AF341">
        <v>15</v>
      </c>
      <c r="AG341">
        <v>1</v>
      </c>
      <c r="AH341">
        <v>2</v>
      </c>
      <c r="AI341">
        <v>0</v>
      </c>
      <c r="AL341" t="s">
        <v>19614</v>
      </c>
      <c r="AM341">
        <v>0</v>
      </c>
      <c r="AN341" t="s">
        <v>19691</v>
      </c>
      <c r="AS341">
        <v>0.1</v>
      </c>
      <c r="AT341" t="s">
        <v>20586</v>
      </c>
      <c r="AU341" t="s">
        <v>109</v>
      </c>
    </row>
    <row r="342" spans="1:48">
      <c r="A342" s="1">
        <f>HYPERLINK("https://lsnyc.legalserver.org/matter/dynamic-profile/view/0806247","16-0806247")</f>
        <v>0</v>
      </c>
      <c r="B342" t="s">
        <v>119</v>
      </c>
      <c r="C342" t="s">
        <v>256</v>
      </c>
      <c r="D342" t="s">
        <v>459</v>
      </c>
      <c r="F342" t="s">
        <v>1360</v>
      </c>
      <c r="G342" t="s">
        <v>3542</v>
      </c>
      <c r="H342" t="s">
        <v>5897</v>
      </c>
      <c r="I342" t="s">
        <v>8168</v>
      </c>
      <c r="J342" t="s">
        <v>9065</v>
      </c>
      <c r="K342">
        <v>10452</v>
      </c>
      <c r="L342" t="s">
        <v>9096</v>
      </c>
      <c r="M342" t="s">
        <v>9095</v>
      </c>
      <c r="N342" t="s">
        <v>9250</v>
      </c>
      <c r="O342" t="s">
        <v>11132</v>
      </c>
      <c r="P342" t="s">
        <v>11165</v>
      </c>
      <c r="R342" t="s">
        <v>11180</v>
      </c>
      <c r="S342" t="s">
        <v>9094</v>
      </c>
      <c r="T342" t="s">
        <v>11183</v>
      </c>
      <c r="W342">
        <v>855.3099999999999</v>
      </c>
      <c r="X342" t="s">
        <v>11333</v>
      </c>
      <c r="Y342" t="s">
        <v>11346</v>
      </c>
      <c r="Z342" t="s">
        <v>11609</v>
      </c>
      <c r="AC342">
        <v>121</v>
      </c>
      <c r="AD342" t="s">
        <v>19566</v>
      </c>
      <c r="AE342" t="s">
        <v>9144</v>
      </c>
      <c r="AF342">
        <v>7</v>
      </c>
      <c r="AG342">
        <v>2</v>
      </c>
      <c r="AH342">
        <v>0</v>
      </c>
      <c r="AI342">
        <v>0</v>
      </c>
      <c r="AL342" t="s">
        <v>19614</v>
      </c>
      <c r="AM342">
        <v>0</v>
      </c>
      <c r="AS342">
        <v>0.1</v>
      </c>
      <c r="AT342" t="s">
        <v>20585</v>
      </c>
      <c r="AU342" t="s">
        <v>109</v>
      </c>
    </row>
    <row r="343" spans="1:48">
      <c r="A343" s="1">
        <f>HYPERLINK("https://lsnyc.legalserver.org/matter/dynamic-profile/view/0812519","16-0812519")</f>
        <v>0</v>
      </c>
      <c r="B343" t="s">
        <v>119</v>
      </c>
      <c r="C343" t="s">
        <v>256</v>
      </c>
      <c r="D343" t="s">
        <v>460</v>
      </c>
      <c r="F343" t="s">
        <v>1361</v>
      </c>
      <c r="G343" t="s">
        <v>3543</v>
      </c>
      <c r="H343" t="s">
        <v>5897</v>
      </c>
      <c r="I343" t="s">
        <v>8237</v>
      </c>
      <c r="J343" t="s">
        <v>9065</v>
      </c>
      <c r="K343">
        <v>10452</v>
      </c>
      <c r="L343" t="s">
        <v>9094</v>
      </c>
      <c r="M343" t="s">
        <v>9095</v>
      </c>
      <c r="N343" t="s">
        <v>9250</v>
      </c>
      <c r="O343" t="s">
        <v>11132</v>
      </c>
      <c r="P343" t="s">
        <v>11165</v>
      </c>
      <c r="R343" t="s">
        <v>11180</v>
      </c>
      <c r="S343" t="s">
        <v>9094</v>
      </c>
      <c r="T343" t="s">
        <v>11183</v>
      </c>
      <c r="V343" t="s">
        <v>969</v>
      </c>
      <c r="W343">
        <v>0</v>
      </c>
      <c r="X343" t="s">
        <v>11333</v>
      </c>
      <c r="Y343" t="s">
        <v>11346</v>
      </c>
      <c r="Z343" t="s">
        <v>11610</v>
      </c>
      <c r="AC343">
        <v>122</v>
      </c>
      <c r="AD343" t="s">
        <v>19566</v>
      </c>
      <c r="AF343">
        <v>0</v>
      </c>
      <c r="AG343">
        <v>1</v>
      </c>
      <c r="AH343">
        <v>0</v>
      </c>
      <c r="AI343">
        <v>0</v>
      </c>
      <c r="AL343" t="s">
        <v>19614</v>
      </c>
      <c r="AM343">
        <v>0</v>
      </c>
      <c r="AN343" t="s">
        <v>19692</v>
      </c>
      <c r="AS343">
        <v>0.1</v>
      </c>
      <c r="AT343" t="s">
        <v>965</v>
      </c>
      <c r="AU343" t="s">
        <v>20648</v>
      </c>
    </row>
    <row r="344" spans="1:48">
      <c r="A344" s="1">
        <f>HYPERLINK("https://lsnyc.legalserver.org/matter/dynamic-profile/view/0820633","16-0820633")</f>
        <v>0</v>
      </c>
      <c r="B344" t="s">
        <v>101</v>
      </c>
      <c r="C344" t="s">
        <v>256</v>
      </c>
      <c r="D344" t="s">
        <v>461</v>
      </c>
      <c r="F344" t="s">
        <v>1362</v>
      </c>
      <c r="G344" t="s">
        <v>3544</v>
      </c>
      <c r="H344" t="s">
        <v>5898</v>
      </c>
      <c r="I344" t="s">
        <v>8161</v>
      </c>
      <c r="J344" t="s">
        <v>9065</v>
      </c>
      <c r="K344">
        <v>10452</v>
      </c>
      <c r="L344" t="s">
        <v>9094</v>
      </c>
      <c r="M344" t="s">
        <v>9095</v>
      </c>
      <c r="N344" t="s">
        <v>9251</v>
      </c>
      <c r="O344" t="s">
        <v>11132</v>
      </c>
      <c r="P344" t="s">
        <v>11165</v>
      </c>
      <c r="R344" t="s">
        <v>11180</v>
      </c>
      <c r="S344" t="s">
        <v>9094</v>
      </c>
      <c r="T344" t="s">
        <v>11183</v>
      </c>
      <c r="V344" t="s">
        <v>11225</v>
      </c>
      <c r="W344">
        <v>246</v>
      </c>
      <c r="X344" t="s">
        <v>11333</v>
      </c>
      <c r="Y344" t="s">
        <v>11338</v>
      </c>
      <c r="Z344" t="s">
        <v>11576</v>
      </c>
      <c r="AB344" t="s">
        <v>16093</v>
      </c>
      <c r="AC344">
        <v>130</v>
      </c>
      <c r="AD344" t="s">
        <v>19566</v>
      </c>
      <c r="AE344" t="s">
        <v>19586</v>
      </c>
      <c r="AF344">
        <v>0</v>
      </c>
      <c r="AG344">
        <v>1</v>
      </c>
      <c r="AH344">
        <v>0</v>
      </c>
      <c r="AI344">
        <v>0</v>
      </c>
      <c r="AL344" t="s">
        <v>19614</v>
      </c>
      <c r="AM344">
        <v>0</v>
      </c>
      <c r="AS344">
        <v>0.35</v>
      </c>
      <c r="AT344" t="s">
        <v>508</v>
      </c>
      <c r="AU344" t="s">
        <v>20643</v>
      </c>
    </row>
    <row r="345" spans="1:48">
      <c r="A345" s="1">
        <f>HYPERLINK("https://lsnyc.legalserver.org/matter/dynamic-profile/view/0821600","16-0821600")</f>
        <v>0</v>
      </c>
      <c r="B345" t="s">
        <v>119</v>
      </c>
      <c r="C345" t="s">
        <v>256</v>
      </c>
      <c r="D345" t="s">
        <v>462</v>
      </c>
      <c r="F345" t="s">
        <v>1361</v>
      </c>
      <c r="G345" t="s">
        <v>3543</v>
      </c>
      <c r="H345" t="s">
        <v>5897</v>
      </c>
      <c r="I345" t="s">
        <v>8237</v>
      </c>
      <c r="J345" t="s">
        <v>9065</v>
      </c>
      <c r="K345">
        <v>10452</v>
      </c>
      <c r="L345" t="s">
        <v>9094</v>
      </c>
      <c r="M345" t="s">
        <v>9095</v>
      </c>
      <c r="N345" t="s">
        <v>9252</v>
      </c>
      <c r="O345" t="s">
        <v>11135</v>
      </c>
      <c r="P345" t="s">
        <v>11168</v>
      </c>
      <c r="R345" t="s">
        <v>11180</v>
      </c>
      <c r="S345" t="s">
        <v>9094</v>
      </c>
      <c r="T345" t="s">
        <v>11183</v>
      </c>
      <c r="V345" t="s">
        <v>462</v>
      </c>
      <c r="W345">
        <v>0</v>
      </c>
      <c r="X345" t="s">
        <v>11333</v>
      </c>
      <c r="Z345" t="s">
        <v>11610</v>
      </c>
      <c r="AC345">
        <v>122</v>
      </c>
      <c r="AD345" t="s">
        <v>19566</v>
      </c>
      <c r="AF345">
        <v>0</v>
      </c>
      <c r="AG345">
        <v>1</v>
      </c>
      <c r="AH345">
        <v>0</v>
      </c>
      <c r="AI345">
        <v>0</v>
      </c>
      <c r="AL345" t="s">
        <v>19614</v>
      </c>
      <c r="AM345">
        <v>0</v>
      </c>
      <c r="AS345">
        <v>0.1</v>
      </c>
      <c r="AT345" t="s">
        <v>965</v>
      </c>
      <c r="AU345" t="s">
        <v>20647</v>
      </c>
    </row>
    <row r="346" spans="1:48">
      <c r="A346" s="1">
        <f>HYPERLINK("https://lsnyc.legalserver.org/matter/dynamic-profile/view/0822083","16-0822083")</f>
        <v>0</v>
      </c>
      <c r="B346" t="s">
        <v>103</v>
      </c>
      <c r="C346" t="s">
        <v>256</v>
      </c>
      <c r="D346" t="s">
        <v>463</v>
      </c>
      <c r="F346" t="s">
        <v>1363</v>
      </c>
      <c r="G346" t="s">
        <v>3545</v>
      </c>
      <c r="H346" t="s">
        <v>5899</v>
      </c>
      <c r="I346" t="s">
        <v>8238</v>
      </c>
      <c r="J346" t="s">
        <v>9065</v>
      </c>
      <c r="K346">
        <v>10452</v>
      </c>
      <c r="L346" t="s">
        <v>9094</v>
      </c>
      <c r="M346" t="s">
        <v>9095</v>
      </c>
      <c r="O346" t="s">
        <v>11135</v>
      </c>
      <c r="P346" t="s">
        <v>11168</v>
      </c>
      <c r="R346" t="s">
        <v>11180</v>
      </c>
      <c r="S346" t="s">
        <v>9094</v>
      </c>
      <c r="T346" t="s">
        <v>11183</v>
      </c>
      <c r="V346" t="s">
        <v>714</v>
      </c>
      <c r="W346">
        <v>789</v>
      </c>
      <c r="X346" t="s">
        <v>11333</v>
      </c>
      <c r="Y346" t="s">
        <v>11346</v>
      </c>
      <c r="Z346" t="s">
        <v>11611</v>
      </c>
      <c r="AB346" t="s">
        <v>16094</v>
      </c>
      <c r="AC346">
        <v>63</v>
      </c>
      <c r="AD346" t="s">
        <v>19566</v>
      </c>
      <c r="AE346" t="s">
        <v>19587</v>
      </c>
      <c r="AF346">
        <v>42</v>
      </c>
      <c r="AG346">
        <v>2</v>
      </c>
      <c r="AH346">
        <v>0</v>
      </c>
      <c r="AI346">
        <v>0</v>
      </c>
      <c r="AL346" t="s">
        <v>19615</v>
      </c>
      <c r="AM346">
        <v>0</v>
      </c>
      <c r="AS346">
        <v>0</v>
      </c>
      <c r="AU346" t="s">
        <v>20643</v>
      </c>
    </row>
    <row r="347" spans="1:48">
      <c r="A347" s="1">
        <f>HYPERLINK("https://lsnyc.legalserver.org/matter/dynamic-profile/view/0822086","16-0822086")</f>
        <v>0</v>
      </c>
      <c r="B347" t="s">
        <v>103</v>
      </c>
      <c r="C347" t="s">
        <v>256</v>
      </c>
      <c r="D347" t="s">
        <v>463</v>
      </c>
      <c r="F347" t="s">
        <v>1363</v>
      </c>
      <c r="G347" t="s">
        <v>3545</v>
      </c>
      <c r="H347" t="s">
        <v>5899</v>
      </c>
      <c r="I347" t="s">
        <v>8238</v>
      </c>
      <c r="J347" t="s">
        <v>9065</v>
      </c>
      <c r="K347">
        <v>10452</v>
      </c>
      <c r="L347" t="s">
        <v>9094</v>
      </c>
      <c r="M347" t="s">
        <v>9095</v>
      </c>
      <c r="O347" t="s">
        <v>11135</v>
      </c>
      <c r="P347" t="s">
        <v>11168</v>
      </c>
      <c r="R347" t="s">
        <v>11180</v>
      </c>
      <c r="S347" t="s">
        <v>9094</v>
      </c>
      <c r="T347" t="s">
        <v>11183</v>
      </c>
      <c r="V347" t="s">
        <v>1089</v>
      </c>
      <c r="W347">
        <v>789</v>
      </c>
      <c r="X347" t="s">
        <v>11333</v>
      </c>
      <c r="Y347" t="s">
        <v>11346</v>
      </c>
      <c r="Z347" t="s">
        <v>11611</v>
      </c>
      <c r="AB347" t="s">
        <v>16094</v>
      </c>
      <c r="AC347">
        <v>63</v>
      </c>
      <c r="AD347" t="s">
        <v>19566</v>
      </c>
      <c r="AE347" t="s">
        <v>19587</v>
      </c>
      <c r="AF347">
        <v>42</v>
      </c>
      <c r="AG347">
        <v>2</v>
      </c>
      <c r="AH347">
        <v>0</v>
      </c>
      <c r="AI347">
        <v>0</v>
      </c>
      <c r="AL347" t="s">
        <v>19615</v>
      </c>
      <c r="AM347">
        <v>0</v>
      </c>
      <c r="AS347">
        <v>0</v>
      </c>
      <c r="AU347" t="s">
        <v>20643</v>
      </c>
    </row>
    <row r="348" spans="1:48">
      <c r="A348" s="1">
        <f>HYPERLINK("https://lsnyc.legalserver.org/matter/dynamic-profile/view/0823604","17-0823604")</f>
        <v>0</v>
      </c>
      <c r="B348" t="s">
        <v>119</v>
      </c>
      <c r="C348" t="s">
        <v>256</v>
      </c>
      <c r="D348" t="s">
        <v>464</v>
      </c>
      <c r="F348" t="s">
        <v>1358</v>
      </c>
      <c r="G348" t="s">
        <v>3540</v>
      </c>
      <c r="H348" t="s">
        <v>5897</v>
      </c>
      <c r="I348" t="s">
        <v>8235</v>
      </c>
      <c r="J348" t="s">
        <v>9065</v>
      </c>
      <c r="K348">
        <v>10452</v>
      </c>
      <c r="L348" t="s">
        <v>9094</v>
      </c>
      <c r="M348" t="s">
        <v>9095</v>
      </c>
      <c r="N348" t="s">
        <v>9252</v>
      </c>
      <c r="O348" t="s">
        <v>11135</v>
      </c>
      <c r="P348" t="s">
        <v>11168</v>
      </c>
      <c r="R348" t="s">
        <v>11180</v>
      </c>
      <c r="S348" t="s">
        <v>9094</v>
      </c>
      <c r="T348" t="s">
        <v>11183</v>
      </c>
      <c r="V348" t="s">
        <v>866</v>
      </c>
      <c r="W348">
        <v>0</v>
      </c>
      <c r="X348" t="s">
        <v>11333</v>
      </c>
      <c r="Y348" t="s">
        <v>11346</v>
      </c>
      <c r="Z348" t="s">
        <v>11607</v>
      </c>
      <c r="AB348" t="s">
        <v>16091</v>
      </c>
      <c r="AC348">
        <v>122</v>
      </c>
      <c r="AD348" t="s">
        <v>19566</v>
      </c>
      <c r="AF348">
        <v>0</v>
      </c>
      <c r="AG348">
        <v>1</v>
      </c>
      <c r="AH348">
        <v>0</v>
      </c>
      <c r="AI348">
        <v>0</v>
      </c>
      <c r="AL348" t="s">
        <v>19615</v>
      </c>
      <c r="AM348">
        <v>0</v>
      </c>
      <c r="AS348">
        <v>0</v>
      </c>
      <c r="AU348" t="s">
        <v>20647</v>
      </c>
    </row>
    <row r="349" spans="1:48">
      <c r="A349" s="1">
        <f>HYPERLINK("https://lsnyc.legalserver.org/matter/dynamic-profile/view/0826040","17-0826040")</f>
        <v>0</v>
      </c>
      <c r="B349" t="s">
        <v>119</v>
      </c>
      <c r="C349" t="s">
        <v>256</v>
      </c>
      <c r="D349" t="s">
        <v>420</v>
      </c>
      <c r="F349" t="s">
        <v>1364</v>
      </c>
      <c r="G349" t="s">
        <v>3546</v>
      </c>
      <c r="H349" t="s">
        <v>5897</v>
      </c>
      <c r="I349">
        <v>18</v>
      </c>
      <c r="J349" t="s">
        <v>9065</v>
      </c>
      <c r="K349">
        <v>10452</v>
      </c>
      <c r="L349" t="s">
        <v>9094</v>
      </c>
      <c r="M349" t="s">
        <v>9095</v>
      </c>
      <c r="O349" t="s">
        <v>11135</v>
      </c>
      <c r="P349" t="s">
        <v>11168</v>
      </c>
      <c r="R349" t="s">
        <v>11180</v>
      </c>
      <c r="S349" t="s">
        <v>9094</v>
      </c>
      <c r="T349" t="s">
        <v>11183</v>
      </c>
      <c r="V349" t="s">
        <v>876</v>
      </c>
      <c r="W349">
        <v>1000</v>
      </c>
      <c r="X349" t="s">
        <v>11333</v>
      </c>
      <c r="Y349" t="s">
        <v>11338</v>
      </c>
      <c r="Z349" t="s">
        <v>11612</v>
      </c>
      <c r="AB349" t="s">
        <v>16095</v>
      </c>
      <c r="AC349">
        <v>122</v>
      </c>
      <c r="AD349" t="s">
        <v>19566</v>
      </c>
      <c r="AF349">
        <v>1</v>
      </c>
      <c r="AG349">
        <v>1</v>
      </c>
      <c r="AH349">
        <v>1</v>
      </c>
      <c r="AI349">
        <v>0</v>
      </c>
      <c r="AL349" t="s">
        <v>19614</v>
      </c>
      <c r="AM349">
        <v>0</v>
      </c>
      <c r="AS349">
        <v>1.2</v>
      </c>
      <c r="AT349" t="s">
        <v>890</v>
      </c>
      <c r="AU349" t="s">
        <v>20643</v>
      </c>
    </row>
    <row r="350" spans="1:48">
      <c r="A350" s="1">
        <f>HYPERLINK("https://lsnyc.legalserver.org/matter/dynamic-profile/view/1857038","18-1857038")</f>
        <v>0</v>
      </c>
      <c r="B350" t="s">
        <v>119</v>
      </c>
      <c r="C350" t="s">
        <v>256</v>
      </c>
      <c r="D350" t="s">
        <v>465</v>
      </c>
      <c r="F350" t="s">
        <v>1360</v>
      </c>
      <c r="G350" t="s">
        <v>3542</v>
      </c>
      <c r="H350" t="s">
        <v>5897</v>
      </c>
      <c r="I350" t="s">
        <v>8168</v>
      </c>
      <c r="J350" t="s">
        <v>9065</v>
      </c>
      <c r="K350">
        <v>10452</v>
      </c>
      <c r="L350" t="s">
        <v>9095</v>
      </c>
      <c r="M350" t="s">
        <v>9095</v>
      </c>
      <c r="N350" t="s">
        <v>9252</v>
      </c>
      <c r="O350" t="s">
        <v>11135</v>
      </c>
      <c r="P350" t="s">
        <v>11168</v>
      </c>
      <c r="R350" t="s">
        <v>11180</v>
      </c>
      <c r="S350" t="s">
        <v>9094</v>
      </c>
      <c r="T350" t="s">
        <v>11183</v>
      </c>
      <c r="W350">
        <v>855.3099999999999</v>
      </c>
      <c r="X350" t="s">
        <v>11333</v>
      </c>
      <c r="Y350" t="s">
        <v>11346</v>
      </c>
      <c r="Z350" t="s">
        <v>11609</v>
      </c>
      <c r="AC350">
        <v>122</v>
      </c>
      <c r="AD350" t="s">
        <v>19566</v>
      </c>
      <c r="AE350" t="s">
        <v>9144</v>
      </c>
      <c r="AF350">
        <v>0</v>
      </c>
      <c r="AG350">
        <v>2</v>
      </c>
      <c r="AH350">
        <v>0</v>
      </c>
      <c r="AI350">
        <v>0</v>
      </c>
      <c r="AL350" t="s">
        <v>19614</v>
      </c>
      <c r="AM350">
        <v>0</v>
      </c>
      <c r="AS350">
        <v>0</v>
      </c>
      <c r="AU350" t="s">
        <v>20647</v>
      </c>
    </row>
    <row r="351" spans="1:48">
      <c r="A351" s="1">
        <f>HYPERLINK("https://lsnyc.legalserver.org/matter/dynamic-profile/view/1857277","18-1857277")</f>
        <v>0</v>
      </c>
      <c r="B351" t="s">
        <v>119</v>
      </c>
      <c r="C351" t="s">
        <v>256</v>
      </c>
      <c r="D351" t="s">
        <v>466</v>
      </c>
      <c r="F351" t="s">
        <v>1358</v>
      </c>
      <c r="G351" t="s">
        <v>3540</v>
      </c>
      <c r="H351" t="s">
        <v>5897</v>
      </c>
      <c r="I351" t="s">
        <v>8235</v>
      </c>
      <c r="J351" t="s">
        <v>9065</v>
      </c>
      <c r="K351">
        <v>10452</v>
      </c>
      <c r="L351" t="s">
        <v>9094</v>
      </c>
      <c r="M351" t="s">
        <v>9095</v>
      </c>
      <c r="N351" t="s">
        <v>9253</v>
      </c>
      <c r="O351" t="s">
        <v>11135</v>
      </c>
      <c r="P351" t="s">
        <v>11168</v>
      </c>
      <c r="R351" t="s">
        <v>11180</v>
      </c>
      <c r="T351" t="s">
        <v>11183</v>
      </c>
      <c r="V351" t="s">
        <v>626</v>
      </c>
      <c r="W351">
        <v>0</v>
      </c>
      <c r="X351" t="s">
        <v>11333</v>
      </c>
      <c r="Y351" t="s">
        <v>11346</v>
      </c>
      <c r="Z351" t="s">
        <v>11607</v>
      </c>
      <c r="AC351">
        <v>122</v>
      </c>
      <c r="AD351" t="s">
        <v>19566</v>
      </c>
      <c r="AF351">
        <v>0</v>
      </c>
      <c r="AG351">
        <v>1</v>
      </c>
      <c r="AH351">
        <v>0</v>
      </c>
      <c r="AI351">
        <v>0</v>
      </c>
      <c r="AL351" t="s">
        <v>19615</v>
      </c>
      <c r="AM351">
        <v>0</v>
      </c>
      <c r="AS351">
        <v>0.1</v>
      </c>
      <c r="AT351" t="s">
        <v>324</v>
      </c>
      <c r="AU351" t="s">
        <v>20647</v>
      </c>
    </row>
    <row r="352" spans="1:48">
      <c r="A352" s="1">
        <f>HYPERLINK("https://lsnyc.legalserver.org/matter/dynamic-profile/view/1857342","18-1857342")</f>
        <v>0</v>
      </c>
      <c r="B352" t="s">
        <v>119</v>
      </c>
      <c r="C352" t="s">
        <v>256</v>
      </c>
      <c r="D352" t="s">
        <v>467</v>
      </c>
      <c r="F352" t="s">
        <v>1364</v>
      </c>
      <c r="G352" t="s">
        <v>3546</v>
      </c>
      <c r="H352" t="s">
        <v>5897</v>
      </c>
      <c r="I352">
        <v>18</v>
      </c>
      <c r="J352" t="s">
        <v>9065</v>
      </c>
      <c r="K352">
        <v>10452</v>
      </c>
      <c r="L352" t="s">
        <v>9094</v>
      </c>
      <c r="M352" t="s">
        <v>9095</v>
      </c>
      <c r="N352" t="s">
        <v>9253</v>
      </c>
      <c r="O352" t="s">
        <v>11135</v>
      </c>
      <c r="P352" t="s">
        <v>11168</v>
      </c>
      <c r="R352" t="s">
        <v>11180</v>
      </c>
      <c r="S352" t="s">
        <v>9094</v>
      </c>
      <c r="T352" t="s">
        <v>11183</v>
      </c>
      <c r="W352">
        <v>1000</v>
      </c>
      <c r="X352" t="s">
        <v>11333</v>
      </c>
      <c r="Y352" t="s">
        <v>11346</v>
      </c>
      <c r="Z352" t="s">
        <v>11612</v>
      </c>
      <c r="AB352" t="s">
        <v>16095</v>
      </c>
      <c r="AC352">
        <v>122</v>
      </c>
      <c r="AD352" t="s">
        <v>19566</v>
      </c>
      <c r="AE352" t="s">
        <v>9144</v>
      </c>
      <c r="AF352">
        <v>2</v>
      </c>
      <c r="AG352">
        <v>1</v>
      </c>
      <c r="AH352">
        <v>1</v>
      </c>
      <c r="AI352">
        <v>0</v>
      </c>
      <c r="AL352" t="s">
        <v>19614</v>
      </c>
      <c r="AM352">
        <v>0</v>
      </c>
      <c r="AN352" t="s">
        <v>19693</v>
      </c>
      <c r="AS352">
        <v>0</v>
      </c>
      <c r="AU352" t="s">
        <v>20647</v>
      </c>
    </row>
    <row r="353" spans="1:48">
      <c r="A353" s="1">
        <f>HYPERLINK("https://lsnyc.legalserver.org/matter/dynamic-profile/view/1857520","18-1857520")</f>
        <v>0</v>
      </c>
      <c r="B353" t="s">
        <v>119</v>
      </c>
      <c r="C353" t="s">
        <v>256</v>
      </c>
      <c r="D353" t="s">
        <v>468</v>
      </c>
      <c r="F353" t="s">
        <v>1360</v>
      </c>
      <c r="G353" t="s">
        <v>3542</v>
      </c>
      <c r="H353" t="s">
        <v>5897</v>
      </c>
      <c r="I353" t="s">
        <v>8168</v>
      </c>
      <c r="J353" t="s">
        <v>9065</v>
      </c>
      <c r="K353">
        <v>10452</v>
      </c>
      <c r="L353" t="s">
        <v>9095</v>
      </c>
      <c r="M353" t="s">
        <v>9095</v>
      </c>
      <c r="N353" t="s">
        <v>9253</v>
      </c>
      <c r="O353" t="s">
        <v>11135</v>
      </c>
      <c r="P353" t="s">
        <v>11168</v>
      </c>
      <c r="R353" t="s">
        <v>11180</v>
      </c>
      <c r="S353" t="s">
        <v>9094</v>
      </c>
      <c r="T353" t="s">
        <v>11183</v>
      </c>
      <c r="W353">
        <v>855.3099999999999</v>
      </c>
      <c r="X353" t="s">
        <v>11333</v>
      </c>
      <c r="Y353" t="s">
        <v>11346</v>
      </c>
      <c r="Z353" t="s">
        <v>11609</v>
      </c>
      <c r="AC353">
        <v>122</v>
      </c>
      <c r="AD353" t="s">
        <v>19566</v>
      </c>
      <c r="AF353">
        <v>0</v>
      </c>
      <c r="AG353">
        <v>2</v>
      </c>
      <c r="AH353">
        <v>0</v>
      </c>
      <c r="AI353">
        <v>0</v>
      </c>
      <c r="AL353" t="s">
        <v>19614</v>
      </c>
      <c r="AM353">
        <v>0</v>
      </c>
      <c r="AS353">
        <v>0</v>
      </c>
      <c r="AU353" t="s">
        <v>20647</v>
      </c>
    </row>
    <row r="354" spans="1:48">
      <c r="A354" s="1">
        <f>HYPERLINK("https://lsnyc.legalserver.org/matter/dynamic-profile/view/1869273","18-1869273")</f>
        <v>0</v>
      </c>
      <c r="B354" t="s">
        <v>119</v>
      </c>
      <c r="C354" t="s">
        <v>257</v>
      </c>
      <c r="D354" t="s">
        <v>469</v>
      </c>
      <c r="E354" t="s">
        <v>664</v>
      </c>
      <c r="F354" t="s">
        <v>1365</v>
      </c>
      <c r="G354" t="s">
        <v>3547</v>
      </c>
      <c r="H354" t="s">
        <v>5900</v>
      </c>
      <c r="I354">
        <v>10</v>
      </c>
      <c r="J354" t="s">
        <v>9065</v>
      </c>
      <c r="K354">
        <v>10452</v>
      </c>
      <c r="L354" t="s">
        <v>9094</v>
      </c>
      <c r="M354" t="s">
        <v>9094</v>
      </c>
      <c r="N354" t="s">
        <v>9254</v>
      </c>
      <c r="O354" t="s">
        <v>11128</v>
      </c>
      <c r="P354" t="s">
        <v>11165</v>
      </c>
      <c r="Q354" t="s">
        <v>11174</v>
      </c>
      <c r="R354" t="s">
        <v>11180</v>
      </c>
      <c r="S354" t="s">
        <v>9096</v>
      </c>
      <c r="T354" t="s">
        <v>11183</v>
      </c>
      <c r="U354" t="s">
        <v>11202</v>
      </c>
      <c r="V354" t="s">
        <v>675</v>
      </c>
      <c r="W354">
        <v>2500</v>
      </c>
      <c r="X354" t="s">
        <v>11333</v>
      </c>
      <c r="Y354" t="s">
        <v>11352</v>
      </c>
      <c r="Z354" t="s">
        <v>11613</v>
      </c>
      <c r="AB354" t="s">
        <v>16096</v>
      </c>
      <c r="AC354">
        <v>150</v>
      </c>
      <c r="AD354" t="s">
        <v>19566</v>
      </c>
      <c r="AE354" t="s">
        <v>9144</v>
      </c>
      <c r="AF354">
        <v>1</v>
      </c>
      <c r="AG354">
        <v>1</v>
      </c>
      <c r="AH354">
        <v>0</v>
      </c>
      <c r="AI354">
        <v>0</v>
      </c>
      <c r="AL354" t="s">
        <v>19614</v>
      </c>
      <c r="AM354">
        <v>0</v>
      </c>
      <c r="AS354">
        <v>53.5</v>
      </c>
      <c r="AT354" t="s">
        <v>664</v>
      </c>
      <c r="AU354" t="s">
        <v>20627</v>
      </c>
    </row>
    <row r="355" spans="1:48">
      <c r="A355" s="1">
        <f>HYPERLINK("https://lsnyc.legalserver.org/matter/dynamic-profile/view/1894024","19-1894024")</f>
        <v>0</v>
      </c>
      <c r="B355" t="s">
        <v>111</v>
      </c>
      <c r="C355" t="s">
        <v>256</v>
      </c>
      <c r="D355" t="s">
        <v>413</v>
      </c>
      <c r="F355" t="s">
        <v>1366</v>
      </c>
      <c r="G355" t="s">
        <v>3548</v>
      </c>
      <c r="H355" t="s">
        <v>5901</v>
      </c>
      <c r="I355" t="s">
        <v>8239</v>
      </c>
      <c r="J355" t="s">
        <v>9065</v>
      </c>
      <c r="K355">
        <v>10452</v>
      </c>
      <c r="L355" t="s">
        <v>9094</v>
      </c>
      <c r="M355" t="s">
        <v>9094</v>
      </c>
      <c r="O355" t="s">
        <v>9121</v>
      </c>
      <c r="P355" t="s">
        <v>11164</v>
      </c>
      <c r="R355" t="s">
        <v>11180</v>
      </c>
      <c r="S355" t="s">
        <v>9096</v>
      </c>
      <c r="T355" t="s">
        <v>11183</v>
      </c>
      <c r="V355" t="s">
        <v>413</v>
      </c>
      <c r="W355">
        <v>100</v>
      </c>
      <c r="X355" t="s">
        <v>11333</v>
      </c>
      <c r="Y355" t="s">
        <v>11346</v>
      </c>
      <c r="Z355" t="s">
        <v>11614</v>
      </c>
      <c r="AC355">
        <v>92</v>
      </c>
      <c r="AD355" t="s">
        <v>19566</v>
      </c>
      <c r="AE355" t="s">
        <v>19580</v>
      </c>
      <c r="AF355">
        <v>9</v>
      </c>
      <c r="AG355">
        <v>2</v>
      </c>
      <c r="AH355">
        <v>0</v>
      </c>
      <c r="AI355">
        <v>0</v>
      </c>
      <c r="AL355" t="s">
        <v>19614</v>
      </c>
      <c r="AM355">
        <v>0</v>
      </c>
      <c r="AS355">
        <v>2.5</v>
      </c>
      <c r="AT355" t="s">
        <v>806</v>
      </c>
      <c r="AU355" t="s">
        <v>99</v>
      </c>
    </row>
    <row r="356" spans="1:48">
      <c r="A356" s="1">
        <f>HYPERLINK("https://lsnyc.legalserver.org/matter/dynamic-profile/view/1898089","19-1898089")</f>
        <v>0</v>
      </c>
      <c r="B356" t="s">
        <v>101</v>
      </c>
      <c r="C356" t="s">
        <v>257</v>
      </c>
      <c r="D356" t="s">
        <v>470</v>
      </c>
      <c r="E356" t="s">
        <v>416</v>
      </c>
      <c r="F356" t="s">
        <v>1367</v>
      </c>
      <c r="G356" t="s">
        <v>3549</v>
      </c>
      <c r="H356" t="s">
        <v>5902</v>
      </c>
      <c r="I356" t="s">
        <v>8240</v>
      </c>
      <c r="J356" t="s">
        <v>9065</v>
      </c>
      <c r="K356">
        <v>10452</v>
      </c>
      <c r="L356" t="s">
        <v>9094</v>
      </c>
      <c r="M356" t="s">
        <v>9094</v>
      </c>
      <c r="O356" t="s">
        <v>9121</v>
      </c>
      <c r="P356" t="s">
        <v>11166</v>
      </c>
      <c r="Q356" t="s">
        <v>11178</v>
      </c>
      <c r="R356" t="s">
        <v>11180</v>
      </c>
      <c r="S356" t="s">
        <v>9094</v>
      </c>
      <c r="T356" t="s">
        <v>11183</v>
      </c>
      <c r="V356" t="s">
        <v>11218</v>
      </c>
      <c r="W356">
        <v>858.6900000000001</v>
      </c>
      <c r="X356" t="s">
        <v>11333</v>
      </c>
      <c r="Y356" t="s">
        <v>11346</v>
      </c>
      <c r="AB356" t="s">
        <v>16097</v>
      </c>
      <c r="AC356">
        <v>60</v>
      </c>
      <c r="AD356" t="s">
        <v>19566</v>
      </c>
      <c r="AE356" t="s">
        <v>19580</v>
      </c>
      <c r="AF356">
        <v>20</v>
      </c>
      <c r="AG356">
        <v>1</v>
      </c>
      <c r="AH356">
        <v>0</v>
      </c>
      <c r="AI356">
        <v>0</v>
      </c>
      <c r="AL356" t="s">
        <v>19615</v>
      </c>
      <c r="AM356">
        <v>0</v>
      </c>
      <c r="AS356">
        <v>0.5</v>
      </c>
      <c r="AT356" t="s">
        <v>416</v>
      </c>
      <c r="AU356" t="s">
        <v>20642</v>
      </c>
      <c r="AV356" t="s">
        <v>20733</v>
      </c>
    </row>
    <row r="357" spans="1:48">
      <c r="A357" s="1">
        <f>HYPERLINK("https://lsnyc.legalserver.org/matter/dynamic-profile/view/1901405","19-1901405")</f>
        <v>0</v>
      </c>
      <c r="B357" t="s">
        <v>110</v>
      </c>
      <c r="C357" t="s">
        <v>257</v>
      </c>
      <c r="D357" t="s">
        <v>471</v>
      </c>
      <c r="E357" t="s">
        <v>328</v>
      </c>
      <c r="F357" t="s">
        <v>1368</v>
      </c>
      <c r="G357" t="s">
        <v>3550</v>
      </c>
      <c r="H357" t="s">
        <v>5903</v>
      </c>
      <c r="I357" t="s">
        <v>8241</v>
      </c>
      <c r="J357" t="s">
        <v>9065</v>
      </c>
      <c r="K357">
        <v>10452</v>
      </c>
      <c r="L357" t="s">
        <v>9094</v>
      </c>
      <c r="M357" t="s">
        <v>9095</v>
      </c>
      <c r="O357" t="s">
        <v>9121</v>
      </c>
      <c r="P357" t="s">
        <v>11164</v>
      </c>
      <c r="Q357" t="s">
        <v>11172</v>
      </c>
      <c r="R357" t="s">
        <v>11180</v>
      </c>
      <c r="S357" t="s">
        <v>9096</v>
      </c>
      <c r="T357" t="s">
        <v>11183</v>
      </c>
      <c r="V357" t="s">
        <v>11218</v>
      </c>
      <c r="W357">
        <v>808.88</v>
      </c>
      <c r="X357" t="s">
        <v>11333</v>
      </c>
      <c r="Y357" t="s">
        <v>11346</v>
      </c>
      <c r="Z357" t="s">
        <v>11615</v>
      </c>
      <c r="AC357">
        <v>0</v>
      </c>
      <c r="AD357" t="s">
        <v>19566</v>
      </c>
      <c r="AF357">
        <v>37</v>
      </c>
      <c r="AG357">
        <v>1</v>
      </c>
      <c r="AH357">
        <v>0</v>
      </c>
      <c r="AI357">
        <v>0</v>
      </c>
      <c r="AL357" t="s">
        <v>19614</v>
      </c>
      <c r="AM357">
        <v>0</v>
      </c>
      <c r="AS357">
        <v>1</v>
      </c>
      <c r="AT357" t="s">
        <v>394</v>
      </c>
      <c r="AU357" t="s">
        <v>110</v>
      </c>
      <c r="AV357" t="s">
        <v>20733</v>
      </c>
    </row>
    <row r="358" spans="1:48">
      <c r="A358" s="1">
        <f>HYPERLINK("https://lsnyc.legalserver.org/matter/dynamic-profile/view/1909129","19-1909129")</f>
        <v>0</v>
      </c>
      <c r="B358" t="s">
        <v>99</v>
      </c>
      <c r="C358" t="s">
        <v>257</v>
      </c>
      <c r="D358" t="s">
        <v>472</v>
      </c>
      <c r="E358" t="s">
        <v>362</v>
      </c>
      <c r="F358" t="s">
        <v>1366</v>
      </c>
      <c r="G358" t="s">
        <v>3548</v>
      </c>
      <c r="H358" t="s">
        <v>5901</v>
      </c>
      <c r="I358" t="s">
        <v>8239</v>
      </c>
      <c r="J358" t="s">
        <v>9065</v>
      </c>
      <c r="K358">
        <v>10452</v>
      </c>
      <c r="L358" t="s">
        <v>9094</v>
      </c>
      <c r="M358" t="s">
        <v>9095</v>
      </c>
      <c r="O358" t="s">
        <v>9121</v>
      </c>
      <c r="P358" t="s">
        <v>11167</v>
      </c>
      <c r="Q358" t="s">
        <v>11173</v>
      </c>
      <c r="R358" t="s">
        <v>11180</v>
      </c>
      <c r="S358" t="s">
        <v>9096</v>
      </c>
      <c r="T358" t="s">
        <v>11183</v>
      </c>
      <c r="V358" t="s">
        <v>308</v>
      </c>
      <c r="W358">
        <v>1428.24</v>
      </c>
      <c r="X358" t="s">
        <v>11333</v>
      </c>
      <c r="Y358" t="s">
        <v>11340</v>
      </c>
      <c r="Z358" t="s">
        <v>11614</v>
      </c>
      <c r="AC358">
        <v>92</v>
      </c>
      <c r="AD358" t="s">
        <v>19566</v>
      </c>
      <c r="AE358" t="s">
        <v>19580</v>
      </c>
      <c r="AF358">
        <v>9</v>
      </c>
      <c r="AG358">
        <v>2</v>
      </c>
      <c r="AH358">
        <v>0</v>
      </c>
      <c r="AI358">
        <v>0</v>
      </c>
      <c r="AL358" t="s">
        <v>19614</v>
      </c>
      <c r="AM358">
        <v>0</v>
      </c>
      <c r="AS358">
        <v>2.3</v>
      </c>
      <c r="AT358" t="s">
        <v>362</v>
      </c>
      <c r="AU358" t="s">
        <v>99</v>
      </c>
      <c r="AV358" t="s">
        <v>20733</v>
      </c>
    </row>
    <row r="359" spans="1:48">
      <c r="A359" s="1">
        <f>HYPERLINK("https://lsnyc.legalserver.org/matter/dynamic-profile/view/1892240","19-1892240")</f>
        <v>0</v>
      </c>
      <c r="B359" t="s">
        <v>114</v>
      </c>
      <c r="C359" t="s">
        <v>256</v>
      </c>
      <c r="D359" t="s">
        <v>473</v>
      </c>
      <c r="F359" t="s">
        <v>1369</v>
      </c>
      <c r="G359" t="s">
        <v>3405</v>
      </c>
      <c r="H359" t="s">
        <v>5904</v>
      </c>
      <c r="J359" t="s">
        <v>9065</v>
      </c>
      <c r="K359">
        <v>10452</v>
      </c>
      <c r="L359" t="s">
        <v>9094</v>
      </c>
      <c r="M359" t="s">
        <v>9094</v>
      </c>
      <c r="N359" t="s">
        <v>9255</v>
      </c>
      <c r="O359" t="s">
        <v>11129</v>
      </c>
      <c r="P359" t="s">
        <v>11165</v>
      </c>
      <c r="R359" t="s">
        <v>11180</v>
      </c>
      <c r="S359" t="s">
        <v>9096</v>
      </c>
      <c r="T359" t="s">
        <v>11183</v>
      </c>
      <c r="V359" t="s">
        <v>739</v>
      </c>
      <c r="W359">
        <v>0</v>
      </c>
      <c r="X359" t="s">
        <v>11333</v>
      </c>
      <c r="Z359" t="s">
        <v>11616</v>
      </c>
      <c r="AB359" t="s">
        <v>16098</v>
      </c>
      <c r="AC359">
        <v>0</v>
      </c>
      <c r="AF359">
        <v>0</v>
      </c>
      <c r="AG359">
        <v>1</v>
      </c>
      <c r="AH359">
        <v>0</v>
      </c>
      <c r="AI359">
        <v>0</v>
      </c>
      <c r="AM359">
        <v>0</v>
      </c>
      <c r="AS359">
        <v>40.7</v>
      </c>
      <c r="AT359" t="s">
        <v>404</v>
      </c>
      <c r="AU359" t="s">
        <v>20642</v>
      </c>
    </row>
    <row r="360" spans="1:48">
      <c r="A360" s="1">
        <f>HYPERLINK("https://lsnyc.legalserver.org/matter/dynamic-profile/view/1900614","19-1900614")</f>
        <v>0</v>
      </c>
      <c r="B360" t="s">
        <v>114</v>
      </c>
      <c r="C360" t="s">
        <v>256</v>
      </c>
      <c r="D360" t="s">
        <v>283</v>
      </c>
      <c r="F360" t="s">
        <v>1370</v>
      </c>
      <c r="G360" t="s">
        <v>3499</v>
      </c>
      <c r="H360" t="s">
        <v>5905</v>
      </c>
      <c r="I360" t="s">
        <v>8242</v>
      </c>
      <c r="J360" t="s">
        <v>9065</v>
      </c>
      <c r="K360">
        <v>10452</v>
      </c>
      <c r="L360" t="s">
        <v>9094</v>
      </c>
      <c r="M360" t="s">
        <v>9095</v>
      </c>
      <c r="N360" t="s">
        <v>9256</v>
      </c>
      <c r="O360" t="s">
        <v>11129</v>
      </c>
      <c r="P360" t="s">
        <v>11165</v>
      </c>
      <c r="R360" t="s">
        <v>11180</v>
      </c>
      <c r="S360" t="s">
        <v>9096</v>
      </c>
      <c r="T360" t="s">
        <v>11183</v>
      </c>
      <c r="U360" t="s">
        <v>11200</v>
      </c>
      <c r="V360" t="s">
        <v>11218</v>
      </c>
      <c r="W360">
        <v>1000</v>
      </c>
      <c r="X360" t="s">
        <v>11333</v>
      </c>
      <c r="Y360" t="s">
        <v>11338</v>
      </c>
      <c r="Z360" t="s">
        <v>11617</v>
      </c>
      <c r="AA360" t="s">
        <v>15318</v>
      </c>
      <c r="AB360" t="s">
        <v>16099</v>
      </c>
      <c r="AC360">
        <v>0</v>
      </c>
      <c r="AD360" t="s">
        <v>19566</v>
      </c>
      <c r="AE360" t="s">
        <v>19581</v>
      </c>
      <c r="AF360">
        <v>22</v>
      </c>
      <c r="AG360">
        <v>1</v>
      </c>
      <c r="AH360">
        <v>3</v>
      </c>
      <c r="AI360">
        <v>0</v>
      </c>
      <c r="AL360" t="s">
        <v>19614</v>
      </c>
      <c r="AM360">
        <v>0</v>
      </c>
      <c r="AS360">
        <v>24.2</v>
      </c>
      <c r="AT360" t="s">
        <v>1130</v>
      </c>
      <c r="AU360" t="s">
        <v>20649</v>
      </c>
      <c r="AV360" t="s">
        <v>20734</v>
      </c>
    </row>
    <row r="361" spans="1:48">
      <c r="A361" s="1">
        <f>HYPERLINK("https://lsnyc.legalserver.org/matter/dynamic-profile/view/1906737","19-1906737")</f>
        <v>0</v>
      </c>
      <c r="B361" t="s">
        <v>98</v>
      </c>
      <c r="C361" t="s">
        <v>257</v>
      </c>
      <c r="D361" t="s">
        <v>474</v>
      </c>
      <c r="E361" t="s">
        <v>370</v>
      </c>
      <c r="F361" t="s">
        <v>1371</v>
      </c>
      <c r="G361" t="s">
        <v>3551</v>
      </c>
      <c r="H361" t="s">
        <v>5906</v>
      </c>
      <c r="J361" t="s">
        <v>9065</v>
      </c>
      <c r="K361">
        <v>10452</v>
      </c>
      <c r="L361" t="s">
        <v>9094</v>
      </c>
      <c r="M361" t="s">
        <v>9095</v>
      </c>
      <c r="N361" t="s">
        <v>9257</v>
      </c>
      <c r="O361" t="s">
        <v>11129</v>
      </c>
      <c r="P361" t="s">
        <v>11164</v>
      </c>
      <c r="Q361" t="s">
        <v>11172</v>
      </c>
      <c r="R361" t="s">
        <v>11180</v>
      </c>
      <c r="S361" t="s">
        <v>9096</v>
      </c>
      <c r="T361" t="s">
        <v>11183</v>
      </c>
      <c r="U361" t="s">
        <v>11201</v>
      </c>
      <c r="V361" t="s">
        <v>370</v>
      </c>
      <c r="W361">
        <v>705.35</v>
      </c>
      <c r="X361" t="s">
        <v>11333</v>
      </c>
      <c r="Y361" t="s">
        <v>11340</v>
      </c>
      <c r="Z361" t="s">
        <v>11618</v>
      </c>
      <c r="AC361">
        <v>55</v>
      </c>
      <c r="AD361" t="s">
        <v>19566</v>
      </c>
      <c r="AF361">
        <v>28</v>
      </c>
      <c r="AG361">
        <v>1</v>
      </c>
      <c r="AH361">
        <v>0</v>
      </c>
      <c r="AI361">
        <v>0</v>
      </c>
      <c r="AL361" t="s">
        <v>19614</v>
      </c>
      <c r="AM361">
        <v>0</v>
      </c>
      <c r="AS361">
        <v>1</v>
      </c>
      <c r="AT361" t="s">
        <v>864</v>
      </c>
      <c r="AU361" t="s">
        <v>98</v>
      </c>
      <c r="AV361" t="s">
        <v>20733</v>
      </c>
    </row>
    <row r="362" spans="1:48">
      <c r="A362" s="1">
        <f>HYPERLINK("https://lsnyc.legalserver.org/matter/dynamic-profile/view/0788276","15-0788276")</f>
        <v>0</v>
      </c>
      <c r="B362" t="s">
        <v>119</v>
      </c>
      <c r="C362" t="s">
        <v>256</v>
      </c>
      <c r="D362" t="s">
        <v>475</v>
      </c>
      <c r="F362" t="s">
        <v>1364</v>
      </c>
      <c r="G362" t="s">
        <v>3546</v>
      </c>
      <c r="H362" t="s">
        <v>5897</v>
      </c>
      <c r="I362">
        <v>18</v>
      </c>
      <c r="J362" t="s">
        <v>9065</v>
      </c>
      <c r="K362">
        <v>10452</v>
      </c>
      <c r="L362" t="s">
        <v>9094</v>
      </c>
      <c r="M362" t="s">
        <v>9095</v>
      </c>
      <c r="N362" t="s">
        <v>9258</v>
      </c>
      <c r="O362" t="s">
        <v>11147</v>
      </c>
      <c r="P362" t="s">
        <v>11165</v>
      </c>
      <c r="R362" t="s">
        <v>11180</v>
      </c>
      <c r="S362" t="s">
        <v>9094</v>
      </c>
      <c r="T362" t="s">
        <v>11183</v>
      </c>
      <c r="V362" t="s">
        <v>11226</v>
      </c>
      <c r="W362">
        <v>1000</v>
      </c>
      <c r="X362" t="s">
        <v>11333</v>
      </c>
      <c r="Y362" t="s">
        <v>11338</v>
      </c>
      <c r="Z362" t="s">
        <v>11612</v>
      </c>
      <c r="AB362" t="s">
        <v>16095</v>
      </c>
      <c r="AC362">
        <v>122</v>
      </c>
      <c r="AD362" t="s">
        <v>19566</v>
      </c>
      <c r="AF362">
        <v>1</v>
      </c>
      <c r="AG362">
        <v>1</v>
      </c>
      <c r="AH362">
        <v>1</v>
      </c>
      <c r="AI362">
        <v>0</v>
      </c>
      <c r="AL362" t="s">
        <v>19614</v>
      </c>
      <c r="AM362">
        <v>0</v>
      </c>
      <c r="AS362">
        <v>0.6</v>
      </c>
      <c r="AT362" t="s">
        <v>1071</v>
      </c>
      <c r="AU362" t="s">
        <v>20648</v>
      </c>
    </row>
    <row r="363" spans="1:48">
      <c r="A363" s="1">
        <f>HYPERLINK("https://lsnyc.legalserver.org/matter/dynamic-profile/view/1906746","19-1906746")</f>
        <v>0</v>
      </c>
      <c r="B363" t="s">
        <v>117</v>
      </c>
      <c r="C363" t="s">
        <v>256</v>
      </c>
      <c r="D363" t="s">
        <v>474</v>
      </c>
      <c r="F363" t="s">
        <v>1372</v>
      </c>
      <c r="G363" t="s">
        <v>3552</v>
      </c>
      <c r="H363" t="s">
        <v>5899</v>
      </c>
      <c r="I363" t="s">
        <v>8149</v>
      </c>
      <c r="J363" t="s">
        <v>9065</v>
      </c>
      <c r="K363">
        <v>10452</v>
      </c>
      <c r="L363" t="s">
        <v>9094</v>
      </c>
      <c r="M363" t="s">
        <v>9095</v>
      </c>
      <c r="R363" t="s">
        <v>11180</v>
      </c>
      <c r="T363" t="s">
        <v>11183</v>
      </c>
      <c r="W363">
        <v>1063</v>
      </c>
      <c r="X363" t="s">
        <v>11333</v>
      </c>
      <c r="Y363" t="s">
        <v>11339</v>
      </c>
      <c r="Z363" t="s">
        <v>11619</v>
      </c>
      <c r="AB363" t="s">
        <v>16100</v>
      </c>
      <c r="AC363">
        <v>65</v>
      </c>
      <c r="AD363" t="s">
        <v>15441</v>
      </c>
      <c r="AE363" t="s">
        <v>19580</v>
      </c>
      <c r="AF363">
        <v>18</v>
      </c>
      <c r="AG363">
        <v>3</v>
      </c>
      <c r="AH363">
        <v>0</v>
      </c>
      <c r="AI363">
        <v>0</v>
      </c>
      <c r="AL363" t="s">
        <v>19615</v>
      </c>
      <c r="AM363">
        <v>0</v>
      </c>
      <c r="AS363">
        <v>0.1</v>
      </c>
      <c r="AT363" t="s">
        <v>284</v>
      </c>
      <c r="AU363" t="s">
        <v>220</v>
      </c>
    </row>
    <row r="364" spans="1:48">
      <c r="A364" s="1">
        <f>HYPERLINK("https://lsnyc.legalserver.org/matter/dynamic-profile/view/1914694","19-1914694")</f>
        <v>0</v>
      </c>
      <c r="B364" t="s">
        <v>117</v>
      </c>
      <c r="C364" t="s">
        <v>256</v>
      </c>
      <c r="D364" t="s">
        <v>476</v>
      </c>
      <c r="F364" t="s">
        <v>1372</v>
      </c>
      <c r="G364" t="s">
        <v>3552</v>
      </c>
      <c r="H364" t="s">
        <v>5899</v>
      </c>
      <c r="I364" t="s">
        <v>8149</v>
      </c>
      <c r="J364" t="s">
        <v>9065</v>
      </c>
      <c r="K364">
        <v>10452</v>
      </c>
      <c r="L364" t="s">
        <v>9094</v>
      </c>
      <c r="M364" t="s">
        <v>9095</v>
      </c>
      <c r="R364" t="s">
        <v>11180</v>
      </c>
      <c r="S364" t="s">
        <v>9094</v>
      </c>
      <c r="T364" t="s">
        <v>11183</v>
      </c>
      <c r="W364">
        <v>1063</v>
      </c>
      <c r="X364" t="s">
        <v>11333</v>
      </c>
      <c r="Y364" t="s">
        <v>11340</v>
      </c>
      <c r="Z364" t="s">
        <v>11619</v>
      </c>
      <c r="AB364" t="s">
        <v>16100</v>
      </c>
      <c r="AC364">
        <v>65</v>
      </c>
      <c r="AE364" t="s">
        <v>19580</v>
      </c>
      <c r="AF364">
        <v>18</v>
      </c>
      <c r="AG364">
        <v>3</v>
      </c>
      <c r="AH364">
        <v>0</v>
      </c>
      <c r="AI364">
        <v>0</v>
      </c>
      <c r="AL364" t="s">
        <v>19615</v>
      </c>
      <c r="AM364">
        <v>0</v>
      </c>
      <c r="AS364">
        <v>0</v>
      </c>
      <c r="AU364" t="s">
        <v>20642</v>
      </c>
      <c r="AV364" t="s">
        <v>20733</v>
      </c>
    </row>
    <row r="365" spans="1:48">
      <c r="A365" s="1">
        <f>HYPERLINK("https://lsnyc.legalserver.org/matter/dynamic-profile/view/1881829","18-1881829")</f>
        <v>0</v>
      </c>
      <c r="B365" t="s">
        <v>114</v>
      </c>
      <c r="C365" t="s">
        <v>257</v>
      </c>
      <c r="D365" t="s">
        <v>477</v>
      </c>
      <c r="E365" t="s">
        <v>563</v>
      </c>
      <c r="F365" t="s">
        <v>1358</v>
      </c>
      <c r="G365" t="s">
        <v>3553</v>
      </c>
      <c r="H365" t="s">
        <v>5907</v>
      </c>
      <c r="I365" t="s">
        <v>8243</v>
      </c>
      <c r="J365" t="s">
        <v>9065</v>
      </c>
      <c r="K365">
        <v>10451</v>
      </c>
      <c r="L365" t="s">
        <v>9094</v>
      </c>
      <c r="M365" t="s">
        <v>9094</v>
      </c>
      <c r="N365" t="s">
        <v>9259</v>
      </c>
      <c r="O365" t="s">
        <v>11130</v>
      </c>
      <c r="P365" t="s">
        <v>11165</v>
      </c>
      <c r="Q365" t="s">
        <v>11174</v>
      </c>
      <c r="R365" t="s">
        <v>11180</v>
      </c>
      <c r="S365" t="s">
        <v>9094</v>
      </c>
      <c r="T365" t="s">
        <v>11183</v>
      </c>
      <c r="V365" t="s">
        <v>738</v>
      </c>
      <c r="W365">
        <v>1000</v>
      </c>
      <c r="X365" t="s">
        <v>11333</v>
      </c>
      <c r="Y365" t="s">
        <v>11346</v>
      </c>
      <c r="Z365" t="s">
        <v>11620</v>
      </c>
      <c r="AC365">
        <v>0</v>
      </c>
      <c r="AD365" t="s">
        <v>19566</v>
      </c>
      <c r="AE365" t="s">
        <v>19582</v>
      </c>
      <c r="AF365">
        <v>30</v>
      </c>
      <c r="AG365">
        <v>2</v>
      </c>
      <c r="AH365">
        <v>1</v>
      </c>
      <c r="AI365">
        <v>0</v>
      </c>
      <c r="AL365" t="s">
        <v>19615</v>
      </c>
      <c r="AM365">
        <v>0</v>
      </c>
      <c r="AN365" t="s">
        <v>19694</v>
      </c>
      <c r="AS365">
        <v>5.75</v>
      </c>
      <c r="AT365" t="s">
        <v>563</v>
      </c>
      <c r="AU365" t="s">
        <v>163</v>
      </c>
    </row>
    <row r="366" spans="1:48">
      <c r="A366" s="1">
        <f>HYPERLINK("https://lsnyc.legalserver.org/matter/dynamic-profile/view/0798120","16-0798120")</f>
        <v>0</v>
      </c>
      <c r="B366" t="s">
        <v>118</v>
      </c>
      <c r="C366" t="s">
        <v>257</v>
      </c>
      <c r="D366" t="s">
        <v>478</v>
      </c>
      <c r="E366" t="s">
        <v>265</v>
      </c>
      <c r="F366" t="s">
        <v>1373</v>
      </c>
      <c r="G366" t="s">
        <v>3554</v>
      </c>
      <c r="H366" t="s">
        <v>5908</v>
      </c>
      <c r="I366" t="s">
        <v>8156</v>
      </c>
      <c r="J366" t="s">
        <v>9065</v>
      </c>
      <c r="K366">
        <v>10451</v>
      </c>
      <c r="L366" t="s">
        <v>9094</v>
      </c>
      <c r="M366" t="s">
        <v>9095</v>
      </c>
      <c r="O366" t="s">
        <v>11148</v>
      </c>
      <c r="P366" t="s">
        <v>11166</v>
      </c>
      <c r="Q366" t="s">
        <v>11178</v>
      </c>
      <c r="R366" t="s">
        <v>11180</v>
      </c>
      <c r="S366" t="s">
        <v>9094</v>
      </c>
      <c r="T366" t="s">
        <v>11183</v>
      </c>
      <c r="V366" t="s">
        <v>11220</v>
      </c>
      <c r="W366">
        <v>1225</v>
      </c>
      <c r="X366" t="s">
        <v>11333</v>
      </c>
      <c r="Y366" t="s">
        <v>11346</v>
      </c>
      <c r="Z366" t="s">
        <v>11621</v>
      </c>
      <c r="AB366" t="s">
        <v>16101</v>
      </c>
      <c r="AC366">
        <v>0</v>
      </c>
      <c r="AD366" t="s">
        <v>19566</v>
      </c>
      <c r="AE366" t="s">
        <v>9144</v>
      </c>
      <c r="AF366">
        <v>2</v>
      </c>
      <c r="AG366">
        <v>1</v>
      </c>
      <c r="AH366">
        <v>0</v>
      </c>
      <c r="AI366">
        <v>0</v>
      </c>
      <c r="AJ366" t="s">
        <v>19593</v>
      </c>
      <c r="AL366" t="s">
        <v>19614</v>
      </c>
      <c r="AM366">
        <v>0</v>
      </c>
      <c r="AS366">
        <v>513.87</v>
      </c>
      <c r="AT366" t="s">
        <v>265</v>
      </c>
      <c r="AU366" t="s">
        <v>20650</v>
      </c>
    </row>
    <row r="367" spans="1:48">
      <c r="A367" s="1">
        <f>HYPERLINK("https://lsnyc.legalserver.org/matter/dynamic-profile/view/1897367","19-1897367")</f>
        <v>0</v>
      </c>
      <c r="B367" t="s">
        <v>121</v>
      </c>
      <c r="C367" t="s">
        <v>256</v>
      </c>
      <c r="D367" t="s">
        <v>434</v>
      </c>
      <c r="F367" t="s">
        <v>1358</v>
      </c>
      <c r="G367" t="s">
        <v>3555</v>
      </c>
      <c r="H367" t="s">
        <v>5909</v>
      </c>
      <c r="I367" t="s">
        <v>8244</v>
      </c>
      <c r="J367" t="s">
        <v>9065</v>
      </c>
      <c r="K367">
        <v>10451</v>
      </c>
      <c r="L367" t="s">
        <v>9094</v>
      </c>
      <c r="M367" t="s">
        <v>9094</v>
      </c>
      <c r="O367" t="s">
        <v>11140</v>
      </c>
      <c r="P367" t="s">
        <v>11164</v>
      </c>
      <c r="R367" t="s">
        <v>11180</v>
      </c>
      <c r="S367" t="s">
        <v>9096</v>
      </c>
      <c r="T367" t="s">
        <v>11190</v>
      </c>
      <c r="V367" t="s">
        <v>11218</v>
      </c>
      <c r="W367">
        <v>891.87</v>
      </c>
      <c r="X367" t="s">
        <v>11333</v>
      </c>
      <c r="Y367" t="s">
        <v>11340</v>
      </c>
      <c r="Z367" t="s">
        <v>11622</v>
      </c>
      <c r="AB367" t="s">
        <v>16102</v>
      </c>
      <c r="AC367">
        <v>84</v>
      </c>
      <c r="AD367" t="s">
        <v>19566</v>
      </c>
      <c r="AE367" t="s">
        <v>19581</v>
      </c>
      <c r="AF367">
        <v>25</v>
      </c>
      <c r="AG367">
        <v>1</v>
      </c>
      <c r="AH367">
        <v>2</v>
      </c>
      <c r="AI367">
        <v>0</v>
      </c>
      <c r="AL367" t="s">
        <v>19615</v>
      </c>
      <c r="AM367">
        <v>0</v>
      </c>
      <c r="AN367" t="s">
        <v>19695</v>
      </c>
      <c r="AS367">
        <v>0.9</v>
      </c>
      <c r="AT367" t="s">
        <v>832</v>
      </c>
      <c r="AU367" t="s">
        <v>20642</v>
      </c>
      <c r="AV367" t="s">
        <v>20733</v>
      </c>
    </row>
    <row r="368" spans="1:48">
      <c r="A368" s="1">
        <f>HYPERLINK("https://lsnyc.legalserver.org/matter/dynamic-profile/view/1877206","18-1877206")</f>
        <v>0</v>
      </c>
      <c r="B368" t="s">
        <v>115</v>
      </c>
      <c r="C368" t="s">
        <v>257</v>
      </c>
      <c r="D368" t="s">
        <v>479</v>
      </c>
      <c r="E368" t="s">
        <v>1134</v>
      </c>
      <c r="F368" t="s">
        <v>1326</v>
      </c>
      <c r="G368" t="s">
        <v>3508</v>
      </c>
      <c r="H368" t="s">
        <v>5910</v>
      </c>
      <c r="I368" t="s">
        <v>8245</v>
      </c>
      <c r="J368" t="s">
        <v>9065</v>
      </c>
      <c r="K368">
        <v>10451</v>
      </c>
      <c r="L368" t="s">
        <v>9094</v>
      </c>
      <c r="M368" t="s">
        <v>9094</v>
      </c>
      <c r="O368" t="s">
        <v>11136</v>
      </c>
      <c r="P368" t="s">
        <v>11164</v>
      </c>
      <c r="Q368" t="s">
        <v>11172</v>
      </c>
      <c r="R368" t="s">
        <v>11180</v>
      </c>
      <c r="S368" t="s">
        <v>9096</v>
      </c>
      <c r="T368" t="s">
        <v>11183</v>
      </c>
      <c r="U368" t="s">
        <v>11201</v>
      </c>
      <c r="V368" t="s">
        <v>540</v>
      </c>
      <c r="W368">
        <v>968</v>
      </c>
      <c r="X368" t="s">
        <v>11333</v>
      </c>
      <c r="Y368" t="s">
        <v>11346</v>
      </c>
      <c r="Z368" t="s">
        <v>11569</v>
      </c>
      <c r="AB368" t="s">
        <v>16061</v>
      </c>
      <c r="AC368">
        <v>27</v>
      </c>
      <c r="AD368" t="s">
        <v>19566</v>
      </c>
      <c r="AE368" t="s">
        <v>19588</v>
      </c>
      <c r="AF368">
        <v>2</v>
      </c>
      <c r="AG368">
        <v>1</v>
      </c>
      <c r="AH368">
        <v>2</v>
      </c>
      <c r="AI368">
        <v>0</v>
      </c>
      <c r="AL368" t="s">
        <v>19614</v>
      </c>
      <c r="AM368">
        <v>0</v>
      </c>
      <c r="AN368" t="s">
        <v>19696</v>
      </c>
      <c r="AS368">
        <v>2.5</v>
      </c>
      <c r="AT368" t="s">
        <v>1134</v>
      </c>
      <c r="AU368" t="s">
        <v>163</v>
      </c>
      <c r="AV368" t="s">
        <v>20733</v>
      </c>
    </row>
    <row r="369" spans="1:48">
      <c r="A369" s="1">
        <f>HYPERLINK("https://lsnyc.legalserver.org/matter/dynamic-profile/view/1842829","17-1842829")</f>
        <v>0</v>
      </c>
      <c r="B369" t="s">
        <v>122</v>
      </c>
      <c r="C369" t="s">
        <v>257</v>
      </c>
      <c r="D369" t="s">
        <v>480</v>
      </c>
      <c r="E369" t="s">
        <v>414</v>
      </c>
      <c r="F369" t="s">
        <v>1374</v>
      </c>
      <c r="G369" t="s">
        <v>3556</v>
      </c>
      <c r="H369" t="s">
        <v>5911</v>
      </c>
      <c r="I369" t="s">
        <v>8246</v>
      </c>
      <c r="J369" t="s">
        <v>9066</v>
      </c>
      <c r="K369">
        <v>10314</v>
      </c>
      <c r="L369" t="s">
        <v>9094</v>
      </c>
      <c r="M369" t="s">
        <v>9095</v>
      </c>
      <c r="N369" t="s">
        <v>9260</v>
      </c>
      <c r="O369" t="s">
        <v>11135</v>
      </c>
      <c r="P369" t="s">
        <v>11168</v>
      </c>
      <c r="Q369" t="s">
        <v>11177</v>
      </c>
      <c r="R369" t="s">
        <v>11180</v>
      </c>
      <c r="S369" t="s">
        <v>9094</v>
      </c>
      <c r="T369" t="s">
        <v>11183</v>
      </c>
      <c r="U369" t="s">
        <v>11201</v>
      </c>
      <c r="V369" t="s">
        <v>712</v>
      </c>
      <c r="W369">
        <v>1500</v>
      </c>
      <c r="X369" t="s">
        <v>11334</v>
      </c>
      <c r="Y369" t="s">
        <v>11339</v>
      </c>
      <c r="Z369" t="s">
        <v>11623</v>
      </c>
      <c r="AB369" t="s">
        <v>16103</v>
      </c>
      <c r="AC369">
        <v>96</v>
      </c>
      <c r="AD369" t="s">
        <v>19566</v>
      </c>
      <c r="AE369" t="s">
        <v>9144</v>
      </c>
      <c r="AF369">
        <v>2</v>
      </c>
      <c r="AG369">
        <v>1</v>
      </c>
      <c r="AH369">
        <v>0</v>
      </c>
      <c r="AI369">
        <v>0</v>
      </c>
      <c r="AJ369" t="s">
        <v>19594</v>
      </c>
      <c r="AL369" t="s">
        <v>19614</v>
      </c>
      <c r="AM369">
        <v>0</v>
      </c>
      <c r="AO369" t="s">
        <v>20293</v>
      </c>
      <c r="AP369" t="s">
        <v>20316</v>
      </c>
      <c r="AQ369" t="s">
        <v>20369</v>
      </c>
      <c r="AR369" t="s">
        <v>20385</v>
      </c>
      <c r="AS369">
        <v>0.8</v>
      </c>
      <c r="AT369" t="s">
        <v>414</v>
      </c>
      <c r="AU369" t="s">
        <v>20651</v>
      </c>
      <c r="AV369" t="s">
        <v>20733</v>
      </c>
    </row>
    <row r="370" spans="1:48">
      <c r="A370" s="1">
        <f>HYPERLINK("https://lsnyc.legalserver.org/matter/dynamic-profile/view/1908824","19-1908824")</f>
        <v>0</v>
      </c>
      <c r="B370" t="s">
        <v>123</v>
      </c>
      <c r="C370" t="s">
        <v>257</v>
      </c>
      <c r="D370" t="s">
        <v>481</v>
      </c>
      <c r="E370" t="s">
        <v>481</v>
      </c>
      <c r="F370" t="s">
        <v>1375</v>
      </c>
      <c r="G370" t="s">
        <v>3557</v>
      </c>
      <c r="H370" t="s">
        <v>5912</v>
      </c>
      <c r="J370" t="s">
        <v>9066</v>
      </c>
      <c r="K370">
        <v>10310</v>
      </c>
      <c r="L370" t="s">
        <v>9094</v>
      </c>
      <c r="M370" t="s">
        <v>9095</v>
      </c>
      <c r="N370" t="s">
        <v>9171</v>
      </c>
      <c r="O370" t="s">
        <v>9121</v>
      </c>
      <c r="P370" t="s">
        <v>11164</v>
      </c>
      <c r="Q370" t="s">
        <v>11172</v>
      </c>
      <c r="R370" t="s">
        <v>11181</v>
      </c>
      <c r="S370" t="s">
        <v>9096</v>
      </c>
      <c r="T370" t="s">
        <v>11183</v>
      </c>
      <c r="U370" t="s">
        <v>11201</v>
      </c>
      <c r="W370">
        <v>1275</v>
      </c>
      <c r="X370" t="s">
        <v>11334</v>
      </c>
      <c r="Y370" t="s">
        <v>11337</v>
      </c>
      <c r="Z370" t="s">
        <v>11624</v>
      </c>
      <c r="AA370" t="s">
        <v>9171</v>
      </c>
      <c r="AB370" t="s">
        <v>16104</v>
      </c>
      <c r="AC370">
        <v>2</v>
      </c>
      <c r="AD370" t="s">
        <v>15441</v>
      </c>
      <c r="AE370" t="s">
        <v>9144</v>
      </c>
      <c r="AF370">
        <v>5</v>
      </c>
      <c r="AG370">
        <v>1</v>
      </c>
      <c r="AH370">
        <v>2</v>
      </c>
      <c r="AI370">
        <v>0</v>
      </c>
      <c r="AJ370" t="s">
        <v>19591</v>
      </c>
      <c r="AK370" t="s">
        <v>19608</v>
      </c>
      <c r="AL370" t="s">
        <v>19614</v>
      </c>
      <c r="AM370">
        <v>0</v>
      </c>
      <c r="AQ370" t="s">
        <v>20369</v>
      </c>
      <c r="AR370" t="s">
        <v>20375</v>
      </c>
      <c r="AS370">
        <v>2.3</v>
      </c>
      <c r="AT370" t="s">
        <v>320</v>
      </c>
      <c r="AU370" t="s">
        <v>123</v>
      </c>
      <c r="AV370" t="s">
        <v>20733</v>
      </c>
    </row>
    <row r="371" spans="1:48">
      <c r="A371" s="1">
        <f>HYPERLINK("https://lsnyc.legalserver.org/matter/dynamic-profile/view/1889795","19-1889795")</f>
        <v>0</v>
      </c>
      <c r="B371" t="s">
        <v>124</v>
      </c>
      <c r="C371" t="s">
        <v>256</v>
      </c>
      <c r="D371" t="s">
        <v>482</v>
      </c>
      <c r="F371" t="s">
        <v>1146</v>
      </c>
      <c r="G371" t="s">
        <v>3419</v>
      </c>
      <c r="H371" t="s">
        <v>5913</v>
      </c>
      <c r="I371" t="s">
        <v>8247</v>
      </c>
      <c r="J371" t="s">
        <v>9066</v>
      </c>
      <c r="K371">
        <v>10310</v>
      </c>
      <c r="L371" t="s">
        <v>9095</v>
      </c>
      <c r="M371" t="s">
        <v>9095</v>
      </c>
      <c r="R371" t="s">
        <v>11180</v>
      </c>
      <c r="T371" t="s">
        <v>11183</v>
      </c>
      <c r="W371">
        <v>0</v>
      </c>
      <c r="X371" t="s">
        <v>11334</v>
      </c>
      <c r="Z371" t="s">
        <v>11625</v>
      </c>
      <c r="AB371" t="s">
        <v>16105</v>
      </c>
      <c r="AC371">
        <v>0</v>
      </c>
      <c r="AF371">
        <v>0</v>
      </c>
      <c r="AG371">
        <v>2</v>
      </c>
      <c r="AH371">
        <v>0</v>
      </c>
      <c r="AI371">
        <v>0</v>
      </c>
      <c r="AL371" t="s">
        <v>19615</v>
      </c>
      <c r="AM371">
        <v>0</v>
      </c>
      <c r="AS371">
        <v>6.35</v>
      </c>
      <c r="AT371" t="s">
        <v>497</v>
      </c>
      <c r="AU371" t="s">
        <v>20652</v>
      </c>
    </row>
    <row r="372" spans="1:48">
      <c r="A372" s="1">
        <f>HYPERLINK("https://lsnyc.legalserver.org/matter/dynamic-profile/view/1912414","19-1912414")</f>
        <v>0</v>
      </c>
      <c r="B372" t="s">
        <v>125</v>
      </c>
      <c r="C372" t="s">
        <v>256</v>
      </c>
      <c r="D372" t="s">
        <v>483</v>
      </c>
      <c r="F372" t="s">
        <v>1376</v>
      </c>
      <c r="G372" t="s">
        <v>3558</v>
      </c>
      <c r="H372" t="s">
        <v>5914</v>
      </c>
      <c r="J372" t="s">
        <v>9066</v>
      </c>
      <c r="K372">
        <v>10309</v>
      </c>
      <c r="L372" t="s">
        <v>9094</v>
      </c>
      <c r="M372" t="s">
        <v>9095</v>
      </c>
      <c r="N372" t="s">
        <v>9261</v>
      </c>
      <c r="O372" t="s">
        <v>11128</v>
      </c>
      <c r="P372" t="s">
        <v>11164</v>
      </c>
      <c r="R372" t="s">
        <v>11181</v>
      </c>
      <c r="S372" t="s">
        <v>9096</v>
      </c>
      <c r="T372" t="s">
        <v>11183</v>
      </c>
      <c r="V372" t="s">
        <v>1063</v>
      </c>
      <c r="W372">
        <v>0</v>
      </c>
      <c r="X372" t="s">
        <v>11334</v>
      </c>
      <c r="Y372" t="s">
        <v>11337</v>
      </c>
      <c r="Z372" t="s">
        <v>11626</v>
      </c>
      <c r="AC372">
        <v>1</v>
      </c>
      <c r="AD372" t="s">
        <v>19565</v>
      </c>
      <c r="AE372" t="s">
        <v>9144</v>
      </c>
      <c r="AF372">
        <v>6</v>
      </c>
      <c r="AG372">
        <v>1</v>
      </c>
      <c r="AH372">
        <v>1</v>
      </c>
      <c r="AI372">
        <v>0</v>
      </c>
      <c r="AJ372" t="s">
        <v>19591</v>
      </c>
      <c r="AK372" t="s">
        <v>19608</v>
      </c>
      <c r="AL372" t="s">
        <v>19614</v>
      </c>
      <c r="AM372">
        <v>0</v>
      </c>
      <c r="AS372">
        <v>7.25</v>
      </c>
      <c r="AT372" t="s">
        <v>321</v>
      </c>
      <c r="AU372" t="s">
        <v>125</v>
      </c>
      <c r="AV372" t="s">
        <v>20733</v>
      </c>
    </row>
    <row r="373" spans="1:48">
      <c r="A373" s="1">
        <f>HYPERLINK("https://lsnyc.legalserver.org/matter/dynamic-profile/view/1908836","19-1908836")</f>
        <v>0</v>
      </c>
      <c r="B373" t="s">
        <v>123</v>
      </c>
      <c r="C373" t="s">
        <v>257</v>
      </c>
      <c r="D373" t="s">
        <v>481</v>
      </c>
      <c r="E373" t="s">
        <v>320</v>
      </c>
      <c r="F373" t="s">
        <v>1377</v>
      </c>
      <c r="G373" t="s">
        <v>3559</v>
      </c>
      <c r="H373" t="s">
        <v>5915</v>
      </c>
      <c r="J373" t="s">
        <v>9066</v>
      </c>
      <c r="K373">
        <v>10305</v>
      </c>
      <c r="L373" t="s">
        <v>9094</v>
      </c>
      <c r="M373" t="s">
        <v>9095</v>
      </c>
      <c r="N373" t="s">
        <v>9154</v>
      </c>
      <c r="O373" t="s">
        <v>9121</v>
      </c>
      <c r="P373" t="s">
        <v>11164</v>
      </c>
      <c r="Q373" t="s">
        <v>11172</v>
      </c>
      <c r="R373" t="s">
        <v>11181</v>
      </c>
      <c r="S373" t="s">
        <v>9096</v>
      </c>
      <c r="T373" t="s">
        <v>11189</v>
      </c>
      <c r="V373" t="s">
        <v>481</v>
      </c>
      <c r="W373">
        <v>0</v>
      </c>
      <c r="X373" t="s">
        <v>11334</v>
      </c>
      <c r="Y373" t="s">
        <v>11337</v>
      </c>
      <c r="Z373" t="s">
        <v>11627</v>
      </c>
      <c r="AB373" t="s">
        <v>16106</v>
      </c>
      <c r="AC373">
        <v>1</v>
      </c>
      <c r="AD373" t="s">
        <v>19565</v>
      </c>
      <c r="AE373" t="s">
        <v>9144</v>
      </c>
      <c r="AF373">
        <v>0</v>
      </c>
      <c r="AG373">
        <v>4</v>
      </c>
      <c r="AH373">
        <v>2</v>
      </c>
      <c r="AI373">
        <v>0</v>
      </c>
      <c r="AJ373" t="s">
        <v>19591</v>
      </c>
      <c r="AK373" t="s">
        <v>19608</v>
      </c>
      <c r="AL373" t="s">
        <v>19614</v>
      </c>
      <c r="AM373">
        <v>0</v>
      </c>
      <c r="AP373" t="s">
        <v>11157</v>
      </c>
      <c r="AR373" t="s">
        <v>20375</v>
      </c>
      <c r="AS373">
        <v>1.7</v>
      </c>
      <c r="AT373" t="s">
        <v>320</v>
      </c>
      <c r="AU373" t="s">
        <v>123</v>
      </c>
      <c r="AV373" t="s">
        <v>20733</v>
      </c>
    </row>
    <row r="374" spans="1:48">
      <c r="A374" s="1">
        <f>HYPERLINK("https://lsnyc.legalserver.org/matter/dynamic-profile/view/1907864","19-1907864")</f>
        <v>0</v>
      </c>
      <c r="B374" t="s">
        <v>126</v>
      </c>
      <c r="C374" t="s">
        <v>256</v>
      </c>
      <c r="D374" t="s">
        <v>326</v>
      </c>
      <c r="F374" t="s">
        <v>1378</v>
      </c>
      <c r="G374" t="s">
        <v>3560</v>
      </c>
      <c r="H374" t="s">
        <v>5916</v>
      </c>
      <c r="I374" t="s">
        <v>8248</v>
      </c>
      <c r="J374" t="s">
        <v>9066</v>
      </c>
      <c r="K374">
        <v>10305</v>
      </c>
      <c r="L374" t="s">
        <v>9095</v>
      </c>
      <c r="M374" t="s">
        <v>9095</v>
      </c>
      <c r="N374" t="s">
        <v>9262</v>
      </c>
      <c r="O374" t="s">
        <v>11129</v>
      </c>
      <c r="P374" t="s">
        <v>11165</v>
      </c>
      <c r="R374" t="s">
        <v>11180</v>
      </c>
      <c r="S374" t="s">
        <v>9096</v>
      </c>
      <c r="T374" t="s">
        <v>11183</v>
      </c>
      <c r="U374" t="s">
        <v>11201</v>
      </c>
      <c r="W374">
        <v>3400</v>
      </c>
      <c r="X374" t="s">
        <v>11334</v>
      </c>
      <c r="Y374" t="s">
        <v>11345</v>
      </c>
      <c r="Z374" t="s">
        <v>11628</v>
      </c>
      <c r="AB374" t="s">
        <v>16107</v>
      </c>
      <c r="AC374">
        <v>3</v>
      </c>
      <c r="AD374" t="s">
        <v>19565</v>
      </c>
      <c r="AE374" t="s">
        <v>9144</v>
      </c>
      <c r="AF374">
        <v>2</v>
      </c>
      <c r="AG374">
        <v>1</v>
      </c>
      <c r="AH374">
        <v>0</v>
      </c>
      <c r="AI374">
        <v>0</v>
      </c>
      <c r="AL374" t="s">
        <v>19614</v>
      </c>
      <c r="AM374">
        <v>0</v>
      </c>
      <c r="AS374">
        <v>18.8</v>
      </c>
      <c r="AT374" t="s">
        <v>669</v>
      </c>
      <c r="AU374" t="s">
        <v>20653</v>
      </c>
    </row>
    <row r="375" spans="1:48">
      <c r="A375" s="1">
        <f>HYPERLINK("https://lsnyc.legalserver.org/matter/dynamic-profile/view/1913271","19-1913271")</f>
        <v>0</v>
      </c>
      <c r="B375" t="s">
        <v>123</v>
      </c>
      <c r="C375" t="s">
        <v>256</v>
      </c>
      <c r="D375" t="s">
        <v>484</v>
      </c>
      <c r="F375" t="s">
        <v>1379</v>
      </c>
      <c r="G375" t="s">
        <v>3561</v>
      </c>
      <c r="H375" t="s">
        <v>5917</v>
      </c>
      <c r="I375" t="s">
        <v>8248</v>
      </c>
      <c r="J375" t="s">
        <v>9066</v>
      </c>
      <c r="K375">
        <v>10305</v>
      </c>
      <c r="L375" t="s">
        <v>9094</v>
      </c>
      <c r="M375" t="s">
        <v>9095</v>
      </c>
      <c r="N375" t="s">
        <v>9263</v>
      </c>
      <c r="O375" t="s">
        <v>11129</v>
      </c>
      <c r="R375" t="s">
        <v>11180</v>
      </c>
      <c r="S375" t="s">
        <v>9096</v>
      </c>
      <c r="T375" t="s">
        <v>11183</v>
      </c>
      <c r="U375" t="s">
        <v>11201</v>
      </c>
      <c r="W375">
        <v>1557</v>
      </c>
      <c r="X375" t="s">
        <v>11334</v>
      </c>
      <c r="Y375" t="s">
        <v>11353</v>
      </c>
      <c r="Z375" t="s">
        <v>11629</v>
      </c>
      <c r="AB375" t="s">
        <v>16108</v>
      </c>
      <c r="AC375">
        <v>2</v>
      </c>
      <c r="AD375" t="s">
        <v>19565</v>
      </c>
      <c r="AF375">
        <v>-1</v>
      </c>
      <c r="AG375">
        <v>1</v>
      </c>
      <c r="AH375">
        <v>1</v>
      </c>
      <c r="AI375">
        <v>0</v>
      </c>
      <c r="AL375" t="s">
        <v>19625</v>
      </c>
      <c r="AM375">
        <v>0</v>
      </c>
      <c r="AP375" t="s">
        <v>20309</v>
      </c>
      <c r="AQ375" t="s">
        <v>20369</v>
      </c>
      <c r="AR375" t="s">
        <v>20386</v>
      </c>
      <c r="AS375">
        <v>6.05</v>
      </c>
      <c r="AT375" t="s">
        <v>1130</v>
      </c>
      <c r="AU375" t="s">
        <v>20653</v>
      </c>
      <c r="AV375" t="s">
        <v>20733</v>
      </c>
    </row>
    <row r="376" spans="1:48">
      <c r="A376" s="1">
        <f>HYPERLINK("https://lsnyc.legalserver.org/matter/dynamic-profile/view/1860584","18-1860584")</f>
        <v>0</v>
      </c>
      <c r="B376" t="s">
        <v>126</v>
      </c>
      <c r="C376" t="s">
        <v>256</v>
      </c>
      <c r="D376" t="s">
        <v>485</v>
      </c>
      <c r="F376" t="s">
        <v>1380</v>
      </c>
      <c r="G376" t="s">
        <v>3491</v>
      </c>
      <c r="H376" t="s">
        <v>5918</v>
      </c>
      <c r="I376" t="s">
        <v>8170</v>
      </c>
      <c r="J376" t="s">
        <v>9066</v>
      </c>
      <c r="K376">
        <v>10304</v>
      </c>
      <c r="L376" t="s">
        <v>9094</v>
      </c>
      <c r="M376" t="s">
        <v>9095</v>
      </c>
      <c r="N376" t="s">
        <v>9264</v>
      </c>
      <c r="O376" t="s">
        <v>11128</v>
      </c>
      <c r="P376" t="s">
        <v>11165</v>
      </c>
      <c r="R376" t="s">
        <v>11180</v>
      </c>
      <c r="S376" t="s">
        <v>9096</v>
      </c>
      <c r="T376" t="s">
        <v>11183</v>
      </c>
      <c r="V376" t="s">
        <v>485</v>
      </c>
      <c r="W376">
        <v>1547</v>
      </c>
      <c r="X376" t="s">
        <v>11334</v>
      </c>
      <c r="Y376" t="s">
        <v>11340</v>
      </c>
      <c r="Z376" t="s">
        <v>11630</v>
      </c>
      <c r="AA376" t="s">
        <v>15319</v>
      </c>
      <c r="AB376" t="s">
        <v>16109</v>
      </c>
      <c r="AC376">
        <v>118</v>
      </c>
      <c r="AD376" t="s">
        <v>19567</v>
      </c>
      <c r="AE376" t="s">
        <v>19580</v>
      </c>
      <c r="AF376">
        <v>26</v>
      </c>
      <c r="AG376">
        <v>3</v>
      </c>
      <c r="AH376">
        <v>1</v>
      </c>
      <c r="AI376">
        <v>0</v>
      </c>
      <c r="AL376" t="s">
        <v>19614</v>
      </c>
      <c r="AM376">
        <v>0</v>
      </c>
      <c r="AS376">
        <v>13</v>
      </c>
      <c r="AT376" t="s">
        <v>20587</v>
      </c>
      <c r="AU376" t="s">
        <v>20652</v>
      </c>
    </row>
    <row r="377" spans="1:48">
      <c r="A377" s="1">
        <f>HYPERLINK("https://lsnyc.legalserver.org/matter/dynamic-profile/view/1898133","19-1898133")</f>
        <v>0</v>
      </c>
      <c r="B377" t="s">
        <v>122</v>
      </c>
      <c r="C377" t="s">
        <v>256</v>
      </c>
      <c r="D377" t="s">
        <v>470</v>
      </c>
      <c r="F377" t="s">
        <v>1381</v>
      </c>
      <c r="G377" t="s">
        <v>3562</v>
      </c>
      <c r="H377" t="s">
        <v>5919</v>
      </c>
      <c r="I377">
        <v>1059</v>
      </c>
      <c r="J377" t="s">
        <v>9066</v>
      </c>
      <c r="K377">
        <v>10304</v>
      </c>
      <c r="L377" t="s">
        <v>9094</v>
      </c>
      <c r="M377" t="s">
        <v>9094</v>
      </c>
      <c r="N377" t="s">
        <v>9265</v>
      </c>
      <c r="O377" t="s">
        <v>11128</v>
      </c>
      <c r="P377" t="s">
        <v>11165</v>
      </c>
      <c r="R377" t="s">
        <v>11180</v>
      </c>
      <c r="S377" t="s">
        <v>9096</v>
      </c>
      <c r="T377" t="s">
        <v>11183</v>
      </c>
      <c r="U377" t="s">
        <v>11201</v>
      </c>
      <c r="V377" t="s">
        <v>470</v>
      </c>
      <c r="W377">
        <v>1500</v>
      </c>
      <c r="X377" t="s">
        <v>11334</v>
      </c>
      <c r="Y377" t="s">
        <v>11340</v>
      </c>
      <c r="Z377" t="s">
        <v>11631</v>
      </c>
      <c r="AB377" t="s">
        <v>16110</v>
      </c>
      <c r="AC377">
        <v>468</v>
      </c>
      <c r="AD377" t="s">
        <v>19566</v>
      </c>
      <c r="AE377" t="s">
        <v>19585</v>
      </c>
      <c r="AF377">
        <v>0</v>
      </c>
      <c r="AG377">
        <v>1</v>
      </c>
      <c r="AH377">
        <v>0</v>
      </c>
      <c r="AI377">
        <v>0</v>
      </c>
      <c r="AL377" t="s">
        <v>19614</v>
      </c>
      <c r="AM377">
        <v>0</v>
      </c>
      <c r="AS377">
        <v>39.5</v>
      </c>
      <c r="AT377" t="s">
        <v>321</v>
      </c>
      <c r="AU377" t="s">
        <v>122</v>
      </c>
      <c r="AV377" t="s">
        <v>20733</v>
      </c>
    </row>
    <row r="378" spans="1:48">
      <c r="A378" s="1">
        <f>HYPERLINK("https://lsnyc.legalserver.org/matter/dynamic-profile/view/1899275","19-1899275")</f>
        <v>0</v>
      </c>
      <c r="B378" t="s">
        <v>122</v>
      </c>
      <c r="C378" t="s">
        <v>257</v>
      </c>
      <c r="D378" t="s">
        <v>486</v>
      </c>
      <c r="E378" t="s">
        <v>444</v>
      </c>
      <c r="F378" t="s">
        <v>1382</v>
      </c>
      <c r="G378" t="s">
        <v>3563</v>
      </c>
      <c r="H378" t="s">
        <v>5920</v>
      </c>
      <c r="I378" t="s">
        <v>8107</v>
      </c>
      <c r="J378" t="s">
        <v>9066</v>
      </c>
      <c r="K378">
        <v>10304</v>
      </c>
      <c r="L378" t="s">
        <v>9094</v>
      </c>
      <c r="M378" t="s">
        <v>9095</v>
      </c>
      <c r="N378" t="s">
        <v>9266</v>
      </c>
      <c r="O378" t="s">
        <v>11128</v>
      </c>
      <c r="P378" t="s">
        <v>11165</v>
      </c>
      <c r="Q378" t="s">
        <v>11174</v>
      </c>
      <c r="R378" t="s">
        <v>11181</v>
      </c>
      <c r="S378" t="s">
        <v>9096</v>
      </c>
      <c r="T378" t="s">
        <v>11183</v>
      </c>
      <c r="U378" t="s">
        <v>11201</v>
      </c>
      <c r="V378" t="s">
        <v>486</v>
      </c>
      <c r="W378">
        <v>430</v>
      </c>
      <c r="X378" t="s">
        <v>11334</v>
      </c>
      <c r="Y378" t="s">
        <v>11337</v>
      </c>
      <c r="Z378" t="s">
        <v>11632</v>
      </c>
      <c r="AB378" t="s">
        <v>16111</v>
      </c>
      <c r="AC378">
        <v>2</v>
      </c>
      <c r="AD378" t="s">
        <v>19565</v>
      </c>
      <c r="AE378" t="s">
        <v>9144</v>
      </c>
      <c r="AF378">
        <v>-1</v>
      </c>
      <c r="AG378">
        <v>1</v>
      </c>
      <c r="AH378">
        <v>1</v>
      </c>
      <c r="AI378">
        <v>0</v>
      </c>
      <c r="AJ378" t="s">
        <v>19591</v>
      </c>
      <c r="AK378" t="s">
        <v>19608</v>
      </c>
      <c r="AL378" t="s">
        <v>19614</v>
      </c>
      <c r="AM378">
        <v>0</v>
      </c>
      <c r="AO378" t="s">
        <v>20290</v>
      </c>
      <c r="AP378" t="s">
        <v>20309</v>
      </c>
      <c r="AQ378" t="s">
        <v>20369</v>
      </c>
      <c r="AR378" t="s">
        <v>20387</v>
      </c>
      <c r="AS378">
        <v>7.4</v>
      </c>
      <c r="AT378" t="s">
        <v>444</v>
      </c>
      <c r="AU378" t="s">
        <v>122</v>
      </c>
      <c r="AV378" t="s">
        <v>20733</v>
      </c>
    </row>
    <row r="379" spans="1:48">
      <c r="A379" s="1">
        <f>HYPERLINK("https://lsnyc.legalserver.org/matter/dynamic-profile/view/1915347","19-1915347")</f>
        <v>0</v>
      </c>
      <c r="B379" t="s">
        <v>125</v>
      </c>
      <c r="C379" t="s">
        <v>256</v>
      </c>
      <c r="D379" t="s">
        <v>487</v>
      </c>
      <c r="F379" t="s">
        <v>1383</v>
      </c>
      <c r="G379" t="s">
        <v>3564</v>
      </c>
      <c r="H379" t="s">
        <v>5921</v>
      </c>
      <c r="I379" t="s">
        <v>8249</v>
      </c>
      <c r="J379" t="s">
        <v>9066</v>
      </c>
      <c r="K379">
        <v>10304</v>
      </c>
      <c r="L379" t="s">
        <v>9095</v>
      </c>
      <c r="M379" t="s">
        <v>9095</v>
      </c>
      <c r="N379" t="s">
        <v>9154</v>
      </c>
      <c r="O379" t="s">
        <v>11130</v>
      </c>
      <c r="R379" t="s">
        <v>11180</v>
      </c>
      <c r="S379" t="s">
        <v>9094</v>
      </c>
      <c r="T379" t="s">
        <v>11183</v>
      </c>
      <c r="W379">
        <v>0</v>
      </c>
      <c r="X379" t="s">
        <v>11334</v>
      </c>
      <c r="Y379" t="s">
        <v>11348</v>
      </c>
      <c r="Z379" t="s">
        <v>11633</v>
      </c>
      <c r="AB379" t="s">
        <v>16112</v>
      </c>
      <c r="AC379">
        <v>0</v>
      </c>
      <c r="AF379">
        <v>0</v>
      </c>
      <c r="AG379">
        <v>2</v>
      </c>
      <c r="AH379">
        <v>1</v>
      </c>
      <c r="AI379">
        <v>0</v>
      </c>
      <c r="AL379" t="s">
        <v>19614</v>
      </c>
      <c r="AM379">
        <v>0</v>
      </c>
      <c r="AS379">
        <v>0.3</v>
      </c>
      <c r="AT379" t="s">
        <v>487</v>
      </c>
      <c r="AU379" t="s">
        <v>20653</v>
      </c>
    </row>
    <row r="380" spans="1:48">
      <c r="A380" s="1">
        <f>HYPERLINK("https://lsnyc.legalserver.org/matter/dynamic-profile/view/1897453","19-1897453")</f>
        <v>0</v>
      </c>
      <c r="B380" t="s">
        <v>127</v>
      </c>
      <c r="C380" t="s">
        <v>257</v>
      </c>
      <c r="D380" t="s">
        <v>318</v>
      </c>
      <c r="E380" t="s">
        <v>706</v>
      </c>
      <c r="F380" t="s">
        <v>1384</v>
      </c>
      <c r="G380" t="s">
        <v>3565</v>
      </c>
      <c r="H380" t="s">
        <v>5922</v>
      </c>
      <c r="J380" t="s">
        <v>9066</v>
      </c>
      <c r="K380">
        <v>10304</v>
      </c>
      <c r="L380" t="s">
        <v>9094</v>
      </c>
      <c r="M380" t="s">
        <v>9094</v>
      </c>
      <c r="N380" t="s">
        <v>9267</v>
      </c>
      <c r="O380" t="s">
        <v>11149</v>
      </c>
      <c r="P380" t="s">
        <v>11165</v>
      </c>
      <c r="Q380" t="s">
        <v>11179</v>
      </c>
      <c r="R380" t="s">
        <v>11180</v>
      </c>
      <c r="S380" t="s">
        <v>9096</v>
      </c>
      <c r="T380" t="s">
        <v>11183</v>
      </c>
      <c r="U380" t="s">
        <v>11201</v>
      </c>
      <c r="V380" t="s">
        <v>318</v>
      </c>
      <c r="W380">
        <v>0</v>
      </c>
      <c r="X380" t="s">
        <v>11334</v>
      </c>
      <c r="Y380" t="s">
        <v>11345</v>
      </c>
      <c r="Z380" t="s">
        <v>11634</v>
      </c>
      <c r="AB380" t="s">
        <v>16113</v>
      </c>
      <c r="AC380">
        <v>1</v>
      </c>
      <c r="AF380">
        <v>-1</v>
      </c>
      <c r="AG380">
        <v>2</v>
      </c>
      <c r="AH380">
        <v>2</v>
      </c>
      <c r="AI380">
        <v>0</v>
      </c>
      <c r="AL380" t="s">
        <v>19614</v>
      </c>
      <c r="AM380">
        <v>0</v>
      </c>
      <c r="AO380" t="s">
        <v>20294</v>
      </c>
      <c r="AP380" t="s">
        <v>11157</v>
      </c>
      <c r="AQ380" t="s">
        <v>20369</v>
      </c>
      <c r="AR380" t="s">
        <v>20388</v>
      </c>
      <c r="AS380">
        <v>3.25</v>
      </c>
      <c r="AT380" t="s">
        <v>367</v>
      </c>
      <c r="AU380" t="s">
        <v>20653</v>
      </c>
      <c r="AV380" t="s">
        <v>20733</v>
      </c>
    </row>
    <row r="381" spans="1:48">
      <c r="A381" s="1">
        <f>HYPERLINK("https://lsnyc.legalserver.org/matter/dynamic-profile/view/1912758","19-1912758")</f>
        <v>0</v>
      </c>
      <c r="B381" t="s">
        <v>123</v>
      </c>
      <c r="C381" t="s">
        <v>256</v>
      </c>
      <c r="D381" t="s">
        <v>488</v>
      </c>
      <c r="F381" t="s">
        <v>1385</v>
      </c>
      <c r="G381" t="s">
        <v>3566</v>
      </c>
      <c r="H381" t="s">
        <v>5923</v>
      </c>
      <c r="I381" t="s">
        <v>8250</v>
      </c>
      <c r="J381" t="s">
        <v>9066</v>
      </c>
      <c r="K381">
        <v>10304</v>
      </c>
      <c r="L381" t="s">
        <v>9096</v>
      </c>
      <c r="M381" t="s">
        <v>9095</v>
      </c>
      <c r="N381" t="s">
        <v>9102</v>
      </c>
      <c r="O381" t="s">
        <v>9121</v>
      </c>
      <c r="P381" t="s">
        <v>11164</v>
      </c>
      <c r="R381" t="s">
        <v>11181</v>
      </c>
      <c r="S381" t="s">
        <v>9096</v>
      </c>
      <c r="T381" t="s">
        <v>11183</v>
      </c>
      <c r="U381" t="s">
        <v>11201</v>
      </c>
      <c r="W381">
        <v>1100</v>
      </c>
      <c r="X381" t="s">
        <v>11334</v>
      </c>
      <c r="Y381" t="s">
        <v>11337</v>
      </c>
      <c r="Z381" t="s">
        <v>11635</v>
      </c>
      <c r="AB381" t="s">
        <v>15274</v>
      </c>
      <c r="AC381">
        <v>1</v>
      </c>
      <c r="AE381" t="s">
        <v>9144</v>
      </c>
      <c r="AF381">
        <v>3</v>
      </c>
      <c r="AG381">
        <v>1</v>
      </c>
      <c r="AH381">
        <v>2</v>
      </c>
      <c r="AI381">
        <v>0</v>
      </c>
      <c r="AJ381" t="s">
        <v>19591</v>
      </c>
      <c r="AK381" t="s">
        <v>19608</v>
      </c>
      <c r="AL381" t="s">
        <v>19614</v>
      </c>
      <c r="AM381">
        <v>0</v>
      </c>
      <c r="AS381">
        <v>0.2</v>
      </c>
      <c r="AT381" t="s">
        <v>833</v>
      </c>
      <c r="AU381" t="s">
        <v>123</v>
      </c>
      <c r="AV381" t="s">
        <v>9144</v>
      </c>
    </row>
    <row r="382" spans="1:48">
      <c r="A382" s="1">
        <f>HYPERLINK("https://lsnyc.legalserver.org/matter/dynamic-profile/view/1893767","19-1893767")</f>
        <v>0</v>
      </c>
      <c r="B382" t="s">
        <v>126</v>
      </c>
      <c r="C382" t="s">
        <v>256</v>
      </c>
      <c r="D382" t="s">
        <v>278</v>
      </c>
      <c r="F382" t="s">
        <v>1386</v>
      </c>
      <c r="G382" t="s">
        <v>3567</v>
      </c>
      <c r="H382" t="s">
        <v>5924</v>
      </c>
      <c r="I382" t="s">
        <v>8149</v>
      </c>
      <c r="J382" t="s">
        <v>9066</v>
      </c>
      <c r="K382">
        <v>10304</v>
      </c>
      <c r="L382" t="s">
        <v>9094</v>
      </c>
      <c r="M382" t="s">
        <v>9094</v>
      </c>
      <c r="N382" t="s">
        <v>9268</v>
      </c>
      <c r="O382" t="s">
        <v>11129</v>
      </c>
      <c r="P382" t="s">
        <v>11165</v>
      </c>
      <c r="R382" t="s">
        <v>11180</v>
      </c>
      <c r="S382" t="s">
        <v>9096</v>
      </c>
      <c r="T382" t="s">
        <v>11190</v>
      </c>
      <c r="U382" t="s">
        <v>11201</v>
      </c>
      <c r="V382" t="s">
        <v>278</v>
      </c>
      <c r="W382">
        <v>1448</v>
      </c>
      <c r="X382" t="s">
        <v>11334</v>
      </c>
      <c r="Y382" t="s">
        <v>11342</v>
      </c>
      <c r="Z382" t="s">
        <v>11636</v>
      </c>
      <c r="AB382" t="s">
        <v>16114</v>
      </c>
      <c r="AC382">
        <v>99</v>
      </c>
      <c r="AD382" t="s">
        <v>19567</v>
      </c>
      <c r="AE382" t="s">
        <v>9144</v>
      </c>
      <c r="AF382">
        <v>11</v>
      </c>
      <c r="AG382">
        <v>2</v>
      </c>
      <c r="AH382">
        <v>1</v>
      </c>
      <c r="AI382">
        <v>0</v>
      </c>
      <c r="AL382" t="s">
        <v>19614</v>
      </c>
      <c r="AM382">
        <v>0</v>
      </c>
      <c r="AS382">
        <v>28.8</v>
      </c>
      <c r="AT382" t="s">
        <v>864</v>
      </c>
      <c r="AU382" t="s">
        <v>20653</v>
      </c>
      <c r="AV382" t="s">
        <v>20733</v>
      </c>
    </row>
    <row r="383" spans="1:48">
      <c r="A383" s="1">
        <f>HYPERLINK("https://lsnyc.legalserver.org/matter/dynamic-profile/view/1894440","19-1894440")</f>
        <v>0</v>
      </c>
      <c r="B383" t="s">
        <v>126</v>
      </c>
      <c r="C383" t="s">
        <v>256</v>
      </c>
      <c r="D383" t="s">
        <v>384</v>
      </c>
      <c r="F383" t="s">
        <v>1387</v>
      </c>
      <c r="G383" t="s">
        <v>3568</v>
      </c>
      <c r="H383" t="s">
        <v>5925</v>
      </c>
      <c r="I383">
        <v>216</v>
      </c>
      <c r="J383" t="s">
        <v>9066</v>
      </c>
      <c r="K383">
        <v>10304</v>
      </c>
      <c r="L383" t="s">
        <v>9094</v>
      </c>
      <c r="M383" t="s">
        <v>9095</v>
      </c>
      <c r="N383" t="s">
        <v>9269</v>
      </c>
      <c r="O383" t="s">
        <v>11129</v>
      </c>
      <c r="R383" t="s">
        <v>11180</v>
      </c>
      <c r="S383" t="s">
        <v>9096</v>
      </c>
      <c r="T383" t="s">
        <v>11183</v>
      </c>
      <c r="W383">
        <v>1268</v>
      </c>
      <c r="X383" t="s">
        <v>11334</v>
      </c>
      <c r="Y383" t="s">
        <v>11345</v>
      </c>
      <c r="Z383" t="s">
        <v>11637</v>
      </c>
      <c r="AB383" t="s">
        <v>16115</v>
      </c>
      <c r="AC383">
        <v>0</v>
      </c>
      <c r="AD383" t="s">
        <v>19566</v>
      </c>
      <c r="AF383">
        <v>1</v>
      </c>
      <c r="AG383">
        <v>1</v>
      </c>
      <c r="AH383">
        <v>1</v>
      </c>
      <c r="AI383">
        <v>0</v>
      </c>
      <c r="AL383" t="s">
        <v>19614</v>
      </c>
      <c r="AM383">
        <v>0</v>
      </c>
      <c r="AS383">
        <v>40.7</v>
      </c>
      <c r="AT383" t="s">
        <v>487</v>
      </c>
      <c r="AU383" t="s">
        <v>20653</v>
      </c>
      <c r="AV383" t="s">
        <v>20733</v>
      </c>
    </row>
    <row r="384" spans="1:48">
      <c r="A384" s="1">
        <f>HYPERLINK("https://lsnyc.legalserver.org/matter/dynamic-profile/view/1907746","19-1907746")</f>
        <v>0</v>
      </c>
      <c r="B384" t="s">
        <v>123</v>
      </c>
      <c r="C384" t="s">
        <v>256</v>
      </c>
      <c r="D384" t="s">
        <v>396</v>
      </c>
      <c r="F384" t="s">
        <v>1388</v>
      </c>
      <c r="G384" t="s">
        <v>3511</v>
      </c>
      <c r="H384" t="s">
        <v>5926</v>
      </c>
      <c r="I384" t="s">
        <v>8117</v>
      </c>
      <c r="J384" t="s">
        <v>9066</v>
      </c>
      <c r="K384">
        <v>10304</v>
      </c>
      <c r="L384" t="s">
        <v>9094</v>
      </c>
      <c r="M384" t="s">
        <v>9095</v>
      </c>
      <c r="N384" t="s">
        <v>9270</v>
      </c>
      <c r="O384" t="s">
        <v>11129</v>
      </c>
      <c r="P384" t="s">
        <v>11165</v>
      </c>
      <c r="R384" t="s">
        <v>11180</v>
      </c>
      <c r="S384" t="s">
        <v>9096</v>
      </c>
      <c r="T384" t="s">
        <v>11183</v>
      </c>
      <c r="U384" t="s">
        <v>11201</v>
      </c>
      <c r="V384" t="s">
        <v>396</v>
      </c>
      <c r="W384">
        <v>529</v>
      </c>
      <c r="X384" t="s">
        <v>11334</v>
      </c>
      <c r="Y384" t="s">
        <v>11345</v>
      </c>
      <c r="Z384" t="s">
        <v>11638</v>
      </c>
      <c r="AB384" t="s">
        <v>16116</v>
      </c>
      <c r="AC384">
        <v>98</v>
      </c>
      <c r="AD384" t="s">
        <v>19566</v>
      </c>
      <c r="AE384" t="s">
        <v>9144</v>
      </c>
      <c r="AF384">
        <v>10</v>
      </c>
      <c r="AG384">
        <v>1</v>
      </c>
      <c r="AH384">
        <v>3</v>
      </c>
      <c r="AI384">
        <v>0</v>
      </c>
      <c r="AL384" t="s">
        <v>19614</v>
      </c>
      <c r="AM384">
        <v>0</v>
      </c>
      <c r="AS384">
        <v>14.4</v>
      </c>
      <c r="AT384" t="s">
        <v>1130</v>
      </c>
      <c r="AU384" t="s">
        <v>20653</v>
      </c>
      <c r="AV384" t="s">
        <v>20733</v>
      </c>
    </row>
    <row r="385" spans="1:48">
      <c r="A385" s="1">
        <f>HYPERLINK("https://lsnyc.legalserver.org/matter/dynamic-profile/view/1883713","18-1883713")</f>
        <v>0</v>
      </c>
      <c r="B385" t="s">
        <v>124</v>
      </c>
      <c r="C385" t="s">
        <v>256</v>
      </c>
      <c r="D385" t="s">
        <v>371</v>
      </c>
      <c r="F385" t="s">
        <v>1389</v>
      </c>
      <c r="G385" t="s">
        <v>3569</v>
      </c>
      <c r="H385" t="s">
        <v>5927</v>
      </c>
      <c r="I385" t="s">
        <v>8112</v>
      </c>
      <c r="J385" t="s">
        <v>9066</v>
      </c>
      <c r="K385">
        <v>10304</v>
      </c>
      <c r="L385" t="s">
        <v>9094</v>
      </c>
      <c r="M385" t="s">
        <v>9094</v>
      </c>
      <c r="R385" t="s">
        <v>11181</v>
      </c>
      <c r="S385" t="s">
        <v>9096</v>
      </c>
      <c r="T385" t="s">
        <v>11183</v>
      </c>
      <c r="U385" t="s">
        <v>11201</v>
      </c>
      <c r="W385">
        <v>0</v>
      </c>
      <c r="X385" t="s">
        <v>11334</v>
      </c>
      <c r="Y385" t="s">
        <v>11337</v>
      </c>
      <c r="Z385" t="s">
        <v>11639</v>
      </c>
      <c r="AB385" t="s">
        <v>16117</v>
      </c>
      <c r="AC385">
        <v>0</v>
      </c>
      <c r="AD385" t="s">
        <v>15441</v>
      </c>
      <c r="AE385" t="s">
        <v>19580</v>
      </c>
      <c r="AF385">
        <v>0</v>
      </c>
      <c r="AG385">
        <v>1</v>
      </c>
      <c r="AH385">
        <v>0</v>
      </c>
      <c r="AI385">
        <v>0</v>
      </c>
      <c r="AJ385" t="s">
        <v>19591</v>
      </c>
      <c r="AK385" t="s">
        <v>19608</v>
      </c>
      <c r="AM385">
        <v>0</v>
      </c>
      <c r="AS385">
        <v>1.5</v>
      </c>
      <c r="AT385" t="s">
        <v>649</v>
      </c>
      <c r="AU385" t="s">
        <v>128</v>
      </c>
    </row>
    <row r="386" spans="1:48">
      <c r="A386" s="1">
        <f>HYPERLINK("https://lsnyc.legalserver.org/matter/dynamic-profile/view/1902273","19-1902273")</f>
        <v>0</v>
      </c>
      <c r="B386" t="s">
        <v>122</v>
      </c>
      <c r="C386" t="s">
        <v>257</v>
      </c>
      <c r="D386" t="s">
        <v>268</v>
      </c>
      <c r="E386" t="s">
        <v>481</v>
      </c>
      <c r="F386" t="s">
        <v>1390</v>
      </c>
      <c r="G386" t="s">
        <v>3570</v>
      </c>
      <c r="H386" t="s">
        <v>5928</v>
      </c>
      <c r="I386" t="s">
        <v>8129</v>
      </c>
      <c r="J386" t="s">
        <v>9066</v>
      </c>
      <c r="K386">
        <v>10303</v>
      </c>
      <c r="L386" t="s">
        <v>9094</v>
      </c>
      <c r="M386" t="s">
        <v>9095</v>
      </c>
      <c r="N386" t="s">
        <v>9271</v>
      </c>
      <c r="O386" t="s">
        <v>11128</v>
      </c>
      <c r="P386" t="s">
        <v>11165</v>
      </c>
      <c r="Q386" t="s">
        <v>11174</v>
      </c>
      <c r="R386" t="s">
        <v>11180</v>
      </c>
      <c r="S386" t="s">
        <v>9096</v>
      </c>
      <c r="T386" t="s">
        <v>11183</v>
      </c>
      <c r="U386" t="s">
        <v>11201</v>
      </c>
      <c r="V386" t="s">
        <v>268</v>
      </c>
      <c r="W386">
        <v>1800</v>
      </c>
      <c r="X386" t="s">
        <v>11334</v>
      </c>
      <c r="Y386" t="s">
        <v>11345</v>
      </c>
      <c r="Z386" t="s">
        <v>11640</v>
      </c>
      <c r="AA386" t="s">
        <v>15320</v>
      </c>
      <c r="AB386" t="s">
        <v>16118</v>
      </c>
      <c r="AC386">
        <v>1</v>
      </c>
      <c r="AD386" t="s">
        <v>19565</v>
      </c>
      <c r="AE386" t="s">
        <v>9144</v>
      </c>
      <c r="AF386">
        <v>1</v>
      </c>
      <c r="AG386">
        <v>1</v>
      </c>
      <c r="AH386">
        <v>4</v>
      </c>
      <c r="AI386">
        <v>0</v>
      </c>
      <c r="AL386" t="s">
        <v>19614</v>
      </c>
      <c r="AM386">
        <v>0</v>
      </c>
      <c r="AO386" t="s">
        <v>20290</v>
      </c>
      <c r="AP386" t="s">
        <v>20316</v>
      </c>
      <c r="AQ386" t="s">
        <v>20368</v>
      </c>
      <c r="AR386" t="s">
        <v>20389</v>
      </c>
      <c r="AS386">
        <v>4.5</v>
      </c>
      <c r="AT386" t="s">
        <v>481</v>
      </c>
      <c r="AU386" t="s">
        <v>20653</v>
      </c>
      <c r="AV386" t="s">
        <v>20734</v>
      </c>
    </row>
    <row r="387" spans="1:48">
      <c r="A387" s="1">
        <f>HYPERLINK("https://lsnyc.legalserver.org/matter/dynamic-profile/view/1913932","19-1913932")</f>
        <v>0</v>
      </c>
      <c r="B387" t="s">
        <v>125</v>
      </c>
      <c r="C387" t="s">
        <v>256</v>
      </c>
      <c r="D387" t="s">
        <v>377</v>
      </c>
      <c r="F387" t="s">
        <v>1391</v>
      </c>
      <c r="G387" t="s">
        <v>3571</v>
      </c>
      <c r="H387" t="s">
        <v>5929</v>
      </c>
      <c r="I387" t="s">
        <v>8251</v>
      </c>
      <c r="J387" t="s">
        <v>9066</v>
      </c>
      <c r="K387">
        <v>10301</v>
      </c>
      <c r="L387" t="s">
        <v>9095</v>
      </c>
      <c r="M387" t="s">
        <v>9095</v>
      </c>
      <c r="N387" t="s">
        <v>9272</v>
      </c>
      <c r="O387" t="s">
        <v>11128</v>
      </c>
      <c r="R387" t="s">
        <v>11180</v>
      </c>
      <c r="S387" t="s">
        <v>9096</v>
      </c>
      <c r="T387" t="s">
        <v>11183</v>
      </c>
      <c r="U387" t="s">
        <v>11201</v>
      </c>
      <c r="W387">
        <v>1040</v>
      </c>
      <c r="X387" t="s">
        <v>11334</v>
      </c>
      <c r="Y387" t="s">
        <v>11345</v>
      </c>
      <c r="Z387" t="s">
        <v>11641</v>
      </c>
      <c r="AB387" t="s">
        <v>16119</v>
      </c>
      <c r="AC387">
        <v>10</v>
      </c>
      <c r="AD387" t="s">
        <v>19565</v>
      </c>
      <c r="AE387" t="s">
        <v>9144</v>
      </c>
      <c r="AF387">
        <v>-1</v>
      </c>
      <c r="AG387">
        <v>2</v>
      </c>
      <c r="AH387">
        <v>0</v>
      </c>
      <c r="AI387">
        <v>0</v>
      </c>
      <c r="AL387" t="s">
        <v>19614</v>
      </c>
      <c r="AM387">
        <v>0</v>
      </c>
      <c r="AS387">
        <v>2.9</v>
      </c>
      <c r="AT387" t="s">
        <v>487</v>
      </c>
      <c r="AU387" t="s">
        <v>20653</v>
      </c>
    </row>
    <row r="388" spans="1:48">
      <c r="A388" s="1">
        <f>HYPERLINK("https://lsnyc.legalserver.org/matter/dynamic-profile/view/1873873","18-1873873")</f>
        <v>0</v>
      </c>
      <c r="B388" t="s">
        <v>128</v>
      </c>
      <c r="C388" t="s">
        <v>256</v>
      </c>
      <c r="D388" t="s">
        <v>489</v>
      </c>
      <c r="F388" t="s">
        <v>1392</v>
      </c>
      <c r="G388" t="s">
        <v>3572</v>
      </c>
      <c r="H388" t="s">
        <v>5930</v>
      </c>
      <c r="I388">
        <v>1</v>
      </c>
      <c r="J388" t="s">
        <v>9066</v>
      </c>
      <c r="K388">
        <v>10301</v>
      </c>
      <c r="L388" t="s">
        <v>9096</v>
      </c>
      <c r="M388" t="s">
        <v>9096</v>
      </c>
      <c r="N388" t="s">
        <v>9144</v>
      </c>
      <c r="O388" t="s">
        <v>9121</v>
      </c>
      <c r="P388" t="s">
        <v>11164</v>
      </c>
      <c r="R388" t="s">
        <v>11180</v>
      </c>
      <c r="S388" t="s">
        <v>9096</v>
      </c>
      <c r="T388" t="s">
        <v>11183</v>
      </c>
      <c r="U388" t="s">
        <v>11201</v>
      </c>
      <c r="V388" t="s">
        <v>489</v>
      </c>
      <c r="W388">
        <v>504</v>
      </c>
      <c r="X388" t="s">
        <v>11334</v>
      </c>
      <c r="Y388" t="s">
        <v>11346</v>
      </c>
      <c r="Z388" t="s">
        <v>11642</v>
      </c>
      <c r="AB388" t="s">
        <v>16120</v>
      </c>
      <c r="AC388">
        <v>3</v>
      </c>
      <c r="AD388" t="s">
        <v>19569</v>
      </c>
      <c r="AE388" t="s">
        <v>19580</v>
      </c>
      <c r="AF388">
        <v>3</v>
      </c>
      <c r="AG388">
        <v>1</v>
      </c>
      <c r="AH388">
        <v>2</v>
      </c>
      <c r="AI388">
        <v>0</v>
      </c>
      <c r="AL388" t="s">
        <v>19614</v>
      </c>
      <c r="AM388">
        <v>0</v>
      </c>
      <c r="AP388" t="s">
        <v>11157</v>
      </c>
      <c r="AR388" t="s">
        <v>20390</v>
      </c>
      <c r="AS388">
        <v>1</v>
      </c>
      <c r="AT388" t="s">
        <v>489</v>
      </c>
      <c r="AU388" t="s">
        <v>20623</v>
      </c>
    </row>
    <row r="389" spans="1:48">
      <c r="A389" s="1">
        <f>HYPERLINK("https://lsnyc.legalserver.org/matter/dynamic-profile/view/1882165","18-1882165")</f>
        <v>0</v>
      </c>
      <c r="B389" t="s">
        <v>129</v>
      </c>
      <c r="C389" t="s">
        <v>257</v>
      </c>
      <c r="D389" t="s">
        <v>490</v>
      </c>
      <c r="E389" t="s">
        <v>551</v>
      </c>
      <c r="F389" t="s">
        <v>1393</v>
      </c>
      <c r="G389" t="s">
        <v>3573</v>
      </c>
      <c r="H389" t="s">
        <v>5931</v>
      </c>
      <c r="I389" t="s">
        <v>8252</v>
      </c>
      <c r="J389" t="s">
        <v>9066</v>
      </c>
      <c r="K389">
        <v>10301</v>
      </c>
      <c r="L389" t="s">
        <v>9094</v>
      </c>
      <c r="M389" t="s">
        <v>9094</v>
      </c>
      <c r="N389" t="s">
        <v>9273</v>
      </c>
      <c r="O389" t="s">
        <v>11129</v>
      </c>
      <c r="P389" t="s">
        <v>11165</v>
      </c>
      <c r="Q389" t="s">
        <v>11174</v>
      </c>
      <c r="R389" t="s">
        <v>11180</v>
      </c>
      <c r="S389" t="s">
        <v>9096</v>
      </c>
      <c r="T389" t="s">
        <v>11183</v>
      </c>
      <c r="U389" t="s">
        <v>11201</v>
      </c>
      <c r="V389" t="s">
        <v>490</v>
      </c>
      <c r="W389">
        <v>1160</v>
      </c>
      <c r="X389" t="s">
        <v>11334</v>
      </c>
      <c r="Y389" t="s">
        <v>11345</v>
      </c>
      <c r="Z389" t="s">
        <v>11643</v>
      </c>
      <c r="AB389" t="s">
        <v>16121</v>
      </c>
      <c r="AC389">
        <v>122</v>
      </c>
      <c r="AD389" t="s">
        <v>19566</v>
      </c>
      <c r="AE389" t="s">
        <v>9144</v>
      </c>
      <c r="AF389">
        <v>5</v>
      </c>
      <c r="AG389">
        <v>1</v>
      </c>
      <c r="AH389">
        <v>1</v>
      </c>
      <c r="AI389">
        <v>0</v>
      </c>
      <c r="AL389" t="s">
        <v>19614</v>
      </c>
      <c r="AM389">
        <v>0</v>
      </c>
      <c r="AQ389" t="s">
        <v>20368</v>
      </c>
      <c r="AR389" t="s">
        <v>20391</v>
      </c>
      <c r="AS389">
        <v>9</v>
      </c>
      <c r="AT389" t="s">
        <v>611</v>
      </c>
      <c r="AU389" t="s">
        <v>20654</v>
      </c>
      <c r="AV389" t="s">
        <v>20733</v>
      </c>
    </row>
    <row r="390" spans="1:48">
      <c r="A390" s="1">
        <f>HYPERLINK("https://lsnyc.legalserver.org/matter/dynamic-profile/view/1891236","19-1891236")</f>
        <v>0</v>
      </c>
      <c r="B390" t="s">
        <v>122</v>
      </c>
      <c r="C390" t="s">
        <v>256</v>
      </c>
      <c r="D390" t="s">
        <v>491</v>
      </c>
      <c r="F390" t="s">
        <v>1394</v>
      </c>
      <c r="G390" t="s">
        <v>3574</v>
      </c>
      <c r="H390" t="s">
        <v>5932</v>
      </c>
      <c r="I390" t="s">
        <v>8124</v>
      </c>
      <c r="J390" t="s">
        <v>9066</v>
      </c>
      <c r="K390">
        <v>10301</v>
      </c>
      <c r="L390" t="s">
        <v>9094</v>
      </c>
      <c r="M390" t="s">
        <v>9094</v>
      </c>
      <c r="N390" t="s">
        <v>9274</v>
      </c>
      <c r="O390" t="s">
        <v>11129</v>
      </c>
      <c r="P390" t="s">
        <v>11165</v>
      </c>
      <c r="R390" t="s">
        <v>11180</v>
      </c>
      <c r="S390" t="s">
        <v>9096</v>
      </c>
      <c r="T390" t="s">
        <v>11183</v>
      </c>
      <c r="U390" t="s">
        <v>11199</v>
      </c>
      <c r="V390" t="s">
        <v>491</v>
      </c>
      <c r="W390">
        <v>1429.3</v>
      </c>
      <c r="X390" t="s">
        <v>11334</v>
      </c>
      <c r="Y390" t="s">
        <v>11338</v>
      </c>
      <c r="Z390" t="s">
        <v>11644</v>
      </c>
      <c r="AB390" t="s">
        <v>16122</v>
      </c>
      <c r="AC390">
        <v>2</v>
      </c>
      <c r="AD390" t="s">
        <v>19566</v>
      </c>
      <c r="AE390" t="s">
        <v>9144</v>
      </c>
      <c r="AF390">
        <v>10</v>
      </c>
      <c r="AG390">
        <v>1</v>
      </c>
      <c r="AH390">
        <v>0</v>
      </c>
      <c r="AI390">
        <v>0</v>
      </c>
      <c r="AL390" t="s">
        <v>19614</v>
      </c>
      <c r="AM390">
        <v>0</v>
      </c>
      <c r="AS390">
        <v>15.3</v>
      </c>
      <c r="AT390" t="s">
        <v>594</v>
      </c>
      <c r="AU390" t="s">
        <v>20652</v>
      </c>
      <c r="AV390" t="s">
        <v>20733</v>
      </c>
    </row>
    <row r="391" spans="1:48">
      <c r="A391" s="1">
        <f>HYPERLINK("https://lsnyc.legalserver.org/matter/dynamic-profile/view/1898486","19-1898486")</f>
        <v>0</v>
      </c>
      <c r="B391" t="s">
        <v>122</v>
      </c>
      <c r="C391" t="s">
        <v>257</v>
      </c>
      <c r="D391" t="s">
        <v>492</v>
      </c>
      <c r="E391" t="s">
        <v>329</v>
      </c>
      <c r="F391" t="s">
        <v>1346</v>
      </c>
      <c r="G391" t="s">
        <v>3177</v>
      </c>
      <c r="H391" t="s">
        <v>5933</v>
      </c>
      <c r="I391" t="s">
        <v>8253</v>
      </c>
      <c r="J391" t="s">
        <v>9066</v>
      </c>
      <c r="K391">
        <v>10301</v>
      </c>
      <c r="L391" t="s">
        <v>9094</v>
      </c>
      <c r="M391" t="s">
        <v>9094</v>
      </c>
      <c r="N391" t="s">
        <v>9275</v>
      </c>
      <c r="O391" t="s">
        <v>11129</v>
      </c>
      <c r="P391" t="s">
        <v>11165</v>
      </c>
      <c r="Q391" t="s">
        <v>11174</v>
      </c>
      <c r="R391" t="s">
        <v>11180</v>
      </c>
      <c r="S391" t="s">
        <v>9096</v>
      </c>
      <c r="T391" t="s">
        <v>11183</v>
      </c>
      <c r="U391" t="s">
        <v>11200</v>
      </c>
      <c r="V391" t="s">
        <v>492</v>
      </c>
      <c r="W391">
        <v>1300</v>
      </c>
      <c r="X391" t="s">
        <v>11334</v>
      </c>
      <c r="Y391" t="s">
        <v>11353</v>
      </c>
      <c r="Z391" t="s">
        <v>11645</v>
      </c>
      <c r="AB391" t="s">
        <v>16123</v>
      </c>
      <c r="AC391">
        <v>4</v>
      </c>
      <c r="AD391" t="s">
        <v>19566</v>
      </c>
      <c r="AE391" t="s">
        <v>9144</v>
      </c>
      <c r="AF391">
        <v>9</v>
      </c>
      <c r="AG391">
        <v>1</v>
      </c>
      <c r="AH391">
        <v>0</v>
      </c>
      <c r="AI391">
        <v>0</v>
      </c>
      <c r="AL391" t="s">
        <v>19614</v>
      </c>
      <c r="AM391">
        <v>0</v>
      </c>
      <c r="AO391" t="s">
        <v>20294</v>
      </c>
      <c r="AP391" t="s">
        <v>20309</v>
      </c>
      <c r="AQ391" t="s">
        <v>20369</v>
      </c>
      <c r="AR391" t="s">
        <v>20392</v>
      </c>
      <c r="AS391">
        <v>9.4</v>
      </c>
      <c r="AT391" t="s">
        <v>329</v>
      </c>
      <c r="AU391" t="s">
        <v>20653</v>
      </c>
      <c r="AV391" t="s">
        <v>20733</v>
      </c>
    </row>
    <row r="392" spans="1:48">
      <c r="A392" s="1">
        <f>HYPERLINK("https://lsnyc.legalserver.org/matter/dynamic-profile/view/1914073","19-1914073")</f>
        <v>0</v>
      </c>
      <c r="B392" t="s">
        <v>130</v>
      </c>
      <c r="C392" t="s">
        <v>256</v>
      </c>
      <c r="D392" t="s">
        <v>395</v>
      </c>
      <c r="F392" t="s">
        <v>1395</v>
      </c>
      <c r="G392" t="s">
        <v>3575</v>
      </c>
      <c r="H392" t="s">
        <v>5934</v>
      </c>
      <c r="I392" t="s">
        <v>8254</v>
      </c>
      <c r="J392" t="s">
        <v>9067</v>
      </c>
      <c r="K392">
        <v>10128</v>
      </c>
      <c r="L392" t="s">
        <v>9094</v>
      </c>
      <c r="M392" t="s">
        <v>9095</v>
      </c>
      <c r="P392" t="s">
        <v>11169</v>
      </c>
      <c r="R392" t="s">
        <v>11181</v>
      </c>
      <c r="S392" t="s">
        <v>9096</v>
      </c>
      <c r="T392" t="s">
        <v>11183</v>
      </c>
      <c r="V392" t="s">
        <v>331</v>
      </c>
      <c r="W392">
        <v>581.6</v>
      </c>
      <c r="X392" t="s">
        <v>11335</v>
      </c>
      <c r="Y392" t="s">
        <v>11337</v>
      </c>
      <c r="Z392" t="s">
        <v>11646</v>
      </c>
      <c r="AA392" t="s">
        <v>15321</v>
      </c>
      <c r="AB392" t="s">
        <v>16124</v>
      </c>
      <c r="AC392">
        <v>0</v>
      </c>
      <c r="AD392" t="s">
        <v>19573</v>
      </c>
      <c r="AE392" t="s">
        <v>9144</v>
      </c>
      <c r="AF392">
        <v>4</v>
      </c>
      <c r="AG392">
        <v>1</v>
      </c>
      <c r="AH392">
        <v>2</v>
      </c>
      <c r="AI392">
        <v>0</v>
      </c>
      <c r="AJ392" t="s">
        <v>19591</v>
      </c>
      <c r="AK392" t="s">
        <v>19608</v>
      </c>
      <c r="AL392" t="s">
        <v>19614</v>
      </c>
      <c r="AM392">
        <v>0</v>
      </c>
      <c r="AS392">
        <v>0.25</v>
      </c>
      <c r="AT392" t="s">
        <v>395</v>
      </c>
      <c r="AU392" t="s">
        <v>130</v>
      </c>
      <c r="AV392" t="s">
        <v>20733</v>
      </c>
    </row>
    <row r="393" spans="1:48">
      <c r="A393" s="1">
        <f>HYPERLINK("https://lsnyc.legalserver.org/matter/dynamic-profile/view/1910375","19-1910375")</f>
        <v>0</v>
      </c>
      <c r="B393" t="s">
        <v>131</v>
      </c>
      <c r="C393" t="s">
        <v>256</v>
      </c>
      <c r="D393" t="s">
        <v>446</v>
      </c>
      <c r="F393" t="s">
        <v>1396</v>
      </c>
      <c r="G393" t="s">
        <v>3576</v>
      </c>
      <c r="H393" t="s">
        <v>5935</v>
      </c>
      <c r="J393" t="s">
        <v>9067</v>
      </c>
      <c r="K393">
        <v>10065</v>
      </c>
      <c r="L393" t="s">
        <v>9094</v>
      </c>
      <c r="M393" t="s">
        <v>9095</v>
      </c>
      <c r="O393" t="s">
        <v>9121</v>
      </c>
      <c r="P393" t="s">
        <v>11169</v>
      </c>
      <c r="R393" t="s">
        <v>11180</v>
      </c>
      <c r="T393" t="s">
        <v>11183</v>
      </c>
      <c r="W393">
        <v>3500</v>
      </c>
      <c r="X393" t="s">
        <v>11335</v>
      </c>
      <c r="Y393" t="s">
        <v>11339</v>
      </c>
      <c r="Z393" t="s">
        <v>11647</v>
      </c>
      <c r="AC393">
        <v>0</v>
      </c>
      <c r="AD393" t="s">
        <v>19574</v>
      </c>
      <c r="AE393" t="s">
        <v>9144</v>
      </c>
      <c r="AF393">
        <v>9</v>
      </c>
      <c r="AG393">
        <v>1</v>
      </c>
      <c r="AH393">
        <v>0</v>
      </c>
      <c r="AI393">
        <v>0</v>
      </c>
      <c r="AL393" t="s">
        <v>19614</v>
      </c>
      <c r="AM393">
        <v>0</v>
      </c>
      <c r="AS393">
        <v>0</v>
      </c>
      <c r="AU393" t="s">
        <v>20655</v>
      </c>
      <c r="AV393" t="s">
        <v>9144</v>
      </c>
    </row>
    <row r="394" spans="1:48">
      <c r="A394" s="1">
        <f>HYPERLINK("https://lsnyc.legalserver.org/matter/dynamic-profile/view/1909283","19-1909283")</f>
        <v>0</v>
      </c>
      <c r="B394" t="s">
        <v>132</v>
      </c>
      <c r="C394" t="s">
        <v>256</v>
      </c>
      <c r="D394" t="s">
        <v>297</v>
      </c>
      <c r="F394" t="s">
        <v>1397</v>
      </c>
      <c r="G394" t="s">
        <v>3577</v>
      </c>
      <c r="H394" t="s">
        <v>5936</v>
      </c>
      <c r="I394" t="s">
        <v>8209</v>
      </c>
      <c r="J394" t="s">
        <v>9067</v>
      </c>
      <c r="K394">
        <v>10040</v>
      </c>
      <c r="L394" t="s">
        <v>9094</v>
      </c>
      <c r="M394" t="s">
        <v>9095</v>
      </c>
      <c r="N394" t="s">
        <v>9276</v>
      </c>
      <c r="O394" t="s">
        <v>11129</v>
      </c>
      <c r="P394" t="s">
        <v>11165</v>
      </c>
      <c r="R394" t="s">
        <v>11180</v>
      </c>
      <c r="S394" t="s">
        <v>9096</v>
      </c>
      <c r="T394" t="s">
        <v>11183</v>
      </c>
      <c r="V394" t="s">
        <v>297</v>
      </c>
      <c r="W394">
        <v>843.6</v>
      </c>
      <c r="X394" t="s">
        <v>11335</v>
      </c>
      <c r="Y394" t="s">
        <v>11340</v>
      </c>
      <c r="Z394" t="s">
        <v>11648</v>
      </c>
      <c r="AB394" t="s">
        <v>16125</v>
      </c>
      <c r="AC394">
        <v>42</v>
      </c>
      <c r="AD394" t="s">
        <v>19566</v>
      </c>
      <c r="AE394" t="s">
        <v>19587</v>
      </c>
      <c r="AF394">
        <v>24</v>
      </c>
      <c r="AG394">
        <v>1</v>
      </c>
      <c r="AH394">
        <v>0</v>
      </c>
      <c r="AI394">
        <v>0</v>
      </c>
      <c r="AL394" t="s">
        <v>19615</v>
      </c>
      <c r="AM394">
        <v>0</v>
      </c>
      <c r="AS394">
        <v>30.3</v>
      </c>
      <c r="AT394" t="s">
        <v>594</v>
      </c>
      <c r="AU394" t="s">
        <v>130</v>
      </c>
      <c r="AV394" t="s">
        <v>20733</v>
      </c>
    </row>
    <row r="395" spans="1:48">
      <c r="A395" s="1">
        <f>HYPERLINK("https://lsnyc.legalserver.org/matter/dynamic-profile/view/1909580","19-1909580")</f>
        <v>0</v>
      </c>
      <c r="B395" t="s">
        <v>133</v>
      </c>
      <c r="C395" t="s">
        <v>256</v>
      </c>
      <c r="D395" t="s">
        <v>273</v>
      </c>
      <c r="F395" t="s">
        <v>1397</v>
      </c>
      <c r="G395" t="s">
        <v>3577</v>
      </c>
      <c r="H395" t="s">
        <v>5936</v>
      </c>
      <c r="I395" t="s">
        <v>8209</v>
      </c>
      <c r="J395" t="s">
        <v>9067</v>
      </c>
      <c r="K395">
        <v>10040</v>
      </c>
      <c r="L395" t="s">
        <v>9094</v>
      </c>
      <c r="M395" t="s">
        <v>9095</v>
      </c>
      <c r="O395" t="s">
        <v>11133</v>
      </c>
      <c r="P395" t="s">
        <v>11167</v>
      </c>
      <c r="R395" t="s">
        <v>11180</v>
      </c>
      <c r="S395" t="s">
        <v>9096</v>
      </c>
      <c r="T395" t="s">
        <v>11183</v>
      </c>
      <c r="V395" t="s">
        <v>273</v>
      </c>
      <c r="W395">
        <v>843.6</v>
      </c>
      <c r="X395" t="s">
        <v>11335</v>
      </c>
      <c r="Y395" t="s">
        <v>11340</v>
      </c>
      <c r="Z395" t="s">
        <v>11648</v>
      </c>
      <c r="AB395" t="s">
        <v>16125</v>
      </c>
      <c r="AC395">
        <v>42</v>
      </c>
      <c r="AD395" t="s">
        <v>19566</v>
      </c>
      <c r="AE395" t="s">
        <v>19587</v>
      </c>
      <c r="AF395">
        <v>24</v>
      </c>
      <c r="AG395">
        <v>1</v>
      </c>
      <c r="AH395">
        <v>0</v>
      </c>
      <c r="AI395">
        <v>0</v>
      </c>
      <c r="AL395" t="s">
        <v>19615</v>
      </c>
      <c r="AM395">
        <v>0</v>
      </c>
      <c r="AS395">
        <v>1.4</v>
      </c>
      <c r="AT395" t="s">
        <v>286</v>
      </c>
      <c r="AU395" t="s">
        <v>130</v>
      </c>
      <c r="AV395" t="s">
        <v>20733</v>
      </c>
    </row>
    <row r="396" spans="1:48">
      <c r="A396" s="1">
        <f>HYPERLINK("https://lsnyc.legalserver.org/matter/dynamic-profile/view/1907584","19-1907584")</f>
        <v>0</v>
      </c>
      <c r="B396" t="s">
        <v>132</v>
      </c>
      <c r="C396" t="s">
        <v>257</v>
      </c>
      <c r="D396" t="s">
        <v>416</v>
      </c>
      <c r="E396" t="s">
        <v>341</v>
      </c>
      <c r="F396" t="s">
        <v>1398</v>
      </c>
      <c r="G396" t="s">
        <v>3510</v>
      </c>
      <c r="H396" t="s">
        <v>5937</v>
      </c>
      <c r="I396" t="s">
        <v>8255</v>
      </c>
      <c r="J396" t="s">
        <v>9067</v>
      </c>
      <c r="K396">
        <v>10040</v>
      </c>
      <c r="L396" t="s">
        <v>9094</v>
      </c>
      <c r="M396" t="s">
        <v>9095</v>
      </c>
      <c r="O396" t="s">
        <v>11136</v>
      </c>
      <c r="P396" t="s">
        <v>11164</v>
      </c>
      <c r="Q396" t="s">
        <v>11172</v>
      </c>
      <c r="R396" t="s">
        <v>11180</v>
      </c>
      <c r="S396" t="s">
        <v>9096</v>
      </c>
      <c r="T396" t="s">
        <v>11183</v>
      </c>
      <c r="V396" t="s">
        <v>416</v>
      </c>
      <c r="W396">
        <v>1013.38</v>
      </c>
      <c r="X396" t="s">
        <v>11335</v>
      </c>
      <c r="Y396" t="s">
        <v>11351</v>
      </c>
      <c r="Z396" t="s">
        <v>11649</v>
      </c>
      <c r="AB396" t="s">
        <v>16126</v>
      </c>
      <c r="AC396">
        <v>52</v>
      </c>
      <c r="AD396" t="s">
        <v>19566</v>
      </c>
      <c r="AE396" t="s">
        <v>9144</v>
      </c>
      <c r="AF396">
        <v>5</v>
      </c>
      <c r="AG396">
        <v>1</v>
      </c>
      <c r="AH396">
        <v>0</v>
      </c>
      <c r="AI396">
        <v>0</v>
      </c>
      <c r="AL396" t="s">
        <v>19615</v>
      </c>
      <c r="AM396">
        <v>0</v>
      </c>
      <c r="AS396">
        <v>2.9</v>
      </c>
      <c r="AT396" t="s">
        <v>341</v>
      </c>
      <c r="AU396" t="s">
        <v>130</v>
      </c>
      <c r="AV396" t="s">
        <v>20733</v>
      </c>
    </row>
    <row r="397" spans="1:48">
      <c r="A397" s="1">
        <f>HYPERLINK("https://lsnyc.legalserver.org/matter/dynamic-profile/view/1913119","19-1913119")</f>
        <v>0</v>
      </c>
      <c r="B397" t="s">
        <v>134</v>
      </c>
      <c r="C397" t="s">
        <v>256</v>
      </c>
      <c r="D397" t="s">
        <v>276</v>
      </c>
      <c r="F397" t="s">
        <v>1399</v>
      </c>
      <c r="G397" t="s">
        <v>3578</v>
      </c>
      <c r="H397" t="s">
        <v>5938</v>
      </c>
      <c r="I397" t="s">
        <v>8229</v>
      </c>
      <c r="J397" t="s">
        <v>9067</v>
      </c>
      <c r="K397">
        <v>10040</v>
      </c>
      <c r="L397" t="s">
        <v>9094</v>
      </c>
      <c r="M397" t="s">
        <v>9095</v>
      </c>
      <c r="P397" t="s">
        <v>11169</v>
      </c>
      <c r="R397" t="s">
        <v>11180</v>
      </c>
      <c r="S397" t="s">
        <v>9096</v>
      </c>
      <c r="T397" t="s">
        <v>11183</v>
      </c>
      <c r="V397" t="s">
        <v>276</v>
      </c>
      <c r="W397">
        <v>1075</v>
      </c>
      <c r="X397" t="s">
        <v>11335</v>
      </c>
      <c r="Y397" t="s">
        <v>11338</v>
      </c>
      <c r="Z397" t="s">
        <v>11650</v>
      </c>
      <c r="AB397" t="s">
        <v>16127</v>
      </c>
      <c r="AC397">
        <v>150</v>
      </c>
      <c r="AD397" t="s">
        <v>19566</v>
      </c>
      <c r="AE397" t="s">
        <v>9144</v>
      </c>
      <c r="AF397">
        <v>3</v>
      </c>
      <c r="AG397">
        <v>1</v>
      </c>
      <c r="AH397">
        <v>0</v>
      </c>
      <c r="AI397">
        <v>0</v>
      </c>
      <c r="AL397" t="s">
        <v>19614</v>
      </c>
      <c r="AM397">
        <v>0</v>
      </c>
      <c r="AS397">
        <v>1.8</v>
      </c>
      <c r="AT397" t="s">
        <v>496</v>
      </c>
      <c r="AU397" t="s">
        <v>130</v>
      </c>
      <c r="AV397" t="s">
        <v>20733</v>
      </c>
    </row>
    <row r="398" spans="1:48">
      <c r="A398" s="1">
        <f>HYPERLINK("https://lsnyc.legalserver.org/matter/dynamic-profile/view/1906412","19-1906412")</f>
        <v>0</v>
      </c>
      <c r="B398" t="s">
        <v>132</v>
      </c>
      <c r="C398" t="s">
        <v>257</v>
      </c>
      <c r="D398" t="s">
        <v>493</v>
      </c>
      <c r="E398" t="s">
        <v>341</v>
      </c>
      <c r="F398" t="s">
        <v>1400</v>
      </c>
      <c r="G398" t="s">
        <v>3579</v>
      </c>
      <c r="H398" t="s">
        <v>5939</v>
      </c>
      <c r="I398" t="s">
        <v>8256</v>
      </c>
      <c r="J398" t="s">
        <v>9067</v>
      </c>
      <c r="K398">
        <v>10038</v>
      </c>
      <c r="L398" t="s">
        <v>9094</v>
      </c>
      <c r="M398" t="s">
        <v>9095</v>
      </c>
      <c r="O398" t="s">
        <v>9121</v>
      </c>
      <c r="P398" t="s">
        <v>11164</v>
      </c>
      <c r="Q398" t="s">
        <v>11172</v>
      </c>
      <c r="R398" t="s">
        <v>11180</v>
      </c>
      <c r="S398" t="s">
        <v>9096</v>
      </c>
      <c r="T398" t="s">
        <v>11183</v>
      </c>
      <c r="V398" t="s">
        <v>493</v>
      </c>
      <c r="W398">
        <v>3200</v>
      </c>
      <c r="X398" t="s">
        <v>11335</v>
      </c>
      <c r="Y398" t="s">
        <v>11337</v>
      </c>
      <c r="Z398" t="s">
        <v>11651</v>
      </c>
      <c r="AB398" t="s">
        <v>16128</v>
      </c>
      <c r="AC398">
        <v>168</v>
      </c>
      <c r="AD398" t="s">
        <v>19566</v>
      </c>
      <c r="AE398" t="s">
        <v>9144</v>
      </c>
      <c r="AF398">
        <v>1</v>
      </c>
      <c r="AG398">
        <v>1</v>
      </c>
      <c r="AH398">
        <v>0</v>
      </c>
      <c r="AI398">
        <v>0</v>
      </c>
      <c r="AL398" t="s">
        <v>19614</v>
      </c>
      <c r="AM398">
        <v>0</v>
      </c>
      <c r="AS398">
        <v>4.8</v>
      </c>
      <c r="AT398" t="s">
        <v>341</v>
      </c>
      <c r="AU398" t="s">
        <v>130</v>
      </c>
      <c r="AV398" t="s">
        <v>20733</v>
      </c>
    </row>
    <row r="399" spans="1:48">
      <c r="A399" s="1">
        <f>HYPERLINK("https://lsnyc.legalserver.org/matter/dynamic-profile/view/1911887","19-1911887")</f>
        <v>0</v>
      </c>
      <c r="B399" t="s">
        <v>135</v>
      </c>
      <c r="C399" t="s">
        <v>256</v>
      </c>
      <c r="D399" t="s">
        <v>284</v>
      </c>
      <c r="F399" t="s">
        <v>1401</v>
      </c>
      <c r="G399" t="s">
        <v>3529</v>
      </c>
      <c r="H399" t="s">
        <v>5940</v>
      </c>
      <c r="I399" t="s">
        <v>8257</v>
      </c>
      <c r="J399" t="s">
        <v>9067</v>
      </c>
      <c r="K399">
        <v>10037</v>
      </c>
      <c r="L399" t="s">
        <v>9094</v>
      </c>
      <c r="M399" t="s">
        <v>9095</v>
      </c>
      <c r="O399" t="s">
        <v>9121</v>
      </c>
      <c r="P399" t="s">
        <v>11164</v>
      </c>
      <c r="R399" t="s">
        <v>11180</v>
      </c>
      <c r="S399" t="s">
        <v>9096</v>
      </c>
      <c r="T399" t="s">
        <v>11183</v>
      </c>
      <c r="U399" t="s">
        <v>11201</v>
      </c>
      <c r="V399" t="s">
        <v>294</v>
      </c>
      <c r="W399">
        <v>2052</v>
      </c>
      <c r="X399" t="s">
        <v>11335</v>
      </c>
      <c r="Y399" t="s">
        <v>11346</v>
      </c>
      <c r="Z399" t="s">
        <v>11652</v>
      </c>
      <c r="AB399" t="s">
        <v>16129</v>
      </c>
      <c r="AC399">
        <v>150</v>
      </c>
      <c r="AD399" t="s">
        <v>19566</v>
      </c>
      <c r="AE399" t="s">
        <v>9144</v>
      </c>
      <c r="AF399">
        <v>2</v>
      </c>
      <c r="AG399">
        <v>1</v>
      </c>
      <c r="AH399">
        <v>0</v>
      </c>
      <c r="AI399">
        <v>0</v>
      </c>
      <c r="AL399" t="s">
        <v>19614</v>
      </c>
      <c r="AM399">
        <v>0</v>
      </c>
      <c r="AS399">
        <v>3.5</v>
      </c>
      <c r="AT399" t="s">
        <v>294</v>
      </c>
      <c r="AU399" t="s">
        <v>20656</v>
      </c>
      <c r="AV399" t="s">
        <v>20733</v>
      </c>
    </row>
    <row r="400" spans="1:48">
      <c r="A400" s="1">
        <f>HYPERLINK("https://lsnyc.legalserver.org/matter/dynamic-profile/view/1888604","19-1888604")</f>
        <v>0</v>
      </c>
      <c r="B400" t="s">
        <v>136</v>
      </c>
      <c r="C400" t="s">
        <v>256</v>
      </c>
      <c r="D400" t="s">
        <v>494</v>
      </c>
      <c r="F400" t="s">
        <v>1402</v>
      </c>
      <c r="G400" t="s">
        <v>3580</v>
      </c>
      <c r="H400" t="s">
        <v>5941</v>
      </c>
      <c r="I400" t="s">
        <v>8153</v>
      </c>
      <c r="J400" t="s">
        <v>9067</v>
      </c>
      <c r="K400">
        <v>10035</v>
      </c>
      <c r="L400" t="s">
        <v>9094</v>
      </c>
      <c r="M400" t="s">
        <v>9094</v>
      </c>
      <c r="N400" t="s">
        <v>9277</v>
      </c>
      <c r="O400" t="s">
        <v>11129</v>
      </c>
      <c r="P400" t="s">
        <v>11165</v>
      </c>
      <c r="R400" t="s">
        <v>11180</v>
      </c>
      <c r="S400" t="s">
        <v>9096</v>
      </c>
      <c r="T400" t="s">
        <v>11183</v>
      </c>
      <c r="U400" t="s">
        <v>11202</v>
      </c>
      <c r="V400" t="s">
        <v>510</v>
      </c>
      <c r="W400">
        <v>1230</v>
      </c>
      <c r="X400" t="s">
        <v>11335</v>
      </c>
      <c r="Y400" t="s">
        <v>11339</v>
      </c>
      <c r="Z400" t="s">
        <v>11653</v>
      </c>
      <c r="AB400" t="s">
        <v>16130</v>
      </c>
      <c r="AC400">
        <v>54</v>
      </c>
      <c r="AD400" t="s">
        <v>19566</v>
      </c>
      <c r="AE400" t="s">
        <v>19580</v>
      </c>
      <c r="AF400">
        <v>1</v>
      </c>
      <c r="AG400">
        <v>1</v>
      </c>
      <c r="AH400">
        <v>1</v>
      </c>
      <c r="AI400">
        <v>0</v>
      </c>
      <c r="AL400" t="s">
        <v>19614</v>
      </c>
      <c r="AM400">
        <v>0</v>
      </c>
      <c r="AO400" t="s">
        <v>20294</v>
      </c>
      <c r="AP400" t="s">
        <v>20309</v>
      </c>
      <c r="AQ400" t="s">
        <v>20369</v>
      </c>
      <c r="AR400" t="s">
        <v>20393</v>
      </c>
      <c r="AS400">
        <v>40.6</v>
      </c>
      <c r="AT400" t="s">
        <v>664</v>
      </c>
      <c r="AU400" t="s">
        <v>20657</v>
      </c>
      <c r="AV400" t="s">
        <v>20733</v>
      </c>
    </row>
    <row r="401" spans="1:48">
      <c r="A401" s="1">
        <f>HYPERLINK("https://lsnyc.legalserver.org/matter/dynamic-profile/view/1896410","19-1896410")</f>
        <v>0</v>
      </c>
      <c r="B401" t="s">
        <v>137</v>
      </c>
      <c r="C401" t="s">
        <v>256</v>
      </c>
      <c r="D401" t="s">
        <v>300</v>
      </c>
      <c r="F401" t="s">
        <v>1227</v>
      </c>
      <c r="G401" t="s">
        <v>3581</v>
      </c>
      <c r="H401" t="s">
        <v>5942</v>
      </c>
      <c r="I401" t="s">
        <v>8258</v>
      </c>
      <c r="J401" t="s">
        <v>9067</v>
      </c>
      <c r="K401">
        <v>10034</v>
      </c>
      <c r="L401" t="s">
        <v>9094</v>
      </c>
      <c r="M401" t="s">
        <v>9095</v>
      </c>
      <c r="N401" t="s">
        <v>9278</v>
      </c>
      <c r="O401" t="s">
        <v>11128</v>
      </c>
      <c r="P401" t="s">
        <v>11169</v>
      </c>
      <c r="R401" t="s">
        <v>11180</v>
      </c>
      <c r="S401" t="s">
        <v>9096</v>
      </c>
      <c r="T401" t="s">
        <v>11183</v>
      </c>
      <c r="V401" t="s">
        <v>318</v>
      </c>
      <c r="W401">
        <v>0</v>
      </c>
      <c r="X401" t="s">
        <v>11335</v>
      </c>
      <c r="Y401" t="s">
        <v>11338</v>
      </c>
      <c r="Z401" t="s">
        <v>11654</v>
      </c>
      <c r="AB401" t="s">
        <v>16131</v>
      </c>
      <c r="AC401">
        <v>60</v>
      </c>
      <c r="AD401" t="s">
        <v>19566</v>
      </c>
      <c r="AE401" t="s">
        <v>9144</v>
      </c>
      <c r="AF401">
        <v>4</v>
      </c>
      <c r="AG401">
        <v>2</v>
      </c>
      <c r="AH401">
        <v>1</v>
      </c>
      <c r="AI401">
        <v>0</v>
      </c>
      <c r="AL401" t="s">
        <v>19615</v>
      </c>
      <c r="AM401">
        <v>0</v>
      </c>
      <c r="AS401">
        <v>1.2</v>
      </c>
      <c r="AT401" t="s">
        <v>318</v>
      </c>
      <c r="AU401" t="s">
        <v>20658</v>
      </c>
      <c r="AV401" t="s">
        <v>20733</v>
      </c>
    </row>
    <row r="402" spans="1:48">
      <c r="A402" s="1">
        <f>HYPERLINK("https://lsnyc.legalserver.org/matter/dynamic-profile/view/1871563","18-1871563")</f>
        <v>0</v>
      </c>
      <c r="B402" t="s">
        <v>138</v>
      </c>
      <c r="C402" t="s">
        <v>256</v>
      </c>
      <c r="D402" t="s">
        <v>389</v>
      </c>
      <c r="F402" t="s">
        <v>1403</v>
      </c>
      <c r="G402" t="s">
        <v>3582</v>
      </c>
      <c r="H402" t="s">
        <v>5943</v>
      </c>
      <c r="I402" t="s">
        <v>8259</v>
      </c>
      <c r="J402" t="s">
        <v>9067</v>
      </c>
      <c r="K402">
        <v>10034</v>
      </c>
      <c r="L402" t="s">
        <v>9094</v>
      </c>
      <c r="M402" t="s">
        <v>9094</v>
      </c>
      <c r="N402" t="s">
        <v>9279</v>
      </c>
      <c r="O402" t="s">
        <v>11130</v>
      </c>
      <c r="P402" t="s">
        <v>11165</v>
      </c>
      <c r="R402" t="s">
        <v>11180</v>
      </c>
      <c r="S402" t="s">
        <v>9094</v>
      </c>
      <c r="T402" t="s">
        <v>11183</v>
      </c>
      <c r="V402" t="s">
        <v>389</v>
      </c>
      <c r="W402">
        <v>2670</v>
      </c>
      <c r="X402" t="s">
        <v>11335</v>
      </c>
      <c r="Y402" t="s">
        <v>11338</v>
      </c>
      <c r="Z402" t="s">
        <v>11655</v>
      </c>
      <c r="AC402">
        <v>67</v>
      </c>
      <c r="AD402" t="s">
        <v>19566</v>
      </c>
      <c r="AE402" t="s">
        <v>9144</v>
      </c>
      <c r="AF402">
        <v>8</v>
      </c>
      <c r="AG402">
        <v>1</v>
      </c>
      <c r="AH402">
        <v>0</v>
      </c>
      <c r="AI402">
        <v>0</v>
      </c>
      <c r="AL402" t="s">
        <v>19614</v>
      </c>
      <c r="AM402">
        <v>0</v>
      </c>
      <c r="AS402">
        <v>3.3</v>
      </c>
      <c r="AT402" t="s">
        <v>296</v>
      </c>
      <c r="AU402" t="s">
        <v>130</v>
      </c>
      <c r="AV402" t="s">
        <v>20733</v>
      </c>
    </row>
    <row r="403" spans="1:48">
      <c r="A403" s="1">
        <f>HYPERLINK("https://lsnyc.legalserver.org/matter/dynamic-profile/view/1835700","17-1835700")</f>
        <v>0</v>
      </c>
      <c r="B403" t="s">
        <v>138</v>
      </c>
      <c r="C403" t="s">
        <v>256</v>
      </c>
      <c r="D403" t="s">
        <v>495</v>
      </c>
      <c r="F403" t="s">
        <v>1404</v>
      </c>
      <c r="G403" t="s">
        <v>3583</v>
      </c>
      <c r="H403" t="s">
        <v>5944</v>
      </c>
      <c r="I403">
        <v>33</v>
      </c>
      <c r="J403" t="s">
        <v>9067</v>
      </c>
      <c r="K403">
        <v>10034</v>
      </c>
      <c r="L403" t="s">
        <v>9094</v>
      </c>
      <c r="M403" t="s">
        <v>9095</v>
      </c>
      <c r="O403" t="s">
        <v>9121</v>
      </c>
      <c r="P403" t="s">
        <v>11166</v>
      </c>
      <c r="R403" t="s">
        <v>11180</v>
      </c>
      <c r="S403" t="s">
        <v>9096</v>
      </c>
      <c r="T403" t="s">
        <v>11183</v>
      </c>
      <c r="V403" t="s">
        <v>878</v>
      </c>
      <c r="W403">
        <v>1150</v>
      </c>
      <c r="X403" t="s">
        <v>11335</v>
      </c>
      <c r="Y403" t="s">
        <v>11338</v>
      </c>
      <c r="Z403" t="s">
        <v>11656</v>
      </c>
      <c r="AB403" t="s">
        <v>16132</v>
      </c>
      <c r="AC403">
        <v>12</v>
      </c>
      <c r="AD403" t="s">
        <v>19566</v>
      </c>
      <c r="AE403" t="s">
        <v>19582</v>
      </c>
      <c r="AF403">
        <v>3</v>
      </c>
      <c r="AG403">
        <v>1</v>
      </c>
      <c r="AH403">
        <v>4</v>
      </c>
      <c r="AI403">
        <v>0</v>
      </c>
      <c r="AL403" t="s">
        <v>19615</v>
      </c>
      <c r="AM403">
        <v>0</v>
      </c>
      <c r="AS403">
        <v>6.6</v>
      </c>
      <c r="AT403" t="s">
        <v>1121</v>
      </c>
      <c r="AU403" t="s">
        <v>20657</v>
      </c>
    </row>
    <row r="404" spans="1:48">
      <c r="A404" s="1">
        <f>HYPERLINK("https://lsnyc.legalserver.org/matter/dynamic-profile/view/1902035","19-1902035")</f>
        <v>0</v>
      </c>
      <c r="B404" t="s">
        <v>132</v>
      </c>
      <c r="C404" t="s">
        <v>257</v>
      </c>
      <c r="D404" t="s">
        <v>319</v>
      </c>
      <c r="E404" t="s">
        <v>497</v>
      </c>
      <c r="F404" t="s">
        <v>1405</v>
      </c>
      <c r="G404" t="s">
        <v>3533</v>
      </c>
      <c r="H404" t="s">
        <v>5945</v>
      </c>
      <c r="I404">
        <v>304</v>
      </c>
      <c r="J404" t="s">
        <v>9067</v>
      </c>
      <c r="K404">
        <v>10034</v>
      </c>
      <c r="L404" t="s">
        <v>9094</v>
      </c>
      <c r="M404" t="s">
        <v>9095</v>
      </c>
      <c r="O404" t="s">
        <v>9121</v>
      </c>
      <c r="P404" t="s">
        <v>11164</v>
      </c>
      <c r="Q404" t="s">
        <v>11172</v>
      </c>
      <c r="R404" t="s">
        <v>11180</v>
      </c>
      <c r="S404" t="s">
        <v>9096</v>
      </c>
      <c r="T404" t="s">
        <v>11183</v>
      </c>
      <c r="V404" t="s">
        <v>319</v>
      </c>
      <c r="W404">
        <v>1248.72</v>
      </c>
      <c r="X404" t="s">
        <v>11335</v>
      </c>
      <c r="Y404" t="s">
        <v>11338</v>
      </c>
      <c r="Z404" t="s">
        <v>11657</v>
      </c>
      <c r="AB404" t="s">
        <v>16133</v>
      </c>
      <c r="AC404">
        <v>73</v>
      </c>
      <c r="AD404" t="s">
        <v>19566</v>
      </c>
      <c r="AE404" t="s">
        <v>19587</v>
      </c>
      <c r="AF404">
        <v>45</v>
      </c>
      <c r="AG404">
        <v>2</v>
      </c>
      <c r="AH404">
        <v>3</v>
      </c>
      <c r="AI404">
        <v>0</v>
      </c>
      <c r="AL404" t="s">
        <v>19615</v>
      </c>
      <c r="AM404">
        <v>0</v>
      </c>
      <c r="AS404">
        <v>1.4</v>
      </c>
      <c r="AT404" t="s">
        <v>497</v>
      </c>
      <c r="AU404" t="s">
        <v>130</v>
      </c>
      <c r="AV404" t="s">
        <v>20733</v>
      </c>
    </row>
    <row r="405" spans="1:48">
      <c r="A405" s="1">
        <f>HYPERLINK("https://lsnyc.legalserver.org/matter/dynamic-profile/view/1896304","19-1896304")</f>
        <v>0</v>
      </c>
      <c r="B405" t="s">
        <v>139</v>
      </c>
      <c r="C405" t="s">
        <v>257</v>
      </c>
      <c r="D405" t="s">
        <v>300</v>
      </c>
      <c r="E405" t="s">
        <v>496</v>
      </c>
      <c r="F405" t="s">
        <v>1406</v>
      </c>
      <c r="G405" t="s">
        <v>3584</v>
      </c>
      <c r="H405" t="s">
        <v>5946</v>
      </c>
      <c r="I405" t="s">
        <v>8220</v>
      </c>
      <c r="J405" t="s">
        <v>9067</v>
      </c>
      <c r="K405">
        <v>10034</v>
      </c>
      <c r="L405" t="s">
        <v>9094</v>
      </c>
      <c r="M405" t="s">
        <v>9094</v>
      </c>
      <c r="N405" t="s">
        <v>9280</v>
      </c>
      <c r="O405" t="s">
        <v>11129</v>
      </c>
      <c r="P405" t="s">
        <v>11164</v>
      </c>
      <c r="Q405" t="s">
        <v>11172</v>
      </c>
      <c r="R405" t="s">
        <v>11180</v>
      </c>
      <c r="S405" t="s">
        <v>9096</v>
      </c>
      <c r="T405" t="s">
        <v>11183</v>
      </c>
      <c r="V405" t="s">
        <v>300</v>
      </c>
      <c r="W405">
        <v>1348.75</v>
      </c>
      <c r="X405" t="s">
        <v>11335</v>
      </c>
      <c r="Z405" t="s">
        <v>11391</v>
      </c>
      <c r="AB405" t="s">
        <v>16134</v>
      </c>
      <c r="AC405">
        <v>0</v>
      </c>
      <c r="AD405" t="s">
        <v>19566</v>
      </c>
      <c r="AF405">
        <v>21</v>
      </c>
      <c r="AG405">
        <v>1</v>
      </c>
      <c r="AH405">
        <v>0</v>
      </c>
      <c r="AI405">
        <v>0</v>
      </c>
      <c r="AL405" t="s">
        <v>19614</v>
      </c>
      <c r="AM405">
        <v>0</v>
      </c>
      <c r="AS405">
        <v>2</v>
      </c>
      <c r="AT405" t="s">
        <v>496</v>
      </c>
      <c r="AU405" t="s">
        <v>20658</v>
      </c>
    </row>
    <row r="406" spans="1:48">
      <c r="A406" s="1">
        <f>HYPERLINK("https://lsnyc.legalserver.org/matter/dynamic-profile/view/1896334","19-1896334")</f>
        <v>0</v>
      </c>
      <c r="B406" t="s">
        <v>137</v>
      </c>
      <c r="C406" t="s">
        <v>256</v>
      </c>
      <c r="D406" t="s">
        <v>300</v>
      </c>
      <c r="F406" t="s">
        <v>1407</v>
      </c>
      <c r="G406" t="s">
        <v>3585</v>
      </c>
      <c r="H406" t="s">
        <v>5947</v>
      </c>
      <c r="I406" t="s">
        <v>8200</v>
      </c>
      <c r="J406" t="s">
        <v>9067</v>
      </c>
      <c r="K406">
        <v>10034</v>
      </c>
      <c r="L406" t="s">
        <v>9095</v>
      </c>
      <c r="M406" t="s">
        <v>9095</v>
      </c>
      <c r="N406" t="s">
        <v>9281</v>
      </c>
      <c r="O406" t="s">
        <v>11129</v>
      </c>
      <c r="P406" t="s">
        <v>11169</v>
      </c>
      <c r="R406" t="s">
        <v>11180</v>
      </c>
      <c r="S406" t="s">
        <v>9096</v>
      </c>
      <c r="T406" t="s">
        <v>11183</v>
      </c>
      <c r="W406">
        <v>1250</v>
      </c>
      <c r="X406" t="s">
        <v>11335</v>
      </c>
      <c r="Y406" t="s">
        <v>11338</v>
      </c>
      <c r="Z406" t="s">
        <v>11658</v>
      </c>
      <c r="AC406">
        <v>0</v>
      </c>
      <c r="AD406" t="s">
        <v>19566</v>
      </c>
      <c r="AE406" t="s">
        <v>9144</v>
      </c>
      <c r="AF406">
        <v>13</v>
      </c>
      <c r="AG406">
        <v>1</v>
      </c>
      <c r="AH406">
        <v>0</v>
      </c>
      <c r="AI406">
        <v>0</v>
      </c>
      <c r="AL406" t="s">
        <v>19615</v>
      </c>
      <c r="AM406">
        <v>0</v>
      </c>
      <c r="AS406">
        <v>1</v>
      </c>
      <c r="AT406" t="s">
        <v>318</v>
      </c>
      <c r="AU406" t="s">
        <v>20658</v>
      </c>
    </row>
    <row r="407" spans="1:48">
      <c r="A407" s="1">
        <f>HYPERLINK("https://lsnyc.legalserver.org/matter/dynamic-profile/view/1914241","19-1914241")</f>
        <v>0</v>
      </c>
      <c r="B407" t="s">
        <v>137</v>
      </c>
      <c r="C407" t="s">
        <v>256</v>
      </c>
      <c r="D407" t="s">
        <v>496</v>
      </c>
      <c r="F407" t="s">
        <v>1408</v>
      </c>
      <c r="G407" t="s">
        <v>3586</v>
      </c>
      <c r="H407" t="s">
        <v>5948</v>
      </c>
      <c r="I407" t="s">
        <v>8260</v>
      </c>
      <c r="J407" t="s">
        <v>9067</v>
      </c>
      <c r="K407">
        <v>10034</v>
      </c>
      <c r="L407" t="s">
        <v>9094</v>
      </c>
      <c r="M407" t="s">
        <v>9095</v>
      </c>
      <c r="N407" t="s">
        <v>9282</v>
      </c>
      <c r="O407" t="s">
        <v>11129</v>
      </c>
      <c r="P407" t="s">
        <v>11169</v>
      </c>
      <c r="R407" t="s">
        <v>11180</v>
      </c>
      <c r="S407" t="s">
        <v>9096</v>
      </c>
      <c r="T407" t="s">
        <v>11183</v>
      </c>
      <c r="V407" t="s">
        <v>496</v>
      </c>
      <c r="W407">
        <v>664.25</v>
      </c>
      <c r="X407" t="s">
        <v>11335</v>
      </c>
      <c r="Y407" t="s">
        <v>11340</v>
      </c>
      <c r="Z407" t="s">
        <v>11659</v>
      </c>
      <c r="AB407" t="s">
        <v>16135</v>
      </c>
      <c r="AC407">
        <v>50</v>
      </c>
      <c r="AD407" t="s">
        <v>19566</v>
      </c>
      <c r="AE407" t="s">
        <v>9144</v>
      </c>
      <c r="AF407">
        <v>25</v>
      </c>
      <c r="AG407">
        <v>1</v>
      </c>
      <c r="AH407">
        <v>0</v>
      </c>
      <c r="AI407">
        <v>0</v>
      </c>
      <c r="AL407" t="s">
        <v>19614</v>
      </c>
      <c r="AM407">
        <v>0</v>
      </c>
      <c r="AS407">
        <v>0</v>
      </c>
      <c r="AU407" t="s">
        <v>130</v>
      </c>
      <c r="AV407" t="s">
        <v>20733</v>
      </c>
    </row>
    <row r="408" spans="1:48">
      <c r="A408" s="1">
        <f>HYPERLINK("https://lsnyc.legalserver.org/matter/dynamic-profile/view/1914976","19-1914976")</f>
        <v>0</v>
      </c>
      <c r="B408" t="s">
        <v>140</v>
      </c>
      <c r="C408" t="s">
        <v>256</v>
      </c>
      <c r="D408" t="s">
        <v>377</v>
      </c>
      <c r="F408" t="s">
        <v>1409</v>
      </c>
      <c r="G408" t="s">
        <v>3587</v>
      </c>
      <c r="H408" t="s">
        <v>5949</v>
      </c>
      <c r="I408">
        <v>201</v>
      </c>
      <c r="J408" t="s">
        <v>9067</v>
      </c>
      <c r="K408">
        <v>10034</v>
      </c>
      <c r="L408" t="s">
        <v>9094</v>
      </c>
      <c r="M408" t="s">
        <v>9095</v>
      </c>
      <c r="O408" t="s">
        <v>11129</v>
      </c>
      <c r="P408" t="s">
        <v>11165</v>
      </c>
      <c r="R408" t="s">
        <v>11180</v>
      </c>
      <c r="S408" t="s">
        <v>9096</v>
      </c>
      <c r="T408" t="s">
        <v>11183</v>
      </c>
      <c r="V408" t="s">
        <v>377</v>
      </c>
      <c r="W408">
        <v>1374</v>
      </c>
      <c r="X408" t="s">
        <v>11335</v>
      </c>
      <c r="Y408" t="s">
        <v>11340</v>
      </c>
      <c r="Z408" t="s">
        <v>11660</v>
      </c>
      <c r="AB408" t="s">
        <v>16136</v>
      </c>
      <c r="AC408">
        <v>0</v>
      </c>
      <c r="AD408" t="s">
        <v>19566</v>
      </c>
      <c r="AF408">
        <v>11</v>
      </c>
      <c r="AG408">
        <v>1</v>
      </c>
      <c r="AH408">
        <v>1</v>
      </c>
      <c r="AI408">
        <v>0</v>
      </c>
      <c r="AL408" t="s">
        <v>19615</v>
      </c>
      <c r="AM408">
        <v>0</v>
      </c>
      <c r="AS408">
        <v>0.5</v>
      </c>
      <c r="AT408" t="s">
        <v>487</v>
      </c>
      <c r="AU408" t="s">
        <v>130</v>
      </c>
      <c r="AV408" t="s">
        <v>20733</v>
      </c>
    </row>
    <row r="409" spans="1:48">
      <c r="A409" s="1">
        <f>HYPERLINK("https://lsnyc.legalserver.org/matter/dynamic-profile/view/1904691","19-1904691")</f>
        <v>0</v>
      </c>
      <c r="B409" t="s">
        <v>137</v>
      </c>
      <c r="C409" t="s">
        <v>256</v>
      </c>
      <c r="D409" t="s">
        <v>497</v>
      </c>
      <c r="F409" t="s">
        <v>1410</v>
      </c>
      <c r="G409" t="s">
        <v>3588</v>
      </c>
      <c r="H409" t="s">
        <v>5950</v>
      </c>
      <c r="I409">
        <v>5</v>
      </c>
      <c r="J409" t="s">
        <v>9067</v>
      </c>
      <c r="K409">
        <v>10034</v>
      </c>
      <c r="L409" t="s">
        <v>9094</v>
      </c>
      <c r="M409" t="s">
        <v>9095</v>
      </c>
      <c r="P409" t="s">
        <v>11169</v>
      </c>
      <c r="R409" t="s">
        <v>11180</v>
      </c>
      <c r="S409" t="s">
        <v>9094</v>
      </c>
      <c r="T409" t="s">
        <v>11183</v>
      </c>
      <c r="V409" t="s">
        <v>497</v>
      </c>
      <c r="W409">
        <v>961.8200000000001</v>
      </c>
      <c r="X409" t="s">
        <v>11335</v>
      </c>
      <c r="Y409" t="s">
        <v>11338</v>
      </c>
      <c r="Z409" t="s">
        <v>11661</v>
      </c>
      <c r="AC409">
        <v>25</v>
      </c>
      <c r="AD409" t="s">
        <v>19566</v>
      </c>
      <c r="AE409" t="s">
        <v>9144</v>
      </c>
      <c r="AF409">
        <v>30</v>
      </c>
      <c r="AG409">
        <v>1</v>
      </c>
      <c r="AH409">
        <v>0</v>
      </c>
      <c r="AI409">
        <v>0</v>
      </c>
      <c r="AL409" t="s">
        <v>19614</v>
      </c>
      <c r="AM409">
        <v>0</v>
      </c>
      <c r="AS409">
        <v>0</v>
      </c>
      <c r="AU409" t="s">
        <v>130</v>
      </c>
      <c r="AV409" t="s">
        <v>20733</v>
      </c>
    </row>
    <row r="410" spans="1:48">
      <c r="A410" s="1">
        <f>HYPERLINK("https://lsnyc.legalserver.org/matter/dynamic-profile/view/1904716","19-1904716")</f>
        <v>0</v>
      </c>
      <c r="B410" t="s">
        <v>137</v>
      </c>
      <c r="C410" t="s">
        <v>256</v>
      </c>
      <c r="D410" t="s">
        <v>497</v>
      </c>
      <c r="F410" t="s">
        <v>1292</v>
      </c>
      <c r="G410" t="s">
        <v>3589</v>
      </c>
      <c r="H410" t="s">
        <v>5950</v>
      </c>
      <c r="I410">
        <v>41</v>
      </c>
      <c r="J410" t="s">
        <v>9067</v>
      </c>
      <c r="K410">
        <v>10034</v>
      </c>
      <c r="L410" t="s">
        <v>9094</v>
      </c>
      <c r="M410" t="s">
        <v>9095</v>
      </c>
      <c r="P410" t="s">
        <v>11169</v>
      </c>
      <c r="R410" t="s">
        <v>11180</v>
      </c>
      <c r="S410" t="s">
        <v>9094</v>
      </c>
      <c r="T410" t="s">
        <v>11183</v>
      </c>
      <c r="V410" t="s">
        <v>497</v>
      </c>
      <c r="W410">
        <v>910</v>
      </c>
      <c r="X410" t="s">
        <v>11335</v>
      </c>
      <c r="Y410" t="s">
        <v>11338</v>
      </c>
      <c r="Z410" t="s">
        <v>11662</v>
      </c>
      <c r="AC410">
        <v>25</v>
      </c>
      <c r="AD410" t="s">
        <v>19566</v>
      </c>
      <c r="AE410" t="s">
        <v>19582</v>
      </c>
      <c r="AF410">
        <v>40</v>
      </c>
      <c r="AG410">
        <v>6</v>
      </c>
      <c r="AH410">
        <v>0</v>
      </c>
      <c r="AI410">
        <v>0</v>
      </c>
      <c r="AL410" t="s">
        <v>19614</v>
      </c>
      <c r="AM410">
        <v>0</v>
      </c>
      <c r="AS410">
        <v>0</v>
      </c>
      <c r="AU410" t="s">
        <v>130</v>
      </c>
      <c r="AV410" t="s">
        <v>20733</v>
      </c>
    </row>
    <row r="411" spans="1:48">
      <c r="A411" s="1">
        <f>HYPERLINK("https://lsnyc.legalserver.org/matter/dynamic-profile/view/1906999","19-1906999")</f>
        <v>0</v>
      </c>
      <c r="B411" t="s">
        <v>137</v>
      </c>
      <c r="C411" t="s">
        <v>256</v>
      </c>
      <c r="D411" t="s">
        <v>498</v>
      </c>
      <c r="F411" t="s">
        <v>1411</v>
      </c>
      <c r="G411" t="s">
        <v>3590</v>
      </c>
      <c r="H411" t="s">
        <v>5951</v>
      </c>
      <c r="I411">
        <v>25</v>
      </c>
      <c r="J411" t="s">
        <v>9067</v>
      </c>
      <c r="K411">
        <v>10034</v>
      </c>
      <c r="L411" t="s">
        <v>9094</v>
      </c>
      <c r="M411" t="s">
        <v>9095</v>
      </c>
      <c r="P411" t="s">
        <v>11169</v>
      </c>
      <c r="R411" t="s">
        <v>11180</v>
      </c>
      <c r="S411" t="s">
        <v>9096</v>
      </c>
      <c r="T411" t="s">
        <v>11183</v>
      </c>
      <c r="V411" t="s">
        <v>498</v>
      </c>
      <c r="W411">
        <v>1138</v>
      </c>
      <c r="X411" t="s">
        <v>11335</v>
      </c>
      <c r="Y411" t="s">
        <v>11338</v>
      </c>
      <c r="Z411" t="s">
        <v>11663</v>
      </c>
      <c r="AB411" t="s">
        <v>16137</v>
      </c>
      <c r="AC411">
        <v>26</v>
      </c>
      <c r="AD411" t="s">
        <v>19566</v>
      </c>
      <c r="AE411" t="s">
        <v>9144</v>
      </c>
      <c r="AF411">
        <v>45</v>
      </c>
      <c r="AG411">
        <v>1</v>
      </c>
      <c r="AH411">
        <v>0</v>
      </c>
      <c r="AI411">
        <v>0</v>
      </c>
      <c r="AL411" t="s">
        <v>19614</v>
      </c>
      <c r="AM411">
        <v>0</v>
      </c>
      <c r="AS411">
        <v>2.9</v>
      </c>
      <c r="AT411" t="s">
        <v>549</v>
      </c>
      <c r="AU411" t="s">
        <v>130</v>
      </c>
      <c r="AV411" t="s">
        <v>20733</v>
      </c>
    </row>
    <row r="412" spans="1:48">
      <c r="A412" s="1">
        <f>HYPERLINK("https://lsnyc.legalserver.org/matter/dynamic-profile/view/1914157","19-1914157")</f>
        <v>0</v>
      </c>
      <c r="B412" t="s">
        <v>137</v>
      </c>
      <c r="C412" t="s">
        <v>256</v>
      </c>
      <c r="D412" t="s">
        <v>395</v>
      </c>
      <c r="F412" t="s">
        <v>1146</v>
      </c>
      <c r="G412" t="s">
        <v>3591</v>
      </c>
      <c r="H412" t="s">
        <v>5943</v>
      </c>
      <c r="I412" t="s">
        <v>8261</v>
      </c>
      <c r="J412" t="s">
        <v>9067</v>
      </c>
      <c r="K412">
        <v>10034</v>
      </c>
      <c r="L412" t="s">
        <v>9095</v>
      </c>
      <c r="M412" t="s">
        <v>9095</v>
      </c>
      <c r="P412" t="s">
        <v>11169</v>
      </c>
      <c r="R412" t="s">
        <v>11180</v>
      </c>
      <c r="S412" t="s">
        <v>9096</v>
      </c>
      <c r="T412" t="s">
        <v>11183</v>
      </c>
      <c r="W412">
        <v>0</v>
      </c>
      <c r="X412" t="s">
        <v>11335</v>
      </c>
      <c r="Z412" t="s">
        <v>11664</v>
      </c>
      <c r="AB412" t="s">
        <v>16138</v>
      </c>
      <c r="AC412">
        <v>0</v>
      </c>
      <c r="AD412" t="s">
        <v>19566</v>
      </c>
      <c r="AF412">
        <v>0</v>
      </c>
      <c r="AG412">
        <v>1</v>
      </c>
      <c r="AH412">
        <v>0</v>
      </c>
      <c r="AI412">
        <v>0</v>
      </c>
      <c r="AL412" t="s">
        <v>19615</v>
      </c>
      <c r="AM412">
        <v>0</v>
      </c>
      <c r="AS412">
        <v>0</v>
      </c>
      <c r="AU412" t="s">
        <v>130</v>
      </c>
    </row>
    <row r="413" spans="1:48">
      <c r="A413" s="1">
        <f>HYPERLINK("https://lsnyc.legalserver.org/matter/dynamic-profile/view/1897898","19-1897898")</f>
        <v>0</v>
      </c>
      <c r="B413" t="s">
        <v>141</v>
      </c>
      <c r="C413" t="s">
        <v>256</v>
      </c>
      <c r="D413" t="s">
        <v>499</v>
      </c>
      <c r="F413" t="s">
        <v>1412</v>
      </c>
      <c r="G413" t="s">
        <v>3592</v>
      </c>
      <c r="H413" t="s">
        <v>5952</v>
      </c>
      <c r="I413" t="s">
        <v>8262</v>
      </c>
      <c r="J413" t="s">
        <v>9067</v>
      </c>
      <c r="K413">
        <v>10033</v>
      </c>
      <c r="L413" t="s">
        <v>9094</v>
      </c>
      <c r="M413" t="s">
        <v>9094</v>
      </c>
      <c r="N413" t="s">
        <v>9283</v>
      </c>
      <c r="O413" t="s">
        <v>11134</v>
      </c>
      <c r="P413" t="s">
        <v>11165</v>
      </c>
      <c r="R413" t="s">
        <v>11180</v>
      </c>
      <c r="S413" t="s">
        <v>9096</v>
      </c>
      <c r="T413" t="s">
        <v>11183</v>
      </c>
      <c r="V413" t="s">
        <v>499</v>
      </c>
      <c r="W413">
        <v>2100</v>
      </c>
      <c r="X413" t="s">
        <v>11335</v>
      </c>
      <c r="Y413" t="s">
        <v>11340</v>
      </c>
      <c r="Z413" t="s">
        <v>11665</v>
      </c>
      <c r="AB413" t="s">
        <v>16139</v>
      </c>
      <c r="AC413">
        <v>0</v>
      </c>
      <c r="AD413" t="s">
        <v>19566</v>
      </c>
      <c r="AE413" t="s">
        <v>9144</v>
      </c>
      <c r="AF413">
        <v>37</v>
      </c>
      <c r="AG413">
        <v>2</v>
      </c>
      <c r="AH413">
        <v>1</v>
      </c>
      <c r="AI413">
        <v>0</v>
      </c>
      <c r="AL413" t="s">
        <v>19614</v>
      </c>
      <c r="AM413">
        <v>0</v>
      </c>
      <c r="AS413">
        <v>0</v>
      </c>
      <c r="AU413" t="s">
        <v>130</v>
      </c>
    </row>
    <row r="414" spans="1:48">
      <c r="A414" s="1">
        <f>HYPERLINK("https://lsnyc.legalserver.org/matter/dynamic-profile/view/1876735","18-1876735")</f>
        <v>0</v>
      </c>
      <c r="B414" t="s">
        <v>132</v>
      </c>
      <c r="C414" t="s">
        <v>257</v>
      </c>
      <c r="D414" t="s">
        <v>500</v>
      </c>
      <c r="E414" t="s">
        <v>331</v>
      </c>
      <c r="F414" t="s">
        <v>1413</v>
      </c>
      <c r="G414" t="s">
        <v>3593</v>
      </c>
      <c r="H414" t="s">
        <v>5953</v>
      </c>
      <c r="I414" t="s">
        <v>8263</v>
      </c>
      <c r="J414" t="s">
        <v>9067</v>
      </c>
      <c r="K414">
        <v>10033</v>
      </c>
      <c r="L414" t="s">
        <v>9094</v>
      </c>
      <c r="M414" t="s">
        <v>9094</v>
      </c>
      <c r="O414" t="s">
        <v>11130</v>
      </c>
      <c r="P414" t="s">
        <v>11165</v>
      </c>
      <c r="Q414" t="s">
        <v>11178</v>
      </c>
      <c r="R414" t="s">
        <v>11180</v>
      </c>
      <c r="S414" t="s">
        <v>9094</v>
      </c>
      <c r="T414" t="s">
        <v>11183</v>
      </c>
      <c r="V414" t="s">
        <v>500</v>
      </c>
      <c r="W414">
        <v>1783.78</v>
      </c>
      <c r="X414" t="s">
        <v>11335</v>
      </c>
      <c r="Y414" t="s">
        <v>11338</v>
      </c>
      <c r="Z414" t="s">
        <v>11666</v>
      </c>
      <c r="AB414" t="s">
        <v>16140</v>
      </c>
      <c r="AC414">
        <v>232</v>
      </c>
      <c r="AD414" t="s">
        <v>19566</v>
      </c>
      <c r="AE414" t="s">
        <v>9144</v>
      </c>
      <c r="AF414">
        <v>6</v>
      </c>
      <c r="AG414">
        <v>2</v>
      </c>
      <c r="AH414">
        <v>3</v>
      </c>
      <c r="AI414">
        <v>0</v>
      </c>
      <c r="AL414" t="s">
        <v>19615</v>
      </c>
      <c r="AM414">
        <v>0</v>
      </c>
      <c r="AS414">
        <v>0.9</v>
      </c>
      <c r="AT414" t="s">
        <v>521</v>
      </c>
      <c r="AU414" t="s">
        <v>130</v>
      </c>
      <c r="AV414" t="s">
        <v>20733</v>
      </c>
    </row>
    <row r="415" spans="1:48">
      <c r="A415" s="1">
        <f>HYPERLINK("https://lsnyc.legalserver.org/matter/dynamic-profile/view/1876150","18-1876150")</f>
        <v>0</v>
      </c>
      <c r="B415" t="s">
        <v>138</v>
      </c>
      <c r="C415" t="s">
        <v>256</v>
      </c>
      <c r="D415" t="s">
        <v>501</v>
      </c>
      <c r="F415" t="s">
        <v>1414</v>
      </c>
      <c r="G415" t="s">
        <v>2750</v>
      </c>
      <c r="H415" t="s">
        <v>5954</v>
      </c>
      <c r="I415" t="s">
        <v>8153</v>
      </c>
      <c r="J415" t="s">
        <v>9067</v>
      </c>
      <c r="K415">
        <v>10033</v>
      </c>
      <c r="L415" t="s">
        <v>9094</v>
      </c>
      <c r="M415" t="s">
        <v>9094</v>
      </c>
      <c r="N415" t="s">
        <v>9284</v>
      </c>
      <c r="O415" t="s">
        <v>11129</v>
      </c>
      <c r="P415" t="s">
        <v>11165</v>
      </c>
      <c r="R415" t="s">
        <v>11180</v>
      </c>
      <c r="S415" t="s">
        <v>9096</v>
      </c>
      <c r="T415" t="s">
        <v>11183</v>
      </c>
      <c r="V415" t="s">
        <v>501</v>
      </c>
      <c r="W415">
        <v>1244</v>
      </c>
      <c r="X415" t="s">
        <v>11335</v>
      </c>
      <c r="Y415" t="s">
        <v>11338</v>
      </c>
      <c r="Z415" t="s">
        <v>11667</v>
      </c>
      <c r="AB415" t="s">
        <v>16141</v>
      </c>
      <c r="AC415">
        <v>37</v>
      </c>
      <c r="AD415" t="s">
        <v>19566</v>
      </c>
      <c r="AE415" t="s">
        <v>9144</v>
      </c>
      <c r="AF415">
        <v>30</v>
      </c>
      <c r="AG415">
        <v>1</v>
      </c>
      <c r="AH415">
        <v>0</v>
      </c>
      <c r="AI415">
        <v>0</v>
      </c>
      <c r="AL415" t="s">
        <v>19615</v>
      </c>
      <c r="AM415">
        <v>0</v>
      </c>
      <c r="AS415">
        <v>54.45</v>
      </c>
      <c r="AT415" t="s">
        <v>1130</v>
      </c>
      <c r="AU415" t="s">
        <v>130</v>
      </c>
      <c r="AV415" t="s">
        <v>20733</v>
      </c>
    </row>
    <row r="416" spans="1:48">
      <c r="A416" s="1">
        <f>HYPERLINK("https://lsnyc.legalserver.org/matter/dynamic-profile/view/1894615","19-1894615")</f>
        <v>0</v>
      </c>
      <c r="B416" t="s">
        <v>134</v>
      </c>
      <c r="C416" t="s">
        <v>256</v>
      </c>
      <c r="D416" t="s">
        <v>502</v>
      </c>
      <c r="F416" t="s">
        <v>1415</v>
      </c>
      <c r="G416" t="s">
        <v>3479</v>
      </c>
      <c r="H416" t="s">
        <v>5955</v>
      </c>
      <c r="I416" t="s">
        <v>8124</v>
      </c>
      <c r="J416" t="s">
        <v>9067</v>
      </c>
      <c r="K416">
        <v>10033</v>
      </c>
      <c r="L416" t="s">
        <v>9094</v>
      </c>
      <c r="M416" t="s">
        <v>9094</v>
      </c>
      <c r="N416" t="s">
        <v>9285</v>
      </c>
      <c r="O416" t="s">
        <v>11129</v>
      </c>
      <c r="P416" t="s">
        <v>11165</v>
      </c>
      <c r="R416" t="s">
        <v>11180</v>
      </c>
      <c r="S416" t="s">
        <v>9096</v>
      </c>
      <c r="T416" t="s">
        <v>11183</v>
      </c>
      <c r="V416" t="s">
        <v>502</v>
      </c>
      <c r="W416">
        <v>1254.42</v>
      </c>
      <c r="X416" t="s">
        <v>11335</v>
      </c>
      <c r="Y416" t="s">
        <v>11336</v>
      </c>
      <c r="Z416" t="s">
        <v>11668</v>
      </c>
      <c r="AA416" t="s">
        <v>15322</v>
      </c>
      <c r="AB416" t="s">
        <v>16142</v>
      </c>
      <c r="AC416">
        <v>26</v>
      </c>
      <c r="AD416" t="s">
        <v>19566</v>
      </c>
      <c r="AE416" t="s">
        <v>9144</v>
      </c>
      <c r="AF416">
        <v>4</v>
      </c>
      <c r="AG416">
        <v>1</v>
      </c>
      <c r="AH416">
        <v>3</v>
      </c>
      <c r="AI416">
        <v>0</v>
      </c>
      <c r="AL416" t="s">
        <v>19615</v>
      </c>
      <c r="AM416">
        <v>0</v>
      </c>
      <c r="AS416">
        <v>30.05</v>
      </c>
      <c r="AT416" t="s">
        <v>612</v>
      </c>
      <c r="AU416" t="s">
        <v>20659</v>
      </c>
      <c r="AV416" t="s">
        <v>20733</v>
      </c>
    </row>
    <row r="417" spans="1:48">
      <c r="A417" s="1">
        <f>HYPERLINK("https://lsnyc.legalserver.org/matter/dynamic-profile/view/1907052","19-1907052")</f>
        <v>0</v>
      </c>
      <c r="B417" t="s">
        <v>137</v>
      </c>
      <c r="C417" t="s">
        <v>256</v>
      </c>
      <c r="D417" t="s">
        <v>498</v>
      </c>
      <c r="F417" t="s">
        <v>1416</v>
      </c>
      <c r="G417" t="s">
        <v>3594</v>
      </c>
      <c r="H417" t="s">
        <v>5956</v>
      </c>
      <c r="I417" t="s">
        <v>8264</v>
      </c>
      <c r="J417" t="s">
        <v>9067</v>
      </c>
      <c r="K417">
        <v>10032</v>
      </c>
      <c r="L417" t="s">
        <v>9094</v>
      </c>
      <c r="M417" t="s">
        <v>9095</v>
      </c>
      <c r="N417" t="s">
        <v>9286</v>
      </c>
      <c r="O417" t="s">
        <v>11129</v>
      </c>
      <c r="P417" t="s">
        <v>11169</v>
      </c>
      <c r="R417" t="s">
        <v>11180</v>
      </c>
      <c r="S417" t="s">
        <v>9096</v>
      </c>
      <c r="T417" t="s">
        <v>11183</v>
      </c>
      <c r="V417" t="s">
        <v>498</v>
      </c>
      <c r="W417">
        <v>918.5599999999999</v>
      </c>
      <c r="X417" t="s">
        <v>11335</v>
      </c>
      <c r="Y417" t="s">
        <v>11338</v>
      </c>
      <c r="Z417" t="s">
        <v>11669</v>
      </c>
      <c r="AB417" t="s">
        <v>16143</v>
      </c>
      <c r="AC417">
        <v>46</v>
      </c>
      <c r="AD417" t="s">
        <v>19566</v>
      </c>
      <c r="AE417" t="s">
        <v>9144</v>
      </c>
      <c r="AF417">
        <v>30</v>
      </c>
      <c r="AG417">
        <v>1</v>
      </c>
      <c r="AH417">
        <v>0</v>
      </c>
      <c r="AI417">
        <v>0</v>
      </c>
      <c r="AL417" t="s">
        <v>19614</v>
      </c>
      <c r="AM417">
        <v>0</v>
      </c>
      <c r="AS417">
        <v>2</v>
      </c>
      <c r="AT417" t="s">
        <v>899</v>
      </c>
      <c r="AU417" t="s">
        <v>130</v>
      </c>
      <c r="AV417" t="s">
        <v>20733</v>
      </c>
    </row>
    <row r="418" spans="1:48">
      <c r="A418" s="1">
        <f>HYPERLINK("https://lsnyc.legalserver.org/matter/dynamic-profile/view/1909408","19-1909408")</f>
        <v>0</v>
      </c>
      <c r="B418" t="s">
        <v>133</v>
      </c>
      <c r="C418" t="s">
        <v>256</v>
      </c>
      <c r="D418" t="s">
        <v>339</v>
      </c>
      <c r="F418" t="s">
        <v>1417</v>
      </c>
      <c r="G418" t="s">
        <v>3595</v>
      </c>
      <c r="H418" t="s">
        <v>5957</v>
      </c>
      <c r="I418" t="s">
        <v>8265</v>
      </c>
      <c r="J418" t="s">
        <v>9067</v>
      </c>
      <c r="K418">
        <v>10032</v>
      </c>
      <c r="L418" t="s">
        <v>9094</v>
      </c>
      <c r="M418" t="s">
        <v>9095</v>
      </c>
      <c r="O418" t="s">
        <v>11138</v>
      </c>
      <c r="P418" t="s">
        <v>11167</v>
      </c>
      <c r="R418" t="s">
        <v>11180</v>
      </c>
      <c r="S418" t="s">
        <v>9096</v>
      </c>
      <c r="T418" t="s">
        <v>11183</v>
      </c>
      <c r="W418">
        <v>858.16</v>
      </c>
      <c r="X418" t="s">
        <v>11335</v>
      </c>
      <c r="Y418" t="s">
        <v>11340</v>
      </c>
      <c r="Z418" t="s">
        <v>11670</v>
      </c>
      <c r="AB418" t="s">
        <v>16144</v>
      </c>
      <c r="AC418">
        <v>42</v>
      </c>
      <c r="AD418" t="s">
        <v>19566</v>
      </c>
      <c r="AE418" t="s">
        <v>19582</v>
      </c>
      <c r="AF418">
        <v>35</v>
      </c>
      <c r="AG418">
        <v>1</v>
      </c>
      <c r="AH418">
        <v>1</v>
      </c>
      <c r="AI418">
        <v>0</v>
      </c>
      <c r="AL418" t="s">
        <v>19615</v>
      </c>
      <c r="AM418">
        <v>0</v>
      </c>
      <c r="AS418">
        <v>0.1</v>
      </c>
      <c r="AT418" t="s">
        <v>273</v>
      </c>
      <c r="AU418" t="s">
        <v>130</v>
      </c>
      <c r="AV418" t="s">
        <v>9144</v>
      </c>
    </row>
    <row r="419" spans="1:48">
      <c r="A419" s="1">
        <f>HYPERLINK("https://lsnyc.legalserver.org/matter/dynamic-profile/view/1889022","19-1889022")</f>
        <v>0</v>
      </c>
      <c r="B419" t="s">
        <v>134</v>
      </c>
      <c r="C419" t="s">
        <v>256</v>
      </c>
      <c r="D419" t="s">
        <v>503</v>
      </c>
      <c r="F419" t="s">
        <v>1418</v>
      </c>
      <c r="G419" t="s">
        <v>3596</v>
      </c>
      <c r="H419" t="s">
        <v>5958</v>
      </c>
      <c r="I419" t="s">
        <v>8266</v>
      </c>
      <c r="J419" t="s">
        <v>9067</v>
      </c>
      <c r="K419">
        <v>10032</v>
      </c>
      <c r="L419" t="s">
        <v>9094</v>
      </c>
      <c r="M419" t="s">
        <v>9094</v>
      </c>
      <c r="O419" t="s">
        <v>11136</v>
      </c>
      <c r="P419" t="s">
        <v>11167</v>
      </c>
      <c r="R419" t="s">
        <v>11180</v>
      </c>
      <c r="T419" t="s">
        <v>11183</v>
      </c>
      <c r="V419" t="s">
        <v>503</v>
      </c>
      <c r="W419">
        <v>2297.05</v>
      </c>
      <c r="X419" t="s">
        <v>11335</v>
      </c>
      <c r="Y419" t="s">
        <v>11338</v>
      </c>
      <c r="Z419" t="s">
        <v>11671</v>
      </c>
      <c r="AB419" t="s">
        <v>16145</v>
      </c>
      <c r="AC419">
        <v>0</v>
      </c>
      <c r="AD419" t="s">
        <v>19569</v>
      </c>
      <c r="AE419" t="s">
        <v>9144</v>
      </c>
      <c r="AF419">
        <v>20</v>
      </c>
      <c r="AG419">
        <v>3</v>
      </c>
      <c r="AH419">
        <v>0</v>
      </c>
      <c r="AI419">
        <v>0</v>
      </c>
      <c r="AL419" t="s">
        <v>19614</v>
      </c>
      <c r="AM419">
        <v>0</v>
      </c>
      <c r="AS419">
        <v>2</v>
      </c>
      <c r="AT419" t="s">
        <v>491</v>
      </c>
      <c r="AU419" t="s">
        <v>130</v>
      </c>
    </row>
    <row r="420" spans="1:48">
      <c r="A420" s="1">
        <f>HYPERLINK("https://lsnyc.legalserver.org/matter/dynamic-profile/view/1900732","19-1900732")</f>
        <v>0</v>
      </c>
      <c r="B420" t="s">
        <v>134</v>
      </c>
      <c r="C420" t="s">
        <v>256</v>
      </c>
      <c r="D420" t="s">
        <v>338</v>
      </c>
      <c r="F420" t="s">
        <v>1331</v>
      </c>
      <c r="G420" t="s">
        <v>3597</v>
      </c>
      <c r="H420" t="s">
        <v>5959</v>
      </c>
      <c r="I420">
        <v>62</v>
      </c>
      <c r="J420" t="s">
        <v>9067</v>
      </c>
      <c r="K420">
        <v>10032</v>
      </c>
      <c r="L420" t="s">
        <v>9094</v>
      </c>
      <c r="M420" t="s">
        <v>9095</v>
      </c>
      <c r="P420" t="s">
        <v>11167</v>
      </c>
      <c r="R420" t="s">
        <v>11180</v>
      </c>
      <c r="S420" t="s">
        <v>9096</v>
      </c>
      <c r="T420" t="s">
        <v>11183</v>
      </c>
      <c r="V420" t="s">
        <v>338</v>
      </c>
      <c r="W420">
        <v>3990</v>
      </c>
      <c r="X420" t="s">
        <v>11335</v>
      </c>
      <c r="Y420" t="s">
        <v>11338</v>
      </c>
      <c r="Z420" t="s">
        <v>11672</v>
      </c>
      <c r="AB420" t="s">
        <v>16146</v>
      </c>
      <c r="AC420">
        <v>35</v>
      </c>
      <c r="AD420" t="s">
        <v>19566</v>
      </c>
      <c r="AE420" t="s">
        <v>9144</v>
      </c>
      <c r="AF420">
        <v>1</v>
      </c>
      <c r="AG420">
        <v>2</v>
      </c>
      <c r="AH420">
        <v>0</v>
      </c>
      <c r="AI420">
        <v>0</v>
      </c>
      <c r="AL420" t="s">
        <v>19614</v>
      </c>
      <c r="AM420">
        <v>0</v>
      </c>
      <c r="AS420">
        <v>1.6</v>
      </c>
      <c r="AT420" t="s">
        <v>559</v>
      </c>
      <c r="AU420" t="s">
        <v>130</v>
      </c>
      <c r="AV420" t="s">
        <v>20733</v>
      </c>
    </row>
    <row r="421" spans="1:48">
      <c r="A421" s="1">
        <f>HYPERLINK("https://lsnyc.legalserver.org/matter/dynamic-profile/view/1898439","19-1898439")</f>
        <v>0</v>
      </c>
      <c r="B421" t="s">
        <v>137</v>
      </c>
      <c r="C421" t="s">
        <v>256</v>
      </c>
      <c r="D421" t="s">
        <v>299</v>
      </c>
      <c r="F421" t="s">
        <v>1419</v>
      </c>
      <c r="G421" t="s">
        <v>3598</v>
      </c>
      <c r="H421" t="s">
        <v>5960</v>
      </c>
      <c r="I421" t="s">
        <v>8119</v>
      </c>
      <c r="J421" t="s">
        <v>9067</v>
      </c>
      <c r="K421">
        <v>10031</v>
      </c>
      <c r="L421" t="s">
        <v>9094</v>
      </c>
      <c r="M421" t="s">
        <v>9094</v>
      </c>
      <c r="P421" t="s">
        <v>11164</v>
      </c>
      <c r="R421" t="s">
        <v>11180</v>
      </c>
      <c r="S421" t="s">
        <v>9096</v>
      </c>
      <c r="T421" t="s">
        <v>11183</v>
      </c>
      <c r="V421" t="s">
        <v>299</v>
      </c>
      <c r="W421">
        <v>995</v>
      </c>
      <c r="X421" t="s">
        <v>11335</v>
      </c>
      <c r="Y421" t="s">
        <v>11336</v>
      </c>
      <c r="Z421" t="s">
        <v>11673</v>
      </c>
      <c r="AB421" t="s">
        <v>16147</v>
      </c>
      <c r="AC421">
        <v>0</v>
      </c>
      <c r="AD421" t="s">
        <v>19566</v>
      </c>
      <c r="AE421" t="s">
        <v>9144</v>
      </c>
      <c r="AF421">
        <v>25</v>
      </c>
      <c r="AG421">
        <v>1</v>
      </c>
      <c r="AH421">
        <v>0</v>
      </c>
      <c r="AI421">
        <v>0</v>
      </c>
      <c r="AL421" t="s">
        <v>19614</v>
      </c>
      <c r="AM421">
        <v>0</v>
      </c>
      <c r="AS421">
        <v>1.5</v>
      </c>
      <c r="AT421" t="s">
        <v>453</v>
      </c>
      <c r="AU421" t="s">
        <v>130</v>
      </c>
    </row>
    <row r="422" spans="1:48">
      <c r="A422" s="1">
        <f>HYPERLINK("https://lsnyc.legalserver.org/matter/dynamic-profile/view/1863758","18-1863758")</f>
        <v>0</v>
      </c>
      <c r="B422" t="s">
        <v>136</v>
      </c>
      <c r="C422" t="s">
        <v>256</v>
      </c>
      <c r="D422" t="s">
        <v>504</v>
      </c>
      <c r="F422" t="s">
        <v>1420</v>
      </c>
      <c r="G422" t="s">
        <v>3599</v>
      </c>
      <c r="H422" t="s">
        <v>5961</v>
      </c>
      <c r="I422">
        <v>712</v>
      </c>
      <c r="J422" t="s">
        <v>9067</v>
      </c>
      <c r="K422">
        <v>10029</v>
      </c>
      <c r="L422" t="s">
        <v>9094</v>
      </c>
      <c r="M422" t="s">
        <v>9094</v>
      </c>
      <c r="N422" t="s">
        <v>9287</v>
      </c>
      <c r="O422" t="s">
        <v>11130</v>
      </c>
      <c r="P422" t="s">
        <v>11165</v>
      </c>
      <c r="R422" t="s">
        <v>11180</v>
      </c>
      <c r="S422" t="s">
        <v>9094</v>
      </c>
      <c r="T422" t="s">
        <v>11183</v>
      </c>
      <c r="U422" t="s">
        <v>11201</v>
      </c>
      <c r="V422" t="s">
        <v>651</v>
      </c>
      <c r="W422">
        <v>0</v>
      </c>
      <c r="X422" t="s">
        <v>11335</v>
      </c>
      <c r="Y422" t="s">
        <v>11339</v>
      </c>
      <c r="Z422" t="s">
        <v>11674</v>
      </c>
      <c r="AB422" t="s">
        <v>16148</v>
      </c>
      <c r="AC422">
        <v>108</v>
      </c>
      <c r="AD422" t="s">
        <v>19567</v>
      </c>
      <c r="AE422" t="s">
        <v>19580</v>
      </c>
      <c r="AF422">
        <v>20</v>
      </c>
      <c r="AG422">
        <v>2</v>
      </c>
      <c r="AH422">
        <v>1</v>
      </c>
      <c r="AI422">
        <v>0</v>
      </c>
      <c r="AL422" t="s">
        <v>19614</v>
      </c>
      <c r="AM422">
        <v>0</v>
      </c>
      <c r="AN422" t="s">
        <v>19697</v>
      </c>
      <c r="AS422">
        <v>0.25</v>
      </c>
      <c r="AT422" t="s">
        <v>289</v>
      </c>
      <c r="AU422" t="s">
        <v>20657</v>
      </c>
    </row>
    <row r="423" spans="1:48">
      <c r="A423" s="1">
        <f>HYPERLINK("https://lsnyc.legalserver.org/matter/dynamic-profile/view/1864155","18-1864155")</f>
        <v>0</v>
      </c>
      <c r="B423" t="s">
        <v>136</v>
      </c>
      <c r="C423" t="s">
        <v>256</v>
      </c>
      <c r="D423" t="s">
        <v>505</v>
      </c>
      <c r="F423" t="s">
        <v>1404</v>
      </c>
      <c r="G423" t="s">
        <v>3600</v>
      </c>
      <c r="H423" t="s">
        <v>5961</v>
      </c>
      <c r="I423">
        <v>513</v>
      </c>
      <c r="J423" t="s">
        <v>9067</v>
      </c>
      <c r="K423">
        <v>10029</v>
      </c>
      <c r="L423" t="s">
        <v>9094</v>
      </c>
      <c r="M423" t="s">
        <v>9094</v>
      </c>
      <c r="N423" t="s">
        <v>9287</v>
      </c>
      <c r="O423" t="s">
        <v>11130</v>
      </c>
      <c r="P423" t="s">
        <v>11165</v>
      </c>
      <c r="R423" t="s">
        <v>11180</v>
      </c>
      <c r="S423" t="s">
        <v>9094</v>
      </c>
      <c r="T423" t="s">
        <v>11183</v>
      </c>
      <c r="U423" t="s">
        <v>11201</v>
      </c>
      <c r="V423" t="s">
        <v>505</v>
      </c>
      <c r="W423">
        <v>0</v>
      </c>
      <c r="X423" t="s">
        <v>11335</v>
      </c>
      <c r="Y423" t="s">
        <v>11339</v>
      </c>
      <c r="Z423" t="s">
        <v>11675</v>
      </c>
      <c r="AB423" t="s">
        <v>16149</v>
      </c>
      <c r="AC423">
        <v>108</v>
      </c>
      <c r="AD423" t="s">
        <v>19567</v>
      </c>
      <c r="AE423" t="s">
        <v>19580</v>
      </c>
      <c r="AF423">
        <v>34</v>
      </c>
      <c r="AG423">
        <v>1</v>
      </c>
      <c r="AH423">
        <v>0</v>
      </c>
      <c r="AI423">
        <v>0</v>
      </c>
      <c r="AL423" t="s">
        <v>19614</v>
      </c>
      <c r="AM423">
        <v>0</v>
      </c>
      <c r="AS423">
        <v>0.25</v>
      </c>
      <c r="AT423" t="s">
        <v>289</v>
      </c>
      <c r="AU423" t="s">
        <v>20657</v>
      </c>
    </row>
    <row r="424" spans="1:48">
      <c r="A424" s="1">
        <f>HYPERLINK("https://lsnyc.legalserver.org/matter/dynamic-profile/view/1864324","18-1864324")</f>
        <v>0</v>
      </c>
      <c r="B424" t="s">
        <v>136</v>
      </c>
      <c r="C424" t="s">
        <v>256</v>
      </c>
      <c r="D424" t="s">
        <v>506</v>
      </c>
      <c r="F424" t="s">
        <v>1146</v>
      </c>
      <c r="G424" t="s">
        <v>3601</v>
      </c>
      <c r="H424" t="s">
        <v>5961</v>
      </c>
      <c r="I424">
        <v>409</v>
      </c>
      <c r="J424" t="s">
        <v>9067</v>
      </c>
      <c r="K424">
        <v>10029</v>
      </c>
      <c r="L424" t="s">
        <v>9094</v>
      </c>
      <c r="M424" t="s">
        <v>9094</v>
      </c>
      <c r="N424" t="s">
        <v>9287</v>
      </c>
      <c r="O424" t="s">
        <v>11130</v>
      </c>
      <c r="P424" t="s">
        <v>11165</v>
      </c>
      <c r="R424" t="s">
        <v>11180</v>
      </c>
      <c r="S424" t="s">
        <v>9094</v>
      </c>
      <c r="T424" t="s">
        <v>11183</v>
      </c>
      <c r="U424" t="s">
        <v>11201</v>
      </c>
      <c r="V424" t="s">
        <v>506</v>
      </c>
      <c r="W424">
        <v>0</v>
      </c>
      <c r="X424" t="s">
        <v>11335</v>
      </c>
      <c r="Y424" t="s">
        <v>11339</v>
      </c>
      <c r="Z424" t="s">
        <v>11676</v>
      </c>
      <c r="AB424" t="s">
        <v>16150</v>
      </c>
      <c r="AC424">
        <v>108</v>
      </c>
      <c r="AD424" t="s">
        <v>19567</v>
      </c>
      <c r="AE424" t="s">
        <v>19580</v>
      </c>
      <c r="AF424">
        <v>28</v>
      </c>
      <c r="AG424">
        <v>1</v>
      </c>
      <c r="AH424">
        <v>0</v>
      </c>
      <c r="AI424">
        <v>0</v>
      </c>
      <c r="AL424" t="s">
        <v>19615</v>
      </c>
      <c r="AM424">
        <v>0</v>
      </c>
      <c r="AS424">
        <v>1</v>
      </c>
      <c r="AT424" t="s">
        <v>760</v>
      </c>
      <c r="AU424" t="s">
        <v>20657</v>
      </c>
    </row>
    <row r="425" spans="1:48">
      <c r="A425" s="1">
        <f>HYPERLINK("https://lsnyc.legalserver.org/matter/dynamic-profile/view/1864342","18-1864342")</f>
        <v>0</v>
      </c>
      <c r="B425" t="s">
        <v>136</v>
      </c>
      <c r="C425" t="s">
        <v>256</v>
      </c>
      <c r="D425" t="s">
        <v>506</v>
      </c>
      <c r="F425" t="s">
        <v>1421</v>
      </c>
      <c r="G425" t="s">
        <v>3586</v>
      </c>
      <c r="H425" t="s">
        <v>5961</v>
      </c>
      <c r="I425">
        <v>605</v>
      </c>
      <c r="J425" t="s">
        <v>9067</v>
      </c>
      <c r="K425">
        <v>10029</v>
      </c>
      <c r="L425" t="s">
        <v>9094</v>
      </c>
      <c r="M425" t="s">
        <v>9094</v>
      </c>
      <c r="N425" t="s">
        <v>9287</v>
      </c>
      <c r="O425" t="s">
        <v>11130</v>
      </c>
      <c r="P425" t="s">
        <v>11165</v>
      </c>
      <c r="R425" t="s">
        <v>11180</v>
      </c>
      <c r="S425" t="s">
        <v>9094</v>
      </c>
      <c r="T425" t="s">
        <v>11183</v>
      </c>
      <c r="U425" t="s">
        <v>11201</v>
      </c>
      <c r="V425" t="s">
        <v>506</v>
      </c>
      <c r="W425">
        <v>0</v>
      </c>
      <c r="X425" t="s">
        <v>11335</v>
      </c>
      <c r="Y425" t="s">
        <v>11339</v>
      </c>
      <c r="Z425" t="s">
        <v>11677</v>
      </c>
      <c r="AC425">
        <v>108</v>
      </c>
      <c r="AD425" t="s">
        <v>19567</v>
      </c>
      <c r="AE425" t="s">
        <v>19580</v>
      </c>
      <c r="AF425">
        <v>24</v>
      </c>
      <c r="AG425">
        <v>1</v>
      </c>
      <c r="AH425">
        <v>0</v>
      </c>
      <c r="AI425">
        <v>0</v>
      </c>
      <c r="AL425" t="s">
        <v>19614</v>
      </c>
      <c r="AM425">
        <v>0</v>
      </c>
      <c r="AS425">
        <v>0.25</v>
      </c>
      <c r="AT425" t="s">
        <v>289</v>
      </c>
      <c r="AU425" t="s">
        <v>20657</v>
      </c>
    </row>
    <row r="426" spans="1:48">
      <c r="A426" s="1">
        <f>HYPERLINK("https://lsnyc.legalserver.org/matter/dynamic-profile/view/1911459","19-1911459")</f>
        <v>0</v>
      </c>
      <c r="B426" t="s">
        <v>142</v>
      </c>
      <c r="C426" t="s">
        <v>256</v>
      </c>
      <c r="D426" t="s">
        <v>362</v>
      </c>
      <c r="F426" t="s">
        <v>1422</v>
      </c>
      <c r="G426" t="s">
        <v>3602</v>
      </c>
      <c r="H426" t="s">
        <v>5962</v>
      </c>
      <c r="I426" t="s">
        <v>8267</v>
      </c>
      <c r="J426" t="s">
        <v>9067</v>
      </c>
      <c r="K426">
        <v>10029</v>
      </c>
      <c r="L426" t="s">
        <v>9094</v>
      </c>
      <c r="M426" t="s">
        <v>9095</v>
      </c>
      <c r="O426" t="s">
        <v>9121</v>
      </c>
      <c r="P426" t="s">
        <v>11169</v>
      </c>
      <c r="R426" t="s">
        <v>11180</v>
      </c>
      <c r="S426" t="s">
        <v>9096</v>
      </c>
      <c r="T426" t="s">
        <v>11183</v>
      </c>
      <c r="U426" t="s">
        <v>11201</v>
      </c>
      <c r="V426" t="s">
        <v>290</v>
      </c>
      <c r="W426">
        <v>2000</v>
      </c>
      <c r="X426" t="s">
        <v>11335</v>
      </c>
      <c r="Y426" t="s">
        <v>11352</v>
      </c>
      <c r="Z426" t="s">
        <v>11678</v>
      </c>
      <c r="AB426" t="s">
        <v>16151</v>
      </c>
      <c r="AC426">
        <v>16</v>
      </c>
      <c r="AD426" t="s">
        <v>19566</v>
      </c>
      <c r="AF426">
        <v>5</v>
      </c>
      <c r="AG426">
        <v>1</v>
      </c>
      <c r="AH426">
        <v>0</v>
      </c>
      <c r="AI426">
        <v>0</v>
      </c>
      <c r="AL426" t="s">
        <v>19614</v>
      </c>
      <c r="AM426">
        <v>0</v>
      </c>
      <c r="AS426">
        <v>4.6</v>
      </c>
      <c r="AT426" t="s">
        <v>556</v>
      </c>
      <c r="AU426" t="s">
        <v>20640</v>
      </c>
      <c r="AV426" t="s">
        <v>20733</v>
      </c>
    </row>
    <row r="427" spans="1:48">
      <c r="A427" s="1">
        <f>HYPERLINK("https://lsnyc.legalserver.org/matter/dynamic-profile/view/1915058","19-1915058")</f>
        <v>0</v>
      </c>
      <c r="B427" t="s">
        <v>142</v>
      </c>
      <c r="C427" t="s">
        <v>256</v>
      </c>
      <c r="D427" t="s">
        <v>377</v>
      </c>
      <c r="F427" t="s">
        <v>1423</v>
      </c>
      <c r="G427" t="s">
        <v>3603</v>
      </c>
      <c r="H427" t="s">
        <v>5963</v>
      </c>
      <c r="I427">
        <v>609</v>
      </c>
      <c r="J427" t="s">
        <v>9067</v>
      </c>
      <c r="K427">
        <v>10029</v>
      </c>
      <c r="L427" t="s">
        <v>9095</v>
      </c>
      <c r="M427" t="s">
        <v>9095</v>
      </c>
      <c r="O427" t="s">
        <v>11129</v>
      </c>
      <c r="P427" t="s">
        <v>11169</v>
      </c>
      <c r="R427" t="s">
        <v>11180</v>
      </c>
      <c r="S427" t="s">
        <v>9096</v>
      </c>
      <c r="T427" t="s">
        <v>11183</v>
      </c>
      <c r="U427" t="s">
        <v>11201</v>
      </c>
      <c r="W427">
        <v>843</v>
      </c>
      <c r="X427" t="s">
        <v>11335</v>
      </c>
      <c r="Z427" t="s">
        <v>11679</v>
      </c>
      <c r="AB427" t="s">
        <v>16152</v>
      </c>
      <c r="AC427">
        <v>0</v>
      </c>
      <c r="AD427" t="s">
        <v>19566</v>
      </c>
      <c r="AE427" t="s">
        <v>9144</v>
      </c>
      <c r="AF427">
        <v>30</v>
      </c>
      <c r="AG427">
        <v>1</v>
      </c>
      <c r="AH427">
        <v>0</v>
      </c>
      <c r="AI427">
        <v>0</v>
      </c>
      <c r="AL427" t="s">
        <v>19614</v>
      </c>
      <c r="AM427">
        <v>0</v>
      </c>
      <c r="AS427">
        <v>1</v>
      </c>
      <c r="AT427" t="s">
        <v>377</v>
      </c>
      <c r="AU427" t="s">
        <v>20660</v>
      </c>
    </row>
    <row r="428" spans="1:48">
      <c r="A428" s="1">
        <f>HYPERLINK("https://lsnyc.legalserver.org/matter/dynamic-profile/view/1894203","19-1894203")</f>
        <v>0</v>
      </c>
      <c r="B428" t="s">
        <v>135</v>
      </c>
      <c r="C428" t="s">
        <v>256</v>
      </c>
      <c r="D428" t="s">
        <v>507</v>
      </c>
      <c r="F428" t="s">
        <v>1424</v>
      </c>
      <c r="G428" t="s">
        <v>2772</v>
      </c>
      <c r="H428" t="s">
        <v>5964</v>
      </c>
      <c r="I428">
        <v>16</v>
      </c>
      <c r="J428" t="s">
        <v>9067</v>
      </c>
      <c r="K428">
        <v>10029</v>
      </c>
      <c r="L428" t="s">
        <v>9094</v>
      </c>
      <c r="M428" t="s">
        <v>9094</v>
      </c>
      <c r="O428" t="s">
        <v>11136</v>
      </c>
      <c r="P428" t="s">
        <v>11167</v>
      </c>
      <c r="R428" t="s">
        <v>11180</v>
      </c>
      <c r="S428" t="s">
        <v>9096</v>
      </c>
      <c r="T428" t="s">
        <v>11183</v>
      </c>
      <c r="U428" t="s">
        <v>11201</v>
      </c>
      <c r="V428" t="s">
        <v>507</v>
      </c>
      <c r="W428">
        <v>2100</v>
      </c>
      <c r="X428" t="s">
        <v>11335</v>
      </c>
      <c r="Y428" t="s">
        <v>11351</v>
      </c>
      <c r="Z428" t="s">
        <v>11680</v>
      </c>
      <c r="AB428" t="s">
        <v>16153</v>
      </c>
      <c r="AC428">
        <v>40</v>
      </c>
      <c r="AD428" t="s">
        <v>19566</v>
      </c>
      <c r="AE428" t="s">
        <v>9144</v>
      </c>
      <c r="AF428">
        <v>1</v>
      </c>
      <c r="AG428">
        <v>1</v>
      </c>
      <c r="AH428">
        <v>0</v>
      </c>
      <c r="AI428">
        <v>0</v>
      </c>
      <c r="AL428" t="s">
        <v>19614</v>
      </c>
      <c r="AM428">
        <v>0</v>
      </c>
      <c r="AS428">
        <v>3.25</v>
      </c>
      <c r="AT428" t="s">
        <v>512</v>
      </c>
      <c r="AU428" t="s">
        <v>135</v>
      </c>
    </row>
    <row r="429" spans="1:48">
      <c r="A429" s="1">
        <f>HYPERLINK("https://lsnyc.legalserver.org/matter/dynamic-profile/view/1908432","19-1908432")</f>
        <v>0</v>
      </c>
      <c r="B429" t="s">
        <v>136</v>
      </c>
      <c r="C429" t="s">
        <v>256</v>
      </c>
      <c r="D429" t="s">
        <v>314</v>
      </c>
      <c r="F429" t="s">
        <v>1146</v>
      </c>
      <c r="G429" t="s">
        <v>3604</v>
      </c>
      <c r="H429" t="s">
        <v>5965</v>
      </c>
      <c r="I429" t="s">
        <v>8192</v>
      </c>
      <c r="J429" t="s">
        <v>9067</v>
      </c>
      <c r="K429">
        <v>10029</v>
      </c>
      <c r="L429" t="s">
        <v>9095</v>
      </c>
      <c r="M429" t="s">
        <v>9095</v>
      </c>
      <c r="O429" t="s">
        <v>11136</v>
      </c>
      <c r="P429" t="s">
        <v>11167</v>
      </c>
      <c r="R429" t="s">
        <v>11180</v>
      </c>
      <c r="S429" t="s">
        <v>9096</v>
      </c>
      <c r="T429" t="s">
        <v>11183</v>
      </c>
      <c r="U429" t="s">
        <v>11201</v>
      </c>
      <c r="W429">
        <v>360</v>
      </c>
      <c r="X429" t="s">
        <v>11335</v>
      </c>
      <c r="Y429" t="s">
        <v>11352</v>
      </c>
      <c r="Z429" t="s">
        <v>11681</v>
      </c>
      <c r="AB429" t="s">
        <v>16154</v>
      </c>
      <c r="AC429">
        <v>40</v>
      </c>
      <c r="AD429" t="s">
        <v>19566</v>
      </c>
      <c r="AE429" t="s">
        <v>19587</v>
      </c>
      <c r="AF429">
        <v>40</v>
      </c>
      <c r="AG429">
        <v>1</v>
      </c>
      <c r="AH429">
        <v>0</v>
      </c>
      <c r="AI429">
        <v>0</v>
      </c>
      <c r="AL429" t="s">
        <v>19615</v>
      </c>
      <c r="AM429">
        <v>0</v>
      </c>
      <c r="AS429">
        <v>7.85</v>
      </c>
      <c r="AT429" t="s">
        <v>1135</v>
      </c>
      <c r="AU429" t="s">
        <v>20640</v>
      </c>
    </row>
    <row r="430" spans="1:48">
      <c r="A430" s="1">
        <f>HYPERLINK("https://lsnyc.legalserver.org/matter/dynamic-profile/view/1910521","19-1910521")</f>
        <v>0</v>
      </c>
      <c r="B430" t="s">
        <v>130</v>
      </c>
      <c r="C430" t="s">
        <v>257</v>
      </c>
      <c r="D430" t="s">
        <v>320</v>
      </c>
      <c r="E430" t="s">
        <v>521</v>
      </c>
      <c r="F430" t="s">
        <v>1217</v>
      </c>
      <c r="G430" t="s">
        <v>3605</v>
      </c>
      <c r="H430" t="s">
        <v>5966</v>
      </c>
      <c r="I430">
        <v>11</v>
      </c>
      <c r="J430" t="s">
        <v>9067</v>
      </c>
      <c r="K430">
        <v>10028</v>
      </c>
      <c r="L430" t="s">
        <v>9094</v>
      </c>
      <c r="M430" t="s">
        <v>9095</v>
      </c>
      <c r="P430" t="s">
        <v>11164</v>
      </c>
      <c r="Q430" t="s">
        <v>11172</v>
      </c>
      <c r="R430" t="s">
        <v>11181</v>
      </c>
      <c r="S430" t="s">
        <v>9096</v>
      </c>
      <c r="T430" t="s">
        <v>11183</v>
      </c>
      <c r="V430" t="s">
        <v>832</v>
      </c>
      <c r="W430">
        <v>1438.6</v>
      </c>
      <c r="X430" t="s">
        <v>11335</v>
      </c>
      <c r="Y430" t="s">
        <v>11337</v>
      </c>
      <c r="Z430" t="s">
        <v>11682</v>
      </c>
      <c r="AB430" t="s">
        <v>16155</v>
      </c>
      <c r="AC430">
        <v>33</v>
      </c>
      <c r="AD430" t="s">
        <v>19566</v>
      </c>
      <c r="AE430" t="s">
        <v>9144</v>
      </c>
      <c r="AF430">
        <v>24</v>
      </c>
      <c r="AG430">
        <v>1</v>
      </c>
      <c r="AH430">
        <v>1</v>
      </c>
      <c r="AI430">
        <v>0</v>
      </c>
      <c r="AJ430" t="s">
        <v>19591</v>
      </c>
      <c r="AK430" t="s">
        <v>19608</v>
      </c>
      <c r="AL430" t="s">
        <v>19614</v>
      </c>
      <c r="AM430">
        <v>0</v>
      </c>
      <c r="AS430">
        <v>0.5</v>
      </c>
      <c r="AT430" t="s">
        <v>290</v>
      </c>
      <c r="AU430" t="s">
        <v>130</v>
      </c>
      <c r="AV430" t="s">
        <v>20733</v>
      </c>
    </row>
    <row r="431" spans="1:48">
      <c r="A431" s="1">
        <f>HYPERLINK("https://lsnyc.legalserver.org/matter/dynamic-profile/view/1881577","18-1881577")</f>
        <v>0</v>
      </c>
      <c r="B431" t="s">
        <v>143</v>
      </c>
      <c r="C431" t="s">
        <v>256</v>
      </c>
      <c r="D431" t="s">
        <v>508</v>
      </c>
      <c r="F431" t="s">
        <v>1425</v>
      </c>
      <c r="G431" t="s">
        <v>3606</v>
      </c>
      <c r="H431" t="s">
        <v>5967</v>
      </c>
      <c r="I431">
        <v>3</v>
      </c>
      <c r="J431" t="s">
        <v>9067</v>
      </c>
      <c r="K431">
        <v>10027</v>
      </c>
      <c r="L431" t="s">
        <v>9094</v>
      </c>
      <c r="M431" t="s">
        <v>9094</v>
      </c>
      <c r="O431" t="s">
        <v>9121</v>
      </c>
      <c r="P431" t="s">
        <v>11164</v>
      </c>
      <c r="R431" t="s">
        <v>11180</v>
      </c>
      <c r="S431" t="s">
        <v>9096</v>
      </c>
      <c r="T431" t="s">
        <v>11183</v>
      </c>
      <c r="V431" t="s">
        <v>11208</v>
      </c>
      <c r="W431">
        <v>1428</v>
      </c>
      <c r="X431" t="s">
        <v>11335</v>
      </c>
      <c r="Y431" t="s">
        <v>11338</v>
      </c>
      <c r="Z431" t="s">
        <v>11683</v>
      </c>
      <c r="AB431" t="s">
        <v>16156</v>
      </c>
      <c r="AC431">
        <v>7</v>
      </c>
      <c r="AD431" t="s">
        <v>19566</v>
      </c>
      <c r="AE431" t="s">
        <v>9144</v>
      </c>
      <c r="AF431">
        <v>5</v>
      </c>
      <c r="AG431">
        <v>1</v>
      </c>
      <c r="AH431">
        <v>0</v>
      </c>
      <c r="AI431">
        <v>0</v>
      </c>
      <c r="AL431" t="s">
        <v>19614</v>
      </c>
      <c r="AM431">
        <v>0</v>
      </c>
      <c r="AS431">
        <v>0</v>
      </c>
      <c r="AU431" t="s">
        <v>20655</v>
      </c>
    </row>
    <row r="432" spans="1:48">
      <c r="A432" s="1">
        <f>HYPERLINK("https://lsnyc.legalserver.org/matter/dynamic-profile/view/1878345","18-1878345")</f>
        <v>0</v>
      </c>
      <c r="B432" t="s">
        <v>144</v>
      </c>
      <c r="C432" t="s">
        <v>256</v>
      </c>
      <c r="D432" t="s">
        <v>509</v>
      </c>
      <c r="F432" t="s">
        <v>1426</v>
      </c>
      <c r="G432" t="s">
        <v>3607</v>
      </c>
      <c r="H432" t="s">
        <v>5968</v>
      </c>
      <c r="I432" t="s">
        <v>8213</v>
      </c>
      <c r="J432" t="s">
        <v>9067</v>
      </c>
      <c r="K432">
        <v>10024</v>
      </c>
      <c r="L432" t="s">
        <v>9094</v>
      </c>
      <c r="M432" t="s">
        <v>9095</v>
      </c>
      <c r="N432" t="s">
        <v>9288</v>
      </c>
      <c r="O432" t="s">
        <v>11129</v>
      </c>
      <c r="P432" t="s">
        <v>11165</v>
      </c>
      <c r="R432" t="s">
        <v>11180</v>
      </c>
      <c r="S432" t="s">
        <v>9096</v>
      </c>
      <c r="T432" t="s">
        <v>11183</v>
      </c>
      <c r="V432" t="s">
        <v>509</v>
      </c>
      <c r="W432">
        <v>1344</v>
      </c>
      <c r="X432" t="s">
        <v>11335</v>
      </c>
      <c r="Y432" t="s">
        <v>11338</v>
      </c>
      <c r="Z432" t="s">
        <v>11684</v>
      </c>
      <c r="AB432" t="s">
        <v>16157</v>
      </c>
      <c r="AC432">
        <v>64</v>
      </c>
      <c r="AD432" t="s">
        <v>19566</v>
      </c>
      <c r="AE432" t="s">
        <v>11157</v>
      </c>
      <c r="AF432">
        <v>38</v>
      </c>
      <c r="AG432">
        <v>1</v>
      </c>
      <c r="AH432">
        <v>0</v>
      </c>
      <c r="AI432">
        <v>0</v>
      </c>
      <c r="AL432" t="s">
        <v>19614</v>
      </c>
      <c r="AM432">
        <v>0</v>
      </c>
      <c r="AS432">
        <v>76.5</v>
      </c>
      <c r="AT432" t="s">
        <v>598</v>
      </c>
      <c r="AU432" t="s">
        <v>20657</v>
      </c>
    </row>
    <row r="433" spans="1:48">
      <c r="A433" s="1">
        <f>HYPERLINK("https://lsnyc.legalserver.org/matter/dynamic-profile/view/1888169","19-1888169")</f>
        <v>0</v>
      </c>
      <c r="B433" t="s">
        <v>141</v>
      </c>
      <c r="C433" t="s">
        <v>256</v>
      </c>
      <c r="D433" t="s">
        <v>510</v>
      </c>
      <c r="F433" t="s">
        <v>1147</v>
      </c>
      <c r="G433" t="s">
        <v>3608</v>
      </c>
      <c r="H433" t="s">
        <v>5969</v>
      </c>
      <c r="J433" t="s">
        <v>9067</v>
      </c>
      <c r="K433">
        <v>10023</v>
      </c>
      <c r="L433" t="s">
        <v>9094</v>
      </c>
      <c r="M433" t="s">
        <v>9096</v>
      </c>
      <c r="N433" t="s">
        <v>9289</v>
      </c>
      <c r="O433" t="s">
        <v>11150</v>
      </c>
      <c r="P433" t="s">
        <v>11165</v>
      </c>
      <c r="R433" t="s">
        <v>11180</v>
      </c>
      <c r="S433" t="s">
        <v>9096</v>
      </c>
      <c r="T433" t="s">
        <v>11183</v>
      </c>
      <c r="V433" t="s">
        <v>785</v>
      </c>
      <c r="W433">
        <v>3600</v>
      </c>
      <c r="X433" t="s">
        <v>11335</v>
      </c>
      <c r="Y433" t="s">
        <v>11337</v>
      </c>
      <c r="Z433" t="s">
        <v>11685</v>
      </c>
      <c r="AB433" t="s">
        <v>16158</v>
      </c>
      <c r="AC433">
        <v>0</v>
      </c>
      <c r="AD433" t="s">
        <v>19566</v>
      </c>
      <c r="AE433" t="s">
        <v>9144</v>
      </c>
      <c r="AF433">
        <v>1</v>
      </c>
      <c r="AG433">
        <v>1</v>
      </c>
      <c r="AH433">
        <v>0</v>
      </c>
      <c r="AI433">
        <v>0</v>
      </c>
      <c r="AL433" t="s">
        <v>19614</v>
      </c>
      <c r="AM433">
        <v>0</v>
      </c>
      <c r="AS433">
        <v>103.4</v>
      </c>
      <c r="AT433" t="s">
        <v>377</v>
      </c>
      <c r="AU433" t="s">
        <v>130</v>
      </c>
      <c r="AV433" t="s">
        <v>20733</v>
      </c>
    </row>
    <row r="434" spans="1:48">
      <c r="A434" s="1">
        <f>HYPERLINK("https://lsnyc.legalserver.org/matter/dynamic-profile/view/1884428","18-1884428")</f>
        <v>0</v>
      </c>
      <c r="B434" t="s">
        <v>145</v>
      </c>
      <c r="C434" t="s">
        <v>257</v>
      </c>
      <c r="D434" t="s">
        <v>511</v>
      </c>
      <c r="E434" t="s">
        <v>632</v>
      </c>
      <c r="F434" t="s">
        <v>1387</v>
      </c>
      <c r="G434" t="s">
        <v>3334</v>
      </c>
      <c r="H434" t="s">
        <v>5970</v>
      </c>
      <c r="I434" t="s">
        <v>8131</v>
      </c>
      <c r="J434" t="s">
        <v>9067</v>
      </c>
      <c r="K434">
        <v>10021</v>
      </c>
      <c r="L434" t="s">
        <v>9094</v>
      </c>
      <c r="M434" t="s">
        <v>9094</v>
      </c>
      <c r="N434" t="s">
        <v>9290</v>
      </c>
      <c r="O434" t="s">
        <v>11128</v>
      </c>
      <c r="P434" t="s">
        <v>11164</v>
      </c>
      <c r="Q434" t="s">
        <v>11172</v>
      </c>
      <c r="R434" t="s">
        <v>11180</v>
      </c>
      <c r="S434" t="s">
        <v>9096</v>
      </c>
      <c r="T434" t="s">
        <v>11183</v>
      </c>
      <c r="V434" t="s">
        <v>511</v>
      </c>
      <c r="W434">
        <v>2250</v>
      </c>
      <c r="X434" t="s">
        <v>11335</v>
      </c>
      <c r="Y434" t="s">
        <v>11336</v>
      </c>
      <c r="Z434" t="s">
        <v>11686</v>
      </c>
      <c r="AB434" t="s">
        <v>16159</v>
      </c>
      <c r="AC434">
        <v>53</v>
      </c>
      <c r="AE434" t="s">
        <v>9144</v>
      </c>
      <c r="AF434">
        <v>10</v>
      </c>
      <c r="AG434">
        <v>1</v>
      </c>
      <c r="AH434">
        <v>0</v>
      </c>
      <c r="AI434">
        <v>0</v>
      </c>
      <c r="AL434" t="s">
        <v>19614</v>
      </c>
      <c r="AM434">
        <v>0</v>
      </c>
      <c r="AS434">
        <v>0.75</v>
      </c>
      <c r="AT434" t="s">
        <v>632</v>
      </c>
      <c r="AU434" t="s">
        <v>20659</v>
      </c>
    </row>
    <row r="435" spans="1:48">
      <c r="A435" s="1">
        <f>HYPERLINK("https://lsnyc.legalserver.org/matter/dynamic-profile/view/1912596","19-1912596")</f>
        <v>0</v>
      </c>
      <c r="B435" t="s">
        <v>130</v>
      </c>
      <c r="C435" t="s">
        <v>256</v>
      </c>
      <c r="D435" t="s">
        <v>263</v>
      </c>
      <c r="F435" t="s">
        <v>1427</v>
      </c>
      <c r="G435" t="s">
        <v>3609</v>
      </c>
      <c r="H435" t="s">
        <v>5971</v>
      </c>
      <c r="I435">
        <v>1004</v>
      </c>
      <c r="J435" t="s">
        <v>9067</v>
      </c>
      <c r="K435">
        <v>10016</v>
      </c>
      <c r="L435" t="s">
        <v>9096</v>
      </c>
      <c r="M435" t="s">
        <v>9095</v>
      </c>
      <c r="P435" t="s">
        <v>11169</v>
      </c>
      <c r="R435" t="s">
        <v>11181</v>
      </c>
      <c r="S435" t="s">
        <v>9096</v>
      </c>
      <c r="T435" t="s">
        <v>11183</v>
      </c>
      <c r="W435">
        <v>0</v>
      </c>
      <c r="X435" t="s">
        <v>11335</v>
      </c>
      <c r="Y435" t="s">
        <v>11337</v>
      </c>
      <c r="Z435" t="s">
        <v>11687</v>
      </c>
      <c r="AB435" t="s">
        <v>16160</v>
      </c>
      <c r="AC435">
        <v>0</v>
      </c>
      <c r="AD435" t="s">
        <v>19575</v>
      </c>
      <c r="AE435" t="s">
        <v>9144</v>
      </c>
      <c r="AF435">
        <v>1</v>
      </c>
      <c r="AG435">
        <v>1</v>
      </c>
      <c r="AH435">
        <v>2</v>
      </c>
      <c r="AI435">
        <v>0</v>
      </c>
      <c r="AJ435" t="s">
        <v>19591</v>
      </c>
      <c r="AK435" t="s">
        <v>19608</v>
      </c>
      <c r="AL435" t="s">
        <v>19614</v>
      </c>
      <c r="AM435">
        <v>0</v>
      </c>
      <c r="AS435">
        <v>0</v>
      </c>
      <c r="AU435" t="s">
        <v>130</v>
      </c>
      <c r="AV435" t="s">
        <v>9144</v>
      </c>
    </row>
    <row r="436" spans="1:48">
      <c r="A436" s="1">
        <f>HYPERLINK("https://lsnyc.legalserver.org/matter/dynamic-profile/view/1895429","19-1895429")</f>
        <v>0</v>
      </c>
      <c r="B436" t="s">
        <v>138</v>
      </c>
      <c r="C436" t="s">
        <v>256</v>
      </c>
      <c r="D436" t="s">
        <v>512</v>
      </c>
      <c r="F436" t="s">
        <v>1358</v>
      </c>
      <c r="G436" t="s">
        <v>3610</v>
      </c>
      <c r="H436" t="s">
        <v>5972</v>
      </c>
      <c r="I436" t="s">
        <v>8268</v>
      </c>
      <c r="J436" t="s">
        <v>9067</v>
      </c>
      <c r="K436">
        <v>10012</v>
      </c>
      <c r="L436" t="s">
        <v>9094</v>
      </c>
      <c r="M436" t="s">
        <v>9095</v>
      </c>
      <c r="N436" t="s">
        <v>9291</v>
      </c>
      <c r="O436" t="s">
        <v>11129</v>
      </c>
      <c r="P436" t="s">
        <v>11167</v>
      </c>
      <c r="R436" t="s">
        <v>11181</v>
      </c>
      <c r="S436" t="s">
        <v>9096</v>
      </c>
      <c r="T436" t="s">
        <v>11183</v>
      </c>
      <c r="U436" t="s">
        <v>11201</v>
      </c>
      <c r="V436" t="s">
        <v>718</v>
      </c>
      <c r="W436">
        <v>757.71</v>
      </c>
      <c r="X436" t="s">
        <v>11335</v>
      </c>
      <c r="Y436" t="s">
        <v>11337</v>
      </c>
      <c r="Z436" t="s">
        <v>11688</v>
      </c>
      <c r="AA436" t="s">
        <v>15323</v>
      </c>
      <c r="AB436" t="s">
        <v>16161</v>
      </c>
      <c r="AC436">
        <v>92</v>
      </c>
      <c r="AD436" t="s">
        <v>15441</v>
      </c>
      <c r="AE436" t="s">
        <v>9144</v>
      </c>
      <c r="AF436">
        <v>12</v>
      </c>
      <c r="AG436">
        <v>2</v>
      </c>
      <c r="AH436">
        <v>0</v>
      </c>
      <c r="AI436">
        <v>0</v>
      </c>
      <c r="AJ436" t="s">
        <v>19591</v>
      </c>
      <c r="AK436" t="s">
        <v>19608</v>
      </c>
      <c r="AL436" t="s">
        <v>19614</v>
      </c>
      <c r="AM436">
        <v>0</v>
      </c>
      <c r="AP436" t="s">
        <v>20317</v>
      </c>
      <c r="AQ436" t="s">
        <v>20369</v>
      </c>
      <c r="AR436" t="s">
        <v>20394</v>
      </c>
      <c r="AS436">
        <v>24.4</v>
      </c>
      <c r="AT436" t="s">
        <v>367</v>
      </c>
      <c r="AU436" t="s">
        <v>20657</v>
      </c>
      <c r="AV436" t="s">
        <v>20734</v>
      </c>
    </row>
    <row r="437" spans="1:48">
      <c r="A437" s="1">
        <f>HYPERLINK("https://lsnyc.legalserver.org/matter/dynamic-profile/view/1895431","19-1895431")</f>
        <v>0</v>
      </c>
      <c r="B437" t="s">
        <v>138</v>
      </c>
      <c r="C437" t="s">
        <v>256</v>
      </c>
      <c r="D437" t="s">
        <v>512</v>
      </c>
      <c r="F437" t="s">
        <v>1358</v>
      </c>
      <c r="G437" t="s">
        <v>3610</v>
      </c>
      <c r="H437" t="s">
        <v>5972</v>
      </c>
      <c r="I437" t="s">
        <v>8268</v>
      </c>
      <c r="J437" t="s">
        <v>9067</v>
      </c>
      <c r="K437">
        <v>10012</v>
      </c>
      <c r="L437" t="s">
        <v>9094</v>
      </c>
      <c r="M437" t="s">
        <v>9095</v>
      </c>
      <c r="O437" t="s">
        <v>11131</v>
      </c>
      <c r="P437" t="s">
        <v>11166</v>
      </c>
      <c r="R437" t="s">
        <v>11180</v>
      </c>
      <c r="S437" t="s">
        <v>9096</v>
      </c>
      <c r="T437" t="s">
        <v>11191</v>
      </c>
      <c r="U437" t="s">
        <v>11201</v>
      </c>
      <c r="V437" t="s">
        <v>718</v>
      </c>
      <c r="W437">
        <v>757.71</v>
      </c>
      <c r="X437" t="s">
        <v>11335</v>
      </c>
      <c r="Y437" t="s">
        <v>11347</v>
      </c>
      <c r="Z437" t="s">
        <v>11688</v>
      </c>
      <c r="AA437" t="s">
        <v>15323</v>
      </c>
      <c r="AB437" t="s">
        <v>16161</v>
      </c>
      <c r="AC437">
        <v>92</v>
      </c>
      <c r="AD437" t="s">
        <v>19566</v>
      </c>
      <c r="AE437" t="s">
        <v>9144</v>
      </c>
      <c r="AF437">
        <v>12</v>
      </c>
      <c r="AG437">
        <v>2</v>
      </c>
      <c r="AH437">
        <v>0</v>
      </c>
      <c r="AI437">
        <v>0</v>
      </c>
      <c r="AJ437" t="s">
        <v>19591</v>
      </c>
      <c r="AK437" t="s">
        <v>19608</v>
      </c>
      <c r="AL437" t="s">
        <v>19614</v>
      </c>
      <c r="AM437">
        <v>0</v>
      </c>
      <c r="AS437">
        <v>4.1</v>
      </c>
      <c r="AT437" t="s">
        <v>265</v>
      </c>
      <c r="AU437" t="s">
        <v>20657</v>
      </c>
      <c r="AV437" t="s">
        <v>20734</v>
      </c>
    </row>
    <row r="438" spans="1:48">
      <c r="A438" s="1">
        <f>HYPERLINK("https://lsnyc.legalserver.org/matter/dynamic-profile/view/1886406","18-1886406")</f>
        <v>0</v>
      </c>
      <c r="B438" t="s">
        <v>70</v>
      </c>
      <c r="C438" t="s">
        <v>256</v>
      </c>
      <c r="D438" t="s">
        <v>513</v>
      </c>
      <c r="F438" t="s">
        <v>1428</v>
      </c>
      <c r="G438" t="s">
        <v>3611</v>
      </c>
      <c r="H438" t="s">
        <v>5748</v>
      </c>
      <c r="I438" t="s">
        <v>8269</v>
      </c>
      <c r="J438" t="s">
        <v>9059</v>
      </c>
      <c r="K438">
        <v>11233</v>
      </c>
      <c r="L438" t="s">
        <v>9094</v>
      </c>
      <c r="M438" t="s">
        <v>9094</v>
      </c>
      <c r="N438" t="s">
        <v>9145</v>
      </c>
      <c r="O438" t="s">
        <v>11134</v>
      </c>
      <c r="P438" t="s">
        <v>11168</v>
      </c>
      <c r="R438" t="s">
        <v>11180</v>
      </c>
      <c r="S438" t="s">
        <v>9094</v>
      </c>
      <c r="T438" t="s">
        <v>11183</v>
      </c>
      <c r="U438" t="s">
        <v>11201</v>
      </c>
      <c r="V438" t="s">
        <v>516</v>
      </c>
      <c r="W438">
        <v>1036</v>
      </c>
      <c r="X438" t="s">
        <v>11332</v>
      </c>
      <c r="Y438" t="s">
        <v>11347</v>
      </c>
      <c r="Z438" t="s">
        <v>11689</v>
      </c>
      <c r="AB438" t="s">
        <v>16162</v>
      </c>
      <c r="AC438">
        <v>764</v>
      </c>
      <c r="AD438" t="s">
        <v>19566</v>
      </c>
      <c r="AE438" t="s">
        <v>19580</v>
      </c>
      <c r="AF438">
        <v>13</v>
      </c>
      <c r="AG438">
        <v>2</v>
      </c>
      <c r="AH438">
        <v>4</v>
      </c>
      <c r="AI438">
        <v>0.06</v>
      </c>
      <c r="AL438" t="s">
        <v>19614</v>
      </c>
      <c r="AM438">
        <v>20</v>
      </c>
      <c r="AS438">
        <v>0</v>
      </c>
      <c r="AU438" t="s">
        <v>79</v>
      </c>
    </row>
    <row r="439" spans="1:48">
      <c r="A439" s="1">
        <f>HYPERLINK("https://lsnyc.legalserver.org/matter/dynamic-profile/view/0820605","16-0820605")</f>
        <v>0</v>
      </c>
      <c r="B439" t="s">
        <v>101</v>
      </c>
      <c r="C439" t="s">
        <v>256</v>
      </c>
      <c r="D439" t="s">
        <v>461</v>
      </c>
      <c r="F439" t="s">
        <v>1429</v>
      </c>
      <c r="G439" t="s">
        <v>3612</v>
      </c>
      <c r="H439" t="s">
        <v>5898</v>
      </c>
      <c r="I439" t="s">
        <v>8270</v>
      </c>
      <c r="J439" t="s">
        <v>9065</v>
      </c>
      <c r="K439">
        <v>10452</v>
      </c>
      <c r="L439" t="s">
        <v>9094</v>
      </c>
      <c r="M439" t="s">
        <v>9095</v>
      </c>
      <c r="O439" t="s">
        <v>11132</v>
      </c>
      <c r="P439" t="s">
        <v>11165</v>
      </c>
      <c r="R439" t="s">
        <v>11180</v>
      </c>
      <c r="S439" t="s">
        <v>9094</v>
      </c>
      <c r="T439" t="s">
        <v>11183</v>
      </c>
      <c r="V439" t="s">
        <v>11225</v>
      </c>
      <c r="W439">
        <v>240</v>
      </c>
      <c r="X439" t="s">
        <v>11333</v>
      </c>
      <c r="Y439" t="s">
        <v>11338</v>
      </c>
      <c r="Z439" t="s">
        <v>11690</v>
      </c>
      <c r="AB439" t="s">
        <v>16163</v>
      </c>
      <c r="AC439">
        <v>130</v>
      </c>
      <c r="AD439" t="s">
        <v>19566</v>
      </c>
      <c r="AF439">
        <v>1</v>
      </c>
      <c r="AG439">
        <v>1</v>
      </c>
      <c r="AH439">
        <v>0</v>
      </c>
      <c r="AI439">
        <v>0.8100000000000001</v>
      </c>
      <c r="AL439" t="s">
        <v>19614</v>
      </c>
      <c r="AM439">
        <v>96</v>
      </c>
      <c r="AS439">
        <v>21.7</v>
      </c>
      <c r="AT439" t="s">
        <v>309</v>
      </c>
      <c r="AU439" t="s">
        <v>20643</v>
      </c>
    </row>
    <row r="440" spans="1:48">
      <c r="A440" s="1">
        <f>HYPERLINK("https://lsnyc.legalserver.org/matter/dynamic-profile/view/1896730","19-1896730")</f>
        <v>0</v>
      </c>
      <c r="B440" t="s">
        <v>93</v>
      </c>
      <c r="C440" t="s">
        <v>256</v>
      </c>
      <c r="D440" t="s">
        <v>454</v>
      </c>
      <c r="F440" t="s">
        <v>1430</v>
      </c>
      <c r="G440" t="s">
        <v>3448</v>
      </c>
      <c r="H440" t="s">
        <v>5973</v>
      </c>
      <c r="I440" t="s">
        <v>8119</v>
      </c>
      <c r="J440" t="s">
        <v>9059</v>
      </c>
      <c r="K440">
        <v>11206</v>
      </c>
      <c r="L440" t="s">
        <v>9094</v>
      </c>
      <c r="M440" t="s">
        <v>9094</v>
      </c>
      <c r="N440" t="s">
        <v>9292</v>
      </c>
      <c r="O440" t="s">
        <v>11129</v>
      </c>
      <c r="P440" t="s">
        <v>11165</v>
      </c>
      <c r="R440" t="s">
        <v>11180</v>
      </c>
      <c r="S440" t="s">
        <v>9096</v>
      </c>
      <c r="T440" t="s">
        <v>11183</v>
      </c>
      <c r="U440" t="s">
        <v>11201</v>
      </c>
      <c r="V440" t="s">
        <v>376</v>
      </c>
      <c r="W440">
        <v>1245</v>
      </c>
      <c r="X440" t="s">
        <v>11332</v>
      </c>
      <c r="Y440" t="s">
        <v>11340</v>
      </c>
      <c r="Z440" t="s">
        <v>11691</v>
      </c>
      <c r="AA440" t="s">
        <v>15324</v>
      </c>
      <c r="AC440">
        <v>8</v>
      </c>
      <c r="AD440" t="s">
        <v>19566</v>
      </c>
      <c r="AF440">
        <v>2</v>
      </c>
      <c r="AG440">
        <v>2</v>
      </c>
      <c r="AH440">
        <v>0</v>
      </c>
      <c r="AI440">
        <v>1.27</v>
      </c>
      <c r="AL440" t="s">
        <v>19614</v>
      </c>
      <c r="AM440">
        <v>215</v>
      </c>
      <c r="AN440" t="s">
        <v>19698</v>
      </c>
      <c r="AS440">
        <v>54.8</v>
      </c>
      <c r="AT440" t="s">
        <v>442</v>
      </c>
      <c r="AU440" t="s">
        <v>94</v>
      </c>
      <c r="AV440" t="s">
        <v>20733</v>
      </c>
    </row>
    <row r="441" spans="1:48">
      <c r="A441" s="1">
        <f>HYPERLINK("https://lsnyc.legalserver.org/matter/dynamic-profile/view/1887144","19-1887144")</f>
        <v>0</v>
      </c>
      <c r="B441" t="s">
        <v>65</v>
      </c>
      <c r="C441" t="s">
        <v>256</v>
      </c>
      <c r="D441" t="s">
        <v>325</v>
      </c>
      <c r="F441" t="s">
        <v>1232</v>
      </c>
      <c r="G441" t="s">
        <v>3083</v>
      </c>
      <c r="H441" t="s">
        <v>5774</v>
      </c>
      <c r="I441" t="s">
        <v>8168</v>
      </c>
      <c r="J441" t="s">
        <v>9059</v>
      </c>
      <c r="K441">
        <v>11226</v>
      </c>
      <c r="L441" t="s">
        <v>9094</v>
      </c>
      <c r="M441" t="s">
        <v>9094</v>
      </c>
      <c r="N441" t="s">
        <v>9293</v>
      </c>
      <c r="O441" t="s">
        <v>11134</v>
      </c>
      <c r="P441" t="s">
        <v>11168</v>
      </c>
      <c r="R441" t="s">
        <v>11180</v>
      </c>
      <c r="S441" t="s">
        <v>9094</v>
      </c>
      <c r="T441" t="s">
        <v>11183</v>
      </c>
      <c r="V441" t="s">
        <v>685</v>
      </c>
      <c r="W441">
        <v>820</v>
      </c>
      <c r="X441" t="s">
        <v>11332</v>
      </c>
      <c r="Y441" t="s">
        <v>11346</v>
      </c>
      <c r="Z441" t="s">
        <v>11460</v>
      </c>
      <c r="AC441">
        <v>43</v>
      </c>
      <c r="AD441" t="s">
        <v>19566</v>
      </c>
      <c r="AF441">
        <v>32</v>
      </c>
      <c r="AG441">
        <v>4</v>
      </c>
      <c r="AH441">
        <v>2</v>
      </c>
      <c r="AI441">
        <v>1.39</v>
      </c>
      <c r="AL441" t="s">
        <v>19614</v>
      </c>
      <c r="AM441">
        <v>468</v>
      </c>
      <c r="AO441" t="s">
        <v>20293</v>
      </c>
      <c r="AS441">
        <v>0.2</v>
      </c>
      <c r="AT441" t="s">
        <v>288</v>
      </c>
      <c r="AU441" t="s">
        <v>215</v>
      </c>
      <c r="AV441" t="s">
        <v>20733</v>
      </c>
    </row>
    <row r="442" spans="1:48">
      <c r="A442" s="1">
        <f>HYPERLINK("https://lsnyc.legalserver.org/matter/dynamic-profile/view/1894125","19-1894125")</f>
        <v>0</v>
      </c>
      <c r="B442" t="s">
        <v>129</v>
      </c>
      <c r="C442" t="s">
        <v>257</v>
      </c>
      <c r="D442" t="s">
        <v>434</v>
      </c>
      <c r="E442" t="s">
        <v>312</v>
      </c>
      <c r="F442" t="s">
        <v>1431</v>
      </c>
      <c r="G442" t="s">
        <v>2246</v>
      </c>
      <c r="H442" t="s">
        <v>5974</v>
      </c>
      <c r="I442">
        <v>522</v>
      </c>
      <c r="J442" t="s">
        <v>9066</v>
      </c>
      <c r="K442">
        <v>10304</v>
      </c>
      <c r="L442" t="s">
        <v>9094</v>
      </c>
      <c r="M442" t="s">
        <v>9095</v>
      </c>
      <c r="N442" t="s">
        <v>9294</v>
      </c>
      <c r="O442" t="s">
        <v>11129</v>
      </c>
      <c r="P442" t="s">
        <v>11165</v>
      </c>
      <c r="Q442" t="s">
        <v>11174</v>
      </c>
      <c r="R442" t="s">
        <v>11180</v>
      </c>
      <c r="S442" t="s">
        <v>9096</v>
      </c>
      <c r="T442" t="s">
        <v>11183</v>
      </c>
      <c r="U442" t="s">
        <v>11201</v>
      </c>
      <c r="V442" t="s">
        <v>434</v>
      </c>
      <c r="W442">
        <v>1200</v>
      </c>
      <c r="X442" t="s">
        <v>11334</v>
      </c>
      <c r="Y442" t="s">
        <v>11345</v>
      </c>
      <c r="Z442" t="s">
        <v>11692</v>
      </c>
      <c r="AB442" t="s">
        <v>16164</v>
      </c>
      <c r="AC442">
        <v>156</v>
      </c>
      <c r="AD442" t="s">
        <v>19567</v>
      </c>
      <c r="AE442" t="s">
        <v>19580</v>
      </c>
      <c r="AF442">
        <v>1</v>
      </c>
      <c r="AG442">
        <v>1</v>
      </c>
      <c r="AH442">
        <v>1</v>
      </c>
      <c r="AI442">
        <v>1.48</v>
      </c>
      <c r="AL442" t="s">
        <v>19614</v>
      </c>
      <c r="AM442">
        <v>250</v>
      </c>
      <c r="AP442" t="s">
        <v>20318</v>
      </c>
      <c r="AQ442" t="s">
        <v>20369</v>
      </c>
      <c r="AR442" t="s">
        <v>20395</v>
      </c>
      <c r="AS442">
        <v>9.699999999999999</v>
      </c>
      <c r="AT442" t="s">
        <v>760</v>
      </c>
      <c r="AU442" t="s">
        <v>20653</v>
      </c>
      <c r="AV442" t="s">
        <v>20733</v>
      </c>
    </row>
    <row r="443" spans="1:48">
      <c r="A443" s="1">
        <f>HYPERLINK("https://lsnyc.legalserver.org/matter/dynamic-profile/view/1881866","18-1881866")</f>
        <v>0</v>
      </c>
      <c r="B443" t="s">
        <v>54</v>
      </c>
      <c r="C443" t="s">
        <v>257</v>
      </c>
      <c r="D443" t="s">
        <v>514</v>
      </c>
      <c r="E443" t="s">
        <v>1129</v>
      </c>
      <c r="F443" t="s">
        <v>1247</v>
      </c>
      <c r="G443" t="s">
        <v>3613</v>
      </c>
      <c r="H443" t="s">
        <v>5975</v>
      </c>
      <c r="I443" t="s">
        <v>8160</v>
      </c>
      <c r="J443" t="s">
        <v>9055</v>
      </c>
      <c r="K443">
        <v>11354</v>
      </c>
      <c r="L443" t="s">
        <v>9094</v>
      </c>
      <c r="M443" t="s">
        <v>9094</v>
      </c>
      <c r="N443" t="s">
        <v>9295</v>
      </c>
      <c r="O443" t="s">
        <v>11128</v>
      </c>
      <c r="P443" t="s">
        <v>11164</v>
      </c>
      <c r="Q443" t="s">
        <v>11172</v>
      </c>
      <c r="R443" t="s">
        <v>11180</v>
      </c>
      <c r="S443" t="s">
        <v>9096</v>
      </c>
      <c r="T443" t="s">
        <v>11183</v>
      </c>
      <c r="U443" t="s">
        <v>11201</v>
      </c>
      <c r="V443" t="s">
        <v>635</v>
      </c>
      <c r="W443">
        <v>4000</v>
      </c>
      <c r="X443" t="s">
        <v>11331</v>
      </c>
      <c r="Y443" t="s">
        <v>11336</v>
      </c>
      <c r="Z443" t="s">
        <v>11693</v>
      </c>
      <c r="AA443" t="s">
        <v>15325</v>
      </c>
      <c r="AB443" t="s">
        <v>16165</v>
      </c>
      <c r="AC443">
        <v>24</v>
      </c>
      <c r="AD443" t="s">
        <v>15441</v>
      </c>
      <c r="AE443" t="s">
        <v>9144</v>
      </c>
      <c r="AF443">
        <v>1</v>
      </c>
      <c r="AG443">
        <v>1</v>
      </c>
      <c r="AH443">
        <v>1</v>
      </c>
      <c r="AI443">
        <v>1.97</v>
      </c>
      <c r="AL443" t="s">
        <v>19614</v>
      </c>
      <c r="AM443">
        <v>325</v>
      </c>
      <c r="AS443">
        <v>1.75</v>
      </c>
      <c r="AT443" t="s">
        <v>1129</v>
      </c>
      <c r="AU443" t="s">
        <v>20620</v>
      </c>
    </row>
    <row r="444" spans="1:48">
      <c r="A444" s="1">
        <f>HYPERLINK("https://lsnyc.legalserver.org/matter/dynamic-profile/view/1875657","18-1875657")</f>
        <v>0</v>
      </c>
      <c r="B444" t="s">
        <v>93</v>
      </c>
      <c r="C444" t="s">
        <v>256</v>
      </c>
      <c r="D444" t="s">
        <v>419</v>
      </c>
      <c r="F444" t="s">
        <v>1231</v>
      </c>
      <c r="G444" t="s">
        <v>3614</v>
      </c>
      <c r="H444" t="s">
        <v>5976</v>
      </c>
      <c r="I444" t="s">
        <v>8117</v>
      </c>
      <c r="J444" t="s">
        <v>9059</v>
      </c>
      <c r="K444">
        <v>11233</v>
      </c>
      <c r="L444" t="s">
        <v>9096</v>
      </c>
      <c r="M444" t="s">
        <v>9095</v>
      </c>
      <c r="P444" t="s">
        <v>11167</v>
      </c>
      <c r="R444" t="s">
        <v>11180</v>
      </c>
      <c r="T444" t="s">
        <v>11183</v>
      </c>
      <c r="W444">
        <v>0</v>
      </c>
      <c r="X444" t="s">
        <v>11332</v>
      </c>
      <c r="Z444" t="s">
        <v>11694</v>
      </c>
      <c r="AB444" t="s">
        <v>16166</v>
      </c>
      <c r="AC444">
        <v>0</v>
      </c>
      <c r="AF444">
        <v>0</v>
      </c>
      <c r="AG444">
        <v>3</v>
      </c>
      <c r="AH444">
        <v>1</v>
      </c>
      <c r="AI444">
        <v>2.39</v>
      </c>
      <c r="AL444" t="s">
        <v>19614</v>
      </c>
      <c r="AM444">
        <v>600</v>
      </c>
      <c r="AS444">
        <v>0.25</v>
      </c>
      <c r="AT444" t="s">
        <v>616</v>
      </c>
      <c r="AU444" t="s">
        <v>20637</v>
      </c>
    </row>
    <row r="445" spans="1:48">
      <c r="A445" s="1">
        <f>HYPERLINK("https://lsnyc.legalserver.org/matter/dynamic-profile/view/0826157","17-0826157")</f>
        <v>0</v>
      </c>
      <c r="B445" t="s">
        <v>75</v>
      </c>
      <c r="C445" t="s">
        <v>257</v>
      </c>
      <c r="D445" t="s">
        <v>420</v>
      </c>
      <c r="E445" t="s">
        <v>1133</v>
      </c>
      <c r="F445" t="s">
        <v>1432</v>
      </c>
      <c r="G445" t="s">
        <v>3615</v>
      </c>
      <c r="H445" t="s">
        <v>5977</v>
      </c>
      <c r="I445" t="s">
        <v>8271</v>
      </c>
      <c r="J445" t="s">
        <v>9059</v>
      </c>
      <c r="K445">
        <v>11212</v>
      </c>
      <c r="L445" t="s">
        <v>9094</v>
      </c>
      <c r="M445" t="s">
        <v>9095</v>
      </c>
      <c r="O445" t="s">
        <v>11128</v>
      </c>
      <c r="P445" t="s">
        <v>11165</v>
      </c>
      <c r="Q445" t="s">
        <v>11174</v>
      </c>
      <c r="R445" t="s">
        <v>11180</v>
      </c>
      <c r="S445" t="s">
        <v>9096</v>
      </c>
      <c r="T445" t="s">
        <v>11183</v>
      </c>
      <c r="V445" t="s">
        <v>11227</v>
      </c>
      <c r="W445">
        <v>1350</v>
      </c>
      <c r="X445" t="s">
        <v>11332</v>
      </c>
      <c r="Z445" t="s">
        <v>11695</v>
      </c>
      <c r="AB445" t="s">
        <v>16167</v>
      </c>
      <c r="AC445">
        <v>8</v>
      </c>
      <c r="AD445" t="s">
        <v>19565</v>
      </c>
      <c r="AE445" t="s">
        <v>19586</v>
      </c>
      <c r="AF445">
        <v>1</v>
      </c>
      <c r="AG445">
        <v>2</v>
      </c>
      <c r="AH445">
        <v>0</v>
      </c>
      <c r="AI445">
        <v>2.81</v>
      </c>
      <c r="AL445" t="s">
        <v>19614</v>
      </c>
      <c r="AM445">
        <v>450</v>
      </c>
      <c r="AS445">
        <v>71.95</v>
      </c>
      <c r="AT445" t="s">
        <v>1133</v>
      </c>
      <c r="AU445" t="s">
        <v>95</v>
      </c>
    </row>
    <row r="446" spans="1:48">
      <c r="A446" s="1">
        <f>HYPERLINK("https://lsnyc.legalserver.org/matter/dynamic-profile/view/1913481","19-1913481")</f>
        <v>0</v>
      </c>
      <c r="B446" t="s">
        <v>73</v>
      </c>
      <c r="C446" t="s">
        <v>256</v>
      </c>
      <c r="D446" t="s">
        <v>483</v>
      </c>
      <c r="F446" t="s">
        <v>1433</v>
      </c>
      <c r="G446" t="s">
        <v>3427</v>
      </c>
      <c r="H446" t="s">
        <v>5978</v>
      </c>
      <c r="I446" t="s">
        <v>8218</v>
      </c>
      <c r="J446" t="s">
        <v>9059</v>
      </c>
      <c r="K446">
        <v>11212</v>
      </c>
      <c r="L446" t="s">
        <v>9095</v>
      </c>
      <c r="M446" t="s">
        <v>9095</v>
      </c>
      <c r="N446" t="s">
        <v>9296</v>
      </c>
      <c r="O446" t="s">
        <v>11128</v>
      </c>
      <c r="P446" t="s">
        <v>11169</v>
      </c>
      <c r="R446" t="s">
        <v>11180</v>
      </c>
      <c r="S446" t="s">
        <v>9096</v>
      </c>
      <c r="T446" t="s">
        <v>11183</v>
      </c>
      <c r="U446" t="s">
        <v>11201</v>
      </c>
      <c r="W446">
        <v>1984.35</v>
      </c>
      <c r="X446" t="s">
        <v>11332</v>
      </c>
      <c r="Y446" t="s">
        <v>11340</v>
      </c>
      <c r="Z446" t="s">
        <v>11696</v>
      </c>
      <c r="AB446" t="s">
        <v>16168</v>
      </c>
      <c r="AC446">
        <v>4</v>
      </c>
      <c r="AD446" t="s">
        <v>19565</v>
      </c>
      <c r="AE446" t="s">
        <v>19581</v>
      </c>
      <c r="AF446">
        <v>3</v>
      </c>
      <c r="AG446">
        <v>1</v>
      </c>
      <c r="AH446">
        <v>5</v>
      </c>
      <c r="AI446">
        <v>2.89</v>
      </c>
      <c r="AL446" t="s">
        <v>19614</v>
      </c>
      <c r="AM446">
        <v>1000</v>
      </c>
      <c r="AS446">
        <v>0.2</v>
      </c>
      <c r="AT446" t="s">
        <v>521</v>
      </c>
      <c r="AU446" t="s">
        <v>79</v>
      </c>
    </row>
    <row r="447" spans="1:48">
      <c r="A447" s="1">
        <f>HYPERLINK("https://lsnyc.legalserver.org/matter/dynamic-profile/view/1872015","18-1872015")</f>
        <v>0</v>
      </c>
      <c r="B447" t="s">
        <v>111</v>
      </c>
      <c r="C447" t="s">
        <v>256</v>
      </c>
      <c r="D447" t="s">
        <v>515</v>
      </c>
      <c r="F447" t="s">
        <v>1434</v>
      </c>
      <c r="G447" t="s">
        <v>3616</v>
      </c>
      <c r="H447" t="s">
        <v>5979</v>
      </c>
      <c r="I447">
        <v>315</v>
      </c>
      <c r="J447" t="s">
        <v>9065</v>
      </c>
      <c r="K447">
        <v>10459</v>
      </c>
      <c r="L447" t="s">
        <v>9094</v>
      </c>
      <c r="M447" t="s">
        <v>9094</v>
      </c>
      <c r="N447" t="s">
        <v>9297</v>
      </c>
      <c r="O447" t="s">
        <v>11128</v>
      </c>
      <c r="P447" t="s">
        <v>11165</v>
      </c>
      <c r="R447" t="s">
        <v>11180</v>
      </c>
      <c r="S447" t="s">
        <v>9096</v>
      </c>
      <c r="T447" t="s">
        <v>11183</v>
      </c>
      <c r="U447" t="s">
        <v>11201</v>
      </c>
      <c r="V447" t="s">
        <v>515</v>
      </c>
      <c r="W447">
        <v>1640.18</v>
      </c>
      <c r="X447" t="s">
        <v>11333</v>
      </c>
      <c r="Y447" t="s">
        <v>11349</v>
      </c>
      <c r="Z447" t="s">
        <v>11697</v>
      </c>
      <c r="AB447" t="s">
        <v>16169</v>
      </c>
      <c r="AC447">
        <v>123</v>
      </c>
      <c r="AD447" t="s">
        <v>19566</v>
      </c>
      <c r="AE447" t="s">
        <v>9144</v>
      </c>
      <c r="AF447">
        <v>11</v>
      </c>
      <c r="AG447">
        <v>2</v>
      </c>
      <c r="AH447">
        <v>0</v>
      </c>
      <c r="AI447">
        <v>2.92</v>
      </c>
      <c r="AL447" t="s">
        <v>19614</v>
      </c>
      <c r="AM447">
        <v>480</v>
      </c>
      <c r="AN447" t="s">
        <v>19699</v>
      </c>
      <c r="AS447">
        <v>43.2</v>
      </c>
      <c r="AT447" t="s">
        <v>569</v>
      </c>
      <c r="AU447" t="s">
        <v>20639</v>
      </c>
    </row>
    <row r="448" spans="1:48">
      <c r="A448" s="1">
        <f>HYPERLINK("https://lsnyc.legalserver.org/matter/dynamic-profile/view/1886227","18-1886227")</f>
        <v>0</v>
      </c>
      <c r="B448" t="s">
        <v>119</v>
      </c>
      <c r="C448" t="s">
        <v>257</v>
      </c>
      <c r="D448" t="s">
        <v>516</v>
      </c>
      <c r="E448" t="s">
        <v>664</v>
      </c>
      <c r="F448" t="s">
        <v>1435</v>
      </c>
      <c r="G448" t="s">
        <v>3617</v>
      </c>
      <c r="H448" t="s">
        <v>5980</v>
      </c>
      <c r="I448" t="s">
        <v>8170</v>
      </c>
      <c r="J448" t="s">
        <v>9065</v>
      </c>
      <c r="K448">
        <v>10452</v>
      </c>
      <c r="L448" t="s">
        <v>9094</v>
      </c>
      <c r="M448" t="s">
        <v>9094</v>
      </c>
      <c r="O448" t="s">
        <v>11140</v>
      </c>
      <c r="P448" t="s">
        <v>11164</v>
      </c>
      <c r="Q448" t="s">
        <v>11172</v>
      </c>
      <c r="R448" t="s">
        <v>11180</v>
      </c>
      <c r="S448" t="s">
        <v>9096</v>
      </c>
      <c r="T448" t="s">
        <v>11190</v>
      </c>
      <c r="U448" t="s">
        <v>11201</v>
      </c>
      <c r="V448" t="s">
        <v>516</v>
      </c>
      <c r="W448">
        <v>462</v>
      </c>
      <c r="X448" t="s">
        <v>11333</v>
      </c>
      <c r="Y448" t="s">
        <v>11346</v>
      </c>
      <c r="Z448" t="s">
        <v>11698</v>
      </c>
      <c r="AB448" t="s">
        <v>16170</v>
      </c>
      <c r="AC448">
        <v>40</v>
      </c>
      <c r="AD448" t="s">
        <v>19566</v>
      </c>
      <c r="AE448" t="s">
        <v>19580</v>
      </c>
      <c r="AF448">
        <v>6</v>
      </c>
      <c r="AG448">
        <v>1</v>
      </c>
      <c r="AH448">
        <v>1</v>
      </c>
      <c r="AI448">
        <v>3.28</v>
      </c>
      <c r="AL448" t="s">
        <v>19615</v>
      </c>
      <c r="AM448">
        <v>540</v>
      </c>
      <c r="AS448">
        <v>2.5</v>
      </c>
      <c r="AT448" t="s">
        <v>664</v>
      </c>
      <c r="AU448" t="s">
        <v>106</v>
      </c>
    </row>
    <row r="449" spans="1:48">
      <c r="A449" s="1">
        <f>HYPERLINK("https://lsnyc.legalserver.org/matter/dynamic-profile/view/0815928","16-0815928")</f>
        <v>0</v>
      </c>
      <c r="B449" t="s">
        <v>67</v>
      </c>
      <c r="C449" t="s">
        <v>256</v>
      </c>
      <c r="D449" t="s">
        <v>517</v>
      </c>
      <c r="F449" t="s">
        <v>1264</v>
      </c>
      <c r="G449" t="s">
        <v>3456</v>
      </c>
      <c r="H449" t="s">
        <v>5800</v>
      </c>
      <c r="I449">
        <v>14</v>
      </c>
      <c r="J449" t="s">
        <v>9059</v>
      </c>
      <c r="K449">
        <v>11215</v>
      </c>
      <c r="L449" t="s">
        <v>9094</v>
      </c>
      <c r="M449" t="s">
        <v>9095</v>
      </c>
      <c r="N449" t="s">
        <v>9298</v>
      </c>
      <c r="O449" t="s">
        <v>11128</v>
      </c>
      <c r="P449" t="s">
        <v>11165</v>
      </c>
      <c r="R449" t="s">
        <v>11180</v>
      </c>
      <c r="T449" t="s">
        <v>11183</v>
      </c>
      <c r="V449" t="s">
        <v>856</v>
      </c>
      <c r="W449">
        <v>836.25</v>
      </c>
      <c r="X449" t="s">
        <v>11332</v>
      </c>
      <c r="Y449" t="s">
        <v>11342</v>
      </c>
      <c r="Z449" t="s">
        <v>11497</v>
      </c>
      <c r="AB449" t="s">
        <v>16000</v>
      </c>
      <c r="AC449">
        <v>20</v>
      </c>
      <c r="AD449" t="s">
        <v>19566</v>
      </c>
      <c r="AE449" t="s">
        <v>9144</v>
      </c>
      <c r="AF449">
        <v>38</v>
      </c>
      <c r="AG449">
        <v>3</v>
      </c>
      <c r="AH449">
        <v>0</v>
      </c>
      <c r="AI449">
        <v>3.41</v>
      </c>
      <c r="AL449" t="s">
        <v>19614</v>
      </c>
      <c r="AM449">
        <v>688</v>
      </c>
      <c r="AS449">
        <v>33.9</v>
      </c>
      <c r="AT449" t="s">
        <v>453</v>
      </c>
      <c r="AU449" t="s">
        <v>20630</v>
      </c>
    </row>
    <row r="450" spans="1:48">
      <c r="A450" s="1">
        <f>HYPERLINK("https://lsnyc.legalserver.org/matter/dynamic-profile/view/1895311","19-1895311")</f>
        <v>0</v>
      </c>
      <c r="B450" t="s">
        <v>90</v>
      </c>
      <c r="C450" t="s">
        <v>257</v>
      </c>
      <c r="D450" t="s">
        <v>264</v>
      </c>
      <c r="E450" t="s">
        <v>597</v>
      </c>
      <c r="F450" t="s">
        <v>1436</v>
      </c>
      <c r="G450" t="s">
        <v>3618</v>
      </c>
      <c r="H450" t="s">
        <v>5805</v>
      </c>
      <c r="I450" t="s">
        <v>8112</v>
      </c>
      <c r="J450" t="s">
        <v>9059</v>
      </c>
      <c r="K450">
        <v>11213</v>
      </c>
      <c r="L450" t="s">
        <v>9094</v>
      </c>
      <c r="M450" t="s">
        <v>9094</v>
      </c>
      <c r="N450" t="s">
        <v>9182</v>
      </c>
      <c r="O450" t="s">
        <v>11141</v>
      </c>
      <c r="P450" t="s">
        <v>11170</v>
      </c>
      <c r="Q450" t="s">
        <v>11172</v>
      </c>
      <c r="R450" t="s">
        <v>11180</v>
      </c>
      <c r="S450" t="s">
        <v>9094</v>
      </c>
      <c r="T450" t="s">
        <v>11185</v>
      </c>
      <c r="U450" t="s">
        <v>11201</v>
      </c>
      <c r="V450" t="s">
        <v>264</v>
      </c>
      <c r="W450">
        <v>643.51</v>
      </c>
      <c r="X450" t="s">
        <v>11332</v>
      </c>
      <c r="Y450" t="s">
        <v>11340</v>
      </c>
      <c r="Z450" t="s">
        <v>11699</v>
      </c>
      <c r="AA450" t="s">
        <v>9144</v>
      </c>
      <c r="AB450" t="s">
        <v>16171</v>
      </c>
      <c r="AC450">
        <v>19</v>
      </c>
      <c r="AD450" t="s">
        <v>19566</v>
      </c>
      <c r="AE450" t="s">
        <v>9144</v>
      </c>
      <c r="AF450">
        <v>7</v>
      </c>
      <c r="AG450">
        <v>2</v>
      </c>
      <c r="AH450">
        <v>2</v>
      </c>
      <c r="AI450">
        <v>3.96</v>
      </c>
      <c r="AL450" t="s">
        <v>19614</v>
      </c>
      <c r="AM450">
        <v>1020</v>
      </c>
      <c r="AS450">
        <v>0.2</v>
      </c>
      <c r="AT450" t="s">
        <v>614</v>
      </c>
      <c r="AU450" t="s">
        <v>79</v>
      </c>
      <c r="AV450" t="s">
        <v>20733</v>
      </c>
    </row>
    <row r="451" spans="1:48">
      <c r="A451" s="1">
        <f>HYPERLINK("https://lsnyc.legalserver.org/matter/dynamic-profile/view/1912586","19-1912586")</f>
        <v>0</v>
      </c>
      <c r="B451" t="s">
        <v>114</v>
      </c>
      <c r="C451" t="s">
        <v>257</v>
      </c>
      <c r="D451" t="s">
        <v>263</v>
      </c>
      <c r="E451" t="s">
        <v>286</v>
      </c>
      <c r="F451" t="s">
        <v>1437</v>
      </c>
      <c r="G451" t="s">
        <v>3619</v>
      </c>
      <c r="H451" t="s">
        <v>5981</v>
      </c>
      <c r="I451" t="s">
        <v>8272</v>
      </c>
      <c r="J451" t="s">
        <v>9065</v>
      </c>
      <c r="K451">
        <v>10457</v>
      </c>
      <c r="L451" t="s">
        <v>9094</v>
      </c>
      <c r="M451" t="s">
        <v>9095</v>
      </c>
      <c r="N451" t="s">
        <v>9299</v>
      </c>
      <c r="O451" t="s">
        <v>11129</v>
      </c>
      <c r="P451" t="s">
        <v>11164</v>
      </c>
      <c r="Q451" t="s">
        <v>11172</v>
      </c>
      <c r="R451" t="s">
        <v>11180</v>
      </c>
      <c r="T451" t="s">
        <v>11183</v>
      </c>
      <c r="W451">
        <v>466</v>
      </c>
      <c r="X451" t="s">
        <v>11333</v>
      </c>
      <c r="Y451" t="s">
        <v>11157</v>
      </c>
      <c r="Z451" t="s">
        <v>11700</v>
      </c>
      <c r="AB451" t="s">
        <v>16172</v>
      </c>
      <c r="AC451">
        <v>60</v>
      </c>
      <c r="AD451" t="s">
        <v>19570</v>
      </c>
      <c r="AF451">
        <v>37</v>
      </c>
      <c r="AG451">
        <v>1</v>
      </c>
      <c r="AH451">
        <v>0</v>
      </c>
      <c r="AI451">
        <v>4</v>
      </c>
      <c r="AL451" t="s">
        <v>19614</v>
      </c>
      <c r="AM451">
        <v>500</v>
      </c>
      <c r="AS451">
        <v>2.4</v>
      </c>
      <c r="AT451" t="s">
        <v>286</v>
      </c>
      <c r="AU451" t="s">
        <v>20638</v>
      </c>
      <c r="AV451" t="s">
        <v>20733</v>
      </c>
    </row>
    <row r="452" spans="1:48">
      <c r="A452" s="1">
        <f>HYPERLINK("https://lsnyc.legalserver.org/matter/dynamic-profile/view/1887906","19-1887906")</f>
        <v>0</v>
      </c>
      <c r="B452" t="s">
        <v>78</v>
      </c>
      <c r="C452" t="s">
        <v>256</v>
      </c>
      <c r="D452" t="s">
        <v>443</v>
      </c>
      <c r="F452" t="s">
        <v>1436</v>
      </c>
      <c r="G452" t="s">
        <v>3618</v>
      </c>
      <c r="H452" t="s">
        <v>5805</v>
      </c>
      <c r="I452" t="s">
        <v>8112</v>
      </c>
      <c r="J452" t="s">
        <v>9059</v>
      </c>
      <c r="K452">
        <v>11213</v>
      </c>
      <c r="L452" t="s">
        <v>9094</v>
      </c>
      <c r="M452" t="s">
        <v>9094</v>
      </c>
      <c r="O452" t="s">
        <v>11134</v>
      </c>
      <c r="P452" t="s">
        <v>11168</v>
      </c>
      <c r="R452" t="s">
        <v>11180</v>
      </c>
      <c r="S452" t="s">
        <v>9094</v>
      </c>
      <c r="T452" t="s">
        <v>11183</v>
      </c>
      <c r="V452" t="s">
        <v>945</v>
      </c>
      <c r="W452">
        <v>643.51</v>
      </c>
      <c r="X452" t="s">
        <v>11332</v>
      </c>
      <c r="Y452" t="s">
        <v>11157</v>
      </c>
      <c r="Z452" t="s">
        <v>11699</v>
      </c>
      <c r="AB452" t="s">
        <v>16171</v>
      </c>
      <c r="AC452">
        <v>19</v>
      </c>
      <c r="AD452" t="s">
        <v>19566</v>
      </c>
      <c r="AE452" t="s">
        <v>9144</v>
      </c>
      <c r="AF452">
        <v>7</v>
      </c>
      <c r="AG452">
        <v>2</v>
      </c>
      <c r="AH452">
        <v>2</v>
      </c>
      <c r="AI452">
        <v>4.06</v>
      </c>
      <c r="AL452" t="s">
        <v>19614</v>
      </c>
      <c r="AM452">
        <v>1020</v>
      </c>
      <c r="AS452">
        <v>0</v>
      </c>
      <c r="AU452" t="s">
        <v>79</v>
      </c>
    </row>
    <row r="453" spans="1:48">
      <c r="A453" s="1">
        <f>HYPERLINK("https://lsnyc.legalserver.org/matter/dynamic-profile/view/1864740","18-1864740")</f>
        <v>0</v>
      </c>
      <c r="B453" t="s">
        <v>136</v>
      </c>
      <c r="C453" t="s">
        <v>256</v>
      </c>
      <c r="D453" t="s">
        <v>518</v>
      </c>
      <c r="F453" t="s">
        <v>1438</v>
      </c>
      <c r="G453" t="s">
        <v>3620</v>
      </c>
      <c r="H453" t="s">
        <v>5961</v>
      </c>
      <c r="I453">
        <v>812</v>
      </c>
      <c r="J453" t="s">
        <v>9067</v>
      </c>
      <c r="K453">
        <v>10029</v>
      </c>
      <c r="L453" t="s">
        <v>9094</v>
      </c>
      <c r="M453" t="s">
        <v>9094</v>
      </c>
      <c r="N453" t="s">
        <v>9287</v>
      </c>
      <c r="O453" t="s">
        <v>11130</v>
      </c>
      <c r="P453" t="s">
        <v>11165</v>
      </c>
      <c r="R453" t="s">
        <v>11180</v>
      </c>
      <c r="S453" t="s">
        <v>9094</v>
      </c>
      <c r="T453" t="s">
        <v>11183</v>
      </c>
      <c r="U453" t="s">
        <v>11201</v>
      </c>
      <c r="V453" t="s">
        <v>518</v>
      </c>
      <c r="W453">
        <v>0</v>
      </c>
      <c r="X453" t="s">
        <v>11335</v>
      </c>
      <c r="Y453" t="s">
        <v>11339</v>
      </c>
      <c r="Z453" t="s">
        <v>11701</v>
      </c>
      <c r="AA453">
        <v>5261582</v>
      </c>
      <c r="AC453">
        <v>108</v>
      </c>
      <c r="AD453" t="s">
        <v>19567</v>
      </c>
      <c r="AE453" t="s">
        <v>19580</v>
      </c>
      <c r="AF453">
        <v>14</v>
      </c>
      <c r="AG453">
        <v>1</v>
      </c>
      <c r="AH453">
        <v>4</v>
      </c>
      <c r="AI453">
        <v>4.08</v>
      </c>
      <c r="AL453" t="s">
        <v>19614</v>
      </c>
      <c r="AM453">
        <v>1200</v>
      </c>
      <c r="AS453">
        <v>0.5</v>
      </c>
      <c r="AT453" t="s">
        <v>289</v>
      </c>
      <c r="AU453" t="s">
        <v>20657</v>
      </c>
    </row>
    <row r="454" spans="1:48">
      <c r="A454" s="1">
        <f>HYPERLINK("https://lsnyc.legalserver.org/matter/dynamic-profile/view/0822111","16-0822111")</f>
        <v>0</v>
      </c>
      <c r="B454" t="s">
        <v>103</v>
      </c>
      <c r="C454" t="s">
        <v>256</v>
      </c>
      <c r="D454" t="s">
        <v>519</v>
      </c>
      <c r="F454" t="s">
        <v>1439</v>
      </c>
      <c r="G454" t="s">
        <v>3621</v>
      </c>
      <c r="H454" t="s">
        <v>5899</v>
      </c>
      <c r="I454" t="s">
        <v>8124</v>
      </c>
      <c r="J454" t="s">
        <v>9065</v>
      </c>
      <c r="K454">
        <v>10452</v>
      </c>
      <c r="L454" t="s">
        <v>9094</v>
      </c>
      <c r="M454" t="s">
        <v>9095</v>
      </c>
      <c r="O454" t="s">
        <v>11135</v>
      </c>
      <c r="P454" t="s">
        <v>11168</v>
      </c>
      <c r="R454" t="s">
        <v>11180</v>
      </c>
      <c r="S454" t="s">
        <v>9094</v>
      </c>
      <c r="T454" t="s">
        <v>11183</v>
      </c>
      <c r="V454" t="s">
        <v>519</v>
      </c>
      <c r="W454">
        <v>0</v>
      </c>
      <c r="X454" t="s">
        <v>11333</v>
      </c>
      <c r="Y454" t="s">
        <v>11346</v>
      </c>
      <c r="Z454" t="s">
        <v>11439</v>
      </c>
      <c r="AB454" t="s">
        <v>16173</v>
      </c>
      <c r="AC454">
        <v>63</v>
      </c>
      <c r="AD454" t="s">
        <v>19566</v>
      </c>
      <c r="AE454" t="s">
        <v>19580</v>
      </c>
      <c r="AF454">
        <v>0</v>
      </c>
      <c r="AG454">
        <v>2</v>
      </c>
      <c r="AH454">
        <v>0</v>
      </c>
      <c r="AI454">
        <v>4.19</v>
      </c>
      <c r="AL454" t="s">
        <v>19615</v>
      </c>
      <c r="AM454">
        <v>671</v>
      </c>
      <c r="AS454">
        <v>0</v>
      </c>
      <c r="AU454" t="s">
        <v>20643</v>
      </c>
    </row>
    <row r="455" spans="1:48">
      <c r="A455" s="1">
        <f>HYPERLINK("https://lsnyc.legalserver.org/matter/dynamic-profile/view/1854787","17-1854787")</f>
        <v>0</v>
      </c>
      <c r="B455" t="s">
        <v>146</v>
      </c>
      <c r="C455" t="s">
        <v>257</v>
      </c>
      <c r="D455" t="s">
        <v>520</v>
      </c>
      <c r="E455" t="s">
        <v>307</v>
      </c>
      <c r="F455" t="s">
        <v>1440</v>
      </c>
      <c r="G455" t="s">
        <v>3418</v>
      </c>
      <c r="H455" t="s">
        <v>5982</v>
      </c>
      <c r="I455" t="s">
        <v>8132</v>
      </c>
      <c r="J455" t="s">
        <v>9065</v>
      </c>
      <c r="K455">
        <v>10453</v>
      </c>
      <c r="L455" t="s">
        <v>9094</v>
      </c>
      <c r="M455" t="s">
        <v>9095</v>
      </c>
      <c r="N455" t="s">
        <v>9300</v>
      </c>
      <c r="O455" t="s">
        <v>11128</v>
      </c>
      <c r="P455" t="s">
        <v>11165</v>
      </c>
      <c r="Q455" t="s">
        <v>11174</v>
      </c>
      <c r="R455" t="s">
        <v>11180</v>
      </c>
      <c r="S455" t="s">
        <v>9096</v>
      </c>
      <c r="T455" t="s">
        <v>11183</v>
      </c>
      <c r="U455" t="s">
        <v>11201</v>
      </c>
      <c r="V455" t="s">
        <v>828</v>
      </c>
      <c r="W455">
        <v>1275</v>
      </c>
      <c r="X455" t="s">
        <v>11333</v>
      </c>
      <c r="Y455" t="s">
        <v>11349</v>
      </c>
      <c r="Z455" t="s">
        <v>11702</v>
      </c>
      <c r="AA455" t="s">
        <v>15326</v>
      </c>
      <c r="AB455" t="s">
        <v>16174</v>
      </c>
      <c r="AC455">
        <v>65</v>
      </c>
      <c r="AD455" t="s">
        <v>19566</v>
      </c>
      <c r="AE455" t="s">
        <v>19582</v>
      </c>
      <c r="AF455">
        <v>5</v>
      </c>
      <c r="AG455">
        <v>1</v>
      </c>
      <c r="AH455">
        <v>3</v>
      </c>
      <c r="AI455">
        <v>4.59</v>
      </c>
      <c r="AL455" t="s">
        <v>19615</v>
      </c>
      <c r="AM455">
        <v>1128</v>
      </c>
      <c r="AN455" t="s">
        <v>19699</v>
      </c>
      <c r="AO455" t="s">
        <v>20290</v>
      </c>
      <c r="AP455" t="s">
        <v>20317</v>
      </c>
      <c r="AQ455" t="s">
        <v>20369</v>
      </c>
      <c r="AR455" t="s">
        <v>20396</v>
      </c>
      <c r="AS455">
        <v>20.5</v>
      </c>
      <c r="AT455" t="s">
        <v>1092</v>
      </c>
      <c r="AU455" t="s">
        <v>20661</v>
      </c>
    </row>
    <row r="456" spans="1:48">
      <c r="A456" s="1">
        <f>HYPERLINK("https://lsnyc.legalserver.org/matter/dynamic-profile/view/1913813","19-1913813")</f>
        <v>0</v>
      </c>
      <c r="B456" t="s">
        <v>117</v>
      </c>
      <c r="C456" t="s">
        <v>256</v>
      </c>
      <c r="D456" t="s">
        <v>301</v>
      </c>
      <c r="F456" t="s">
        <v>1441</v>
      </c>
      <c r="G456" t="s">
        <v>1959</v>
      </c>
      <c r="H456" t="s">
        <v>5983</v>
      </c>
      <c r="I456" t="s">
        <v>8132</v>
      </c>
      <c r="J456" t="s">
        <v>9065</v>
      </c>
      <c r="K456">
        <v>10453</v>
      </c>
      <c r="L456" t="s">
        <v>9094</v>
      </c>
      <c r="M456" t="s">
        <v>9095</v>
      </c>
      <c r="P456" t="s">
        <v>11164</v>
      </c>
      <c r="R456" t="s">
        <v>11180</v>
      </c>
      <c r="S456" t="s">
        <v>9096</v>
      </c>
      <c r="T456" t="s">
        <v>11183</v>
      </c>
      <c r="V456" t="s">
        <v>301</v>
      </c>
      <c r="W456">
        <v>1120</v>
      </c>
      <c r="X456" t="s">
        <v>11333</v>
      </c>
      <c r="Y456" t="s">
        <v>11346</v>
      </c>
      <c r="Z456" t="s">
        <v>11703</v>
      </c>
      <c r="AB456" t="s">
        <v>16175</v>
      </c>
      <c r="AC456">
        <v>31</v>
      </c>
      <c r="AF456">
        <v>35</v>
      </c>
      <c r="AG456">
        <v>2</v>
      </c>
      <c r="AH456">
        <v>0</v>
      </c>
      <c r="AI456">
        <v>4.73</v>
      </c>
      <c r="AL456" t="s">
        <v>19615</v>
      </c>
      <c r="AM456">
        <v>800</v>
      </c>
      <c r="AS456">
        <v>1.8</v>
      </c>
      <c r="AT456" t="s">
        <v>301</v>
      </c>
      <c r="AU456" t="s">
        <v>117</v>
      </c>
    </row>
    <row r="457" spans="1:48">
      <c r="A457" s="1">
        <f>HYPERLINK("https://lsnyc.legalserver.org/matter/dynamic-profile/view/1907774","19-1907774")</f>
        <v>0</v>
      </c>
      <c r="B457" t="s">
        <v>78</v>
      </c>
      <c r="C457" t="s">
        <v>256</v>
      </c>
      <c r="D457" t="s">
        <v>396</v>
      </c>
      <c r="F457" t="s">
        <v>1442</v>
      </c>
      <c r="G457" t="s">
        <v>2166</v>
      </c>
      <c r="H457" t="s">
        <v>5984</v>
      </c>
      <c r="I457" t="s">
        <v>8223</v>
      </c>
      <c r="J457" t="s">
        <v>9059</v>
      </c>
      <c r="K457">
        <v>11212</v>
      </c>
      <c r="L457" t="s">
        <v>9094</v>
      </c>
      <c r="M457" t="s">
        <v>9095</v>
      </c>
      <c r="N457" t="s">
        <v>9144</v>
      </c>
      <c r="O457" t="s">
        <v>11137</v>
      </c>
      <c r="P457" t="s">
        <v>11167</v>
      </c>
      <c r="R457" t="s">
        <v>11180</v>
      </c>
      <c r="S457" t="s">
        <v>9094</v>
      </c>
      <c r="T457" t="s">
        <v>11183</v>
      </c>
      <c r="U457" t="s">
        <v>11201</v>
      </c>
      <c r="V457" t="s">
        <v>11228</v>
      </c>
      <c r="W457">
        <v>1047.01</v>
      </c>
      <c r="X457" t="s">
        <v>11332</v>
      </c>
      <c r="Y457" t="s">
        <v>11346</v>
      </c>
      <c r="Z457" t="s">
        <v>11704</v>
      </c>
      <c r="AB457" t="s">
        <v>16176</v>
      </c>
      <c r="AC457">
        <v>96</v>
      </c>
      <c r="AD457" t="s">
        <v>19566</v>
      </c>
      <c r="AE457" t="s">
        <v>9144</v>
      </c>
      <c r="AF457">
        <v>30</v>
      </c>
      <c r="AG457">
        <v>2</v>
      </c>
      <c r="AH457">
        <v>0</v>
      </c>
      <c r="AI457">
        <v>4.99</v>
      </c>
      <c r="AL457" t="s">
        <v>19614</v>
      </c>
      <c r="AM457">
        <v>843</v>
      </c>
      <c r="AS457">
        <v>0.08</v>
      </c>
      <c r="AT457" t="s">
        <v>664</v>
      </c>
      <c r="AU457" t="s">
        <v>79</v>
      </c>
      <c r="AV457" t="s">
        <v>20733</v>
      </c>
    </row>
    <row r="458" spans="1:48">
      <c r="A458" s="1">
        <f>HYPERLINK("https://lsnyc.legalserver.org/matter/dynamic-profile/view/1873666","18-1873666")</f>
        <v>0</v>
      </c>
      <c r="B458" t="s">
        <v>147</v>
      </c>
      <c r="C458" t="s">
        <v>256</v>
      </c>
      <c r="D458" t="s">
        <v>304</v>
      </c>
      <c r="F458" t="s">
        <v>1443</v>
      </c>
      <c r="G458" t="s">
        <v>3622</v>
      </c>
      <c r="H458" t="s">
        <v>5974</v>
      </c>
      <c r="I458">
        <v>418</v>
      </c>
      <c r="J458" t="s">
        <v>9066</v>
      </c>
      <c r="K458">
        <v>10304</v>
      </c>
      <c r="L458" t="s">
        <v>9095</v>
      </c>
      <c r="M458" t="s">
        <v>9095</v>
      </c>
      <c r="P458" t="s">
        <v>11165</v>
      </c>
      <c r="R458" t="s">
        <v>11180</v>
      </c>
      <c r="S458" t="s">
        <v>9096</v>
      </c>
      <c r="T458" t="s">
        <v>11190</v>
      </c>
      <c r="V458" t="s">
        <v>304</v>
      </c>
      <c r="W458">
        <v>0</v>
      </c>
      <c r="X458" t="s">
        <v>11334</v>
      </c>
      <c r="Z458" t="s">
        <v>11705</v>
      </c>
      <c r="AC458">
        <v>0</v>
      </c>
      <c r="AF458">
        <v>0</v>
      </c>
      <c r="AG458">
        <v>1</v>
      </c>
      <c r="AH458">
        <v>0</v>
      </c>
      <c r="AI458">
        <v>5.52</v>
      </c>
      <c r="AL458" t="s">
        <v>19620</v>
      </c>
      <c r="AM458">
        <v>670.6</v>
      </c>
      <c r="AS458">
        <v>28.35</v>
      </c>
      <c r="AT458" t="s">
        <v>270</v>
      </c>
      <c r="AU458" t="s">
        <v>20654</v>
      </c>
    </row>
    <row r="459" spans="1:48">
      <c r="A459" s="1">
        <f>HYPERLINK("https://lsnyc.legalserver.org/matter/dynamic-profile/view/1907060","19-1907060")</f>
        <v>0</v>
      </c>
      <c r="B459" t="s">
        <v>57</v>
      </c>
      <c r="C459" t="s">
        <v>256</v>
      </c>
      <c r="D459" t="s">
        <v>498</v>
      </c>
      <c r="F459" t="s">
        <v>1137</v>
      </c>
      <c r="G459" t="s">
        <v>3623</v>
      </c>
      <c r="H459" t="s">
        <v>5985</v>
      </c>
      <c r="I459">
        <v>2</v>
      </c>
      <c r="J459" t="s">
        <v>9048</v>
      </c>
      <c r="K459">
        <v>11385</v>
      </c>
      <c r="L459" t="s">
        <v>9094</v>
      </c>
      <c r="M459" t="s">
        <v>9095</v>
      </c>
      <c r="N459" t="s">
        <v>9102</v>
      </c>
      <c r="O459" t="s">
        <v>9121</v>
      </c>
      <c r="P459" t="s">
        <v>11167</v>
      </c>
      <c r="R459" t="s">
        <v>11180</v>
      </c>
      <c r="S459" t="s">
        <v>9096</v>
      </c>
      <c r="T459" t="s">
        <v>11183</v>
      </c>
      <c r="U459" t="s">
        <v>11201</v>
      </c>
      <c r="W459">
        <v>1495</v>
      </c>
      <c r="X459" t="s">
        <v>11331</v>
      </c>
      <c r="Y459" t="s">
        <v>11346</v>
      </c>
      <c r="Z459" t="s">
        <v>11706</v>
      </c>
      <c r="AB459" t="s">
        <v>16177</v>
      </c>
      <c r="AC459">
        <v>6</v>
      </c>
      <c r="AD459" t="s">
        <v>19566</v>
      </c>
      <c r="AE459" t="s">
        <v>19580</v>
      </c>
      <c r="AF459">
        <v>10</v>
      </c>
      <c r="AG459">
        <v>5</v>
      </c>
      <c r="AH459">
        <v>0</v>
      </c>
      <c r="AI459">
        <v>5.6</v>
      </c>
      <c r="AL459" t="s">
        <v>19614</v>
      </c>
      <c r="AM459">
        <v>1690</v>
      </c>
      <c r="AS459">
        <v>8.1</v>
      </c>
      <c r="AT459" t="s">
        <v>1063</v>
      </c>
      <c r="AU459" t="s">
        <v>59</v>
      </c>
      <c r="AV459" t="s">
        <v>20733</v>
      </c>
    </row>
    <row r="460" spans="1:48">
      <c r="A460" s="1">
        <f>HYPERLINK("https://lsnyc.legalserver.org/matter/dynamic-profile/view/1913644","19-1913644")</f>
        <v>0</v>
      </c>
      <c r="B460" t="s">
        <v>71</v>
      </c>
      <c r="C460" t="s">
        <v>256</v>
      </c>
      <c r="D460" t="s">
        <v>521</v>
      </c>
      <c r="F460" t="s">
        <v>1444</v>
      </c>
      <c r="G460" t="s">
        <v>3624</v>
      </c>
      <c r="H460" t="s">
        <v>5811</v>
      </c>
      <c r="J460" t="s">
        <v>9059</v>
      </c>
      <c r="K460">
        <v>11212</v>
      </c>
      <c r="L460" t="s">
        <v>9095</v>
      </c>
      <c r="M460" t="s">
        <v>9095</v>
      </c>
      <c r="N460" t="s">
        <v>9301</v>
      </c>
      <c r="O460" t="s">
        <v>11129</v>
      </c>
      <c r="P460" t="s">
        <v>11169</v>
      </c>
      <c r="R460" t="s">
        <v>11180</v>
      </c>
      <c r="S460" t="s">
        <v>9096</v>
      </c>
      <c r="T460" t="s">
        <v>11183</v>
      </c>
      <c r="W460">
        <v>1417.68</v>
      </c>
      <c r="X460" t="s">
        <v>11332</v>
      </c>
      <c r="Y460" t="s">
        <v>11157</v>
      </c>
      <c r="Z460" t="s">
        <v>11707</v>
      </c>
      <c r="AA460" t="s">
        <v>15327</v>
      </c>
      <c r="AB460" t="s">
        <v>16178</v>
      </c>
      <c r="AC460">
        <v>19</v>
      </c>
      <c r="AD460" t="s">
        <v>19566</v>
      </c>
      <c r="AE460" t="s">
        <v>19580</v>
      </c>
      <c r="AF460">
        <v>8</v>
      </c>
      <c r="AG460">
        <v>2</v>
      </c>
      <c r="AH460">
        <v>0</v>
      </c>
      <c r="AI460">
        <v>5.79</v>
      </c>
      <c r="AL460" t="s">
        <v>19614</v>
      </c>
      <c r="AM460">
        <v>978.6</v>
      </c>
      <c r="AS460">
        <v>1</v>
      </c>
      <c r="AT460" t="s">
        <v>703</v>
      </c>
      <c r="AU460" t="s">
        <v>79</v>
      </c>
    </row>
    <row r="461" spans="1:48">
      <c r="A461" s="1">
        <f>HYPERLINK("https://lsnyc.legalserver.org/matter/dynamic-profile/view/1895282","19-1895282")</f>
        <v>0</v>
      </c>
      <c r="B461" t="s">
        <v>52</v>
      </c>
      <c r="C461" t="s">
        <v>257</v>
      </c>
      <c r="D461" t="s">
        <v>264</v>
      </c>
      <c r="E461" t="s">
        <v>1016</v>
      </c>
      <c r="F461" t="s">
        <v>1445</v>
      </c>
      <c r="G461" t="s">
        <v>3411</v>
      </c>
      <c r="H461" t="s">
        <v>5693</v>
      </c>
      <c r="I461" t="s">
        <v>8273</v>
      </c>
      <c r="J461" t="s">
        <v>9038</v>
      </c>
      <c r="K461">
        <v>11691</v>
      </c>
      <c r="L461" t="s">
        <v>9094</v>
      </c>
      <c r="M461" t="s">
        <v>9094</v>
      </c>
      <c r="O461" t="s">
        <v>9121</v>
      </c>
      <c r="P461" t="s">
        <v>11167</v>
      </c>
      <c r="Q461" t="s">
        <v>11173</v>
      </c>
      <c r="R461" t="s">
        <v>11180</v>
      </c>
      <c r="S461" t="s">
        <v>9096</v>
      </c>
      <c r="T461" t="s">
        <v>11183</v>
      </c>
      <c r="U461" t="s">
        <v>11201</v>
      </c>
      <c r="V461" t="s">
        <v>278</v>
      </c>
      <c r="W461">
        <v>1500</v>
      </c>
      <c r="X461" t="s">
        <v>11331</v>
      </c>
      <c r="Y461" t="s">
        <v>11339</v>
      </c>
      <c r="Z461" t="s">
        <v>11708</v>
      </c>
      <c r="AA461" t="s">
        <v>15274</v>
      </c>
      <c r="AB461" t="s">
        <v>15274</v>
      </c>
      <c r="AC461">
        <v>917</v>
      </c>
      <c r="AD461" t="s">
        <v>19566</v>
      </c>
      <c r="AE461" t="s">
        <v>19580</v>
      </c>
      <c r="AF461">
        <v>5</v>
      </c>
      <c r="AG461">
        <v>1</v>
      </c>
      <c r="AH461">
        <v>0</v>
      </c>
      <c r="AI461">
        <v>6.1</v>
      </c>
      <c r="AL461" t="s">
        <v>19614</v>
      </c>
      <c r="AM461">
        <v>762</v>
      </c>
      <c r="AS461">
        <v>0.8</v>
      </c>
      <c r="AT461" t="s">
        <v>1016</v>
      </c>
      <c r="AU461" t="s">
        <v>52</v>
      </c>
      <c r="AV461" t="s">
        <v>20733</v>
      </c>
    </row>
    <row r="462" spans="1:48">
      <c r="A462" s="1">
        <f>HYPERLINK("https://lsnyc.legalserver.org/matter/dynamic-profile/view/0814120","16-0814120")</f>
        <v>0</v>
      </c>
      <c r="B462" t="s">
        <v>60</v>
      </c>
      <c r="C462" t="s">
        <v>256</v>
      </c>
      <c r="D462" t="s">
        <v>522</v>
      </c>
      <c r="F462" t="s">
        <v>1446</v>
      </c>
      <c r="G462" t="s">
        <v>3625</v>
      </c>
      <c r="H462" t="s">
        <v>5986</v>
      </c>
      <c r="I462" t="s">
        <v>8189</v>
      </c>
      <c r="J462" t="s">
        <v>9055</v>
      </c>
      <c r="K462">
        <v>11354</v>
      </c>
      <c r="L462" t="s">
        <v>9094</v>
      </c>
      <c r="M462" t="s">
        <v>9095</v>
      </c>
      <c r="N462" t="s">
        <v>9102</v>
      </c>
      <c r="O462" t="s">
        <v>9121</v>
      </c>
      <c r="P462" t="s">
        <v>11164</v>
      </c>
      <c r="R462" t="s">
        <v>11180</v>
      </c>
      <c r="S462" t="s">
        <v>9096</v>
      </c>
      <c r="T462" t="s">
        <v>11183</v>
      </c>
      <c r="V462" t="s">
        <v>522</v>
      </c>
      <c r="W462">
        <v>2700</v>
      </c>
      <c r="X462" t="s">
        <v>11331</v>
      </c>
      <c r="Y462" t="s">
        <v>11351</v>
      </c>
      <c r="Z462" t="s">
        <v>11709</v>
      </c>
      <c r="AA462" t="s">
        <v>9325</v>
      </c>
      <c r="AC462">
        <v>61</v>
      </c>
      <c r="AD462" t="s">
        <v>19566</v>
      </c>
      <c r="AE462" t="s">
        <v>9144</v>
      </c>
      <c r="AF462">
        <v>1</v>
      </c>
      <c r="AG462">
        <v>2</v>
      </c>
      <c r="AH462">
        <v>0</v>
      </c>
      <c r="AI462">
        <v>6.24</v>
      </c>
      <c r="AL462" t="s">
        <v>19626</v>
      </c>
      <c r="AM462">
        <v>1000</v>
      </c>
      <c r="AS462">
        <v>0.5</v>
      </c>
      <c r="AT462" t="s">
        <v>522</v>
      </c>
      <c r="AU462" t="s">
        <v>60</v>
      </c>
    </row>
    <row r="463" spans="1:48">
      <c r="A463" s="1">
        <f>HYPERLINK("https://lsnyc.legalserver.org/matter/dynamic-profile/view/1892917","19-1892917")</f>
        <v>0</v>
      </c>
      <c r="B463" t="s">
        <v>83</v>
      </c>
      <c r="C463" t="s">
        <v>256</v>
      </c>
      <c r="D463" t="s">
        <v>523</v>
      </c>
      <c r="F463" t="s">
        <v>1145</v>
      </c>
      <c r="G463" t="s">
        <v>3626</v>
      </c>
      <c r="H463" t="s">
        <v>5987</v>
      </c>
      <c r="I463" t="s">
        <v>8151</v>
      </c>
      <c r="J463" t="s">
        <v>9059</v>
      </c>
      <c r="K463">
        <v>11225</v>
      </c>
      <c r="L463" t="s">
        <v>9094</v>
      </c>
      <c r="M463" t="s">
        <v>9094</v>
      </c>
      <c r="O463" t="s">
        <v>11134</v>
      </c>
      <c r="P463" t="s">
        <v>11168</v>
      </c>
      <c r="R463" t="s">
        <v>11180</v>
      </c>
      <c r="S463" t="s">
        <v>9094</v>
      </c>
      <c r="T463" t="s">
        <v>11183</v>
      </c>
      <c r="V463" t="s">
        <v>577</v>
      </c>
      <c r="W463">
        <v>1108.02</v>
      </c>
      <c r="X463" t="s">
        <v>11332</v>
      </c>
      <c r="Z463" t="s">
        <v>11710</v>
      </c>
      <c r="AA463" t="s">
        <v>15328</v>
      </c>
      <c r="AB463" t="s">
        <v>16179</v>
      </c>
      <c r="AC463">
        <v>0</v>
      </c>
      <c r="AE463" t="s">
        <v>19580</v>
      </c>
      <c r="AF463">
        <v>13</v>
      </c>
      <c r="AG463">
        <v>1</v>
      </c>
      <c r="AH463">
        <v>0</v>
      </c>
      <c r="AI463">
        <v>6.85</v>
      </c>
      <c r="AL463" t="s">
        <v>19614</v>
      </c>
      <c r="AM463">
        <v>855.36</v>
      </c>
      <c r="AN463" t="s">
        <v>19700</v>
      </c>
      <c r="AS463">
        <v>2.6</v>
      </c>
      <c r="AT463" t="s">
        <v>993</v>
      </c>
      <c r="AU463" t="s">
        <v>215</v>
      </c>
      <c r="AV463" t="s">
        <v>20733</v>
      </c>
    </row>
    <row r="464" spans="1:48">
      <c r="A464" s="1">
        <f>HYPERLINK("https://lsnyc.legalserver.org/matter/dynamic-profile/view/1915017","19-1915017")</f>
        <v>0</v>
      </c>
      <c r="B464" t="s">
        <v>83</v>
      </c>
      <c r="C464" t="s">
        <v>256</v>
      </c>
      <c r="D464" t="s">
        <v>377</v>
      </c>
      <c r="F464" t="s">
        <v>1145</v>
      </c>
      <c r="G464" t="s">
        <v>3626</v>
      </c>
      <c r="H464" t="s">
        <v>5987</v>
      </c>
      <c r="I464" t="s">
        <v>8151</v>
      </c>
      <c r="J464" t="s">
        <v>9059</v>
      </c>
      <c r="K464">
        <v>11225</v>
      </c>
      <c r="L464" t="s">
        <v>9094</v>
      </c>
      <c r="M464" t="s">
        <v>9095</v>
      </c>
      <c r="P464" t="s">
        <v>11165</v>
      </c>
      <c r="R464" t="s">
        <v>11180</v>
      </c>
      <c r="S464" t="s">
        <v>9094</v>
      </c>
      <c r="T464" t="s">
        <v>11183</v>
      </c>
      <c r="V464" t="s">
        <v>523</v>
      </c>
      <c r="W464">
        <v>1108.02</v>
      </c>
      <c r="X464" t="s">
        <v>11332</v>
      </c>
      <c r="Z464" t="s">
        <v>11710</v>
      </c>
      <c r="AA464" t="s">
        <v>15328</v>
      </c>
      <c r="AB464" t="s">
        <v>16179</v>
      </c>
      <c r="AC464">
        <v>0</v>
      </c>
      <c r="AE464" t="s">
        <v>19580</v>
      </c>
      <c r="AF464">
        <v>13</v>
      </c>
      <c r="AG464">
        <v>1</v>
      </c>
      <c r="AH464">
        <v>0</v>
      </c>
      <c r="AI464">
        <v>6.85</v>
      </c>
      <c r="AL464" t="s">
        <v>19614</v>
      </c>
      <c r="AM464">
        <v>855.36</v>
      </c>
      <c r="AS464">
        <v>0</v>
      </c>
      <c r="AU464" t="s">
        <v>215</v>
      </c>
      <c r="AV464" t="s">
        <v>20733</v>
      </c>
    </row>
    <row r="465" spans="1:48">
      <c r="A465" s="1">
        <f>HYPERLINK("https://lsnyc.legalserver.org/matter/dynamic-profile/view/0794454","15-0794454")</f>
        <v>0</v>
      </c>
      <c r="B465" t="s">
        <v>80</v>
      </c>
      <c r="C465" t="s">
        <v>256</v>
      </c>
      <c r="D465" t="s">
        <v>524</v>
      </c>
      <c r="F465" t="s">
        <v>1447</v>
      </c>
      <c r="G465" t="s">
        <v>3498</v>
      </c>
      <c r="H465" t="s">
        <v>5988</v>
      </c>
      <c r="I465" t="s">
        <v>8274</v>
      </c>
      <c r="J465" t="s">
        <v>9059</v>
      </c>
      <c r="K465">
        <v>11208</v>
      </c>
      <c r="L465" t="s">
        <v>9096</v>
      </c>
      <c r="M465" t="s">
        <v>9095</v>
      </c>
      <c r="N465" t="s">
        <v>9302</v>
      </c>
      <c r="O465" t="s">
        <v>11128</v>
      </c>
      <c r="P465" t="s">
        <v>11165</v>
      </c>
      <c r="R465" t="s">
        <v>11180</v>
      </c>
      <c r="T465" t="s">
        <v>11183</v>
      </c>
      <c r="V465" t="s">
        <v>524</v>
      </c>
      <c r="W465">
        <v>535</v>
      </c>
      <c r="X465" t="s">
        <v>11332</v>
      </c>
      <c r="Y465" t="s">
        <v>11349</v>
      </c>
      <c r="Z465" t="s">
        <v>11711</v>
      </c>
      <c r="AB465" t="s">
        <v>16180</v>
      </c>
      <c r="AC465">
        <v>36</v>
      </c>
      <c r="AF465">
        <v>30</v>
      </c>
      <c r="AG465">
        <v>1</v>
      </c>
      <c r="AH465">
        <v>1</v>
      </c>
      <c r="AI465">
        <v>6.89</v>
      </c>
      <c r="AL465" t="s">
        <v>19614</v>
      </c>
      <c r="AM465">
        <v>1098</v>
      </c>
      <c r="AS465">
        <v>85.3</v>
      </c>
      <c r="AT465" t="s">
        <v>484</v>
      </c>
      <c r="AU465" t="s">
        <v>20626</v>
      </c>
    </row>
    <row r="466" spans="1:48">
      <c r="A466" s="1">
        <f>HYPERLINK("https://lsnyc.legalserver.org/matter/dynamic-profile/view/1864988","18-1864988")</f>
        <v>0</v>
      </c>
      <c r="B466" t="s">
        <v>108</v>
      </c>
      <c r="C466" t="s">
        <v>256</v>
      </c>
      <c r="D466" t="s">
        <v>525</v>
      </c>
      <c r="F466" t="s">
        <v>1352</v>
      </c>
      <c r="G466" t="s">
        <v>1386</v>
      </c>
      <c r="H466" t="s">
        <v>5891</v>
      </c>
      <c r="I466" t="s">
        <v>8234</v>
      </c>
      <c r="J466" t="s">
        <v>9065</v>
      </c>
      <c r="K466">
        <v>10453</v>
      </c>
      <c r="L466" t="s">
        <v>9094</v>
      </c>
      <c r="M466" t="s">
        <v>9095</v>
      </c>
      <c r="N466" t="s">
        <v>9303</v>
      </c>
      <c r="O466" t="s">
        <v>11129</v>
      </c>
      <c r="P466" t="s">
        <v>11165</v>
      </c>
      <c r="R466" t="s">
        <v>11180</v>
      </c>
      <c r="S466" t="s">
        <v>9096</v>
      </c>
      <c r="T466" t="s">
        <v>11183</v>
      </c>
      <c r="V466" t="s">
        <v>675</v>
      </c>
      <c r="W466">
        <v>0</v>
      </c>
      <c r="X466" t="s">
        <v>11333</v>
      </c>
      <c r="Y466" t="s">
        <v>11346</v>
      </c>
      <c r="Z466" t="s">
        <v>11601</v>
      </c>
      <c r="AB466" t="s">
        <v>16086</v>
      </c>
      <c r="AC466">
        <v>425</v>
      </c>
      <c r="AD466" t="s">
        <v>19576</v>
      </c>
      <c r="AE466" t="s">
        <v>19585</v>
      </c>
      <c r="AF466">
        <v>11</v>
      </c>
      <c r="AG466">
        <v>1</v>
      </c>
      <c r="AH466">
        <v>0</v>
      </c>
      <c r="AI466">
        <v>6.92</v>
      </c>
      <c r="AL466" t="s">
        <v>19614</v>
      </c>
      <c r="AM466">
        <v>840</v>
      </c>
      <c r="AS466">
        <v>64.59999999999999</v>
      </c>
      <c r="AT466" t="s">
        <v>487</v>
      </c>
      <c r="AU466" t="s">
        <v>20623</v>
      </c>
    </row>
    <row r="467" spans="1:48">
      <c r="A467" s="1">
        <f>HYPERLINK("https://lsnyc.legalserver.org/matter/dynamic-profile/view/1879764","18-1879764")</f>
        <v>0</v>
      </c>
      <c r="B467" t="s">
        <v>83</v>
      </c>
      <c r="C467" t="s">
        <v>256</v>
      </c>
      <c r="D467" t="s">
        <v>311</v>
      </c>
      <c r="F467" t="s">
        <v>1145</v>
      </c>
      <c r="G467" t="s">
        <v>3626</v>
      </c>
      <c r="H467" t="s">
        <v>5987</v>
      </c>
      <c r="I467" t="s">
        <v>8151</v>
      </c>
      <c r="J467" t="s">
        <v>9059</v>
      </c>
      <c r="K467">
        <v>11225</v>
      </c>
      <c r="L467" t="s">
        <v>9094</v>
      </c>
      <c r="M467" t="s">
        <v>9094</v>
      </c>
      <c r="N467" t="s">
        <v>9304</v>
      </c>
      <c r="O467" t="s">
        <v>11132</v>
      </c>
      <c r="P467" t="s">
        <v>11165</v>
      </c>
      <c r="R467" t="s">
        <v>11180</v>
      </c>
      <c r="T467" t="s">
        <v>11183</v>
      </c>
      <c r="V467" t="s">
        <v>610</v>
      </c>
      <c r="W467">
        <v>0</v>
      </c>
      <c r="X467" t="s">
        <v>11332</v>
      </c>
      <c r="Z467" t="s">
        <v>11710</v>
      </c>
      <c r="AA467" t="s">
        <v>15328</v>
      </c>
      <c r="AB467" t="s">
        <v>16179</v>
      </c>
      <c r="AC467">
        <v>0</v>
      </c>
      <c r="AF467">
        <v>0</v>
      </c>
      <c r="AG467">
        <v>1</v>
      </c>
      <c r="AH467">
        <v>0</v>
      </c>
      <c r="AI467">
        <v>7.05</v>
      </c>
      <c r="AL467" t="s">
        <v>19614</v>
      </c>
      <c r="AM467">
        <v>855.36</v>
      </c>
      <c r="AS467">
        <v>0</v>
      </c>
      <c r="AU467" t="s">
        <v>67</v>
      </c>
      <c r="AV467" t="s">
        <v>20734</v>
      </c>
    </row>
    <row r="468" spans="1:48">
      <c r="A468" s="1">
        <f>HYPERLINK("https://lsnyc.legalserver.org/matter/dynamic-profile/view/1894369","19-1894369")</f>
        <v>0</v>
      </c>
      <c r="B468" t="s">
        <v>73</v>
      </c>
      <c r="C468" t="s">
        <v>257</v>
      </c>
      <c r="D468" t="s">
        <v>526</v>
      </c>
      <c r="E468" t="s">
        <v>372</v>
      </c>
      <c r="F468" t="s">
        <v>1448</v>
      </c>
      <c r="G468" t="s">
        <v>2930</v>
      </c>
      <c r="H468" t="s">
        <v>5989</v>
      </c>
      <c r="I468" t="s">
        <v>8275</v>
      </c>
      <c r="J468" t="s">
        <v>9059</v>
      </c>
      <c r="K468">
        <v>11231</v>
      </c>
      <c r="L468" t="s">
        <v>9094</v>
      </c>
      <c r="M468" t="s">
        <v>9094</v>
      </c>
      <c r="N468" t="s">
        <v>9305</v>
      </c>
      <c r="O468" t="s">
        <v>11128</v>
      </c>
      <c r="P468" t="s">
        <v>11165</v>
      </c>
      <c r="Q468" t="s">
        <v>11179</v>
      </c>
      <c r="R468" t="s">
        <v>11180</v>
      </c>
      <c r="S468" t="s">
        <v>9096</v>
      </c>
      <c r="T468" t="s">
        <v>11183</v>
      </c>
      <c r="U468" t="s">
        <v>11201</v>
      </c>
      <c r="V468" t="s">
        <v>526</v>
      </c>
      <c r="W468">
        <v>0</v>
      </c>
      <c r="X468" t="s">
        <v>11332</v>
      </c>
      <c r="Y468" t="s">
        <v>11337</v>
      </c>
      <c r="Z468" t="s">
        <v>11712</v>
      </c>
      <c r="AA468" t="s">
        <v>9171</v>
      </c>
      <c r="AC468">
        <v>3</v>
      </c>
      <c r="AD468" t="s">
        <v>19565</v>
      </c>
      <c r="AE468" t="s">
        <v>9144</v>
      </c>
      <c r="AF468">
        <v>0</v>
      </c>
      <c r="AG468">
        <v>1</v>
      </c>
      <c r="AH468">
        <v>1</v>
      </c>
      <c r="AI468">
        <v>7.1</v>
      </c>
      <c r="AL468" t="s">
        <v>19623</v>
      </c>
      <c r="AM468">
        <v>1200</v>
      </c>
      <c r="AO468" t="s">
        <v>20290</v>
      </c>
      <c r="AP468" t="s">
        <v>20309</v>
      </c>
      <c r="AQ468" t="s">
        <v>20369</v>
      </c>
      <c r="AR468" t="s">
        <v>20395</v>
      </c>
      <c r="AS468">
        <v>6.6</v>
      </c>
      <c r="AT468" t="s">
        <v>367</v>
      </c>
      <c r="AU468" t="s">
        <v>79</v>
      </c>
    </row>
    <row r="469" spans="1:48">
      <c r="A469" s="1">
        <f>HYPERLINK("https://lsnyc.legalserver.org/matter/dynamic-profile/view/1894373","19-1894373")</f>
        <v>0</v>
      </c>
      <c r="B469" t="s">
        <v>73</v>
      </c>
      <c r="C469" t="s">
        <v>257</v>
      </c>
      <c r="D469" t="s">
        <v>526</v>
      </c>
      <c r="E469" t="s">
        <v>372</v>
      </c>
      <c r="F469" t="s">
        <v>1448</v>
      </c>
      <c r="G469" t="s">
        <v>2930</v>
      </c>
      <c r="H469" t="s">
        <v>5989</v>
      </c>
      <c r="I469" t="s">
        <v>8275</v>
      </c>
      <c r="J469" t="s">
        <v>9059</v>
      </c>
      <c r="K469">
        <v>11231</v>
      </c>
      <c r="L469" t="s">
        <v>9094</v>
      </c>
      <c r="M469" t="s">
        <v>9094</v>
      </c>
      <c r="N469" t="s">
        <v>9306</v>
      </c>
      <c r="O469" t="s">
        <v>11128</v>
      </c>
      <c r="P469" t="s">
        <v>11165</v>
      </c>
      <c r="Q469" t="s">
        <v>11174</v>
      </c>
      <c r="R469" t="s">
        <v>11180</v>
      </c>
      <c r="S469" t="s">
        <v>9096</v>
      </c>
      <c r="T469" t="s">
        <v>11183</v>
      </c>
      <c r="U469" t="s">
        <v>11201</v>
      </c>
      <c r="V469" t="s">
        <v>526</v>
      </c>
      <c r="W469">
        <v>0</v>
      </c>
      <c r="X469" t="s">
        <v>11332</v>
      </c>
      <c r="Y469" t="s">
        <v>11337</v>
      </c>
      <c r="Z469" t="s">
        <v>11712</v>
      </c>
      <c r="AC469">
        <v>3</v>
      </c>
      <c r="AD469" t="s">
        <v>19565</v>
      </c>
      <c r="AE469" t="s">
        <v>9144</v>
      </c>
      <c r="AF469">
        <v>0</v>
      </c>
      <c r="AG469">
        <v>1</v>
      </c>
      <c r="AH469">
        <v>1</v>
      </c>
      <c r="AI469">
        <v>7.1</v>
      </c>
      <c r="AL469" t="s">
        <v>19623</v>
      </c>
      <c r="AM469">
        <v>1200</v>
      </c>
      <c r="AQ469" t="s">
        <v>20368</v>
      </c>
      <c r="AR469" t="s">
        <v>20397</v>
      </c>
      <c r="AS469">
        <v>34.3</v>
      </c>
      <c r="AT469" t="s">
        <v>453</v>
      </c>
      <c r="AU469" t="s">
        <v>79</v>
      </c>
    </row>
    <row r="470" spans="1:48">
      <c r="A470" s="1">
        <f>HYPERLINK("https://lsnyc.legalserver.org/matter/dynamic-profile/view/1881125","18-1881125")</f>
        <v>0</v>
      </c>
      <c r="B470" t="s">
        <v>123</v>
      </c>
      <c r="C470" t="s">
        <v>256</v>
      </c>
      <c r="D470" t="s">
        <v>508</v>
      </c>
      <c r="F470" t="s">
        <v>1187</v>
      </c>
      <c r="G470" t="s">
        <v>3627</v>
      </c>
      <c r="H470" t="s">
        <v>5990</v>
      </c>
      <c r="I470" t="s">
        <v>8119</v>
      </c>
      <c r="J470" t="s">
        <v>9066</v>
      </c>
      <c r="K470">
        <v>10301</v>
      </c>
      <c r="L470" t="s">
        <v>9094</v>
      </c>
      <c r="M470" t="s">
        <v>9094</v>
      </c>
      <c r="N470" t="s">
        <v>9307</v>
      </c>
      <c r="O470" t="s">
        <v>11129</v>
      </c>
      <c r="P470" t="s">
        <v>11165</v>
      </c>
      <c r="R470" t="s">
        <v>11180</v>
      </c>
      <c r="S470" t="s">
        <v>9096</v>
      </c>
      <c r="T470" t="s">
        <v>11183</v>
      </c>
      <c r="U470" t="s">
        <v>11202</v>
      </c>
      <c r="V470" t="s">
        <v>508</v>
      </c>
      <c r="W470">
        <v>1650</v>
      </c>
      <c r="X470" t="s">
        <v>11334</v>
      </c>
      <c r="Y470" t="s">
        <v>11157</v>
      </c>
      <c r="Z470" t="s">
        <v>11713</v>
      </c>
      <c r="AA470" t="s">
        <v>15329</v>
      </c>
      <c r="AC470">
        <v>5</v>
      </c>
      <c r="AD470" t="s">
        <v>19565</v>
      </c>
      <c r="AE470" t="s">
        <v>9144</v>
      </c>
      <c r="AF470">
        <v>5</v>
      </c>
      <c r="AG470">
        <v>2</v>
      </c>
      <c r="AH470">
        <v>2</v>
      </c>
      <c r="AI470">
        <v>7.17</v>
      </c>
      <c r="AL470" t="s">
        <v>19614</v>
      </c>
      <c r="AM470">
        <v>1800</v>
      </c>
      <c r="AO470" t="s">
        <v>20294</v>
      </c>
      <c r="AS470">
        <v>58.9</v>
      </c>
      <c r="AT470" t="s">
        <v>270</v>
      </c>
      <c r="AU470" t="s">
        <v>20662</v>
      </c>
      <c r="AV470" t="s">
        <v>20733</v>
      </c>
    </row>
    <row r="471" spans="1:48">
      <c r="A471" s="1">
        <f>HYPERLINK("https://lsnyc.legalserver.org/matter/dynamic-profile/view/1846300","17-1846300")</f>
        <v>0</v>
      </c>
      <c r="B471" t="s">
        <v>148</v>
      </c>
      <c r="C471" t="s">
        <v>257</v>
      </c>
      <c r="D471" t="s">
        <v>527</v>
      </c>
      <c r="E471" t="s">
        <v>334</v>
      </c>
      <c r="F471" t="s">
        <v>1449</v>
      </c>
      <c r="G471" t="s">
        <v>3628</v>
      </c>
      <c r="H471" t="s">
        <v>5991</v>
      </c>
      <c r="I471" t="s">
        <v>8178</v>
      </c>
      <c r="J471" t="s">
        <v>9067</v>
      </c>
      <c r="K471">
        <v>10035</v>
      </c>
      <c r="L471" t="s">
        <v>9094</v>
      </c>
      <c r="M471" t="s">
        <v>9095</v>
      </c>
      <c r="N471" t="s">
        <v>9308</v>
      </c>
      <c r="O471" t="s">
        <v>11130</v>
      </c>
      <c r="P471" t="s">
        <v>11165</v>
      </c>
      <c r="Q471" t="s">
        <v>11174</v>
      </c>
      <c r="R471" t="s">
        <v>11180</v>
      </c>
      <c r="S471" t="s">
        <v>9094</v>
      </c>
      <c r="T471" t="s">
        <v>11183</v>
      </c>
      <c r="V471" t="s">
        <v>527</v>
      </c>
      <c r="W471">
        <v>1205.47</v>
      </c>
      <c r="X471" t="s">
        <v>11335</v>
      </c>
      <c r="Y471" t="s">
        <v>11339</v>
      </c>
      <c r="Z471" t="s">
        <v>11714</v>
      </c>
      <c r="AA471" t="s">
        <v>15330</v>
      </c>
      <c r="AC471">
        <v>35</v>
      </c>
      <c r="AD471" t="s">
        <v>19566</v>
      </c>
      <c r="AE471" t="s">
        <v>9144</v>
      </c>
      <c r="AF471">
        <v>15</v>
      </c>
      <c r="AG471">
        <v>1</v>
      </c>
      <c r="AH471">
        <v>2</v>
      </c>
      <c r="AI471">
        <v>7.35</v>
      </c>
      <c r="AL471" t="s">
        <v>19615</v>
      </c>
      <c r="AM471">
        <v>1500</v>
      </c>
      <c r="AN471" t="s">
        <v>19701</v>
      </c>
      <c r="AO471" t="s">
        <v>20296</v>
      </c>
      <c r="AP471" t="s">
        <v>20319</v>
      </c>
      <c r="AQ471" t="s">
        <v>20369</v>
      </c>
      <c r="AR471" t="s">
        <v>20398</v>
      </c>
      <c r="AS471">
        <v>6.4</v>
      </c>
      <c r="AT471" t="s">
        <v>597</v>
      </c>
      <c r="AU471" t="s">
        <v>20657</v>
      </c>
      <c r="AV471" t="s">
        <v>20733</v>
      </c>
    </row>
    <row r="472" spans="1:48">
      <c r="A472" s="1">
        <f>HYPERLINK("https://lsnyc.legalserver.org/matter/dynamic-profile/view/1884239","18-1884239")</f>
        <v>0</v>
      </c>
      <c r="B472" t="s">
        <v>114</v>
      </c>
      <c r="C472" t="s">
        <v>256</v>
      </c>
      <c r="D472" t="s">
        <v>343</v>
      </c>
      <c r="F472" t="s">
        <v>1450</v>
      </c>
      <c r="G472" t="s">
        <v>3629</v>
      </c>
      <c r="H472" t="s">
        <v>5992</v>
      </c>
      <c r="I472" t="s">
        <v>8276</v>
      </c>
      <c r="J472" t="s">
        <v>9065</v>
      </c>
      <c r="K472">
        <v>10458</v>
      </c>
      <c r="L472" t="s">
        <v>9094</v>
      </c>
      <c r="M472" t="s">
        <v>9094</v>
      </c>
      <c r="N472" t="s">
        <v>9309</v>
      </c>
      <c r="O472" t="s">
        <v>11129</v>
      </c>
      <c r="P472" t="s">
        <v>11165</v>
      </c>
      <c r="R472" t="s">
        <v>11180</v>
      </c>
      <c r="T472" t="s">
        <v>11183</v>
      </c>
      <c r="V472" t="s">
        <v>343</v>
      </c>
      <c r="W472">
        <v>2600</v>
      </c>
      <c r="X472" t="s">
        <v>11333</v>
      </c>
      <c r="Y472" t="s">
        <v>11336</v>
      </c>
      <c r="Z472" t="s">
        <v>11715</v>
      </c>
      <c r="AA472" t="s">
        <v>15331</v>
      </c>
      <c r="AB472" t="s">
        <v>16181</v>
      </c>
      <c r="AC472">
        <v>0</v>
      </c>
      <c r="AD472" t="s">
        <v>15441</v>
      </c>
      <c r="AF472">
        <v>0</v>
      </c>
      <c r="AG472">
        <v>1</v>
      </c>
      <c r="AH472">
        <v>2</v>
      </c>
      <c r="AI472">
        <v>7.38</v>
      </c>
      <c r="AL472" t="s">
        <v>19615</v>
      </c>
      <c r="AM472">
        <v>1534</v>
      </c>
      <c r="AS472">
        <v>9.300000000000001</v>
      </c>
      <c r="AT472" t="s">
        <v>448</v>
      </c>
      <c r="AU472" t="s">
        <v>20650</v>
      </c>
    </row>
    <row r="473" spans="1:48">
      <c r="A473" s="1">
        <f>HYPERLINK("https://lsnyc.legalserver.org/matter/dynamic-profile/view/0794225","15-0794225")</f>
        <v>0</v>
      </c>
      <c r="B473" t="s">
        <v>101</v>
      </c>
      <c r="C473" t="s">
        <v>256</v>
      </c>
      <c r="D473" t="s">
        <v>528</v>
      </c>
      <c r="F473" t="s">
        <v>1147</v>
      </c>
      <c r="G473" t="s">
        <v>3630</v>
      </c>
      <c r="H473" t="s">
        <v>5890</v>
      </c>
      <c r="I473" t="s">
        <v>8277</v>
      </c>
      <c r="J473" t="s">
        <v>9065</v>
      </c>
      <c r="K473">
        <v>10453</v>
      </c>
      <c r="L473" t="s">
        <v>9094</v>
      </c>
      <c r="M473" t="s">
        <v>9095</v>
      </c>
      <c r="N473" t="s">
        <v>9310</v>
      </c>
      <c r="O473" t="s">
        <v>11147</v>
      </c>
      <c r="P473" t="s">
        <v>11165</v>
      </c>
      <c r="R473" t="s">
        <v>11180</v>
      </c>
      <c r="S473" t="s">
        <v>9094</v>
      </c>
      <c r="T473" t="s">
        <v>11183</v>
      </c>
      <c r="V473" t="s">
        <v>1113</v>
      </c>
      <c r="W473">
        <v>0</v>
      </c>
      <c r="X473" t="s">
        <v>11333</v>
      </c>
      <c r="Y473" t="s">
        <v>11338</v>
      </c>
      <c r="Z473" t="s">
        <v>11610</v>
      </c>
      <c r="AC473">
        <v>0</v>
      </c>
      <c r="AD473" t="s">
        <v>19566</v>
      </c>
      <c r="AF473">
        <v>3</v>
      </c>
      <c r="AG473">
        <v>1</v>
      </c>
      <c r="AH473">
        <v>2</v>
      </c>
      <c r="AI473">
        <v>7.77</v>
      </c>
      <c r="AL473" t="s">
        <v>19615</v>
      </c>
      <c r="AM473">
        <v>1560</v>
      </c>
      <c r="AS473">
        <v>0.32</v>
      </c>
      <c r="AT473" t="s">
        <v>826</v>
      </c>
      <c r="AU473" t="s">
        <v>109</v>
      </c>
    </row>
    <row r="474" spans="1:48">
      <c r="A474" s="1">
        <f>HYPERLINK("https://lsnyc.legalserver.org/matter/dynamic-profile/view/1902269","19-1902269")</f>
        <v>0</v>
      </c>
      <c r="B474" t="s">
        <v>106</v>
      </c>
      <c r="C474" t="s">
        <v>256</v>
      </c>
      <c r="D474" t="s">
        <v>268</v>
      </c>
      <c r="F474" t="s">
        <v>1451</v>
      </c>
      <c r="G474" t="s">
        <v>2578</v>
      </c>
      <c r="H474" t="s">
        <v>5993</v>
      </c>
      <c r="I474" t="s">
        <v>8112</v>
      </c>
      <c r="J474" t="s">
        <v>9065</v>
      </c>
      <c r="K474">
        <v>10460</v>
      </c>
      <c r="L474" t="s">
        <v>9094</v>
      </c>
      <c r="M474" t="s">
        <v>9095</v>
      </c>
      <c r="N474" t="s">
        <v>9311</v>
      </c>
      <c r="O474" t="s">
        <v>11130</v>
      </c>
      <c r="P474" t="s">
        <v>11165</v>
      </c>
      <c r="R474" t="s">
        <v>11180</v>
      </c>
      <c r="S474" t="s">
        <v>9096</v>
      </c>
      <c r="T474" t="s">
        <v>11183</v>
      </c>
      <c r="U474" t="s">
        <v>11201</v>
      </c>
      <c r="V474" t="s">
        <v>268</v>
      </c>
      <c r="W474">
        <v>1980.45</v>
      </c>
      <c r="X474" t="s">
        <v>11333</v>
      </c>
      <c r="Y474" t="s">
        <v>11340</v>
      </c>
      <c r="Z474" t="s">
        <v>11716</v>
      </c>
      <c r="AA474" t="s">
        <v>15332</v>
      </c>
      <c r="AB474" t="s">
        <v>16182</v>
      </c>
      <c r="AC474">
        <v>0</v>
      </c>
      <c r="AD474" t="s">
        <v>19566</v>
      </c>
      <c r="AE474" t="s">
        <v>19581</v>
      </c>
      <c r="AF474">
        <v>2</v>
      </c>
      <c r="AG474">
        <v>4</v>
      </c>
      <c r="AH474">
        <v>1</v>
      </c>
      <c r="AI474">
        <v>8.029999999999999</v>
      </c>
      <c r="AL474" t="s">
        <v>19614</v>
      </c>
      <c r="AM474">
        <v>2424</v>
      </c>
      <c r="AS474">
        <v>12.7</v>
      </c>
      <c r="AT474" t="s">
        <v>321</v>
      </c>
      <c r="AU474" t="s">
        <v>220</v>
      </c>
      <c r="AV474" t="s">
        <v>20734</v>
      </c>
    </row>
    <row r="475" spans="1:48">
      <c r="A475" s="1">
        <f>HYPERLINK("https://lsnyc.legalserver.org/matter/dynamic-profile/view/1913997","19-1913997")</f>
        <v>0</v>
      </c>
      <c r="B475" t="s">
        <v>126</v>
      </c>
      <c r="C475" t="s">
        <v>256</v>
      </c>
      <c r="D475" t="s">
        <v>321</v>
      </c>
      <c r="F475" t="s">
        <v>1452</v>
      </c>
      <c r="G475" t="s">
        <v>3631</v>
      </c>
      <c r="H475" t="s">
        <v>5994</v>
      </c>
      <c r="I475" t="s">
        <v>8119</v>
      </c>
      <c r="J475" t="s">
        <v>9066</v>
      </c>
      <c r="K475">
        <v>10301</v>
      </c>
      <c r="L475" t="s">
        <v>9096</v>
      </c>
      <c r="M475" t="s">
        <v>9095</v>
      </c>
      <c r="O475" t="s">
        <v>9121</v>
      </c>
      <c r="P475" t="s">
        <v>11169</v>
      </c>
      <c r="R475" t="s">
        <v>11180</v>
      </c>
      <c r="S475" t="s">
        <v>9094</v>
      </c>
      <c r="T475" t="s">
        <v>11189</v>
      </c>
      <c r="W475">
        <v>1327</v>
      </c>
      <c r="X475" t="s">
        <v>11334</v>
      </c>
      <c r="Y475" t="s">
        <v>11339</v>
      </c>
      <c r="Z475" t="s">
        <v>11717</v>
      </c>
      <c r="AB475" t="s">
        <v>16183</v>
      </c>
      <c r="AC475">
        <v>0</v>
      </c>
      <c r="AD475" t="s">
        <v>19566</v>
      </c>
      <c r="AF475">
        <v>8</v>
      </c>
      <c r="AG475">
        <v>2</v>
      </c>
      <c r="AH475">
        <v>0</v>
      </c>
      <c r="AI475">
        <v>8.09</v>
      </c>
      <c r="AL475" t="s">
        <v>19615</v>
      </c>
      <c r="AM475">
        <v>1368</v>
      </c>
      <c r="AS475">
        <v>1</v>
      </c>
      <c r="AT475" t="s">
        <v>703</v>
      </c>
      <c r="AU475" t="s">
        <v>205</v>
      </c>
    </row>
    <row r="476" spans="1:48">
      <c r="A476" s="1">
        <f>HYPERLINK("https://lsnyc.legalserver.org/matter/dynamic-profile/view/1889626","19-1889626")</f>
        <v>0</v>
      </c>
      <c r="B476" t="s">
        <v>71</v>
      </c>
      <c r="C476" t="s">
        <v>257</v>
      </c>
      <c r="D476" t="s">
        <v>441</v>
      </c>
      <c r="E476" t="s">
        <v>483</v>
      </c>
      <c r="F476" t="s">
        <v>1453</v>
      </c>
      <c r="G476" t="s">
        <v>3632</v>
      </c>
      <c r="H476" t="s">
        <v>5995</v>
      </c>
      <c r="I476" t="s">
        <v>8218</v>
      </c>
      <c r="J476" t="s">
        <v>9059</v>
      </c>
      <c r="K476">
        <v>11207</v>
      </c>
      <c r="L476" t="s">
        <v>9094</v>
      </c>
      <c r="M476" t="s">
        <v>9096</v>
      </c>
      <c r="N476" t="s">
        <v>9312</v>
      </c>
      <c r="O476" t="s">
        <v>11129</v>
      </c>
      <c r="P476" t="s">
        <v>11165</v>
      </c>
      <c r="Q476" t="s">
        <v>11174</v>
      </c>
      <c r="R476" t="s">
        <v>11180</v>
      </c>
      <c r="S476" t="s">
        <v>9096</v>
      </c>
      <c r="T476" t="s">
        <v>11183</v>
      </c>
      <c r="U476" t="s">
        <v>11201</v>
      </c>
      <c r="V476" t="s">
        <v>394</v>
      </c>
      <c r="W476">
        <v>1250</v>
      </c>
      <c r="X476" t="s">
        <v>11332</v>
      </c>
      <c r="Y476" t="s">
        <v>11340</v>
      </c>
      <c r="Z476" t="s">
        <v>11718</v>
      </c>
      <c r="AA476" t="s">
        <v>15333</v>
      </c>
      <c r="AB476" t="s">
        <v>16184</v>
      </c>
      <c r="AC476">
        <v>6</v>
      </c>
      <c r="AD476" t="s">
        <v>19566</v>
      </c>
      <c r="AE476" t="s">
        <v>9144</v>
      </c>
      <c r="AF476">
        <v>5</v>
      </c>
      <c r="AG476">
        <v>1</v>
      </c>
      <c r="AH476">
        <v>5</v>
      </c>
      <c r="AI476">
        <v>8.33</v>
      </c>
      <c r="AL476" t="s">
        <v>19614</v>
      </c>
      <c r="AM476">
        <v>2880</v>
      </c>
      <c r="AS476">
        <v>9.1</v>
      </c>
      <c r="AT476" t="s">
        <v>499</v>
      </c>
      <c r="AU476" t="s">
        <v>95</v>
      </c>
      <c r="AV476" t="s">
        <v>20733</v>
      </c>
    </row>
    <row r="477" spans="1:48">
      <c r="A477" s="1">
        <f>HYPERLINK("https://lsnyc.legalserver.org/matter/dynamic-profile/view/1909422","19-1909422")</f>
        <v>0</v>
      </c>
      <c r="B477" t="s">
        <v>118</v>
      </c>
      <c r="C477" t="s">
        <v>256</v>
      </c>
      <c r="D477" t="s">
        <v>339</v>
      </c>
      <c r="F477" t="s">
        <v>1245</v>
      </c>
      <c r="G477" t="s">
        <v>3633</v>
      </c>
      <c r="H477" t="s">
        <v>5996</v>
      </c>
      <c r="I477" t="s">
        <v>8265</v>
      </c>
      <c r="J477" t="s">
        <v>9065</v>
      </c>
      <c r="K477">
        <v>10453</v>
      </c>
      <c r="L477" t="s">
        <v>9094</v>
      </c>
      <c r="M477" t="s">
        <v>9095</v>
      </c>
      <c r="N477">
        <v>6882</v>
      </c>
      <c r="O477" t="s">
        <v>11129</v>
      </c>
      <c r="P477" t="s">
        <v>11164</v>
      </c>
      <c r="R477" t="s">
        <v>11180</v>
      </c>
      <c r="T477" t="s">
        <v>11183</v>
      </c>
      <c r="V477" t="s">
        <v>292</v>
      </c>
      <c r="W477">
        <v>889</v>
      </c>
      <c r="X477" t="s">
        <v>11333</v>
      </c>
      <c r="Y477" t="s">
        <v>11157</v>
      </c>
      <c r="Z477" t="s">
        <v>11719</v>
      </c>
      <c r="AB477" t="s">
        <v>16185</v>
      </c>
      <c r="AC477">
        <v>47</v>
      </c>
      <c r="AD477" t="s">
        <v>19566</v>
      </c>
      <c r="AE477" t="s">
        <v>19581</v>
      </c>
      <c r="AF477">
        <v>35</v>
      </c>
      <c r="AG477">
        <v>2</v>
      </c>
      <c r="AH477">
        <v>0</v>
      </c>
      <c r="AI477">
        <v>8.460000000000001</v>
      </c>
      <c r="AL477" t="s">
        <v>19614</v>
      </c>
      <c r="AM477">
        <v>1430</v>
      </c>
      <c r="AS477">
        <v>0.5</v>
      </c>
      <c r="AT477" t="s">
        <v>339</v>
      </c>
      <c r="AU477" t="s">
        <v>20638</v>
      </c>
      <c r="AV477" t="s">
        <v>20733</v>
      </c>
    </row>
    <row r="478" spans="1:48">
      <c r="A478" s="1">
        <f>HYPERLINK("https://lsnyc.legalserver.org/matter/dynamic-profile/view/1908325","19-1908325")</f>
        <v>0</v>
      </c>
      <c r="B478" t="s">
        <v>92</v>
      </c>
      <c r="C478" t="s">
        <v>256</v>
      </c>
      <c r="D478" t="s">
        <v>335</v>
      </c>
      <c r="F478" t="s">
        <v>1323</v>
      </c>
      <c r="G478" t="s">
        <v>3634</v>
      </c>
      <c r="H478" t="s">
        <v>5997</v>
      </c>
      <c r="I478" t="s">
        <v>8164</v>
      </c>
      <c r="J478" t="s">
        <v>9059</v>
      </c>
      <c r="K478">
        <v>11213</v>
      </c>
      <c r="L478" t="s">
        <v>9094</v>
      </c>
      <c r="M478" t="s">
        <v>9095</v>
      </c>
      <c r="N478" t="s">
        <v>9144</v>
      </c>
      <c r="O478" t="s">
        <v>9121</v>
      </c>
      <c r="P478" t="s">
        <v>11167</v>
      </c>
      <c r="R478" t="s">
        <v>11180</v>
      </c>
      <c r="S478" t="s">
        <v>9094</v>
      </c>
      <c r="T478" t="s">
        <v>11183</v>
      </c>
      <c r="U478" t="s">
        <v>11201</v>
      </c>
      <c r="V478" t="s">
        <v>396</v>
      </c>
      <c r="W478">
        <v>0</v>
      </c>
      <c r="X478" t="s">
        <v>11332</v>
      </c>
      <c r="Y478" t="s">
        <v>11346</v>
      </c>
      <c r="Z478" t="s">
        <v>11720</v>
      </c>
      <c r="AA478" t="s">
        <v>15334</v>
      </c>
      <c r="AB478" t="s">
        <v>16186</v>
      </c>
      <c r="AC478">
        <v>107</v>
      </c>
      <c r="AD478" t="s">
        <v>19566</v>
      </c>
      <c r="AF478">
        <v>4</v>
      </c>
      <c r="AG478">
        <v>1</v>
      </c>
      <c r="AH478">
        <v>0</v>
      </c>
      <c r="AI478">
        <v>8.789999999999999</v>
      </c>
      <c r="AL478" t="s">
        <v>19614</v>
      </c>
      <c r="AM478">
        <v>1098</v>
      </c>
      <c r="AS478">
        <v>0</v>
      </c>
      <c r="AU478" t="s">
        <v>95</v>
      </c>
      <c r="AV478" t="s">
        <v>20733</v>
      </c>
    </row>
    <row r="479" spans="1:48">
      <c r="A479" s="1">
        <f>HYPERLINK("https://lsnyc.legalserver.org/matter/dynamic-profile/view/1894548","19-1894548")</f>
        <v>0</v>
      </c>
      <c r="B479" t="s">
        <v>72</v>
      </c>
      <c r="C479" t="s">
        <v>256</v>
      </c>
      <c r="D479" t="s">
        <v>421</v>
      </c>
      <c r="F479" t="s">
        <v>1454</v>
      </c>
      <c r="G479" t="s">
        <v>3635</v>
      </c>
      <c r="H479" t="s">
        <v>5998</v>
      </c>
      <c r="I479" t="s">
        <v>8278</v>
      </c>
      <c r="J479" t="s">
        <v>9059</v>
      </c>
      <c r="K479">
        <v>11208</v>
      </c>
      <c r="L479" t="s">
        <v>9094</v>
      </c>
      <c r="M479" t="s">
        <v>9094</v>
      </c>
      <c r="N479" t="s">
        <v>9313</v>
      </c>
      <c r="O479" t="s">
        <v>11129</v>
      </c>
      <c r="P479" t="s">
        <v>11165</v>
      </c>
      <c r="R479" t="s">
        <v>11180</v>
      </c>
      <c r="T479" t="s">
        <v>11183</v>
      </c>
      <c r="V479" t="s">
        <v>421</v>
      </c>
      <c r="W479">
        <v>1488</v>
      </c>
      <c r="X479" t="s">
        <v>11332</v>
      </c>
      <c r="Y479" t="s">
        <v>11336</v>
      </c>
      <c r="Z479" t="s">
        <v>11674</v>
      </c>
      <c r="AA479" t="s">
        <v>15335</v>
      </c>
      <c r="AB479" t="s">
        <v>16187</v>
      </c>
      <c r="AC479">
        <v>18</v>
      </c>
      <c r="AD479" t="s">
        <v>15441</v>
      </c>
      <c r="AF479">
        <v>2</v>
      </c>
      <c r="AG479">
        <v>2</v>
      </c>
      <c r="AH479">
        <v>2</v>
      </c>
      <c r="AI479">
        <v>8.890000000000001</v>
      </c>
      <c r="AL479" t="s">
        <v>19614</v>
      </c>
      <c r="AM479">
        <v>2288</v>
      </c>
      <c r="AS479">
        <v>40.75</v>
      </c>
      <c r="AT479" t="s">
        <v>474</v>
      </c>
      <c r="AU479" t="s">
        <v>20628</v>
      </c>
    </row>
    <row r="480" spans="1:48">
      <c r="A480" s="1">
        <f>HYPERLINK("https://lsnyc.legalserver.org/matter/dynamic-profile/view/1906607","19-1906607")</f>
        <v>0</v>
      </c>
      <c r="B480" t="s">
        <v>69</v>
      </c>
      <c r="C480" t="s">
        <v>257</v>
      </c>
      <c r="D480" t="s">
        <v>333</v>
      </c>
      <c r="E480" t="s">
        <v>326</v>
      </c>
      <c r="F480" t="s">
        <v>1454</v>
      </c>
      <c r="G480" t="s">
        <v>3635</v>
      </c>
      <c r="H480" t="s">
        <v>5998</v>
      </c>
      <c r="I480" t="s">
        <v>8278</v>
      </c>
      <c r="J480" t="s">
        <v>9059</v>
      </c>
      <c r="K480">
        <v>11208</v>
      </c>
      <c r="L480" t="s">
        <v>9094</v>
      </c>
      <c r="M480" t="s">
        <v>9095</v>
      </c>
      <c r="N480" t="s">
        <v>9313</v>
      </c>
      <c r="O480" t="s">
        <v>11139</v>
      </c>
      <c r="P480" t="s">
        <v>11168</v>
      </c>
      <c r="Q480" t="s">
        <v>11178</v>
      </c>
      <c r="R480" t="s">
        <v>11180</v>
      </c>
      <c r="S480" t="s">
        <v>9096</v>
      </c>
      <c r="T480" t="s">
        <v>11184</v>
      </c>
      <c r="U480" t="s">
        <v>11202</v>
      </c>
      <c r="V480" t="s">
        <v>864</v>
      </c>
      <c r="W480">
        <v>1488</v>
      </c>
      <c r="X480" t="s">
        <v>11332</v>
      </c>
      <c r="Y480" t="s">
        <v>11336</v>
      </c>
      <c r="Z480" t="s">
        <v>11674</v>
      </c>
      <c r="AA480" t="s">
        <v>15335</v>
      </c>
      <c r="AB480" t="s">
        <v>16187</v>
      </c>
      <c r="AC480">
        <v>319</v>
      </c>
      <c r="AD480" t="s">
        <v>15441</v>
      </c>
      <c r="AF480">
        <v>2</v>
      </c>
      <c r="AG480">
        <v>2</v>
      </c>
      <c r="AH480">
        <v>2</v>
      </c>
      <c r="AI480">
        <v>8.890000000000001</v>
      </c>
      <c r="AL480" t="s">
        <v>19614</v>
      </c>
      <c r="AM480">
        <v>2288</v>
      </c>
      <c r="AS480">
        <v>4</v>
      </c>
      <c r="AT480" t="s">
        <v>326</v>
      </c>
      <c r="AU480" t="s">
        <v>79</v>
      </c>
      <c r="AV480" t="s">
        <v>20733</v>
      </c>
    </row>
    <row r="481" spans="1:48">
      <c r="A481" s="1">
        <f>HYPERLINK("https://lsnyc.legalserver.org/matter/dynamic-profile/view/1864126","18-1864126")</f>
        <v>0</v>
      </c>
      <c r="B481" t="s">
        <v>140</v>
      </c>
      <c r="C481" t="s">
        <v>256</v>
      </c>
      <c r="D481" t="s">
        <v>505</v>
      </c>
      <c r="F481" t="s">
        <v>1455</v>
      </c>
      <c r="G481" t="s">
        <v>3636</v>
      </c>
      <c r="H481" t="s">
        <v>5999</v>
      </c>
      <c r="I481" t="s">
        <v>8192</v>
      </c>
      <c r="J481" t="s">
        <v>9067</v>
      </c>
      <c r="K481">
        <v>10040</v>
      </c>
      <c r="L481" t="s">
        <v>9096</v>
      </c>
      <c r="M481" t="s">
        <v>9095</v>
      </c>
      <c r="N481" t="s">
        <v>9314</v>
      </c>
      <c r="O481" t="s">
        <v>11130</v>
      </c>
      <c r="P481" t="s">
        <v>11165</v>
      </c>
      <c r="R481" t="s">
        <v>11180</v>
      </c>
      <c r="S481" t="s">
        <v>9094</v>
      </c>
      <c r="T481" t="s">
        <v>11183</v>
      </c>
      <c r="V481" t="s">
        <v>505</v>
      </c>
      <c r="W481">
        <v>169.04</v>
      </c>
      <c r="X481" t="s">
        <v>11335</v>
      </c>
      <c r="Y481" t="s">
        <v>11340</v>
      </c>
      <c r="Z481" t="s">
        <v>11721</v>
      </c>
      <c r="AB481" t="s">
        <v>16188</v>
      </c>
      <c r="AC481">
        <v>44</v>
      </c>
      <c r="AD481" t="s">
        <v>19566</v>
      </c>
      <c r="AE481" t="s">
        <v>19582</v>
      </c>
      <c r="AF481">
        <v>19</v>
      </c>
      <c r="AG481">
        <v>1</v>
      </c>
      <c r="AH481">
        <v>2</v>
      </c>
      <c r="AI481">
        <v>8.949999999999999</v>
      </c>
      <c r="AJ481" t="s">
        <v>982</v>
      </c>
      <c r="AL481" t="s">
        <v>19615</v>
      </c>
      <c r="AM481">
        <v>1860</v>
      </c>
      <c r="AS481">
        <v>0.11</v>
      </c>
      <c r="AT481" t="s">
        <v>1135</v>
      </c>
      <c r="AU481" t="s">
        <v>130</v>
      </c>
    </row>
    <row r="482" spans="1:48">
      <c r="A482" s="1">
        <f>HYPERLINK("https://lsnyc.legalserver.org/matter/dynamic-profile/view/0807221","16-0807221")</f>
        <v>0</v>
      </c>
      <c r="B482" t="s">
        <v>149</v>
      </c>
      <c r="C482" t="s">
        <v>256</v>
      </c>
      <c r="D482" t="s">
        <v>529</v>
      </c>
      <c r="F482" t="s">
        <v>1456</v>
      </c>
      <c r="G482" t="s">
        <v>3637</v>
      </c>
      <c r="H482" t="s">
        <v>6000</v>
      </c>
      <c r="I482">
        <v>43</v>
      </c>
      <c r="J482" t="s">
        <v>9067</v>
      </c>
      <c r="K482">
        <v>10034</v>
      </c>
      <c r="L482" t="s">
        <v>9094</v>
      </c>
      <c r="M482" t="s">
        <v>9095</v>
      </c>
      <c r="N482" t="s">
        <v>9315</v>
      </c>
      <c r="O482" t="s">
        <v>11129</v>
      </c>
      <c r="P482" t="s">
        <v>11165</v>
      </c>
      <c r="R482" t="s">
        <v>11180</v>
      </c>
      <c r="S482" t="s">
        <v>9096</v>
      </c>
      <c r="T482" t="s">
        <v>11183</v>
      </c>
      <c r="V482" t="s">
        <v>529</v>
      </c>
      <c r="W482">
        <v>1450</v>
      </c>
      <c r="X482" t="s">
        <v>11335</v>
      </c>
      <c r="Y482" t="s">
        <v>11344</v>
      </c>
      <c r="Z482" t="s">
        <v>11722</v>
      </c>
      <c r="AB482" t="s">
        <v>16189</v>
      </c>
      <c r="AC482">
        <v>50</v>
      </c>
      <c r="AD482" t="s">
        <v>19565</v>
      </c>
      <c r="AE482" t="s">
        <v>9144</v>
      </c>
      <c r="AF482">
        <v>5</v>
      </c>
      <c r="AG482">
        <v>1</v>
      </c>
      <c r="AH482">
        <v>1</v>
      </c>
      <c r="AI482">
        <v>9.09</v>
      </c>
      <c r="AL482" t="s">
        <v>19614</v>
      </c>
      <c r="AM482">
        <v>1456</v>
      </c>
      <c r="AS482">
        <v>182.13</v>
      </c>
      <c r="AT482" t="s">
        <v>273</v>
      </c>
      <c r="AU482" t="s">
        <v>20663</v>
      </c>
    </row>
    <row r="483" spans="1:48">
      <c r="A483" s="1">
        <f>HYPERLINK("https://lsnyc.legalserver.org/matter/dynamic-profile/view/1843588","17-1843588")</f>
        <v>0</v>
      </c>
      <c r="B483" t="s">
        <v>141</v>
      </c>
      <c r="C483" t="s">
        <v>256</v>
      </c>
      <c r="D483" t="s">
        <v>530</v>
      </c>
      <c r="F483" t="s">
        <v>1457</v>
      </c>
      <c r="G483" t="s">
        <v>3366</v>
      </c>
      <c r="H483" t="s">
        <v>5999</v>
      </c>
      <c r="I483">
        <v>39</v>
      </c>
      <c r="J483" t="s">
        <v>9067</v>
      </c>
      <c r="K483">
        <v>10040</v>
      </c>
      <c r="L483" t="s">
        <v>9096</v>
      </c>
      <c r="M483" t="s">
        <v>9095</v>
      </c>
      <c r="O483" t="s">
        <v>11130</v>
      </c>
      <c r="P483" t="s">
        <v>11165</v>
      </c>
      <c r="R483" t="s">
        <v>11180</v>
      </c>
      <c r="S483" t="s">
        <v>9094</v>
      </c>
      <c r="T483" t="s">
        <v>11183</v>
      </c>
      <c r="W483">
        <v>1300</v>
      </c>
      <c r="X483" t="s">
        <v>11335</v>
      </c>
      <c r="Y483" t="s">
        <v>11338</v>
      </c>
      <c r="Z483" t="s">
        <v>11723</v>
      </c>
      <c r="AB483" t="s">
        <v>16190</v>
      </c>
      <c r="AC483">
        <v>44</v>
      </c>
      <c r="AD483" t="s">
        <v>19566</v>
      </c>
      <c r="AE483" t="s">
        <v>9144</v>
      </c>
      <c r="AF483">
        <v>25</v>
      </c>
      <c r="AG483">
        <v>1</v>
      </c>
      <c r="AH483">
        <v>0</v>
      </c>
      <c r="AI483">
        <v>9.1</v>
      </c>
      <c r="AJ483" t="s">
        <v>982</v>
      </c>
      <c r="AL483" t="s">
        <v>19615</v>
      </c>
      <c r="AM483">
        <v>1098</v>
      </c>
      <c r="AS483">
        <v>0.21</v>
      </c>
      <c r="AT483" t="s">
        <v>279</v>
      </c>
      <c r="AU483" t="s">
        <v>130</v>
      </c>
    </row>
    <row r="484" spans="1:48">
      <c r="A484" s="1">
        <f>HYPERLINK("https://lsnyc.legalserver.org/matter/dynamic-profile/view/1838659","17-1838659")</f>
        <v>0</v>
      </c>
      <c r="B484" t="s">
        <v>140</v>
      </c>
      <c r="C484" t="s">
        <v>256</v>
      </c>
      <c r="D484" t="s">
        <v>406</v>
      </c>
      <c r="F484" t="s">
        <v>1455</v>
      </c>
      <c r="G484" t="s">
        <v>3636</v>
      </c>
      <c r="H484" t="s">
        <v>5999</v>
      </c>
      <c r="I484" t="s">
        <v>8192</v>
      </c>
      <c r="J484" t="s">
        <v>9067</v>
      </c>
      <c r="K484">
        <v>10040</v>
      </c>
      <c r="L484" t="s">
        <v>9095</v>
      </c>
      <c r="M484" t="s">
        <v>9095</v>
      </c>
      <c r="O484" t="s">
        <v>11130</v>
      </c>
      <c r="P484" t="s">
        <v>11168</v>
      </c>
      <c r="R484" t="s">
        <v>11180</v>
      </c>
      <c r="S484" t="s">
        <v>9094</v>
      </c>
      <c r="T484" t="s">
        <v>11183</v>
      </c>
      <c r="V484" t="s">
        <v>709</v>
      </c>
      <c r="W484">
        <v>169.04</v>
      </c>
      <c r="X484" t="s">
        <v>11335</v>
      </c>
      <c r="Y484" t="s">
        <v>11339</v>
      </c>
      <c r="Z484" t="s">
        <v>11721</v>
      </c>
      <c r="AB484" t="s">
        <v>16188</v>
      </c>
      <c r="AC484">
        <v>0</v>
      </c>
      <c r="AD484" t="s">
        <v>19569</v>
      </c>
      <c r="AE484" t="s">
        <v>19582</v>
      </c>
      <c r="AF484">
        <v>19</v>
      </c>
      <c r="AG484">
        <v>1</v>
      </c>
      <c r="AH484">
        <v>2</v>
      </c>
      <c r="AI484">
        <v>9.109999999999999</v>
      </c>
      <c r="AL484" t="s">
        <v>19615</v>
      </c>
      <c r="AM484">
        <v>1860</v>
      </c>
      <c r="AS484">
        <v>0.01</v>
      </c>
      <c r="AT484" t="s">
        <v>279</v>
      </c>
      <c r="AU484" t="s">
        <v>130</v>
      </c>
    </row>
    <row r="485" spans="1:48">
      <c r="A485" s="1">
        <f>HYPERLINK("https://lsnyc.legalserver.org/matter/dynamic-profile/view/1848874","17-1848874")</f>
        <v>0</v>
      </c>
      <c r="B485" t="s">
        <v>72</v>
      </c>
      <c r="C485" t="s">
        <v>256</v>
      </c>
      <c r="D485" t="s">
        <v>531</v>
      </c>
      <c r="F485" t="s">
        <v>1458</v>
      </c>
      <c r="G485" t="s">
        <v>3638</v>
      </c>
      <c r="H485" t="s">
        <v>5819</v>
      </c>
      <c r="I485">
        <v>2</v>
      </c>
      <c r="J485" t="s">
        <v>9059</v>
      </c>
      <c r="K485">
        <v>11208</v>
      </c>
      <c r="L485" t="s">
        <v>9094</v>
      </c>
      <c r="M485" t="s">
        <v>9095</v>
      </c>
      <c r="N485" t="s">
        <v>9316</v>
      </c>
      <c r="O485" t="s">
        <v>11128</v>
      </c>
      <c r="P485" t="s">
        <v>11165</v>
      </c>
      <c r="R485" t="s">
        <v>11180</v>
      </c>
      <c r="T485" t="s">
        <v>11183</v>
      </c>
      <c r="V485" t="s">
        <v>623</v>
      </c>
      <c r="W485">
        <v>1100</v>
      </c>
      <c r="X485" t="s">
        <v>11332</v>
      </c>
      <c r="Y485" t="s">
        <v>11344</v>
      </c>
      <c r="Z485" t="s">
        <v>11724</v>
      </c>
      <c r="AA485" t="s">
        <v>15336</v>
      </c>
      <c r="AB485" t="s">
        <v>16191</v>
      </c>
      <c r="AC485">
        <v>5</v>
      </c>
      <c r="AD485" t="s">
        <v>19576</v>
      </c>
      <c r="AF485">
        <v>5</v>
      </c>
      <c r="AG485">
        <v>1</v>
      </c>
      <c r="AH485">
        <v>3</v>
      </c>
      <c r="AI485">
        <v>9.199999999999999</v>
      </c>
      <c r="AL485" t="s">
        <v>19614</v>
      </c>
      <c r="AM485">
        <v>2262</v>
      </c>
      <c r="AS485">
        <v>33.4</v>
      </c>
      <c r="AT485" t="s">
        <v>265</v>
      </c>
      <c r="AU485" t="s">
        <v>20633</v>
      </c>
    </row>
    <row r="486" spans="1:48">
      <c r="A486" s="1">
        <f>HYPERLINK("https://lsnyc.legalserver.org/matter/dynamic-profile/view/1891270","19-1891270")</f>
        <v>0</v>
      </c>
      <c r="B486" t="s">
        <v>69</v>
      </c>
      <c r="C486" t="s">
        <v>257</v>
      </c>
      <c r="D486" t="s">
        <v>491</v>
      </c>
      <c r="E486" t="s">
        <v>367</v>
      </c>
      <c r="F486" t="s">
        <v>1318</v>
      </c>
      <c r="G486" t="s">
        <v>3639</v>
      </c>
      <c r="H486" t="s">
        <v>6001</v>
      </c>
      <c r="I486" t="s">
        <v>8108</v>
      </c>
      <c r="J486" t="s">
        <v>9059</v>
      </c>
      <c r="K486">
        <v>11208</v>
      </c>
      <c r="L486" t="s">
        <v>9094</v>
      </c>
      <c r="M486" t="s">
        <v>9094</v>
      </c>
      <c r="N486" t="s">
        <v>9317</v>
      </c>
      <c r="O486" t="s">
        <v>11138</v>
      </c>
      <c r="P486" t="s">
        <v>11168</v>
      </c>
      <c r="Q486" t="s">
        <v>11177</v>
      </c>
      <c r="R486" t="s">
        <v>11180</v>
      </c>
      <c r="S486" t="s">
        <v>9096</v>
      </c>
      <c r="T486" t="s">
        <v>11184</v>
      </c>
      <c r="V486" t="s">
        <v>454</v>
      </c>
      <c r="W486">
        <v>1980</v>
      </c>
      <c r="X486" t="s">
        <v>11332</v>
      </c>
      <c r="Z486" t="s">
        <v>11725</v>
      </c>
      <c r="AB486" t="s">
        <v>16192</v>
      </c>
      <c r="AC486">
        <v>0</v>
      </c>
      <c r="AD486" t="s">
        <v>19565</v>
      </c>
      <c r="AE486" t="s">
        <v>19582</v>
      </c>
      <c r="AF486">
        <v>0</v>
      </c>
      <c r="AG486">
        <v>2</v>
      </c>
      <c r="AH486">
        <v>5</v>
      </c>
      <c r="AI486">
        <v>9.23</v>
      </c>
      <c r="AL486" t="s">
        <v>19614</v>
      </c>
      <c r="AM486">
        <v>3600</v>
      </c>
      <c r="AS486">
        <v>15.5</v>
      </c>
      <c r="AT486" t="s">
        <v>367</v>
      </c>
      <c r="AU486" t="s">
        <v>79</v>
      </c>
    </row>
    <row r="487" spans="1:48">
      <c r="A487" s="1">
        <f>HYPERLINK("https://lsnyc.legalserver.org/matter/dynamic-profile/view/1887152","19-1887152")</f>
        <v>0</v>
      </c>
      <c r="B487" t="s">
        <v>113</v>
      </c>
      <c r="C487" t="s">
        <v>257</v>
      </c>
      <c r="D487" t="s">
        <v>324</v>
      </c>
      <c r="E487" t="s">
        <v>481</v>
      </c>
      <c r="F487" t="s">
        <v>1459</v>
      </c>
      <c r="G487" t="s">
        <v>3640</v>
      </c>
      <c r="H487" t="s">
        <v>5892</v>
      </c>
      <c r="I487" t="s">
        <v>8279</v>
      </c>
      <c r="J487" t="s">
        <v>9065</v>
      </c>
      <c r="K487">
        <v>10453</v>
      </c>
      <c r="L487" t="s">
        <v>9094</v>
      </c>
      <c r="M487" t="s">
        <v>9095</v>
      </c>
      <c r="O487" t="s">
        <v>9121</v>
      </c>
      <c r="P487" t="s">
        <v>11166</v>
      </c>
      <c r="Q487" t="s">
        <v>11173</v>
      </c>
      <c r="R487" t="s">
        <v>11180</v>
      </c>
      <c r="S487" t="s">
        <v>9094</v>
      </c>
      <c r="T487" t="s">
        <v>11183</v>
      </c>
      <c r="V487" t="s">
        <v>441</v>
      </c>
      <c r="W487">
        <v>669</v>
      </c>
      <c r="X487" t="s">
        <v>11333</v>
      </c>
      <c r="Y487" t="s">
        <v>11346</v>
      </c>
      <c r="Z487" t="s">
        <v>11726</v>
      </c>
      <c r="AA487" t="s">
        <v>15337</v>
      </c>
      <c r="AB487" t="s">
        <v>16193</v>
      </c>
      <c r="AC487">
        <v>99</v>
      </c>
      <c r="AD487" t="s">
        <v>19566</v>
      </c>
      <c r="AE487" t="s">
        <v>19580</v>
      </c>
      <c r="AF487">
        <v>9</v>
      </c>
      <c r="AG487">
        <v>2</v>
      </c>
      <c r="AH487">
        <v>1</v>
      </c>
      <c r="AI487">
        <v>9.51</v>
      </c>
      <c r="AL487" t="s">
        <v>19614</v>
      </c>
      <c r="AM487">
        <v>1976</v>
      </c>
      <c r="AN487" t="s">
        <v>19702</v>
      </c>
      <c r="AS487">
        <v>15</v>
      </c>
      <c r="AT487" t="s">
        <v>481</v>
      </c>
      <c r="AU487" t="s">
        <v>20647</v>
      </c>
      <c r="AV487" t="s">
        <v>20733</v>
      </c>
    </row>
    <row r="488" spans="1:48">
      <c r="A488" s="1">
        <f>HYPERLINK("https://lsnyc.legalserver.org/matter/dynamic-profile/view/1895299","19-1895299")</f>
        <v>0</v>
      </c>
      <c r="B488" t="s">
        <v>90</v>
      </c>
      <c r="C488" t="s">
        <v>257</v>
      </c>
      <c r="D488" t="s">
        <v>264</v>
      </c>
      <c r="E488" t="s">
        <v>307</v>
      </c>
      <c r="F488" t="s">
        <v>1460</v>
      </c>
      <c r="G488" t="s">
        <v>3641</v>
      </c>
      <c r="H488" t="s">
        <v>6002</v>
      </c>
      <c r="I488" t="s">
        <v>8119</v>
      </c>
      <c r="J488" t="s">
        <v>9059</v>
      </c>
      <c r="K488">
        <v>11233</v>
      </c>
      <c r="L488" t="s">
        <v>9094</v>
      </c>
      <c r="M488" t="s">
        <v>9096</v>
      </c>
      <c r="N488" t="s">
        <v>9318</v>
      </c>
      <c r="O488" t="s">
        <v>11141</v>
      </c>
      <c r="P488" t="s">
        <v>11164</v>
      </c>
      <c r="Q488" t="s">
        <v>11172</v>
      </c>
      <c r="R488" t="s">
        <v>11180</v>
      </c>
      <c r="S488" t="s">
        <v>9094</v>
      </c>
      <c r="T488" t="s">
        <v>11185</v>
      </c>
      <c r="U488" t="s">
        <v>11201</v>
      </c>
      <c r="V488" t="s">
        <v>706</v>
      </c>
      <c r="W488">
        <v>0</v>
      </c>
      <c r="X488" t="s">
        <v>11332</v>
      </c>
      <c r="Y488" t="s">
        <v>11339</v>
      </c>
      <c r="Z488" t="s">
        <v>11727</v>
      </c>
      <c r="AB488" t="s">
        <v>16194</v>
      </c>
      <c r="AC488">
        <v>6</v>
      </c>
      <c r="AD488" t="s">
        <v>19566</v>
      </c>
      <c r="AF488">
        <v>1</v>
      </c>
      <c r="AG488">
        <v>1</v>
      </c>
      <c r="AH488">
        <v>0</v>
      </c>
      <c r="AI488">
        <v>9.550000000000001</v>
      </c>
      <c r="AL488" t="s">
        <v>19614</v>
      </c>
      <c r="AM488">
        <v>1192.8</v>
      </c>
      <c r="AS488">
        <v>15</v>
      </c>
      <c r="AT488" t="s">
        <v>660</v>
      </c>
      <c r="AU488" t="s">
        <v>95</v>
      </c>
      <c r="AV488" t="s">
        <v>20733</v>
      </c>
    </row>
    <row r="489" spans="1:48">
      <c r="A489" s="1">
        <f>HYPERLINK("https://lsnyc.legalserver.org/matter/dynamic-profile/view/1911969","19-1911969")</f>
        <v>0</v>
      </c>
      <c r="B489" t="s">
        <v>64</v>
      </c>
      <c r="C489" t="s">
        <v>257</v>
      </c>
      <c r="D489" t="s">
        <v>292</v>
      </c>
      <c r="E489" t="s">
        <v>1135</v>
      </c>
      <c r="F489" t="s">
        <v>1461</v>
      </c>
      <c r="G489" t="s">
        <v>3642</v>
      </c>
      <c r="H489" t="s">
        <v>6003</v>
      </c>
      <c r="J489" t="s">
        <v>9059</v>
      </c>
      <c r="K489">
        <v>11233</v>
      </c>
      <c r="L489" t="s">
        <v>9094</v>
      </c>
      <c r="M489" t="s">
        <v>9095</v>
      </c>
      <c r="N489" t="s">
        <v>9319</v>
      </c>
      <c r="O489" t="s">
        <v>11128</v>
      </c>
      <c r="P489" t="s">
        <v>11169</v>
      </c>
      <c r="Q489" t="s">
        <v>11173</v>
      </c>
      <c r="R489" t="s">
        <v>11180</v>
      </c>
      <c r="S489" t="s">
        <v>9096</v>
      </c>
      <c r="T489" t="s">
        <v>11183</v>
      </c>
      <c r="W489">
        <v>0</v>
      </c>
      <c r="X489" t="s">
        <v>11332</v>
      </c>
      <c r="Y489" t="s">
        <v>11157</v>
      </c>
      <c r="Z489" t="s">
        <v>11728</v>
      </c>
      <c r="AB489" t="s">
        <v>16195</v>
      </c>
      <c r="AC489">
        <v>2</v>
      </c>
      <c r="AD489" t="s">
        <v>19565</v>
      </c>
      <c r="AE489" t="s">
        <v>9144</v>
      </c>
      <c r="AF489">
        <v>0</v>
      </c>
      <c r="AG489">
        <v>1</v>
      </c>
      <c r="AH489">
        <v>0</v>
      </c>
      <c r="AI489">
        <v>9.609999999999999</v>
      </c>
      <c r="AL489" t="s">
        <v>19614</v>
      </c>
      <c r="AM489">
        <v>1200</v>
      </c>
      <c r="AS489">
        <v>3.5</v>
      </c>
      <c r="AT489" t="s">
        <v>377</v>
      </c>
      <c r="AU489" t="s">
        <v>20660</v>
      </c>
      <c r="AV489" t="s">
        <v>20733</v>
      </c>
    </row>
    <row r="490" spans="1:48">
      <c r="A490" s="1">
        <f>HYPERLINK("https://lsnyc.legalserver.org/matter/dynamic-profile/view/1861676","18-1861676")</f>
        <v>0</v>
      </c>
      <c r="B490" t="s">
        <v>140</v>
      </c>
      <c r="C490" t="s">
        <v>256</v>
      </c>
      <c r="D490" t="s">
        <v>532</v>
      </c>
      <c r="F490" t="s">
        <v>1417</v>
      </c>
      <c r="G490" t="s">
        <v>3643</v>
      </c>
      <c r="H490" t="s">
        <v>6004</v>
      </c>
      <c r="I490">
        <v>22</v>
      </c>
      <c r="J490" t="s">
        <v>9067</v>
      </c>
      <c r="K490">
        <v>10034</v>
      </c>
      <c r="L490" t="s">
        <v>9094</v>
      </c>
      <c r="M490" t="s">
        <v>9095</v>
      </c>
      <c r="N490" t="s">
        <v>9320</v>
      </c>
      <c r="O490" t="s">
        <v>11129</v>
      </c>
      <c r="P490" t="s">
        <v>11165</v>
      </c>
      <c r="R490" t="s">
        <v>11180</v>
      </c>
      <c r="S490" t="s">
        <v>9096</v>
      </c>
      <c r="T490" t="s">
        <v>11183</v>
      </c>
      <c r="V490" t="s">
        <v>505</v>
      </c>
      <c r="W490">
        <v>2000</v>
      </c>
      <c r="X490" t="s">
        <v>11335</v>
      </c>
      <c r="Y490" t="s">
        <v>11352</v>
      </c>
      <c r="Z490" t="s">
        <v>11729</v>
      </c>
      <c r="AC490">
        <v>30</v>
      </c>
      <c r="AE490" t="s">
        <v>19582</v>
      </c>
      <c r="AF490">
        <v>24</v>
      </c>
      <c r="AG490">
        <v>1</v>
      </c>
      <c r="AH490">
        <v>0</v>
      </c>
      <c r="AI490">
        <v>9.880000000000001</v>
      </c>
      <c r="AL490" t="s">
        <v>19614</v>
      </c>
      <c r="AM490">
        <v>1200</v>
      </c>
      <c r="AS490">
        <v>156.61</v>
      </c>
      <c r="AT490" t="s">
        <v>327</v>
      </c>
      <c r="AU490" t="s">
        <v>20640</v>
      </c>
    </row>
    <row r="491" spans="1:48">
      <c r="A491" s="1">
        <f>HYPERLINK("https://lsnyc.legalserver.org/matter/dynamic-profile/view/1895909","19-1895909")</f>
        <v>0</v>
      </c>
      <c r="B491" t="s">
        <v>115</v>
      </c>
      <c r="C491" t="s">
        <v>256</v>
      </c>
      <c r="D491" t="s">
        <v>300</v>
      </c>
      <c r="F491" t="s">
        <v>1264</v>
      </c>
      <c r="G491" t="s">
        <v>3644</v>
      </c>
      <c r="H491" t="s">
        <v>6005</v>
      </c>
      <c r="I491">
        <v>59</v>
      </c>
      <c r="J491" t="s">
        <v>9065</v>
      </c>
      <c r="K491">
        <v>10458</v>
      </c>
      <c r="L491" t="s">
        <v>9094</v>
      </c>
      <c r="M491" t="s">
        <v>9094</v>
      </c>
      <c r="O491" t="s">
        <v>11134</v>
      </c>
      <c r="P491" t="s">
        <v>11168</v>
      </c>
      <c r="R491" t="s">
        <v>11180</v>
      </c>
      <c r="S491" t="s">
        <v>9094</v>
      </c>
      <c r="T491" t="s">
        <v>11183</v>
      </c>
      <c r="V491" t="s">
        <v>300</v>
      </c>
      <c r="W491">
        <v>1092</v>
      </c>
      <c r="X491" t="s">
        <v>11333</v>
      </c>
      <c r="Y491" t="s">
        <v>11346</v>
      </c>
      <c r="Z491" t="s">
        <v>11730</v>
      </c>
      <c r="AA491" t="s">
        <v>15338</v>
      </c>
      <c r="AB491" t="s">
        <v>16196</v>
      </c>
      <c r="AC491">
        <v>48</v>
      </c>
      <c r="AD491" t="s">
        <v>19566</v>
      </c>
      <c r="AE491" t="s">
        <v>19582</v>
      </c>
      <c r="AF491">
        <v>6</v>
      </c>
      <c r="AG491">
        <v>2</v>
      </c>
      <c r="AH491">
        <v>3</v>
      </c>
      <c r="AI491">
        <v>9.94</v>
      </c>
      <c r="AL491" t="s">
        <v>19614</v>
      </c>
      <c r="AM491">
        <v>3000</v>
      </c>
      <c r="AS491">
        <v>9.199999999999999</v>
      </c>
      <c r="AT491" t="s">
        <v>748</v>
      </c>
      <c r="AU491" t="s">
        <v>174</v>
      </c>
      <c r="AV491" t="s">
        <v>20734</v>
      </c>
    </row>
    <row r="492" spans="1:48">
      <c r="A492" s="1">
        <f>HYPERLINK("https://lsnyc.legalserver.org/matter/dynamic-profile/view/1903307","19-1903307")</f>
        <v>0</v>
      </c>
      <c r="B492" t="s">
        <v>115</v>
      </c>
      <c r="C492" t="s">
        <v>256</v>
      </c>
      <c r="D492" t="s">
        <v>280</v>
      </c>
      <c r="F492" t="s">
        <v>1264</v>
      </c>
      <c r="G492" t="s">
        <v>3644</v>
      </c>
      <c r="H492" t="s">
        <v>6005</v>
      </c>
      <c r="I492">
        <v>59</v>
      </c>
      <c r="J492" t="s">
        <v>9065</v>
      </c>
      <c r="K492">
        <v>10458</v>
      </c>
      <c r="L492" t="s">
        <v>9094</v>
      </c>
      <c r="M492" t="s">
        <v>9095</v>
      </c>
      <c r="O492" t="s">
        <v>11137</v>
      </c>
      <c r="P492" t="s">
        <v>11166</v>
      </c>
      <c r="R492" t="s">
        <v>11180</v>
      </c>
      <c r="S492" t="s">
        <v>9096</v>
      </c>
      <c r="T492" t="s">
        <v>11192</v>
      </c>
      <c r="U492" t="s">
        <v>11201</v>
      </c>
      <c r="V492" t="s">
        <v>11218</v>
      </c>
      <c r="W492">
        <v>1108.75</v>
      </c>
      <c r="X492" t="s">
        <v>11333</v>
      </c>
      <c r="Y492" t="s">
        <v>11346</v>
      </c>
      <c r="Z492" t="s">
        <v>11730</v>
      </c>
      <c r="AA492" t="s">
        <v>15338</v>
      </c>
      <c r="AB492" t="s">
        <v>16196</v>
      </c>
      <c r="AC492">
        <v>0</v>
      </c>
      <c r="AD492" t="s">
        <v>19566</v>
      </c>
      <c r="AE492" t="s">
        <v>19582</v>
      </c>
      <c r="AF492">
        <v>6</v>
      </c>
      <c r="AG492">
        <v>2</v>
      </c>
      <c r="AH492">
        <v>3</v>
      </c>
      <c r="AI492">
        <v>9.94</v>
      </c>
      <c r="AL492" t="s">
        <v>19614</v>
      </c>
      <c r="AM492">
        <v>3000</v>
      </c>
      <c r="AN492" t="s">
        <v>19703</v>
      </c>
      <c r="AS492">
        <v>4.8</v>
      </c>
      <c r="AT492" t="s">
        <v>1130</v>
      </c>
      <c r="AU492" t="s">
        <v>115</v>
      </c>
      <c r="AV492" t="s">
        <v>20734</v>
      </c>
    </row>
    <row r="493" spans="1:48">
      <c r="A493" s="1">
        <f>HYPERLINK("https://lsnyc.legalserver.org/matter/dynamic-profile/view/0781658","15-0781658")</f>
        <v>0</v>
      </c>
      <c r="B493" t="s">
        <v>127</v>
      </c>
      <c r="C493" t="s">
        <v>256</v>
      </c>
      <c r="D493" t="s">
        <v>533</v>
      </c>
      <c r="F493" t="s">
        <v>1462</v>
      </c>
      <c r="G493" t="s">
        <v>3645</v>
      </c>
      <c r="H493" t="s">
        <v>6006</v>
      </c>
      <c r="I493" t="s">
        <v>8280</v>
      </c>
      <c r="J493" t="s">
        <v>9066</v>
      </c>
      <c r="K493">
        <v>10304</v>
      </c>
      <c r="L493" t="s">
        <v>9095</v>
      </c>
      <c r="M493" t="s">
        <v>9095</v>
      </c>
      <c r="N493" t="s">
        <v>9321</v>
      </c>
      <c r="O493" t="s">
        <v>11128</v>
      </c>
      <c r="P493" t="s">
        <v>11165</v>
      </c>
      <c r="R493" t="s">
        <v>11180</v>
      </c>
      <c r="T493" t="s">
        <v>11183</v>
      </c>
      <c r="V493" t="s">
        <v>533</v>
      </c>
      <c r="W493">
        <v>1245</v>
      </c>
      <c r="X493" t="s">
        <v>11334</v>
      </c>
      <c r="Y493" t="s">
        <v>11349</v>
      </c>
      <c r="Z493" t="s">
        <v>11731</v>
      </c>
      <c r="AB493" t="s">
        <v>16197</v>
      </c>
      <c r="AC493">
        <v>0</v>
      </c>
      <c r="AF493">
        <v>3</v>
      </c>
      <c r="AG493">
        <v>1</v>
      </c>
      <c r="AH493">
        <v>0</v>
      </c>
      <c r="AI493">
        <v>9.99</v>
      </c>
      <c r="AL493" t="s">
        <v>19614</v>
      </c>
      <c r="AM493">
        <v>1176</v>
      </c>
      <c r="AS493">
        <v>104.31</v>
      </c>
      <c r="AT493" t="s">
        <v>481</v>
      </c>
      <c r="AU493" t="s">
        <v>20652</v>
      </c>
    </row>
    <row r="494" spans="1:48">
      <c r="A494" s="1">
        <f>HYPERLINK("https://lsnyc.legalserver.org/matter/dynamic-profile/view/1892872","19-1892872")</f>
        <v>0</v>
      </c>
      <c r="B494" t="s">
        <v>92</v>
      </c>
      <c r="C494" t="s">
        <v>257</v>
      </c>
      <c r="D494" t="s">
        <v>523</v>
      </c>
      <c r="E494" t="s">
        <v>414</v>
      </c>
      <c r="F494" t="s">
        <v>1463</v>
      </c>
      <c r="G494" t="s">
        <v>3448</v>
      </c>
      <c r="H494" t="s">
        <v>6007</v>
      </c>
      <c r="I494" t="s">
        <v>8161</v>
      </c>
      <c r="J494" t="s">
        <v>9059</v>
      </c>
      <c r="K494">
        <v>11207</v>
      </c>
      <c r="L494" t="s">
        <v>9094</v>
      </c>
      <c r="M494" t="s">
        <v>9094</v>
      </c>
      <c r="N494" t="s">
        <v>9322</v>
      </c>
      <c r="O494" t="s">
        <v>11129</v>
      </c>
      <c r="P494" t="s">
        <v>11165</v>
      </c>
      <c r="Q494" t="s">
        <v>11174</v>
      </c>
      <c r="R494" t="s">
        <v>11180</v>
      </c>
      <c r="S494" t="s">
        <v>9096</v>
      </c>
      <c r="T494" t="s">
        <v>11183</v>
      </c>
      <c r="V494" t="s">
        <v>11229</v>
      </c>
      <c r="W494">
        <v>1435</v>
      </c>
      <c r="X494" t="s">
        <v>11332</v>
      </c>
      <c r="Z494" t="s">
        <v>11732</v>
      </c>
      <c r="AA494">
        <v>9507238</v>
      </c>
      <c r="AB494" t="s">
        <v>16198</v>
      </c>
      <c r="AC494">
        <v>6</v>
      </c>
      <c r="AD494" t="s">
        <v>19566</v>
      </c>
      <c r="AF494">
        <v>7</v>
      </c>
      <c r="AG494">
        <v>1</v>
      </c>
      <c r="AH494">
        <v>4</v>
      </c>
      <c r="AI494">
        <v>10.02</v>
      </c>
      <c r="AL494" t="s">
        <v>19614</v>
      </c>
      <c r="AM494">
        <v>3024</v>
      </c>
      <c r="AS494">
        <v>37.8</v>
      </c>
      <c r="AT494" t="s">
        <v>476</v>
      </c>
      <c r="AU494" t="s">
        <v>79</v>
      </c>
      <c r="AV494" t="s">
        <v>20734</v>
      </c>
    </row>
    <row r="495" spans="1:48">
      <c r="A495" s="1">
        <f>HYPERLINK("https://lsnyc.legalserver.org/matter/dynamic-profile/view/1840141","17-1840141")</f>
        <v>0</v>
      </c>
      <c r="B495" t="s">
        <v>92</v>
      </c>
      <c r="C495" t="s">
        <v>257</v>
      </c>
      <c r="D495" t="s">
        <v>534</v>
      </c>
      <c r="E495" t="s">
        <v>414</v>
      </c>
      <c r="F495" t="s">
        <v>1463</v>
      </c>
      <c r="G495" t="s">
        <v>3448</v>
      </c>
      <c r="H495" t="s">
        <v>6007</v>
      </c>
      <c r="I495" t="s">
        <v>8161</v>
      </c>
      <c r="J495" t="s">
        <v>9059</v>
      </c>
      <c r="K495">
        <v>11207</v>
      </c>
      <c r="L495" t="s">
        <v>9094</v>
      </c>
      <c r="M495" t="s">
        <v>9094</v>
      </c>
      <c r="N495" t="s">
        <v>9323</v>
      </c>
      <c r="O495" t="s">
        <v>11130</v>
      </c>
      <c r="P495" t="s">
        <v>11165</v>
      </c>
      <c r="Q495" t="s">
        <v>11174</v>
      </c>
      <c r="R495" t="s">
        <v>11180</v>
      </c>
      <c r="S495" t="s">
        <v>9094</v>
      </c>
      <c r="T495" t="s">
        <v>11183</v>
      </c>
      <c r="V495" t="s">
        <v>534</v>
      </c>
      <c r="W495">
        <v>1435</v>
      </c>
      <c r="X495" t="s">
        <v>11332</v>
      </c>
      <c r="Z495" t="s">
        <v>11732</v>
      </c>
      <c r="AA495">
        <v>9507238</v>
      </c>
      <c r="AB495" t="s">
        <v>16198</v>
      </c>
      <c r="AC495">
        <v>6</v>
      </c>
      <c r="AD495" t="s">
        <v>19566</v>
      </c>
      <c r="AF495">
        <v>7</v>
      </c>
      <c r="AG495">
        <v>1</v>
      </c>
      <c r="AH495">
        <v>4</v>
      </c>
      <c r="AI495">
        <v>10.51</v>
      </c>
      <c r="AL495" t="s">
        <v>19614</v>
      </c>
      <c r="AM495">
        <v>3024</v>
      </c>
      <c r="AN495" t="s">
        <v>19704</v>
      </c>
      <c r="AS495">
        <v>136.25</v>
      </c>
      <c r="AT495" t="s">
        <v>612</v>
      </c>
      <c r="AU495" t="s">
        <v>20636</v>
      </c>
      <c r="AV495" t="s">
        <v>20733</v>
      </c>
    </row>
    <row r="496" spans="1:48">
      <c r="A496" s="1">
        <f>HYPERLINK("https://lsnyc.legalserver.org/matter/dynamic-profile/view/1839805","17-1839805")</f>
        <v>0</v>
      </c>
      <c r="B496" t="s">
        <v>92</v>
      </c>
      <c r="C496" t="s">
        <v>257</v>
      </c>
      <c r="D496" t="s">
        <v>535</v>
      </c>
      <c r="E496" t="s">
        <v>414</v>
      </c>
      <c r="F496" t="s">
        <v>1463</v>
      </c>
      <c r="G496" t="s">
        <v>3448</v>
      </c>
      <c r="H496" t="s">
        <v>6007</v>
      </c>
      <c r="I496" t="s">
        <v>8161</v>
      </c>
      <c r="J496" t="s">
        <v>9059</v>
      </c>
      <c r="K496">
        <v>11207</v>
      </c>
      <c r="L496" t="s">
        <v>9094</v>
      </c>
      <c r="M496" t="s">
        <v>9094</v>
      </c>
      <c r="O496" t="s">
        <v>9121</v>
      </c>
      <c r="P496" t="s">
        <v>11167</v>
      </c>
      <c r="Q496" t="s">
        <v>11173</v>
      </c>
      <c r="R496" t="s">
        <v>11180</v>
      </c>
      <c r="S496" t="s">
        <v>9094</v>
      </c>
      <c r="T496" t="s">
        <v>11183</v>
      </c>
      <c r="V496" t="s">
        <v>535</v>
      </c>
      <c r="W496">
        <v>1435</v>
      </c>
      <c r="X496" t="s">
        <v>11332</v>
      </c>
      <c r="Z496" t="s">
        <v>11732</v>
      </c>
      <c r="AA496">
        <v>9507238</v>
      </c>
      <c r="AB496" t="s">
        <v>16198</v>
      </c>
      <c r="AC496">
        <v>6</v>
      </c>
      <c r="AD496" t="s">
        <v>19566</v>
      </c>
      <c r="AF496">
        <v>7</v>
      </c>
      <c r="AG496">
        <v>1</v>
      </c>
      <c r="AH496">
        <v>4</v>
      </c>
      <c r="AI496">
        <v>10.51</v>
      </c>
      <c r="AL496" t="s">
        <v>19614</v>
      </c>
      <c r="AM496">
        <v>3024</v>
      </c>
      <c r="AN496" t="s">
        <v>19704</v>
      </c>
      <c r="AS496">
        <v>30.65</v>
      </c>
      <c r="AT496" t="s">
        <v>348</v>
      </c>
      <c r="AU496" t="s">
        <v>20636</v>
      </c>
    </row>
    <row r="497" spans="1:48">
      <c r="A497" s="1">
        <f>HYPERLINK("https://lsnyc.legalserver.org/matter/dynamic-profile/view/1874744","18-1874744")</f>
        <v>0</v>
      </c>
      <c r="B497" t="s">
        <v>142</v>
      </c>
      <c r="C497" t="s">
        <v>256</v>
      </c>
      <c r="D497" t="s">
        <v>536</v>
      </c>
      <c r="F497" t="s">
        <v>1464</v>
      </c>
      <c r="G497" t="s">
        <v>3646</v>
      </c>
      <c r="H497" t="s">
        <v>6008</v>
      </c>
      <c r="I497" t="s">
        <v>8176</v>
      </c>
      <c r="J497" t="s">
        <v>9067</v>
      </c>
      <c r="K497">
        <v>10035</v>
      </c>
      <c r="L497" t="s">
        <v>9094</v>
      </c>
      <c r="M497" t="s">
        <v>9094</v>
      </c>
      <c r="O497" t="s">
        <v>11131</v>
      </c>
      <c r="P497" t="s">
        <v>11168</v>
      </c>
      <c r="R497" t="s">
        <v>11180</v>
      </c>
      <c r="S497" t="s">
        <v>9096</v>
      </c>
      <c r="T497" t="s">
        <v>11191</v>
      </c>
      <c r="U497" t="s">
        <v>11201</v>
      </c>
      <c r="V497" t="s">
        <v>536</v>
      </c>
      <c r="W497">
        <v>550</v>
      </c>
      <c r="X497" t="s">
        <v>11335</v>
      </c>
      <c r="Y497" t="s">
        <v>11347</v>
      </c>
      <c r="Z497" t="s">
        <v>11733</v>
      </c>
      <c r="AA497" t="s">
        <v>15339</v>
      </c>
      <c r="AB497" t="s">
        <v>16199</v>
      </c>
      <c r="AC497">
        <v>30</v>
      </c>
      <c r="AD497" t="s">
        <v>19566</v>
      </c>
      <c r="AE497" t="s">
        <v>9144</v>
      </c>
      <c r="AF497">
        <v>20</v>
      </c>
      <c r="AG497">
        <v>1</v>
      </c>
      <c r="AH497">
        <v>2</v>
      </c>
      <c r="AI497">
        <v>10.97</v>
      </c>
      <c r="AL497" t="s">
        <v>19614</v>
      </c>
      <c r="AM497">
        <v>2280</v>
      </c>
      <c r="AS497">
        <v>20.3</v>
      </c>
      <c r="AT497" t="s">
        <v>270</v>
      </c>
      <c r="AU497" t="s">
        <v>20657</v>
      </c>
    </row>
    <row r="498" spans="1:48">
      <c r="A498" s="1">
        <f>HYPERLINK("https://lsnyc.legalserver.org/matter/dynamic-profile/view/1834324","17-1834324")</f>
        <v>0</v>
      </c>
      <c r="B498" t="s">
        <v>138</v>
      </c>
      <c r="C498" t="s">
        <v>256</v>
      </c>
      <c r="D498" t="s">
        <v>537</v>
      </c>
      <c r="F498" t="s">
        <v>1146</v>
      </c>
      <c r="G498" t="s">
        <v>2223</v>
      </c>
      <c r="H498" t="s">
        <v>6009</v>
      </c>
      <c r="J498" t="s">
        <v>9067</v>
      </c>
      <c r="K498">
        <v>10028</v>
      </c>
      <c r="L498" t="s">
        <v>9094</v>
      </c>
      <c r="M498" t="s">
        <v>9095</v>
      </c>
      <c r="N498" t="s">
        <v>9324</v>
      </c>
      <c r="O498" t="s">
        <v>11129</v>
      </c>
      <c r="P498" t="s">
        <v>11165</v>
      </c>
      <c r="R498" t="s">
        <v>11181</v>
      </c>
      <c r="S498" t="s">
        <v>9096</v>
      </c>
      <c r="T498" t="s">
        <v>11183</v>
      </c>
      <c r="V498" t="s">
        <v>953</v>
      </c>
      <c r="W498">
        <v>2150</v>
      </c>
      <c r="X498" t="s">
        <v>11335</v>
      </c>
      <c r="Y498" t="s">
        <v>11337</v>
      </c>
      <c r="Z498" t="s">
        <v>11734</v>
      </c>
      <c r="AB498" t="s">
        <v>16200</v>
      </c>
      <c r="AC498">
        <v>10</v>
      </c>
      <c r="AD498" t="s">
        <v>19566</v>
      </c>
      <c r="AE498" t="s">
        <v>9144</v>
      </c>
      <c r="AF498">
        <v>1</v>
      </c>
      <c r="AG498">
        <v>2</v>
      </c>
      <c r="AH498">
        <v>0</v>
      </c>
      <c r="AI498">
        <v>11.08</v>
      </c>
      <c r="AJ498" t="s">
        <v>19591</v>
      </c>
      <c r="AK498" t="s">
        <v>19608</v>
      </c>
      <c r="AL498" t="s">
        <v>19627</v>
      </c>
      <c r="AM498">
        <v>1800</v>
      </c>
      <c r="AS498">
        <v>154.75</v>
      </c>
      <c r="AT498" t="s">
        <v>1135</v>
      </c>
      <c r="AU498" t="s">
        <v>20657</v>
      </c>
      <c r="AV498" t="s">
        <v>20733</v>
      </c>
    </row>
    <row r="499" spans="1:48">
      <c r="A499" s="1">
        <f>HYPERLINK("https://lsnyc.legalserver.org/matter/dynamic-profile/view/1833941","17-1833941")</f>
        <v>0</v>
      </c>
      <c r="B499" t="s">
        <v>101</v>
      </c>
      <c r="C499" t="s">
        <v>256</v>
      </c>
      <c r="D499" t="s">
        <v>538</v>
      </c>
      <c r="F499" t="s">
        <v>1350</v>
      </c>
      <c r="G499" t="s">
        <v>3533</v>
      </c>
      <c r="H499" t="s">
        <v>5890</v>
      </c>
      <c r="I499" t="s">
        <v>8233</v>
      </c>
      <c r="J499" t="s">
        <v>9065</v>
      </c>
      <c r="K499">
        <v>10453</v>
      </c>
      <c r="L499" t="s">
        <v>9094</v>
      </c>
      <c r="M499" t="s">
        <v>9095</v>
      </c>
      <c r="O499" t="s">
        <v>11130</v>
      </c>
      <c r="P499" t="s">
        <v>11165</v>
      </c>
      <c r="R499" t="s">
        <v>11180</v>
      </c>
      <c r="S499" t="s">
        <v>9094</v>
      </c>
      <c r="T499" t="s">
        <v>11183</v>
      </c>
      <c r="V499" t="s">
        <v>11219</v>
      </c>
      <c r="W499">
        <v>1612</v>
      </c>
      <c r="X499" t="s">
        <v>11333</v>
      </c>
      <c r="Y499" t="s">
        <v>11340</v>
      </c>
      <c r="Z499" t="s">
        <v>11599</v>
      </c>
      <c r="AA499" t="s">
        <v>15340</v>
      </c>
      <c r="AB499" t="s">
        <v>16084</v>
      </c>
      <c r="AC499">
        <v>46</v>
      </c>
      <c r="AD499" t="s">
        <v>19566</v>
      </c>
      <c r="AE499" t="s">
        <v>19581</v>
      </c>
      <c r="AF499">
        <v>11</v>
      </c>
      <c r="AG499">
        <v>1</v>
      </c>
      <c r="AH499">
        <v>4</v>
      </c>
      <c r="AI499">
        <v>11.09</v>
      </c>
      <c r="AL499" t="s">
        <v>19615</v>
      </c>
      <c r="AM499">
        <v>3192</v>
      </c>
      <c r="AS499">
        <v>62.7</v>
      </c>
      <c r="AT499" t="s">
        <v>695</v>
      </c>
      <c r="AU499" t="s">
        <v>20643</v>
      </c>
    </row>
    <row r="500" spans="1:48">
      <c r="A500" s="1">
        <f>HYPERLINK("https://lsnyc.legalserver.org/matter/dynamic-profile/view/0811672","16-0811672")</f>
        <v>0</v>
      </c>
      <c r="B500" t="s">
        <v>60</v>
      </c>
      <c r="C500" t="s">
        <v>256</v>
      </c>
      <c r="D500" t="s">
        <v>539</v>
      </c>
      <c r="F500" t="s">
        <v>1465</v>
      </c>
      <c r="G500" t="s">
        <v>3647</v>
      </c>
      <c r="H500" t="s">
        <v>6010</v>
      </c>
      <c r="I500" t="s">
        <v>8281</v>
      </c>
      <c r="J500" t="s">
        <v>9055</v>
      </c>
      <c r="K500">
        <v>11355</v>
      </c>
      <c r="L500" t="s">
        <v>9094</v>
      </c>
      <c r="M500" t="s">
        <v>9095</v>
      </c>
      <c r="N500" t="s">
        <v>9325</v>
      </c>
      <c r="O500" t="s">
        <v>11135</v>
      </c>
      <c r="P500" t="s">
        <v>11168</v>
      </c>
      <c r="R500" t="s">
        <v>11180</v>
      </c>
      <c r="S500" t="s">
        <v>9096</v>
      </c>
      <c r="T500" t="s">
        <v>11183</v>
      </c>
      <c r="V500" t="s">
        <v>11230</v>
      </c>
      <c r="W500">
        <v>1450</v>
      </c>
      <c r="X500" t="s">
        <v>11331</v>
      </c>
      <c r="Y500" t="s">
        <v>11349</v>
      </c>
      <c r="Z500" t="s">
        <v>11735</v>
      </c>
      <c r="AA500" t="s">
        <v>9325</v>
      </c>
      <c r="AB500" t="s">
        <v>16201</v>
      </c>
      <c r="AC500">
        <v>53</v>
      </c>
      <c r="AD500" t="s">
        <v>19566</v>
      </c>
      <c r="AE500" t="s">
        <v>9144</v>
      </c>
      <c r="AF500">
        <v>10</v>
      </c>
      <c r="AG500">
        <v>6</v>
      </c>
      <c r="AH500">
        <v>0</v>
      </c>
      <c r="AI500">
        <v>11.17</v>
      </c>
      <c r="AJ500" t="s">
        <v>19595</v>
      </c>
      <c r="AL500" t="s">
        <v>19628</v>
      </c>
      <c r="AM500">
        <v>3640</v>
      </c>
      <c r="AS500">
        <v>17.8</v>
      </c>
      <c r="AT500" t="s">
        <v>943</v>
      </c>
      <c r="AU500" t="s">
        <v>60</v>
      </c>
    </row>
    <row r="501" spans="1:48">
      <c r="A501" s="1">
        <f>HYPERLINK("https://lsnyc.legalserver.org/matter/dynamic-profile/view/1914323","19-1914323")</f>
        <v>0</v>
      </c>
      <c r="B501" t="s">
        <v>74</v>
      </c>
      <c r="C501" t="s">
        <v>256</v>
      </c>
      <c r="D501" t="s">
        <v>496</v>
      </c>
      <c r="F501" t="s">
        <v>1276</v>
      </c>
      <c r="G501" t="s">
        <v>3497</v>
      </c>
      <c r="H501" t="s">
        <v>6011</v>
      </c>
      <c r="I501">
        <v>461</v>
      </c>
      <c r="J501" t="s">
        <v>9059</v>
      </c>
      <c r="K501">
        <v>11208</v>
      </c>
      <c r="L501" t="s">
        <v>9094</v>
      </c>
      <c r="M501" t="s">
        <v>9095</v>
      </c>
      <c r="N501" t="s">
        <v>9326</v>
      </c>
      <c r="O501" t="s">
        <v>11129</v>
      </c>
      <c r="R501" t="s">
        <v>11180</v>
      </c>
      <c r="S501" t="s">
        <v>9096</v>
      </c>
      <c r="T501" t="s">
        <v>11183</v>
      </c>
      <c r="U501" t="s">
        <v>11202</v>
      </c>
      <c r="V501" t="s">
        <v>301</v>
      </c>
      <c r="W501">
        <v>1667</v>
      </c>
      <c r="X501" t="s">
        <v>11332</v>
      </c>
      <c r="Y501" t="s">
        <v>11345</v>
      </c>
      <c r="Z501" t="s">
        <v>11736</v>
      </c>
      <c r="AA501" t="s">
        <v>15341</v>
      </c>
      <c r="AB501" t="s">
        <v>16202</v>
      </c>
      <c r="AC501">
        <v>266</v>
      </c>
      <c r="AD501" t="s">
        <v>19566</v>
      </c>
      <c r="AE501" t="s">
        <v>19580</v>
      </c>
      <c r="AF501">
        <v>15</v>
      </c>
      <c r="AG501">
        <v>2</v>
      </c>
      <c r="AH501">
        <v>1</v>
      </c>
      <c r="AI501">
        <v>11.25</v>
      </c>
      <c r="AL501" t="s">
        <v>19614</v>
      </c>
      <c r="AM501">
        <v>2400</v>
      </c>
      <c r="AS501">
        <v>0</v>
      </c>
      <c r="AU501" t="s">
        <v>95</v>
      </c>
      <c r="AV501" t="s">
        <v>20734</v>
      </c>
    </row>
    <row r="502" spans="1:48">
      <c r="A502" s="1">
        <f>HYPERLINK("https://lsnyc.legalserver.org/matter/dynamic-profile/view/1888301","19-1888301")</f>
        <v>0</v>
      </c>
      <c r="B502" t="s">
        <v>124</v>
      </c>
      <c r="C502" t="s">
        <v>256</v>
      </c>
      <c r="D502" t="s">
        <v>540</v>
      </c>
      <c r="F502" t="s">
        <v>1466</v>
      </c>
      <c r="G502" t="s">
        <v>3648</v>
      </c>
      <c r="H502" t="s">
        <v>6012</v>
      </c>
      <c r="I502" t="s">
        <v>8282</v>
      </c>
      <c r="J502" t="s">
        <v>9066</v>
      </c>
      <c r="K502">
        <v>10304</v>
      </c>
      <c r="L502" t="s">
        <v>9094</v>
      </c>
      <c r="M502" t="s">
        <v>9094</v>
      </c>
      <c r="N502" t="s">
        <v>9327</v>
      </c>
      <c r="O502" t="s">
        <v>11129</v>
      </c>
      <c r="P502" t="s">
        <v>11165</v>
      </c>
      <c r="R502" t="s">
        <v>11180</v>
      </c>
      <c r="S502" t="s">
        <v>9096</v>
      </c>
      <c r="T502" t="s">
        <v>11183</v>
      </c>
      <c r="U502" t="s">
        <v>11201</v>
      </c>
      <c r="V502" t="s">
        <v>540</v>
      </c>
      <c r="W502">
        <v>1515</v>
      </c>
      <c r="X502" t="s">
        <v>11334</v>
      </c>
      <c r="Y502" t="s">
        <v>11157</v>
      </c>
      <c r="Z502" t="s">
        <v>11737</v>
      </c>
      <c r="AA502" t="s">
        <v>15342</v>
      </c>
      <c r="AC502">
        <v>2</v>
      </c>
      <c r="AD502" t="s">
        <v>19565</v>
      </c>
      <c r="AE502" t="s">
        <v>19581</v>
      </c>
      <c r="AF502">
        <v>4</v>
      </c>
      <c r="AG502">
        <v>2</v>
      </c>
      <c r="AH502">
        <v>2</v>
      </c>
      <c r="AI502">
        <v>11.47</v>
      </c>
      <c r="AL502" t="s">
        <v>19615</v>
      </c>
      <c r="AM502">
        <v>2880</v>
      </c>
      <c r="AS502">
        <v>12.75</v>
      </c>
      <c r="AT502" t="s">
        <v>299</v>
      </c>
      <c r="AU502" t="s">
        <v>128</v>
      </c>
      <c r="AV502" t="s">
        <v>20733</v>
      </c>
    </row>
    <row r="503" spans="1:48">
      <c r="A503" s="1">
        <f>HYPERLINK("https://lsnyc.legalserver.org/matter/dynamic-profile/view/1882893","18-1882893")</f>
        <v>0</v>
      </c>
      <c r="B503" t="s">
        <v>69</v>
      </c>
      <c r="C503" t="s">
        <v>256</v>
      </c>
      <c r="D503" t="s">
        <v>490</v>
      </c>
      <c r="F503" t="s">
        <v>1467</v>
      </c>
      <c r="G503" t="s">
        <v>3649</v>
      </c>
      <c r="H503" t="s">
        <v>6013</v>
      </c>
      <c r="I503" t="s">
        <v>8141</v>
      </c>
      <c r="J503" t="s">
        <v>9059</v>
      </c>
      <c r="K503">
        <v>11233</v>
      </c>
      <c r="L503" t="s">
        <v>9094</v>
      </c>
      <c r="M503" t="s">
        <v>9094</v>
      </c>
      <c r="N503" t="s">
        <v>9328</v>
      </c>
      <c r="O503" t="s">
        <v>11139</v>
      </c>
      <c r="P503" t="s">
        <v>11168</v>
      </c>
      <c r="R503" t="s">
        <v>11180</v>
      </c>
      <c r="S503" t="s">
        <v>9096</v>
      </c>
      <c r="T503" t="s">
        <v>11184</v>
      </c>
      <c r="U503" t="s">
        <v>11202</v>
      </c>
      <c r="V503" t="s">
        <v>513</v>
      </c>
      <c r="W503">
        <v>1515</v>
      </c>
      <c r="X503" t="s">
        <v>11332</v>
      </c>
      <c r="Y503" t="s">
        <v>11336</v>
      </c>
      <c r="Z503" t="s">
        <v>11738</v>
      </c>
      <c r="AA503" t="s">
        <v>15343</v>
      </c>
      <c r="AB503" t="s">
        <v>16203</v>
      </c>
      <c r="AC503">
        <v>6</v>
      </c>
      <c r="AD503" t="s">
        <v>19566</v>
      </c>
      <c r="AE503" t="s">
        <v>19588</v>
      </c>
      <c r="AF503">
        <v>5</v>
      </c>
      <c r="AG503">
        <v>1</v>
      </c>
      <c r="AH503">
        <v>0</v>
      </c>
      <c r="AI503">
        <v>11.53</v>
      </c>
      <c r="AL503" t="s">
        <v>19614</v>
      </c>
      <c r="AM503">
        <v>1400</v>
      </c>
      <c r="AS503">
        <v>36.25</v>
      </c>
      <c r="AT503" t="s">
        <v>521</v>
      </c>
      <c r="AU503" t="s">
        <v>79</v>
      </c>
      <c r="AV503" t="s">
        <v>20733</v>
      </c>
    </row>
    <row r="504" spans="1:48">
      <c r="A504" s="1">
        <f>HYPERLINK("https://lsnyc.legalserver.org/matter/dynamic-profile/view/1899279","19-1899279")</f>
        <v>0</v>
      </c>
      <c r="B504" t="s">
        <v>114</v>
      </c>
      <c r="C504" t="s">
        <v>256</v>
      </c>
      <c r="D504" t="s">
        <v>486</v>
      </c>
      <c r="F504" t="s">
        <v>1468</v>
      </c>
      <c r="G504" t="s">
        <v>3374</v>
      </c>
      <c r="H504" t="s">
        <v>6014</v>
      </c>
      <c r="I504" t="s">
        <v>8283</v>
      </c>
      <c r="J504" t="s">
        <v>9065</v>
      </c>
      <c r="K504">
        <v>10453</v>
      </c>
      <c r="L504" t="s">
        <v>9095</v>
      </c>
      <c r="M504" t="s">
        <v>9095</v>
      </c>
      <c r="P504" t="s">
        <v>11166</v>
      </c>
      <c r="R504" t="s">
        <v>11180</v>
      </c>
      <c r="T504" t="s">
        <v>11189</v>
      </c>
      <c r="W504">
        <v>0</v>
      </c>
      <c r="X504" t="s">
        <v>11333</v>
      </c>
      <c r="Z504" t="s">
        <v>11739</v>
      </c>
      <c r="AB504" t="s">
        <v>16204</v>
      </c>
      <c r="AC504">
        <v>55</v>
      </c>
      <c r="AF504">
        <v>0</v>
      </c>
      <c r="AG504">
        <v>1</v>
      </c>
      <c r="AH504">
        <v>0</v>
      </c>
      <c r="AI504">
        <v>11.53</v>
      </c>
      <c r="AL504" t="s">
        <v>19615</v>
      </c>
      <c r="AM504">
        <v>1440</v>
      </c>
      <c r="AN504" t="s">
        <v>19705</v>
      </c>
      <c r="AS504">
        <v>0.9</v>
      </c>
      <c r="AT504" t="s">
        <v>612</v>
      </c>
      <c r="AU504" t="s">
        <v>114</v>
      </c>
    </row>
    <row r="505" spans="1:48">
      <c r="A505" s="1">
        <f>HYPERLINK("https://lsnyc.legalserver.org/matter/dynamic-profile/view/0820320","16-0820320")</f>
        <v>0</v>
      </c>
      <c r="B505" t="s">
        <v>94</v>
      </c>
      <c r="C505" t="s">
        <v>256</v>
      </c>
      <c r="D505" t="s">
        <v>385</v>
      </c>
      <c r="F505" t="s">
        <v>1469</v>
      </c>
      <c r="G505" t="s">
        <v>3650</v>
      </c>
      <c r="H505" t="s">
        <v>6015</v>
      </c>
      <c r="I505" t="s">
        <v>8229</v>
      </c>
      <c r="J505" t="s">
        <v>9059</v>
      </c>
      <c r="K505">
        <v>11212</v>
      </c>
      <c r="L505" t="s">
        <v>9094</v>
      </c>
      <c r="M505" t="s">
        <v>9095</v>
      </c>
      <c r="N505" t="s">
        <v>9183</v>
      </c>
      <c r="O505" t="s">
        <v>11132</v>
      </c>
      <c r="P505" t="s">
        <v>11165</v>
      </c>
      <c r="R505" t="s">
        <v>11180</v>
      </c>
      <c r="S505" t="s">
        <v>9094</v>
      </c>
      <c r="T505" t="s">
        <v>11183</v>
      </c>
      <c r="V505" t="s">
        <v>385</v>
      </c>
      <c r="W505">
        <v>0</v>
      </c>
      <c r="X505" t="s">
        <v>11332</v>
      </c>
      <c r="Z505" t="s">
        <v>11740</v>
      </c>
      <c r="AB505" t="s">
        <v>16205</v>
      </c>
      <c r="AC505">
        <v>12</v>
      </c>
      <c r="AF505">
        <v>0</v>
      </c>
      <c r="AG505">
        <v>1</v>
      </c>
      <c r="AH505">
        <v>2</v>
      </c>
      <c r="AI505">
        <v>11.55</v>
      </c>
      <c r="AL505" t="s">
        <v>19614</v>
      </c>
      <c r="AM505">
        <v>2328</v>
      </c>
      <c r="AS505">
        <v>0.1</v>
      </c>
      <c r="AT505" t="s">
        <v>955</v>
      </c>
      <c r="AU505" t="s">
        <v>20636</v>
      </c>
    </row>
    <row r="506" spans="1:48">
      <c r="A506" s="1">
        <f>HYPERLINK("https://lsnyc.legalserver.org/matter/dynamic-profile/view/0800574","16-0800574")</f>
        <v>0</v>
      </c>
      <c r="B506" t="s">
        <v>94</v>
      </c>
      <c r="C506" t="s">
        <v>256</v>
      </c>
      <c r="D506" t="s">
        <v>541</v>
      </c>
      <c r="F506" t="s">
        <v>1469</v>
      </c>
      <c r="G506" t="s">
        <v>3650</v>
      </c>
      <c r="H506" t="s">
        <v>6016</v>
      </c>
      <c r="I506" t="s">
        <v>8229</v>
      </c>
      <c r="J506" t="s">
        <v>9059</v>
      </c>
      <c r="K506">
        <v>11212</v>
      </c>
      <c r="L506" t="s">
        <v>9094</v>
      </c>
      <c r="M506" t="s">
        <v>9095</v>
      </c>
      <c r="N506" t="s">
        <v>9329</v>
      </c>
      <c r="O506" t="s">
        <v>11128</v>
      </c>
      <c r="P506" t="s">
        <v>11165</v>
      </c>
      <c r="R506" t="s">
        <v>11180</v>
      </c>
      <c r="S506" t="s">
        <v>9094</v>
      </c>
      <c r="T506" t="s">
        <v>11183</v>
      </c>
      <c r="V506" t="s">
        <v>541</v>
      </c>
      <c r="W506">
        <v>0</v>
      </c>
      <c r="X506" t="s">
        <v>11332</v>
      </c>
      <c r="Y506" t="s">
        <v>11343</v>
      </c>
      <c r="Z506" t="s">
        <v>11740</v>
      </c>
      <c r="AB506" t="s">
        <v>16205</v>
      </c>
      <c r="AC506">
        <v>12</v>
      </c>
      <c r="AD506" t="s">
        <v>19566</v>
      </c>
      <c r="AE506" t="s">
        <v>19586</v>
      </c>
      <c r="AF506">
        <v>1</v>
      </c>
      <c r="AG506">
        <v>1</v>
      </c>
      <c r="AH506">
        <v>2</v>
      </c>
      <c r="AI506">
        <v>11.55</v>
      </c>
      <c r="AL506" t="s">
        <v>19614</v>
      </c>
      <c r="AM506">
        <v>2328</v>
      </c>
      <c r="AS506">
        <v>192.3</v>
      </c>
      <c r="AT506" t="s">
        <v>498</v>
      </c>
      <c r="AU506" t="s">
        <v>20628</v>
      </c>
    </row>
    <row r="507" spans="1:48">
      <c r="A507" s="1">
        <f>HYPERLINK("https://lsnyc.legalserver.org/matter/dynamic-profile/view/1900690","19-1900690")</f>
        <v>0</v>
      </c>
      <c r="B507" t="s">
        <v>111</v>
      </c>
      <c r="C507" t="s">
        <v>256</v>
      </c>
      <c r="D507" t="s">
        <v>338</v>
      </c>
      <c r="F507" t="s">
        <v>1470</v>
      </c>
      <c r="G507" t="s">
        <v>3651</v>
      </c>
      <c r="H507" t="s">
        <v>5864</v>
      </c>
      <c r="I507" t="s">
        <v>8284</v>
      </c>
      <c r="J507" t="s">
        <v>9065</v>
      </c>
      <c r="K507">
        <v>10460</v>
      </c>
      <c r="L507" t="s">
        <v>9094</v>
      </c>
      <c r="M507" t="s">
        <v>9095</v>
      </c>
      <c r="N507" t="s">
        <v>9330</v>
      </c>
      <c r="O507" t="s">
        <v>11129</v>
      </c>
      <c r="P507" t="s">
        <v>11165</v>
      </c>
      <c r="R507" t="s">
        <v>11180</v>
      </c>
      <c r="S507" t="s">
        <v>9096</v>
      </c>
      <c r="T507" t="s">
        <v>11183</v>
      </c>
      <c r="V507" t="s">
        <v>11218</v>
      </c>
      <c r="W507">
        <v>233</v>
      </c>
      <c r="X507" t="s">
        <v>11333</v>
      </c>
      <c r="Y507" t="s">
        <v>11340</v>
      </c>
      <c r="Z507" t="s">
        <v>11741</v>
      </c>
      <c r="AB507" t="s">
        <v>16206</v>
      </c>
      <c r="AC507">
        <v>248</v>
      </c>
      <c r="AD507" t="s">
        <v>19572</v>
      </c>
      <c r="AE507" t="s">
        <v>19585</v>
      </c>
      <c r="AF507">
        <v>25</v>
      </c>
      <c r="AG507">
        <v>2</v>
      </c>
      <c r="AH507">
        <v>0</v>
      </c>
      <c r="AI507">
        <v>11.6</v>
      </c>
      <c r="AL507" t="s">
        <v>19614</v>
      </c>
      <c r="AM507">
        <v>1962</v>
      </c>
      <c r="AS507">
        <v>15</v>
      </c>
      <c r="AT507" t="s">
        <v>377</v>
      </c>
      <c r="AU507" t="s">
        <v>20642</v>
      </c>
      <c r="AV507" t="s">
        <v>20733</v>
      </c>
    </row>
    <row r="508" spans="1:48">
      <c r="A508" s="1">
        <f>HYPERLINK("https://lsnyc.legalserver.org/matter/dynamic-profile/view/1911742","19-1911742")</f>
        <v>0</v>
      </c>
      <c r="B508" t="s">
        <v>83</v>
      </c>
      <c r="C508" t="s">
        <v>256</v>
      </c>
      <c r="D508" t="s">
        <v>290</v>
      </c>
      <c r="F508" t="s">
        <v>1471</v>
      </c>
      <c r="G508" t="s">
        <v>3652</v>
      </c>
      <c r="H508" t="s">
        <v>6017</v>
      </c>
      <c r="I508" t="s">
        <v>8142</v>
      </c>
      <c r="J508" t="s">
        <v>9059</v>
      </c>
      <c r="K508">
        <v>11232</v>
      </c>
      <c r="L508" t="s">
        <v>9094</v>
      </c>
      <c r="M508" t="s">
        <v>9095</v>
      </c>
      <c r="O508" t="s">
        <v>11137</v>
      </c>
      <c r="P508" t="s">
        <v>11166</v>
      </c>
      <c r="R508" t="s">
        <v>11180</v>
      </c>
      <c r="T508" t="s">
        <v>11189</v>
      </c>
      <c r="V508" t="s">
        <v>290</v>
      </c>
      <c r="W508">
        <v>0</v>
      </c>
      <c r="X508" t="s">
        <v>11332</v>
      </c>
      <c r="Z508" t="s">
        <v>11742</v>
      </c>
      <c r="AC508">
        <v>8</v>
      </c>
      <c r="AF508">
        <v>0</v>
      </c>
      <c r="AG508">
        <v>1</v>
      </c>
      <c r="AH508">
        <v>3</v>
      </c>
      <c r="AI508">
        <v>11.65</v>
      </c>
      <c r="AL508" t="s">
        <v>19615</v>
      </c>
      <c r="AM508">
        <v>3000</v>
      </c>
      <c r="AS508">
        <v>12.4</v>
      </c>
      <c r="AT508" t="s">
        <v>321</v>
      </c>
      <c r="AU508" t="s">
        <v>20664</v>
      </c>
      <c r="AV508" t="s">
        <v>20733</v>
      </c>
    </row>
    <row r="509" spans="1:48">
      <c r="A509" s="1">
        <f>HYPERLINK("https://lsnyc.legalserver.org/matter/dynamic-profile/view/1904334","19-1904334")</f>
        <v>0</v>
      </c>
      <c r="B509" t="s">
        <v>103</v>
      </c>
      <c r="C509" t="s">
        <v>256</v>
      </c>
      <c r="D509" t="s">
        <v>265</v>
      </c>
      <c r="F509" t="s">
        <v>1402</v>
      </c>
      <c r="G509" t="s">
        <v>3653</v>
      </c>
      <c r="H509" t="s">
        <v>5884</v>
      </c>
      <c r="I509" t="s">
        <v>8285</v>
      </c>
      <c r="J509" t="s">
        <v>9065</v>
      </c>
      <c r="K509">
        <v>10455</v>
      </c>
      <c r="L509" t="s">
        <v>9094</v>
      </c>
      <c r="M509" t="s">
        <v>9095</v>
      </c>
      <c r="N509" t="s">
        <v>9331</v>
      </c>
      <c r="O509" t="s">
        <v>11134</v>
      </c>
      <c r="P509" t="s">
        <v>11168</v>
      </c>
      <c r="R509" t="s">
        <v>11180</v>
      </c>
      <c r="S509" t="s">
        <v>9096</v>
      </c>
      <c r="T509" t="s">
        <v>11183</v>
      </c>
      <c r="V509" t="s">
        <v>442</v>
      </c>
      <c r="W509">
        <v>600</v>
      </c>
      <c r="X509" t="s">
        <v>11333</v>
      </c>
      <c r="Y509" t="s">
        <v>11340</v>
      </c>
      <c r="Z509" t="s">
        <v>11743</v>
      </c>
      <c r="AB509" t="s">
        <v>16207</v>
      </c>
      <c r="AC509">
        <v>49</v>
      </c>
      <c r="AD509" t="s">
        <v>19566</v>
      </c>
      <c r="AE509" t="s">
        <v>19582</v>
      </c>
      <c r="AF509">
        <v>4</v>
      </c>
      <c r="AG509">
        <v>2</v>
      </c>
      <c r="AH509">
        <v>1</v>
      </c>
      <c r="AI509">
        <v>11.7</v>
      </c>
      <c r="AL509" t="s">
        <v>19614</v>
      </c>
      <c r="AM509">
        <v>2496</v>
      </c>
      <c r="AS509">
        <v>7</v>
      </c>
      <c r="AT509" t="s">
        <v>414</v>
      </c>
      <c r="AU509" t="s">
        <v>110</v>
      </c>
      <c r="AV509" t="s">
        <v>20733</v>
      </c>
    </row>
    <row r="510" spans="1:48">
      <c r="A510" s="1">
        <f>HYPERLINK("https://lsnyc.legalserver.org/matter/dynamic-profile/view/1905112","19-1905112")</f>
        <v>0</v>
      </c>
      <c r="B510" t="s">
        <v>103</v>
      </c>
      <c r="C510" t="s">
        <v>256</v>
      </c>
      <c r="D510" t="s">
        <v>367</v>
      </c>
      <c r="F510" t="s">
        <v>1402</v>
      </c>
      <c r="G510" t="s">
        <v>3653</v>
      </c>
      <c r="H510" t="s">
        <v>5884</v>
      </c>
      <c r="I510" t="s">
        <v>8285</v>
      </c>
      <c r="J510" t="s">
        <v>9065</v>
      </c>
      <c r="K510">
        <v>10455</v>
      </c>
      <c r="L510" t="s">
        <v>9094</v>
      </c>
      <c r="M510" t="s">
        <v>9095</v>
      </c>
      <c r="N510" t="s">
        <v>9332</v>
      </c>
      <c r="O510" t="s">
        <v>11134</v>
      </c>
      <c r="P510" t="s">
        <v>11168</v>
      </c>
      <c r="R510" t="s">
        <v>11180</v>
      </c>
      <c r="S510" t="s">
        <v>9094</v>
      </c>
      <c r="T510" t="s">
        <v>11183</v>
      </c>
      <c r="W510">
        <v>1515</v>
      </c>
      <c r="X510" t="s">
        <v>11333</v>
      </c>
      <c r="Y510" t="s">
        <v>11340</v>
      </c>
      <c r="Z510" t="s">
        <v>11743</v>
      </c>
      <c r="AB510" t="s">
        <v>16207</v>
      </c>
      <c r="AC510">
        <v>49</v>
      </c>
      <c r="AD510" t="s">
        <v>19566</v>
      </c>
      <c r="AE510" t="s">
        <v>9144</v>
      </c>
      <c r="AF510">
        <v>3</v>
      </c>
      <c r="AG510">
        <v>1</v>
      </c>
      <c r="AH510">
        <v>2</v>
      </c>
      <c r="AI510">
        <v>11.7</v>
      </c>
      <c r="AL510" t="s">
        <v>19614</v>
      </c>
      <c r="AM510">
        <v>2496</v>
      </c>
      <c r="AS510">
        <v>2.95</v>
      </c>
      <c r="AT510" t="s">
        <v>377</v>
      </c>
      <c r="AU510" t="s">
        <v>220</v>
      </c>
      <c r="AV510" t="s">
        <v>20733</v>
      </c>
    </row>
    <row r="511" spans="1:48">
      <c r="A511" s="1">
        <f>HYPERLINK("https://lsnyc.legalserver.org/matter/dynamic-profile/view/1898492","19-1898492")</f>
        <v>0</v>
      </c>
      <c r="B511" t="s">
        <v>103</v>
      </c>
      <c r="C511" t="s">
        <v>256</v>
      </c>
      <c r="D511" t="s">
        <v>299</v>
      </c>
      <c r="F511" t="s">
        <v>1402</v>
      </c>
      <c r="G511" t="s">
        <v>3653</v>
      </c>
      <c r="H511" t="s">
        <v>5884</v>
      </c>
      <c r="I511" t="s">
        <v>8285</v>
      </c>
      <c r="J511" t="s">
        <v>9065</v>
      </c>
      <c r="K511">
        <v>10455</v>
      </c>
      <c r="L511" t="s">
        <v>9094</v>
      </c>
      <c r="M511" t="s">
        <v>9094</v>
      </c>
      <c r="N511" t="s">
        <v>9236</v>
      </c>
      <c r="O511" t="s">
        <v>11130</v>
      </c>
      <c r="P511" t="s">
        <v>11165</v>
      </c>
      <c r="R511" t="s">
        <v>11180</v>
      </c>
      <c r="S511" t="s">
        <v>9094</v>
      </c>
      <c r="T511" t="s">
        <v>11183</v>
      </c>
      <c r="W511">
        <v>1515</v>
      </c>
      <c r="X511" t="s">
        <v>11333</v>
      </c>
      <c r="Y511" t="s">
        <v>11340</v>
      </c>
      <c r="Z511" t="s">
        <v>11743</v>
      </c>
      <c r="AB511" t="s">
        <v>16207</v>
      </c>
      <c r="AC511">
        <v>49</v>
      </c>
      <c r="AD511" t="s">
        <v>19566</v>
      </c>
      <c r="AF511">
        <v>3</v>
      </c>
      <c r="AG511">
        <v>1</v>
      </c>
      <c r="AH511">
        <v>2</v>
      </c>
      <c r="AI511">
        <v>11.7</v>
      </c>
      <c r="AL511" t="s">
        <v>19614</v>
      </c>
      <c r="AM511">
        <v>2496</v>
      </c>
      <c r="AS511">
        <v>206</v>
      </c>
      <c r="AT511" t="s">
        <v>1135</v>
      </c>
      <c r="AV511" t="s">
        <v>20733</v>
      </c>
    </row>
    <row r="512" spans="1:48">
      <c r="A512" s="1">
        <f>HYPERLINK("https://lsnyc.legalserver.org/matter/dynamic-profile/view/1853736","17-1853736")</f>
        <v>0</v>
      </c>
      <c r="B512" t="s">
        <v>69</v>
      </c>
      <c r="C512" t="s">
        <v>256</v>
      </c>
      <c r="D512" t="s">
        <v>542</v>
      </c>
      <c r="F512" t="s">
        <v>1146</v>
      </c>
      <c r="G512" t="s">
        <v>3654</v>
      </c>
      <c r="H512" t="s">
        <v>6018</v>
      </c>
      <c r="I512" t="s">
        <v>8141</v>
      </c>
      <c r="J512" t="s">
        <v>9067</v>
      </c>
      <c r="K512">
        <v>10035</v>
      </c>
      <c r="L512" t="s">
        <v>9094</v>
      </c>
      <c r="M512" t="s">
        <v>9095</v>
      </c>
      <c r="O512" t="s">
        <v>11131</v>
      </c>
      <c r="P512" t="s">
        <v>11166</v>
      </c>
      <c r="R512" t="s">
        <v>11180</v>
      </c>
      <c r="S512" t="s">
        <v>9096</v>
      </c>
      <c r="T512" t="s">
        <v>11191</v>
      </c>
      <c r="V512" t="s">
        <v>542</v>
      </c>
      <c r="W512">
        <v>645</v>
      </c>
      <c r="X512" t="s">
        <v>11335</v>
      </c>
      <c r="Y512" t="s">
        <v>11347</v>
      </c>
      <c r="Z512" t="s">
        <v>11744</v>
      </c>
      <c r="AC512">
        <v>8</v>
      </c>
      <c r="AD512" t="s">
        <v>19566</v>
      </c>
      <c r="AE512" t="s">
        <v>9144</v>
      </c>
      <c r="AF512">
        <v>20</v>
      </c>
      <c r="AG512">
        <v>1</v>
      </c>
      <c r="AH512">
        <v>2</v>
      </c>
      <c r="AI512">
        <v>11.75</v>
      </c>
      <c r="AL512" t="s">
        <v>19615</v>
      </c>
      <c r="AM512">
        <v>2400</v>
      </c>
      <c r="AN512" t="s">
        <v>19706</v>
      </c>
      <c r="AS512">
        <v>30.7</v>
      </c>
      <c r="AT512" t="s">
        <v>636</v>
      </c>
      <c r="AU512" t="s">
        <v>20657</v>
      </c>
    </row>
    <row r="513" spans="1:48">
      <c r="A513" s="1">
        <f>HYPERLINK("https://lsnyc.legalserver.org/matter/dynamic-profile/view/1890032","19-1890032")</f>
        <v>0</v>
      </c>
      <c r="B513" t="s">
        <v>103</v>
      </c>
      <c r="C513" t="s">
        <v>256</v>
      </c>
      <c r="D513" t="s">
        <v>543</v>
      </c>
      <c r="F513" t="s">
        <v>1472</v>
      </c>
      <c r="G513" t="s">
        <v>3655</v>
      </c>
      <c r="H513" t="s">
        <v>5887</v>
      </c>
      <c r="I513" t="s">
        <v>8286</v>
      </c>
      <c r="J513" t="s">
        <v>9065</v>
      </c>
      <c r="K513">
        <v>10453</v>
      </c>
      <c r="L513" t="s">
        <v>9094</v>
      </c>
      <c r="M513" t="s">
        <v>9094</v>
      </c>
      <c r="O513" t="s">
        <v>11134</v>
      </c>
      <c r="P513" t="s">
        <v>11168</v>
      </c>
      <c r="R513" t="s">
        <v>11180</v>
      </c>
      <c r="S513" t="s">
        <v>9094</v>
      </c>
      <c r="T513" t="s">
        <v>11183</v>
      </c>
      <c r="V513" t="s">
        <v>512</v>
      </c>
      <c r="W513">
        <v>1400</v>
      </c>
      <c r="X513" t="s">
        <v>11333</v>
      </c>
      <c r="Y513" t="s">
        <v>11346</v>
      </c>
      <c r="Z513" t="s">
        <v>11745</v>
      </c>
      <c r="AB513" t="s">
        <v>16208</v>
      </c>
      <c r="AC513">
        <v>170</v>
      </c>
      <c r="AD513" t="s">
        <v>19566</v>
      </c>
      <c r="AF513">
        <v>8</v>
      </c>
      <c r="AG513">
        <v>2</v>
      </c>
      <c r="AH513">
        <v>0</v>
      </c>
      <c r="AI513">
        <v>11.83</v>
      </c>
      <c r="AL513" t="s">
        <v>19615</v>
      </c>
      <c r="AM513">
        <v>2000</v>
      </c>
      <c r="AS513">
        <v>0</v>
      </c>
      <c r="AU513" t="s">
        <v>158</v>
      </c>
    </row>
    <row r="514" spans="1:48">
      <c r="A514" s="1">
        <f>HYPERLINK("https://lsnyc.legalserver.org/matter/dynamic-profile/view/1905046","19-1905046")</f>
        <v>0</v>
      </c>
      <c r="B514" t="s">
        <v>103</v>
      </c>
      <c r="C514" t="s">
        <v>256</v>
      </c>
      <c r="D514" t="s">
        <v>367</v>
      </c>
      <c r="F514" t="s">
        <v>1472</v>
      </c>
      <c r="G514" t="s">
        <v>3655</v>
      </c>
      <c r="H514" t="s">
        <v>5887</v>
      </c>
      <c r="I514" t="s">
        <v>8286</v>
      </c>
      <c r="J514" t="s">
        <v>9065</v>
      </c>
      <c r="K514">
        <v>10453</v>
      </c>
      <c r="L514" t="s">
        <v>9094</v>
      </c>
      <c r="M514" t="s">
        <v>9095</v>
      </c>
      <c r="N514" t="s">
        <v>9239</v>
      </c>
      <c r="O514" t="s">
        <v>11134</v>
      </c>
      <c r="P514" t="s">
        <v>11168</v>
      </c>
      <c r="R514" t="s">
        <v>11180</v>
      </c>
      <c r="S514" t="s">
        <v>9094</v>
      </c>
      <c r="T514" t="s">
        <v>11183</v>
      </c>
      <c r="V514" t="s">
        <v>1061</v>
      </c>
      <c r="W514">
        <v>1400</v>
      </c>
      <c r="X514" t="s">
        <v>11333</v>
      </c>
      <c r="Y514" t="s">
        <v>11346</v>
      </c>
      <c r="Z514" t="s">
        <v>11745</v>
      </c>
      <c r="AB514" t="s">
        <v>16208</v>
      </c>
      <c r="AC514">
        <v>170</v>
      </c>
      <c r="AD514" t="s">
        <v>19566</v>
      </c>
      <c r="AE514" t="s">
        <v>9144</v>
      </c>
      <c r="AF514">
        <v>8</v>
      </c>
      <c r="AG514">
        <v>2</v>
      </c>
      <c r="AH514">
        <v>0</v>
      </c>
      <c r="AI514">
        <v>11.83</v>
      </c>
      <c r="AL514" t="s">
        <v>19615</v>
      </c>
      <c r="AM514">
        <v>2000</v>
      </c>
      <c r="AS514">
        <v>0</v>
      </c>
      <c r="AU514" t="s">
        <v>163</v>
      </c>
      <c r="AV514" t="s">
        <v>20733</v>
      </c>
    </row>
    <row r="515" spans="1:48">
      <c r="A515" s="1">
        <f>HYPERLINK("https://lsnyc.legalserver.org/matter/dynamic-profile/view/1869305","18-1869305")</f>
        <v>0</v>
      </c>
      <c r="B515" t="s">
        <v>71</v>
      </c>
      <c r="C515" t="s">
        <v>256</v>
      </c>
      <c r="D515" t="s">
        <v>469</v>
      </c>
      <c r="F515" t="s">
        <v>1473</v>
      </c>
      <c r="G515" t="s">
        <v>1665</v>
      </c>
      <c r="H515" t="s">
        <v>6019</v>
      </c>
      <c r="I515" t="s">
        <v>8171</v>
      </c>
      <c r="J515" t="s">
        <v>9059</v>
      </c>
      <c r="K515">
        <v>11207</v>
      </c>
      <c r="L515" t="s">
        <v>9094</v>
      </c>
      <c r="M515" t="s">
        <v>9094</v>
      </c>
      <c r="N515" t="s">
        <v>9333</v>
      </c>
      <c r="O515" t="s">
        <v>11128</v>
      </c>
      <c r="P515" t="s">
        <v>11165</v>
      </c>
      <c r="R515" t="s">
        <v>11180</v>
      </c>
      <c r="S515" t="s">
        <v>9096</v>
      </c>
      <c r="T515" t="s">
        <v>11183</v>
      </c>
      <c r="V515" t="s">
        <v>609</v>
      </c>
      <c r="W515">
        <v>215</v>
      </c>
      <c r="X515" t="s">
        <v>11332</v>
      </c>
      <c r="Z515" t="s">
        <v>11746</v>
      </c>
      <c r="AA515">
        <v>33843008</v>
      </c>
      <c r="AB515" t="s">
        <v>16209</v>
      </c>
      <c r="AC515">
        <v>60</v>
      </c>
      <c r="AD515" t="s">
        <v>19571</v>
      </c>
      <c r="AE515" t="s">
        <v>19580</v>
      </c>
      <c r="AF515">
        <v>20</v>
      </c>
      <c r="AG515">
        <v>1</v>
      </c>
      <c r="AH515">
        <v>0</v>
      </c>
      <c r="AI515">
        <v>11.86</v>
      </c>
      <c r="AL515" t="s">
        <v>19614</v>
      </c>
      <c r="AM515">
        <v>1440</v>
      </c>
      <c r="AS515">
        <v>59.65</v>
      </c>
      <c r="AT515" t="s">
        <v>610</v>
      </c>
      <c r="AU515" t="s">
        <v>95</v>
      </c>
    </row>
    <row r="516" spans="1:48">
      <c r="A516" s="1">
        <f>HYPERLINK("https://lsnyc.legalserver.org/matter/dynamic-profile/view/1880957","18-1880957")</f>
        <v>0</v>
      </c>
      <c r="B516" t="s">
        <v>114</v>
      </c>
      <c r="C516" t="s">
        <v>256</v>
      </c>
      <c r="D516" t="s">
        <v>285</v>
      </c>
      <c r="F516" t="s">
        <v>1474</v>
      </c>
      <c r="G516" t="s">
        <v>3656</v>
      </c>
      <c r="H516" t="s">
        <v>6020</v>
      </c>
      <c r="I516">
        <v>2</v>
      </c>
      <c r="J516" t="s">
        <v>9065</v>
      </c>
      <c r="K516">
        <v>10453</v>
      </c>
      <c r="L516" t="s">
        <v>9094</v>
      </c>
      <c r="M516" t="s">
        <v>9094</v>
      </c>
      <c r="N516" t="s">
        <v>9334</v>
      </c>
      <c r="O516" t="s">
        <v>11128</v>
      </c>
      <c r="P516" t="s">
        <v>11165</v>
      </c>
      <c r="R516" t="s">
        <v>11180</v>
      </c>
      <c r="T516" t="s">
        <v>11183</v>
      </c>
      <c r="U516" t="s">
        <v>11201</v>
      </c>
      <c r="V516" t="s">
        <v>285</v>
      </c>
      <c r="W516">
        <v>1300</v>
      </c>
      <c r="X516" t="s">
        <v>11333</v>
      </c>
      <c r="Y516" t="s">
        <v>11346</v>
      </c>
      <c r="Z516" t="s">
        <v>11747</v>
      </c>
      <c r="AB516" t="s">
        <v>16210</v>
      </c>
      <c r="AC516">
        <v>0</v>
      </c>
      <c r="AD516" t="s">
        <v>19565</v>
      </c>
      <c r="AE516" t="s">
        <v>19580</v>
      </c>
      <c r="AF516">
        <v>13</v>
      </c>
      <c r="AG516">
        <v>1</v>
      </c>
      <c r="AH516">
        <v>0</v>
      </c>
      <c r="AI516">
        <v>11.86</v>
      </c>
      <c r="AL516" t="s">
        <v>19614</v>
      </c>
      <c r="AM516">
        <v>1440</v>
      </c>
      <c r="AS516">
        <v>38.5</v>
      </c>
      <c r="AT516" t="s">
        <v>403</v>
      </c>
      <c r="AU516" t="s">
        <v>163</v>
      </c>
    </row>
    <row r="517" spans="1:48">
      <c r="A517" s="1">
        <f>HYPERLINK("https://lsnyc.legalserver.org/matter/dynamic-profile/view/0824707","17-0824707")</f>
        <v>0</v>
      </c>
      <c r="B517" t="s">
        <v>142</v>
      </c>
      <c r="C517" t="s">
        <v>256</v>
      </c>
      <c r="D517" t="s">
        <v>544</v>
      </c>
      <c r="F517" t="s">
        <v>1146</v>
      </c>
      <c r="G517" t="s">
        <v>3654</v>
      </c>
      <c r="H517" t="s">
        <v>6018</v>
      </c>
      <c r="I517" t="s">
        <v>8141</v>
      </c>
      <c r="J517" t="s">
        <v>9067</v>
      </c>
      <c r="K517">
        <v>10035</v>
      </c>
      <c r="L517" t="s">
        <v>9094</v>
      </c>
      <c r="M517" t="s">
        <v>9095</v>
      </c>
      <c r="N517" t="s">
        <v>9335</v>
      </c>
      <c r="O517" t="s">
        <v>11128</v>
      </c>
      <c r="P517" t="s">
        <v>11165</v>
      </c>
      <c r="R517" t="s">
        <v>11180</v>
      </c>
      <c r="S517" t="s">
        <v>9096</v>
      </c>
      <c r="T517" t="s">
        <v>11183</v>
      </c>
      <c r="V517" t="s">
        <v>11231</v>
      </c>
      <c r="W517">
        <v>645</v>
      </c>
      <c r="X517" t="s">
        <v>11335</v>
      </c>
      <c r="Y517" t="s">
        <v>11350</v>
      </c>
      <c r="Z517" t="s">
        <v>11744</v>
      </c>
      <c r="AC517">
        <v>8</v>
      </c>
      <c r="AD517" t="s">
        <v>19566</v>
      </c>
      <c r="AE517" t="s">
        <v>9144</v>
      </c>
      <c r="AF517">
        <v>20</v>
      </c>
      <c r="AG517">
        <v>1</v>
      </c>
      <c r="AH517">
        <v>2</v>
      </c>
      <c r="AI517">
        <v>11.9</v>
      </c>
      <c r="AL517" t="s">
        <v>19615</v>
      </c>
      <c r="AM517">
        <v>2400</v>
      </c>
      <c r="AN517" t="s">
        <v>19707</v>
      </c>
      <c r="AS517">
        <v>75.8</v>
      </c>
      <c r="AT517" t="s">
        <v>435</v>
      </c>
      <c r="AU517" t="s">
        <v>20665</v>
      </c>
      <c r="AV517" t="s">
        <v>20733</v>
      </c>
    </row>
    <row r="518" spans="1:48">
      <c r="A518" s="1">
        <f>HYPERLINK("https://lsnyc.legalserver.org/matter/dynamic-profile/view/1887044","19-1887044")</f>
        <v>0</v>
      </c>
      <c r="B518" t="s">
        <v>119</v>
      </c>
      <c r="C518" t="s">
        <v>256</v>
      </c>
      <c r="D518" t="s">
        <v>324</v>
      </c>
      <c r="F518" t="s">
        <v>1470</v>
      </c>
      <c r="G518" t="s">
        <v>3651</v>
      </c>
      <c r="H518" t="s">
        <v>5864</v>
      </c>
      <c r="I518" t="s">
        <v>8284</v>
      </c>
      <c r="J518" t="s">
        <v>9065</v>
      </c>
      <c r="K518">
        <v>10460</v>
      </c>
      <c r="L518" t="s">
        <v>9094</v>
      </c>
      <c r="M518" t="s">
        <v>9094</v>
      </c>
      <c r="N518" t="s">
        <v>9336</v>
      </c>
      <c r="O518" t="s">
        <v>11129</v>
      </c>
      <c r="P518" t="s">
        <v>11165</v>
      </c>
      <c r="R518" t="s">
        <v>11180</v>
      </c>
      <c r="S518" t="s">
        <v>9096</v>
      </c>
      <c r="T518" t="s">
        <v>11183</v>
      </c>
      <c r="U518" t="s">
        <v>11200</v>
      </c>
      <c r="V518" t="s">
        <v>354</v>
      </c>
      <c r="W518">
        <v>233</v>
      </c>
      <c r="X518" t="s">
        <v>11333</v>
      </c>
      <c r="Y518" t="s">
        <v>11340</v>
      </c>
      <c r="Z518" t="s">
        <v>11741</v>
      </c>
      <c r="AB518" t="s">
        <v>16206</v>
      </c>
      <c r="AC518">
        <v>248</v>
      </c>
      <c r="AD518" t="s">
        <v>19572</v>
      </c>
      <c r="AE518" t="s">
        <v>19585</v>
      </c>
      <c r="AF518">
        <v>25</v>
      </c>
      <c r="AG518">
        <v>2</v>
      </c>
      <c r="AH518">
        <v>0</v>
      </c>
      <c r="AI518">
        <v>11.92</v>
      </c>
      <c r="AL518" t="s">
        <v>19614</v>
      </c>
      <c r="AM518">
        <v>1962</v>
      </c>
      <c r="AS518">
        <v>26.9</v>
      </c>
      <c r="AT518" t="s">
        <v>669</v>
      </c>
      <c r="AU518" t="s">
        <v>163</v>
      </c>
    </row>
    <row r="519" spans="1:48">
      <c r="A519" s="1">
        <f>HYPERLINK("https://lsnyc.legalserver.org/matter/dynamic-profile/view/1888474","19-1888474")</f>
        <v>0</v>
      </c>
      <c r="B519" t="s">
        <v>72</v>
      </c>
      <c r="C519" t="s">
        <v>256</v>
      </c>
      <c r="D519" t="s">
        <v>354</v>
      </c>
      <c r="F519" t="s">
        <v>1475</v>
      </c>
      <c r="G519" t="s">
        <v>3497</v>
      </c>
      <c r="H519" t="s">
        <v>6021</v>
      </c>
      <c r="I519" t="s">
        <v>8107</v>
      </c>
      <c r="J519" t="s">
        <v>9059</v>
      </c>
      <c r="K519">
        <v>11233</v>
      </c>
      <c r="L519" t="s">
        <v>9094</v>
      </c>
      <c r="M519" t="s">
        <v>9094</v>
      </c>
      <c r="N519" t="s">
        <v>9337</v>
      </c>
      <c r="O519" t="s">
        <v>11129</v>
      </c>
      <c r="P519" t="s">
        <v>11165</v>
      </c>
      <c r="R519" t="s">
        <v>11180</v>
      </c>
      <c r="S519" t="s">
        <v>9096</v>
      </c>
      <c r="T519" t="s">
        <v>11183</v>
      </c>
      <c r="U519" t="s">
        <v>11201</v>
      </c>
      <c r="V519" t="s">
        <v>540</v>
      </c>
      <c r="W519">
        <v>2000</v>
      </c>
      <c r="X519" t="s">
        <v>11332</v>
      </c>
      <c r="Y519" t="s">
        <v>11336</v>
      </c>
      <c r="Z519" t="s">
        <v>11748</v>
      </c>
      <c r="AA519" t="s">
        <v>15344</v>
      </c>
      <c r="AB519" t="s">
        <v>16211</v>
      </c>
      <c r="AC519">
        <v>3</v>
      </c>
      <c r="AD519" t="s">
        <v>19565</v>
      </c>
      <c r="AE519" t="s">
        <v>11157</v>
      </c>
      <c r="AF519">
        <v>1</v>
      </c>
      <c r="AG519">
        <v>2</v>
      </c>
      <c r="AH519">
        <v>2</v>
      </c>
      <c r="AI519">
        <v>11.95</v>
      </c>
      <c r="AL519" t="s">
        <v>19614</v>
      </c>
      <c r="AM519">
        <v>3000</v>
      </c>
      <c r="AS519">
        <v>28.05</v>
      </c>
      <c r="AT519" t="s">
        <v>317</v>
      </c>
      <c r="AU519" t="s">
        <v>79</v>
      </c>
      <c r="AV519" t="s">
        <v>20733</v>
      </c>
    </row>
    <row r="520" spans="1:48">
      <c r="A520" s="1">
        <f>HYPERLINK("https://lsnyc.legalserver.org/matter/dynamic-profile/view/1863844","18-1863844")</f>
        <v>0</v>
      </c>
      <c r="B520" t="s">
        <v>61</v>
      </c>
      <c r="C520" t="s">
        <v>257</v>
      </c>
      <c r="D520" t="s">
        <v>504</v>
      </c>
      <c r="E520" t="s">
        <v>497</v>
      </c>
      <c r="F520" t="s">
        <v>1222</v>
      </c>
      <c r="G520" t="s">
        <v>3497</v>
      </c>
      <c r="H520" t="s">
        <v>6022</v>
      </c>
      <c r="I520">
        <v>2</v>
      </c>
      <c r="J520" t="s">
        <v>9038</v>
      </c>
      <c r="K520">
        <v>11691</v>
      </c>
      <c r="L520" t="s">
        <v>9094</v>
      </c>
      <c r="M520" t="s">
        <v>9095</v>
      </c>
      <c r="N520" t="s">
        <v>9338</v>
      </c>
      <c r="O520" t="s">
        <v>11129</v>
      </c>
      <c r="P520" t="s">
        <v>11165</v>
      </c>
      <c r="Q520" t="s">
        <v>11174</v>
      </c>
      <c r="R520" t="s">
        <v>11180</v>
      </c>
      <c r="S520" t="s">
        <v>9096</v>
      </c>
      <c r="T520" t="s">
        <v>11183</v>
      </c>
      <c r="U520" t="s">
        <v>11201</v>
      </c>
      <c r="V520" t="s">
        <v>673</v>
      </c>
      <c r="W520">
        <v>1560</v>
      </c>
      <c r="X520" t="s">
        <v>11331</v>
      </c>
      <c r="Y520" t="s">
        <v>11340</v>
      </c>
      <c r="Z520" t="s">
        <v>11749</v>
      </c>
      <c r="AA520" t="s">
        <v>15345</v>
      </c>
      <c r="AB520" t="s">
        <v>16212</v>
      </c>
      <c r="AC520">
        <v>2</v>
      </c>
      <c r="AD520" t="s">
        <v>19565</v>
      </c>
      <c r="AE520" t="s">
        <v>19580</v>
      </c>
      <c r="AF520">
        <v>4</v>
      </c>
      <c r="AG520">
        <v>2</v>
      </c>
      <c r="AH520">
        <v>0</v>
      </c>
      <c r="AI520">
        <v>12.39</v>
      </c>
      <c r="AL520" t="s">
        <v>19614</v>
      </c>
      <c r="AM520">
        <v>2040</v>
      </c>
      <c r="AO520" t="s">
        <v>20292</v>
      </c>
      <c r="AP520" t="s">
        <v>20320</v>
      </c>
      <c r="AQ520" t="s">
        <v>20369</v>
      </c>
      <c r="AR520" t="s">
        <v>20399</v>
      </c>
      <c r="AS520">
        <v>18.54</v>
      </c>
      <c r="AT520" t="s">
        <v>700</v>
      </c>
      <c r="AU520" t="s">
        <v>20621</v>
      </c>
      <c r="AV520" t="s">
        <v>20733</v>
      </c>
    </row>
    <row r="521" spans="1:48">
      <c r="A521" s="1">
        <f>HYPERLINK("https://lsnyc.legalserver.org/matter/dynamic-profile/view/1900521","19-1900521")</f>
        <v>0</v>
      </c>
      <c r="B521" t="s">
        <v>136</v>
      </c>
      <c r="C521" t="s">
        <v>256</v>
      </c>
      <c r="D521" t="s">
        <v>283</v>
      </c>
      <c r="F521" t="s">
        <v>1476</v>
      </c>
      <c r="G521" t="s">
        <v>3657</v>
      </c>
      <c r="H521" t="s">
        <v>6023</v>
      </c>
      <c r="I521" t="s">
        <v>8287</v>
      </c>
      <c r="J521" t="s">
        <v>9067</v>
      </c>
      <c r="K521">
        <v>10035</v>
      </c>
      <c r="L521" t="s">
        <v>9094</v>
      </c>
      <c r="M521" t="s">
        <v>9095</v>
      </c>
      <c r="N521" t="s">
        <v>9339</v>
      </c>
      <c r="O521" t="s">
        <v>11128</v>
      </c>
      <c r="P521" t="s">
        <v>11165</v>
      </c>
      <c r="R521" t="s">
        <v>11180</v>
      </c>
      <c r="S521" t="s">
        <v>9096</v>
      </c>
      <c r="T521" t="s">
        <v>11183</v>
      </c>
      <c r="U521" t="s">
        <v>11199</v>
      </c>
      <c r="V521" t="s">
        <v>283</v>
      </c>
      <c r="W521">
        <v>1390</v>
      </c>
      <c r="X521" t="s">
        <v>11335</v>
      </c>
      <c r="Y521" t="s">
        <v>11339</v>
      </c>
      <c r="Z521" t="s">
        <v>11750</v>
      </c>
      <c r="AA521" t="s">
        <v>15346</v>
      </c>
      <c r="AB521" t="s">
        <v>16213</v>
      </c>
      <c r="AC521">
        <v>96</v>
      </c>
      <c r="AD521" t="s">
        <v>19566</v>
      </c>
      <c r="AE521" t="s">
        <v>11157</v>
      </c>
      <c r="AF521">
        <v>19</v>
      </c>
      <c r="AG521">
        <v>1</v>
      </c>
      <c r="AH521">
        <v>0</v>
      </c>
      <c r="AI521">
        <v>12.49</v>
      </c>
      <c r="AL521" t="s">
        <v>19614</v>
      </c>
      <c r="AM521">
        <v>1560</v>
      </c>
      <c r="AS521">
        <v>51.95</v>
      </c>
      <c r="AT521" t="s">
        <v>331</v>
      </c>
      <c r="AU521" t="s">
        <v>20659</v>
      </c>
      <c r="AV521" t="s">
        <v>20734</v>
      </c>
    </row>
    <row r="522" spans="1:48">
      <c r="A522" s="1">
        <f>HYPERLINK("https://lsnyc.legalserver.org/matter/dynamic-profile/view/1895932","19-1895932")</f>
        <v>0</v>
      </c>
      <c r="B522" t="s">
        <v>69</v>
      </c>
      <c r="C522" t="s">
        <v>257</v>
      </c>
      <c r="D522" t="s">
        <v>545</v>
      </c>
      <c r="E522" t="s">
        <v>297</v>
      </c>
      <c r="F522" t="s">
        <v>1477</v>
      </c>
      <c r="G522" t="s">
        <v>3658</v>
      </c>
      <c r="H522" t="s">
        <v>6024</v>
      </c>
      <c r="I522">
        <v>226</v>
      </c>
      <c r="J522" t="s">
        <v>9059</v>
      </c>
      <c r="K522">
        <v>11233</v>
      </c>
      <c r="L522" t="s">
        <v>9094</v>
      </c>
      <c r="M522" t="s">
        <v>9094</v>
      </c>
      <c r="N522" t="s">
        <v>9340</v>
      </c>
      <c r="O522" t="s">
        <v>11129</v>
      </c>
      <c r="P522" t="s">
        <v>11168</v>
      </c>
      <c r="Q522" t="s">
        <v>11177</v>
      </c>
      <c r="R522" t="s">
        <v>11180</v>
      </c>
      <c r="S522" t="s">
        <v>9096</v>
      </c>
      <c r="T522" t="s">
        <v>11184</v>
      </c>
      <c r="V522" t="s">
        <v>350</v>
      </c>
      <c r="W522">
        <v>1208</v>
      </c>
      <c r="X522" t="s">
        <v>11332</v>
      </c>
      <c r="Z522" t="s">
        <v>11751</v>
      </c>
      <c r="AA522" t="s">
        <v>15347</v>
      </c>
      <c r="AC522">
        <v>137</v>
      </c>
      <c r="AD522" t="s">
        <v>19566</v>
      </c>
      <c r="AE522" t="s">
        <v>19581</v>
      </c>
      <c r="AF522">
        <v>1</v>
      </c>
      <c r="AG522">
        <v>1</v>
      </c>
      <c r="AH522">
        <v>1</v>
      </c>
      <c r="AI522">
        <v>12.99</v>
      </c>
      <c r="AL522" t="s">
        <v>19614</v>
      </c>
      <c r="AM522">
        <v>2196</v>
      </c>
      <c r="AS522">
        <v>7.75</v>
      </c>
      <c r="AT522" t="s">
        <v>297</v>
      </c>
      <c r="AU522" t="s">
        <v>79</v>
      </c>
    </row>
    <row r="523" spans="1:48">
      <c r="A523" s="1">
        <f>HYPERLINK("https://lsnyc.legalserver.org/matter/dynamic-profile/view/1910381","19-1910381")</f>
        <v>0</v>
      </c>
      <c r="B523" t="s">
        <v>124</v>
      </c>
      <c r="C523" t="s">
        <v>256</v>
      </c>
      <c r="D523" t="s">
        <v>276</v>
      </c>
      <c r="F523" t="s">
        <v>1478</v>
      </c>
      <c r="G523" t="s">
        <v>3659</v>
      </c>
      <c r="H523" t="s">
        <v>6025</v>
      </c>
      <c r="J523" t="s">
        <v>9066</v>
      </c>
      <c r="K523">
        <v>10312</v>
      </c>
      <c r="L523" t="s">
        <v>9095</v>
      </c>
      <c r="M523" t="s">
        <v>9095</v>
      </c>
      <c r="N523" t="s">
        <v>9341</v>
      </c>
      <c r="O523" t="s">
        <v>11128</v>
      </c>
      <c r="R523" t="s">
        <v>11180</v>
      </c>
      <c r="S523" t="s">
        <v>9096</v>
      </c>
      <c r="T523" t="s">
        <v>11183</v>
      </c>
      <c r="W523">
        <v>2800</v>
      </c>
      <c r="X523" t="s">
        <v>11334</v>
      </c>
      <c r="Y523" t="s">
        <v>11157</v>
      </c>
      <c r="Z523" t="s">
        <v>11752</v>
      </c>
      <c r="AB523" t="s">
        <v>16214</v>
      </c>
      <c r="AC523">
        <v>2</v>
      </c>
      <c r="AD523" t="s">
        <v>19565</v>
      </c>
      <c r="AE523" t="s">
        <v>9144</v>
      </c>
      <c r="AF523">
        <v>-1</v>
      </c>
      <c r="AG523">
        <v>1</v>
      </c>
      <c r="AH523">
        <v>2</v>
      </c>
      <c r="AI523">
        <v>13.05</v>
      </c>
      <c r="AL523" t="s">
        <v>19614</v>
      </c>
      <c r="AM523">
        <v>2784</v>
      </c>
      <c r="AS523">
        <v>3</v>
      </c>
      <c r="AT523" t="s">
        <v>496</v>
      </c>
      <c r="AU523" t="s">
        <v>20653</v>
      </c>
    </row>
    <row r="524" spans="1:48">
      <c r="A524" s="1">
        <f>HYPERLINK("https://lsnyc.legalserver.org/matter/dynamic-profile/view/1896780","19-1896780")</f>
        <v>0</v>
      </c>
      <c r="B524" t="s">
        <v>111</v>
      </c>
      <c r="C524" t="s">
        <v>256</v>
      </c>
      <c r="D524" t="s">
        <v>546</v>
      </c>
      <c r="F524" t="s">
        <v>1479</v>
      </c>
      <c r="G524" t="s">
        <v>3660</v>
      </c>
      <c r="H524" t="s">
        <v>6026</v>
      </c>
      <c r="I524" t="s">
        <v>8288</v>
      </c>
      <c r="J524" t="s">
        <v>9065</v>
      </c>
      <c r="K524">
        <v>10460</v>
      </c>
      <c r="L524" t="s">
        <v>9094</v>
      </c>
      <c r="M524" t="s">
        <v>9094</v>
      </c>
      <c r="N524" t="s">
        <v>9342</v>
      </c>
      <c r="O524" t="s">
        <v>11129</v>
      </c>
      <c r="P524" t="s">
        <v>11164</v>
      </c>
      <c r="R524" t="s">
        <v>11180</v>
      </c>
      <c r="S524" t="s">
        <v>9096</v>
      </c>
      <c r="T524" t="s">
        <v>11183</v>
      </c>
      <c r="U524" t="s">
        <v>11200</v>
      </c>
      <c r="V524" t="s">
        <v>11218</v>
      </c>
      <c r="W524">
        <v>1330</v>
      </c>
      <c r="X524" t="s">
        <v>11333</v>
      </c>
      <c r="Y524" t="s">
        <v>11345</v>
      </c>
      <c r="Z524" t="s">
        <v>11489</v>
      </c>
      <c r="AA524" t="s">
        <v>15348</v>
      </c>
      <c r="AB524" t="s">
        <v>16215</v>
      </c>
      <c r="AC524">
        <v>237</v>
      </c>
      <c r="AD524" t="s">
        <v>19567</v>
      </c>
      <c r="AE524" t="s">
        <v>9144</v>
      </c>
      <c r="AF524">
        <v>8</v>
      </c>
      <c r="AG524">
        <v>2</v>
      </c>
      <c r="AH524">
        <v>0</v>
      </c>
      <c r="AI524">
        <v>13.06</v>
      </c>
      <c r="AL524" t="s">
        <v>19614</v>
      </c>
      <c r="AM524">
        <v>2208</v>
      </c>
      <c r="AN524" t="s">
        <v>19708</v>
      </c>
      <c r="AS524">
        <v>5.1</v>
      </c>
      <c r="AT524" t="s">
        <v>988</v>
      </c>
      <c r="AU524" t="s">
        <v>247</v>
      </c>
      <c r="AV524" t="s">
        <v>20733</v>
      </c>
    </row>
    <row r="525" spans="1:48">
      <c r="A525" s="1">
        <f>HYPERLINK("https://lsnyc.legalserver.org/matter/dynamic-profile/view/1893930","19-1893930")</f>
        <v>0</v>
      </c>
      <c r="B525" t="s">
        <v>129</v>
      </c>
      <c r="C525" t="s">
        <v>256</v>
      </c>
      <c r="D525" t="s">
        <v>264</v>
      </c>
      <c r="F525" t="s">
        <v>1480</v>
      </c>
      <c r="G525" t="s">
        <v>3448</v>
      </c>
      <c r="H525" t="s">
        <v>6027</v>
      </c>
      <c r="I525" t="s">
        <v>8150</v>
      </c>
      <c r="J525" t="s">
        <v>9066</v>
      </c>
      <c r="K525">
        <v>10304</v>
      </c>
      <c r="L525" t="s">
        <v>9095</v>
      </c>
      <c r="M525" t="s">
        <v>9095</v>
      </c>
      <c r="N525" t="s">
        <v>9343</v>
      </c>
      <c r="O525" t="s">
        <v>11129</v>
      </c>
      <c r="P525" t="s">
        <v>11165</v>
      </c>
      <c r="R525" t="s">
        <v>11180</v>
      </c>
      <c r="S525" t="s">
        <v>9096</v>
      </c>
      <c r="T525" t="s">
        <v>11183</v>
      </c>
      <c r="U525" t="s">
        <v>11201</v>
      </c>
      <c r="W525">
        <v>1956</v>
      </c>
      <c r="X525" t="s">
        <v>11334</v>
      </c>
      <c r="Y525" t="s">
        <v>11345</v>
      </c>
      <c r="Z525" t="s">
        <v>11753</v>
      </c>
      <c r="AA525">
        <v>5620117</v>
      </c>
      <c r="AB525" t="s">
        <v>16216</v>
      </c>
      <c r="AC525">
        <v>2</v>
      </c>
      <c r="AE525" t="s">
        <v>19581</v>
      </c>
      <c r="AF525">
        <v>2</v>
      </c>
      <c r="AG525">
        <v>2</v>
      </c>
      <c r="AH525">
        <v>0</v>
      </c>
      <c r="AI525">
        <v>13.22</v>
      </c>
      <c r="AL525" t="s">
        <v>19614</v>
      </c>
      <c r="AM525">
        <v>2236</v>
      </c>
      <c r="AS525">
        <v>8.6</v>
      </c>
      <c r="AT525" t="s">
        <v>270</v>
      </c>
      <c r="AU525" t="s">
        <v>20653</v>
      </c>
    </row>
    <row r="526" spans="1:48">
      <c r="A526" s="1">
        <f>HYPERLINK("https://lsnyc.legalserver.org/matter/dynamic-profile/view/1875405","18-1875405")</f>
        <v>0</v>
      </c>
      <c r="B526" t="s">
        <v>115</v>
      </c>
      <c r="C526" t="s">
        <v>256</v>
      </c>
      <c r="D526" t="s">
        <v>547</v>
      </c>
      <c r="F526" t="s">
        <v>1481</v>
      </c>
      <c r="G526" t="s">
        <v>3544</v>
      </c>
      <c r="H526" t="s">
        <v>6028</v>
      </c>
      <c r="I526" t="s">
        <v>8273</v>
      </c>
      <c r="J526" t="s">
        <v>9065</v>
      </c>
      <c r="K526">
        <v>10453</v>
      </c>
      <c r="L526" t="s">
        <v>9094</v>
      </c>
      <c r="M526" t="s">
        <v>9094</v>
      </c>
      <c r="N526" t="s">
        <v>9344</v>
      </c>
      <c r="O526" t="s">
        <v>11129</v>
      </c>
      <c r="P526" t="s">
        <v>11165</v>
      </c>
      <c r="R526" t="s">
        <v>11180</v>
      </c>
      <c r="S526" t="s">
        <v>9096</v>
      </c>
      <c r="T526" t="s">
        <v>11183</v>
      </c>
      <c r="U526" t="s">
        <v>11201</v>
      </c>
      <c r="V526" t="s">
        <v>759</v>
      </c>
      <c r="W526">
        <v>1385</v>
      </c>
      <c r="X526" t="s">
        <v>11333</v>
      </c>
      <c r="Y526" t="s">
        <v>11340</v>
      </c>
      <c r="Z526" t="s">
        <v>11754</v>
      </c>
      <c r="AA526" t="s">
        <v>15349</v>
      </c>
      <c r="AB526" t="s">
        <v>16217</v>
      </c>
      <c r="AC526">
        <v>64</v>
      </c>
      <c r="AD526" t="s">
        <v>19566</v>
      </c>
      <c r="AE526" t="s">
        <v>9144</v>
      </c>
      <c r="AF526">
        <v>40</v>
      </c>
      <c r="AG526">
        <v>2</v>
      </c>
      <c r="AH526">
        <v>0</v>
      </c>
      <c r="AI526">
        <v>13.34</v>
      </c>
      <c r="AL526" t="s">
        <v>19614</v>
      </c>
      <c r="AM526">
        <v>2196</v>
      </c>
      <c r="AO526" t="s">
        <v>20290</v>
      </c>
      <c r="AP526" t="s">
        <v>11157</v>
      </c>
      <c r="AS526">
        <v>38.3</v>
      </c>
      <c r="AT526" t="s">
        <v>736</v>
      </c>
      <c r="AU526" t="s">
        <v>20647</v>
      </c>
    </row>
    <row r="527" spans="1:48">
      <c r="A527" s="1">
        <f>HYPERLINK("https://lsnyc.legalserver.org/matter/dynamic-profile/view/1845348","17-1845348")</f>
        <v>0</v>
      </c>
      <c r="B527" t="s">
        <v>150</v>
      </c>
      <c r="C527" t="s">
        <v>256</v>
      </c>
      <c r="D527" t="s">
        <v>548</v>
      </c>
      <c r="F527" t="s">
        <v>1482</v>
      </c>
      <c r="G527" t="s">
        <v>3661</v>
      </c>
      <c r="H527" t="s">
        <v>6029</v>
      </c>
      <c r="I527" t="s">
        <v>8289</v>
      </c>
      <c r="J527" t="s">
        <v>9059</v>
      </c>
      <c r="K527">
        <v>11207</v>
      </c>
      <c r="L527" t="s">
        <v>9094</v>
      </c>
      <c r="M527" t="s">
        <v>9095</v>
      </c>
      <c r="N527" t="s">
        <v>9345</v>
      </c>
      <c r="O527" t="s">
        <v>11129</v>
      </c>
      <c r="P527" t="s">
        <v>11165</v>
      </c>
      <c r="R527" t="s">
        <v>11180</v>
      </c>
      <c r="T527" t="s">
        <v>11183</v>
      </c>
      <c r="V527" t="s">
        <v>11232</v>
      </c>
      <c r="W527">
        <v>1100</v>
      </c>
      <c r="X527" t="s">
        <v>11332</v>
      </c>
      <c r="Y527" t="s">
        <v>11340</v>
      </c>
      <c r="Z527" t="s">
        <v>11755</v>
      </c>
      <c r="AA527" t="s">
        <v>15350</v>
      </c>
      <c r="AB527" t="s">
        <v>16218</v>
      </c>
      <c r="AC527">
        <v>6</v>
      </c>
      <c r="AD527" t="s">
        <v>19566</v>
      </c>
      <c r="AF527">
        <v>4</v>
      </c>
      <c r="AG527">
        <v>2</v>
      </c>
      <c r="AH527">
        <v>2</v>
      </c>
      <c r="AI527">
        <v>13.53</v>
      </c>
      <c r="AL527" t="s">
        <v>19614</v>
      </c>
      <c r="AM527">
        <v>3328</v>
      </c>
      <c r="AS527">
        <v>43.4</v>
      </c>
      <c r="AT527" t="s">
        <v>795</v>
      </c>
      <c r="AU527" t="s">
        <v>20636</v>
      </c>
    </row>
    <row r="528" spans="1:48">
      <c r="A528" s="1">
        <f>HYPERLINK("https://lsnyc.legalserver.org/matter/dynamic-profile/view/1909811","19-1909811")</f>
        <v>0</v>
      </c>
      <c r="B528" t="s">
        <v>73</v>
      </c>
      <c r="C528" t="s">
        <v>256</v>
      </c>
      <c r="D528" t="s">
        <v>549</v>
      </c>
      <c r="F528" t="s">
        <v>1483</v>
      </c>
      <c r="G528" t="s">
        <v>2008</v>
      </c>
      <c r="H528" t="s">
        <v>6013</v>
      </c>
      <c r="I528" t="s">
        <v>8141</v>
      </c>
      <c r="J528" t="s">
        <v>9059</v>
      </c>
      <c r="K528">
        <v>11233</v>
      </c>
      <c r="L528" t="s">
        <v>9094</v>
      </c>
      <c r="M528" t="s">
        <v>9095</v>
      </c>
      <c r="N528" t="s">
        <v>9328</v>
      </c>
      <c r="O528" t="s">
        <v>11129</v>
      </c>
      <c r="P528" t="s">
        <v>11165</v>
      </c>
      <c r="R528" t="s">
        <v>11180</v>
      </c>
      <c r="S528" t="s">
        <v>9096</v>
      </c>
      <c r="T528" t="s">
        <v>11183</v>
      </c>
      <c r="U528" t="s">
        <v>11201</v>
      </c>
      <c r="V528" t="s">
        <v>549</v>
      </c>
      <c r="W528">
        <v>1515</v>
      </c>
      <c r="X528" t="s">
        <v>11332</v>
      </c>
      <c r="Y528" t="s">
        <v>11341</v>
      </c>
      <c r="Z528" t="s">
        <v>11756</v>
      </c>
      <c r="AA528" t="s">
        <v>15351</v>
      </c>
      <c r="AB528" t="s">
        <v>16219</v>
      </c>
      <c r="AC528">
        <v>6</v>
      </c>
      <c r="AD528" t="s">
        <v>19566</v>
      </c>
      <c r="AE528" t="s">
        <v>9144</v>
      </c>
      <c r="AF528">
        <v>3</v>
      </c>
      <c r="AG528">
        <v>1</v>
      </c>
      <c r="AH528">
        <v>0</v>
      </c>
      <c r="AI528">
        <v>13.63</v>
      </c>
      <c r="AL528" t="s">
        <v>19614</v>
      </c>
      <c r="AM528">
        <v>1703</v>
      </c>
      <c r="AS528">
        <v>0.1</v>
      </c>
      <c r="AT528" t="s">
        <v>483</v>
      </c>
      <c r="AU528" t="s">
        <v>95</v>
      </c>
      <c r="AV528" t="s">
        <v>20733</v>
      </c>
    </row>
    <row r="529" spans="1:48">
      <c r="A529" s="1">
        <f>HYPERLINK("https://lsnyc.legalserver.org/matter/dynamic-profile/view/1908841","19-1908841")</f>
        <v>0</v>
      </c>
      <c r="B529" t="s">
        <v>72</v>
      </c>
      <c r="C529" t="s">
        <v>256</v>
      </c>
      <c r="D529" t="s">
        <v>481</v>
      </c>
      <c r="F529" t="s">
        <v>1484</v>
      </c>
      <c r="G529" t="s">
        <v>3477</v>
      </c>
      <c r="H529" t="s">
        <v>6030</v>
      </c>
      <c r="I529" t="s">
        <v>8234</v>
      </c>
      <c r="J529" t="s">
        <v>9059</v>
      </c>
      <c r="K529">
        <v>11239</v>
      </c>
      <c r="L529" t="s">
        <v>9094</v>
      </c>
      <c r="M529" t="s">
        <v>9095</v>
      </c>
      <c r="N529" t="s">
        <v>9346</v>
      </c>
      <c r="O529" t="s">
        <v>11129</v>
      </c>
      <c r="P529" t="s">
        <v>11165</v>
      </c>
      <c r="R529" t="s">
        <v>11180</v>
      </c>
      <c r="S529" t="s">
        <v>9096</v>
      </c>
      <c r="T529" t="s">
        <v>11183</v>
      </c>
      <c r="U529" t="s">
        <v>11201</v>
      </c>
      <c r="V529" t="s">
        <v>481</v>
      </c>
      <c r="W529">
        <v>1896</v>
      </c>
      <c r="X529" t="s">
        <v>11332</v>
      </c>
      <c r="Y529" t="s">
        <v>11336</v>
      </c>
      <c r="Z529" t="s">
        <v>11757</v>
      </c>
      <c r="AA529" t="s">
        <v>15352</v>
      </c>
      <c r="AB529" t="s">
        <v>16220</v>
      </c>
      <c r="AC529">
        <v>1463</v>
      </c>
      <c r="AD529" t="s">
        <v>19571</v>
      </c>
      <c r="AE529" t="s">
        <v>19584</v>
      </c>
      <c r="AF529">
        <v>0</v>
      </c>
      <c r="AG529">
        <v>1</v>
      </c>
      <c r="AH529">
        <v>1</v>
      </c>
      <c r="AI529">
        <v>13.7</v>
      </c>
      <c r="AL529" t="s">
        <v>19614</v>
      </c>
      <c r="AM529">
        <v>2316</v>
      </c>
      <c r="AS529">
        <v>8</v>
      </c>
      <c r="AT529" t="s">
        <v>483</v>
      </c>
      <c r="AU529" t="s">
        <v>20666</v>
      </c>
      <c r="AV529" t="s">
        <v>20734</v>
      </c>
    </row>
    <row r="530" spans="1:48">
      <c r="A530" s="1">
        <f>HYPERLINK("https://lsnyc.legalserver.org/matter/dynamic-profile/view/1882298","18-1882298")</f>
        <v>0</v>
      </c>
      <c r="B530" t="s">
        <v>114</v>
      </c>
      <c r="C530" t="s">
        <v>257</v>
      </c>
      <c r="D530" t="s">
        <v>477</v>
      </c>
      <c r="E530" t="s">
        <v>563</v>
      </c>
      <c r="F530" t="s">
        <v>1485</v>
      </c>
      <c r="G530" t="s">
        <v>3448</v>
      </c>
      <c r="H530" t="s">
        <v>5907</v>
      </c>
      <c r="I530" t="s">
        <v>8290</v>
      </c>
      <c r="J530" t="s">
        <v>9065</v>
      </c>
      <c r="K530">
        <v>10451</v>
      </c>
      <c r="L530" t="s">
        <v>9094</v>
      </c>
      <c r="M530" t="s">
        <v>9094</v>
      </c>
      <c r="O530" t="s">
        <v>11130</v>
      </c>
      <c r="P530" t="s">
        <v>11165</v>
      </c>
      <c r="Q530" t="s">
        <v>11174</v>
      </c>
      <c r="R530" t="s">
        <v>11180</v>
      </c>
      <c r="S530" t="s">
        <v>9094</v>
      </c>
      <c r="T530" t="s">
        <v>11183</v>
      </c>
      <c r="V530" t="s">
        <v>738</v>
      </c>
      <c r="W530">
        <v>1400</v>
      </c>
      <c r="X530" t="s">
        <v>11333</v>
      </c>
      <c r="Y530" t="s">
        <v>11346</v>
      </c>
      <c r="Z530" t="s">
        <v>11758</v>
      </c>
      <c r="AB530" t="s">
        <v>16221</v>
      </c>
      <c r="AC530">
        <v>100</v>
      </c>
      <c r="AD530" t="s">
        <v>19566</v>
      </c>
      <c r="AE530" t="s">
        <v>19580</v>
      </c>
      <c r="AF530">
        <v>3</v>
      </c>
      <c r="AG530">
        <v>1</v>
      </c>
      <c r="AH530">
        <v>0</v>
      </c>
      <c r="AI530">
        <v>13.84</v>
      </c>
      <c r="AL530" t="s">
        <v>19615</v>
      </c>
      <c r="AM530">
        <v>1680</v>
      </c>
      <c r="AS530">
        <v>0.25</v>
      </c>
      <c r="AT530" t="s">
        <v>563</v>
      </c>
      <c r="AU530" t="s">
        <v>163</v>
      </c>
    </row>
    <row r="531" spans="1:48">
      <c r="A531" s="1">
        <f>HYPERLINK("https://lsnyc.legalserver.org/matter/dynamic-profile/view/1861086","18-1861086")</f>
        <v>0</v>
      </c>
      <c r="B531" t="s">
        <v>113</v>
      </c>
      <c r="C531" t="s">
        <v>257</v>
      </c>
      <c r="D531" t="s">
        <v>485</v>
      </c>
      <c r="E531" t="s">
        <v>270</v>
      </c>
      <c r="F531" t="s">
        <v>1486</v>
      </c>
      <c r="G531" t="s">
        <v>3344</v>
      </c>
      <c r="H531" t="s">
        <v>6031</v>
      </c>
      <c r="J531" t="s">
        <v>9065</v>
      </c>
      <c r="K531">
        <v>10472</v>
      </c>
      <c r="L531" t="s">
        <v>9094</v>
      </c>
      <c r="M531" t="s">
        <v>9095</v>
      </c>
      <c r="N531" t="s">
        <v>9347</v>
      </c>
      <c r="O531" t="s">
        <v>11129</v>
      </c>
      <c r="P531" t="s">
        <v>11165</v>
      </c>
      <c r="Q531" t="s">
        <v>11174</v>
      </c>
      <c r="R531" t="s">
        <v>11180</v>
      </c>
      <c r="S531" t="s">
        <v>9096</v>
      </c>
      <c r="T531" t="s">
        <v>11183</v>
      </c>
      <c r="V531" t="s">
        <v>874</v>
      </c>
      <c r="W531">
        <v>1514</v>
      </c>
      <c r="X531" t="s">
        <v>11333</v>
      </c>
      <c r="Y531" t="s">
        <v>11157</v>
      </c>
      <c r="Z531" t="s">
        <v>11759</v>
      </c>
      <c r="AA531" t="s">
        <v>15353</v>
      </c>
      <c r="AC531">
        <v>6</v>
      </c>
      <c r="AD531" t="s">
        <v>19566</v>
      </c>
      <c r="AE531" t="s">
        <v>19580</v>
      </c>
      <c r="AF531">
        <v>4</v>
      </c>
      <c r="AG531">
        <v>1</v>
      </c>
      <c r="AH531">
        <v>2</v>
      </c>
      <c r="AI531">
        <v>13.97</v>
      </c>
      <c r="AL531" t="s">
        <v>19614</v>
      </c>
      <c r="AM531">
        <v>2904</v>
      </c>
      <c r="AS531">
        <v>59.2</v>
      </c>
      <c r="AT531" t="s">
        <v>397</v>
      </c>
      <c r="AU531" t="s">
        <v>113</v>
      </c>
    </row>
    <row r="532" spans="1:48">
      <c r="A532" s="1">
        <f>HYPERLINK("https://lsnyc.legalserver.org/matter/dynamic-profile/view/1896358","19-1896358")</f>
        <v>0</v>
      </c>
      <c r="B532" t="s">
        <v>72</v>
      </c>
      <c r="C532" t="s">
        <v>257</v>
      </c>
      <c r="D532" t="s">
        <v>350</v>
      </c>
      <c r="E532" t="s">
        <v>321</v>
      </c>
      <c r="F532" t="s">
        <v>1477</v>
      </c>
      <c r="G532" t="s">
        <v>3658</v>
      </c>
      <c r="H532" t="s">
        <v>6024</v>
      </c>
      <c r="I532">
        <v>226</v>
      </c>
      <c r="J532" t="s">
        <v>9059</v>
      </c>
      <c r="K532">
        <v>11233</v>
      </c>
      <c r="L532" t="s">
        <v>9094</v>
      </c>
      <c r="M532" t="s">
        <v>9096</v>
      </c>
      <c r="N532" t="s">
        <v>9340</v>
      </c>
      <c r="O532" t="s">
        <v>11129</v>
      </c>
      <c r="P532" t="s">
        <v>11165</v>
      </c>
      <c r="Q532" t="s">
        <v>11178</v>
      </c>
      <c r="R532" t="s">
        <v>11180</v>
      </c>
      <c r="S532" t="s">
        <v>9096</v>
      </c>
      <c r="T532" t="s">
        <v>11183</v>
      </c>
      <c r="U532" t="s">
        <v>11201</v>
      </c>
      <c r="V532" t="s">
        <v>394</v>
      </c>
      <c r="W532">
        <v>1208</v>
      </c>
      <c r="X532" t="s">
        <v>11332</v>
      </c>
      <c r="Z532" t="s">
        <v>11751</v>
      </c>
      <c r="AA532" t="s">
        <v>15347</v>
      </c>
      <c r="AB532" t="s">
        <v>16222</v>
      </c>
      <c r="AC532">
        <v>137</v>
      </c>
      <c r="AD532" t="s">
        <v>19566</v>
      </c>
      <c r="AE532" t="s">
        <v>19581</v>
      </c>
      <c r="AF532">
        <v>1</v>
      </c>
      <c r="AG532">
        <v>1</v>
      </c>
      <c r="AH532">
        <v>1</v>
      </c>
      <c r="AI532">
        <v>14.07</v>
      </c>
      <c r="AL532" t="s">
        <v>19614</v>
      </c>
      <c r="AM532">
        <v>2379</v>
      </c>
      <c r="AS532">
        <v>3.25</v>
      </c>
      <c r="AT532" t="s">
        <v>596</v>
      </c>
      <c r="AU532" t="s">
        <v>79</v>
      </c>
      <c r="AV532" t="s">
        <v>20733</v>
      </c>
    </row>
    <row r="533" spans="1:48">
      <c r="A533" s="1">
        <f>HYPERLINK("https://lsnyc.legalserver.org/matter/dynamic-profile/view/1834675","17-1834675")</f>
        <v>0</v>
      </c>
      <c r="B533" t="s">
        <v>101</v>
      </c>
      <c r="C533" t="s">
        <v>256</v>
      </c>
      <c r="D533" t="s">
        <v>550</v>
      </c>
      <c r="F533" t="s">
        <v>1487</v>
      </c>
      <c r="G533" t="s">
        <v>3662</v>
      </c>
      <c r="H533" t="s">
        <v>5898</v>
      </c>
      <c r="I533" t="s">
        <v>8291</v>
      </c>
      <c r="J533" t="s">
        <v>9065</v>
      </c>
      <c r="K533">
        <v>10452</v>
      </c>
      <c r="L533" t="s">
        <v>9094</v>
      </c>
      <c r="M533" t="s">
        <v>9095</v>
      </c>
      <c r="N533" t="s">
        <v>9251</v>
      </c>
      <c r="O533" t="s">
        <v>11132</v>
      </c>
      <c r="P533" t="s">
        <v>11165</v>
      </c>
      <c r="R533" t="s">
        <v>11180</v>
      </c>
      <c r="S533" t="s">
        <v>9094</v>
      </c>
      <c r="T533" t="s">
        <v>11183</v>
      </c>
      <c r="V533" t="s">
        <v>770</v>
      </c>
      <c r="W533">
        <v>800</v>
      </c>
      <c r="X533" t="s">
        <v>11333</v>
      </c>
      <c r="Y533" t="s">
        <v>11346</v>
      </c>
      <c r="Z533" t="s">
        <v>11760</v>
      </c>
      <c r="AA533" t="s">
        <v>15354</v>
      </c>
      <c r="AB533" t="s">
        <v>16223</v>
      </c>
      <c r="AC533">
        <v>0</v>
      </c>
      <c r="AD533" t="s">
        <v>19566</v>
      </c>
      <c r="AE533" t="s">
        <v>11157</v>
      </c>
      <c r="AF533">
        <v>7</v>
      </c>
      <c r="AG533">
        <v>1</v>
      </c>
      <c r="AH533">
        <v>0</v>
      </c>
      <c r="AI533">
        <v>14.13</v>
      </c>
      <c r="AL533" t="s">
        <v>19614</v>
      </c>
      <c r="AM533">
        <v>1704</v>
      </c>
      <c r="AS533">
        <v>0</v>
      </c>
      <c r="AU533" t="s">
        <v>20647</v>
      </c>
    </row>
    <row r="534" spans="1:48">
      <c r="A534" s="1">
        <f>HYPERLINK("https://lsnyc.legalserver.org/matter/dynamic-profile/view/1834045","17-1834045")</f>
        <v>0</v>
      </c>
      <c r="B534" t="s">
        <v>101</v>
      </c>
      <c r="C534" t="s">
        <v>256</v>
      </c>
      <c r="D534" t="s">
        <v>538</v>
      </c>
      <c r="F534" t="s">
        <v>1487</v>
      </c>
      <c r="G534" t="s">
        <v>3662</v>
      </c>
      <c r="H534" t="s">
        <v>5898</v>
      </c>
      <c r="I534" t="s">
        <v>8291</v>
      </c>
      <c r="J534" t="s">
        <v>9065</v>
      </c>
      <c r="K534">
        <v>10452</v>
      </c>
      <c r="L534" t="s">
        <v>9094</v>
      </c>
      <c r="M534" t="s">
        <v>9095</v>
      </c>
      <c r="P534" t="s">
        <v>11166</v>
      </c>
      <c r="R534" t="s">
        <v>11180</v>
      </c>
      <c r="S534" t="s">
        <v>9094</v>
      </c>
      <c r="T534" t="s">
        <v>11183</v>
      </c>
      <c r="V534" t="s">
        <v>770</v>
      </c>
      <c r="W534">
        <v>800</v>
      </c>
      <c r="X534" t="s">
        <v>11333</v>
      </c>
      <c r="Y534" t="s">
        <v>11346</v>
      </c>
      <c r="Z534" t="s">
        <v>11760</v>
      </c>
      <c r="AA534" t="s">
        <v>15354</v>
      </c>
      <c r="AB534" t="s">
        <v>16223</v>
      </c>
      <c r="AC534">
        <v>0</v>
      </c>
      <c r="AD534" t="s">
        <v>19566</v>
      </c>
      <c r="AE534" t="s">
        <v>11157</v>
      </c>
      <c r="AF534">
        <v>7</v>
      </c>
      <c r="AG534">
        <v>1</v>
      </c>
      <c r="AH534">
        <v>0</v>
      </c>
      <c r="AI534">
        <v>14.13</v>
      </c>
      <c r="AL534" t="s">
        <v>19614</v>
      </c>
      <c r="AM534">
        <v>1704</v>
      </c>
      <c r="AS534">
        <v>0</v>
      </c>
      <c r="AU534" t="s">
        <v>20643</v>
      </c>
    </row>
    <row r="535" spans="1:48">
      <c r="A535" s="1">
        <f>HYPERLINK("https://lsnyc.legalserver.org/matter/dynamic-profile/view/1896325","19-1896325")</f>
        <v>0</v>
      </c>
      <c r="B535" t="s">
        <v>151</v>
      </c>
      <c r="C535" t="s">
        <v>257</v>
      </c>
      <c r="D535" t="s">
        <v>350</v>
      </c>
      <c r="E535" t="s">
        <v>551</v>
      </c>
      <c r="F535" t="s">
        <v>1323</v>
      </c>
      <c r="G535" t="s">
        <v>3418</v>
      </c>
      <c r="H535" t="s">
        <v>6032</v>
      </c>
      <c r="I535" t="s">
        <v>8107</v>
      </c>
      <c r="J535" t="s">
        <v>9059</v>
      </c>
      <c r="K535">
        <v>11208</v>
      </c>
      <c r="L535" t="s">
        <v>9096</v>
      </c>
      <c r="M535" t="s">
        <v>9096</v>
      </c>
      <c r="N535" t="s">
        <v>9348</v>
      </c>
      <c r="O535" t="s">
        <v>11128</v>
      </c>
      <c r="P535" t="s">
        <v>11164</v>
      </c>
      <c r="Q535" t="s">
        <v>11172</v>
      </c>
      <c r="R535" t="s">
        <v>11180</v>
      </c>
      <c r="S535" t="s">
        <v>9096</v>
      </c>
      <c r="T535" t="s">
        <v>11183</v>
      </c>
      <c r="U535" t="s">
        <v>11200</v>
      </c>
      <c r="V535" t="s">
        <v>614</v>
      </c>
      <c r="W535">
        <v>1297</v>
      </c>
      <c r="X535" t="s">
        <v>11332</v>
      </c>
      <c r="Z535" t="s">
        <v>11761</v>
      </c>
      <c r="AB535" t="s">
        <v>16224</v>
      </c>
      <c r="AC535">
        <v>2</v>
      </c>
      <c r="AD535" t="s">
        <v>19565</v>
      </c>
      <c r="AE535" t="s">
        <v>19580</v>
      </c>
      <c r="AF535">
        <v>12</v>
      </c>
      <c r="AG535">
        <v>1</v>
      </c>
      <c r="AH535">
        <v>2</v>
      </c>
      <c r="AI535">
        <v>14.14</v>
      </c>
      <c r="AL535" t="s">
        <v>19614</v>
      </c>
      <c r="AM535">
        <v>3016</v>
      </c>
      <c r="AS535">
        <v>0.5</v>
      </c>
      <c r="AT535" t="s">
        <v>614</v>
      </c>
      <c r="AU535" t="s">
        <v>79</v>
      </c>
      <c r="AV535" t="s">
        <v>9144</v>
      </c>
    </row>
    <row r="536" spans="1:48">
      <c r="A536" s="1">
        <f>HYPERLINK("https://lsnyc.legalserver.org/matter/dynamic-profile/view/1898908","19-1898908")</f>
        <v>0</v>
      </c>
      <c r="B536" t="s">
        <v>69</v>
      </c>
      <c r="C536" t="s">
        <v>257</v>
      </c>
      <c r="D536" t="s">
        <v>337</v>
      </c>
      <c r="E536" t="s">
        <v>415</v>
      </c>
      <c r="F536" t="s">
        <v>1323</v>
      </c>
      <c r="G536" t="s">
        <v>3418</v>
      </c>
      <c r="H536" t="s">
        <v>6032</v>
      </c>
      <c r="I536" t="s">
        <v>8107</v>
      </c>
      <c r="J536" t="s">
        <v>9059</v>
      </c>
      <c r="K536">
        <v>11208</v>
      </c>
      <c r="L536" t="s">
        <v>9094</v>
      </c>
      <c r="M536" t="s">
        <v>9096</v>
      </c>
      <c r="O536" t="s">
        <v>11151</v>
      </c>
      <c r="P536" t="s">
        <v>11167</v>
      </c>
      <c r="Q536" t="s">
        <v>11173</v>
      </c>
      <c r="R536" t="s">
        <v>11180</v>
      </c>
      <c r="S536" t="s">
        <v>9096</v>
      </c>
      <c r="T536" t="s">
        <v>11183</v>
      </c>
      <c r="U536" t="s">
        <v>11200</v>
      </c>
      <c r="V536" t="s">
        <v>361</v>
      </c>
      <c r="W536">
        <v>1297</v>
      </c>
      <c r="X536" t="s">
        <v>11332</v>
      </c>
      <c r="Z536" t="s">
        <v>11761</v>
      </c>
      <c r="AA536">
        <v>4798867</v>
      </c>
      <c r="AB536" t="s">
        <v>16224</v>
      </c>
      <c r="AC536">
        <v>2</v>
      </c>
      <c r="AD536" t="s">
        <v>19565</v>
      </c>
      <c r="AE536" t="s">
        <v>19580</v>
      </c>
      <c r="AF536">
        <v>12</v>
      </c>
      <c r="AG536">
        <v>1</v>
      </c>
      <c r="AH536">
        <v>2</v>
      </c>
      <c r="AI536">
        <v>14.14</v>
      </c>
      <c r="AL536" t="s">
        <v>19614</v>
      </c>
      <c r="AM536">
        <v>3016</v>
      </c>
      <c r="AS536">
        <v>5.75</v>
      </c>
      <c r="AT536" t="s">
        <v>415</v>
      </c>
      <c r="AU536" t="s">
        <v>95</v>
      </c>
      <c r="AV536" t="s">
        <v>20734</v>
      </c>
    </row>
    <row r="537" spans="1:48">
      <c r="A537" s="1">
        <f>HYPERLINK("https://lsnyc.legalserver.org/matter/dynamic-profile/view/1899003","19-1899003")</f>
        <v>0</v>
      </c>
      <c r="B537" t="s">
        <v>71</v>
      </c>
      <c r="C537" t="s">
        <v>257</v>
      </c>
      <c r="D537" t="s">
        <v>310</v>
      </c>
      <c r="E537" t="s">
        <v>483</v>
      </c>
      <c r="F537" t="s">
        <v>1323</v>
      </c>
      <c r="G537" t="s">
        <v>3418</v>
      </c>
      <c r="H537" t="s">
        <v>6032</v>
      </c>
      <c r="I537" t="s">
        <v>8107</v>
      </c>
      <c r="J537" t="s">
        <v>9059</v>
      </c>
      <c r="K537">
        <v>11208</v>
      </c>
      <c r="L537" t="s">
        <v>9094</v>
      </c>
      <c r="M537" t="s">
        <v>9095</v>
      </c>
      <c r="N537" t="s">
        <v>9348</v>
      </c>
      <c r="O537" t="s">
        <v>11128</v>
      </c>
      <c r="P537" t="s">
        <v>11165</v>
      </c>
      <c r="Q537" t="s">
        <v>11174</v>
      </c>
      <c r="R537" t="s">
        <v>11180</v>
      </c>
      <c r="S537" t="s">
        <v>9096</v>
      </c>
      <c r="T537" t="s">
        <v>11183</v>
      </c>
      <c r="U537" t="s">
        <v>11200</v>
      </c>
      <c r="V537" t="s">
        <v>610</v>
      </c>
      <c r="W537">
        <v>1297</v>
      </c>
      <c r="X537" t="s">
        <v>11332</v>
      </c>
      <c r="Z537" t="s">
        <v>11761</v>
      </c>
      <c r="AA537">
        <v>4798867</v>
      </c>
      <c r="AB537" t="s">
        <v>16224</v>
      </c>
      <c r="AC537">
        <v>2</v>
      </c>
      <c r="AD537" t="s">
        <v>19565</v>
      </c>
      <c r="AE537" t="s">
        <v>19580</v>
      </c>
      <c r="AF537">
        <v>12</v>
      </c>
      <c r="AG537">
        <v>1</v>
      </c>
      <c r="AH537">
        <v>2</v>
      </c>
      <c r="AI537">
        <v>14.18</v>
      </c>
      <c r="AL537" t="s">
        <v>19614</v>
      </c>
      <c r="AM537">
        <v>3024</v>
      </c>
      <c r="AN537" t="s">
        <v>19709</v>
      </c>
      <c r="AS537">
        <v>19.7</v>
      </c>
      <c r="AT537" t="s">
        <v>488</v>
      </c>
      <c r="AU537" t="s">
        <v>79</v>
      </c>
      <c r="AV537" t="s">
        <v>20733</v>
      </c>
    </row>
    <row r="538" spans="1:48">
      <c r="A538" s="1">
        <f>HYPERLINK("https://lsnyc.legalserver.org/matter/dynamic-profile/view/1895751","19-1895751")</f>
        <v>0</v>
      </c>
      <c r="B538" t="s">
        <v>52</v>
      </c>
      <c r="C538" t="s">
        <v>257</v>
      </c>
      <c r="D538" t="s">
        <v>376</v>
      </c>
      <c r="E538" t="s">
        <v>1016</v>
      </c>
      <c r="F538" t="s">
        <v>1488</v>
      </c>
      <c r="G538" t="s">
        <v>3498</v>
      </c>
      <c r="H538" t="s">
        <v>5692</v>
      </c>
      <c r="I538">
        <v>28</v>
      </c>
      <c r="J538" t="s">
        <v>9038</v>
      </c>
      <c r="K538">
        <v>11691</v>
      </c>
      <c r="L538" t="s">
        <v>9094</v>
      </c>
      <c r="M538" t="s">
        <v>9094</v>
      </c>
      <c r="O538" t="s">
        <v>11134</v>
      </c>
      <c r="P538" t="s">
        <v>11167</v>
      </c>
      <c r="Q538" t="s">
        <v>11173</v>
      </c>
      <c r="R538" t="s">
        <v>11180</v>
      </c>
      <c r="S538" t="s">
        <v>9094</v>
      </c>
      <c r="T538" t="s">
        <v>11183</v>
      </c>
      <c r="U538" t="s">
        <v>11201</v>
      </c>
      <c r="V538" t="s">
        <v>376</v>
      </c>
      <c r="W538">
        <v>540</v>
      </c>
      <c r="X538" t="s">
        <v>11331</v>
      </c>
      <c r="Y538" t="s">
        <v>11339</v>
      </c>
      <c r="Z538" t="s">
        <v>11762</v>
      </c>
      <c r="AA538" t="s">
        <v>15274</v>
      </c>
      <c r="AB538" t="s">
        <v>16225</v>
      </c>
      <c r="AC538">
        <v>43</v>
      </c>
      <c r="AD538" t="s">
        <v>19566</v>
      </c>
      <c r="AE538" t="s">
        <v>9144</v>
      </c>
      <c r="AF538">
        <v>28</v>
      </c>
      <c r="AG538">
        <v>2</v>
      </c>
      <c r="AH538">
        <v>0</v>
      </c>
      <c r="AI538">
        <v>14.19</v>
      </c>
      <c r="AL538" t="s">
        <v>19614</v>
      </c>
      <c r="AM538">
        <v>2400</v>
      </c>
      <c r="AS538">
        <v>0.1</v>
      </c>
      <c r="AT538" t="s">
        <v>1016</v>
      </c>
      <c r="AU538" t="s">
        <v>20622</v>
      </c>
      <c r="AV538" t="s">
        <v>20733</v>
      </c>
    </row>
    <row r="539" spans="1:48">
      <c r="A539" s="1">
        <f>HYPERLINK("https://lsnyc.legalserver.org/matter/dynamic-profile/view/1895768","19-1895768")</f>
        <v>0</v>
      </c>
      <c r="B539" t="s">
        <v>52</v>
      </c>
      <c r="C539" t="s">
        <v>256</v>
      </c>
      <c r="D539" t="s">
        <v>376</v>
      </c>
      <c r="F539" t="s">
        <v>1488</v>
      </c>
      <c r="G539" t="s">
        <v>3498</v>
      </c>
      <c r="H539" t="s">
        <v>5692</v>
      </c>
      <c r="I539">
        <v>4</v>
      </c>
      <c r="J539" t="s">
        <v>9038</v>
      </c>
      <c r="K539">
        <v>11691</v>
      </c>
      <c r="L539" t="s">
        <v>9094</v>
      </c>
      <c r="M539" t="s">
        <v>9094</v>
      </c>
      <c r="O539" t="s">
        <v>11136</v>
      </c>
      <c r="P539" t="s">
        <v>11167</v>
      </c>
      <c r="R539" t="s">
        <v>11180</v>
      </c>
      <c r="S539" t="s">
        <v>9094</v>
      </c>
      <c r="T539" t="s">
        <v>11183</v>
      </c>
      <c r="V539" t="s">
        <v>376</v>
      </c>
      <c r="W539">
        <v>540</v>
      </c>
      <c r="X539" t="s">
        <v>11331</v>
      </c>
      <c r="Y539" t="s">
        <v>11339</v>
      </c>
      <c r="Z539" t="s">
        <v>11762</v>
      </c>
      <c r="AA539" t="s">
        <v>15274</v>
      </c>
      <c r="AB539" t="s">
        <v>16225</v>
      </c>
      <c r="AC539">
        <v>43</v>
      </c>
      <c r="AD539" t="s">
        <v>19566</v>
      </c>
      <c r="AE539" t="s">
        <v>9144</v>
      </c>
      <c r="AF539">
        <v>28</v>
      </c>
      <c r="AG539">
        <v>2</v>
      </c>
      <c r="AH539">
        <v>0</v>
      </c>
      <c r="AI539">
        <v>14.19</v>
      </c>
      <c r="AL539" t="s">
        <v>19614</v>
      </c>
      <c r="AM539">
        <v>2400</v>
      </c>
      <c r="AS539">
        <v>0</v>
      </c>
      <c r="AU539" t="s">
        <v>20622</v>
      </c>
    </row>
    <row r="540" spans="1:48">
      <c r="A540" s="1">
        <f>HYPERLINK("https://lsnyc.legalserver.org/matter/dynamic-profile/view/1914687","19-1914687")</f>
        <v>0</v>
      </c>
      <c r="B540" t="s">
        <v>74</v>
      </c>
      <c r="C540" t="s">
        <v>256</v>
      </c>
      <c r="D540" t="s">
        <v>476</v>
      </c>
      <c r="F540" t="s">
        <v>1489</v>
      </c>
      <c r="G540" t="s">
        <v>3663</v>
      </c>
      <c r="H540" t="s">
        <v>5748</v>
      </c>
      <c r="I540" t="s">
        <v>8292</v>
      </c>
      <c r="J540" t="s">
        <v>9059</v>
      </c>
      <c r="K540">
        <v>11233</v>
      </c>
      <c r="L540" t="s">
        <v>9096</v>
      </c>
      <c r="M540" t="s">
        <v>9095</v>
      </c>
      <c r="N540" t="s">
        <v>9349</v>
      </c>
      <c r="O540" t="s">
        <v>11129</v>
      </c>
      <c r="R540" t="s">
        <v>11180</v>
      </c>
      <c r="S540" t="s">
        <v>9096</v>
      </c>
      <c r="T540" t="s">
        <v>11183</v>
      </c>
      <c r="U540" t="s">
        <v>11201</v>
      </c>
      <c r="W540">
        <v>858</v>
      </c>
      <c r="X540" t="s">
        <v>11332</v>
      </c>
      <c r="Y540" t="s">
        <v>11340</v>
      </c>
      <c r="Z540" t="s">
        <v>11763</v>
      </c>
      <c r="AA540" t="s">
        <v>15355</v>
      </c>
      <c r="AB540" t="s">
        <v>16226</v>
      </c>
      <c r="AC540">
        <v>700</v>
      </c>
      <c r="AD540" t="s">
        <v>19566</v>
      </c>
      <c r="AE540" t="s">
        <v>19580</v>
      </c>
      <c r="AF540">
        <v>16</v>
      </c>
      <c r="AG540">
        <v>1</v>
      </c>
      <c r="AH540">
        <v>1</v>
      </c>
      <c r="AI540">
        <v>14.19</v>
      </c>
      <c r="AL540" t="s">
        <v>19614</v>
      </c>
      <c r="AM540">
        <v>2400</v>
      </c>
      <c r="AS540">
        <v>0</v>
      </c>
      <c r="AU540" t="s">
        <v>95</v>
      </c>
      <c r="AV540" t="s">
        <v>9144</v>
      </c>
    </row>
    <row r="541" spans="1:48">
      <c r="A541" s="1">
        <f>HYPERLINK("https://lsnyc.legalserver.org/matter/dynamic-profile/view/1908234","19-1908234")</f>
        <v>0</v>
      </c>
      <c r="B541" t="s">
        <v>137</v>
      </c>
      <c r="C541" t="s">
        <v>256</v>
      </c>
      <c r="D541" t="s">
        <v>335</v>
      </c>
      <c r="F541" t="s">
        <v>1490</v>
      </c>
      <c r="G541" t="s">
        <v>3664</v>
      </c>
      <c r="H541" t="s">
        <v>6033</v>
      </c>
      <c r="I541">
        <v>2</v>
      </c>
      <c r="J541" t="s">
        <v>9067</v>
      </c>
      <c r="K541">
        <v>10033</v>
      </c>
      <c r="L541" t="s">
        <v>9094</v>
      </c>
      <c r="M541" t="s">
        <v>9095</v>
      </c>
      <c r="O541" t="s">
        <v>11151</v>
      </c>
      <c r="P541" t="s">
        <v>11169</v>
      </c>
      <c r="R541" t="s">
        <v>11180</v>
      </c>
      <c r="S541" t="s">
        <v>9096</v>
      </c>
      <c r="T541" t="s">
        <v>11190</v>
      </c>
      <c r="W541">
        <v>1225.03</v>
      </c>
      <c r="X541" t="s">
        <v>11335</v>
      </c>
      <c r="Y541" t="s">
        <v>11338</v>
      </c>
      <c r="Z541" t="s">
        <v>11764</v>
      </c>
      <c r="AA541" t="s">
        <v>15356</v>
      </c>
      <c r="AB541" t="s">
        <v>16227</v>
      </c>
      <c r="AC541">
        <v>0</v>
      </c>
      <c r="AD541" t="s">
        <v>19566</v>
      </c>
      <c r="AE541" t="s">
        <v>19580</v>
      </c>
      <c r="AF541">
        <v>20</v>
      </c>
      <c r="AG541">
        <v>2</v>
      </c>
      <c r="AH541">
        <v>0</v>
      </c>
      <c r="AI541">
        <v>14.19</v>
      </c>
      <c r="AL541" t="s">
        <v>19615</v>
      </c>
      <c r="AM541">
        <v>2400</v>
      </c>
      <c r="AS541">
        <v>1</v>
      </c>
      <c r="AT541" t="s">
        <v>335</v>
      </c>
      <c r="AU541" t="s">
        <v>20659</v>
      </c>
      <c r="AV541" t="s">
        <v>20734</v>
      </c>
    </row>
    <row r="542" spans="1:48">
      <c r="A542" s="1">
        <f>HYPERLINK("https://lsnyc.legalserver.org/matter/dynamic-profile/view/1903509","19-1903509")</f>
        <v>0</v>
      </c>
      <c r="B542" t="s">
        <v>100</v>
      </c>
      <c r="C542" t="s">
        <v>257</v>
      </c>
      <c r="D542" t="s">
        <v>551</v>
      </c>
      <c r="E542" t="s">
        <v>551</v>
      </c>
      <c r="F542" t="s">
        <v>1491</v>
      </c>
      <c r="G542" t="s">
        <v>3448</v>
      </c>
      <c r="H542" t="s">
        <v>6034</v>
      </c>
      <c r="I542" t="s">
        <v>8176</v>
      </c>
      <c r="J542" t="s">
        <v>9065</v>
      </c>
      <c r="K542">
        <v>10458</v>
      </c>
      <c r="L542" t="s">
        <v>9095</v>
      </c>
      <c r="M542" t="s">
        <v>9095</v>
      </c>
      <c r="P542" t="s">
        <v>11164</v>
      </c>
      <c r="Q542" t="s">
        <v>11172</v>
      </c>
      <c r="R542" t="s">
        <v>11180</v>
      </c>
      <c r="T542" t="s">
        <v>11183</v>
      </c>
      <c r="W542">
        <v>0</v>
      </c>
      <c r="X542" t="s">
        <v>11333</v>
      </c>
      <c r="Z542" t="s">
        <v>11765</v>
      </c>
      <c r="AB542" t="s">
        <v>16228</v>
      </c>
      <c r="AC542">
        <v>0</v>
      </c>
      <c r="AF542">
        <v>0</v>
      </c>
      <c r="AG542">
        <v>3</v>
      </c>
      <c r="AH542">
        <v>3</v>
      </c>
      <c r="AI542">
        <v>14.22</v>
      </c>
      <c r="AL542" t="s">
        <v>19615</v>
      </c>
      <c r="AM542">
        <v>4920</v>
      </c>
      <c r="AS542">
        <v>0.5</v>
      </c>
      <c r="AT542" t="s">
        <v>551</v>
      </c>
      <c r="AU542" t="s">
        <v>100</v>
      </c>
    </row>
    <row r="543" spans="1:48">
      <c r="A543" s="1">
        <f>HYPERLINK("https://lsnyc.legalserver.org/matter/dynamic-profile/view/1864441","18-1864441")</f>
        <v>0</v>
      </c>
      <c r="B543" t="s">
        <v>71</v>
      </c>
      <c r="C543" t="s">
        <v>257</v>
      </c>
      <c r="D543" t="s">
        <v>552</v>
      </c>
      <c r="E543" t="s">
        <v>457</v>
      </c>
      <c r="F543" t="s">
        <v>1492</v>
      </c>
      <c r="G543" t="s">
        <v>3665</v>
      </c>
      <c r="H543" t="s">
        <v>6035</v>
      </c>
      <c r="I543" t="s">
        <v>8124</v>
      </c>
      <c r="J543" t="s">
        <v>9059</v>
      </c>
      <c r="K543">
        <v>11233</v>
      </c>
      <c r="L543" t="s">
        <v>9094</v>
      </c>
      <c r="M543" t="s">
        <v>9094</v>
      </c>
      <c r="N543" t="s">
        <v>9350</v>
      </c>
      <c r="O543" t="s">
        <v>11129</v>
      </c>
      <c r="P543" t="s">
        <v>11165</v>
      </c>
      <c r="Q543" t="s">
        <v>11174</v>
      </c>
      <c r="R543" t="s">
        <v>11180</v>
      </c>
      <c r="S543" t="s">
        <v>9096</v>
      </c>
      <c r="T543" t="s">
        <v>11183</v>
      </c>
      <c r="V543" t="s">
        <v>552</v>
      </c>
      <c r="W543">
        <v>975</v>
      </c>
      <c r="X543" t="s">
        <v>11332</v>
      </c>
      <c r="Y543" t="s">
        <v>11344</v>
      </c>
      <c r="Z543" t="s">
        <v>11766</v>
      </c>
      <c r="AA543" t="s">
        <v>15357</v>
      </c>
      <c r="AB543" t="s">
        <v>16229</v>
      </c>
      <c r="AC543">
        <v>4</v>
      </c>
      <c r="AD543" t="s">
        <v>19570</v>
      </c>
      <c r="AE543" t="s">
        <v>19580</v>
      </c>
      <c r="AF543">
        <v>16</v>
      </c>
      <c r="AG543">
        <v>3</v>
      </c>
      <c r="AH543">
        <v>2</v>
      </c>
      <c r="AI543">
        <v>14.28</v>
      </c>
      <c r="AL543" t="s">
        <v>19614</v>
      </c>
      <c r="AM543">
        <v>4200</v>
      </c>
      <c r="AS543">
        <v>21.6</v>
      </c>
      <c r="AT543" t="s">
        <v>514</v>
      </c>
      <c r="AU543" t="s">
        <v>20633</v>
      </c>
    </row>
    <row r="544" spans="1:48">
      <c r="A544" s="1">
        <f>HYPERLINK("https://lsnyc.legalserver.org/matter/dynamic-profile/view/1892752","19-1892752")</f>
        <v>0</v>
      </c>
      <c r="B544" t="s">
        <v>71</v>
      </c>
      <c r="C544" t="s">
        <v>257</v>
      </c>
      <c r="D544" t="s">
        <v>553</v>
      </c>
      <c r="E544" t="s">
        <v>483</v>
      </c>
      <c r="F544" t="s">
        <v>1493</v>
      </c>
      <c r="G544" t="s">
        <v>3666</v>
      </c>
      <c r="H544" t="s">
        <v>6036</v>
      </c>
      <c r="I544" t="s">
        <v>8218</v>
      </c>
      <c r="J544" t="s">
        <v>9059</v>
      </c>
      <c r="K544">
        <v>11207</v>
      </c>
      <c r="L544" t="s">
        <v>9094</v>
      </c>
      <c r="M544" t="s">
        <v>9095</v>
      </c>
      <c r="N544" t="s">
        <v>9351</v>
      </c>
      <c r="O544" t="s">
        <v>11129</v>
      </c>
      <c r="P544" t="s">
        <v>11167</v>
      </c>
      <c r="Q544" t="s">
        <v>11172</v>
      </c>
      <c r="R544" t="s">
        <v>11180</v>
      </c>
      <c r="S544" t="s">
        <v>9096</v>
      </c>
      <c r="T544" t="s">
        <v>11183</v>
      </c>
      <c r="V544" t="s">
        <v>394</v>
      </c>
      <c r="W544">
        <v>1900</v>
      </c>
      <c r="X544" t="s">
        <v>11332</v>
      </c>
      <c r="Y544" t="s">
        <v>11338</v>
      </c>
      <c r="Z544" t="s">
        <v>11767</v>
      </c>
      <c r="AB544" t="s">
        <v>16230</v>
      </c>
      <c r="AC544">
        <v>4</v>
      </c>
      <c r="AD544" t="s">
        <v>19567</v>
      </c>
      <c r="AE544" t="s">
        <v>19580</v>
      </c>
      <c r="AF544">
        <v>4</v>
      </c>
      <c r="AG544">
        <v>1</v>
      </c>
      <c r="AH544">
        <v>2</v>
      </c>
      <c r="AI544">
        <v>14.29</v>
      </c>
      <c r="AL544" t="s">
        <v>19618</v>
      </c>
      <c r="AM544">
        <v>3048</v>
      </c>
      <c r="AS544">
        <v>2</v>
      </c>
      <c r="AT544" t="s">
        <v>394</v>
      </c>
      <c r="AU544" t="s">
        <v>20639</v>
      </c>
      <c r="AV544" t="s">
        <v>20733</v>
      </c>
    </row>
    <row r="545" spans="1:48">
      <c r="A545" s="1">
        <f>HYPERLINK("https://lsnyc.legalserver.org/matter/dynamic-profile/view/1911932","19-1911932")</f>
        <v>0</v>
      </c>
      <c r="B545" t="s">
        <v>139</v>
      </c>
      <c r="C545" t="s">
        <v>257</v>
      </c>
      <c r="D545" t="s">
        <v>292</v>
      </c>
      <c r="E545" t="s">
        <v>496</v>
      </c>
      <c r="F545" t="s">
        <v>1494</v>
      </c>
      <c r="G545" t="s">
        <v>3667</v>
      </c>
      <c r="H545" t="s">
        <v>6037</v>
      </c>
      <c r="I545" t="s">
        <v>8172</v>
      </c>
      <c r="J545" t="s">
        <v>9067</v>
      </c>
      <c r="K545">
        <v>10034</v>
      </c>
      <c r="L545" t="s">
        <v>9094</v>
      </c>
      <c r="M545" t="s">
        <v>9095</v>
      </c>
      <c r="P545" t="s">
        <v>11164</v>
      </c>
      <c r="Q545" t="s">
        <v>11172</v>
      </c>
      <c r="R545" t="s">
        <v>11180</v>
      </c>
      <c r="S545" t="s">
        <v>9096</v>
      </c>
      <c r="T545" t="s">
        <v>11183</v>
      </c>
      <c r="V545" t="s">
        <v>292</v>
      </c>
      <c r="W545">
        <v>1409</v>
      </c>
      <c r="X545" t="s">
        <v>11335</v>
      </c>
      <c r="Y545" t="s">
        <v>11340</v>
      </c>
      <c r="Z545" t="s">
        <v>11768</v>
      </c>
      <c r="AB545" t="s">
        <v>16231</v>
      </c>
      <c r="AC545">
        <v>228</v>
      </c>
      <c r="AD545" t="s">
        <v>19566</v>
      </c>
      <c r="AE545" t="s">
        <v>9144</v>
      </c>
      <c r="AF545">
        <v>19</v>
      </c>
      <c r="AG545">
        <v>1</v>
      </c>
      <c r="AH545">
        <v>0</v>
      </c>
      <c r="AI545">
        <v>14.36</v>
      </c>
      <c r="AL545" t="s">
        <v>19614</v>
      </c>
      <c r="AM545">
        <v>1794</v>
      </c>
      <c r="AS545">
        <v>3.75</v>
      </c>
      <c r="AT545" t="s">
        <v>496</v>
      </c>
      <c r="AU545" t="s">
        <v>130</v>
      </c>
      <c r="AV545" t="s">
        <v>20733</v>
      </c>
    </row>
    <row r="546" spans="1:48">
      <c r="A546" s="1">
        <f>HYPERLINK("https://lsnyc.legalserver.org/matter/dynamic-profile/view/1890990","19-1890990")</f>
        <v>0</v>
      </c>
      <c r="B546" t="s">
        <v>103</v>
      </c>
      <c r="C546" t="s">
        <v>256</v>
      </c>
      <c r="D546" t="s">
        <v>554</v>
      </c>
      <c r="F546" t="s">
        <v>1495</v>
      </c>
      <c r="G546" t="s">
        <v>2246</v>
      </c>
      <c r="H546" t="s">
        <v>5887</v>
      </c>
      <c r="I546" t="s">
        <v>8155</v>
      </c>
      <c r="J546" t="s">
        <v>9065</v>
      </c>
      <c r="K546">
        <v>10453</v>
      </c>
      <c r="L546" t="s">
        <v>9094</v>
      </c>
      <c r="M546" t="s">
        <v>9094</v>
      </c>
      <c r="N546" t="s">
        <v>9352</v>
      </c>
      <c r="O546" t="s">
        <v>11130</v>
      </c>
      <c r="P546" t="s">
        <v>11165</v>
      </c>
      <c r="R546" t="s">
        <v>11180</v>
      </c>
      <c r="S546" t="s">
        <v>9094</v>
      </c>
      <c r="T546" t="s">
        <v>11183</v>
      </c>
      <c r="V546" t="s">
        <v>512</v>
      </c>
      <c r="W546">
        <v>685.95</v>
      </c>
      <c r="X546" t="s">
        <v>11333</v>
      </c>
      <c r="Y546" t="s">
        <v>11346</v>
      </c>
      <c r="Z546" t="s">
        <v>11769</v>
      </c>
      <c r="AB546" t="s">
        <v>16232</v>
      </c>
      <c r="AC546">
        <v>167</v>
      </c>
      <c r="AD546" t="s">
        <v>19566</v>
      </c>
      <c r="AE546" t="s">
        <v>9144</v>
      </c>
      <c r="AF546">
        <v>26</v>
      </c>
      <c r="AG546">
        <v>1</v>
      </c>
      <c r="AH546">
        <v>0</v>
      </c>
      <c r="AI546">
        <v>14.38</v>
      </c>
      <c r="AL546" t="s">
        <v>19614</v>
      </c>
      <c r="AM546">
        <v>1796</v>
      </c>
      <c r="AS546">
        <v>0</v>
      </c>
      <c r="AU546" t="s">
        <v>20642</v>
      </c>
    </row>
    <row r="547" spans="1:48">
      <c r="A547" s="1">
        <f>HYPERLINK("https://lsnyc.legalserver.org/matter/dynamic-profile/view/1873749","18-1873749")</f>
        <v>0</v>
      </c>
      <c r="B547" t="s">
        <v>60</v>
      </c>
      <c r="C547" t="s">
        <v>257</v>
      </c>
      <c r="D547" t="s">
        <v>555</v>
      </c>
      <c r="E547" t="s">
        <v>426</v>
      </c>
      <c r="F547" t="s">
        <v>1496</v>
      </c>
      <c r="G547" t="s">
        <v>3668</v>
      </c>
      <c r="H547" t="s">
        <v>6038</v>
      </c>
      <c r="I547" t="s">
        <v>8132</v>
      </c>
      <c r="J547" t="s">
        <v>9038</v>
      </c>
      <c r="K547">
        <v>11691</v>
      </c>
      <c r="L547" t="s">
        <v>9094</v>
      </c>
      <c r="M547" t="s">
        <v>9094</v>
      </c>
      <c r="N547" t="s">
        <v>9353</v>
      </c>
      <c r="O547" t="s">
        <v>11129</v>
      </c>
      <c r="P547" t="s">
        <v>11165</v>
      </c>
      <c r="Q547" t="s">
        <v>11175</v>
      </c>
      <c r="R547" t="s">
        <v>11180</v>
      </c>
      <c r="S547" t="s">
        <v>9096</v>
      </c>
      <c r="T547" t="s">
        <v>11183</v>
      </c>
      <c r="U547" t="s">
        <v>11199</v>
      </c>
      <c r="V547" t="s">
        <v>11208</v>
      </c>
      <c r="W547">
        <v>1956</v>
      </c>
      <c r="X547" t="s">
        <v>11331</v>
      </c>
      <c r="Y547" t="s">
        <v>11336</v>
      </c>
      <c r="Z547" t="s">
        <v>11770</v>
      </c>
      <c r="AB547" t="s">
        <v>16233</v>
      </c>
      <c r="AC547">
        <v>26</v>
      </c>
      <c r="AD547" t="s">
        <v>19566</v>
      </c>
      <c r="AE547" t="s">
        <v>19586</v>
      </c>
      <c r="AF547">
        <v>3</v>
      </c>
      <c r="AG547">
        <v>1</v>
      </c>
      <c r="AH547">
        <v>2</v>
      </c>
      <c r="AI547">
        <v>14.51</v>
      </c>
      <c r="AK547" t="s">
        <v>19610</v>
      </c>
      <c r="AL547" t="s">
        <v>19614</v>
      </c>
      <c r="AM547">
        <v>3016</v>
      </c>
      <c r="AO547" t="s">
        <v>20293</v>
      </c>
      <c r="AP547" t="s">
        <v>20309</v>
      </c>
      <c r="AQ547" t="s">
        <v>20369</v>
      </c>
      <c r="AR547" t="s">
        <v>20400</v>
      </c>
      <c r="AS547">
        <v>19.7</v>
      </c>
      <c r="AT547" t="s">
        <v>452</v>
      </c>
      <c r="AU547" t="s">
        <v>20620</v>
      </c>
      <c r="AV547" t="s">
        <v>20733</v>
      </c>
    </row>
    <row r="548" spans="1:48">
      <c r="A548" s="1">
        <f>HYPERLINK("https://lsnyc.legalserver.org/matter/dynamic-profile/view/1914026","19-1914026")</f>
        <v>0</v>
      </c>
      <c r="B548" t="s">
        <v>127</v>
      </c>
      <c r="C548" t="s">
        <v>256</v>
      </c>
      <c r="D548" t="s">
        <v>556</v>
      </c>
      <c r="F548" t="s">
        <v>1385</v>
      </c>
      <c r="G548" t="s">
        <v>3566</v>
      </c>
      <c r="H548" t="s">
        <v>5923</v>
      </c>
      <c r="J548" t="s">
        <v>9066</v>
      </c>
      <c r="K548">
        <v>10304</v>
      </c>
      <c r="L548" t="s">
        <v>9095</v>
      </c>
      <c r="M548" t="s">
        <v>9095</v>
      </c>
      <c r="N548" t="s">
        <v>9102</v>
      </c>
      <c r="O548" t="s">
        <v>9121</v>
      </c>
      <c r="R548" t="s">
        <v>11181</v>
      </c>
      <c r="S548" t="s">
        <v>9096</v>
      </c>
      <c r="T548" t="s">
        <v>11183</v>
      </c>
      <c r="W548">
        <v>1100</v>
      </c>
      <c r="X548" t="s">
        <v>11334</v>
      </c>
      <c r="Y548" t="s">
        <v>11337</v>
      </c>
      <c r="Z548" t="s">
        <v>11635</v>
      </c>
      <c r="AB548" t="s">
        <v>16234</v>
      </c>
      <c r="AC548">
        <v>4</v>
      </c>
      <c r="AD548" t="s">
        <v>19565</v>
      </c>
      <c r="AE548" t="s">
        <v>9144</v>
      </c>
      <c r="AF548">
        <v>3</v>
      </c>
      <c r="AG548">
        <v>1</v>
      </c>
      <c r="AH548">
        <v>2</v>
      </c>
      <c r="AI548">
        <v>14.51</v>
      </c>
      <c r="AL548" t="s">
        <v>19614</v>
      </c>
      <c r="AM548">
        <v>3096</v>
      </c>
      <c r="AS548">
        <v>0</v>
      </c>
      <c r="AU548" t="s">
        <v>127</v>
      </c>
    </row>
    <row r="549" spans="1:48">
      <c r="A549" s="1">
        <f>HYPERLINK("https://lsnyc.legalserver.org/matter/dynamic-profile/view/1837690","17-1837690")</f>
        <v>0</v>
      </c>
      <c r="B549" t="s">
        <v>119</v>
      </c>
      <c r="C549" t="s">
        <v>257</v>
      </c>
      <c r="D549" t="s">
        <v>557</v>
      </c>
      <c r="E549" t="s">
        <v>664</v>
      </c>
      <c r="F549" t="s">
        <v>1497</v>
      </c>
      <c r="G549" t="s">
        <v>3669</v>
      </c>
      <c r="H549" t="s">
        <v>6039</v>
      </c>
      <c r="I549" t="s">
        <v>8155</v>
      </c>
      <c r="J549" t="s">
        <v>9065</v>
      </c>
      <c r="K549">
        <v>10459</v>
      </c>
      <c r="L549" t="s">
        <v>9094</v>
      </c>
      <c r="M549" t="s">
        <v>9095</v>
      </c>
      <c r="N549" t="s">
        <v>9354</v>
      </c>
      <c r="O549" t="s">
        <v>11128</v>
      </c>
      <c r="P549" t="s">
        <v>11165</v>
      </c>
      <c r="Q549" t="s">
        <v>11174</v>
      </c>
      <c r="R549" t="s">
        <v>11181</v>
      </c>
      <c r="S549" t="s">
        <v>9096</v>
      </c>
      <c r="T549" t="s">
        <v>11183</v>
      </c>
      <c r="V549" t="s">
        <v>557</v>
      </c>
      <c r="W549">
        <v>1033.18</v>
      </c>
      <c r="X549" t="s">
        <v>11333</v>
      </c>
      <c r="Y549" t="s">
        <v>11337</v>
      </c>
      <c r="Z549" t="s">
        <v>11771</v>
      </c>
      <c r="AA549" t="s">
        <v>15358</v>
      </c>
      <c r="AB549" t="s">
        <v>16235</v>
      </c>
      <c r="AC549">
        <v>6</v>
      </c>
      <c r="AD549" t="s">
        <v>19566</v>
      </c>
      <c r="AE549" t="s">
        <v>9144</v>
      </c>
      <c r="AF549">
        <v>2</v>
      </c>
      <c r="AG549">
        <v>1</v>
      </c>
      <c r="AH549">
        <v>2</v>
      </c>
      <c r="AI549">
        <v>14.57</v>
      </c>
      <c r="AJ549" t="s">
        <v>19591</v>
      </c>
      <c r="AK549" t="s">
        <v>19608</v>
      </c>
      <c r="AL549" t="s">
        <v>5133</v>
      </c>
      <c r="AM549">
        <v>2976</v>
      </c>
      <c r="AS549">
        <v>129.2</v>
      </c>
      <c r="AT549" t="s">
        <v>543</v>
      </c>
      <c r="AU549" t="s">
        <v>228</v>
      </c>
    </row>
    <row r="550" spans="1:48">
      <c r="A550" s="1">
        <f>HYPERLINK("https://lsnyc.legalserver.org/matter/dynamic-profile/view/1909296","19-1909296")</f>
        <v>0</v>
      </c>
      <c r="B550" t="s">
        <v>69</v>
      </c>
      <c r="C550" t="s">
        <v>256</v>
      </c>
      <c r="D550" t="s">
        <v>297</v>
      </c>
      <c r="F550" t="s">
        <v>1498</v>
      </c>
      <c r="G550" t="s">
        <v>3486</v>
      </c>
      <c r="H550" t="s">
        <v>6011</v>
      </c>
      <c r="I550">
        <v>143</v>
      </c>
      <c r="J550" t="s">
        <v>9059</v>
      </c>
      <c r="K550">
        <v>11208</v>
      </c>
      <c r="L550" t="s">
        <v>9094</v>
      </c>
      <c r="M550" t="s">
        <v>9095</v>
      </c>
      <c r="N550" t="s">
        <v>9121</v>
      </c>
      <c r="O550" t="s">
        <v>11151</v>
      </c>
      <c r="P550" t="s">
        <v>11167</v>
      </c>
      <c r="R550" t="s">
        <v>11180</v>
      </c>
      <c r="S550" t="s">
        <v>9096</v>
      </c>
      <c r="T550" t="s">
        <v>11183</v>
      </c>
      <c r="U550" t="s">
        <v>11201</v>
      </c>
      <c r="V550" t="s">
        <v>549</v>
      </c>
      <c r="W550">
        <v>1000</v>
      </c>
      <c r="X550" t="s">
        <v>11332</v>
      </c>
      <c r="Y550" t="s">
        <v>11339</v>
      </c>
      <c r="Z550" t="s">
        <v>11772</v>
      </c>
      <c r="AA550" t="s">
        <v>15287</v>
      </c>
      <c r="AB550" t="s">
        <v>16236</v>
      </c>
      <c r="AC550">
        <v>266</v>
      </c>
      <c r="AD550" t="s">
        <v>19567</v>
      </c>
      <c r="AE550" t="s">
        <v>19580</v>
      </c>
      <c r="AF550">
        <v>28</v>
      </c>
      <c r="AG550">
        <v>1</v>
      </c>
      <c r="AH550">
        <v>0</v>
      </c>
      <c r="AI550">
        <v>14.58</v>
      </c>
      <c r="AL550" t="s">
        <v>19614</v>
      </c>
      <c r="AM550">
        <v>1821.6</v>
      </c>
      <c r="AS550">
        <v>31</v>
      </c>
      <c r="AT550" t="s">
        <v>1130</v>
      </c>
      <c r="AU550" t="s">
        <v>20660</v>
      </c>
      <c r="AV550" t="s">
        <v>20733</v>
      </c>
    </row>
    <row r="551" spans="1:48">
      <c r="A551" s="1">
        <f>HYPERLINK("https://lsnyc.legalserver.org/matter/dynamic-profile/view/1834626","17-1834626")</f>
        <v>0</v>
      </c>
      <c r="B551" t="s">
        <v>152</v>
      </c>
      <c r="C551" t="s">
        <v>256</v>
      </c>
      <c r="D551" t="s">
        <v>550</v>
      </c>
      <c r="F551" t="s">
        <v>1499</v>
      </c>
      <c r="G551" t="s">
        <v>3670</v>
      </c>
      <c r="H551" t="s">
        <v>6040</v>
      </c>
      <c r="I551" t="s">
        <v>8293</v>
      </c>
      <c r="J551" t="s">
        <v>9059</v>
      </c>
      <c r="K551">
        <v>11233</v>
      </c>
      <c r="L551" t="s">
        <v>9094</v>
      </c>
      <c r="M551" t="s">
        <v>9095</v>
      </c>
      <c r="N551" t="s">
        <v>9355</v>
      </c>
      <c r="O551" t="s">
        <v>11128</v>
      </c>
      <c r="P551" t="s">
        <v>11165</v>
      </c>
      <c r="R551" t="s">
        <v>11180</v>
      </c>
      <c r="T551" t="s">
        <v>11183</v>
      </c>
      <c r="V551" t="s">
        <v>11231</v>
      </c>
      <c r="W551">
        <v>1250</v>
      </c>
      <c r="X551" t="s">
        <v>11332</v>
      </c>
      <c r="Y551" t="s">
        <v>11350</v>
      </c>
      <c r="Z551" t="s">
        <v>11773</v>
      </c>
      <c r="AB551" t="s">
        <v>16237</v>
      </c>
      <c r="AC551">
        <v>5</v>
      </c>
      <c r="AE551" t="s">
        <v>11157</v>
      </c>
      <c r="AF551">
        <v>10</v>
      </c>
      <c r="AG551">
        <v>1</v>
      </c>
      <c r="AH551">
        <v>2</v>
      </c>
      <c r="AI551">
        <v>14.69</v>
      </c>
      <c r="AL551" t="s">
        <v>19614</v>
      </c>
      <c r="AM551">
        <v>3000</v>
      </c>
      <c r="AS551">
        <v>187.8</v>
      </c>
      <c r="AT551" t="s">
        <v>326</v>
      </c>
      <c r="AU551" t="s">
        <v>20626</v>
      </c>
    </row>
    <row r="552" spans="1:48">
      <c r="A552" s="1">
        <f>HYPERLINK("https://lsnyc.legalserver.org/matter/dynamic-profile/view/1854896","17-1854896")</f>
        <v>0</v>
      </c>
      <c r="B552" t="s">
        <v>101</v>
      </c>
      <c r="C552" t="s">
        <v>256</v>
      </c>
      <c r="D552" t="s">
        <v>558</v>
      </c>
      <c r="F552" t="s">
        <v>1197</v>
      </c>
      <c r="G552" t="s">
        <v>3671</v>
      </c>
      <c r="H552" t="s">
        <v>6041</v>
      </c>
      <c r="I552" t="s">
        <v>8294</v>
      </c>
      <c r="J552" t="s">
        <v>9065</v>
      </c>
      <c r="K552">
        <v>10452</v>
      </c>
      <c r="L552" t="s">
        <v>9094</v>
      </c>
      <c r="M552" t="s">
        <v>9095</v>
      </c>
      <c r="N552" t="s">
        <v>9356</v>
      </c>
      <c r="O552" t="s">
        <v>11135</v>
      </c>
      <c r="P552" t="s">
        <v>11168</v>
      </c>
      <c r="R552" t="s">
        <v>11180</v>
      </c>
      <c r="S552" t="s">
        <v>9094</v>
      </c>
      <c r="T552" t="s">
        <v>11183</v>
      </c>
      <c r="V552" t="s">
        <v>1122</v>
      </c>
      <c r="W552">
        <v>1233</v>
      </c>
      <c r="X552" t="s">
        <v>11333</v>
      </c>
      <c r="Y552" t="s">
        <v>11346</v>
      </c>
      <c r="Z552" t="s">
        <v>11774</v>
      </c>
      <c r="AA552" t="s">
        <v>15359</v>
      </c>
      <c r="AB552" t="s">
        <v>16238</v>
      </c>
      <c r="AC552">
        <v>62</v>
      </c>
      <c r="AD552" t="s">
        <v>19566</v>
      </c>
      <c r="AE552" t="s">
        <v>19585</v>
      </c>
      <c r="AF552">
        <v>6</v>
      </c>
      <c r="AG552">
        <v>1</v>
      </c>
      <c r="AH552">
        <v>0</v>
      </c>
      <c r="AI552">
        <v>14.73</v>
      </c>
      <c r="AL552" t="s">
        <v>19614</v>
      </c>
      <c r="AM552">
        <v>1776</v>
      </c>
      <c r="AS552">
        <v>0.4</v>
      </c>
      <c r="AT552" t="s">
        <v>558</v>
      </c>
      <c r="AU552" t="s">
        <v>174</v>
      </c>
    </row>
    <row r="553" spans="1:48">
      <c r="A553" s="1">
        <f>HYPERLINK("https://lsnyc.legalserver.org/matter/dynamic-profile/view/1901563","19-1901563")</f>
        <v>0</v>
      </c>
      <c r="B553" t="s">
        <v>65</v>
      </c>
      <c r="C553" t="s">
        <v>256</v>
      </c>
      <c r="D553" t="s">
        <v>559</v>
      </c>
      <c r="F553" t="s">
        <v>1301</v>
      </c>
      <c r="G553" t="s">
        <v>1206</v>
      </c>
      <c r="H553" t="s">
        <v>5839</v>
      </c>
      <c r="I553" t="s">
        <v>8205</v>
      </c>
      <c r="J553" t="s">
        <v>9059</v>
      </c>
      <c r="K553">
        <v>11206</v>
      </c>
      <c r="L553" t="s">
        <v>9094</v>
      </c>
      <c r="M553" t="s">
        <v>9095</v>
      </c>
      <c r="O553" t="s">
        <v>11137</v>
      </c>
      <c r="P553" t="s">
        <v>11166</v>
      </c>
      <c r="R553" t="s">
        <v>11180</v>
      </c>
      <c r="S553" t="s">
        <v>9096</v>
      </c>
      <c r="T553" t="s">
        <v>11183</v>
      </c>
      <c r="V553" t="s">
        <v>559</v>
      </c>
      <c r="W553">
        <v>215</v>
      </c>
      <c r="X553" t="s">
        <v>11332</v>
      </c>
      <c r="Y553" t="s">
        <v>11340</v>
      </c>
      <c r="Z553" t="s">
        <v>11539</v>
      </c>
      <c r="AB553" t="s">
        <v>16034</v>
      </c>
      <c r="AC553">
        <v>139</v>
      </c>
      <c r="AD553" t="s">
        <v>19567</v>
      </c>
      <c r="AF553">
        <v>7</v>
      </c>
      <c r="AG553">
        <v>1</v>
      </c>
      <c r="AH553">
        <v>0</v>
      </c>
      <c r="AI553">
        <v>14.78</v>
      </c>
      <c r="AL553" t="s">
        <v>19614</v>
      </c>
      <c r="AM553">
        <v>1846</v>
      </c>
      <c r="AP553" t="s">
        <v>20321</v>
      </c>
      <c r="AQ553" t="s">
        <v>20369</v>
      </c>
      <c r="AR553" t="s">
        <v>20401</v>
      </c>
      <c r="AS553">
        <v>3.1</v>
      </c>
      <c r="AT553" t="s">
        <v>744</v>
      </c>
      <c r="AU553" t="s">
        <v>67</v>
      </c>
      <c r="AV553" t="s">
        <v>20733</v>
      </c>
    </row>
    <row r="554" spans="1:48">
      <c r="A554" s="1">
        <f>HYPERLINK("https://lsnyc.legalserver.org/matter/dynamic-profile/view/1893711","19-1893711")</f>
        <v>0</v>
      </c>
      <c r="B554" t="s">
        <v>65</v>
      </c>
      <c r="C554" t="s">
        <v>256</v>
      </c>
      <c r="D554" t="s">
        <v>274</v>
      </c>
      <c r="F554" t="s">
        <v>1301</v>
      </c>
      <c r="G554" t="s">
        <v>1206</v>
      </c>
      <c r="H554" t="s">
        <v>5839</v>
      </c>
      <c r="I554" t="s">
        <v>8205</v>
      </c>
      <c r="J554" t="s">
        <v>9059</v>
      </c>
      <c r="K554">
        <v>11206</v>
      </c>
      <c r="L554" t="s">
        <v>9094</v>
      </c>
      <c r="M554" t="s">
        <v>9094</v>
      </c>
      <c r="N554" t="s">
        <v>9357</v>
      </c>
      <c r="O554" t="s">
        <v>11129</v>
      </c>
      <c r="P554" t="s">
        <v>11165</v>
      </c>
      <c r="R554" t="s">
        <v>11180</v>
      </c>
      <c r="S554" t="s">
        <v>9096</v>
      </c>
      <c r="T554" t="s">
        <v>11183</v>
      </c>
      <c r="U554" t="s">
        <v>11201</v>
      </c>
      <c r="V554" t="s">
        <v>573</v>
      </c>
      <c r="W554">
        <v>225</v>
      </c>
      <c r="X554" t="s">
        <v>11332</v>
      </c>
      <c r="Y554" t="s">
        <v>11340</v>
      </c>
      <c r="Z554" t="s">
        <v>11539</v>
      </c>
      <c r="AB554" t="s">
        <v>16034</v>
      </c>
      <c r="AC554">
        <v>0</v>
      </c>
      <c r="AD554" t="s">
        <v>19567</v>
      </c>
      <c r="AF554">
        <v>15</v>
      </c>
      <c r="AG554">
        <v>1</v>
      </c>
      <c r="AH554">
        <v>0</v>
      </c>
      <c r="AI554">
        <v>14.78</v>
      </c>
      <c r="AL554" t="s">
        <v>19614</v>
      </c>
      <c r="AM554">
        <v>1846</v>
      </c>
      <c r="AS554">
        <v>24</v>
      </c>
      <c r="AT554" t="s">
        <v>488</v>
      </c>
      <c r="AU554" t="s">
        <v>215</v>
      </c>
    </row>
    <row r="555" spans="1:48">
      <c r="A555" s="1">
        <f>HYPERLINK("https://lsnyc.legalserver.org/matter/dynamic-profile/view/1906910","19-1906910")</f>
        <v>0</v>
      </c>
      <c r="B555" t="s">
        <v>142</v>
      </c>
      <c r="C555" t="s">
        <v>256</v>
      </c>
      <c r="D555" t="s">
        <v>370</v>
      </c>
      <c r="F555" t="s">
        <v>1146</v>
      </c>
      <c r="G555" t="s">
        <v>3654</v>
      </c>
      <c r="H555" t="s">
        <v>6018</v>
      </c>
      <c r="I555" t="s">
        <v>8141</v>
      </c>
      <c r="J555" t="s">
        <v>9067</v>
      </c>
      <c r="K555">
        <v>10035</v>
      </c>
      <c r="L555" t="s">
        <v>9094</v>
      </c>
      <c r="M555" t="s">
        <v>9095</v>
      </c>
      <c r="O555" t="s">
        <v>11131</v>
      </c>
      <c r="P555" t="s">
        <v>11167</v>
      </c>
      <c r="R555" t="s">
        <v>11180</v>
      </c>
      <c r="S555" t="s">
        <v>9096</v>
      </c>
      <c r="T555" t="s">
        <v>11183</v>
      </c>
      <c r="U555" t="s">
        <v>11200</v>
      </c>
      <c r="V555" t="s">
        <v>370</v>
      </c>
      <c r="W555">
        <v>645</v>
      </c>
      <c r="X555" t="s">
        <v>11335</v>
      </c>
      <c r="Y555" t="s">
        <v>11340</v>
      </c>
      <c r="Z555" t="s">
        <v>11744</v>
      </c>
      <c r="AA555" t="s">
        <v>15360</v>
      </c>
      <c r="AC555">
        <v>8</v>
      </c>
      <c r="AD555" t="s">
        <v>19566</v>
      </c>
      <c r="AE555" t="s">
        <v>19582</v>
      </c>
      <c r="AF555">
        <v>20</v>
      </c>
      <c r="AG555">
        <v>1</v>
      </c>
      <c r="AH555">
        <v>2</v>
      </c>
      <c r="AI555">
        <v>14.91</v>
      </c>
      <c r="AL555" t="s">
        <v>19615</v>
      </c>
      <c r="AM555">
        <v>3180</v>
      </c>
      <c r="AP555" t="s">
        <v>20322</v>
      </c>
      <c r="AS555">
        <v>16.1</v>
      </c>
      <c r="AT555" t="s">
        <v>320</v>
      </c>
      <c r="AU555" t="s">
        <v>20657</v>
      </c>
      <c r="AV555" t="s">
        <v>20733</v>
      </c>
    </row>
    <row r="556" spans="1:48">
      <c r="A556" s="1">
        <f>HYPERLINK("https://lsnyc.legalserver.org/matter/dynamic-profile/view/1852131","17-1852131")</f>
        <v>0</v>
      </c>
      <c r="B556" t="s">
        <v>128</v>
      </c>
      <c r="C556" t="s">
        <v>256</v>
      </c>
      <c r="D556" t="s">
        <v>560</v>
      </c>
      <c r="F556" t="s">
        <v>1462</v>
      </c>
      <c r="G556" t="s">
        <v>3499</v>
      </c>
      <c r="H556" t="s">
        <v>6042</v>
      </c>
      <c r="I556" t="s">
        <v>8129</v>
      </c>
      <c r="J556" t="s">
        <v>9066</v>
      </c>
      <c r="K556">
        <v>10301</v>
      </c>
      <c r="L556" t="s">
        <v>9094</v>
      </c>
      <c r="M556" t="s">
        <v>9094</v>
      </c>
      <c r="N556" t="s">
        <v>9358</v>
      </c>
      <c r="O556" t="s">
        <v>11128</v>
      </c>
      <c r="P556" t="s">
        <v>11165</v>
      </c>
      <c r="R556" t="s">
        <v>11180</v>
      </c>
      <c r="S556" t="s">
        <v>9094</v>
      </c>
      <c r="T556" t="s">
        <v>11183</v>
      </c>
      <c r="V556" t="s">
        <v>606</v>
      </c>
      <c r="W556">
        <v>850</v>
      </c>
      <c r="X556" t="s">
        <v>11334</v>
      </c>
      <c r="Y556" t="s">
        <v>11340</v>
      </c>
      <c r="Z556" t="s">
        <v>11775</v>
      </c>
      <c r="AA556" t="s">
        <v>15361</v>
      </c>
      <c r="AC556">
        <v>3</v>
      </c>
      <c r="AD556" t="s">
        <v>19565</v>
      </c>
      <c r="AE556" t="s">
        <v>9144</v>
      </c>
      <c r="AF556">
        <v>7</v>
      </c>
      <c r="AG556">
        <v>1</v>
      </c>
      <c r="AH556">
        <v>4</v>
      </c>
      <c r="AI556">
        <v>14.93</v>
      </c>
      <c r="AL556" t="s">
        <v>19615</v>
      </c>
      <c r="AM556">
        <v>4296</v>
      </c>
      <c r="AS556">
        <v>6.85</v>
      </c>
      <c r="AT556" t="s">
        <v>411</v>
      </c>
      <c r="AU556" t="s">
        <v>20667</v>
      </c>
    </row>
    <row r="557" spans="1:48">
      <c r="A557" s="1">
        <f>HYPERLINK("https://lsnyc.legalserver.org/matter/dynamic-profile/view/1877019","18-1877019")</f>
        <v>0</v>
      </c>
      <c r="B557" t="s">
        <v>144</v>
      </c>
      <c r="C557" t="s">
        <v>256</v>
      </c>
      <c r="D557" t="s">
        <v>561</v>
      </c>
      <c r="F557" t="s">
        <v>1140</v>
      </c>
      <c r="G557" t="s">
        <v>3672</v>
      </c>
      <c r="H557" t="s">
        <v>6043</v>
      </c>
      <c r="I557" t="s">
        <v>8193</v>
      </c>
      <c r="J557" t="s">
        <v>9067</v>
      </c>
      <c r="K557">
        <v>10030</v>
      </c>
      <c r="L557" t="s">
        <v>9094</v>
      </c>
      <c r="M557" t="s">
        <v>9095</v>
      </c>
      <c r="N557" t="s">
        <v>9359</v>
      </c>
      <c r="O557" t="s">
        <v>11129</v>
      </c>
      <c r="P557" t="s">
        <v>11167</v>
      </c>
      <c r="R557" t="s">
        <v>11180</v>
      </c>
      <c r="S557" t="s">
        <v>9096</v>
      </c>
      <c r="T557" t="s">
        <v>11183</v>
      </c>
      <c r="V557" t="s">
        <v>561</v>
      </c>
      <c r="W557">
        <v>1950</v>
      </c>
      <c r="X557" t="s">
        <v>11335</v>
      </c>
      <c r="Y557" t="s">
        <v>11338</v>
      </c>
      <c r="Z557" t="s">
        <v>651</v>
      </c>
      <c r="AB557" t="s">
        <v>16239</v>
      </c>
      <c r="AC557">
        <v>30</v>
      </c>
      <c r="AD557" t="s">
        <v>19566</v>
      </c>
      <c r="AE557" t="s">
        <v>9144</v>
      </c>
      <c r="AF557">
        <v>13</v>
      </c>
      <c r="AG557">
        <v>2</v>
      </c>
      <c r="AH557">
        <v>4</v>
      </c>
      <c r="AI557">
        <v>14.95</v>
      </c>
      <c r="AL557" t="s">
        <v>19614</v>
      </c>
      <c r="AM557">
        <v>5044</v>
      </c>
      <c r="AS557">
        <v>10.65</v>
      </c>
      <c r="AT557" t="s">
        <v>346</v>
      </c>
      <c r="AU557" t="s">
        <v>20657</v>
      </c>
    </row>
    <row r="558" spans="1:48">
      <c r="A558" s="1">
        <f>HYPERLINK("https://lsnyc.legalserver.org/matter/dynamic-profile/view/0798555","16-0798555")</f>
        <v>0</v>
      </c>
      <c r="B558" t="s">
        <v>56</v>
      </c>
      <c r="C558" t="s">
        <v>256</v>
      </c>
      <c r="D558" t="s">
        <v>562</v>
      </c>
      <c r="F558" t="s">
        <v>1137</v>
      </c>
      <c r="G558" t="s">
        <v>3623</v>
      </c>
      <c r="H558" t="s">
        <v>5985</v>
      </c>
      <c r="I558" t="s">
        <v>8295</v>
      </c>
      <c r="J558" t="s">
        <v>9048</v>
      </c>
      <c r="K558">
        <v>11385</v>
      </c>
      <c r="L558" t="s">
        <v>9094</v>
      </c>
      <c r="M558" t="s">
        <v>9095</v>
      </c>
      <c r="N558" t="s">
        <v>9360</v>
      </c>
      <c r="O558" t="s">
        <v>11130</v>
      </c>
      <c r="P558" t="s">
        <v>11165</v>
      </c>
      <c r="R558" t="s">
        <v>11180</v>
      </c>
      <c r="S558" t="s">
        <v>9096</v>
      </c>
      <c r="T558" t="s">
        <v>11183</v>
      </c>
      <c r="V558" t="s">
        <v>948</v>
      </c>
      <c r="W558">
        <v>1469.71</v>
      </c>
      <c r="X558" t="s">
        <v>11331</v>
      </c>
      <c r="Y558" t="s">
        <v>11342</v>
      </c>
      <c r="Z558" t="s">
        <v>11706</v>
      </c>
      <c r="AA558" t="s">
        <v>15362</v>
      </c>
      <c r="AB558" t="s">
        <v>16177</v>
      </c>
      <c r="AC558">
        <v>6</v>
      </c>
      <c r="AE558" t="s">
        <v>19580</v>
      </c>
      <c r="AF558">
        <v>9</v>
      </c>
      <c r="AG558">
        <v>3</v>
      </c>
      <c r="AH558">
        <v>1</v>
      </c>
      <c r="AI558">
        <v>14.98</v>
      </c>
      <c r="AL558" t="s">
        <v>19614</v>
      </c>
      <c r="AM558">
        <v>3640</v>
      </c>
      <c r="AN558" t="s">
        <v>19710</v>
      </c>
      <c r="AS558">
        <v>28</v>
      </c>
      <c r="AT558" t="s">
        <v>20588</v>
      </c>
      <c r="AU558" t="s">
        <v>153</v>
      </c>
    </row>
    <row r="559" spans="1:48">
      <c r="A559" s="1">
        <f>HYPERLINK("https://lsnyc.legalserver.org/matter/dynamic-profile/view/1897714","19-1897714")</f>
        <v>0</v>
      </c>
      <c r="B559" t="s">
        <v>153</v>
      </c>
      <c r="C559" t="s">
        <v>257</v>
      </c>
      <c r="D559" t="s">
        <v>291</v>
      </c>
      <c r="E559" t="s">
        <v>487</v>
      </c>
      <c r="F559" t="s">
        <v>1500</v>
      </c>
      <c r="G559" t="s">
        <v>3673</v>
      </c>
      <c r="J559" t="s">
        <v>9039</v>
      </c>
      <c r="K559">
        <v>11434</v>
      </c>
      <c r="L559" t="s">
        <v>9094</v>
      </c>
      <c r="M559" t="s">
        <v>9094</v>
      </c>
      <c r="N559" t="s">
        <v>9361</v>
      </c>
      <c r="O559" t="s">
        <v>11130</v>
      </c>
      <c r="P559" t="s">
        <v>11164</v>
      </c>
      <c r="Q559" t="s">
        <v>11172</v>
      </c>
      <c r="R559" t="s">
        <v>11180</v>
      </c>
      <c r="S559" t="s">
        <v>9096</v>
      </c>
      <c r="T559" t="s">
        <v>11183</v>
      </c>
      <c r="V559" t="s">
        <v>291</v>
      </c>
      <c r="W559">
        <v>2100</v>
      </c>
      <c r="X559" t="s">
        <v>11331</v>
      </c>
      <c r="Y559" t="s">
        <v>11336</v>
      </c>
      <c r="Z559" t="s">
        <v>11776</v>
      </c>
      <c r="AB559" t="s">
        <v>16240</v>
      </c>
      <c r="AC559">
        <v>2</v>
      </c>
      <c r="AD559" t="s">
        <v>15441</v>
      </c>
      <c r="AE559" t="s">
        <v>9144</v>
      </c>
      <c r="AF559">
        <v>2</v>
      </c>
      <c r="AG559">
        <v>2</v>
      </c>
      <c r="AH559">
        <v>1</v>
      </c>
      <c r="AI559">
        <v>15</v>
      </c>
      <c r="AL559" t="s">
        <v>19614</v>
      </c>
      <c r="AM559">
        <v>3200</v>
      </c>
      <c r="AN559" t="s">
        <v>19711</v>
      </c>
      <c r="AS559">
        <v>1</v>
      </c>
      <c r="AT559" t="s">
        <v>487</v>
      </c>
      <c r="AU559" t="s">
        <v>153</v>
      </c>
    </row>
    <row r="560" spans="1:48">
      <c r="A560" s="1">
        <f>HYPERLINK("https://lsnyc.legalserver.org/matter/dynamic-profile/view/1867183","18-1867183")</f>
        <v>0</v>
      </c>
      <c r="B560" t="s">
        <v>114</v>
      </c>
      <c r="C560" t="s">
        <v>256</v>
      </c>
      <c r="D560" t="s">
        <v>272</v>
      </c>
      <c r="F560" t="s">
        <v>1501</v>
      </c>
      <c r="G560" t="s">
        <v>1260</v>
      </c>
      <c r="H560" t="s">
        <v>6044</v>
      </c>
      <c r="I560" t="s">
        <v>8235</v>
      </c>
      <c r="J560" t="s">
        <v>9065</v>
      </c>
      <c r="K560">
        <v>10452</v>
      </c>
      <c r="L560" t="s">
        <v>9094</v>
      </c>
      <c r="M560" t="s">
        <v>9094</v>
      </c>
      <c r="N560" t="s">
        <v>9362</v>
      </c>
      <c r="O560" t="s">
        <v>11129</v>
      </c>
      <c r="P560" t="s">
        <v>11165</v>
      </c>
      <c r="R560" t="s">
        <v>11180</v>
      </c>
      <c r="S560" t="s">
        <v>9096</v>
      </c>
      <c r="T560" t="s">
        <v>11183</v>
      </c>
      <c r="V560" t="s">
        <v>588</v>
      </c>
      <c r="W560">
        <v>129</v>
      </c>
      <c r="X560" t="s">
        <v>11333</v>
      </c>
      <c r="Y560" t="s">
        <v>11340</v>
      </c>
      <c r="Z560" t="s">
        <v>11777</v>
      </c>
      <c r="AA560" t="s">
        <v>15363</v>
      </c>
      <c r="AB560" t="s">
        <v>16241</v>
      </c>
      <c r="AC560">
        <v>18</v>
      </c>
      <c r="AD560" t="s">
        <v>19567</v>
      </c>
      <c r="AE560" t="s">
        <v>19580</v>
      </c>
      <c r="AF560">
        <v>36</v>
      </c>
      <c r="AG560">
        <v>1</v>
      </c>
      <c r="AH560">
        <v>0</v>
      </c>
      <c r="AI560">
        <v>15.02</v>
      </c>
      <c r="AL560" t="s">
        <v>19614</v>
      </c>
      <c r="AM560">
        <v>1824</v>
      </c>
      <c r="AN560" t="s">
        <v>19699</v>
      </c>
      <c r="AS560">
        <v>33.5</v>
      </c>
      <c r="AT560" t="s">
        <v>703</v>
      </c>
      <c r="AU560" t="s">
        <v>163</v>
      </c>
    </row>
    <row r="561" spans="1:48">
      <c r="A561" s="1">
        <f>HYPERLINK("https://lsnyc.legalserver.org/matter/dynamic-profile/view/1912815","19-1912815")</f>
        <v>0</v>
      </c>
      <c r="B561" t="s">
        <v>71</v>
      </c>
      <c r="C561" t="s">
        <v>256</v>
      </c>
      <c r="D561" t="s">
        <v>563</v>
      </c>
      <c r="F561" t="s">
        <v>1502</v>
      </c>
      <c r="G561" t="s">
        <v>3674</v>
      </c>
      <c r="H561" t="s">
        <v>6045</v>
      </c>
      <c r="I561" t="s">
        <v>8229</v>
      </c>
      <c r="J561" t="s">
        <v>9059</v>
      </c>
      <c r="K561">
        <v>11233</v>
      </c>
      <c r="L561" t="s">
        <v>9094</v>
      </c>
      <c r="M561" t="s">
        <v>9095</v>
      </c>
      <c r="N561" t="s">
        <v>9363</v>
      </c>
      <c r="O561" t="s">
        <v>11129</v>
      </c>
      <c r="P561" t="s">
        <v>11169</v>
      </c>
      <c r="R561" t="s">
        <v>11180</v>
      </c>
      <c r="S561" t="s">
        <v>9096</v>
      </c>
      <c r="T561" t="s">
        <v>11183</v>
      </c>
      <c r="V561" t="s">
        <v>301</v>
      </c>
      <c r="W561">
        <v>520</v>
      </c>
      <c r="X561" t="s">
        <v>11332</v>
      </c>
      <c r="Y561" t="s">
        <v>11157</v>
      </c>
      <c r="Z561" t="s">
        <v>11778</v>
      </c>
      <c r="AB561" t="s">
        <v>16242</v>
      </c>
      <c r="AC561">
        <v>112</v>
      </c>
      <c r="AD561" t="s">
        <v>19572</v>
      </c>
      <c r="AE561" t="s">
        <v>11157</v>
      </c>
      <c r="AF561">
        <v>12</v>
      </c>
      <c r="AG561">
        <v>4</v>
      </c>
      <c r="AH561">
        <v>0</v>
      </c>
      <c r="AI561">
        <v>15.15</v>
      </c>
      <c r="AL561" t="s">
        <v>19615</v>
      </c>
      <c r="AM561">
        <v>3900</v>
      </c>
      <c r="AS561">
        <v>2.6</v>
      </c>
      <c r="AT561" t="s">
        <v>703</v>
      </c>
      <c r="AU561" t="s">
        <v>20668</v>
      </c>
      <c r="AV561" t="s">
        <v>20733</v>
      </c>
    </row>
    <row r="562" spans="1:48">
      <c r="A562" s="1">
        <f>HYPERLINK("https://lsnyc.legalserver.org/matter/dynamic-profile/view/0786267","15-0786267")</f>
        <v>0</v>
      </c>
      <c r="B562" t="s">
        <v>154</v>
      </c>
      <c r="C562" t="s">
        <v>257</v>
      </c>
      <c r="D562" t="s">
        <v>564</v>
      </c>
      <c r="E562" t="s">
        <v>615</v>
      </c>
      <c r="F562" t="s">
        <v>1503</v>
      </c>
      <c r="G562" t="s">
        <v>2371</v>
      </c>
      <c r="H562" t="s">
        <v>6046</v>
      </c>
      <c r="I562" t="s">
        <v>8129</v>
      </c>
      <c r="J562" t="s">
        <v>9066</v>
      </c>
      <c r="K562">
        <v>10304</v>
      </c>
      <c r="L562" t="s">
        <v>9095</v>
      </c>
      <c r="M562" t="s">
        <v>9095</v>
      </c>
      <c r="N562" t="s">
        <v>9364</v>
      </c>
      <c r="O562" t="s">
        <v>11128</v>
      </c>
      <c r="P562" t="s">
        <v>11165</v>
      </c>
      <c r="Q562" t="s">
        <v>11174</v>
      </c>
      <c r="R562" t="s">
        <v>11180</v>
      </c>
      <c r="S562" t="s">
        <v>9096</v>
      </c>
      <c r="T562" t="s">
        <v>11183</v>
      </c>
      <c r="V562" t="s">
        <v>642</v>
      </c>
      <c r="W562">
        <v>1450</v>
      </c>
      <c r="X562" t="s">
        <v>11334</v>
      </c>
      <c r="Y562" t="s">
        <v>11349</v>
      </c>
      <c r="Z562" t="s">
        <v>11779</v>
      </c>
      <c r="AB562" t="s">
        <v>16243</v>
      </c>
      <c r="AC562">
        <v>3</v>
      </c>
      <c r="AD562" t="s">
        <v>19565</v>
      </c>
      <c r="AF562">
        <v>5</v>
      </c>
      <c r="AG562">
        <v>2</v>
      </c>
      <c r="AH562">
        <v>3</v>
      </c>
      <c r="AI562">
        <v>15.21</v>
      </c>
      <c r="AL562" t="s">
        <v>19614</v>
      </c>
      <c r="AM562">
        <v>4320</v>
      </c>
      <c r="AS562">
        <v>21.4</v>
      </c>
      <c r="AT562" t="s">
        <v>615</v>
      </c>
      <c r="AU562" t="s">
        <v>20652</v>
      </c>
    </row>
    <row r="563" spans="1:48">
      <c r="A563" s="1">
        <f>HYPERLINK("https://lsnyc.legalserver.org/matter/dynamic-profile/view/1912946","19-1912946")</f>
        <v>0</v>
      </c>
      <c r="B563" t="s">
        <v>60</v>
      </c>
      <c r="C563" t="s">
        <v>256</v>
      </c>
      <c r="D563" t="s">
        <v>294</v>
      </c>
      <c r="F563" t="s">
        <v>1489</v>
      </c>
      <c r="G563" t="s">
        <v>3448</v>
      </c>
      <c r="H563" t="s">
        <v>6047</v>
      </c>
      <c r="I563" t="s">
        <v>8161</v>
      </c>
      <c r="J563" t="s">
        <v>9068</v>
      </c>
      <c r="K563">
        <v>11385</v>
      </c>
      <c r="L563" t="s">
        <v>9094</v>
      </c>
      <c r="M563" t="s">
        <v>9095</v>
      </c>
      <c r="N563" t="s">
        <v>9365</v>
      </c>
      <c r="O563" t="s">
        <v>11130</v>
      </c>
      <c r="P563" t="s">
        <v>11164</v>
      </c>
      <c r="R563" t="s">
        <v>11180</v>
      </c>
      <c r="S563" t="s">
        <v>9096</v>
      </c>
      <c r="T563" t="s">
        <v>11183</v>
      </c>
      <c r="V563" t="s">
        <v>294</v>
      </c>
      <c r="W563">
        <v>1500</v>
      </c>
      <c r="X563" t="s">
        <v>11331</v>
      </c>
      <c r="Y563" t="s">
        <v>11336</v>
      </c>
      <c r="Z563" t="s">
        <v>11780</v>
      </c>
      <c r="AB563" t="s">
        <v>16244</v>
      </c>
      <c r="AC563">
        <v>6</v>
      </c>
      <c r="AD563" t="s">
        <v>15441</v>
      </c>
      <c r="AE563" t="s">
        <v>19580</v>
      </c>
      <c r="AF563">
        <v>46</v>
      </c>
      <c r="AG563">
        <v>1</v>
      </c>
      <c r="AH563">
        <v>0</v>
      </c>
      <c r="AI563">
        <v>15.25</v>
      </c>
      <c r="AL563" t="s">
        <v>19614</v>
      </c>
      <c r="AM563">
        <v>1905.02</v>
      </c>
      <c r="AS563">
        <v>1.7</v>
      </c>
      <c r="AT563" t="s">
        <v>321</v>
      </c>
      <c r="AU563" t="s">
        <v>20620</v>
      </c>
      <c r="AV563" t="s">
        <v>20733</v>
      </c>
    </row>
    <row r="564" spans="1:48">
      <c r="A564" s="1">
        <f>HYPERLINK("https://lsnyc.legalserver.org/matter/dynamic-profile/view/1875333","18-1875333")</f>
        <v>0</v>
      </c>
      <c r="B564" t="s">
        <v>149</v>
      </c>
      <c r="C564" t="s">
        <v>257</v>
      </c>
      <c r="D564" t="s">
        <v>565</v>
      </c>
      <c r="E564" t="s">
        <v>706</v>
      </c>
      <c r="F564" t="s">
        <v>1504</v>
      </c>
      <c r="G564" t="s">
        <v>3675</v>
      </c>
      <c r="H564" t="s">
        <v>6048</v>
      </c>
      <c r="I564" t="s">
        <v>8296</v>
      </c>
      <c r="J564" t="s">
        <v>9067</v>
      </c>
      <c r="K564">
        <v>10039</v>
      </c>
      <c r="L564" t="s">
        <v>9094</v>
      </c>
      <c r="M564" t="s">
        <v>9094</v>
      </c>
      <c r="N564" t="s">
        <v>9366</v>
      </c>
      <c r="O564" t="s">
        <v>11130</v>
      </c>
      <c r="P564" t="s">
        <v>11164</v>
      </c>
      <c r="Q564" t="s">
        <v>11172</v>
      </c>
      <c r="R564" t="s">
        <v>11180</v>
      </c>
      <c r="S564" t="s">
        <v>9096</v>
      </c>
      <c r="T564" t="s">
        <v>11183</v>
      </c>
      <c r="V564" t="s">
        <v>565</v>
      </c>
      <c r="W564">
        <v>831</v>
      </c>
      <c r="X564" t="s">
        <v>11335</v>
      </c>
      <c r="Y564" t="s">
        <v>11338</v>
      </c>
      <c r="Z564" t="s">
        <v>11781</v>
      </c>
      <c r="AB564" t="s">
        <v>16245</v>
      </c>
      <c r="AC564">
        <v>312</v>
      </c>
      <c r="AD564" t="s">
        <v>19568</v>
      </c>
      <c r="AE564" t="s">
        <v>9144</v>
      </c>
      <c r="AF564">
        <v>29</v>
      </c>
      <c r="AG564">
        <v>1</v>
      </c>
      <c r="AH564">
        <v>0</v>
      </c>
      <c r="AI564">
        <v>15.33</v>
      </c>
      <c r="AL564" t="s">
        <v>19614</v>
      </c>
      <c r="AM564">
        <v>1861.6</v>
      </c>
      <c r="AS564">
        <v>1.5</v>
      </c>
      <c r="AT564" t="s">
        <v>565</v>
      </c>
      <c r="AU564" t="s">
        <v>20657</v>
      </c>
      <c r="AV564" t="s">
        <v>20733</v>
      </c>
    </row>
    <row r="565" spans="1:48">
      <c r="A565" s="1">
        <f>HYPERLINK("https://lsnyc.legalserver.org/matter/dynamic-profile/view/1896637","19-1896637")</f>
        <v>0</v>
      </c>
      <c r="B565" t="s">
        <v>62</v>
      </c>
      <c r="C565" t="s">
        <v>257</v>
      </c>
      <c r="D565" t="s">
        <v>454</v>
      </c>
      <c r="E565" t="s">
        <v>328</v>
      </c>
      <c r="F565" t="s">
        <v>1505</v>
      </c>
      <c r="G565" t="s">
        <v>3676</v>
      </c>
      <c r="H565" t="s">
        <v>6049</v>
      </c>
      <c r="I565">
        <v>4</v>
      </c>
      <c r="J565" t="s">
        <v>9059</v>
      </c>
      <c r="K565">
        <v>11233</v>
      </c>
      <c r="L565" t="s">
        <v>9094</v>
      </c>
      <c r="M565" t="s">
        <v>9096</v>
      </c>
      <c r="N565" t="s">
        <v>9367</v>
      </c>
      <c r="O565" t="s">
        <v>11129</v>
      </c>
      <c r="P565" t="s">
        <v>11165</v>
      </c>
      <c r="Q565" t="s">
        <v>11178</v>
      </c>
      <c r="R565" t="s">
        <v>11180</v>
      </c>
      <c r="S565" t="s">
        <v>9096</v>
      </c>
      <c r="T565" t="s">
        <v>11183</v>
      </c>
      <c r="U565" t="s">
        <v>11201</v>
      </c>
      <c r="V565" t="s">
        <v>289</v>
      </c>
      <c r="W565">
        <v>1477</v>
      </c>
      <c r="X565" t="s">
        <v>11332</v>
      </c>
      <c r="Y565" t="s">
        <v>11340</v>
      </c>
      <c r="Z565" t="s">
        <v>11563</v>
      </c>
      <c r="AA565" t="s">
        <v>15364</v>
      </c>
      <c r="AB565" t="s">
        <v>16246</v>
      </c>
      <c r="AC565">
        <v>8</v>
      </c>
      <c r="AD565" t="s">
        <v>19566</v>
      </c>
      <c r="AE565" t="s">
        <v>19580</v>
      </c>
      <c r="AF565">
        <v>4</v>
      </c>
      <c r="AG565">
        <v>3</v>
      </c>
      <c r="AH565">
        <v>1</v>
      </c>
      <c r="AI565">
        <v>15.45</v>
      </c>
      <c r="AL565" t="s">
        <v>19614</v>
      </c>
      <c r="AM565">
        <v>3978</v>
      </c>
      <c r="AQ565" t="s">
        <v>20368</v>
      </c>
      <c r="AR565" t="s">
        <v>20402</v>
      </c>
      <c r="AS565">
        <v>6.3</v>
      </c>
      <c r="AT565" t="s">
        <v>706</v>
      </c>
      <c r="AU565" t="s">
        <v>95</v>
      </c>
      <c r="AV565" t="s">
        <v>20734</v>
      </c>
    </row>
    <row r="566" spans="1:48">
      <c r="A566" s="1">
        <f>HYPERLINK("https://lsnyc.legalserver.org/matter/dynamic-profile/view/1880283","18-1880283")</f>
        <v>0</v>
      </c>
      <c r="B566" t="s">
        <v>62</v>
      </c>
      <c r="C566" t="s">
        <v>257</v>
      </c>
      <c r="D566" t="s">
        <v>458</v>
      </c>
      <c r="E566" t="s">
        <v>314</v>
      </c>
      <c r="F566" t="s">
        <v>1506</v>
      </c>
      <c r="G566" t="s">
        <v>1538</v>
      </c>
      <c r="H566" t="s">
        <v>6050</v>
      </c>
      <c r="I566" t="s">
        <v>8297</v>
      </c>
      <c r="J566" t="s">
        <v>9059</v>
      </c>
      <c r="K566">
        <v>11208</v>
      </c>
      <c r="L566" t="s">
        <v>9094</v>
      </c>
      <c r="M566" t="s">
        <v>9094</v>
      </c>
      <c r="N566" t="s">
        <v>9368</v>
      </c>
      <c r="O566" t="s">
        <v>11129</v>
      </c>
      <c r="P566" t="s">
        <v>11165</v>
      </c>
      <c r="Q566" t="s">
        <v>11178</v>
      </c>
      <c r="R566" t="s">
        <v>11180</v>
      </c>
      <c r="T566" t="s">
        <v>11183</v>
      </c>
      <c r="V566" t="s">
        <v>635</v>
      </c>
      <c r="W566">
        <v>1186</v>
      </c>
      <c r="X566" t="s">
        <v>11332</v>
      </c>
      <c r="Y566" t="s">
        <v>11336</v>
      </c>
      <c r="Z566" t="s">
        <v>11782</v>
      </c>
      <c r="AA566" t="s">
        <v>15365</v>
      </c>
      <c r="AB566" t="s">
        <v>16247</v>
      </c>
      <c r="AC566">
        <v>0</v>
      </c>
      <c r="AF566">
        <v>11</v>
      </c>
      <c r="AG566">
        <v>1</v>
      </c>
      <c r="AH566">
        <v>1</v>
      </c>
      <c r="AI566">
        <v>15.48</v>
      </c>
      <c r="AL566" t="s">
        <v>19614</v>
      </c>
      <c r="AM566">
        <v>2548</v>
      </c>
      <c r="AS566">
        <v>67.65000000000001</v>
      </c>
      <c r="AT566" t="s">
        <v>314</v>
      </c>
      <c r="AU566" t="s">
        <v>20633</v>
      </c>
    </row>
    <row r="567" spans="1:48">
      <c r="A567" s="1">
        <f>HYPERLINK("https://lsnyc.legalserver.org/matter/dynamic-profile/view/1880293","18-1880293")</f>
        <v>0</v>
      </c>
      <c r="B567" t="s">
        <v>69</v>
      </c>
      <c r="C567" t="s">
        <v>257</v>
      </c>
      <c r="D567" t="s">
        <v>458</v>
      </c>
      <c r="E567" t="s">
        <v>410</v>
      </c>
      <c r="F567" t="s">
        <v>1506</v>
      </c>
      <c r="G567" t="s">
        <v>1538</v>
      </c>
      <c r="H567" t="s">
        <v>6050</v>
      </c>
      <c r="I567" t="s">
        <v>8297</v>
      </c>
      <c r="J567" t="s">
        <v>9059</v>
      </c>
      <c r="K567">
        <v>11208</v>
      </c>
      <c r="L567" t="s">
        <v>9094</v>
      </c>
      <c r="M567" t="s">
        <v>9094</v>
      </c>
      <c r="N567" t="s">
        <v>9368</v>
      </c>
      <c r="O567" t="s">
        <v>11138</v>
      </c>
      <c r="P567" t="s">
        <v>11168</v>
      </c>
      <c r="Q567" t="s">
        <v>11177</v>
      </c>
      <c r="R567" t="s">
        <v>11180</v>
      </c>
      <c r="S567" t="s">
        <v>9096</v>
      </c>
      <c r="T567" t="s">
        <v>11184</v>
      </c>
      <c r="V567" t="s">
        <v>583</v>
      </c>
      <c r="W567">
        <v>1186</v>
      </c>
      <c r="X567" t="s">
        <v>11332</v>
      </c>
      <c r="Y567" t="s">
        <v>11336</v>
      </c>
      <c r="Z567" t="s">
        <v>11782</v>
      </c>
      <c r="AA567" t="s">
        <v>15366</v>
      </c>
      <c r="AB567" t="s">
        <v>16247</v>
      </c>
      <c r="AC567">
        <v>50</v>
      </c>
      <c r="AD567" t="s">
        <v>19566</v>
      </c>
      <c r="AE567" t="s">
        <v>19582</v>
      </c>
      <c r="AF567">
        <v>11</v>
      </c>
      <c r="AG567">
        <v>1</v>
      </c>
      <c r="AH567">
        <v>1</v>
      </c>
      <c r="AI567">
        <v>15.48</v>
      </c>
      <c r="AL567" t="s">
        <v>19614</v>
      </c>
      <c r="AM567">
        <v>2548</v>
      </c>
      <c r="AN567" t="s">
        <v>19712</v>
      </c>
      <c r="AS567">
        <v>118.8</v>
      </c>
      <c r="AT567" t="s">
        <v>410</v>
      </c>
      <c r="AU567" t="s">
        <v>20633</v>
      </c>
      <c r="AV567" t="s">
        <v>20733</v>
      </c>
    </row>
    <row r="568" spans="1:48">
      <c r="A568" s="1">
        <f>HYPERLINK("https://lsnyc.legalserver.org/matter/dynamic-profile/view/1902023","19-1902023")</f>
        <v>0</v>
      </c>
      <c r="B568" t="s">
        <v>115</v>
      </c>
      <c r="C568" t="s">
        <v>256</v>
      </c>
      <c r="D568" t="s">
        <v>319</v>
      </c>
      <c r="F568" t="s">
        <v>1507</v>
      </c>
      <c r="G568" t="s">
        <v>3677</v>
      </c>
      <c r="H568" t="s">
        <v>6051</v>
      </c>
      <c r="I568" t="s">
        <v>8156</v>
      </c>
      <c r="J568" t="s">
        <v>9065</v>
      </c>
      <c r="K568">
        <v>10452</v>
      </c>
      <c r="L568" t="s">
        <v>9094</v>
      </c>
      <c r="M568" t="s">
        <v>9095</v>
      </c>
      <c r="O568" t="s">
        <v>11134</v>
      </c>
      <c r="P568" t="s">
        <v>11168</v>
      </c>
      <c r="R568" t="s">
        <v>11180</v>
      </c>
      <c r="S568" t="s">
        <v>9094</v>
      </c>
      <c r="T568" t="s">
        <v>11183</v>
      </c>
      <c r="V568" t="s">
        <v>11212</v>
      </c>
      <c r="W568">
        <v>1700</v>
      </c>
      <c r="X568" t="s">
        <v>11333</v>
      </c>
      <c r="Y568" t="s">
        <v>11346</v>
      </c>
      <c r="Z568" t="s">
        <v>11783</v>
      </c>
      <c r="AA568" t="s">
        <v>15367</v>
      </c>
      <c r="AC568">
        <v>52</v>
      </c>
      <c r="AD568" t="s">
        <v>19566</v>
      </c>
      <c r="AE568" t="s">
        <v>19581</v>
      </c>
      <c r="AF568">
        <v>6</v>
      </c>
      <c r="AG568">
        <v>1</v>
      </c>
      <c r="AH568">
        <v>2</v>
      </c>
      <c r="AI568">
        <v>15.6</v>
      </c>
      <c r="AL568" t="s">
        <v>19614</v>
      </c>
      <c r="AM568">
        <v>3328</v>
      </c>
      <c r="AS568">
        <v>1.2</v>
      </c>
      <c r="AT568" t="s">
        <v>319</v>
      </c>
      <c r="AU568" t="s">
        <v>174</v>
      </c>
      <c r="AV568" t="s">
        <v>20733</v>
      </c>
    </row>
    <row r="569" spans="1:48">
      <c r="A569" s="1">
        <f>HYPERLINK("https://lsnyc.legalserver.org/matter/dynamic-profile/view/1911825","19-1911825")</f>
        <v>0</v>
      </c>
      <c r="B569" t="s">
        <v>115</v>
      </c>
      <c r="C569" t="s">
        <v>256</v>
      </c>
      <c r="D569" t="s">
        <v>284</v>
      </c>
      <c r="F569" t="s">
        <v>1507</v>
      </c>
      <c r="G569" t="s">
        <v>3677</v>
      </c>
      <c r="H569" t="s">
        <v>6051</v>
      </c>
      <c r="I569" t="s">
        <v>8156</v>
      </c>
      <c r="J569" t="s">
        <v>9065</v>
      </c>
      <c r="K569">
        <v>10452</v>
      </c>
      <c r="L569" t="s">
        <v>9094</v>
      </c>
      <c r="M569" t="s">
        <v>9095</v>
      </c>
      <c r="O569" t="s">
        <v>11134</v>
      </c>
      <c r="P569" t="s">
        <v>11168</v>
      </c>
      <c r="R569" t="s">
        <v>11180</v>
      </c>
      <c r="S569" t="s">
        <v>9094</v>
      </c>
      <c r="T569" t="s">
        <v>11183</v>
      </c>
      <c r="W569">
        <v>1700</v>
      </c>
      <c r="X569" t="s">
        <v>11333</v>
      </c>
      <c r="Y569" t="s">
        <v>11346</v>
      </c>
      <c r="Z569" t="s">
        <v>11783</v>
      </c>
      <c r="AA569" t="s">
        <v>15367</v>
      </c>
      <c r="AC569">
        <v>52</v>
      </c>
      <c r="AD569" t="s">
        <v>19566</v>
      </c>
      <c r="AE569" t="s">
        <v>19581</v>
      </c>
      <c r="AF569">
        <v>6</v>
      </c>
      <c r="AG569">
        <v>1</v>
      </c>
      <c r="AH569">
        <v>2</v>
      </c>
      <c r="AI569">
        <v>15.6</v>
      </c>
      <c r="AL569" t="s">
        <v>19614</v>
      </c>
      <c r="AM569">
        <v>3328</v>
      </c>
      <c r="AS569">
        <v>0.4</v>
      </c>
      <c r="AT569" t="s">
        <v>284</v>
      </c>
      <c r="AU569" t="s">
        <v>174</v>
      </c>
      <c r="AV569" t="s">
        <v>20733</v>
      </c>
    </row>
    <row r="570" spans="1:48">
      <c r="A570" s="1">
        <f>HYPERLINK("https://lsnyc.legalserver.org/matter/dynamic-profile/view/1915130","19-1915130")</f>
        <v>0</v>
      </c>
      <c r="B570" t="s">
        <v>73</v>
      </c>
      <c r="C570" t="s">
        <v>256</v>
      </c>
      <c r="D570" t="s">
        <v>270</v>
      </c>
      <c r="F570" t="s">
        <v>1508</v>
      </c>
      <c r="G570" t="s">
        <v>3678</v>
      </c>
      <c r="H570" t="s">
        <v>6052</v>
      </c>
      <c r="I570" t="s">
        <v>8157</v>
      </c>
      <c r="J570" t="s">
        <v>9059</v>
      </c>
      <c r="K570">
        <v>11233</v>
      </c>
      <c r="L570" t="s">
        <v>9094</v>
      </c>
      <c r="M570" t="s">
        <v>9095</v>
      </c>
      <c r="N570" t="s">
        <v>9369</v>
      </c>
      <c r="O570" t="s">
        <v>11129</v>
      </c>
      <c r="P570" t="s">
        <v>11169</v>
      </c>
      <c r="R570" t="s">
        <v>11180</v>
      </c>
      <c r="S570" t="s">
        <v>9096</v>
      </c>
      <c r="T570" t="s">
        <v>11183</v>
      </c>
      <c r="V570" t="s">
        <v>377</v>
      </c>
      <c r="W570">
        <v>1175.29</v>
      </c>
      <c r="X570" t="s">
        <v>11332</v>
      </c>
      <c r="Z570" t="s">
        <v>11784</v>
      </c>
      <c r="AA570" t="s">
        <v>15368</v>
      </c>
      <c r="AB570" t="s">
        <v>16248</v>
      </c>
      <c r="AC570">
        <v>24</v>
      </c>
      <c r="AD570" t="s">
        <v>19566</v>
      </c>
      <c r="AE570" t="s">
        <v>9144</v>
      </c>
      <c r="AF570">
        <v>6</v>
      </c>
      <c r="AG570">
        <v>1</v>
      </c>
      <c r="AH570">
        <v>0</v>
      </c>
      <c r="AI570">
        <v>15.61</v>
      </c>
      <c r="AL570" t="s">
        <v>19614</v>
      </c>
      <c r="AM570">
        <v>1950</v>
      </c>
      <c r="AS570">
        <v>0</v>
      </c>
      <c r="AU570" t="s">
        <v>79</v>
      </c>
      <c r="AV570" t="s">
        <v>20733</v>
      </c>
    </row>
    <row r="571" spans="1:48">
      <c r="A571" s="1">
        <f>HYPERLINK("https://lsnyc.legalserver.org/matter/dynamic-profile/view/0817110","16-0817110")</f>
        <v>0</v>
      </c>
      <c r="B571" t="s">
        <v>58</v>
      </c>
      <c r="C571" t="s">
        <v>256</v>
      </c>
      <c r="D571" t="s">
        <v>566</v>
      </c>
      <c r="F571" t="s">
        <v>1213</v>
      </c>
      <c r="G571" t="s">
        <v>3679</v>
      </c>
      <c r="H571" t="s">
        <v>6053</v>
      </c>
      <c r="I571" t="s">
        <v>8298</v>
      </c>
      <c r="J571" t="s">
        <v>9059</v>
      </c>
      <c r="K571">
        <v>11225</v>
      </c>
      <c r="L571" t="s">
        <v>9094</v>
      </c>
      <c r="M571" t="s">
        <v>9095</v>
      </c>
      <c r="N571" t="s">
        <v>9370</v>
      </c>
      <c r="O571" t="s">
        <v>11132</v>
      </c>
      <c r="P571" t="s">
        <v>11165</v>
      </c>
      <c r="R571" t="s">
        <v>11180</v>
      </c>
      <c r="S571" t="s">
        <v>9094</v>
      </c>
      <c r="T571" t="s">
        <v>11183</v>
      </c>
      <c r="V571" t="s">
        <v>986</v>
      </c>
      <c r="W571">
        <v>914.15</v>
      </c>
      <c r="X571" t="s">
        <v>11332</v>
      </c>
      <c r="Y571" t="s">
        <v>11338</v>
      </c>
      <c r="Z571" t="s">
        <v>11785</v>
      </c>
      <c r="AB571" t="s">
        <v>16249</v>
      </c>
      <c r="AC571">
        <v>16</v>
      </c>
      <c r="AD571" t="s">
        <v>19566</v>
      </c>
      <c r="AE571" t="s">
        <v>9144</v>
      </c>
      <c r="AF571">
        <v>17</v>
      </c>
      <c r="AG571">
        <v>3</v>
      </c>
      <c r="AH571">
        <v>0</v>
      </c>
      <c r="AI571">
        <v>15.95</v>
      </c>
      <c r="AJ571" t="s">
        <v>19596</v>
      </c>
      <c r="AL571" t="s">
        <v>19614</v>
      </c>
      <c r="AM571">
        <v>3216</v>
      </c>
      <c r="AS571">
        <v>8.6</v>
      </c>
      <c r="AT571" t="s">
        <v>348</v>
      </c>
      <c r="AU571" t="s">
        <v>157</v>
      </c>
    </row>
    <row r="572" spans="1:48">
      <c r="A572" s="1">
        <f>HYPERLINK("https://lsnyc.legalserver.org/matter/dynamic-profile/view/0823208","16-0823208")</f>
        <v>0</v>
      </c>
      <c r="B572" t="s">
        <v>155</v>
      </c>
      <c r="C572" t="s">
        <v>256</v>
      </c>
      <c r="D572" t="s">
        <v>567</v>
      </c>
      <c r="F572" t="s">
        <v>1213</v>
      </c>
      <c r="G572" t="s">
        <v>3679</v>
      </c>
      <c r="H572" t="s">
        <v>6053</v>
      </c>
      <c r="I572" t="s">
        <v>8298</v>
      </c>
      <c r="J572" t="s">
        <v>9059</v>
      </c>
      <c r="K572">
        <v>11225</v>
      </c>
      <c r="L572" t="s">
        <v>9094</v>
      </c>
      <c r="M572" t="s">
        <v>9095</v>
      </c>
      <c r="O572" t="s">
        <v>11137</v>
      </c>
      <c r="P572" t="s">
        <v>11166</v>
      </c>
      <c r="R572" t="s">
        <v>11180</v>
      </c>
      <c r="S572" t="s">
        <v>9094</v>
      </c>
      <c r="T572" t="s">
        <v>11183</v>
      </c>
      <c r="V572" t="s">
        <v>986</v>
      </c>
      <c r="W572">
        <v>914.15</v>
      </c>
      <c r="X572" t="s">
        <v>11332</v>
      </c>
      <c r="Y572" t="s">
        <v>11338</v>
      </c>
      <c r="Z572" t="s">
        <v>11785</v>
      </c>
      <c r="AB572" t="s">
        <v>16249</v>
      </c>
      <c r="AC572">
        <v>16</v>
      </c>
      <c r="AD572" t="s">
        <v>19566</v>
      </c>
      <c r="AE572" t="s">
        <v>9144</v>
      </c>
      <c r="AF572">
        <v>17</v>
      </c>
      <c r="AG572">
        <v>3</v>
      </c>
      <c r="AH572">
        <v>0</v>
      </c>
      <c r="AI572">
        <v>15.95</v>
      </c>
      <c r="AJ572" t="s">
        <v>19596</v>
      </c>
      <c r="AL572" t="s">
        <v>19614</v>
      </c>
      <c r="AM572">
        <v>3216</v>
      </c>
      <c r="AN572" t="s">
        <v>19713</v>
      </c>
      <c r="AS572">
        <v>0</v>
      </c>
      <c r="AU572" t="s">
        <v>20636</v>
      </c>
    </row>
    <row r="573" spans="1:48">
      <c r="A573" s="1">
        <f>HYPERLINK("https://lsnyc.legalserver.org/matter/dynamic-profile/view/1881881","18-1881881")</f>
        <v>0</v>
      </c>
      <c r="B573" t="s">
        <v>139</v>
      </c>
      <c r="C573" t="s">
        <v>257</v>
      </c>
      <c r="D573" t="s">
        <v>514</v>
      </c>
      <c r="E573" t="s">
        <v>703</v>
      </c>
      <c r="F573" t="s">
        <v>1509</v>
      </c>
      <c r="G573" t="s">
        <v>3680</v>
      </c>
      <c r="H573" t="s">
        <v>6054</v>
      </c>
      <c r="I573" t="s">
        <v>8169</v>
      </c>
      <c r="J573" t="s">
        <v>9067</v>
      </c>
      <c r="K573">
        <v>10032</v>
      </c>
      <c r="L573" t="s">
        <v>9094</v>
      </c>
      <c r="M573" t="s">
        <v>9094</v>
      </c>
      <c r="O573" t="s">
        <v>11130</v>
      </c>
      <c r="P573" t="s">
        <v>11165</v>
      </c>
      <c r="Q573" t="s">
        <v>11176</v>
      </c>
      <c r="R573" t="s">
        <v>11180</v>
      </c>
      <c r="S573" t="s">
        <v>9096</v>
      </c>
      <c r="T573" t="s">
        <v>11183</v>
      </c>
      <c r="V573" t="s">
        <v>514</v>
      </c>
      <c r="W573">
        <v>762.59</v>
      </c>
      <c r="X573" t="s">
        <v>11335</v>
      </c>
      <c r="Y573" t="s">
        <v>11345</v>
      </c>
      <c r="Z573" t="s">
        <v>11786</v>
      </c>
      <c r="AB573" t="s">
        <v>16250</v>
      </c>
      <c r="AC573">
        <v>20</v>
      </c>
      <c r="AD573" t="s">
        <v>19566</v>
      </c>
      <c r="AE573" t="s">
        <v>9144</v>
      </c>
      <c r="AF573">
        <v>35</v>
      </c>
      <c r="AG573">
        <v>3</v>
      </c>
      <c r="AH573">
        <v>2</v>
      </c>
      <c r="AI573">
        <v>15.95</v>
      </c>
      <c r="AL573" t="s">
        <v>19614</v>
      </c>
      <c r="AM573">
        <v>4692</v>
      </c>
      <c r="AS573">
        <v>1.7</v>
      </c>
      <c r="AT573" t="s">
        <v>703</v>
      </c>
      <c r="AU573" t="s">
        <v>130</v>
      </c>
      <c r="AV573" t="s">
        <v>20733</v>
      </c>
    </row>
    <row r="574" spans="1:48">
      <c r="A574" s="1">
        <f>HYPERLINK("https://lsnyc.legalserver.org/matter/dynamic-profile/view/1905196","19-1905196")</f>
        <v>0</v>
      </c>
      <c r="B574" t="s">
        <v>136</v>
      </c>
      <c r="C574" t="s">
        <v>256</v>
      </c>
      <c r="D574" t="s">
        <v>414</v>
      </c>
      <c r="F574" t="s">
        <v>1510</v>
      </c>
      <c r="G574" t="s">
        <v>3332</v>
      </c>
      <c r="H574" t="s">
        <v>6055</v>
      </c>
      <c r="I574" t="s">
        <v>8229</v>
      </c>
      <c r="J574" t="s">
        <v>9067</v>
      </c>
      <c r="K574">
        <v>10024</v>
      </c>
      <c r="L574" t="s">
        <v>9094</v>
      </c>
      <c r="M574" t="s">
        <v>9095</v>
      </c>
      <c r="N574" t="s">
        <v>9371</v>
      </c>
      <c r="O574" t="s">
        <v>11134</v>
      </c>
      <c r="P574" t="s">
        <v>11168</v>
      </c>
      <c r="R574" t="s">
        <v>11180</v>
      </c>
      <c r="S574" t="s">
        <v>9094</v>
      </c>
      <c r="T574" t="s">
        <v>11183</v>
      </c>
      <c r="U574" t="s">
        <v>11201</v>
      </c>
      <c r="V574" t="s">
        <v>367</v>
      </c>
      <c r="W574">
        <v>875</v>
      </c>
      <c r="X574" t="s">
        <v>11335</v>
      </c>
      <c r="Y574" t="s">
        <v>11351</v>
      </c>
      <c r="Z574" t="s">
        <v>11787</v>
      </c>
      <c r="AB574" t="s">
        <v>16251</v>
      </c>
      <c r="AC574">
        <v>10</v>
      </c>
      <c r="AD574" t="s">
        <v>19566</v>
      </c>
      <c r="AE574" t="s">
        <v>19587</v>
      </c>
      <c r="AF574">
        <v>48</v>
      </c>
      <c r="AG574">
        <v>2</v>
      </c>
      <c r="AH574">
        <v>0</v>
      </c>
      <c r="AI574">
        <v>15.97</v>
      </c>
      <c r="AL574" t="s">
        <v>19614</v>
      </c>
      <c r="AM574">
        <v>2700</v>
      </c>
      <c r="AS574">
        <v>0</v>
      </c>
      <c r="AU574" t="s">
        <v>20657</v>
      </c>
      <c r="AV574" t="s">
        <v>20733</v>
      </c>
    </row>
    <row r="575" spans="1:48">
      <c r="A575" s="1">
        <f>HYPERLINK("https://lsnyc.legalserver.org/matter/dynamic-profile/view/1909633","19-1909633")</f>
        <v>0</v>
      </c>
      <c r="B575" t="s">
        <v>110</v>
      </c>
      <c r="C575" t="s">
        <v>256</v>
      </c>
      <c r="D575" t="s">
        <v>444</v>
      </c>
      <c r="F575" t="s">
        <v>1511</v>
      </c>
      <c r="G575" t="s">
        <v>1414</v>
      </c>
      <c r="H575" t="s">
        <v>6056</v>
      </c>
      <c r="I575" t="s">
        <v>8170</v>
      </c>
      <c r="J575" t="s">
        <v>9065</v>
      </c>
      <c r="K575">
        <v>10452</v>
      </c>
      <c r="L575" t="s">
        <v>9094</v>
      </c>
      <c r="M575" t="s">
        <v>9095</v>
      </c>
      <c r="O575" t="s">
        <v>9121</v>
      </c>
      <c r="P575" t="s">
        <v>11164</v>
      </c>
      <c r="R575" t="s">
        <v>11180</v>
      </c>
      <c r="S575" t="s">
        <v>9096</v>
      </c>
      <c r="T575" t="s">
        <v>11183</v>
      </c>
      <c r="W575">
        <v>100</v>
      </c>
      <c r="X575" t="s">
        <v>11333</v>
      </c>
      <c r="Y575" t="s">
        <v>11346</v>
      </c>
      <c r="Z575" t="s">
        <v>11788</v>
      </c>
      <c r="AB575" t="s">
        <v>16252</v>
      </c>
      <c r="AC575">
        <v>27</v>
      </c>
      <c r="AE575" t="s">
        <v>19580</v>
      </c>
      <c r="AF575">
        <v>25</v>
      </c>
      <c r="AG575">
        <v>1</v>
      </c>
      <c r="AH575">
        <v>0</v>
      </c>
      <c r="AI575">
        <v>15.99</v>
      </c>
      <c r="AL575" t="s">
        <v>19614</v>
      </c>
      <c r="AM575">
        <v>1997.28</v>
      </c>
      <c r="AS575">
        <v>1</v>
      </c>
      <c r="AT575" t="s">
        <v>273</v>
      </c>
      <c r="AU575" t="s">
        <v>110</v>
      </c>
      <c r="AV575" t="s">
        <v>20733</v>
      </c>
    </row>
    <row r="576" spans="1:48">
      <c r="A576" s="1">
        <f>HYPERLINK("https://lsnyc.legalserver.org/matter/dynamic-profile/view/1874522","18-1874522")</f>
        <v>0</v>
      </c>
      <c r="B576" t="s">
        <v>153</v>
      </c>
      <c r="C576" t="s">
        <v>256</v>
      </c>
      <c r="D576" t="s">
        <v>568</v>
      </c>
      <c r="F576" t="s">
        <v>1512</v>
      </c>
      <c r="G576" t="s">
        <v>3681</v>
      </c>
      <c r="H576" t="s">
        <v>6057</v>
      </c>
      <c r="I576" t="s">
        <v>8270</v>
      </c>
      <c r="J576" t="s">
        <v>9061</v>
      </c>
      <c r="K576">
        <v>11106</v>
      </c>
      <c r="L576" t="s">
        <v>9094</v>
      </c>
      <c r="M576" t="s">
        <v>9094</v>
      </c>
      <c r="N576" t="s">
        <v>9372</v>
      </c>
      <c r="O576" t="s">
        <v>11134</v>
      </c>
      <c r="P576" t="s">
        <v>11168</v>
      </c>
      <c r="R576" t="s">
        <v>11181</v>
      </c>
      <c r="S576" t="s">
        <v>9096</v>
      </c>
      <c r="T576" t="s">
        <v>11183</v>
      </c>
      <c r="U576" t="s">
        <v>11201</v>
      </c>
      <c r="V576" t="s">
        <v>568</v>
      </c>
      <c r="W576">
        <v>1100</v>
      </c>
      <c r="X576" t="s">
        <v>11331</v>
      </c>
      <c r="Y576" t="s">
        <v>11337</v>
      </c>
      <c r="Z576" t="s">
        <v>11789</v>
      </c>
      <c r="AB576" t="s">
        <v>16253</v>
      </c>
      <c r="AC576">
        <v>40</v>
      </c>
      <c r="AD576" t="s">
        <v>19566</v>
      </c>
      <c r="AE576" t="s">
        <v>9144</v>
      </c>
      <c r="AF576">
        <v>25</v>
      </c>
      <c r="AG576">
        <v>6</v>
      </c>
      <c r="AH576">
        <v>4</v>
      </c>
      <c r="AI576">
        <v>16.11</v>
      </c>
      <c r="AJ576" t="s">
        <v>19591</v>
      </c>
      <c r="AK576" t="s">
        <v>19608</v>
      </c>
      <c r="AL576" t="s">
        <v>19618</v>
      </c>
      <c r="AM576">
        <v>8220</v>
      </c>
      <c r="AS576">
        <v>15.65</v>
      </c>
      <c r="AT576" t="s">
        <v>703</v>
      </c>
      <c r="AU576" t="s">
        <v>20620</v>
      </c>
    </row>
    <row r="577" spans="1:48">
      <c r="A577" s="1">
        <f>HYPERLINK("https://lsnyc.legalserver.org/matter/dynamic-profile/view/1880204","18-1880204")</f>
        <v>0</v>
      </c>
      <c r="B577" t="s">
        <v>113</v>
      </c>
      <c r="C577" t="s">
        <v>257</v>
      </c>
      <c r="D577" t="s">
        <v>569</v>
      </c>
      <c r="E577" t="s">
        <v>321</v>
      </c>
      <c r="F577" t="s">
        <v>1303</v>
      </c>
      <c r="G577" t="s">
        <v>3418</v>
      </c>
      <c r="H577" t="s">
        <v>6058</v>
      </c>
      <c r="I577" t="s">
        <v>8169</v>
      </c>
      <c r="J577" t="s">
        <v>9065</v>
      </c>
      <c r="K577">
        <v>10459</v>
      </c>
      <c r="L577" t="s">
        <v>9094</v>
      </c>
      <c r="M577" t="s">
        <v>9094</v>
      </c>
      <c r="N577" t="s">
        <v>9373</v>
      </c>
      <c r="O577" t="s">
        <v>11129</v>
      </c>
      <c r="P577" t="s">
        <v>11165</v>
      </c>
      <c r="Q577" t="s">
        <v>11174</v>
      </c>
      <c r="R577" t="s">
        <v>11180</v>
      </c>
      <c r="S577" t="s">
        <v>9096</v>
      </c>
      <c r="T577" t="s">
        <v>11183</v>
      </c>
      <c r="V577" t="s">
        <v>569</v>
      </c>
      <c r="W577">
        <v>350</v>
      </c>
      <c r="X577" t="s">
        <v>11333</v>
      </c>
      <c r="Y577" t="s">
        <v>11336</v>
      </c>
      <c r="Z577" t="s">
        <v>11790</v>
      </c>
      <c r="AA577" t="s">
        <v>15369</v>
      </c>
      <c r="AB577" t="s">
        <v>16254</v>
      </c>
      <c r="AC577">
        <v>20</v>
      </c>
      <c r="AD577" t="s">
        <v>19569</v>
      </c>
      <c r="AE577" t="s">
        <v>9144</v>
      </c>
      <c r="AF577">
        <v>24</v>
      </c>
      <c r="AG577">
        <v>1</v>
      </c>
      <c r="AH577">
        <v>0</v>
      </c>
      <c r="AI577">
        <v>16.21</v>
      </c>
      <c r="AL577" t="s">
        <v>19614</v>
      </c>
      <c r="AM577">
        <v>1968</v>
      </c>
      <c r="AS577">
        <v>83.8</v>
      </c>
      <c r="AT577" t="s">
        <v>864</v>
      </c>
      <c r="AU577" t="s">
        <v>20644</v>
      </c>
    </row>
    <row r="578" spans="1:48">
      <c r="A578" s="1">
        <f>HYPERLINK("https://lsnyc.legalserver.org/matter/dynamic-profile/view/1905826","19-1905826")</f>
        <v>0</v>
      </c>
      <c r="B578" t="s">
        <v>93</v>
      </c>
      <c r="C578" t="s">
        <v>256</v>
      </c>
      <c r="D578" t="s">
        <v>426</v>
      </c>
      <c r="F578" t="s">
        <v>1177</v>
      </c>
      <c r="G578" t="s">
        <v>3220</v>
      </c>
      <c r="H578" t="s">
        <v>6059</v>
      </c>
      <c r="I578" t="s">
        <v>8168</v>
      </c>
      <c r="J578" t="s">
        <v>9059</v>
      </c>
      <c r="K578">
        <v>11212</v>
      </c>
      <c r="L578" t="s">
        <v>9094</v>
      </c>
      <c r="M578" t="s">
        <v>9095</v>
      </c>
      <c r="N578" t="s">
        <v>9184</v>
      </c>
      <c r="O578" t="s">
        <v>11132</v>
      </c>
      <c r="P578" t="s">
        <v>11167</v>
      </c>
      <c r="R578" t="s">
        <v>11180</v>
      </c>
      <c r="S578" t="s">
        <v>9094</v>
      </c>
      <c r="T578" t="s">
        <v>11186</v>
      </c>
      <c r="U578" t="s">
        <v>11201</v>
      </c>
      <c r="V578" t="s">
        <v>512</v>
      </c>
      <c r="W578">
        <v>873</v>
      </c>
      <c r="X578" t="s">
        <v>11332</v>
      </c>
      <c r="Y578" t="s">
        <v>11340</v>
      </c>
      <c r="Z578" t="s">
        <v>11791</v>
      </c>
      <c r="AA578" t="s">
        <v>15370</v>
      </c>
      <c r="AB578" t="s">
        <v>16255</v>
      </c>
      <c r="AC578">
        <v>10</v>
      </c>
      <c r="AD578" t="s">
        <v>19566</v>
      </c>
      <c r="AE578" t="s">
        <v>19588</v>
      </c>
      <c r="AF578">
        <v>1</v>
      </c>
      <c r="AG578">
        <v>1</v>
      </c>
      <c r="AH578">
        <v>0</v>
      </c>
      <c r="AI578">
        <v>16.24</v>
      </c>
      <c r="AL578" t="s">
        <v>19614</v>
      </c>
      <c r="AM578">
        <v>2028</v>
      </c>
      <c r="AN578" t="s">
        <v>19714</v>
      </c>
      <c r="AS578">
        <v>0</v>
      </c>
      <c r="AU578" t="s">
        <v>95</v>
      </c>
      <c r="AV578" t="s">
        <v>20733</v>
      </c>
    </row>
    <row r="579" spans="1:48">
      <c r="A579" s="1">
        <f>HYPERLINK("https://lsnyc.legalserver.org/matter/dynamic-profile/view/1905831","19-1905831")</f>
        <v>0</v>
      </c>
      <c r="B579" t="s">
        <v>93</v>
      </c>
      <c r="C579" t="s">
        <v>256</v>
      </c>
      <c r="D579" t="s">
        <v>426</v>
      </c>
      <c r="F579" t="s">
        <v>1177</v>
      </c>
      <c r="G579" t="s">
        <v>3220</v>
      </c>
      <c r="H579" t="s">
        <v>6059</v>
      </c>
      <c r="I579" t="s">
        <v>8168</v>
      </c>
      <c r="J579" t="s">
        <v>9059</v>
      </c>
      <c r="K579">
        <v>11212</v>
      </c>
      <c r="L579" t="s">
        <v>9094</v>
      </c>
      <c r="M579" t="s">
        <v>9095</v>
      </c>
      <c r="N579" t="s">
        <v>9374</v>
      </c>
      <c r="O579" t="s">
        <v>11129</v>
      </c>
      <c r="P579" t="s">
        <v>11165</v>
      </c>
      <c r="R579" t="s">
        <v>11180</v>
      </c>
      <c r="S579" t="s">
        <v>9094</v>
      </c>
      <c r="T579" t="s">
        <v>11183</v>
      </c>
      <c r="U579" t="s">
        <v>11201</v>
      </c>
      <c r="V579" t="s">
        <v>512</v>
      </c>
      <c r="W579">
        <v>873</v>
      </c>
      <c r="X579" t="s">
        <v>11332</v>
      </c>
      <c r="Y579" t="s">
        <v>11340</v>
      </c>
      <c r="Z579" t="s">
        <v>11791</v>
      </c>
      <c r="AA579" t="s">
        <v>15370</v>
      </c>
      <c r="AB579" t="s">
        <v>16255</v>
      </c>
      <c r="AC579">
        <v>10</v>
      </c>
      <c r="AD579" t="s">
        <v>19566</v>
      </c>
      <c r="AE579" t="s">
        <v>19588</v>
      </c>
      <c r="AF579">
        <v>1</v>
      </c>
      <c r="AG579">
        <v>1</v>
      </c>
      <c r="AH579">
        <v>0</v>
      </c>
      <c r="AI579">
        <v>16.24</v>
      </c>
      <c r="AL579" t="s">
        <v>19614</v>
      </c>
      <c r="AM579">
        <v>2028</v>
      </c>
      <c r="AN579" t="s">
        <v>19714</v>
      </c>
      <c r="AS579">
        <v>0.7</v>
      </c>
      <c r="AT579" t="s">
        <v>676</v>
      </c>
      <c r="AU579" t="s">
        <v>95</v>
      </c>
      <c r="AV579" t="s">
        <v>20733</v>
      </c>
    </row>
    <row r="580" spans="1:48">
      <c r="A580" s="1">
        <f>HYPERLINK("https://lsnyc.legalserver.org/matter/dynamic-profile/view/1895370","19-1895370")</f>
        <v>0</v>
      </c>
      <c r="B580" t="s">
        <v>93</v>
      </c>
      <c r="C580" t="s">
        <v>256</v>
      </c>
      <c r="D580" t="s">
        <v>264</v>
      </c>
      <c r="F580" t="s">
        <v>1177</v>
      </c>
      <c r="G580" t="s">
        <v>3220</v>
      </c>
      <c r="H580" t="s">
        <v>6059</v>
      </c>
      <c r="I580" t="s">
        <v>8168</v>
      </c>
      <c r="J580" t="s">
        <v>9059</v>
      </c>
      <c r="K580">
        <v>11212</v>
      </c>
      <c r="L580" t="s">
        <v>9094</v>
      </c>
      <c r="M580" t="s">
        <v>9094</v>
      </c>
      <c r="N580" t="s">
        <v>9182</v>
      </c>
      <c r="O580" t="s">
        <v>11141</v>
      </c>
      <c r="P580" t="s">
        <v>11170</v>
      </c>
      <c r="R580" t="s">
        <v>11180</v>
      </c>
      <c r="S580" t="s">
        <v>9094</v>
      </c>
      <c r="T580" t="s">
        <v>11183</v>
      </c>
      <c r="V580" t="s">
        <v>264</v>
      </c>
      <c r="W580">
        <v>8730</v>
      </c>
      <c r="X580" t="s">
        <v>11332</v>
      </c>
      <c r="Y580" t="s">
        <v>11350</v>
      </c>
      <c r="Z580" t="s">
        <v>11791</v>
      </c>
      <c r="AA580" t="s">
        <v>15371</v>
      </c>
      <c r="AB580" t="s">
        <v>16255</v>
      </c>
      <c r="AC580">
        <v>10</v>
      </c>
      <c r="AD580" t="s">
        <v>19566</v>
      </c>
      <c r="AE580" t="s">
        <v>19588</v>
      </c>
      <c r="AF580">
        <v>1</v>
      </c>
      <c r="AG580">
        <v>1</v>
      </c>
      <c r="AH580">
        <v>0</v>
      </c>
      <c r="AI580">
        <v>16.24</v>
      </c>
      <c r="AL580" t="s">
        <v>19614</v>
      </c>
      <c r="AM580">
        <v>2028</v>
      </c>
      <c r="AS580">
        <v>0</v>
      </c>
      <c r="AU580" t="s">
        <v>79</v>
      </c>
    </row>
    <row r="581" spans="1:48">
      <c r="A581" s="1">
        <f>HYPERLINK("https://lsnyc.legalserver.org/matter/dynamic-profile/view/1892268","19-1892268")</f>
        <v>0</v>
      </c>
      <c r="B581" t="s">
        <v>115</v>
      </c>
      <c r="C581" t="s">
        <v>256</v>
      </c>
      <c r="D581" t="s">
        <v>473</v>
      </c>
      <c r="F581" t="s">
        <v>1464</v>
      </c>
      <c r="G581" t="s">
        <v>3682</v>
      </c>
      <c r="H581" t="s">
        <v>6060</v>
      </c>
      <c r="I581" t="s">
        <v>8216</v>
      </c>
      <c r="J581" t="s">
        <v>9065</v>
      </c>
      <c r="K581">
        <v>10452</v>
      </c>
      <c r="L581" t="s">
        <v>9094</v>
      </c>
      <c r="M581" t="s">
        <v>9094</v>
      </c>
      <c r="P581" t="s">
        <v>11164</v>
      </c>
      <c r="R581" t="s">
        <v>11180</v>
      </c>
      <c r="T581" t="s">
        <v>11183</v>
      </c>
      <c r="V581" t="s">
        <v>473</v>
      </c>
      <c r="W581">
        <v>0</v>
      </c>
      <c r="X581" t="s">
        <v>11333</v>
      </c>
      <c r="Y581" t="s">
        <v>11339</v>
      </c>
      <c r="Z581" t="s">
        <v>11792</v>
      </c>
      <c r="AB581" t="s">
        <v>16256</v>
      </c>
      <c r="AC581">
        <v>0</v>
      </c>
      <c r="AE581" t="s">
        <v>11157</v>
      </c>
      <c r="AF581">
        <v>7</v>
      </c>
      <c r="AG581">
        <v>2</v>
      </c>
      <c r="AH581">
        <v>2</v>
      </c>
      <c r="AI581">
        <v>16.31</v>
      </c>
      <c r="AL581" t="s">
        <v>19614</v>
      </c>
      <c r="AM581">
        <v>4200</v>
      </c>
      <c r="AS581">
        <v>1.5</v>
      </c>
      <c r="AT581" t="s">
        <v>1063</v>
      </c>
      <c r="AU581" t="s">
        <v>115</v>
      </c>
    </row>
    <row r="582" spans="1:48">
      <c r="A582" s="1">
        <f>HYPERLINK("https://lsnyc.legalserver.org/matter/dynamic-profile/view/1911111","19-1911111")</f>
        <v>0</v>
      </c>
      <c r="B582" t="s">
        <v>95</v>
      </c>
      <c r="C582" t="s">
        <v>256</v>
      </c>
      <c r="D582" t="s">
        <v>336</v>
      </c>
      <c r="F582" t="s">
        <v>1492</v>
      </c>
      <c r="G582" t="s">
        <v>3398</v>
      </c>
      <c r="H582" t="s">
        <v>6061</v>
      </c>
      <c r="I582">
        <v>3</v>
      </c>
      <c r="J582" t="s">
        <v>9059</v>
      </c>
      <c r="K582">
        <v>11207</v>
      </c>
      <c r="L582" t="s">
        <v>9095</v>
      </c>
      <c r="M582" t="s">
        <v>9095</v>
      </c>
      <c r="O582" t="s">
        <v>9121</v>
      </c>
      <c r="P582" t="s">
        <v>11164</v>
      </c>
      <c r="R582" t="s">
        <v>11180</v>
      </c>
      <c r="S582" t="s">
        <v>9096</v>
      </c>
      <c r="T582" t="s">
        <v>11184</v>
      </c>
      <c r="W582">
        <v>1900</v>
      </c>
      <c r="X582" t="s">
        <v>11332</v>
      </c>
      <c r="Y582" t="s">
        <v>11352</v>
      </c>
      <c r="Z582" t="s">
        <v>11793</v>
      </c>
      <c r="AB582" t="s">
        <v>16257</v>
      </c>
      <c r="AC582">
        <v>4</v>
      </c>
      <c r="AD582" t="s">
        <v>19565</v>
      </c>
      <c r="AE582" t="s">
        <v>9144</v>
      </c>
      <c r="AF582">
        <v>1</v>
      </c>
      <c r="AG582">
        <v>1</v>
      </c>
      <c r="AH582">
        <v>2</v>
      </c>
      <c r="AI582">
        <v>16.32</v>
      </c>
      <c r="AL582" t="s">
        <v>19614</v>
      </c>
      <c r="AM582">
        <v>3480</v>
      </c>
      <c r="AS582">
        <v>0.75</v>
      </c>
      <c r="AT582" t="s">
        <v>1130</v>
      </c>
      <c r="AU582" t="s">
        <v>20635</v>
      </c>
    </row>
    <row r="583" spans="1:48">
      <c r="A583" s="1">
        <f>HYPERLINK("https://lsnyc.legalserver.org/matter/dynamic-profile/view/1912231","19-1912231")</f>
        <v>0</v>
      </c>
      <c r="B583" t="s">
        <v>49</v>
      </c>
      <c r="C583" t="s">
        <v>256</v>
      </c>
      <c r="D583" t="s">
        <v>570</v>
      </c>
      <c r="F583" t="s">
        <v>1367</v>
      </c>
      <c r="G583" t="s">
        <v>3683</v>
      </c>
      <c r="H583" t="s">
        <v>6062</v>
      </c>
      <c r="I583" t="s">
        <v>8209</v>
      </c>
      <c r="J583" t="s">
        <v>9046</v>
      </c>
      <c r="K583">
        <v>11415</v>
      </c>
      <c r="L583" t="s">
        <v>9094</v>
      </c>
      <c r="M583" t="s">
        <v>9095</v>
      </c>
      <c r="N583" t="s">
        <v>9375</v>
      </c>
      <c r="O583" t="s">
        <v>11129</v>
      </c>
      <c r="P583" t="s">
        <v>11164</v>
      </c>
      <c r="R583" t="s">
        <v>11180</v>
      </c>
      <c r="S583" t="s">
        <v>9096</v>
      </c>
      <c r="T583" t="s">
        <v>11183</v>
      </c>
      <c r="U583" t="s">
        <v>11199</v>
      </c>
      <c r="V583" t="s">
        <v>570</v>
      </c>
      <c r="W583">
        <v>1467.75</v>
      </c>
      <c r="X583" t="s">
        <v>11331</v>
      </c>
      <c r="Y583" t="s">
        <v>11336</v>
      </c>
      <c r="Z583" t="s">
        <v>11782</v>
      </c>
      <c r="AA583" t="s">
        <v>15372</v>
      </c>
      <c r="AB583" t="s">
        <v>16258</v>
      </c>
      <c r="AC583">
        <v>60</v>
      </c>
      <c r="AD583" t="s">
        <v>19566</v>
      </c>
      <c r="AE583" t="s">
        <v>19585</v>
      </c>
      <c r="AF583">
        <v>2</v>
      </c>
      <c r="AG583">
        <v>1</v>
      </c>
      <c r="AH583">
        <v>0</v>
      </c>
      <c r="AI583">
        <v>16.33</v>
      </c>
      <c r="AL583" t="s">
        <v>19614</v>
      </c>
      <c r="AM583">
        <v>2040</v>
      </c>
      <c r="AS583">
        <v>1.78</v>
      </c>
      <c r="AT583" t="s">
        <v>833</v>
      </c>
      <c r="AU583" t="s">
        <v>20619</v>
      </c>
      <c r="AV583" t="s">
        <v>20733</v>
      </c>
    </row>
    <row r="584" spans="1:48">
      <c r="A584" s="1">
        <f>HYPERLINK("https://lsnyc.legalserver.org/matter/dynamic-profile/view/1907304","19-1907304")</f>
        <v>0</v>
      </c>
      <c r="B584" t="s">
        <v>86</v>
      </c>
      <c r="C584" t="s">
        <v>256</v>
      </c>
      <c r="D584" t="s">
        <v>275</v>
      </c>
      <c r="F584" t="s">
        <v>1146</v>
      </c>
      <c r="G584" t="s">
        <v>3684</v>
      </c>
      <c r="H584" t="s">
        <v>5786</v>
      </c>
      <c r="I584" t="s">
        <v>8299</v>
      </c>
      <c r="J584" t="s">
        <v>9059</v>
      </c>
      <c r="K584">
        <v>11225</v>
      </c>
      <c r="L584" t="s">
        <v>9094</v>
      </c>
      <c r="M584" t="s">
        <v>9095</v>
      </c>
      <c r="O584" t="s">
        <v>11137</v>
      </c>
      <c r="P584" t="s">
        <v>11166</v>
      </c>
      <c r="R584" t="s">
        <v>11180</v>
      </c>
      <c r="S584" t="s">
        <v>9094</v>
      </c>
      <c r="T584" t="s">
        <v>11183</v>
      </c>
      <c r="V584" t="s">
        <v>275</v>
      </c>
      <c r="W584">
        <v>0</v>
      </c>
      <c r="X584" t="s">
        <v>11332</v>
      </c>
      <c r="Z584" t="s">
        <v>11794</v>
      </c>
      <c r="AB584" t="s">
        <v>16259</v>
      </c>
      <c r="AC584">
        <v>46</v>
      </c>
      <c r="AF584">
        <v>0</v>
      </c>
      <c r="AG584">
        <v>3</v>
      </c>
      <c r="AH584">
        <v>0</v>
      </c>
      <c r="AI584">
        <v>16.37</v>
      </c>
      <c r="AL584" t="s">
        <v>19615</v>
      </c>
      <c r="AM584">
        <v>3492</v>
      </c>
      <c r="AS584">
        <v>0</v>
      </c>
      <c r="AU584" t="s">
        <v>215</v>
      </c>
    </row>
    <row r="585" spans="1:48">
      <c r="A585" s="1">
        <f>HYPERLINK("https://lsnyc.legalserver.org/matter/dynamic-profile/view/1912883","19-1912883")</f>
        <v>0</v>
      </c>
      <c r="B585" t="s">
        <v>99</v>
      </c>
      <c r="C585" t="s">
        <v>256</v>
      </c>
      <c r="D585" t="s">
        <v>563</v>
      </c>
      <c r="F585" t="s">
        <v>1513</v>
      </c>
      <c r="G585" t="s">
        <v>3685</v>
      </c>
      <c r="H585" t="s">
        <v>6063</v>
      </c>
      <c r="I585" t="s">
        <v>8300</v>
      </c>
      <c r="J585" t="s">
        <v>9065</v>
      </c>
      <c r="K585">
        <v>10452</v>
      </c>
      <c r="L585" t="s">
        <v>9094</v>
      </c>
      <c r="M585" t="s">
        <v>9095</v>
      </c>
      <c r="O585" t="s">
        <v>9121</v>
      </c>
      <c r="P585" t="s">
        <v>11169</v>
      </c>
      <c r="R585" t="s">
        <v>11180</v>
      </c>
      <c r="S585" t="s">
        <v>9096</v>
      </c>
      <c r="T585" t="s">
        <v>11183</v>
      </c>
      <c r="W585">
        <v>174</v>
      </c>
      <c r="X585" t="s">
        <v>11333</v>
      </c>
      <c r="Y585" t="s">
        <v>11346</v>
      </c>
      <c r="Z585" t="s">
        <v>11795</v>
      </c>
      <c r="AB585" t="s">
        <v>16260</v>
      </c>
      <c r="AC585">
        <v>149</v>
      </c>
      <c r="AD585" t="s">
        <v>19566</v>
      </c>
      <c r="AE585" t="s">
        <v>19580</v>
      </c>
      <c r="AF585">
        <v>18</v>
      </c>
      <c r="AG585">
        <v>2</v>
      </c>
      <c r="AH585">
        <v>0</v>
      </c>
      <c r="AI585">
        <v>16.57</v>
      </c>
      <c r="AL585" t="s">
        <v>19615</v>
      </c>
      <c r="AM585">
        <v>2802</v>
      </c>
      <c r="AS585">
        <v>1</v>
      </c>
      <c r="AT585" t="s">
        <v>487</v>
      </c>
      <c r="AU585" t="s">
        <v>99</v>
      </c>
      <c r="AV585" t="s">
        <v>20733</v>
      </c>
    </row>
    <row r="586" spans="1:48">
      <c r="A586" s="1">
        <f>HYPERLINK("https://lsnyc.legalserver.org/matter/dynamic-profile/view/0805079","16-0805079")</f>
        <v>0</v>
      </c>
      <c r="B586" t="s">
        <v>56</v>
      </c>
      <c r="C586" t="s">
        <v>256</v>
      </c>
      <c r="D586" t="s">
        <v>417</v>
      </c>
      <c r="F586" t="s">
        <v>1514</v>
      </c>
      <c r="G586" t="s">
        <v>2330</v>
      </c>
      <c r="H586" t="s">
        <v>5849</v>
      </c>
      <c r="I586" t="s">
        <v>8117</v>
      </c>
      <c r="J586" t="s">
        <v>9063</v>
      </c>
      <c r="K586">
        <v>11101</v>
      </c>
      <c r="L586" t="s">
        <v>9096</v>
      </c>
      <c r="M586" t="s">
        <v>9095</v>
      </c>
      <c r="N586" t="s">
        <v>9376</v>
      </c>
      <c r="O586" t="s">
        <v>11132</v>
      </c>
      <c r="P586" t="s">
        <v>11165</v>
      </c>
      <c r="R586" t="s">
        <v>11180</v>
      </c>
      <c r="S586" t="s">
        <v>9096</v>
      </c>
      <c r="T586" t="s">
        <v>11183</v>
      </c>
      <c r="V586" t="s">
        <v>417</v>
      </c>
      <c r="W586">
        <v>2600</v>
      </c>
      <c r="X586" t="s">
        <v>11331</v>
      </c>
      <c r="Y586" t="s">
        <v>11342</v>
      </c>
      <c r="Z586" t="s">
        <v>11796</v>
      </c>
      <c r="AB586" t="s">
        <v>16261</v>
      </c>
      <c r="AC586">
        <v>8</v>
      </c>
      <c r="AD586" t="s">
        <v>15441</v>
      </c>
      <c r="AE586" t="s">
        <v>9144</v>
      </c>
      <c r="AF586">
        <v>2</v>
      </c>
      <c r="AG586">
        <v>1</v>
      </c>
      <c r="AH586">
        <v>0</v>
      </c>
      <c r="AI586">
        <v>16.61</v>
      </c>
      <c r="AL586" t="s">
        <v>19614</v>
      </c>
      <c r="AM586">
        <v>1973</v>
      </c>
      <c r="AS586">
        <v>4.61</v>
      </c>
      <c r="AT586" t="s">
        <v>19592</v>
      </c>
      <c r="AU586" t="s">
        <v>20641</v>
      </c>
    </row>
    <row r="587" spans="1:48">
      <c r="A587" s="1">
        <f>HYPERLINK("https://lsnyc.legalserver.org/matter/dynamic-profile/view/1910742","19-1910742")</f>
        <v>0</v>
      </c>
      <c r="B587" t="s">
        <v>55</v>
      </c>
      <c r="C587" t="s">
        <v>256</v>
      </c>
      <c r="D587" t="s">
        <v>307</v>
      </c>
      <c r="F587" t="s">
        <v>1515</v>
      </c>
      <c r="G587" t="s">
        <v>3686</v>
      </c>
      <c r="H587" t="s">
        <v>6064</v>
      </c>
      <c r="I587" t="s">
        <v>8124</v>
      </c>
      <c r="J587" t="s">
        <v>9069</v>
      </c>
      <c r="K587">
        <v>11428</v>
      </c>
      <c r="L587" t="s">
        <v>9094</v>
      </c>
      <c r="M587" t="s">
        <v>9095</v>
      </c>
      <c r="N587" t="s">
        <v>9377</v>
      </c>
      <c r="O587" t="s">
        <v>11128</v>
      </c>
      <c r="P587" t="s">
        <v>11165</v>
      </c>
      <c r="R587" t="s">
        <v>11180</v>
      </c>
      <c r="S587" t="s">
        <v>9096</v>
      </c>
      <c r="T587" t="s">
        <v>11183</v>
      </c>
      <c r="U587" t="s">
        <v>11201</v>
      </c>
      <c r="V587" t="s">
        <v>307</v>
      </c>
      <c r="W587">
        <v>600</v>
      </c>
      <c r="X587" t="s">
        <v>11331</v>
      </c>
      <c r="Y587" t="s">
        <v>11336</v>
      </c>
      <c r="Z587" t="s">
        <v>11797</v>
      </c>
      <c r="AB587" t="s">
        <v>16262</v>
      </c>
      <c r="AC587">
        <v>3</v>
      </c>
      <c r="AD587" t="s">
        <v>15441</v>
      </c>
      <c r="AE587" t="s">
        <v>9144</v>
      </c>
      <c r="AF587">
        <v>6</v>
      </c>
      <c r="AG587">
        <v>1</v>
      </c>
      <c r="AH587">
        <v>0</v>
      </c>
      <c r="AI587">
        <v>16.65</v>
      </c>
      <c r="AL587" t="s">
        <v>19614</v>
      </c>
      <c r="AM587">
        <v>2080</v>
      </c>
      <c r="AP587" t="s">
        <v>11157</v>
      </c>
      <c r="AS587">
        <v>5.1</v>
      </c>
      <c r="AT587" t="s">
        <v>632</v>
      </c>
      <c r="AU587" t="s">
        <v>20620</v>
      </c>
      <c r="AV587" t="s">
        <v>20733</v>
      </c>
    </row>
    <row r="588" spans="1:48">
      <c r="A588" s="1">
        <f>HYPERLINK("https://lsnyc.legalserver.org/matter/dynamic-profile/view/0821448","16-0821448")</f>
        <v>0</v>
      </c>
      <c r="B588" t="s">
        <v>104</v>
      </c>
      <c r="C588" t="s">
        <v>256</v>
      </c>
      <c r="D588" t="s">
        <v>571</v>
      </c>
      <c r="F588" t="s">
        <v>1140</v>
      </c>
      <c r="G588" t="s">
        <v>3687</v>
      </c>
      <c r="H588" t="s">
        <v>5855</v>
      </c>
      <c r="I588" t="s">
        <v>8132</v>
      </c>
      <c r="J588" t="s">
        <v>9065</v>
      </c>
      <c r="K588">
        <v>10467</v>
      </c>
      <c r="L588" t="s">
        <v>9094</v>
      </c>
      <c r="M588" t="s">
        <v>9095</v>
      </c>
      <c r="N588" t="s">
        <v>9378</v>
      </c>
      <c r="O588" t="s">
        <v>11143</v>
      </c>
      <c r="P588" t="s">
        <v>11165</v>
      </c>
      <c r="R588" t="s">
        <v>11180</v>
      </c>
      <c r="S588" t="s">
        <v>9094</v>
      </c>
      <c r="T588" t="s">
        <v>11183</v>
      </c>
      <c r="V588" t="s">
        <v>926</v>
      </c>
      <c r="W588">
        <v>1484</v>
      </c>
      <c r="X588" t="s">
        <v>11333</v>
      </c>
      <c r="Y588" t="s">
        <v>11338</v>
      </c>
      <c r="Z588" t="s">
        <v>11798</v>
      </c>
      <c r="AA588" t="s">
        <v>15373</v>
      </c>
      <c r="AB588" t="s">
        <v>16263</v>
      </c>
      <c r="AC588">
        <v>30</v>
      </c>
      <c r="AD588" t="s">
        <v>19566</v>
      </c>
      <c r="AE588" t="s">
        <v>19580</v>
      </c>
      <c r="AF588">
        <v>6</v>
      </c>
      <c r="AG588">
        <v>2</v>
      </c>
      <c r="AH588">
        <v>1</v>
      </c>
      <c r="AI588">
        <v>16.67</v>
      </c>
      <c r="AJ588" t="s">
        <v>865</v>
      </c>
      <c r="AL588" t="s">
        <v>19614</v>
      </c>
      <c r="AM588">
        <v>3360</v>
      </c>
      <c r="AS588">
        <v>0.2</v>
      </c>
      <c r="AT588" t="s">
        <v>753</v>
      </c>
      <c r="AU588" t="s">
        <v>20650</v>
      </c>
    </row>
    <row r="589" spans="1:48">
      <c r="A589" s="1">
        <f>HYPERLINK("https://lsnyc.legalserver.org/matter/dynamic-profile/view/1874395","18-1874395")</f>
        <v>0</v>
      </c>
      <c r="B589" t="s">
        <v>94</v>
      </c>
      <c r="C589" t="s">
        <v>257</v>
      </c>
      <c r="D589" t="s">
        <v>260</v>
      </c>
      <c r="E589" t="s">
        <v>333</v>
      </c>
      <c r="F589" t="s">
        <v>1177</v>
      </c>
      <c r="G589" t="s">
        <v>3220</v>
      </c>
      <c r="H589" t="s">
        <v>6059</v>
      </c>
      <c r="I589" t="s">
        <v>8168</v>
      </c>
      <c r="J589" t="s">
        <v>9059</v>
      </c>
      <c r="K589">
        <v>11212</v>
      </c>
      <c r="L589" t="s">
        <v>9094</v>
      </c>
      <c r="M589" t="s">
        <v>9094</v>
      </c>
      <c r="N589" t="s">
        <v>9379</v>
      </c>
      <c r="O589" t="s">
        <v>11129</v>
      </c>
      <c r="P589" t="s">
        <v>11165</v>
      </c>
      <c r="Q589" t="s">
        <v>11172</v>
      </c>
      <c r="R589" t="s">
        <v>11180</v>
      </c>
      <c r="S589" t="s">
        <v>9096</v>
      </c>
      <c r="T589" t="s">
        <v>11183</v>
      </c>
      <c r="U589" t="s">
        <v>11201</v>
      </c>
      <c r="V589" t="s">
        <v>11211</v>
      </c>
      <c r="W589">
        <v>873</v>
      </c>
      <c r="X589" t="s">
        <v>11332</v>
      </c>
      <c r="Y589" t="s">
        <v>11350</v>
      </c>
      <c r="Z589" t="s">
        <v>11791</v>
      </c>
      <c r="AA589" t="s">
        <v>15370</v>
      </c>
      <c r="AB589" t="s">
        <v>16255</v>
      </c>
      <c r="AC589">
        <v>10</v>
      </c>
      <c r="AD589" t="s">
        <v>19566</v>
      </c>
      <c r="AE589" t="s">
        <v>19588</v>
      </c>
      <c r="AF589">
        <v>1</v>
      </c>
      <c r="AG589">
        <v>1</v>
      </c>
      <c r="AH589">
        <v>0</v>
      </c>
      <c r="AI589">
        <v>16.71</v>
      </c>
      <c r="AL589" t="s">
        <v>19614</v>
      </c>
      <c r="AM589">
        <v>2028</v>
      </c>
      <c r="AN589" t="s">
        <v>19715</v>
      </c>
      <c r="AO589" t="s">
        <v>20290</v>
      </c>
      <c r="AP589" t="s">
        <v>11157</v>
      </c>
      <c r="AQ589" t="s">
        <v>20369</v>
      </c>
      <c r="AS589">
        <v>47.25</v>
      </c>
      <c r="AT589" t="s">
        <v>333</v>
      </c>
      <c r="AU589" t="s">
        <v>95</v>
      </c>
    </row>
    <row r="590" spans="1:48">
      <c r="A590" s="1">
        <f>HYPERLINK("https://lsnyc.legalserver.org/matter/dynamic-profile/view/1863821","18-1863821")</f>
        <v>0</v>
      </c>
      <c r="B590" t="s">
        <v>138</v>
      </c>
      <c r="C590" t="s">
        <v>256</v>
      </c>
      <c r="D590" t="s">
        <v>504</v>
      </c>
      <c r="F590" t="s">
        <v>1516</v>
      </c>
      <c r="G590" t="s">
        <v>3688</v>
      </c>
      <c r="H590" t="s">
        <v>6065</v>
      </c>
      <c r="I590">
        <v>10</v>
      </c>
      <c r="J590" t="s">
        <v>9067</v>
      </c>
      <c r="K590">
        <v>10031</v>
      </c>
      <c r="L590" t="s">
        <v>9094</v>
      </c>
      <c r="M590" t="s">
        <v>9095</v>
      </c>
      <c r="O590" t="s">
        <v>9121</v>
      </c>
      <c r="P590" t="s">
        <v>11166</v>
      </c>
      <c r="R590" t="s">
        <v>11181</v>
      </c>
      <c r="T590" t="s">
        <v>11183</v>
      </c>
      <c r="V590" t="s">
        <v>469</v>
      </c>
      <c r="W590">
        <v>1681</v>
      </c>
      <c r="X590" t="s">
        <v>11335</v>
      </c>
      <c r="Y590" t="s">
        <v>11337</v>
      </c>
      <c r="Z590" t="s">
        <v>11799</v>
      </c>
      <c r="AA590" t="s">
        <v>15374</v>
      </c>
      <c r="AC590">
        <v>25</v>
      </c>
      <c r="AD590" t="s">
        <v>19566</v>
      </c>
      <c r="AE590" t="s">
        <v>9144</v>
      </c>
      <c r="AF590">
        <v>14</v>
      </c>
      <c r="AG590">
        <v>1</v>
      </c>
      <c r="AH590">
        <v>2</v>
      </c>
      <c r="AI590">
        <v>16.75</v>
      </c>
      <c r="AJ590" t="s">
        <v>19591</v>
      </c>
      <c r="AK590" t="s">
        <v>19608</v>
      </c>
      <c r="AL590" t="s">
        <v>19615</v>
      </c>
      <c r="AM590">
        <v>3480</v>
      </c>
      <c r="AS590">
        <v>124.35</v>
      </c>
      <c r="AT590" t="s">
        <v>728</v>
      </c>
      <c r="AU590" t="s">
        <v>20669</v>
      </c>
    </row>
    <row r="591" spans="1:48">
      <c r="A591" s="1">
        <f>HYPERLINK("https://lsnyc.legalserver.org/matter/dynamic-profile/view/1879187","18-1879187")</f>
        <v>0</v>
      </c>
      <c r="B591" t="s">
        <v>119</v>
      </c>
      <c r="C591" t="s">
        <v>257</v>
      </c>
      <c r="D591" t="s">
        <v>572</v>
      </c>
      <c r="E591" t="s">
        <v>301</v>
      </c>
      <c r="F591" t="s">
        <v>1517</v>
      </c>
      <c r="G591" t="s">
        <v>3689</v>
      </c>
      <c r="H591" t="s">
        <v>6066</v>
      </c>
      <c r="I591" t="s">
        <v>8171</v>
      </c>
      <c r="J591" t="s">
        <v>9065</v>
      </c>
      <c r="K591">
        <v>10452</v>
      </c>
      <c r="L591" t="s">
        <v>9094</v>
      </c>
      <c r="M591" t="s">
        <v>9094</v>
      </c>
      <c r="N591" t="s">
        <v>9380</v>
      </c>
      <c r="O591" t="s">
        <v>11129</v>
      </c>
      <c r="P591" t="s">
        <v>11164</v>
      </c>
      <c r="Q591" t="s">
        <v>11172</v>
      </c>
      <c r="R591" t="s">
        <v>11180</v>
      </c>
      <c r="S591" t="s">
        <v>9096</v>
      </c>
      <c r="T591" t="s">
        <v>11183</v>
      </c>
      <c r="V591" t="s">
        <v>569</v>
      </c>
      <c r="W591">
        <v>1342.11</v>
      </c>
      <c r="X591" t="s">
        <v>11333</v>
      </c>
      <c r="Y591" t="s">
        <v>11354</v>
      </c>
      <c r="Z591" t="s">
        <v>11800</v>
      </c>
      <c r="AA591" t="s">
        <v>15375</v>
      </c>
      <c r="AB591" t="s">
        <v>16264</v>
      </c>
      <c r="AC591">
        <v>6</v>
      </c>
      <c r="AD591" t="s">
        <v>19566</v>
      </c>
      <c r="AE591" t="s">
        <v>9144</v>
      </c>
      <c r="AF591">
        <v>22</v>
      </c>
      <c r="AG591">
        <v>1</v>
      </c>
      <c r="AH591">
        <v>1</v>
      </c>
      <c r="AI591">
        <v>16.77</v>
      </c>
      <c r="AL591" t="s">
        <v>19614</v>
      </c>
      <c r="AM591">
        <v>2760</v>
      </c>
      <c r="AS591">
        <v>3.75</v>
      </c>
      <c r="AT591" t="s">
        <v>477</v>
      </c>
      <c r="AU591" t="s">
        <v>20660</v>
      </c>
    </row>
    <row r="592" spans="1:48">
      <c r="A592" s="1">
        <f>HYPERLINK("https://lsnyc.legalserver.org/matter/dynamic-profile/view/1883760","18-1883760")</f>
        <v>0</v>
      </c>
      <c r="B592" t="s">
        <v>124</v>
      </c>
      <c r="C592" t="s">
        <v>256</v>
      </c>
      <c r="D592" t="s">
        <v>371</v>
      </c>
      <c r="F592" t="s">
        <v>1518</v>
      </c>
      <c r="G592" t="s">
        <v>3690</v>
      </c>
      <c r="H592" t="s">
        <v>6067</v>
      </c>
      <c r="I592" t="s">
        <v>8223</v>
      </c>
      <c r="J592" t="s">
        <v>9066</v>
      </c>
      <c r="K592">
        <v>10304</v>
      </c>
      <c r="L592" t="s">
        <v>9094</v>
      </c>
      <c r="M592" t="s">
        <v>9094</v>
      </c>
      <c r="R592" t="s">
        <v>11181</v>
      </c>
      <c r="S592" t="s">
        <v>9096</v>
      </c>
      <c r="T592" t="s">
        <v>11190</v>
      </c>
      <c r="U592" t="s">
        <v>11201</v>
      </c>
      <c r="W592">
        <v>116</v>
      </c>
      <c r="X592" t="s">
        <v>11334</v>
      </c>
      <c r="Y592" t="s">
        <v>11337</v>
      </c>
      <c r="Z592" t="s">
        <v>11801</v>
      </c>
      <c r="AB592" t="s">
        <v>16265</v>
      </c>
      <c r="AC592">
        <v>0</v>
      </c>
      <c r="AD592" t="s">
        <v>19567</v>
      </c>
      <c r="AE592" t="s">
        <v>19580</v>
      </c>
      <c r="AF592">
        <v>12</v>
      </c>
      <c r="AG592">
        <v>1</v>
      </c>
      <c r="AH592">
        <v>2</v>
      </c>
      <c r="AI592">
        <v>16.8</v>
      </c>
      <c r="AJ592" t="s">
        <v>19591</v>
      </c>
      <c r="AK592" t="s">
        <v>19608</v>
      </c>
      <c r="AL592" t="s">
        <v>19615</v>
      </c>
      <c r="AM592">
        <v>3492</v>
      </c>
      <c r="AS592">
        <v>0.1</v>
      </c>
      <c r="AT592" t="s">
        <v>584</v>
      </c>
      <c r="AU592" t="s">
        <v>128</v>
      </c>
    </row>
    <row r="593" spans="1:48">
      <c r="A593" s="1">
        <f>HYPERLINK("https://lsnyc.legalserver.org/matter/dynamic-profile/view/1893492","19-1893492")</f>
        <v>0</v>
      </c>
      <c r="B593" t="s">
        <v>52</v>
      </c>
      <c r="C593" t="s">
        <v>256</v>
      </c>
      <c r="D593" t="s">
        <v>573</v>
      </c>
      <c r="F593" t="s">
        <v>1186</v>
      </c>
      <c r="G593" t="s">
        <v>3691</v>
      </c>
      <c r="H593" t="s">
        <v>6068</v>
      </c>
      <c r="I593" t="s">
        <v>8301</v>
      </c>
      <c r="J593" t="s">
        <v>9038</v>
      </c>
      <c r="K593">
        <v>11691</v>
      </c>
      <c r="L593" t="s">
        <v>9094</v>
      </c>
      <c r="M593" t="s">
        <v>9095</v>
      </c>
      <c r="N593" t="s">
        <v>9381</v>
      </c>
      <c r="O593" t="s">
        <v>11128</v>
      </c>
      <c r="P593" t="s">
        <v>11165</v>
      </c>
      <c r="R593" t="s">
        <v>11180</v>
      </c>
      <c r="S593" t="s">
        <v>9096</v>
      </c>
      <c r="T593" t="s">
        <v>11183</v>
      </c>
      <c r="U593" t="s">
        <v>11201</v>
      </c>
      <c r="V593" t="s">
        <v>512</v>
      </c>
      <c r="W593">
        <v>1200</v>
      </c>
      <c r="X593" t="s">
        <v>11331</v>
      </c>
      <c r="Y593" t="s">
        <v>11354</v>
      </c>
      <c r="Z593" t="s">
        <v>11802</v>
      </c>
      <c r="AA593" t="s">
        <v>15274</v>
      </c>
      <c r="AB593" t="s">
        <v>16266</v>
      </c>
      <c r="AC593">
        <v>56</v>
      </c>
      <c r="AD593" t="s">
        <v>19567</v>
      </c>
      <c r="AE593" t="s">
        <v>9144</v>
      </c>
      <c r="AF593">
        <v>1</v>
      </c>
      <c r="AG593">
        <v>1</v>
      </c>
      <c r="AH593">
        <v>2</v>
      </c>
      <c r="AI593">
        <v>16.88</v>
      </c>
      <c r="AL593" t="s">
        <v>19614</v>
      </c>
      <c r="AM593">
        <v>3600</v>
      </c>
      <c r="AS593">
        <v>21.8</v>
      </c>
      <c r="AT593" t="s">
        <v>496</v>
      </c>
      <c r="AU593" t="s">
        <v>20631</v>
      </c>
      <c r="AV593" t="s">
        <v>20733</v>
      </c>
    </row>
    <row r="594" spans="1:48">
      <c r="A594" s="1">
        <f>HYPERLINK("https://lsnyc.legalserver.org/matter/dynamic-profile/view/1908692","19-1908692")</f>
        <v>0</v>
      </c>
      <c r="B594" t="s">
        <v>108</v>
      </c>
      <c r="C594" t="s">
        <v>256</v>
      </c>
      <c r="D594" t="s">
        <v>574</v>
      </c>
      <c r="F594" t="s">
        <v>1519</v>
      </c>
      <c r="G594" t="s">
        <v>3692</v>
      </c>
      <c r="H594" t="s">
        <v>6069</v>
      </c>
      <c r="I594" t="s">
        <v>8176</v>
      </c>
      <c r="J594" t="s">
        <v>9038</v>
      </c>
      <c r="K594">
        <v>11691</v>
      </c>
      <c r="L594" t="s">
        <v>9094</v>
      </c>
      <c r="M594" t="s">
        <v>9095</v>
      </c>
      <c r="N594" t="s">
        <v>9382</v>
      </c>
      <c r="O594" t="s">
        <v>11136</v>
      </c>
      <c r="P594" t="s">
        <v>11165</v>
      </c>
      <c r="R594" t="s">
        <v>11180</v>
      </c>
      <c r="S594" t="s">
        <v>9094</v>
      </c>
      <c r="T594" t="s">
        <v>11192</v>
      </c>
      <c r="W594">
        <v>1557</v>
      </c>
      <c r="X594" t="s">
        <v>11333</v>
      </c>
      <c r="Y594" t="s">
        <v>11350</v>
      </c>
      <c r="AC594">
        <v>917</v>
      </c>
      <c r="AD594" t="s">
        <v>19566</v>
      </c>
      <c r="AE594" t="s">
        <v>19582</v>
      </c>
      <c r="AF594">
        <v>1</v>
      </c>
      <c r="AG594">
        <v>2</v>
      </c>
      <c r="AH594">
        <v>1</v>
      </c>
      <c r="AI594">
        <v>16.88</v>
      </c>
      <c r="AL594" t="s">
        <v>19614</v>
      </c>
      <c r="AM594">
        <v>3600</v>
      </c>
      <c r="AS594">
        <v>2</v>
      </c>
      <c r="AT594" t="s">
        <v>273</v>
      </c>
      <c r="AU594" t="s">
        <v>108</v>
      </c>
      <c r="AV594" t="s">
        <v>20733</v>
      </c>
    </row>
    <row r="595" spans="1:48">
      <c r="A595" s="1">
        <f>HYPERLINK("https://lsnyc.legalserver.org/matter/dynamic-profile/view/1862376","18-1862376")</f>
        <v>0</v>
      </c>
      <c r="B595" t="s">
        <v>156</v>
      </c>
      <c r="C595" t="s">
        <v>256</v>
      </c>
      <c r="D595" t="s">
        <v>575</v>
      </c>
      <c r="F595" t="s">
        <v>1247</v>
      </c>
      <c r="G595" t="s">
        <v>3693</v>
      </c>
      <c r="H595" t="s">
        <v>6070</v>
      </c>
      <c r="I595" t="s">
        <v>8302</v>
      </c>
      <c r="J595" t="s">
        <v>9065</v>
      </c>
      <c r="K595">
        <v>10457</v>
      </c>
      <c r="L595" t="s">
        <v>9094</v>
      </c>
      <c r="M595" t="s">
        <v>9095</v>
      </c>
      <c r="O595" t="s">
        <v>11140</v>
      </c>
      <c r="P595" t="s">
        <v>11166</v>
      </c>
      <c r="R595" t="s">
        <v>11180</v>
      </c>
      <c r="S595" t="s">
        <v>9096</v>
      </c>
      <c r="T595" t="s">
        <v>11190</v>
      </c>
      <c r="V595" t="s">
        <v>575</v>
      </c>
      <c r="W595">
        <v>1521</v>
      </c>
      <c r="X595" t="s">
        <v>11333</v>
      </c>
      <c r="Y595" t="s">
        <v>11157</v>
      </c>
      <c r="Z595" t="s">
        <v>11803</v>
      </c>
      <c r="AB595" t="s">
        <v>16267</v>
      </c>
      <c r="AC595">
        <v>32</v>
      </c>
      <c r="AD595" t="s">
        <v>19566</v>
      </c>
      <c r="AE595" t="s">
        <v>19580</v>
      </c>
      <c r="AF595">
        <v>3</v>
      </c>
      <c r="AG595">
        <v>1</v>
      </c>
      <c r="AH595">
        <v>1</v>
      </c>
      <c r="AI595">
        <v>16.99</v>
      </c>
      <c r="AL595" t="s">
        <v>19614</v>
      </c>
      <c r="AM595">
        <v>2796</v>
      </c>
      <c r="AS595">
        <v>1</v>
      </c>
      <c r="AT595" t="s">
        <v>575</v>
      </c>
      <c r="AU595" t="s">
        <v>20670</v>
      </c>
    </row>
    <row r="596" spans="1:48">
      <c r="A596" s="1">
        <f>HYPERLINK("https://lsnyc.legalserver.org/matter/dynamic-profile/view/1870444","18-1870444")</f>
        <v>0</v>
      </c>
      <c r="B596" t="s">
        <v>111</v>
      </c>
      <c r="C596" t="s">
        <v>256</v>
      </c>
      <c r="D596" t="s">
        <v>400</v>
      </c>
      <c r="F596" t="s">
        <v>1520</v>
      </c>
      <c r="G596" t="s">
        <v>3694</v>
      </c>
      <c r="H596" t="s">
        <v>6071</v>
      </c>
      <c r="I596" t="s">
        <v>8303</v>
      </c>
      <c r="J596" t="s">
        <v>9065</v>
      </c>
      <c r="K596">
        <v>10453</v>
      </c>
      <c r="L596" t="s">
        <v>9094</v>
      </c>
      <c r="M596" t="s">
        <v>9094</v>
      </c>
      <c r="N596" t="s">
        <v>9383</v>
      </c>
      <c r="O596" t="s">
        <v>11129</v>
      </c>
      <c r="P596" t="s">
        <v>11165</v>
      </c>
      <c r="R596" t="s">
        <v>11180</v>
      </c>
      <c r="S596" t="s">
        <v>9096</v>
      </c>
      <c r="T596" t="s">
        <v>11183</v>
      </c>
      <c r="V596" t="s">
        <v>675</v>
      </c>
      <c r="W596">
        <v>1379.06</v>
      </c>
      <c r="X596" t="s">
        <v>11333</v>
      </c>
      <c r="Y596" t="s">
        <v>11340</v>
      </c>
      <c r="Z596" t="s">
        <v>11804</v>
      </c>
      <c r="AA596" t="s">
        <v>15376</v>
      </c>
      <c r="AB596" t="s">
        <v>16268</v>
      </c>
      <c r="AC596">
        <v>101</v>
      </c>
      <c r="AD596" t="s">
        <v>19566</v>
      </c>
      <c r="AE596" t="s">
        <v>9144</v>
      </c>
      <c r="AF596">
        <v>11</v>
      </c>
      <c r="AG596">
        <v>1</v>
      </c>
      <c r="AH596">
        <v>1</v>
      </c>
      <c r="AI596">
        <v>17.06</v>
      </c>
      <c r="AL596" t="s">
        <v>19614</v>
      </c>
      <c r="AM596">
        <v>2808</v>
      </c>
      <c r="AS596">
        <v>19.1</v>
      </c>
      <c r="AT596" t="s">
        <v>723</v>
      </c>
      <c r="AU596" t="s">
        <v>20642</v>
      </c>
    </row>
    <row r="597" spans="1:48">
      <c r="A597" s="1">
        <f>HYPERLINK("https://lsnyc.legalserver.org/matter/dynamic-profile/view/1896004","19-1896004")</f>
        <v>0</v>
      </c>
      <c r="B597" t="s">
        <v>71</v>
      </c>
      <c r="C597" t="s">
        <v>256</v>
      </c>
      <c r="D597" t="s">
        <v>300</v>
      </c>
      <c r="F597" t="s">
        <v>1521</v>
      </c>
      <c r="G597" t="s">
        <v>3695</v>
      </c>
      <c r="H597" t="s">
        <v>6072</v>
      </c>
      <c r="I597" t="s">
        <v>8259</v>
      </c>
      <c r="J597" t="s">
        <v>9059</v>
      </c>
      <c r="K597">
        <v>11208</v>
      </c>
      <c r="L597" t="s">
        <v>9094</v>
      </c>
      <c r="M597" t="s">
        <v>9094</v>
      </c>
      <c r="N597" t="s">
        <v>9384</v>
      </c>
      <c r="O597" t="s">
        <v>11129</v>
      </c>
      <c r="P597" t="s">
        <v>11165</v>
      </c>
      <c r="R597" t="s">
        <v>11180</v>
      </c>
      <c r="S597" t="s">
        <v>9096</v>
      </c>
      <c r="T597" t="s">
        <v>11183</v>
      </c>
      <c r="U597" t="s">
        <v>11200</v>
      </c>
      <c r="V597" t="s">
        <v>376</v>
      </c>
      <c r="W597">
        <v>150</v>
      </c>
      <c r="X597" t="s">
        <v>11332</v>
      </c>
      <c r="Y597" t="s">
        <v>11336</v>
      </c>
      <c r="Z597" t="s">
        <v>11805</v>
      </c>
      <c r="AA597" t="s">
        <v>15377</v>
      </c>
      <c r="AB597" t="s">
        <v>16269</v>
      </c>
      <c r="AC597">
        <v>6</v>
      </c>
      <c r="AD597" t="s">
        <v>19566</v>
      </c>
      <c r="AE597" t="s">
        <v>9144</v>
      </c>
      <c r="AF597">
        <v>5</v>
      </c>
      <c r="AG597">
        <v>1</v>
      </c>
      <c r="AH597">
        <v>0</v>
      </c>
      <c r="AI597">
        <v>17.07</v>
      </c>
      <c r="AL597" t="s">
        <v>19614</v>
      </c>
      <c r="AM597">
        <v>2132</v>
      </c>
      <c r="AS597">
        <v>22.4</v>
      </c>
      <c r="AT597" t="s">
        <v>442</v>
      </c>
      <c r="AU597" t="s">
        <v>20628</v>
      </c>
      <c r="AV597" t="s">
        <v>20733</v>
      </c>
    </row>
    <row r="598" spans="1:48">
      <c r="A598" s="1">
        <f>HYPERLINK("https://lsnyc.legalserver.org/matter/dynamic-profile/view/1861033","18-1861033")</f>
        <v>0</v>
      </c>
      <c r="B598" t="s">
        <v>61</v>
      </c>
      <c r="C598" t="s">
        <v>257</v>
      </c>
      <c r="D598" t="s">
        <v>485</v>
      </c>
      <c r="E598" t="s">
        <v>864</v>
      </c>
      <c r="F598" t="s">
        <v>1222</v>
      </c>
      <c r="G598" t="s">
        <v>3497</v>
      </c>
      <c r="H598" t="s">
        <v>6073</v>
      </c>
      <c r="I598">
        <v>2</v>
      </c>
      <c r="J598" t="s">
        <v>9038</v>
      </c>
      <c r="K598">
        <v>11691</v>
      </c>
      <c r="L598" t="s">
        <v>9094</v>
      </c>
      <c r="M598" t="s">
        <v>9095</v>
      </c>
      <c r="N598" t="s">
        <v>9385</v>
      </c>
      <c r="O598" t="s">
        <v>11130</v>
      </c>
      <c r="P598" t="s">
        <v>11165</v>
      </c>
      <c r="Q598" t="s">
        <v>11174</v>
      </c>
      <c r="R598" t="s">
        <v>11180</v>
      </c>
      <c r="S598" t="s">
        <v>9096</v>
      </c>
      <c r="T598" t="s">
        <v>11183</v>
      </c>
      <c r="U598" t="s">
        <v>11201</v>
      </c>
      <c r="V598" t="s">
        <v>485</v>
      </c>
      <c r="W598">
        <v>1560</v>
      </c>
      <c r="X598" t="s">
        <v>11331</v>
      </c>
      <c r="Y598" t="s">
        <v>11346</v>
      </c>
      <c r="Z598" t="s">
        <v>11749</v>
      </c>
      <c r="AA598" t="s">
        <v>15345</v>
      </c>
      <c r="AB598" t="s">
        <v>16212</v>
      </c>
      <c r="AC598">
        <v>2</v>
      </c>
      <c r="AD598" t="s">
        <v>19571</v>
      </c>
      <c r="AE598" t="s">
        <v>19580</v>
      </c>
      <c r="AF598">
        <v>4</v>
      </c>
      <c r="AG598">
        <v>2</v>
      </c>
      <c r="AH598">
        <v>0</v>
      </c>
      <c r="AI598">
        <v>17.24</v>
      </c>
      <c r="AL598" t="s">
        <v>19614</v>
      </c>
      <c r="AM598">
        <v>2838</v>
      </c>
      <c r="AP598" t="s">
        <v>20323</v>
      </c>
      <c r="AQ598" t="s">
        <v>20369</v>
      </c>
      <c r="AR598" t="s">
        <v>20403</v>
      </c>
      <c r="AS598">
        <v>15.02</v>
      </c>
      <c r="AT598" t="s">
        <v>660</v>
      </c>
      <c r="AU598" t="s">
        <v>242</v>
      </c>
      <c r="AV598" t="s">
        <v>20733</v>
      </c>
    </row>
    <row r="599" spans="1:48">
      <c r="A599" s="1">
        <f>HYPERLINK("https://lsnyc.legalserver.org/matter/dynamic-profile/view/1862540","18-1862540")</f>
        <v>0</v>
      </c>
      <c r="B599" t="s">
        <v>63</v>
      </c>
      <c r="C599" t="s">
        <v>256</v>
      </c>
      <c r="D599" t="s">
        <v>576</v>
      </c>
      <c r="F599" t="s">
        <v>1222</v>
      </c>
      <c r="G599" t="s">
        <v>3497</v>
      </c>
      <c r="H599" t="s">
        <v>6022</v>
      </c>
      <c r="I599">
        <v>2</v>
      </c>
      <c r="J599" t="s">
        <v>9038</v>
      </c>
      <c r="K599">
        <v>11691</v>
      </c>
      <c r="L599" t="s">
        <v>9094</v>
      </c>
      <c r="M599" t="s">
        <v>9095</v>
      </c>
      <c r="N599" t="s">
        <v>9171</v>
      </c>
      <c r="O599" t="s">
        <v>11136</v>
      </c>
      <c r="P599" t="s">
        <v>11167</v>
      </c>
      <c r="R599" t="s">
        <v>11180</v>
      </c>
      <c r="S599" t="s">
        <v>9096</v>
      </c>
      <c r="T599" t="s">
        <v>11183</v>
      </c>
      <c r="V599" t="s">
        <v>576</v>
      </c>
      <c r="W599">
        <v>1560</v>
      </c>
      <c r="X599" t="s">
        <v>11331</v>
      </c>
      <c r="Y599" t="s">
        <v>11340</v>
      </c>
      <c r="Z599" t="s">
        <v>11749</v>
      </c>
      <c r="AA599" t="s">
        <v>15378</v>
      </c>
      <c r="AB599" t="s">
        <v>16212</v>
      </c>
      <c r="AC599">
        <v>2</v>
      </c>
      <c r="AD599" t="s">
        <v>15441</v>
      </c>
      <c r="AE599" t="s">
        <v>19589</v>
      </c>
      <c r="AF599">
        <v>4</v>
      </c>
      <c r="AG599">
        <v>2</v>
      </c>
      <c r="AH599">
        <v>0</v>
      </c>
      <c r="AI599">
        <v>17.24</v>
      </c>
      <c r="AL599" t="s">
        <v>19614</v>
      </c>
      <c r="AM599">
        <v>2838</v>
      </c>
      <c r="AS599">
        <v>1.23</v>
      </c>
      <c r="AT599" t="s">
        <v>921</v>
      </c>
      <c r="AU599" t="s">
        <v>20620</v>
      </c>
    </row>
    <row r="600" spans="1:48">
      <c r="A600" s="1">
        <f>HYPERLINK("https://lsnyc.legalserver.org/matter/dynamic-profile/view/1890168","19-1890168")</f>
        <v>0</v>
      </c>
      <c r="B600" t="s">
        <v>157</v>
      </c>
      <c r="C600" t="s">
        <v>257</v>
      </c>
      <c r="D600" t="s">
        <v>577</v>
      </c>
      <c r="E600" t="s">
        <v>425</v>
      </c>
      <c r="F600" t="s">
        <v>1522</v>
      </c>
      <c r="G600" t="s">
        <v>3696</v>
      </c>
      <c r="H600" t="s">
        <v>6074</v>
      </c>
      <c r="I600">
        <v>1</v>
      </c>
      <c r="J600" t="s">
        <v>9059</v>
      </c>
      <c r="K600">
        <v>11223</v>
      </c>
      <c r="L600" t="s">
        <v>9095</v>
      </c>
      <c r="M600" t="s">
        <v>9095</v>
      </c>
      <c r="P600" t="s">
        <v>11164</v>
      </c>
      <c r="Q600" t="s">
        <v>11172</v>
      </c>
      <c r="R600" t="s">
        <v>11180</v>
      </c>
      <c r="T600" t="s">
        <v>11183</v>
      </c>
      <c r="V600" t="s">
        <v>577</v>
      </c>
      <c r="W600">
        <v>0</v>
      </c>
      <c r="X600" t="s">
        <v>11332</v>
      </c>
      <c r="Z600" t="s">
        <v>11806</v>
      </c>
      <c r="AB600" t="s">
        <v>16270</v>
      </c>
      <c r="AC600">
        <v>0</v>
      </c>
      <c r="AF600">
        <v>0</v>
      </c>
      <c r="AG600">
        <v>1</v>
      </c>
      <c r="AH600">
        <v>0</v>
      </c>
      <c r="AI600">
        <v>17.29</v>
      </c>
      <c r="AL600" t="s">
        <v>19614</v>
      </c>
      <c r="AM600">
        <v>2160</v>
      </c>
      <c r="AS600">
        <v>2.8</v>
      </c>
      <c r="AT600" t="s">
        <v>749</v>
      </c>
      <c r="AU600" t="s">
        <v>20660</v>
      </c>
    </row>
    <row r="601" spans="1:48">
      <c r="A601" s="1">
        <f>HYPERLINK("https://lsnyc.legalserver.org/matter/dynamic-profile/view/1908834","19-1908834")</f>
        <v>0</v>
      </c>
      <c r="B601" t="s">
        <v>110</v>
      </c>
      <c r="C601" t="s">
        <v>256</v>
      </c>
      <c r="D601" t="s">
        <v>481</v>
      </c>
      <c r="F601" t="s">
        <v>1490</v>
      </c>
      <c r="G601" t="s">
        <v>3341</v>
      </c>
      <c r="H601" t="s">
        <v>6075</v>
      </c>
      <c r="I601" t="s">
        <v>8153</v>
      </c>
      <c r="J601" t="s">
        <v>9065</v>
      </c>
      <c r="K601">
        <v>10455</v>
      </c>
      <c r="L601" t="s">
        <v>9094</v>
      </c>
      <c r="M601" t="s">
        <v>9095</v>
      </c>
      <c r="O601" t="s">
        <v>9121</v>
      </c>
      <c r="P601" t="s">
        <v>11164</v>
      </c>
      <c r="R601" t="s">
        <v>11180</v>
      </c>
      <c r="S601" t="s">
        <v>9096</v>
      </c>
      <c r="T601" t="s">
        <v>11183</v>
      </c>
      <c r="W601">
        <v>903</v>
      </c>
      <c r="X601" t="s">
        <v>11333</v>
      </c>
      <c r="Y601" t="s">
        <v>11352</v>
      </c>
      <c r="Z601" t="s">
        <v>11807</v>
      </c>
      <c r="AB601" t="s">
        <v>16271</v>
      </c>
      <c r="AC601">
        <v>0</v>
      </c>
      <c r="AD601" t="s">
        <v>19567</v>
      </c>
      <c r="AE601" t="s">
        <v>19580</v>
      </c>
      <c r="AF601">
        <v>21</v>
      </c>
      <c r="AG601">
        <v>1</v>
      </c>
      <c r="AH601">
        <v>0</v>
      </c>
      <c r="AI601">
        <v>17.29</v>
      </c>
      <c r="AL601" t="s">
        <v>19615</v>
      </c>
      <c r="AM601">
        <v>2160</v>
      </c>
      <c r="AS601">
        <v>4.1</v>
      </c>
      <c r="AT601" t="s">
        <v>290</v>
      </c>
      <c r="AU601" t="s">
        <v>20629</v>
      </c>
      <c r="AV601" t="s">
        <v>20733</v>
      </c>
    </row>
    <row r="602" spans="1:48">
      <c r="A602" s="1">
        <f>HYPERLINK("https://lsnyc.legalserver.org/matter/dynamic-profile/view/1857239","18-1857239")</f>
        <v>0</v>
      </c>
      <c r="B602" t="s">
        <v>119</v>
      </c>
      <c r="C602" t="s">
        <v>256</v>
      </c>
      <c r="D602" t="s">
        <v>466</v>
      </c>
      <c r="F602" t="s">
        <v>1523</v>
      </c>
      <c r="G602" t="s">
        <v>3364</v>
      </c>
      <c r="H602" t="s">
        <v>5897</v>
      </c>
      <c r="I602" t="s">
        <v>8304</v>
      </c>
      <c r="J602" t="s">
        <v>9065</v>
      </c>
      <c r="K602">
        <v>10452</v>
      </c>
      <c r="L602" t="s">
        <v>9094</v>
      </c>
      <c r="M602" t="s">
        <v>9095</v>
      </c>
      <c r="N602" t="s">
        <v>9253</v>
      </c>
      <c r="O602" t="s">
        <v>11135</v>
      </c>
      <c r="P602" t="s">
        <v>11168</v>
      </c>
      <c r="R602" t="s">
        <v>11180</v>
      </c>
      <c r="S602" t="s">
        <v>9094</v>
      </c>
      <c r="T602" t="s">
        <v>11183</v>
      </c>
      <c r="V602" t="s">
        <v>11233</v>
      </c>
      <c r="W602">
        <v>1385.93</v>
      </c>
      <c r="X602" t="s">
        <v>11333</v>
      </c>
      <c r="Y602" t="s">
        <v>11346</v>
      </c>
      <c r="Z602" t="s">
        <v>11808</v>
      </c>
      <c r="AA602" t="s">
        <v>15379</v>
      </c>
      <c r="AB602" t="s">
        <v>16272</v>
      </c>
      <c r="AC602">
        <v>122</v>
      </c>
      <c r="AD602" t="s">
        <v>19566</v>
      </c>
      <c r="AE602" t="s">
        <v>19580</v>
      </c>
      <c r="AF602">
        <v>25</v>
      </c>
      <c r="AG602">
        <v>1</v>
      </c>
      <c r="AH602">
        <v>0</v>
      </c>
      <c r="AI602">
        <v>17.29</v>
      </c>
      <c r="AL602" t="s">
        <v>19614</v>
      </c>
      <c r="AM602">
        <v>2085.2</v>
      </c>
      <c r="AS602">
        <v>0</v>
      </c>
      <c r="AU602" t="s">
        <v>20647</v>
      </c>
    </row>
    <row r="603" spans="1:48">
      <c r="A603" s="1">
        <f>HYPERLINK("https://lsnyc.legalserver.org/matter/dynamic-profile/view/1907762","19-1907762")</f>
        <v>0</v>
      </c>
      <c r="B603" t="s">
        <v>140</v>
      </c>
      <c r="C603" t="s">
        <v>257</v>
      </c>
      <c r="D603" t="s">
        <v>396</v>
      </c>
      <c r="E603" t="s">
        <v>481</v>
      </c>
      <c r="F603" t="s">
        <v>1524</v>
      </c>
      <c r="G603" t="s">
        <v>3612</v>
      </c>
      <c r="H603" t="s">
        <v>6076</v>
      </c>
      <c r="I603" t="s">
        <v>8305</v>
      </c>
      <c r="J603" t="s">
        <v>9067</v>
      </c>
      <c r="K603">
        <v>10034</v>
      </c>
      <c r="L603" t="s">
        <v>9094</v>
      </c>
      <c r="M603" t="s">
        <v>9095</v>
      </c>
      <c r="O603" t="s">
        <v>9121</v>
      </c>
      <c r="P603" t="s">
        <v>11164</v>
      </c>
      <c r="Q603" t="s">
        <v>11172</v>
      </c>
      <c r="R603" t="s">
        <v>11180</v>
      </c>
      <c r="S603" t="s">
        <v>9096</v>
      </c>
      <c r="T603" t="s">
        <v>11183</v>
      </c>
      <c r="V603" t="s">
        <v>396</v>
      </c>
      <c r="W603">
        <v>1403</v>
      </c>
      <c r="X603" t="s">
        <v>11335</v>
      </c>
      <c r="Y603" t="s">
        <v>11351</v>
      </c>
      <c r="Z603" t="s">
        <v>11809</v>
      </c>
      <c r="AA603" t="s">
        <v>15380</v>
      </c>
      <c r="AB603" t="s">
        <v>16273</v>
      </c>
      <c r="AC603">
        <v>31</v>
      </c>
      <c r="AD603" t="s">
        <v>19566</v>
      </c>
      <c r="AE603" t="s">
        <v>9144</v>
      </c>
      <c r="AF603">
        <v>1</v>
      </c>
      <c r="AG603">
        <v>1</v>
      </c>
      <c r="AH603">
        <v>0</v>
      </c>
      <c r="AI603">
        <v>17.29</v>
      </c>
      <c r="AL603" t="s">
        <v>19614</v>
      </c>
      <c r="AM603">
        <v>2160</v>
      </c>
      <c r="AS603">
        <v>2</v>
      </c>
      <c r="AT603" t="s">
        <v>314</v>
      </c>
      <c r="AU603" t="s">
        <v>20659</v>
      </c>
      <c r="AV603" t="s">
        <v>20734</v>
      </c>
    </row>
    <row r="604" spans="1:48">
      <c r="A604" s="1">
        <f>HYPERLINK("https://lsnyc.legalserver.org/matter/dynamic-profile/view/1902355","19-1902355")</f>
        <v>0</v>
      </c>
      <c r="B604" t="s">
        <v>134</v>
      </c>
      <c r="C604" t="s">
        <v>257</v>
      </c>
      <c r="D604" t="s">
        <v>268</v>
      </c>
      <c r="E604" t="s">
        <v>457</v>
      </c>
      <c r="F604" t="s">
        <v>1525</v>
      </c>
      <c r="G604" t="s">
        <v>3697</v>
      </c>
      <c r="H604" t="s">
        <v>6077</v>
      </c>
      <c r="I604">
        <v>1</v>
      </c>
      <c r="J604" t="s">
        <v>9067</v>
      </c>
      <c r="K604">
        <v>10032</v>
      </c>
      <c r="L604" t="s">
        <v>9094</v>
      </c>
      <c r="M604" t="s">
        <v>9095</v>
      </c>
      <c r="O604" t="s">
        <v>9121</v>
      </c>
      <c r="P604" t="s">
        <v>11164</v>
      </c>
      <c r="Q604" t="s">
        <v>11172</v>
      </c>
      <c r="R604" t="s">
        <v>11180</v>
      </c>
      <c r="S604" t="s">
        <v>9096</v>
      </c>
      <c r="T604" t="s">
        <v>11183</v>
      </c>
      <c r="V604" t="s">
        <v>268</v>
      </c>
      <c r="W604">
        <v>2500</v>
      </c>
      <c r="X604" t="s">
        <v>11335</v>
      </c>
      <c r="Y604" t="s">
        <v>11340</v>
      </c>
      <c r="Z604" t="s">
        <v>11810</v>
      </c>
      <c r="AB604" t="s">
        <v>16274</v>
      </c>
      <c r="AC604">
        <v>4</v>
      </c>
      <c r="AD604" t="s">
        <v>19566</v>
      </c>
      <c r="AE604" t="s">
        <v>9144</v>
      </c>
      <c r="AF604">
        <v>2</v>
      </c>
      <c r="AG604">
        <v>1</v>
      </c>
      <c r="AH604">
        <v>0</v>
      </c>
      <c r="AI604">
        <v>17.29</v>
      </c>
      <c r="AL604" t="s">
        <v>19614</v>
      </c>
      <c r="AM604">
        <v>2160</v>
      </c>
      <c r="AS604">
        <v>1.5</v>
      </c>
      <c r="AT604" t="s">
        <v>268</v>
      </c>
      <c r="AU604" t="s">
        <v>130</v>
      </c>
      <c r="AV604" t="s">
        <v>20733</v>
      </c>
    </row>
    <row r="605" spans="1:48">
      <c r="A605" s="1">
        <f>HYPERLINK("https://lsnyc.legalserver.org/matter/dynamic-profile/view/1884267","18-1884267")</f>
        <v>0</v>
      </c>
      <c r="B605" t="s">
        <v>151</v>
      </c>
      <c r="C605" t="s">
        <v>257</v>
      </c>
      <c r="D605" t="s">
        <v>343</v>
      </c>
      <c r="E605" t="s">
        <v>1130</v>
      </c>
      <c r="F605" t="s">
        <v>1526</v>
      </c>
      <c r="G605" t="s">
        <v>3427</v>
      </c>
      <c r="H605" t="s">
        <v>6078</v>
      </c>
      <c r="I605" t="s">
        <v>8209</v>
      </c>
      <c r="J605" t="s">
        <v>9059</v>
      </c>
      <c r="K605">
        <v>11208</v>
      </c>
      <c r="L605" t="s">
        <v>9094</v>
      </c>
      <c r="M605" t="s">
        <v>9094</v>
      </c>
      <c r="O605" t="s">
        <v>11139</v>
      </c>
      <c r="P605" t="s">
        <v>11166</v>
      </c>
      <c r="Q605" t="s">
        <v>11173</v>
      </c>
      <c r="R605" t="s">
        <v>11180</v>
      </c>
      <c r="T605" t="s">
        <v>11184</v>
      </c>
      <c r="V605" t="s">
        <v>1061</v>
      </c>
      <c r="W605">
        <v>0</v>
      </c>
      <c r="X605" t="s">
        <v>11332</v>
      </c>
      <c r="Z605" t="s">
        <v>11811</v>
      </c>
      <c r="AA605" t="s">
        <v>15381</v>
      </c>
      <c r="AB605" t="s">
        <v>16275</v>
      </c>
      <c r="AC605">
        <v>0</v>
      </c>
      <c r="AF605">
        <v>0</v>
      </c>
      <c r="AG605">
        <v>2</v>
      </c>
      <c r="AH605">
        <v>1</v>
      </c>
      <c r="AI605">
        <v>17.32</v>
      </c>
      <c r="AL605" t="s">
        <v>19614</v>
      </c>
      <c r="AM605">
        <v>3600</v>
      </c>
      <c r="AQ605" t="s">
        <v>20369</v>
      </c>
      <c r="AR605" t="s">
        <v>20404</v>
      </c>
      <c r="AS605">
        <v>14.7</v>
      </c>
      <c r="AT605" t="s">
        <v>649</v>
      </c>
      <c r="AU605" t="s">
        <v>151</v>
      </c>
      <c r="AV605" t="s">
        <v>20734</v>
      </c>
    </row>
    <row r="606" spans="1:48">
      <c r="A606" s="1">
        <f>HYPERLINK("https://lsnyc.legalserver.org/matter/dynamic-profile/view/1885519","18-1885519")</f>
        <v>0</v>
      </c>
      <c r="B606" t="s">
        <v>151</v>
      </c>
      <c r="C606" t="s">
        <v>257</v>
      </c>
      <c r="D606" t="s">
        <v>287</v>
      </c>
      <c r="E606" t="s">
        <v>1130</v>
      </c>
      <c r="F606" t="s">
        <v>1526</v>
      </c>
      <c r="G606" t="s">
        <v>3427</v>
      </c>
      <c r="H606" t="s">
        <v>6079</v>
      </c>
      <c r="I606" t="s">
        <v>8141</v>
      </c>
      <c r="J606" t="s">
        <v>9059</v>
      </c>
      <c r="K606">
        <v>11207</v>
      </c>
      <c r="L606" t="s">
        <v>9094</v>
      </c>
      <c r="M606" t="s">
        <v>9095</v>
      </c>
      <c r="N606" t="s">
        <v>9386</v>
      </c>
      <c r="O606" t="s">
        <v>11129</v>
      </c>
      <c r="P606" t="s">
        <v>11165</v>
      </c>
      <c r="Q606" t="s">
        <v>11174</v>
      </c>
      <c r="R606" t="s">
        <v>11180</v>
      </c>
      <c r="S606" t="s">
        <v>9096</v>
      </c>
      <c r="T606" t="s">
        <v>11183</v>
      </c>
      <c r="U606" t="s">
        <v>11201</v>
      </c>
      <c r="V606" t="s">
        <v>287</v>
      </c>
      <c r="W606">
        <v>0</v>
      </c>
      <c r="X606" t="s">
        <v>11332</v>
      </c>
      <c r="Y606" t="s">
        <v>11338</v>
      </c>
      <c r="Z606" t="s">
        <v>11811</v>
      </c>
      <c r="AA606" t="s">
        <v>15381</v>
      </c>
      <c r="AB606" t="s">
        <v>16275</v>
      </c>
      <c r="AC606">
        <v>4</v>
      </c>
      <c r="AD606" t="s">
        <v>19565</v>
      </c>
      <c r="AE606" t="s">
        <v>19586</v>
      </c>
      <c r="AF606">
        <v>0</v>
      </c>
      <c r="AG606">
        <v>2</v>
      </c>
      <c r="AH606">
        <v>1</v>
      </c>
      <c r="AI606">
        <v>17.32</v>
      </c>
      <c r="AL606" t="s">
        <v>19614</v>
      </c>
      <c r="AM606">
        <v>3600</v>
      </c>
      <c r="AP606" t="s">
        <v>20309</v>
      </c>
      <c r="AQ606" t="s">
        <v>20369</v>
      </c>
      <c r="AR606" t="s">
        <v>20373</v>
      </c>
      <c r="AS606">
        <v>22.25</v>
      </c>
      <c r="AT606" t="s">
        <v>760</v>
      </c>
      <c r="AU606" t="s">
        <v>151</v>
      </c>
      <c r="AV606" t="s">
        <v>20734</v>
      </c>
    </row>
    <row r="607" spans="1:48">
      <c r="A607" s="1">
        <f>HYPERLINK("https://lsnyc.legalserver.org/matter/dynamic-profile/view/1867739","18-1867739")</f>
        <v>0</v>
      </c>
      <c r="B607" t="s">
        <v>113</v>
      </c>
      <c r="C607" t="s">
        <v>257</v>
      </c>
      <c r="D607" t="s">
        <v>578</v>
      </c>
      <c r="E607" t="s">
        <v>1130</v>
      </c>
      <c r="F607" t="s">
        <v>1527</v>
      </c>
      <c r="G607" t="s">
        <v>3698</v>
      </c>
      <c r="H607" t="s">
        <v>6080</v>
      </c>
      <c r="I607" t="s">
        <v>8262</v>
      </c>
      <c r="J607" t="s">
        <v>9065</v>
      </c>
      <c r="K607">
        <v>10459</v>
      </c>
      <c r="L607" t="s">
        <v>9094</v>
      </c>
      <c r="M607" t="s">
        <v>9095</v>
      </c>
      <c r="N607" t="s">
        <v>9387</v>
      </c>
      <c r="O607" t="s">
        <v>11129</v>
      </c>
      <c r="P607" t="s">
        <v>11165</v>
      </c>
      <c r="Q607" t="s">
        <v>11174</v>
      </c>
      <c r="R607" t="s">
        <v>11180</v>
      </c>
      <c r="S607" t="s">
        <v>9096</v>
      </c>
      <c r="T607" t="s">
        <v>11183</v>
      </c>
      <c r="V607" t="s">
        <v>675</v>
      </c>
      <c r="W607">
        <v>1751</v>
      </c>
      <c r="X607" t="s">
        <v>11333</v>
      </c>
      <c r="Y607" t="s">
        <v>11342</v>
      </c>
      <c r="Z607" t="s">
        <v>11812</v>
      </c>
      <c r="AB607" t="s">
        <v>16276</v>
      </c>
      <c r="AC607">
        <v>64</v>
      </c>
      <c r="AD607" t="s">
        <v>19566</v>
      </c>
      <c r="AE607" t="s">
        <v>19584</v>
      </c>
      <c r="AF607">
        <v>28</v>
      </c>
      <c r="AG607">
        <v>2</v>
      </c>
      <c r="AH607">
        <v>1</v>
      </c>
      <c r="AI607">
        <v>17.44</v>
      </c>
      <c r="AL607" t="s">
        <v>19615</v>
      </c>
      <c r="AM607">
        <v>3624</v>
      </c>
      <c r="AN607" t="s">
        <v>19716</v>
      </c>
      <c r="AS607">
        <v>8.85</v>
      </c>
      <c r="AT607" t="s">
        <v>397</v>
      </c>
      <c r="AU607" t="s">
        <v>20642</v>
      </c>
    </row>
    <row r="608" spans="1:48">
      <c r="A608" s="1">
        <f>HYPERLINK("https://lsnyc.legalserver.org/matter/dynamic-profile/view/1899115","19-1899115")</f>
        <v>0</v>
      </c>
      <c r="B608" t="s">
        <v>98</v>
      </c>
      <c r="C608" t="s">
        <v>257</v>
      </c>
      <c r="D608" t="s">
        <v>492</v>
      </c>
      <c r="E608" t="s">
        <v>574</v>
      </c>
      <c r="F608" t="s">
        <v>1528</v>
      </c>
      <c r="G608" t="s">
        <v>3699</v>
      </c>
      <c r="H608" t="s">
        <v>6081</v>
      </c>
      <c r="I608" t="s">
        <v>8151</v>
      </c>
      <c r="J608" t="s">
        <v>9065</v>
      </c>
      <c r="K608">
        <v>10452</v>
      </c>
      <c r="L608" t="s">
        <v>9094</v>
      </c>
      <c r="M608" t="s">
        <v>9095</v>
      </c>
      <c r="O608" t="s">
        <v>11134</v>
      </c>
      <c r="P608" t="s">
        <v>11167</v>
      </c>
      <c r="Q608" t="s">
        <v>11173</v>
      </c>
      <c r="R608" t="s">
        <v>11180</v>
      </c>
      <c r="S608" t="s">
        <v>9094</v>
      </c>
      <c r="T608" t="s">
        <v>11183</v>
      </c>
      <c r="V608" t="s">
        <v>299</v>
      </c>
      <c r="W608">
        <v>1000</v>
      </c>
      <c r="X608" t="s">
        <v>11333</v>
      </c>
      <c r="Y608" t="s">
        <v>11346</v>
      </c>
      <c r="Z608" t="s">
        <v>11813</v>
      </c>
      <c r="AA608" t="s">
        <v>15382</v>
      </c>
      <c r="AB608" t="s">
        <v>16277</v>
      </c>
      <c r="AC608">
        <v>41</v>
      </c>
      <c r="AD608" t="s">
        <v>19566</v>
      </c>
      <c r="AE608" t="s">
        <v>19581</v>
      </c>
      <c r="AF608">
        <v>7</v>
      </c>
      <c r="AG608">
        <v>1</v>
      </c>
      <c r="AH608">
        <v>2</v>
      </c>
      <c r="AI608">
        <v>17.44</v>
      </c>
      <c r="AL608" t="s">
        <v>19614</v>
      </c>
      <c r="AM608">
        <v>3720</v>
      </c>
      <c r="AS608">
        <v>0.25</v>
      </c>
      <c r="AT608" t="s">
        <v>410</v>
      </c>
      <c r="AU608" t="s">
        <v>20642</v>
      </c>
      <c r="AV608" t="s">
        <v>20733</v>
      </c>
    </row>
    <row r="609" spans="1:48">
      <c r="A609" s="1">
        <f>HYPERLINK("https://lsnyc.legalserver.org/matter/dynamic-profile/view/1879864","18-1879864")</f>
        <v>0</v>
      </c>
      <c r="B609" t="s">
        <v>71</v>
      </c>
      <c r="C609" t="s">
        <v>256</v>
      </c>
      <c r="D609" t="s">
        <v>313</v>
      </c>
      <c r="F609" t="s">
        <v>1529</v>
      </c>
      <c r="G609" t="s">
        <v>3497</v>
      </c>
      <c r="H609" t="s">
        <v>6082</v>
      </c>
      <c r="I609" t="s">
        <v>8187</v>
      </c>
      <c r="J609" t="s">
        <v>9059</v>
      </c>
      <c r="K609">
        <v>11212</v>
      </c>
      <c r="L609" t="s">
        <v>9094</v>
      </c>
      <c r="M609" t="s">
        <v>9094</v>
      </c>
      <c r="N609" t="s">
        <v>9388</v>
      </c>
      <c r="O609" t="s">
        <v>11129</v>
      </c>
      <c r="P609" t="s">
        <v>11165</v>
      </c>
      <c r="R609" t="s">
        <v>11180</v>
      </c>
      <c r="T609" t="s">
        <v>11183</v>
      </c>
      <c r="U609" t="s">
        <v>11201</v>
      </c>
      <c r="V609" t="s">
        <v>784</v>
      </c>
      <c r="W609">
        <v>2100</v>
      </c>
      <c r="X609" t="s">
        <v>11332</v>
      </c>
      <c r="Y609" t="s">
        <v>11336</v>
      </c>
      <c r="Z609" t="s">
        <v>11814</v>
      </c>
      <c r="AA609" t="s">
        <v>15383</v>
      </c>
      <c r="AB609" t="s">
        <v>16278</v>
      </c>
      <c r="AC609">
        <v>6</v>
      </c>
      <c r="AD609" t="s">
        <v>19567</v>
      </c>
      <c r="AE609" t="s">
        <v>19580</v>
      </c>
      <c r="AF609">
        <v>0</v>
      </c>
      <c r="AG609">
        <v>1</v>
      </c>
      <c r="AH609">
        <v>0</v>
      </c>
      <c r="AI609">
        <v>17.45</v>
      </c>
      <c r="AL609" t="s">
        <v>19614</v>
      </c>
      <c r="AM609">
        <v>2119</v>
      </c>
      <c r="AS609">
        <v>7.3</v>
      </c>
      <c r="AT609" t="s">
        <v>963</v>
      </c>
      <c r="AU609" t="s">
        <v>20625</v>
      </c>
    </row>
    <row r="610" spans="1:48">
      <c r="A610" s="1">
        <f>HYPERLINK("https://lsnyc.legalserver.org/matter/dynamic-profile/view/1896134","19-1896134")</f>
        <v>0</v>
      </c>
      <c r="B610" t="s">
        <v>158</v>
      </c>
      <c r="C610" t="s">
        <v>256</v>
      </c>
      <c r="D610" t="s">
        <v>374</v>
      </c>
      <c r="F610" t="s">
        <v>1530</v>
      </c>
      <c r="G610" t="s">
        <v>3700</v>
      </c>
      <c r="H610" t="s">
        <v>6083</v>
      </c>
      <c r="I610" t="s">
        <v>8133</v>
      </c>
      <c r="J610" t="s">
        <v>9065</v>
      </c>
      <c r="K610">
        <v>10460</v>
      </c>
      <c r="L610" t="s">
        <v>9094</v>
      </c>
      <c r="M610" t="s">
        <v>9094</v>
      </c>
      <c r="N610" t="s">
        <v>9389</v>
      </c>
      <c r="O610" t="s">
        <v>11129</v>
      </c>
      <c r="P610" t="s">
        <v>11164</v>
      </c>
      <c r="R610" t="s">
        <v>11180</v>
      </c>
      <c r="S610" t="s">
        <v>9096</v>
      </c>
      <c r="T610" t="s">
        <v>11183</v>
      </c>
      <c r="V610" t="s">
        <v>374</v>
      </c>
      <c r="W610">
        <v>290</v>
      </c>
      <c r="X610" t="s">
        <v>11333</v>
      </c>
      <c r="Y610" t="s">
        <v>11345</v>
      </c>
      <c r="Z610" t="s">
        <v>11815</v>
      </c>
      <c r="AB610" t="s">
        <v>16279</v>
      </c>
      <c r="AC610">
        <v>65</v>
      </c>
      <c r="AD610" t="s">
        <v>19573</v>
      </c>
      <c r="AE610" t="s">
        <v>9144</v>
      </c>
      <c r="AF610">
        <v>3</v>
      </c>
      <c r="AG610">
        <v>1</v>
      </c>
      <c r="AH610">
        <v>1</v>
      </c>
      <c r="AI610">
        <v>17.46</v>
      </c>
      <c r="AL610" t="s">
        <v>19614</v>
      </c>
      <c r="AM610">
        <v>2952</v>
      </c>
      <c r="AS610">
        <v>0</v>
      </c>
      <c r="AU610" t="s">
        <v>20671</v>
      </c>
      <c r="AV610" t="s">
        <v>20733</v>
      </c>
    </row>
    <row r="611" spans="1:48">
      <c r="A611" s="1">
        <f>HYPERLINK("https://lsnyc.legalserver.org/matter/dynamic-profile/view/1914014","19-1914014")</f>
        <v>0</v>
      </c>
      <c r="B611" t="s">
        <v>147</v>
      </c>
      <c r="C611" t="s">
        <v>256</v>
      </c>
      <c r="D611" t="s">
        <v>556</v>
      </c>
      <c r="F611" t="s">
        <v>1531</v>
      </c>
      <c r="G611" t="s">
        <v>3701</v>
      </c>
      <c r="H611" t="s">
        <v>6084</v>
      </c>
      <c r="J611" t="s">
        <v>9066</v>
      </c>
      <c r="K611">
        <v>10304</v>
      </c>
      <c r="L611" t="s">
        <v>9094</v>
      </c>
      <c r="M611" t="s">
        <v>9095</v>
      </c>
      <c r="N611" t="s">
        <v>9102</v>
      </c>
      <c r="O611" t="s">
        <v>11134</v>
      </c>
      <c r="R611" t="s">
        <v>11180</v>
      </c>
      <c r="S611" t="s">
        <v>9094</v>
      </c>
      <c r="T611" t="s">
        <v>11183</v>
      </c>
      <c r="W611">
        <v>1395</v>
      </c>
      <c r="X611" t="s">
        <v>11334</v>
      </c>
      <c r="Y611" t="s">
        <v>11157</v>
      </c>
      <c r="Z611" t="s">
        <v>11816</v>
      </c>
      <c r="AB611" t="s">
        <v>16280</v>
      </c>
      <c r="AC611">
        <v>0</v>
      </c>
      <c r="AD611" t="s">
        <v>19566</v>
      </c>
      <c r="AE611" t="s">
        <v>19580</v>
      </c>
      <c r="AF611">
        <v>-1</v>
      </c>
      <c r="AG611">
        <v>1</v>
      </c>
      <c r="AH611">
        <v>1</v>
      </c>
      <c r="AI611">
        <v>17.46</v>
      </c>
      <c r="AM611">
        <v>2952</v>
      </c>
      <c r="AS611">
        <v>1.6</v>
      </c>
      <c r="AT611" t="s">
        <v>703</v>
      </c>
      <c r="AU611" t="s">
        <v>20653</v>
      </c>
      <c r="AV611" t="s">
        <v>20733</v>
      </c>
    </row>
    <row r="612" spans="1:48">
      <c r="A612" s="1">
        <f>HYPERLINK("https://lsnyc.legalserver.org/matter/dynamic-profile/view/0811704","16-0811704")</f>
        <v>0</v>
      </c>
      <c r="B612" t="s">
        <v>111</v>
      </c>
      <c r="C612" t="s">
        <v>256</v>
      </c>
      <c r="D612" t="s">
        <v>539</v>
      </c>
      <c r="F612" t="s">
        <v>1520</v>
      </c>
      <c r="G612" t="s">
        <v>3694</v>
      </c>
      <c r="H612" t="s">
        <v>6071</v>
      </c>
      <c r="I612" t="s">
        <v>8303</v>
      </c>
      <c r="J612" t="s">
        <v>9065</v>
      </c>
      <c r="K612">
        <v>10453</v>
      </c>
      <c r="L612" t="s">
        <v>9094</v>
      </c>
      <c r="M612" t="s">
        <v>9095</v>
      </c>
      <c r="N612" t="s">
        <v>9390</v>
      </c>
      <c r="O612" t="s">
        <v>11129</v>
      </c>
      <c r="P612" t="s">
        <v>11165</v>
      </c>
      <c r="R612" t="s">
        <v>11180</v>
      </c>
      <c r="S612" t="s">
        <v>9096</v>
      </c>
      <c r="T612" t="s">
        <v>11183</v>
      </c>
      <c r="V612" t="s">
        <v>11234</v>
      </c>
      <c r="W612">
        <v>1465</v>
      </c>
      <c r="X612" t="s">
        <v>11333</v>
      </c>
      <c r="Y612" t="s">
        <v>11342</v>
      </c>
      <c r="Z612" t="s">
        <v>11804</v>
      </c>
      <c r="AA612" t="s">
        <v>15384</v>
      </c>
      <c r="AB612" t="s">
        <v>16268</v>
      </c>
      <c r="AC612">
        <v>101</v>
      </c>
      <c r="AD612" t="s">
        <v>19566</v>
      </c>
      <c r="AE612" t="s">
        <v>9144</v>
      </c>
      <c r="AF612">
        <v>10</v>
      </c>
      <c r="AG612">
        <v>1</v>
      </c>
      <c r="AH612">
        <v>1</v>
      </c>
      <c r="AI612">
        <v>17.53</v>
      </c>
      <c r="AL612" t="s">
        <v>19614</v>
      </c>
      <c r="AM612">
        <v>2808</v>
      </c>
      <c r="AR612" t="s">
        <v>20405</v>
      </c>
      <c r="AS612">
        <v>192.35</v>
      </c>
      <c r="AT612" t="s">
        <v>959</v>
      </c>
      <c r="AU612" t="s">
        <v>20660</v>
      </c>
    </row>
    <row r="613" spans="1:48">
      <c r="A613" s="1">
        <f>HYPERLINK("https://lsnyc.legalserver.org/matter/dynamic-profile/view/0826031","17-0826031")</f>
        <v>0</v>
      </c>
      <c r="B613" t="s">
        <v>119</v>
      </c>
      <c r="C613" t="s">
        <v>256</v>
      </c>
      <c r="D613" t="s">
        <v>420</v>
      </c>
      <c r="F613" t="s">
        <v>1523</v>
      </c>
      <c r="G613" t="s">
        <v>3364</v>
      </c>
      <c r="H613" t="s">
        <v>5897</v>
      </c>
      <c r="I613" t="s">
        <v>8304</v>
      </c>
      <c r="J613" t="s">
        <v>9065</v>
      </c>
      <c r="K613">
        <v>10452</v>
      </c>
      <c r="L613" t="s">
        <v>9094</v>
      </c>
      <c r="M613" t="s">
        <v>9095</v>
      </c>
      <c r="O613" t="s">
        <v>11135</v>
      </c>
      <c r="P613" t="s">
        <v>11168</v>
      </c>
      <c r="R613" t="s">
        <v>11180</v>
      </c>
      <c r="S613" t="s">
        <v>9094</v>
      </c>
      <c r="T613" t="s">
        <v>11183</v>
      </c>
      <c r="V613" t="s">
        <v>876</v>
      </c>
      <c r="W613">
        <v>1385.93</v>
      </c>
      <c r="X613" t="s">
        <v>11333</v>
      </c>
      <c r="Y613" t="s">
        <v>11347</v>
      </c>
      <c r="Z613" t="s">
        <v>11808</v>
      </c>
      <c r="AA613" t="s">
        <v>15385</v>
      </c>
      <c r="AB613" t="s">
        <v>16272</v>
      </c>
      <c r="AC613">
        <v>122</v>
      </c>
      <c r="AD613" t="s">
        <v>19566</v>
      </c>
      <c r="AE613" t="s">
        <v>19580</v>
      </c>
      <c r="AF613">
        <v>24</v>
      </c>
      <c r="AG613">
        <v>1</v>
      </c>
      <c r="AH613">
        <v>0</v>
      </c>
      <c r="AI613">
        <v>17.55</v>
      </c>
      <c r="AL613" t="s">
        <v>19614</v>
      </c>
      <c r="AM613">
        <v>2085.2</v>
      </c>
      <c r="AS613">
        <v>0.6</v>
      </c>
      <c r="AT613" t="s">
        <v>876</v>
      </c>
      <c r="AU613" t="s">
        <v>20643</v>
      </c>
    </row>
    <row r="614" spans="1:48">
      <c r="A614" s="1">
        <f>HYPERLINK("https://lsnyc.legalserver.org/matter/dynamic-profile/view/1887398","19-1887398")</f>
        <v>0</v>
      </c>
      <c r="B614" t="s">
        <v>71</v>
      </c>
      <c r="C614" t="s">
        <v>257</v>
      </c>
      <c r="D614" t="s">
        <v>363</v>
      </c>
      <c r="E614" t="s">
        <v>483</v>
      </c>
      <c r="F614" t="s">
        <v>1532</v>
      </c>
      <c r="G614" t="s">
        <v>3702</v>
      </c>
      <c r="H614" t="s">
        <v>6085</v>
      </c>
      <c r="I614">
        <v>2</v>
      </c>
      <c r="J614" t="s">
        <v>9059</v>
      </c>
      <c r="K614">
        <v>11233</v>
      </c>
      <c r="L614" t="s">
        <v>9094</v>
      </c>
      <c r="M614" t="s">
        <v>9094</v>
      </c>
      <c r="N614" t="s">
        <v>9391</v>
      </c>
      <c r="O614" t="s">
        <v>11128</v>
      </c>
      <c r="P614" t="s">
        <v>11165</v>
      </c>
      <c r="Q614" t="s">
        <v>11174</v>
      </c>
      <c r="R614" t="s">
        <v>11180</v>
      </c>
      <c r="S614" t="s">
        <v>9096</v>
      </c>
      <c r="T614" t="s">
        <v>11183</v>
      </c>
      <c r="U614" t="s">
        <v>11201</v>
      </c>
      <c r="V614" t="s">
        <v>635</v>
      </c>
      <c r="W614">
        <v>1187</v>
      </c>
      <c r="X614" t="s">
        <v>11332</v>
      </c>
      <c r="Y614" t="s">
        <v>11338</v>
      </c>
      <c r="Z614" t="s">
        <v>11817</v>
      </c>
      <c r="AA614">
        <v>805135</v>
      </c>
      <c r="AB614" t="s">
        <v>16281</v>
      </c>
      <c r="AC614">
        <v>6</v>
      </c>
      <c r="AD614" t="s">
        <v>15441</v>
      </c>
      <c r="AE614" t="s">
        <v>19586</v>
      </c>
      <c r="AF614">
        <v>3</v>
      </c>
      <c r="AG614">
        <v>1</v>
      </c>
      <c r="AH614">
        <v>0</v>
      </c>
      <c r="AI614">
        <v>17.56</v>
      </c>
      <c r="AL614" t="s">
        <v>19614</v>
      </c>
      <c r="AM614">
        <v>2132</v>
      </c>
      <c r="AN614" t="s">
        <v>19717</v>
      </c>
      <c r="AS614">
        <v>30.7</v>
      </c>
      <c r="AT614" t="s">
        <v>748</v>
      </c>
      <c r="AU614" t="s">
        <v>95</v>
      </c>
    </row>
    <row r="615" spans="1:48">
      <c r="A615" s="1">
        <f>HYPERLINK("https://lsnyc.legalserver.org/matter/dynamic-profile/view/1909543","19-1909543")</f>
        <v>0</v>
      </c>
      <c r="B615" t="s">
        <v>62</v>
      </c>
      <c r="C615" t="s">
        <v>256</v>
      </c>
      <c r="D615" t="s">
        <v>273</v>
      </c>
      <c r="F615" t="s">
        <v>1533</v>
      </c>
      <c r="G615" t="s">
        <v>3703</v>
      </c>
      <c r="H615" t="s">
        <v>6086</v>
      </c>
      <c r="I615" t="s">
        <v>8306</v>
      </c>
      <c r="J615" t="s">
        <v>9055</v>
      </c>
      <c r="K615">
        <v>11355</v>
      </c>
      <c r="L615" t="s">
        <v>9094</v>
      </c>
      <c r="M615" t="s">
        <v>9095</v>
      </c>
      <c r="N615" t="s">
        <v>9392</v>
      </c>
      <c r="O615" t="s">
        <v>11129</v>
      </c>
      <c r="P615" t="s">
        <v>11165</v>
      </c>
      <c r="R615" t="s">
        <v>11180</v>
      </c>
      <c r="S615" t="s">
        <v>9096</v>
      </c>
      <c r="T615" t="s">
        <v>11183</v>
      </c>
      <c r="U615" t="s">
        <v>11201</v>
      </c>
      <c r="V615" t="s">
        <v>273</v>
      </c>
      <c r="W615">
        <v>1257.22</v>
      </c>
      <c r="X615" t="s">
        <v>11331</v>
      </c>
      <c r="Y615" t="s">
        <v>11346</v>
      </c>
      <c r="Z615" t="s">
        <v>11818</v>
      </c>
      <c r="AB615" t="s">
        <v>16282</v>
      </c>
      <c r="AC615">
        <v>289</v>
      </c>
      <c r="AD615" t="s">
        <v>19566</v>
      </c>
      <c r="AE615" t="s">
        <v>9144</v>
      </c>
      <c r="AF615">
        <v>11</v>
      </c>
      <c r="AG615">
        <v>1</v>
      </c>
      <c r="AH615">
        <v>0</v>
      </c>
      <c r="AI615">
        <v>17.58</v>
      </c>
      <c r="AL615" t="s">
        <v>19628</v>
      </c>
      <c r="AM615">
        <v>2196</v>
      </c>
      <c r="AP615" t="s">
        <v>20317</v>
      </c>
      <c r="AS615">
        <v>32.6</v>
      </c>
      <c r="AT615" t="s">
        <v>484</v>
      </c>
      <c r="AU615" t="s">
        <v>20620</v>
      </c>
      <c r="AV615" t="s">
        <v>20733</v>
      </c>
    </row>
    <row r="616" spans="1:48">
      <c r="A616" s="1">
        <f>HYPERLINK("https://lsnyc.legalserver.org/matter/dynamic-profile/view/1908818","19-1908818")</f>
        <v>0</v>
      </c>
      <c r="B616" t="s">
        <v>97</v>
      </c>
      <c r="C616" t="s">
        <v>256</v>
      </c>
      <c r="D616" t="s">
        <v>481</v>
      </c>
      <c r="F616" t="s">
        <v>1534</v>
      </c>
      <c r="G616" t="s">
        <v>3704</v>
      </c>
      <c r="H616" t="s">
        <v>6087</v>
      </c>
      <c r="I616" t="s">
        <v>8307</v>
      </c>
      <c r="J616" t="s">
        <v>9059</v>
      </c>
      <c r="K616">
        <v>11207</v>
      </c>
      <c r="L616" t="s">
        <v>9094</v>
      </c>
      <c r="M616" t="s">
        <v>9095</v>
      </c>
      <c r="N616" t="s">
        <v>9393</v>
      </c>
      <c r="O616" t="s">
        <v>11128</v>
      </c>
      <c r="P616" t="s">
        <v>11164</v>
      </c>
      <c r="R616" t="s">
        <v>11180</v>
      </c>
      <c r="S616" t="s">
        <v>9096</v>
      </c>
      <c r="T616" t="s">
        <v>11183</v>
      </c>
      <c r="V616" t="s">
        <v>410</v>
      </c>
      <c r="W616">
        <v>800</v>
      </c>
      <c r="X616" t="s">
        <v>11332</v>
      </c>
      <c r="Y616" t="s">
        <v>11336</v>
      </c>
      <c r="Z616" t="s">
        <v>11819</v>
      </c>
      <c r="AB616" t="s">
        <v>16283</v>
      </c>
      <c r="AC616">
        <v>0</v>
      </c>
      <c r="AF616">
        <v>0</v>
      </c>
      <c r="AG616">
        <v>1</v>
      </c>
      <c r="AH616">
        <v>0</v>
      </c>
      <c r="AI616">
        <v>17.58</v>
      </c>
      <c r="AL616" t="s">
        <v>19614</v>
      </c>
      <c r="AM616">
        <v>2196</v>
      </c>
      <c r="AS616">
        <v>0</v>
      </c>
      <c r="AU616" t="s">
        <v>20626</v>
      </c>
      <c r="AV616" t="s">
        <v>20733</v>
      </c>
    </row>
    <row r="617" spans="1:48">
      <c r="A617" s="1">
        <f>HYPERLINK("https://lsnyc.legalserver.org/matter/dynamic-profile/view/1910779","19-1910779")</f>
        <v>0</v>
      </c>
      <c r="B617" t="s">
        <v>55</v>
      </c>
      <c r="C617" t="s">
        <v>256</v>
      </c>
      <c r="D617" t="s">
        <v>307</v>
      </c>
      <c r="F617" t="s">
        <v>1535</v>
      </c>
      <c r="G617" t="s">
        <v>3705</v>
      </c>
      <c r="H617" t="s">
        <v>6088</v>
      </c>
      <c r="I617" t="s">
        <v>8308</v>
      </c>
      <c r="J617" t="s">
        <v>9062</v>
      </c>
      <c r="K617">
        <v>11104</v>
      </c>
      <c r="L617" t="s">
        <v>9094</v>
      </c>
      <c r="M617" t="s">
        <v>9095</v>
      </c>
      <c r="N617" t="s">
        <v>9394</v>
      </c>
      <c r="O617" t="s">
        <v>11129</v>
      </c>
      <c r="P617" t="s">
        <v>11165</v>
      </c>
      <c r="R617" t="s">
        <v>11180</v>
      </c>
      <c r="S617" t="s">
        <v>9096</v>
      </c>
      <c r="T617" t="s">
        <v>11183</v>
      </c>
      <c r="U617" t="s">
        <v>11201</v>
      </c>
      <c r="V617" t="s">
        <v>321</v>
      </c>
      <c r="W617">
        <v>1531</v>
      </c>
      <c r="X617" t="s">
        <v>11331</v>
      </c>
      <c r="Y617" t="s">
        <v>11336</v>
      </c>
      <c r="Z617" t="s">
        <v>11820</v>
      </c>
      <c r="AA617" t="s">
        <v>15386</v>
      </c>
      <c r="AB617" t="s">
        <v>16284</v>
      </c>
      <c r="AC617">
        <v>96</v>
      </c>
      <c r="AD617" t="s">
        <v>19566</v>
      </c>
      <c r="AE617" t="s">
        <v>9144</v>
      </c>
      <c r="AF617">
        <v>15</v>
      </c>
      <c r="AG617">
        <v>1</v>
      </c>
      <c r="AH617">
        <v>0</v>
      </c>
      <c r="AI617">
        <v>17.58</v>
      </c>
      <c r="AL617" t="s">
        <v>19614</v>
      </c>
      <c r="AM617">
        <v>2196</v>
      </c>
      <c r="AS617">
        <v>6.13</v>
      </c>
      <c r="AT617" t="s">
        <v>321</v>
      </c>
      <c r="AU617" t="s">
        <v>20619</v>
      </c>
      <c r="AV617" t="s">
        <v>20733</v>
      </c>
    </row>
    <row r="618" spans="1:48">
      <c r="A618" s="1">
        <f>HYPERLINK("https://lsnyc.legalserver.org/matter/dynamic-profile/view/1907109","19-1907109")</f>
        <v>0</v>
      </c>
      <c r="B618" t="s">
        <v>98</v>
      </c>
      <c r="C618" t="s">
        <v>257</v>
      </c>
      <c r="D618" t="s">
        <v>498</v>
      </c>
      <c r="E618" t="s">
        <v>574</v>
      </c>
      <c r="F618" t="s">
        <v>1536</v>
      </c>
      <c r="G618" t="s">
        <v>2035</v>
      </c>
      <c r="H618" t="s">
        <v>6089</v>
      </c>
      <c r="I618" t="s">
        <v>8309</v>
      </c>
      <c r="J618" t="s">
        <v>9065</v>
      </c>
      <c r="K618">
        <v>10468</v>
      </c>
      <c r="L618" t="s">
        <v>9094</v>
      </c>
      <c r="M618" t="s">
        <v>9095</v>
      </c>
      <c r="O618" t="s">
        <v>9121</v>
      </c>
      <c r="P618" t="s">
        <v>11167</v>
      </c>
      <c r="Q618" t="s">
        <v>11173</v>
      </c>
      <c r="R618" t="s">
        <v>11180</v>
      </c>
      <c r="S618" t="s">
        <v>9096</v>
      </c>
      <c r="T618" t="s">
        <v>11183</v>
      </c>
      <c r="W618">
        <v>1750</v>
      </c>
      <c r="X618" t="s">
        <v>11333</v>
      </c>
      <c r="Y618" t="s">
        <v>11346</v>
      </c>
      <c r="Z618" t="s">
        <v>11821</v>
      </c>
      <c r="AB618" t="s">
        <v>16285</v>
      </c>
      <c r="AC618">
        <v>52</v>
      </c>
      <c r="AD618" t="s">
        <v>19566</v>
      </c>
      <c r="AE618" t="s">
        <v>11157</v>
      </c>
      <c r="AF618">
        <v>0</v>
      </c>
      <c r="AG618">
        <v>1</v>
      </c>
      <c r="AH618">
        <v>0</v>
      </c>
      <c r="AI618">
        <v>17.59</v>
      </c>
      <c r="AL618" t="s">
        <v>19614</v>
      </c>
      <c r="AM618">
        <v>2197</v>
      </c>
      <c r="AS618">
        <v>1</v>
      </c>
      <c r="AT618" t="s">
        <v>314</v>
      </c>
      <c r="AU618" t="s">
        <v>220</v>
      </c>
      <c r="AV618" t="s">
        <v>20733</v>
      </c>
    </row>
    <row r="619" spans="1:48">
      <c r="A619" s="1">
        <f>HYPERLINK("https://lsnyc.legalserver.org/matter/dynamic-profile/view/1858122","18-1858122")</f>
        <v>0</v>
      </c>
      <c r="B619" t="s">
        <v>122</v>
      </c>
      <c r="C619" t="s">
        <v>256</v>
      </c>
      <c r="D619" t="s">
        <v>579</v>
      </c>
      <c r="F619" t="s">
        <v>1537</v>
      </c>
      <c r="G619" t="s">
        <v>3381</v>
      </c>
      <c r="H619" t="s">
        <v>6090</v>
      </c>
      <c r="I619" t="s">
        <v>8310</v>
      </c>
      <c r="J619" t="s">
        <v>9066</v>
      </c>
      <c r="K619">
        <v>10304</v>
      </c>
      <c r="L619" t="s">
        <v>9094</v>
      </c>
      <c r="M619" t="s">
        <v>9095</v>
      </c>
      <c r="N619" t="s">
        <v>9395</v>
      </c>
      <c r="O619" t="s">
        <v>11129</v>
      </c>
      <c r="P619" t="s">
        <v>11165</v>
      </c>
      <c r="R619" t="s">
        <v>11180</v>
      </c>
      <c r="S619" t="s">
        <v>9096</v>
      </c>
      <c r="T619" t="s">
        <v>11183</v>
      </c>
      <c r="U619" t="s">
        <v>11201</v>
      </c>
      <c r="V619" t="s">
        <v>579</v>
      </c>
      <c r="W619">
        <v>1106</v>
      </c>
      <c r="X619" t="s">
        <v>11334</v>
      </c>
      <c r="Y619" t="s">
        <v>11340</v>
      </c>
      <c r="Z619" t="s">
        <v>11822</v>
      </c>
      <c r="AB619" t="s">
        <v>16286</v>
      </c>
      <c r="AC619">
        <v>305</v>
      </c>
      <c r="AD619" t="s">
        <v>19567</v>
      </c>
      <c r="AE619" t="s">
        <v>19580</v>
      </c>
      <c r="AF619">
        <v>16</v>
      </c>
      <c r="AG619">
        <v>2</v>
      </c>
      <c r="AH619">
        <v>1</v>
      </c>
      <c r="AI619">
        <v>17.63</v>
      </c>
      <c r="AL619" t="s">
        <v>19614</v>
      </c>
      <c r="AM619">
        <v>12276</v>
      </c>
      <c r="AS619">
        <v>7.1</v>
      </c>
      <c r="AT619" t="s">
        <v>448</v>
      </c>
      <c r="AU619" t="s">
        <v>20652</v>
      </c>
    </row>
    <row r="620" spans="1:48">
      <c r="A620" s="1">
        <f>HYPERLINK("https://lsnyc.legalserver.org/matter/dynamic-profile/view/0789062","15-0789062")</f>
        <v>0</v>
      </c>
      <c r="B620" t="s">
        <v>119</v>
      </c>
      <c r="C620" t="s">
        <v>256</v>
      </c>
      <c r="D620" t="s">
        <v>580</v>
      </c>
      <c r="F620" t="s">
        <v>1523</v>
      </c>
      <c r="G620" t="s">
        <v>3364</v>
      </c>
      <c r="H620" t="s">
        <v>5897</v>
      </c>
      <c r="I620" t="s">
        <v>8304</v>
      </c>
      <c r="J620" t="s">
        <v>9065</v>
      </c>
      <c r="K620">
        <v>10452</v>
      </c>
      <c r="L620" t="s">
        <v>9094</v>
      </c>
      <c r="M620" t="s">
        <v>9095</v>
      </c>
      <c r="N620" t="s">
        <v>9250</v>
      </c>
      <c r="O620" t="s">
        <v>11132</v>
      </c>
      <c r="P620" t="s">
        <v>11165</v>
      </c>
      <c r="R620" t="s">
        <v>11180</v>
      </c>
      <c r="S620" t="s">
        <v>9094</v>
      </c>
      <c r="T620" t="s">
        <v>11183</v>
      </c>
      <c r="V620" t="s">
        <v>11235</v>
      </c>
      <c r="W620">
        <v>1385.93</v>
      </c>
      <c r="X620" t="s">
        <v>11333</v>
      </c>
      <c r="Y620" t="s">
        <v>11347</v>
      </c>
      <c r="Z620" t="s">
        <v>11808</v>
      </c>
      <c r="AA620" t="s">
        <v>15385</v>
      </c>
      <c r="AB620" t="s">
        <v>16272</v>
      </c>
      <c r="AC620">
        <v>122</v>
      </c>
      <c r="AD620" t="s">
        <v>19566</v>
      </c>
      <c r="AE620" t="s">
        <v>19580</v>
      </c>
      <c r="AF620">
        <v>24</v>
      </c>
      <c r="AG620">
        <v>1</v>
      </c>
      <c r="AH620">
        <v>0</v>
      </c>
      <c r="AI620">
        <v>17.72</v>
      </c>
      <c r="AL620" t="s">
        <v>19614</v>
      </c>
      <c r="AM620">
        <v>2085.2</v>
      </c>
      <c r="AS620">
        <v>1.1</v>
      </c>
      <c r="AT620" t="s">
        <v>507</v>
      </c>
      <c r="AU620" t="s">
        <v>109</v>
      </c>
    </row>
    <row r="621" spans="1:48">
      <c r="A621" s="1">
        <f>HYPERLINK("https://lsnyc.legalserver.org/matter/dynamic-profile/view/1877409","18-1877409")</f>
        <v>0</v>
      </c>
      <c r="B621" t="s">
        <v>159</v>
      </c>
      <c r="C621" t="s">
        <v>256</v>
      </c>
      <c r="D621" t="s">
        <v>581</v>
      </c>
      <c r="F621" t="s">
        <v>1538</v>
      </c>
      <c r="G621" t="s">
        <v>3706</v>
      </c>
      <c r="H621" t="s">
        <v>6091</v>
      </c>
      <c r="I621" t="s">
        <v>8179</v>
      </c>
      <c r="J621" t="s">
        <v>9065</v>
      </c>
      <c r="K621">
        <v>10459</v>
      </c>
      <c r="L621" t="s">
        <v>9094</v>
      </c>
      <c r="M621" t="s">
        <v>9094</v>
      </c>
      <c r="N621" t="s">
        <v>9396</v>
      </c>
      <c r="O621" t="s">
        <v>11128</v>
      </c>
      <c r="P621" t="s">
        <v>11165</v>
      </c>
      <c r="R621" t="s">
        <v>11180</v>
      </c>
      <c r="S621" t="s">
        <v>9096</v>
      </c>
      <c r="T621" t="s">
        <v>11183</v>
      </c>
      <c r="U621" t="s">
        <v>11201</v>
      </c>
      <c r="V621" t="s">
        <v>581</v>
      </c>
      <c r="W621">
        <v>1200</v>
      </c>
      <c r="X621" t="s">
        <v>11333</v>
      </c>
      <c r="Y621" t="s">
        <v>11336</v>
      </c>
      <c r="Z621" t="s">
        <v>11823</v>
      </c>
      <c r="AA621" t="s">
        <v>15387</v>
      </c>
      <c r="AB621" t="s">
        <v>16287</v>
      </c>
      <c r="AC621">
        <v>92</v>
      </c>
      <c r="AD621" t="s">
        <v>19567</v>
      </c>
      <c r="AE621" t="s">
        <v>19580</v>
      </c>
      <c r="AF621">
        <v>10</v>
      </c>
      <c r="AG621">
        <v>1</v>
      </c>
      <c r="AH621">
        <v>0</v>
      </c>
      <c r="AI621">
        <v>17.79</v>
      </c>
      <c r="AL621" t="s">
        <v>19615</v>
      </c>
      <c r="AM621">
        <v>2160</v>
      </c>
      <c r="AN621" t="s">
        <v>19718</v>
      </c>
      <c r="AO621" t="s">
        <v>20292</v>
      </c>
      <c r="AP621" t="s">
        <v>20313</v>
      </c>
      <c r="AQ621" t="s">
        <v>20369</v>
      </c>
      <c r="AR621" t="s">
        <v>20406</v>
      </c>
      <c r="AS621">
        <v>47.75</v>
      </c>
      <c r="AT621" t="s">
        <v>1130</v>
      </c>
      <c r="AU621" t="s">
        <v>20647</v>
      </c>
    </row>
    <row r="622" spans="1:48">
      <c r="A622" s="1">
        <f>HYPERLINK("https://lsnyc.legalserver.org/matter/dynamic-profile/view/1887017","19-1887017")</f>
        <v>0</v>
      </c>
      <c r="B622" t="s">
        <v>115</v>
      </c>
      <c r="C622" t="s">
        <v>256</v>
      </c>
      <c r="D622" t="s">
        <v>582</v>
      </c>
      <c r="F622" t="s">
        <v>1539</v>
      </c>
      <c r="G622" t="s">
        <v>1260</v>
      </c>
      <c r="H622" t="s">
        <v>6092</v>
      </c>
      <c r="I622" t="s">
        <v>8217</v>
      </c>
      <c r="J622" t="s">
        <v>9065</v>
      </c>
      <c r="K622">
        <v>10459</v>
      </c>
      <c r="L622" t="s">
        <v>9094</v>
      </c>
      <c r="M622" t="s">
        <v>9094</v>
      </c>
      <c r="O622" t="s">
        <v>11130</v>
      </c>
      <c r="P622" t="s">
        <v>11165</v>
      </c>
      <c r="R622" t="s">
        <v>11180</v>
      </c>
      <c r="S622" t="s">
        <v>9094</v>
      </c>
      <c r="T622" t="s">
        <v>11183</v>
      </c>
      <c r="V622" t="s">
        <v>354</v>
      </c>
      <c r="W622">
        <v>1000</v>
      </c>
      <c r="X622" t="s">
        <v>11333</v>
      </c>
      <c r="Y622" t="s">
        <v>11346</v>
      </c>
      <c r="Z622" t="s">
        <v>11824</v>
      </c>
      <c r="AB622" t="s">
        <v>16288</v>
      </c>
      <c r="AC622">
        <v>48</v>
      </c>
      <c r="AD622" t="s">
        <v>19567</v>
      </c>
      <c r="AE622" t="s">
        <v>19584</v>
      </c>
      <c r="AF622">
        <v>15</v>
      </c>
      <c r="AG622">
        <v>1</v>
      </c>
      <c r="AH622">
        <v>0</v>
      </c>
      <c r="AI622">
        <v>17.79</v>
      </c>
      <c r="AL622" t="s">
        <v>19614</v>
      </c>
      <c r="AM622">
        <v>2160</v>
      </c>
      <c r="AS622">
        <v>6.1</v>
      </c>
      <c r="AT622" t="s">
        <v>1130</v>
      </c>
      <c r="AU622" t="s">
        <v>163</v>
      </c>
    </row>
    <row r="623" spans="1:48">
      <c r="A623" s="1">
        <f>HYPERLINK("https://lsnyc.legalserver.org/matter/dynamic-profile/view/1883400","18-1883400")</f>
        <v>0</v>
      </c>
      <c r="B623" t="s">
        <v>98</v>
      </c>
      <c r="C623" t="s">
        <v>257</v>
      </c>
      <c r="D623" t="s">
        <v>583</v>
      </c>
      <c r="E623" t="s">
        <v>574</v>
      </c>
      <c r="F623" t="s">
        <v>1528</v>
      </c>
      <c r="G623" t="s">
        <v>3699</v>
      </c>
      <c r="H623" t="s">
        <v>6081</v>
      </c>
      <c r="I623" t="s">
        <v>8151</v>
      </c>
      <c r="J623" t="s">
        <v>9065</v>
      </c>
      <c r="K623">
        <v>10452</v>
      </c>
      <c r="L623" t="s">
        <v>9094</v>
      </c>
      <c r="M623" t="s">
        <v>9094</v>
      </c>
      <c r="N623" t="s">
        <v>9397</v>
      </c>
      <c r="O623" t="s">
        <v>11130</v>
      </c>
      <c r="P623" t="s">
        <v>11165</v>
      </c>
      <c r="Q623" t="s">
        <v>11174</v>
      </c>
      <c r="R623" t="s">
        <v>11180</v>
      </c>
      <c r="S623" t="s">
        <v>9094</v>
      </c>
      <c r="T623" t="s">
        <v>11183</v>
      </c>
      <c r="V623" t="s">
        <v>738</v>
      </c>
      <c r="W623">
        <v>1000</v>
      </c>
      <c r="X623" t="s">
        <v>11333</v>
      </c>
      <c r="Y623" t="s">
        <v>11339</v>
      </c>
      <c r="Z623" t="s">
        <v>11813</v>
      </c>
      <c r="AA623" t="s">
        <v>15382</v>
      </c>
      <c r="AB623" t="s">
        <v>16277</v>
      </c>
      <c r="AC623">
        <v>41</v>
      </c>
      <c r="AD623" t="s">
        <v>19566</v>
      </c>
      <c r="AE623" t="s">
        <v>19581</v>
      </c>
      <c r="AF623">
        <v>7</v>
      </c>
      <c r="AG623">
        <v>1</v>
      </c>
      <c r="AH623">
        <v>2</v>
      </c>
      <c r="AI623">
        <v>17.9</v>
      </c>
      <c r="AL623" t="s">
        <v>19614</v>
      </c>
      <c r="AM623">
        <v>3720</v>
      </c>
      <c r="AS623">
        <v>0.15</v>
      </c>
      <c r="AT623" t="s">
        <v>335</v>
      </c>
      <c r="AU623" t="s">
        <v>20642</v>
      </c>
    </row>
    <row r="624" spans="1:48">
      <c r="A624" s="1">
        <f>HYPERLINK("https://lsnyc.legalserver.org/matter/dynamic-profile/view/1884061","18-1884061")</f>
        <v>0</v>
      </c>
      <c r="B624" t="s">
        <v>98</v>
      </c>
      <c r="C624" t="s">
        <v>256</v>
      </c>
      <c r="D624" t="s">
        <v>358</v>
      </c>
      <c r="F624" t="s">
        <v>1528</v>
      </c>
      <c r="G624" t="s">
        <v>3699</v>
      </c>
      <c r="H624" t="s">
        <v>6081</v>
      </c>
      <c r="I624" t="s">
        <v>8151</v>
      </c>
      <c r="J624" t="s">
        <v>9065</v>
      </c>
      <c r="K624">
        <v>10452</v>
      </c>
      <c r="L624" t="s">
        <v>9094</v>
      </c>
      <c r="M624" t="s">
        <v>9094</v>
      </c>
      <c r="N624" t="s">
        <v>9398</v>
      </c>
      <c r="O624" t="s">
        <v>11129</v>
      </c>
      <c r="P624" t="s">
        <v>11165</v>
      </c>
      <c r="R624" t="s">
        <v>11180</v>
      </c>
      <c r="S624" t="s">
        <v>9096</v>
      </c>
      <c r="T624" t="s">
        <v>11183</v>
      </c>
      <c r="U624" t="s">
        <v>11201</v>
      </c>
      <c r="V624" t="s">
        <v>738</v>
      </c>
      <c r="W624">
        <v>1519.01</v>
      </c>
      <c r="X624" t="s">
        <v>11333</v>
      </c>
      <c r="Y624" t="s">
        <v>11340</v>
      </c>
      <c r="Z624" t="s">
        <v>11813</v>
      </c>
      <c r="AA624" t="s">
        <v>15382</v>
      </c>
      <c r="AB624" t="s">
        <v>16277</v>
      </c>
      <c r="AC624">
        <v>41</v>
      </c>
      <c r="AD624" t="s">
        <v>19566</v>
      </c>
      <c r="AE624" t="s">
        <v>19581</v>
      </c>
      <c r="AF624">
        <v>7</v>
      </c>
      <c r="AG624">
        <v>1</v>
      </c>
      <c r="AH624">
        <v>2</v>
      </c>
      <c r="AI624">
        <v>17.9</v>
      </c>
      <c r="AL624" t="s">
        <v>19614</v>
      </c>
      <c r="AM624">
        <v>3720</v>
      </c>
      <c r="AS624">
        <v>56.65</v>
      </c>
      <c r="AT624" t="s">
        <v>1130</v>
      </c>
      <c r="AU624" t="s">
        <v>20642</v>
      </c>
    </row>
    <row r="625" spans="1:48">
      <c r="A625" s="1">
        <f>HYPERLINK("https://lsnyc.legalserver.org/matter/dynamic-profile/view/1902158","19-1902158")</f>
        <v>0</v>
      </c>
      <c r="B625" t="s">
        <v>70</v>
      </c>
      <c r="C625" t="s">
        <v>256</v>
      </c>
      <c r="D625" t="s">
        <v>584</v>
      </c>
      <c r="F625" t="s">
        <v>1382</v>
      </c>
      <c r="G625" t="s">
        <v>3707</v>
      </c>
      <c r="H625" t="s">
        <v>5748</v>
      </c>
      <c r="I625" t="s">
        <v>8311</v>
      </c>
      <c r="J625" t="s">
        <v>9059</v>
      </c>
      <c r="K625">
        <v>11233</v>
      </c>
      <c r="L625" t="s">
        <v>9094</v>
      </c>
      <c r="M625" t="s">
        <v>9095</v>
      </c>
      <c r="N625" t="s">
        <v>9145</v>
      </c>
      <c r="O625" t="s">
        <v>11134</v>
      </c>
      <c r="P625" t="s">
        <v>11168</v>
      </c>
      <c r="R625" t="s">
        <v>11180</v>
      </c>
      <c r="S625" t="s">
        <v>9094</v>
      </c>
      <c r="T625" t="s">
        <v>11183</v>
      </c>
      <c r="U625" t="s">
        <v>11201</v>
      </c>
      <c r="V625" t="s">
        <v>482</v>
      </c>
      <c r="W625">
        <v>1170</v>
      </c>
      <c r="X625" t="s">
        <v>11332</v>
      </c>
      <c r="Y625" t="s">
        <v>11157</v>
      </c>
      <c r="Z625" t="s">
        <v>11422</v>
      </c>
      <c r="AC625">
        <v>359</v>
      </c>
      <c r="AD625" t="s">
        <v>19566</v>
      </c>
      <c r="AF625">
        <v>29</v>
      </c>
      <c r="AG625">
        <v>3</v>
      </c>
      <c r="AH625">
        <v>4</v>
      </c>
      <c r="AI625">
        <v>17.94</v>
      </c>
      <c r="AL625" t="s">
        <v>19614</v>
      </c>
      <c r="AM625">
        <v>7000</v>
      </c>
      <c r="AN625" t="s">
        <v>19642</v>
      </c>
      <c r="AS625">
        <v>0</v>
      </c>
      <c r="AU625" t="s">
        <v>79</v>
      </c>
      <c r="AV625" t="s">
        <v>9144</v>
      </c>
    </row>
    <row r="626" spans="1:48">
      <c r="A626" s="1">
        <f>HYPERLINK("https://lsnyc.legalserver.org/matter/dynamic-profile/view/1902163","19-1902163")</f>
        <v>0</v>
      </c>
      <c r="B626" t="s">
        <v>70</v>
      </c>
      <c r="C626" t="s">
        <v>256</v>
      </c>
      <c r="D626" t="s">
        <v>584</v>
      </c>
      <c r="F626" t="s">
        <v>1382</v>
      </c>
      <c r="G626" t="s">
        <v>3707</v>
      </c>
      <c r="H626" t="s">
        <v>5748</v>
      </c>
      <c r="I626" t="s">
        <v>8311</v>
      </c>
      <c r="J626" t="s">
        <v>9059</v>
      </c>
      <c r="K626">
        <v>11233</v>
      </c>
      <c r="L626" t="s">
        <v>9094</v>
      </c>
      <c r="M626" t="s">
        <v>9095</v>
      </c>
      <c r="N626" t="s">
        <v>9154</v>
      </c>
      <c r="O626" t="s">
        <v>11137</v>
      </c>
      <c r="P626" t="s">
        <v>11167</v>
      </c>
      <c r="R626" t="s">
        <v>11180</v>
      </c>
      <c r="S626" t="s">
        <v>9094</v>
      </c>
      <c r="T626" t="s">
        <v>11183</v>
      </c>
      <c r="U626" t="s">
        <v>11201</v>
      </c>
      <c r="V626" t="s">
        <v>749</v>
      </c>
      <c r="W626">
        <v>1170</v>
      </c>
      <c r="X626" t="s">
        <v>11332</v>
      </c>
      <c r="Y626" t="s">
        <v>11157</v>
      </c>
      <c r="Z626" t="s">
        <v>11422</v>
      </c>
      <c r="AC626">
        <v>359</v>
      </c>
      <c r="AD626" t="s">
        <v>19566</v>
      </c>
      <c r="AF626">
        <v>29</v>
      </c>
      <c r="AG626">
        <v>3</v>
      </c>
      <c r="AH626">
        <v>4</v>
      </c>
      <c r="AI626">
        <v>17.94</v>
      </c>
      <c r="AL626" t="s">
        <v>19614</v>
      </c>
      <c r="AM626">
        <v>7000</v>
      </c>
      <c r="AN626" t="s">
        <v>19719</v>
      </c>
      <c r="AS626">
        <v>0</v>
      </c>
      <c r="AU626" t="s">
        <v>79</v>
      </c>
      <c r="AV626" t="s">
        <v>9144</v>
      </c>
    </row>
    <row r="627" spans="1:48">
      <c r="A627" s="1">
        <f>HYPERLINK("https://lsnyc.legalserver.org/matter/dynamic-profile/view/1874150","18-1874150")</f>
        <v>0</v>
      </c>
      <c r="B627" t="s">
        <v>138</v>
      </c>
      <c r="C627" t="s">
        <v>256</v>
      </c>
      <c r="D627" t="s">
        <v>585</v>
      </c>
      <c r="F627" t="s">
        <v>1540</v>
      </c>
      <c r="G627" t="s">
        <v>3708</v>
      </c>
      <c r="H627" t="s">
        <v>6093</v>
      </c>
      <c r="I627">
        <v>44</v>
      </c>
      <c r="J627" t="s">
        <v>9067</v>
      </c>
      <c r="K627">
        <v>10034</v>
      </c>
      <c r="L627" t="s">
        <v>9094</v>
      </c>
      <c r="M627" t="s">
        <v>9094</v>
      </c>
      <c r="N627" t="s">
        <v>9399</v>
      </c>
      <c r="O627" t="s">
        <v>11129</v>
      </c>
      <c r="P627" t="s">
        <v>11165</v>
      </c>
      <c r="R627" t="s">
        <v>11180</v>
      </c>
      <c r="S627" t="s">
        <v>9096</v>
      </c>
      <c r="T627" t="s">
        <v>11183</v>
      </c>
      <c r="V627" t="s">
        <v>313</v>
      </c>
      <c r="W627">
        <v>1047.13</v>
      </c>
      <c r="X627" t="s">
        <v>11335</v>
      </c>
      <c r="Y627" t="s">
        <v>11338</v>
      </c>
      <c r="Z627" t="s">
        <v>11825</v>
      </c>
      <c r="AB627" t="s">
        <v>16289</v>
      </c>
      <c r="AC627">
        <v>25</v>
      </c>
      <c r="AD627" t="s">
        <v>19566</v>
      </c>
      <c r="AE627" t="s">
        <v>9144</v>
      </c>
      <c r="AF627">
        <v>18</v>
      </c>
      <c r="AG627">
        <v>1</v>
      </c>
      <c r="AH627">
        <v>0</v>
      </c>
      <c r="AI627">
        <v>18.09</v>
      </c>
      <c r="AL627" t="s">
        <v>19615</v>
      </c>
      <c r="AM627">
        <v>2196</v>
      </c>
      <c r="AS627">
        <v>33.78</v>
      </c>
      <c r="AT627" t="s">
        <v>288</v>
      </c>
      <c r="AU627" t="s">
        <v>20619</v>
      </c>
      <c r="AV627" t="s">
        <v>20733</v>
      </c>
    </row>
    <row r="628" spans="1:48">
      <c r="A628" s="1">
        <f>HYPERLINK("https://lsnyc.legalserver.org/matter/dynamic-profile/view/1881386","18-1881386")</f>
        <v>0</v>
      </c>
      <c r="B628" t="s">
        <v>73</v>
      </c>
      <c r="C628" t="s">
        <v>256</v>
      </c>
      <c r="D628" t="s">
        <v>586</v>
      </c>
      <c r="F628" t="s">
        <v>1467</v>
      </c>
      <c r="G628" t="s">
        <v>3649</v>
      </c>
      <c r="H628" t="s">
        <v>6013</v>
      </c>
      <c r="I628" t="s">
        <v>8141</v>
      </c>
      <c r="J628" t="s">
        <v>9059</v>
      </c>
      <c r="K628">
        <v>11233</v>
      </c>
      <c r="L628" t="s">
        <v>9094</v>
      </c>
      <c r="M628" t="s">
        <v>9094</v>
      </c>
      <c r="N628" t="s">
        <v>9328</v>
      </c>
      <c r="O628" t="s">
        <v>11129</v>
      </c>
      <c r="P628" t="s">
        <v>11165</v>
      </c>
      <c r="R628" t="s">
        <v>11180</v>
      </c>
      <c r="S628" t="s">
        <v>9096</v>
      </c>
      <c r="T628" t="s">
        <v>11183</v>
      </c>
      <c r="U628" t="s">
        <v>11201</v>
      </c>
      <c r="V628" t="s">
        <v>586</v>
      </c>
      <c r="W628">
        <v>1515</v>
      </c>
      <c r="X628" t="s">
        <v>11332</v>
      </c>
      <c r="Y628" t="s">
        <v>11336</v>
      </c>
      <c r="Z628" t="s">
        <v>11738</v>
      </c>
      <c r="AA628" t="s">
        <v>15343</v>
      </c>
      <c r="AB628" t="s">
        <v>16203</v>
      </c>
      <c r="AC628">
        <v>6</v>
      </c>
      <c r="AD628" t="s">
        <v>19566</v>
      </c>
      <c r="AE628" t="s">
        <v>19588</v>
      </c>
      <c r="AF628">
        <v>5</v>
      </c>
      <c r="AG628">
        <v>1</v>
      </c>
      <c r="AH628">
        <v>0</v>
      </c>
      <c r="AI628">
        <v>18.2</v>
      </c>
      <c r="AL628" t="s">
        <v>19614</v>
      </c>
      <c r="AM628">
        <v>2210</v>
      </c>
      <c r="AN628" t="s">
        <v>19720</v>
      </c>
      <c r="AS628">
        <v>59.45</v>
      </c>
      <c r="AT628" t="s">
        <v>594</v>
      </c>
      <c r="AU628" t="s">
        <v>95</v>
      </c>
    </row>
    <row r="629" spans="1:48">
      <c r="A629" s="1">
        <f>HYPERLINK("https://lsnyc.legalserver.org/matter/dynamic-profile/view/1847656","17-1847656")</f>
        <v>0</v>
      </c>
      <c r="B629" t="s">
        <v>73</v>
      </c>
      <c r="C629" t="s">
        <v>256</v>
      </c>
      <c r="D629" t="s">
        <v>587</v>
      </c>
      <c r="F629" t="s">
        <v>1541</v>
      </c>
      <c r="G629" t="s">
        <v>3644</v>
      </c>
      <c r="H629" t="s">
        <v>6094</v>
      </c>
      <c r="I629" t="s">
        <v>8141</v>
      </c>
      <c r="J629" t="s">
        <v>9059</v>
      </c>
      <c r="K629">
        <v>11237</v>
      </c>
      <c r="L629" t="s">
        <v>9094</v>
      </c>
      <c r="M629" t="s">
        <v>9095</v>
      </c>
      <c r="N629" t="s">
        <v>9400</v>
      </c>
      <c r="O629" t="s">
        <v>11128</v>
      </c>
      <c r="P629" t="s">
        <v>11165</v>
      </c>
      <c r="R629" t="s">
        <v>11180</v>
      </c>
      <c r="S629" t="s">
        <v>9096</v>
      </c>
      <c r="T629" t="s">
        <v>11183</v>
      </c>
      <c r="V629" t="s">
        <v>532</v>
      </c>
      <c r="W629">
        <v>576</v>
      </c>
      <c r="X629" t="s">
        <v>11332</v>
      </c>
      <c r="Y629" t="s">
        <v>11157</v>
      </c>
      <c r="Z629" t="s">
        <v>11826</v>
      </c>
      <c r="AA629" t="s">
        <v>15388</v>
      </c>
      <c r="AB629" t="s">
        <v>16290</v>
      </c>
      <c r="AC629">
        <v>6</v>
      </c>
      <c r="AD629" t="s">
        <v>19566</v>
      </c>
      <c r="AE629" t="s">
        <v>9144</v>
      </c>
      <c r="AF629">
        <v>30</v>
      </c>
      <c r="AG629">
        <v>1</v>
      </c>
      <c r="AH629">
        <v>0</v>
      </c>
      <c r="AI629">
        <v>18.21</v>
      </c>
      <c r="AL629" t="s">
        <v>19614</v>
      </c>
      <c r="AM629">
        <v>2196</v>
      </c>
      <c r="AS629">
        <v>86.16</v>
      </c>
      <c r="AT629" t="s">
        <v>301</v>
      </c>
      <c r="AU629" t="s">
        <v>20672</v>
      </c>
    </row>
    <row r="630" spans="1:48">
      <c r="A630" s="1">
        <f>HYPERLINK("https://lsnyc.legalserver.org/matter/dynamic-profile/view/1893025","19-1893025")</f>
        <v>0</v>
      </c>
      <c r="B630" t="s">
        <v>108</v>
      </c>
      <c r="C630" t="s">
        <v>256</v>
      </c>
      <c r="D630" t="s">
        <v>423</v>
      </c>
      <c r="F630" t="s">
        <v>1298</v>
      </c>
      <c r="G630" t="s">
        <v>3709</v>
      </c>
      <c r="H630" t="s">
        <v>5859</v>
      </c>
      <c r="I630" t="s">
        <v>8169</v>
      </c>
      <c r="J630" t="s">
        <v>9065</v>
      </c>
      <c r="K630">
        <v>10467</v>
      </c>
      <c r="L630" t="s">
        <v>9094</v>
      </c>
      <c r="M630" t="s">
        <v>9094</v>
      </c>
      <c r="P630" t="s">
        <v>11166</v>
      </c>
      <c r="R630" t="s">
        <v>11180</v>
      </c>
      <c r="S630" t="s">
        <v>9094</v>
      </c>
      <c r="T630" t="s">
        <v>11183</v>
      </c>
      <c r="V630" t="s">
        <v>11218</v>
      </c>
      <c r="W630">
        <v>1284</v>
      </c>
      <c r="X630" t="s">
        <v>11333</v>
      </c>
      <c r="Y630" t="s">
        <v>11339</v>
      </c>
      <c r="Z630" t="s">
        <v>11827</v>
      </c>
      <c r="AC630">
        <v>122</v>
      </c>
      <c r="AD630" t="s">
        <v>19565</v>
      </c>
      <c r="AF630">
        <v>4</v>
      </c>
      <c r="AG630">
        <v>1</v>
      </c>
      <c r="AH630">
        <v>1</v>
      </c>
      <c r="AI630">
        <v>18.3</v>
      </c>
      <c r="AL630" t="s">
        <v>19614</v>
      </c>
      <c r="AM630">
        <v>3094</v>
      </c>
      <c r="AS630">
        <v>0.1</v>
      </c>
      <c r="AT630" t="s">
        <v>414</v>
      </c>
      <c r="AU630" t="s">
        <v>220</v>
      </c>
      <c r="AV630" t="s">
        <v>20733</v>
      </c>
    </row>
    <row r="631" spans="1:48">
      <c r="A631" s="1">
        <f>HYPERLINK("https://lsnyc.legalserver.org/matter/dynamic-profile/view/1904637","19-1904637")</f>
        <v>0</v>
      </c>
      <c r="B631" t="s">
        <v>119</v>
      </c>
      <c r="C631" t="s">
        <v>256</v>
      </c>
      <c r="D631" t="s">
        <v>497</v>
      </c>
      <c r="F631" t="s">
        <v>1487</v>
      </c>
      <c r="G631" t="s">
        <v>3710</v>
      </c>
      <c r="H631" t="s">
        <v>6095</v>
      </c>
      <c r="I631" t="s">
        <v>8312</v>
      </c>
      <c r="J631" t="s">
        <v>9065</v>
      </c>
      <c r="K631">
        <v>10456</v>
      </c>
      <c r="L631" t="s">
        <v>9094</v>
      </c>
      <c r="M631" t="s">
        <v>9095</v>
      </c>
      <c r="N631" t="s">
        <v>9401</v>
      </c>
      <c r="O631" t="s">
        <v>11134</v>
      </c>
      <c r="P631" t="s">
        <v>11168</v>
      </c>
      <c r="R631" t="s">
        <v>11180</v>
      </c>
      <c r="S631" t="s">
        <v>9094</v>
      </c>
      <c r="T631" t="s">
        <v>11183</v>
      </c>
      <c r="V631" t="s">
        <v>11218</v>
      </c>
      <c r="W631">
        <v>820</v>
      </c>
      <c r="X631" t="s">
        <v>11333</v>
      </c>
      <c r="Y631" t="s">
        <v>11346</v>
      </c>
      <c r="Z631" t="s">
        <v>11828</v>
      </c>
      <c r="AA631">
        <v>6629815</v>
      </c>
      <c r="AC631">
        <v>131</v>
      </c>
      <c r="AD631" t="s">
        <v>19566</v>
      </c>
      <c r="AE631" t="s">
        <v>19582</v>
      </c>
      <c r="AF631">
        <v>9</v>
      </c>
      <c r="AG631">
        <v>1</v>
      </c>
      <c r="AH631">
        <v>3</v>
      </c>
      <c r="AI631">
        <v>18.31</v>
      </c>
      <c r="AL631" t="s">
        <v>19614</v>
      </c>
      <c r="AM631">
        <v>4715.04</v>
      </c>
      <c r="AS631">
        <v>0</v>
      </c>
      <c r="AU631" t="s">
        <v>163</v>
      </c>
      <c r="AV631" t="s">
        <v>20733</v>
      </c>
    </row>
    <row r="632" spans="1:48">
      <c r="A632" s="1">
        <f>HYPERLINK("https://lsnyc.legalserver.org/matter/dynamic-profile/view/1869741","18-1869741")</f>
        <v>0</v>
      </c>
      <c r="B632" t="s">
        <v>56</v>
      </c>
      <c r="C632" t="s">
        <v>256</v>
      </c>
      <c r="D632" t="s">
        <v>588</v>
      </c>
      <c r="F632" t="s">
        <v>1542</v>
      </c>
      <c r="G632" t="s">
        <v>3711</v>
      </c>
      <c r="H632" t="s">
        <v>6096</v>
      </c>
      <c r="I632" t="s">
        <v>8140</v>
      </c>
      <c r="J632" t="s">
        <v>9038</v>
      </c>
      <c r="K632">
        <v>11691</v>
      </c>
      <c r="L632" t="s">
        <v>9094</v>
      </c>
      <c r="M632" t="s">
        <v>9095</v>
      </c>
      <c r="N632" t="s">
        <v>9402</v>
      </c>
      <c r="O632" t="s">
        <v>11129</v>
      </c>
      <c r="P632" t="s">
        <v>11165</v>
      </c>
      <c r="R632" t="s">
        <v>11180</v>
      </c>
      <c r="S632" t="s">
        <v>9096</v>
      </c>
      <c r="T632" t="s">
        <v>11183</v>
      </c>
      <c r="V632" t="s">
        <v>588</v>
      </c>
      <c r="W632">
        <v>1043.08</v>
      </c>
      <c r="X632" t="s">
        <v>11331</v>
      </c>
      <c r="Y632" t="s">
        <v>11336</v>
      </c>
      <c r="Z632" t="s">
        <v>11829</v>
      </c>
      <c r="AA632" t="s">
        <v>15389</v>
      </c>
      <c r="AB632" t="s">
        <v>16291</v>
      </c>
      <c r="AC632">
        <v>20</v>
      </c>
      <c r="AD632" t="s">
        <v>19566</v>
      </c>
      <c r="AE632" t="s">
        <v>19582</v>
      </c>
      <c r="AF632">
        <v>6</v>
      </c>
      <c r="AG632">
        <v>1</v>
      </c>
      <c r="AH632">
        <v>1</v>
      </c>
      <c r="AI632">
        <v>18.32</v>
      </c>
      <c r="AL632" t="s">
        <v>19614</v>
      </c>
      <c r="AM632">
        <v>3016</v>
      </c>
      <c r="AS632">
        <v>14.1</v>
      </c>
      <c r="AT632" t="s">
        <v>611</v>
      </c>
      <c r="AU632" t="s">
        <v>20624</v>
      </c>
    </row>
    <row r="633" spans="1:48">
      <c r="A633" s="1">
        <f>HYPERLINK("https://lsnyc.legalserver.org/matter/dynamic-profile/view/1882976","18-1882976")</f>
        <v>0</v>
      </c>
      <c r="B633" t="s">
        <v>86</v>
      </c>
      <c r="C633" t="s">
        <v>256</v>
      </c>
      <c r="D633" t="s">
        <v>589</v>
      </c>
      <c r="F633" t="s">
        <v>1543</v>
      </c>
      <c r="G633" t="s">
        <v>3712</v>
      </c>
      <c r="H633" t="s">
        <v>6097</v>
      </c>
      <c r="I633" t="s">
        <v>8119</v>
      </c>
      <c r="J633" t="s">
        <v>9059</v>
      </c>
      <c r="K633">
        <v>11226</v>
      </c>
      <c r="L633" t="s">
        <v>9094</v>
      </c>
      <c r="M633" t="s">
        <v>9094</v>
      </c>
      <c r="O633" t="s">
        <v>11130</v>
      </c>
      <c r="P633" t="s">
        <v>11165</v>
      </c>
      <c r="R633" t="s">
        <v>11180</v>
      </c>
      <c r="S633" t="s">
        <v>9094</v>
      </c>
      <c r="T633" t="s">
        <v>11183</v>
      </c>
      <c r="V633" t="s">
        <v>11236</v>
      </c>
      <c r="W633">
        <v>1200</v>
      </c>
      <c r="X633" t="s">
        <v>11332</v>
      </c>
      <c r="Y633" t="s">
        <v>11340</v>
      </c>
      <c r="Z633" t="s">
        <v>11830</v>
      </c>
      <c r="AC633">
        <v>6</v>
      </c>
      <c r="AE633" t="s">
        <v>11157</v>
      </c>
      <c r="AF633">
        <v>13</v>
      </c>
      <c r="AG633">
        <v>1</v>
      </c>
      <c r="AH633">
        <v>0</v>
      </c>
      <c r="AI633">
        <v>18.39</v>
      </c>
      <c r="AL633" t="s">
        <v>19614</v>
      </c>
      <c r="AM633">
        <v>2232</v>
      </c>
      <c r="AS633">
        <v>0.9</v>
      </c>
      <c r="AT633" t="s">
        <v>589</v>
      </c>
      <c r="AU633" t="s">
        <v>20625</v>
      </c>
    </row>
    <row r="634" spans="1:48">
      <c r="A634" s="1">
        <f>HYPERLINK("https://lsnyc.legalserver.org/matter/dynamic-profile/view/0806903","16-0806903")</f>
        <v>0</v>
      </c>
      <c r="B634" t="s">
        <v>108</v>
      </c>
      <c r="C634" t="s">
        <v>256</v>
      </c>
      <c r="D634" t="s">
        <v>590</v>
      </c>
      <c r="F634" t="s">
        <v>1544</v>
      </c>
      <c r="G634" t="s">
        <v>3713</v>
      </c>
      <c r="H634" t="s">
        <v>5897</v>
      </c>
      <c r="I634">
        <v>35</v>
      </c>
      <c r="J634" t="s">
        <v>9065</v>
      </c>
      <c r="K634">
        <v>10452</v>
      </c>
      <c r="L634" t="s">
        <v>9094</v>
      </c>
      <c r="M634" t="s">
        <v>9095</v>
      </c>
      <c r="N634" t="s">
        <v>9250</v>
      </c>
      <c r="O634" t="s">
        <v>11132</v>
      </c>
      <c r="P634" t="s">
        <v>11165</v>
      </c>
      <c r="R634" t="s">
        <v>11180</v>
      </c>
      <c r="S634" t="s">
        <v>9094</v>
      </c>
      <c r="T634" t="s">
        <v>11183</v>
      </c>
      <c r="V634" t="s">
        <v>969</v>
      </c>
      <c r="W634">
        <v>818.46</v>
      </c>
      <c r="X634" t="s">
        <v>11333</v>
      </c>
      <c r="Y634" t="s">
        <v>11346</v>
      </c>
      <c r="Z634" t="s">
        <v>11634</v>
      </c>
      <c r="AB634" t="s">
        <v>16292</v>
      </c>
      <c r="AC634">
        <v>122</v>
      </c>
      <c r="AD634" t="s">
        <v>19566</v>
      </c>
      <c r="AE634" t="s">
        <v>9144</v>
      </c>
      <c r="AF634">
        <v>24</v>
      </c>
      <c r="AG634">
        <v>2</v>
      </c>
      <c r="AH634">
        <v>4</v>
      </c>
      <c r="AI634">
        <v>18.42</v>
      </c>
      <c r="AL634" t="s">
        <v>19614</v>
      </c>
      <c r="AM634">
        <v>6000</v>
      </c>
      <c r="AS634">
        <v>11.1</v>
      </c>
      <c r="AT634" t="s">
        <v>638</v>
      </c>
      <c r="AU634" t="s">
        <v>20650</v>
      </c>
    </row>
    <row r="635" spans="1:48">
      <c r="A635" s="1">
        <f>HYPERLINK("https://lsnyc.legalserver.org/matter/dynamic-profile/view/1864502","18-1864502")</f>
        <v>0</v>
      </c>
      <c r="B635" t="s">
        <v>136</v>
      </c>
      <c r="C635" t="s">
        <v>256</v>
      </c>
      <c r="D635" t="s">
        <v>552</v>
      </c>
      <c r="F635" t="s">
        <v>1450</v>
      </c>
      <c r="G635" t="s">
        <v>3714</v>
      </c>
      <c r="H635" t="s">
        <v>6098</v>
      </c>
      <c r="I635">
        <v>704</v>
      </c>
      <c r="J635" t="s">
        <v>9067</v>
      </c>
      <c r="K635">
        <v>10029</v>
      </c>
      <c r="L635" t="s">
        <v>9094</v>
      </c>
      <c r="M635" t="s">
        <v>9094</v>
      </c>
      <c r="N635" t="s">
        <v>9287</v>
      </c>
      <c r="O635" t="s">
        <v>11130</v>
      </c>
      <c r="P635" t="s">
        <v>11165</v>
      </c>
      <c r="R635" t="s">
        <v>11180</v>
      </c>
      <c r="S635" t="s">
        <v>9094</v>
      </c>
      <c r="T635" t="s">
        <v>11183</v>
      </c>
      <c r="U635" t="s">
        <v>11201</v>
      </c>
      <c r="V635" t="s">
        <v>552</v>
      </c>
      <c r="W635">
        <v>0</v>
      </c>
      <c r="X635" t="s">
        <v>11335</v>
      </c>
      <c r="Y635" t="s">
        <v>11339</v>
      </c>
      <c r="Z635" t="s">
        <v>11831</v>
      </c>
      <c r="AB635" t="s">
        <v>16293</v>
      </c>
      <c r="AC635">
        <v>108</v>
      </c>
      <c r="AD635" t="s">
        <v>19567</v>
      </c>
      <c r="AE635" t="s">
        <v>19580</v>
      </c>
      <c r="AF635">
        <v>34</v>
      </c>
      <c r="AG635">
        <v>1</v>
      </c>
      <c r="AH635">
        <v>0</v>
      </c>
      <c r="AI635">
        <v>18.48</v>
      </c>
      <c r="AL635" t="s">
        <v>19614</v>
      </c>
      <c r="AM635">
        <v>2244</v>
      </c>
      <c r="AS635">
        <v>0</v>
      </c>
      <c r="AU635" t="s">
        <v>20657</v>
      </c>
    </row>
    <row r="636" spans="1:48">
      <c r="A636" s="1">
        <f>HYPERLINK("https://lsnyc.legalserver.org/matter/dynamic-profile/view/0828584","17-0828584")</f>
        <v>0</v>
      </c>
      <c r="B636" t="s">
        <v>160</v>
      </c>
      <c r="C636" t="s">
        <v>257</v>
      </c>
      <c r="D636" t="s">
        <v>591</v>
      </c>
      <c r="E636" t="s">
        <v>415</v>
      </c>
      <c r="F636" t="s">
        <v>1545</v>
      </c>
      <c r="G636" t="s">
        <v>3715</v>
      </c>
      <c r="H636" t="s">
        <v>6099</v>
      </c>
      <c r="I636" t="s">
        <v>8313</v>
      </c>
      <c r="J636" t="s">
        <v>9059</v>
      </c>
      <c r="K636">
        <v>11205</v>
      </c>
      <c r="L636" t="s">
        <v>9096</v>
      </c>
      <c r="M636" t="s">
        <v>9095</v>
      </c>
      <c r="P636" t="s">
        <v>11165</v>
      </c>
      <c r="Q636" t="s">
        <v>11174</v>
      </c>
      <c r="R636" t="s">
        <v>11180</v>
      </c>
      <c r="T636" t="s">
        <v>11183</v>
      </c>
      <c r="W636">
        <v>0</v>
      </c>
      <c r="X636" t="s">
        <v>11332</v>
      </c>
      <c r="Z636" t="s">
        <v>11832</v>
      </c>
      <c r="AB636" t="s">
        <v>16294</v>
      </c>
      <c r="AC636">
        <v>0</v>
      </c>
      <c r="AF636">
        <v>0</v>
      </c>
      <c r="AG636">
        <v>1</v>
      </c>
      <c r="AH636">
        <v>0</v>
      </c>
      <c r="AI636">
        <v>18.71</v>
      </c>
      <c r="AL636" t="s">
        <v>19614</v>
      </c>
      <c r="AM636">
        <v>2256</v>
      </c>
      <c r="AS636">
        <v>20.15</v>
      </c>
      <c r="AT636" t="s">
        <v>676</v>
      </c>
      <c r="AU636" t="s">
        <v>20673</v>
      </c>
    </row>
    <row r="637" spans="1:48">
      <c r="A637" s="1">
        <f>HYPERLINK("https://lsnyc.legalserver.org/matter/dynamic-profile/view/1870035","18-1870035")</f>
        <v>0</v>
      </c>
      <c r="B637" t="s">
        <v>103</v>
      </c>
      <c r="C637" t="s">
        <v>256</v>
      </c>
      <c r="D637" t="s">
        <v>592</v>
      </c>
      <c r="F637" t="s">
        <v>1505</v>
      </c>
      <c r="G637" t="s">
        <v>3366</v>
      </c>
      <c r="H637" t="s">
        <v>6100</v>
      </c>
      <c r="I637" t="s">
        <v>8134</v>
      </c>
      <c r="J637" t="s">
        <v>9065</v>
      </c>
      <c r="K637">
        <v>10452</v>
      </c>
      <c r="L637" t="s">
        <v>9094</v>
      </c>
      <c r="M637" t="s">
        <v>9094</v>
      </c>
      <c r="O637" t="s">
        <v>11136</v>
      </c>
      <c r="P637" t="s">
        <v>11164</v>
      </c>
      <c r="R637" t="s">
        <v>11180</v>
      </c>
      <c r="S637" t="s">
        <v>9094</v>
      </c>
      <c r="T637" t="s">
        <v>11183</v>
      </c>
      <c r="U637" t="s">
        <v>11201</v>
      </c>
      <c r="V637" t="s">
        <v>808</v>
      </c>
      <c r="W637">
        <v>1946</v>
      </c>
      <c r="X637" t="s">
        <v>11333</v>
      </c>
      <c r="Y637" t="s">
        <v>11346</v>
      </c>
      <c r="Z637" t="s">
        <v>11833</v>
      </c>
      <c r="AA637" t="s">
        <v>15390</v>
      </c>
      <c r="AB637" t="s">
        <v>16295</v>
      </c>
      <c r="AC637">
        <v>53</v>
      </c>
      <c r="AD637" t="s">
        <v>19566</v>
      </c>
      <c r="AE637" t="s">
        <v>19586</v>
      </c>
      <c r="AF637">
        <v>1</v>
      </c>
      <c r="AG637">
        <v>1</v>
      </c>
      <c r="AH637">
        <v>3</v>
      </c>
      <c r="AI637">
        <v>18.74</v>
      </c>
      <c r="AL637" t="s">
        <v>19614</v>
      </c>
      <c r="AM637">
        <v>4704</v>
      </c>
      <c r="AS637">
        <v>0.95</v>
      </c>
      <c r="AT637" t="s">
        <v>808</v>
      </c>
      <c r="AU637" t="s">
        <v>20642</v>
      </c>
    </row>
    <row r="638" spans="1:48">
      <c r="A638" s="1">
        <f>HYPERLINK("https://lsnyc.legalserver.org/matter/dynamic-profile/view/1876689","18-1876689")</f>
        <v>0</v>
      </c>
      <c r="B638" t="s">
        <v>119</v>
      </c>
      <c r="C638" t="s">
        <v>256</v>
      </c>
      <c r="D638" t="s">
        <v>593</v>
      </c>
      <c r="F638" t="s">
        <v>1487</v>
      </c>
      <c r="G638" t="s">
        <v>3710</v>
      </c>
      <c r="H638" t="s">
        <v>6095</v>
      </c>
      <c r="I638" t="s">
        <v>8312</v>
      </c>
      <c r="J638" t="s">
        <v>9065</v>
      </c>
      <c r="K638">
        <v>10456</v>
      </c>
      <c r="L638" t="s">
        <v>9094</v>
      </c>
      <c r="M638" t="s">
        <v>9094</v>
      </c>
      <c r="N638" t="s">
        <v>9403</v>
      </c>
      <c r="O638" t="s">
        <v>11130</v>
      </c>
      <c r="P638" t="s">
        <v>11165</v>
      </c>
      <c r="R638" t="s">
        <v>11180</v>
      </c>
      <c r="S638" t="s">
        <v>9094</v>
      </c>
      <c r="T638" t="s">
        <v>11183</v>
      </c>
      <c r="V638" t="s">
        <v>593</v>
      </c>
      <c r="W638">
        <v>820</v>
      </c>
      <c r="X638" t="s">
        <v>11333</v>
      </c>
      <c r="Y638" t="s">
        <v>11346</v>
      </c>
      <c r="Z638" t="s">
        <v>11828</v>
      </c>
      <c r="AA638">
        <v>6629815</v>
      </c>
      <c r="AC638">
        <v>131</v>
      </c>
      <c r="AD638" t="s">
        <v>19566</v>
      </c>
      <c r="AE638" t="s">
        <v>19582</v>
      </c>
      <c r="AF638">
        <v>9</v>
      </c>
      <c r="AG638">
        <v>1</v>
      </c>
      <c r="AH638">
        <v>3</v>
      </c>
      <c r="AI638">
        <v>18.79</v>
      </c>
      <c r="AL638" t="s">
        <v>19614</v>
      </c>
      <c r="AM638">
        <v>4715.04</v>
      </c>
      <c r="AS638">
        <v>0</v>
      </c>
      <c r="AU638" t="s">
        <v>163</v>
      </c>
    </row>
    <row r="639" spans="1:48">
      <c r="A639" s="1">
        <f>HYPERLINK("https://lsnyc.legalserver.org/matter/dynamic-profile/view/1905123","19-1905123")</f>
        <v>0</v>
      </c>
      <c r="B639" t="s">
        <v>103</v>
      </c>
      <c r="C639" t="s">
        <v>256</v>
      </c>
      <c r="D639" t="s">
        <v>367</v>
      </c>
      <c r="F639" t="s">
        <v>1147</v>
      </c>
      <c r="G639" t="s">
        <v>3716</v>
      </c>
      <c r="H639" t="s">
        <v>5884</v>
      </c>
      <c r="I639" t="s">
        <v>8314</v>
      </c>
      <c r="J639" t="s">
        <v>9065</v>
      </c>
      <c r="K639">
        <v>10455</v>
      </c>
      <c r="L639" t="s">
        <v>9094</v>
      </c>
      <c r="M639" t="s">
        <v>9095</v>
      </c>
      <c r="O639" t="s">
        <v>11134</v>
      </c>
      <c r="P639" t="s">
        <v>11168</v>
      </c>
      <c r="R639" t="s">
        <v>11180</v>
      </c>
      <c r="S639" t="s">
        <v>9094</v>
      </c>
      <c r="T639" t="s">
        <v>11183</v>
      </c>
      <c r="W639">
        <v>1534</v>
      </c>
      <c r="X639" t="s">
        <v>11333</v>
      </c>
      <c r="Y639" t="s">
        <v>11340</v>
      </c>
      <c r="Z639" t="s">
        <v>11834</v>
      </c>
      <c r="AB639" t="s">
        <v>16296</v>
      </c>
      <c r="AC639">
        <v>99</v>
      </c>
      <c r="AD639" t="s">
        <v>19566</v>
      </c>
      <c r="AE639" t="s">
        <v>19581</v>
      </c>
      <c r="AF639">
        <v>1</v>
      </c>
      <c r="AG639">
        <v>1</v>
      </c>
      <c r="AH639">
        <v>3</v>
      </c>
      <c r="AI639">
        <v>18.92</v>
      </c>
      <c r="AL639" t="s">
        <v>19614</v>
      </c>
      <c r="AM639">
        <v>4870.8</v>
      </c>
      <c r="AS639">
        <v>0</v>
      </c>
      <c r="AU639" t="s">
        <v>220</v>
      </c>
      <c r="AV639" t="s">
        <v>20733</v>
      </c>
    </row>
    <row r="640" spans="1:48">
      <c r="A640" s="1">
        <f>HYPERLINK("https://lsnyc.legalserver.org/matter/dynamic-profile/view/1906235","19-1906235")</f>
        <v>0</v>
      </c>
      <c r="B640" t="s">
        <v>103</v>
      </c>
      <c r="C640" t="s">
        <v>256</v>
      </c>
      <c r="D640" t="s">
        <v>282</v>
      </c>
      <c r="F640" t="s">
        <v>1147</v>
      </c>
      <c r="G640" t="s">
        <v>3716</v>
      </c>
      <c r="H640" t="s">
        <v>5884</v>
      </c>
      <c r="I640" t="s">
        <v>8314</v>
      </c>
      <c r="J640" t="s">
        <v>9065</v>
      </c>
      <c r="K640">
        <v>10455</v>
      </c>
      <c r="L640" t="s">
        <v>9094</v>
      </c>
      <c r="M640" t="s">
        <v>9095</v>
      </c>
      <c r="O640" t="s">
        <v>11134</v>
      </c>
      <c r="P640" t="s">
        <v>11168</v>
      </c>
      <c r="R640" t="s">
        <v>11180</v>
      </c>
      <c r="S640" t="s">
        <v>9096</v>
      </c>
      <c r="T640" t="s">
        <v>11183</v>
      </c>
      <c r="W640">
        <v>0</v>
      </c>
      <c r="X640" t="s">
        <v>11333</v>
      </c>
      <c r="Y640" t="s">
        <v>11340</v>
      </c>
      <c r="Z640" t="s">
        <v>11834</v>
      </c>
      <c r="AB640" t="s">
        <v>16296</v>
      </c>
      <c r="AC640">
        <v>40</v>
      </c>
      <c r="AD640" t="s">
        <v>19566</v>
      </c>
      <c r="AE640" t="s">
        <v>19582</v>
      </c>
      <c r="AF640">
        <v>1</v>
      </c>
      <c r="AG640">
        <v>1</v>
      </c>
      <c r="AH640">
        <v>3</v>
      </c>
      <c r="AI640">
        <v>18.92</v>
      </c>
      <c r="AL640" t="s">
        <v>19614</v>
      </c>
      <c r="AM640">
        <v>4870.8</v>
      </c>
      <c r="AS640">
        <v>0</v>
      </c>
      <c r="AU640" t="s">
        <v>110</v>
      </c>
      <c r="AV640" t="s">
        <v>20733</v>
      </c>
    </row>
    <row r="641" spans="1:48">
      <c r="A641" s="1">
        <f>HYPERLINK("https://lsnyc.legalserver.org/matter/dynamic-profile/view/1899834","19-1899834")</f>
        <v>0</v>
      </c>
      <c r="B641" t="s">
        <v>103</v>
      </c>
      <c r="C641" t="s">
        <v>256</v>
      </c>
      <c r="D641" t="s">
        <v>411</v>
      </c>
      <c r="F641" t="s">
        <v>1147</v>
      </c>
      <c r="G641" t="s">
        <v>3716</v>
      </c>
      <c r="H641" t="s">
        <v>5884</v>
      </c>
      <c r="I641" t="s">
        <v>8314</v>
      </c>
      <c r="J641" t="s">
        <v>9065</v>
      </c>
      <c r="K641">
        <v>10455</v>
      </c>
      <c r="L641" t="s">
        <v>9094</v>
      </c>
      <c r="M641" t="s">
        <v>9095</v>
      </c>
      <c r="N641" t="s">
        <v>9236</v>
      </c>
      <c r="O641" t="s">
        <v>11130</v>
      </c>
      <c r="P641" t="s">
        <v>11165</v>
      </c>
      <c r="R641" t="s">
        <v>11180</v>
      </c>
      <c r="S641" t="s">
        <v>9094</v>
      </c>
      <c r="T641" t="s">
        <v>11183</v>
      </c>
      <c r="W641">
        <v>1534</v>
      </c>
      <c r="X641" t="s">
        <v>11333</v>
      </c>
      <c r="Y641" t="s">
        <v>11346</v>
      </c>
      <c r="Z641" t="s">
        <v>11834</v>
      </c>
      <c r="AB641" t="s">
        <v>16296</v>
      </c>
      <c r="AC641">
        <v>40</v>
      </c>
      <c r="AD641" t="s">
        <v>19566</v>
      </c>
      <c r="AE641" t="s">
        <v>19581</v>
      </c>
      <c r="AF641">
        <v>1</v>
      </c>
      <c r="AG641">
        <v>1</v>
      </c>
      <c r="AH641">
        <v>3</v>
      </c>
      <c r="AI641">
        <v>18.92</v>
      </c>
      <c r="AL641" t="s">
        <v>19614</v>
      </c>
      <c r="AM641">
        <v>4870.8</v>
      </c>
      <c r="AS641">
        <v>0.25</v>
      </c>
      <c r="AT641" t="s">
        <v>748</v>
      </c>
      <c r="AU641" t="s">
        <v>220</v>
      </c>
      <c r="AV641" t="s">
        <v>20733</v>
      </c>
    </row>
    <row r="642" spans="1:48">
      <c r="A642" s="1">
        <f>HYPERLINK("https://lsnyc.legalserver.org/matter/dynamic-profile/view/1915481","19-1915481")</f>
        <v>0</v>
      </c>
      <c r="B642" t="s">
        <v>134</v>
      </c>
      <c r="C642" t="s">
        <v>256</v>
      </c>
      <c r="D642" t="s">
        <v>594</v>
      </c>
      <c r="F642" t="s">
        <v>1264</v>
      </c>
      <c r="G642" t="s">
        <v>3717</v>
      </c>
      <c r="H642" t="s">
        <v>6101</v>
      </c>
      <c r="I642" t="s">
        <v>8315</v>
      </c>
      <c r="J642" t="s">
        <v>9069</v>
      </c>
      <c r="K642">
        <v>11427</v>
      </c>
      <c r="L642" t="s">
        <v>9094</v>
      </c>
      <c r="M642" t="s">
        <v>9095</v>
      </c>
      <c r="P642" t="s">
        <v>11169</v>
      </c>
      <c r="R642" t="s">
        <v>11180</v>
      </c>
      <c r="S642" t="s">
        <v>9096</v>
      </c>
      <c r="T642" t="s">
        <v>11183</v>
      </c>
      <c r="V642" t="s">
        <v>594</v>
      </c>
      <c r="W642">
        <v>800</v>
      </c>
      <c r="X642" t="s">
        <v>11335</v>
      </c>
      <c r="Y642" t="s">
        <v>11339</v>
      </c>
      <c r="Z642" t="s">
        <v>11835</v>
      </c>
      <c r="AB642" t="s">
        <v>16297</v>
      </c>
      <c r="AC642">
        <v>0</v>
      </c>
      <c r="AD642" t="s">
        <v>19571</v>
      </c>
      <c r="AE642" t="s">
        <v>9144</v>
      </c>
      <c r="AF642">
        <v>4</v>
      </c>
      <c r="AG642">
        <v>1</v>
      </c>
      <c r="AH642">
        <v>0</v>
      </c>
      <c r="AI642">
        <v>19.05</v>
      </c>
      <c r="AL642" t="s">
        <v>19615</v>
      </c>
      <c r="AM642">
        <v>2379</v>
      </c>
      <c r="AS642">
        <v>0</v>
      </c>
      <c r="AU642" t="s">
        <v>130</v>
      </c>
      <c r="AV642" t="s">
        <v>20733</v>
      </c>
    </row>
    <row r="643" spans="1:48">
      <c r="A643" s="1">
        <f>HYPERLINK("https://lsnyc.legalserver.org/matter/dynamic-profile/view/1898658","19-1898658")</f>
        <v>0</v>
      </c>
      <c r="B643" t="s">
        <v>52</v>
      </c>
      <c r="C643" t="s">
        <v>256</v>
      </c>
      <c r="D643" t="s">
        <v>361</v>
      </c>
      <c r="F643" t="s">
        <v>1546</v>
      </c>
      <c r="G643" t="s">
        <v>1248</v>
      </c>
      <c r="H643" t="s">
        <v>6102</v>
      </c>
      <c r="J643" t="s">
        <v>9055</v>
      </c>
      <c r="K643">
        <v>11355</v>
      </c>
      <c r="L643" t="s">
        <v>9094</v>
      </c>
      <c r="M643" t="s">
        <v>9094</v>
      </c>
      <c r="N643" t="s">
        <v>9404</v>
      </c>
      <c r="O643" t="s">
        <v>11128</v>
      </c>
      <c r="P643" t="s">
        <v>11165</v>
      </c>
      <c r="R643" t="s">
        <v>11180</v>
      </c>
      <c r="S643" t="s">
        <v>9096</v>
      </c>
      <c r="T643" t="s">
        <v>11183</v>
      </c>
      <c r="U643" t="s">
        <v>11201</v>
      </c>
      <c r="V643" t="s">
        <v>361</v>
      </c>
      <c r="W643">
        <v>0</v>
      </c>
      <c r="X643" t="s">
        <v>11331</v>
      </c>
      <c r="Y643" t="s">
        <v>11336</v>
      </c>
      <c r="Z643" t="s">
        <v>11836</v>
      </c>
      <c r="AA643" t="s">
        <v>15391</v>
      </c>
      <c r="AB643" t="s">
        <v>16298</v>
      </c>
      <c r="AC643">
        <v>6</v>
      </c>
      <c r="AD643" t="s">
        <v>19575</v>
      </c>
      <c r="AE643" t="s">
        <v>9144</v>
      </c>
      <c r="AF643">
        <v>1</v>
      </c>
      <c r="AG643">
        <v>1</v>
      </c>
      <c r="AH643">
        <v>0</v>
      </c>
      <c r="AI643">
        <v>19.05</v>
      </c>
      <c r="AL643" t="s">
        <v>19614</v>
      </c>
      <c r="AM643">
        <v>2379</v>
      </c>
      <c r="AS643">
        <v>12.7</v>
      </c>
      <c r="AT643" t="s">
        <v>425</v>
      </c>
      <c r="AU643" t="s">
        <v>20620</v>
      </c>
    </row>
    <row r="644" spans="1:48">
      <c r="A644" s="1">
        <f>HYPERLINK("https://lsnyc.legalserver.org/matter/dynamic-profile/view/1900400","19-1900400")</f>
        <v>0</v>
      </c>
      <c r="B644" t="s">
        <v>57</v>
      </c>
      <c r="C644" t="s">
        <v>257</v>
      </c>
      <c r="D644" t="s">
        <v>262</v>
      </c>
      <c r="E644" t="s">
        <v>736</v>
      </c>
      <c r="F644" t="s">
        <v>1547</v>
      </c>
      <c r="G644" t="s">
        <v>3703</v>
      </c>
      <c r="H644" t="s">
        <v>6086</v>
      </c>
      <c r="I644" t="s">
        <v>8306</v>
      </c>
      <c r="J644" t="s">
        <v>9055</v>
      </c>
      <c r="K644">
        <v>11355</v>
      </c>
      <c r="L644" t="s">
        <v>9094</v>
      </c>
      <c r="M644" t="s">
        <v>9095</v>
      </c>
      <c r="N644" t="s">
        <v>9405</v>
      </c>
      <c r="O644" t="s">
        <v>11128</v>
      </c>
      <c r="P644" t="s">
        <v>11164</v>
      </c>
      <c r="Q644" t="s">
        <v>11172</v>
      </c>
      <c r="R644" t="s">
        <v>11180</v>
      </c>
      <c r="S644" t="s">
        <v>9096</v>
      </c>
      <c r="T644" t="s">
        <v>11183</v>
      </c>
      <c r="U644" t="s">
        <v>11201</v>
      </c>
      <c r="V644" t="s">
        <v>262</v>
      </c>
      <c r="W644">
        <v>1257.22</v>
      </c>
      <c r="X644" t="s">
        <v>11331</v>
      </c>
      <c r="Y644" t="s">
        <v>11338</v>
      </c>
      <c r="Z644" t="s">
        <v>11818</v>
      </c>
      <c r="AB644" t="s">
        <v>16282</v>
      </c>
      <c r="AC644">
        <v>144</v>
      </c>
      <c r="AD644" t="s">
        <v>15441</v>
      </c>
      <c r="AE644" t="s">
        <v>9144</v>
      </c>
      <c r="AF644">
        <v>11</v>
      </c>
      <c r="AG644">
        <v>1</v>
      </c>
      <c r="AH644">
        <v>0</v>
      </c>
      <c r="AI644">
        <v>19.05</v>
      </c>
      <c r="AL644" t="s">
        <v>19626</v>
      </c>
      <c r="AM644">
        <v>2379</v>
      </c>
      <c r="AS644">
        <v>2.05</v>
      </c>
      <c r="AT644" t="s">
        <v>268</v>
      </c>
      <c r="AU644" t="s">
        <v>20620</v>
      </c>
      <c r="AV644" t="s">
        <v>20733</v>
      </c>
    </row>
    <row r="645" spans="1:48">
      <c r="A645" s="1">
        <f>HYPERLINK("https://lsnyc.legalserver.org/matter/dynamic-profile/view/1901212","19-1901212")</f>
        <v>0</v>
      </c>
      <c r="B645" t="s">
        <v>49</v>
      </c>
      <c r="C645" t="s">
        <v>256</v>
      </c>
      <c r="D645" t="s">
        <v>422</v>
      </c>
      <c r="F645" t="s">
        <v>1548</v>
      </c>
      <c r="G645" t="s">
        <v>3718</v>
      </c>
      <c r="H645" t="s">
        <v>6103</v>
      </c>
      <c r="I645" t="s">
        <v>8129</v>
      </c>
      <c r="J645" t="s">
        <v>9037</v>
      </c>
      <c r="K645">
        <v>11692</v>
      </c>
      <c r="L645" t="s">
        <v>9094</v>
      </c>
      <c r="M645" t="s">
        <v>9095</v>
      </c>
      <c r="N645" t="s">
        <v>9406</v>
      </c>
      <c r="O645" t="s">
        <v>11128</v>
      </c>
      <c r="P645" t="s">
        <v>11165</v>
      </c>
      <c r="R645" t="s">
        <v>11180</v>
      </c>
      <c r="S645" t="s">
        <v>9096</v>
      </c>
      <c r="T645" t="s">
        <v>11183</v>
      </c>
      <c r="U645" t="s">
        <v>11199</v>
      </c>
      <c r="V645" t="s">
        <v>298</v>
      </c>
      <c r="W645">
        <v>2197</v>
      </c>
      <c r="X645" t="s">
        <v>11331</v>
      </c>
      <c r="Y645" t="s">
        <v>11354</v>
      </c>
      <c r="Z645" t="s">
        <v>11837</v>
      </c>
      <c r="AA645">
        <v>30838634</v>
      </c>
      <c r="AB645" t="s">
        <v>16299</v>
      </c>
      <c r="AC645">
        <v>2</v>
      </c>
      <c r="AD645" t="s">
        <v>19565</v>
      </c>
      <c r="AE645" t="s">
        <v>19582</v>
      </c>
      <c r="AF645">
        <v>3</v>
      </c>
      <c r="AG645">
        <v>2</v>
      </c>
      <c r="AH645">
        <v>7</v>
      </c>
      <c r="AI645">
        <v>19.06</v>
      </c>
      <c r="AL645" t="s">
        <v>19614</v>
      </c>
      <c r="AM645">
        <v>9120</v>
      </c>
      <c r="AO645" t="s">
        <v>20294</v>
      </c>
      <c r="AP645" t="s">
        <v>11157</v>
      </c>
      <c r="AQ645" t="s">
        <v>20368</v>
      </c>
      <c r="AR645" t="s">
        <v>20407</v>
      </c>
      <c r="AS645">
        <v>52.1</v>
      </c>
      <c r="AT645" t="s">
        <v>294</v>
      </c>
      <c r="AU645" t="s">
        <v>20674</v>
      </c>
      <c r="AV645" t="s">
        <v>20733</v>
      </c>
    </row>
    <row r="646" spans="1:48">
      <c r="A646" s="1">
        <f>HYPERLINK("https://lsnyc.legalserver.org/matter/dynamic-profile/view/1863527","18-1863527")</f>
        <v>0</v>
      </c>
      <c r="B646" t="s">
        <v>111</v>
      </c>
      <c r="C646" t="s">
        <v>256</v>
      </c>
      <c r="D646" t="s">
        <v>595</v>
      </c>
      <c r="F646" t="s">
        <v>1549</v>
      </c>
      <c r="G646" t="s">
        <v>3497</v>
      </c>
      <c r="H646" t="s">
        <v>6104</v>
      </c>
      <c r="I646" t="s">
        <v>8316</v>
      </c>
      <c r="J646" t="s">
        <v>9065</v>
      </c>
      <c r="K646">
        <v>10452</v>
      </c>
      <c r="L646" t="s">
        <v>9094</v>
      </c>
      <c r="M646" t="s">
        <v>9095</v>
      </c>
      <c r="N646" t="s">
        <v>9407</v>
      </c>
      <c r="O646" t="s">
        <v>11135</v>
      </c>
      <c r="P646" t="s">
        <v>11168</v>
      </c>
      <c r="R646" t="s">
        <v>11180</v>
      </c>
      <c r="S646" t="s">
        <v>9094</v>
      </c>
      <c r="T646" t="s">
        <v>11183</v>
      </c>
      <c r="V646" t="s">
        <v>11219</v>
      </c>
      <c r="W646">
        <v>1004.86</v>
      </c>
      <c r="X646" t="s">
        <v>11333</v>
      </c>
      <c r="Y646" t="s">
        <v>11346</v>
      </c>
      <c r="Z646" t="s">
        <v>11838</v>
      </c>
      <c r="AA646" t="s">
        <v>15392</v>
      </c>
      <c r="AB646" t="s">
        <v>16300</v>
      </c>
      <c r="AC646">
        <v>0</v>
      </c>
      <c r="AD646" t="s">
        <v>19566</v>
      </c>
      <c r="AE646" t="s">
        <v>19582</v>
      </c>
      <c r="AF646">
        <v>10</v>
      </c>
      <c r="AG646">
        <v>1</v>
      </c>
      <c r="AH646">
        <v>3</v>
      </c>
      <c r="AI646">
        <v>19.12</v>
      </c>
      <c r="AL646" t="s">
        <v>19614</v>
      </c>
      <c r="AM646">
        <v>4800</v>
      </c>
      <c r="AS646">
        <v>0</v>
      </c>
      <c r="AU646" t="s">
        <v>20647</v>
      </c>
    </row>
    <row r="647" spans="1:48">
      <c r="A647" s="1">
        <f>HYPERLINK("https://lsnyc.legalserver.org/matter/dynamic-profile/view/1872146","18-1872146")</f>
        <v>0</v>
      </c>
      <c r="B647" t="s">
        <v>111</v>
      </c>
      <c r="C647" t="s">
        <v>256</v>
      </c>
      <c r="D647" t="s">
        <v>352</v>
      </c>
      <c r="F647" t="s">
        <v>1549</v>
      </c>
      <c r="G647" t="s">
        <v>3497</v>
      </c>
      <c r="H647" t="s">
        <v>6104</v>
      </c>
      <c r="I647" t="s">
        <v>8316</v>
      </c>
      <c r="J647" t="s">
        <v>9065</v>
      </c>
      <c r="K647">
        <v>10452</v>
      </c>
      <c r="L647" t="s">
        <v>9094</v>
      </c>
      <c r="M647" t="s">
        <v>9094</v>
      </c>
      <c r="N647" t="s">
        <v>9407</v>
      </c>
      <c r="O647" t="s">
        <v>11135</v>
      </c>
      <c r="P647" t="s">
        <v>11168</v>
      </c>
      <c r="R647" t="s">
        <v>11180</v>
      </c>
      <c r="S647" t="s">
        <v>9094</v>
      </c>
      <c r="T647" t="s">
        <v>11183</v>
      </c>
      <c r="U647" t="s">
        <v>11201</v>
      </c>
      <c r="V647" t="s">
        <v>945</v>
      </c>
      <c r="W647">
        <v>1004.86</v>
      </c>
      <c r="X647" t="s">
        <v>11333</v>
      </c>
      <c r="Y647" t="s">
        <v>11346</v>
      </c>
      <c r="Z647" t="s">
        <v>11838</v>
      </c>
      <c r="AA647" t="s">
        <v>15392</v>
      </c>
      <c r="AB647" t="s">
        <v>16300</v>
      </c>
      <c r="AC647">
        <v>70</v>
      </c>
      <c r="AD647" t="s">
        <v>19566</v>
      </c>
      <c r="AE647" t="s">
        <v>19582</v>
      </c>
      <c r="AF647">
        <v>10</v>
      </c>
      <c r="AG647">
        <v>1</v>
      </c>
      <c r="AH647">
        <v>3</v>
      </c>
      <c r="AI647">
        <v>19.12</v>
      </c>
      <c r="AL647" t="s">
        <v>19614</v>
      </c>
      <c r="AM647">
        <v>4800</v>
      </c>
      <c r="AS647">
        <v>0</v>
      </c>
      <c r="AU647" t="s">
        <v>20642</v>
      </c>
    </row>
    <row r="648" spans="1:48">
      <c r="A648" s="1">
        <f>HYPERLINK("https://lsnyc.legalserver.org/matter/dynamic-profile/view/1914128","19-1914128")</f>
        <v>0</v>
      </c>
      <c r="B648" t="s">
        <v>84</v>
      </c>
      <c r="C648" t="s">
        <v>256</v>
      </c>
      <c r="D648" t="s">
        <v>395</v>
      </c>
      <c r="F648" t="s">
        <v>1550</v>
      </c>
      <c r="G648" t="s">
        <v>2111</v>
      </c>
      <c r="H648" t="s">
        <v>6105</v>
      </c>
      <c r="I648" t="s">
        <v>8225</v>
      </c>
      <c r="J648" t="s">
        <v>9059</v>
      </c>
      <c r="K648">
        <v>11203</v>
      </c>
      <c r="L648" t="s">
        <v>9094</v>
      </c>
      <c r="M648" t="s">
        <v>9095</v>
      </c>
      <c r="P648" t="s">
        <v>11165</v>
      </c>
      <c r="R648" t="s">
        <v>11180</v>
      </c>
      <c r="S648" t="s">
        <v>9096</v>
      </c>
      <c r="T648" t="s">
        <v>11183</v>
      </c>
      <c r="V648" t="s">
        <v>286</v>
      </c>
      <c r="W648">
        <v>1690</v>
      </c>
      <c r="X648" t="s">
        <v>11332</v>
      </c>
      <c r="Z648" t="s">
        <v>11839</v>
      </c>
      <c r="AB648" t="s">
        <v>16301</v>
      </c>
      <c r="AC648">
        <v>0</v>
      </c>
      <c r="AD648" t="s">
        <v>19567</v>
      </c>
      <c r="AF648">
        <v>5</v>
      </c>
      <c r="AG648">
        <v>2</v>
      </c>
      <c r="AH648">
        <v>0</v>
      </c>
      <c r="AI648">
        <v>19.22</v>
      </c>
      <c r="AL648" t="s">
        <v>19614</v>
      </c>
      <c r="AM648">
        <v>3250</v>
      </c>
      <c r="AS648">
        <v>0.2</v>
      </c>
      <c r="AT648" t="s">
        <v>377</v>
      </c>
      <c r="AU648" t="s">
        <v>215</v>
      </c>
      <c r="AV648" t="s">
        <v>20733</v>
      </c>
    </row>
    <row r="649" spans="1:48">
      <c r="A649" s="1">
        <f>HYPERLINK("https://lsnyc.legalserver.org/matter/dynamic-profile/view/1909761","19-1909761")</f>
        <v>0</v>
      </c>
      <c r="B649" t="s">
        <v>104</v>
      </c>
      <c r="C649" t="s">
        <v>256</v>
      </c>
      <c r="D649" t="s">
        <v>425</v>
      </c>
      <c r="F649" t="s">
        <v>1197</v>
      </c>
      <c r="G649" t="s">
        <v>2092</v>
      </c>
      <c r="H649" t="s">
        <v>6106</v>
      </c>
      <c r="J649" t="s">
        <v>9065</v>
      </c>
      <c r="K649">
        <v>10460</v>
      </c>
      <c r="L649" t="s">
        <v>9094</v>
      </c>
      <c r="M649" t="s">
        <v>9095</v>
      </c>
      <c r="O649" t="s">
        <v>9121</v>
      </c>
      <c r="P649" t="s">
        <v>11164</v>
      </c>
      <c r="R649" t="s">
        <v>11180</v>
      </c>
      <c r="T649" t="s">
        <v>11183</v>
      </c>
      <c r="W649">
        <v>1124</v>
      </c>
      <c r="X649" t="s">
        <v>11333</v>
      </c>
      <c r="Y649" t="s">
        <v>11352</v>
      </c>
      <c r="Z649" t="s">
        <v>11840</v>
      </c>
      <c r="AB649" t="s">
        <v>16302</v>
      </c>
      <c r="AC649">
        <v>40</v>
      </c>
      <c r="AF649">
        <v>2</v>
      </c>
      <c r="AG649">
        <v>1</v>
      </c>
      <c r="AH649">
        <v>0</v>
      </c>
      <c r="AI649">
        <v>19.22</v>
      </c>
      <c r="AL649" t="s">
        <v>19614</v>
      </c>
      <c r="AM649">
        <v>2400</v>
      </c>
      <c r="AS649">
        <v>1.5</v>
      </c>
      <c r="AT649" t="s">
        <v>259</v>
      </c>
      <c r="AU649" t="s">
        <v>20640</v>
      </c>
      <c r="AV649" t="s">
        <v>20733</v>
      </c>
    </row>
    <row r="650" spans="1:48">
      <c r="A650" s="1">
        <f>HYPERLINK("https://lsnyc.legalserver.org/matter/dynamic-profile/view/1895722","19-1895722")</f>
        <v>0</v>
      </c>
      <c r="B650" t="s">
        <v>136</v>
      </c>
      <c r="C650" t="s">
        <v>257</v>
      </c>
      <c r="D650" t="s">
        <v>376</v>
      </c>
      <c r="E650" t="s">
        <v>574</v>
      </c>
      <c r="F650" t="s">
        <v>1551</v>
      </c>
      <c r="G650" t="s">
        <v>3195</v>
      </c>
      <c r="H650" t="s">
        <v>6107</v>
      </c>
      <c r="I650" t="s">
        <v>8119</v>
      </c>
      <c r="J650" t="s">
        <v>9067</v>
      </c>
      <c r="K650">
        <v>10029</v>
      </c>
      <c r="L650" t="s">
        <v>9094</v>
      </c>
      <c r="M650" t="s">
        <v>9094</v>
      </c>
      <c r="O650" t="s">
        <v>11131</v>
      </c>
      <c r="P650" t="s">
        <v>11167</v>
      </c>
      <c r="Q650" t="s">
        <v>11173</v>
      </c>
      <c r="R650" t="s">
        <v>11180</v>
      </c>
      <c r="S650" t="s">
        <v>9096</v>
      </c>
      <c r="T650" t="s">
        <v>11191</v>
      </c>
      <c r="U650" t="s">
        <v>11201</v>
      </c>
      <c r="V650" t="s">
        <v>376</v>
      </c>
      <c r="W650">
        <v>981</v>
      </c>
      <c r="X650" t="s">
        <v>11335</v>
      </c>
      <c r="Y650" t="s">
        <v>11340</v>
      </c>
      <c r="Z650" t="s">
        <v>11841</v>
      </c>
      <c r="AB650" t="s">
        <v>16303</v>
      </c>
      <c r="AC650">
        <v>30</v>
      </c>
      <c r="AD650" t="s">
        <v>19566</v>
      </c>
      <c r="AE650" t="s">
        <v>9144</v>
      </c>
      <c r="AF650">
        <v>19</v>
      </c>
      <c r="AG650">
        <v>1</v>
      </c>
      <c r="AH650">
        <v>0</v>
      </c>
      <c r="AI650">
        <v>19.22</v>
      </c>
      <c r="AL650" t="s">
        <v>19614</v>
      </c>
      <c r="AM650">
        <v>2400</v>
      </c>
      <c r="AN650" t="s">
        <v>19721</v>
      </c>
      <c r="AS650">
        <v>0.3</v>
      </c>
      <c r="AT650" t="s">
        <v>410</v>
      </c>
      <c r="AU650" t="s">
        <v>20657</v>
      </c>
      <c r="AV650" t="s">
        <v>20733</v>
      </c>
    </row>
    <row r="651" spans="1:48">
      <c r="A651" s="1">
        <f>HYPERLINK("https://lsnyc.legalserver.org/matter/dynamic-profile/view/1898332","19-1898332")</f>
        <v>0</v>
      </c>
      <c r="B651" t="s">
        <v>54</v>
      </c>
      <c r="C651" t="s">
        <v>257</v>
      </c>
      <c r="D651" t="s">
        <v>596</v>
      </c>
      <c r="E651" t="s">
        <v>1129</v>
      </c>
      <c r="F651" t="s">
        <v>1552</v>
      </c>
      <c r="G651" t="s">
        <v>3719</v>
      </c>
      <c r="H651" t="s">
        <v>6108</v>
      </c>
      <c r="I651" t="s">
        <v>8317</v>
      </c>
      <c r="J651" t="s">
        <v>9050</v>
      </c>
      <c r="K651">
        <v>11377</v>
      </c>
      <c r="L651" t="s">
        <v>9094</v>
      </c>
      <c r="M651" t="s">
        <v>9094</v>
      </c>
      <c r="N651" t="s">
        <v>9408</v>
      </c>
      <c r="O651" t="s">
        <v>11137</v>
      </c>
      <c r="P651" t="s">
        <v>11166</v>
      </c>
      <c r="Q651" t="s">
        <v>11173</v>
      </c>
      <c r="R651" t="s">
        <v>11180</v>
      </c>
      <c r="S651" t="s">
        <v>9096</v>
      </c>
      <c r="T651" t="s">
        <v>11183</v>
      </c>
      <c r="U651" t="s">
        <v>11199</v>
      </c>
      <c r="V651" t="s">
        <v>596</v>
      </c>
      <c r="W651">
        <v>1104.78</v>
      </c>
      <c r="X651" t="s">
        <v>11331</v>
      </c>
      <c r="Y651" t="s">
        <v>11336</v>
      </c>
      <c r="Z651" t="s">
        <v>11842</v>
      </c>
      <c r="AB651" t="s">
        <v>16304</v>
      </c>
      <c r="AC651">
        <v>65</v>
      </c>
      <c r="AD651" t="s">
        <v>19566</v>
      </c>
      <c r="AE651" t="s">
        <v>9144</v>
      </c>
      <c r="AF651">
        <v>24</v>
      </c>
      <c r="AG651">
        <v>3</v>
      </c>
      <c r="AH651">
        <v>0</v>
      </c>
      <c r="AI651">
        <v>19.52</v>
      </c>
      <c r="AL651" t="s">
        <v>19614</v>
      </c>
      <c r="AM651">
        <v>4164</v>
      </c>
      <c r="AS651">
        <v>1.6</v>
      </c>
      <c r="AT651" t="s">
        <v>1129</v>
      </c>
      <c r="AU651" t="s">
        <v>49</v>
      </c>
    </row>
    <row r="652" spans="1:48">
      <c r="A652" s="1">
        <f>HYPERLINK("https://lsnyc.legalserver.org/matter/dynamic-profile/view/1903865","19-1903865")</f>
        <v>0</v>
      </c>
      <c r="B652" t="s">
        <v>72</v>
      </c>
      <c r="C652" t="s">
        <v>256</v>
      </c>
      <c r="D652" t="s">
        <v>597</v>
      </c>
      <c r="F652" t="s">
        <v>1553</v>
      </c>
      <c r="G652" t="s">
        <v>3720</v>
      </c>
      <c r="H652" t="s">
        <v>6109</v>
      </c>
      <c r="I652" t="s">
        <v>8119</v>
      </c>
      <c r="J652" t="s">
        <v>9059</v>
      </c>
      <c r="K652">
        <v>11233</v>
      </c>
      <c r="L652" t="s">
        <v>9094</v>
      </c>
      <c r="M652" t="s">
        <v>9095</v>
      </c>
      <c r="N652" t="s">
        <v>9409</v>
      </c>
      <c r="O652" t="s">
        <v>11129</v>
      </c>
      <c r="P652" t="s">
        <v>11165</v>
      </c>
      <c r="R652" t="s">
        <v>11180</v>
      </c>
      <c r="S652" t="s">
        <v>9096</v>
      </c>
      <c r="T652" t="s">
        <v>11183</v>
      </c>
      <c r="U652" t="s">
        <v>11200</v>
      </c>
      <c r="V652" t="s">
        <v>597</v>
      </c>
      <c r="W652">
        <v>1050</v>
      </c>
      <c r="X652" t="s">
        <v>11332</v>
      </c>
      <c r="Y652" t="s">
        <v>11338</v>
      </c>
      <c r="Z652" t="s">
        <v>11843</v>
      </c>
      <c r="AA652" t="s">
        <v>15393</v>
      </c>
      <c r="AB652" t="s">
        <v>16305</v>
      </c>
      <c r="AC652">
        <v>8</v>
      </c>
      <c r="AD652" t="s">
        <v>19566</v>
      </c>
      <c r="AE652" t="s">
        <v>9144</v>
      </c>
      <c r="AF652">
        <v>17</v>
      </c>
      <c r="AG652">
        <v>2</v>
      </c>
      <c r="AH652">
        <v>2</v>
      </c>
      <c r="AI652">
        <v>19.69</v>
      </c>
      <c r="AL652" t="s">
        <v>19614</v>
      </c>
      <c r="AM652">
        <v>5070</v>
      </c>
      <c r="AS652">
        <v>50.75</v>
      </c>
      <c r="AT652" t="s">
        <v>594</v>
      </c>
      <c r="AU652" t="s">
        <v>95</v>
      </c>
      <c r="AV652" t="s">
        <v>20734</v>
      </c>
    </row>
    <row r="653" spans="1:48">
      <c r="A653" s="1">
        <f>HYPERLINK("https://lsnyc.legalserver.org/matter/dynamic-profile/view/1893584","19-1893584")</f>
        <v>0</v>
      </c>
      <c r="B653" t="s">
        <v>122</v>
      </c>
      <c r="C653" t="s">
        <v>257</v>
      </c>
      <c r="D653" t="s">
        <v>507</v>
      </c>
      <c r="E653" t="s">
        <v>414</v>
      </c>
      <c r="F653" t="s">
        <v>1554</v>
      </c>
      <c r="G653" t="s">
        <v>3418</v>
      </c>
      <c r="H653" t="s">
        <v>6110</v>
      </c>
      <c r="I653" t="s">
        <v>8124</v>
      </c>
      <c r="J653" t="s">
        <v>9066</v>
      </c>
      <c r="K653">
        <v>10305</v>
      </c>
      <c r="L653" t="s">
        <v>9094</v>
      </c>
      <c r="M653" t="s">
        <v>9094</v>
      </c>
      <c r="N653" t="s">
        <v>9410</v>
      </c>
      <c r="O653" t="s">
        <v>11129</v>
      </c>
      <c r="P653" t="s">
        <v>11165</v>
      </c>
      <c r="Q653" t="s">
        <v>11174</v>
      </c>
      <c r="R653" t="s">
        <v>11180</v>
      </c>
      <c r="S653" t="s">
        <v>9096</v>
      </c>
      <c r="T653" t="s">
        <v>11183</v>
      </c>
      <c r="U653" t="s">
        <v>11201</v>
      </c>
      <c r="V653" t="s">
        <v>507</v>
      </c>
      <c r="W653">
        <v>1200</v>
      </c>
      <c r="X653" t="s">
        <v>11334</v>
      </c>
      <c r="Y653" t="s">
        <v>11345</v>
      </c>
      <c r="Z653" t="s">
        <v>11844</v>
      </c>
      <c r="AB653" t="s">
        <v>16306</v>
      </c>
      <c r="AC653">
        <v>5</v>
      </c>
      <c r="AD653" t="s">
        <v>19565</v>
      </c>
      <c r="AE653" t="s">
        <v>9144</v>
      </c>
      <c r="AF653">
        <v>1</v>
      </c>
      <c r="AG653">
        <v>1</v>
      </c>
      <c r="AH653">
        <v>2</v>
      </c>
      <c r="AI653">
        <v>19.69</v>
      </c>
      <c r="AL653" t="s">
        <v>19614</v>
      </c>
      <c r="AM653">
        <v>4200</v>
      </c>
      <c r="AO653" t="s">
        <v>20290</v>
      </c>
      <c r="AP653" t="s">
        <v>20319</v>
      </c>
      <c r="AQ653" t="s">
        <v>20368</v>
      </c>
      <c r="AR653" t="s">
        <v>20408</v>
      </c>
      <c r="AS653">
        <v>12.2</v>
      </c>
      <c r="AT653" t="s">
        <v>414</v>
      </c>
      <c r="AU653" t="s">
        <v>20652</v>
      </c>
      <c r="AV653" t="s">
        <v>20733</v>
      </c>
    </row>
    <row r="654" spans="1:48">
      <c r="A654" s="1">
        <f>HYPERLINK("https://lsnyc.legalserver.org/matter/dynamic-profile/view/1898006","19-1898006")</f>
        <v>0</v>
      </c>
      <c r="B654" t="s">
        <v>72</v>
      </c>
      <c r="C654" t="s">
        <v>256</v>
      </c>
      <c r="D654" t="s">
        <v>598</v>
      </c>
      <c r="F654" t="s">
        <v>1555</v>
      </c>
      <c r="G654" t="s">
        <v>3177</v>
      </c>
      <c r="H654" t="s">
        <v>6111</v>
      </c>
      <c r="I654">
        <v>1</v>
      </c>
      <c r="J654" t="s">
        <v>9059</v>
      </c>
      <c r="K654">
        <v>11208</v>
      </c>
      <c r="L654" t="s">
        <v>9094</v>
      </c>
      <c r="M654" t="s">
        <v>9094</v>
      </c>
      <c r="N654" t="s">
        <v>9411</v>
      </c>
      <c r="O654" t="s">
        <v>11128</v>
      </c>
      <c r="P654" t="s">
        <v>11165</v>
      </c>
      <c r="R654" t="s">
        <v>11180</v>
      </c>
      <c r="T654" t="s">
        <v>11183</v>
      </c>
      <c r="V654" t="s">
        <v>598</v>
      </c>
      <c r="W654">
        <v>1200</v>
      </c>
      <c r="X654" t="s">
        <v>11332</v>
      </c>
      <c r="Y654" t="s">
        <v>11340</v>
      </c>
      <c r="Z654" t="s">
        <v>11845</v>
      </c>
      <c r="AB654" t="s">
        <v>16307</v>
      </c>
      <c r="AC654">
        <v>3</v>
      </c>
      <c r="AD654" t="s">
        <v>15441</v>
      </c>
      <c r="AF654">
        <v>1</v>
      </c>
      <c r="AG654">
        <v>1</v>
      </c>
      <c r="AH654">
        <v>2</v>
      </c>
      <c r="AI654">
        <v>19.75</v>
      </c>
      <c r="AL654" t="s">
        <v>19614</v>
      </c>
      <c r="AM654">
        <v>4212</v>
      </c>
      <c r="AS654">
        <v>1.5</v>
      </c>
      <c r="AT654" t="s">
        <v>299</v>
      </c>
      <c r="AU654" t="s">
        <v>20628</v>
      </c>
    </row>
    <row r="655" spans="1:48">
      <c r="A655" s="1">
        <f>HYPERLINK("https://lsnyc.legalserver.org/matter/dynamic-profile/view/1871295","18-1871295")</f>
        <v>0</v>
      </c>
      <c r="B655" t="s">
        <v>72</v>
      </c>
      <c r="C655" t="s">
        <v>256</v>
      </c>
      <c r="D655" t="s">
        <v>599</v>
      </c>
      <c r="F655" t="s">
        <v>1556</v>
      </c>
      <c r="G655" t="s">
        <v>3551</v>
      </c>
      <c r="H655" t="s">
        <v>6112</v>
      </c>
      <c r="I655" t="s">
        <v>8318</v>
      </c>
      <c r="J655" t="s">
        <v>9059</v>
      </c>
      <c r="K655">
        <v>11212</v>
      </c>
      <c r="L655" t="s">
        <v>9094</v>
      </c>
      <c r="M655" t="s">
        <v>9095</v>
      </c>
      <c r="N655" t="s">
        <v>9412</v>
      </c>
      <c r="O655" t="s">
        <v>11128</v>
      </c>
      <c r="P655" t="s">
        <v>11169</v>
      </c>
      <c r="R655" t="s">
        <v>11180</v>
      </c>
      <c r="T655" t="s">
        <v>11183</v>
      </c>
      <c r="V655" t="s">
        <v>599</v>
      </c>
      <c r="W655">
        <v>1116</v>
      </c>
      <c r="X655" t="s">
        <v>11332</v>
      </c>
      <c r="Y655" t="s">
        <v>11340</v>
      </c>
      <c r="Z655" t="s">
        <v>11846</v>
      </c>
      <c r="AB655" t="s">
        <v>16308</v>
      </c>
      <c r="AC655">
        <v>24</v>
      </c>
      <c r="AD655" t="s">
        <v>19566</v>
      </c>
      <c r="AE655" t="s">
        <v>19585</v>
      </c>
      <c r="AF655">
        <v>8</v>
      </c>
      <c r="AG655">
        <v>1</v>
      </c>
      <c r="AH655">
        <v>0</v>
      </c>
      <c r="AI655">
        <v>19.77</v>
      </c>
      <c r="AL655" t="s">
        <v>19614</v>
      </c>
      <c r="AM655">
        <v>2400</v>
      </c>
      <c r="AS655">
        <v>20.8</v>
      </c>
      <c r="AT655" t="s">
        <v>906</v>
      </c>
      <c r="AU655" t="s">
        <v>20631</v>
      </c>
    </row>
    <row r="656" spans="1:48">
      <c r="A656" s="1">
        <f>HYPERLINK("https://lsnyc.legalserver.org/matter/dynamic-profile/view/1866794","18-1866794")</f>
        <v>0</v>
      </c>
      <c r="B656" t="s">
        <v>101</v>
      </c>
      <c r="C656" t="s">
        <v>256</v>
      </c>
      <c r="D656" t="s">
        <v>600</v>
      </c>
      <c r="F656" t="s">
        <v>1248</v>
      </c>
      <c r="G656" t="s">
        <v>3721</v>
      </c>
      <c r="H656" t="s">
        <v>6113</v>
      </c>
      <c r="I656" t="s">
        <v>8168</v>
      </c>
      <c r="J656" t="s">
        <v>9065</v>
      </c>
      <c r="K656">
        <v>10452</v>
      </c>
      <c r="L656" t="s">
        <v>9094</v>
      </c>
      <c r="M656" t="s">
        <v>9095</v>
      </c>
      <c r="O656" t="s">
        <v>11135</v>
      </c>
      <c r="P656" t="s">
        <v>11168</v>
      </c>
      <c r="R656" t="s">
        <v>11180</v>
      </c>
      <c r="S656" t="s">
        <v>9094</v>
      </c>
      <c r="T656" t="s">
        <v>11183</v>
      </c>
      <c r="V656" t="s">
        <v>600</v>
      </c>
      <c r="W656">
        <v>1275</v>
      </c>
      <c r="X656" t="s">
        <v>11333</v>
      </c>
      <c r="Y656" t="s">
        <v>11346</v>
      </c>
      <c r="Z656" t="s">
        <v>11847</v>
      </c>
      <c r="AB656" t="s">
        <v>16309</v>
      </c>
      <c r="AC656">
        <v>0</v>
      </c>
      <c r="AD656" t="s">
        <v>19566</v>
      </c>
      <c r="AE656" t="s">
        <v>11157</v>
      </c>
      <c r="AF656">
        <v>16</v>
      </c>
      <c r="AG656">
        <v>1</v>
      </c>
      <c r="AH656">
        <v>0</v>
      </c>
      <c r="AI656">
        <v>19.77</v>
      </c>
      <c r="AL656" t="s">
        <v>19614</v>
      </c>
      <c r="AM656">
        <v>2400</v>
      </c>
      <c r="AS656">
        <v>0</v>
      </c>
      <c r="AU656" t="s">
        <v>174</v>
      </c>
    </row>
    <row r="657" spans="1:48">
      <c r="A657" s="1">
        <f>HYPERLINK("https://lsnyc.legalserver.org/matter/dynamic-profile/view/1872111","18-1872111")</f>
        <v>0</v>
      </c>
      <c r="B657" t="s">
        <v>136</v>
      </c>
      <c r="C657" t="s">
        <v>257</v>
      </c>
      <c r="D657" t="s">
        <v>352</v>
      </c>
      <c r="E657" t="s">
        <v>410</v>
      </c>
      <c r="F657" t="s">
        <v>1551</v>
      </c>
      <c r="G657" t="s">
        <v>3195</v>
      </c>
      <c r="H657" t="s">
        <v>6107</v>
      </c>
      <c r="I657" t="s">
        <v>8119</v>
      </c>
      <c r="J657" t="s">
        <v>9067</v>
      </c>
      <c r="K657">
        <v>10029</v>
      </c>
      <c r="L657" t="s">
        <v>9094</v>
      </c>
      <c r="M657" t="s">
        <v>9094</v>
      </c>
      <c r="N657" t="s">
        <v>9413</v>
      </c>
      <c r="O657" t="s">
        <v>11129</v>
      </c>
      <c r="P657" t="s">
        <v>11165</v>
      </c>
      <c r="Q657" t="s">
        <v>11174</v>
      </c>
      <c r="R657" t="s">
        <v>11180</v>
      </c>
      <c r="S657" t="s">
        <v>9096</v>
      </c>
      <c r="T657" t="s">
        <v>11183</v>
      </c>
      <c r="U657" t="s">
        <v>11201</v>
      </c>
      <c r="V657" t="s">
        <v>585</v>
      </c>
      <c r="W657">
        <v>981</v>
      </c>
      <c r="X657" t="s">
        <v>11335</v>
      </c>
      <c r="Y657" t="s">
        <v>11352</v>
      </c>
      <c r="Z657" t="s">
        <v>11841</v>
      </c>
      <c r="AB657" t="s">
        <v>16303</v>
      </c>
      <c r="AC657">
        <v>30</v>
      </c>
      <c r="AD657" t="s">
        <v>19566</v>
      </c>
      <c r="AE657" t="s">
        <v>9144</v>
      </c>
      <c r="AF657">
        <v>19</v>
      </c>
      <c r="AG657">
        <v>1</v>
      </c>
      <c r="AH657">
        <v>0</v>
      </c>
      <c r="AI657">
        <v>19.77</v>
      </c>
      <c r="AL657" t="s">
        <v>19614</v>
      </c>
      <c r="AM657">
        <v>2400</v>
      </c>
      <c r="AN657" t="s">
        <v>19722</v>
      </c>
      <c r="AS657">
        <v>25.05</v>
      </c>
      <c r="AT657" t="s">
        <v>265</v>
      </c>
      <c r="AU657" t="s">
        <v>20640</v>
      </c>
      <c r="AV657" t="s">
        <v>20733</v>
      </c>
    </row>
    <row r="658" spans="1:48">
      <c r="A658" s="1">
        <f>HYPERLINK("https://lsnyc.legalserver.org/matter/dynamic-profile/view/1914692","19-1914692")</f>
        <v>0</v>
      </c>
      <c r="B658" t="s">
        <v>117</v>
      </c>
      <c r="C658" t="s">
        <v>256</v>
      </c>
      <c r="D658" t="s">
        <v>301</v>
      </c>
      <c r="F658" t="s">
        <v>1152</v>
      </c>
      <c r="G658" t="s">
        <v>3448</v>
      </c>
      <c r="H658" t="s">
        <v>6114</v>
      </c>
      <c r="I658" t="s">
        <v>8275</v>
      </c>
      <c r="J658" t="s">
        <v>9065</v>
      </c>
      <c r="K658">
        <v>10453</v>
      </c>
      <c r="L658" t="s">
        <v>9094</v>
      </c>
      <c r="M658" t="s">
        <v>9095</v>
      </c>
      <c r="P658" t="s">
        <v>11164</v>
      </c>
      <c r="R658" t="s">
        <v>11180</v>
      </c>
      <c r="S658" t="s">
        <v>9096</v>
      </c>
      <c r="T658" t="s">
        <v>11183</v>
      </c>
      <c r="W658">
        <v>1800</v>
      </c>
      <c r="X658" t="s">
        <v>11333</v>
      </c>
      <c r="Y658" t="s">
        <v>11346</v>
      </c>
      <c r="Z658" t="s">
        <v>11848</v>
      </c>
      <c r="AB658" t="s">
        <v>16310</v>
      </c>
      <c r="AC658">
        <v>0</v>
      </c>
      <c r="AD658" t="s">
        <v>15441</v>
      </c>
      <c r="AE658" t="s">
        <v>19581</v>
      </c>
      <c r="AF658">
        <v>2</v>
      </c>
      <c r="AG658">
        <v>1</v>
      </c>
      <c r="AH658">
        <v>4</v>
      </c>
      <c r="AI658">
        <v>19.89</v>
      </c>
      <c r="AL658" t="s">
        <v>19614</v>
      </c>
      <c r="AM658">
        <v>6000</v>
      </c>
      <c r="AS658">
        <v>0</v>
      </c>
      <c r="AU658" t="s">
        <v>163</v>
      </c>
      <c r="AV658" t="s">
        <v>20733</v>
      </c>
    </row>
    <row r="659" spans="1:48">
      <c r="A659" s="1">
        <f>HYPERLINK("https://lsnyc.legalserver.org/matter/dynamic-profile/view/1914309","19-1914309")</f>
        <v>0</v>
      </c>
      <c r="B659" t="s">
        <v>139</v>
      </c>
      <c r="C659" t="s">
        <v>257</v>
      </c>
      <c r="D659" t="s">
        <v>496</v>
      </c>
      <c r="E659" t="s">
        <v>331</v>
      </c>
      <c r="F659" t="s">
        <v>1381</v>
      </c>
      <c r="G659" t="s">
        <v>3722</v>
      </c>
      <c r="H659" t="s">
        <v>6115</v>
      </c>
      <c r="I659" t="s">
        <v>8319</v>
      </c>
      <c r="J659" t="s">
        <v>9067</v>
      </c>
      <c r="K659">
        <v>10034</v>
      </c>
      <c r="L659" t="s">
        <v>9094</v>
      </c>
      <c r="M659" t="s">
        <v>9095</v>
      </c>
      <c r="N659" t="s">
        <v>9414</v>
      </c>
      <c r="O659" t="s">
        <v>11128</v>
      </c>
      <c r="P659" t="s">
        <v>11164</v>
      </c>
      <c r="Q659" t="s">
        <v>11172</v>
      </c>
      <c r="R659" t="s">
        <v>11180</v>
      </c>
      <c r="S659" t="s">
        <v>9096</v>
      </c>
      <c r="T659" t="s">
        <v>11183</v>
      </c>
      <c r="V659" t="s">
        <v>331</v>
      </c>
      <c r="W659">
        <v>0</v>
      </c>
      <c r="X659" t="s">
        <v>11335</v>
      </c>
      <c r="Y659" t="s">
        <v>11340</v>
      </c>
      <c r="Z659" t="s">
        <v>11849</v>
      </c>
      <c r="AB659" t="s">
        <v>16311</v>
      </c>
      <c r="AC659">
        <v>0</v>
      </c>
      <c r="AD659" t="s">
        <v>19566</v>
      </c>
      <c r="AE659" t="s">
        <v>9144</v>
      </c>
      <c r="AF659">
        <v>26</v>
      </c>
      <c r="AG659">
        <v>1</v>
      </c>
      <c r="AH659">
        <v>0</v>
      </c>
      <c r="AI659">
        <v>19.89</v>
      </c>
      <c r="AL659" t="s">
        <v>19615</v>
      </c>
      <c r="AM659">
        <v>2484</v>
      </c>
      <c r="AS659">
        <v>1</v>
      </c>
      <c r="AT659" t="s">
        <v>496</v>
      </c>
      <c r="AU659" t="s">
        <v>130</v>
      </c>
      <c r="AV659" t="s">
        <v>20733</v>
      </c>
    </row>
    <row r="660" spans="1:48">
      <c r="A660" s="1">
        <f>HYPERLINK("https://lsnyc.legalserver.org/matter/dynamic-profile/view/0803743","16-0803743")</f>
        <v>0</v>
      </c>
      <c r="B660" t="s">
        <v>102</v>
      </c>
      <c r="C660" t="s">
        <v>256</v>
      </c>
      <c r="D660" t="s">
        <v>601</v>
      </c>
      <c r="F660" t="s">
        <v>1397</v>
      </c>
      <c r="G660" t="s">
        <v>3498</v>
      </c>
      <c r="H660" t="s">
        <v>6116</v>
      </c>
      <c r="I660" t="s">
        <v>8212</v>
      </c>
      <c r="J660" t="s">
        <v>9065</v>
      </c>
      <c r="K660">
        <v>10452</v>
      </c>
      <c r="L660" t="s">
        <v>9094</v>
      </c>
      <c r="M660" t="s">
        <v>9095</v>
      </c>
      <c r="N660" t="s">
        <v>9415</v>
      </c>
      <c r="O660" t="s">
        <v>11128</v>
      </c>
      <c r="P660" t="s">
        <v>11165</v>
      </c>
      <c r="R660" t="s">
        <v>11180</v>
      </c>
      <c r="T660" t="s">
        <v>11183</v>
      </c>
      <c r="V660" t="s">
        <v>11237</v>
      </c>
      <c r="W660">
        <v>1309</v>
      </c>
      <c r="X660" t="s">
        <v>11333</v>
      </c>
      <c r="Y660" t="s">
        <v>11338</v>
      </c>
      <c r="Z660" t="s">
        <v>11850</v>
      </c>
      <c r="AB660" t="s">
        <v>16312</v>
      </c>
      <c r="AC660">
        <v>24</v>
      </c>
      <c r="AD660" t="s">
        <v>19566</v>
      </c>
      <c r="AE660" t="s">
        <v>9144</v>
      </c>
      <c r="AF660">
        <v>2</v>
      </c>
      <c r="AG660">
        <v>1</v>
      </c>
      <c r="AH660">
        <v>0</v>
      </c>
      <c r="AI660">
        <v>20</v>
      </c>
      <c r="AL660" t="s">
        <v>19614</v>
      </c>
      <c r="AM660">
        <v>2376</v>
      </c>
      <c r="AR660" t="s">
        <v>20405</v>
      </c>
      <c r="AS660">
        <v>10.1</v>
      </c>
      <c r="AT660" t="s">
        <v>323</v>
      </c>
      <c r="AU660" t="s">
        <v>20648</v>
      </c>
    </row>
    <row r="661" spans="1:48">
      <c r="A661" s="1">
        <f>HYPERLINK("https://lsnyc.legalserver.org/matter/dynamic-profile/view/1889189","19-1889189")</f>
        <v>0</v>
      </c>
      <c r="B661" t="s">
        <v>72</v>
      </c>
      <c r="C661" t="s">
        <v>257</v>
      </c>
      <c r="D661" t="s">
        <v>602</v>
      </c>
      <c r="E661" t="s">
        <v>457</v>
      </c>
      <c r="F661" t="s">
        <v>1557</v>
      </c>
      <c r="G661" t="s">
        <v>3486</v>
      </c>
      <c r="H661" t="s">
        <v>6117</v>
      </c>
      <c r="I661" t="s">
        <v>8141</v>
      </c>
      <c r="J661" t="s">
        <v>9059</v>
      </c>
      <c r="K661">
        <v>11207</v>
      </c>
      <c r="L661" t="s">
        <v>9094</v>
      </c>
      <c r="M661" t="s">
        <v>9094</v>
      </c>
      <c r="N661" t="s">
        <v>9416</v>
      </c>
      <c r="O661" t="s">
        <v>11128</v>
      </c>
      <c r="P661" t="s">
        <v>11165</v>
      </c>
      <c r="Q661" t="s">
        <v>11179</v>
      </c>
      <c r="R661" t="s">
        <v>11180</v>
      </c>
      <c r="S661" t="s">
        <v>9096</v>
      </c>
      <c r="T661" t="s">
        <v>11183</v>
      </c>
      <c r="V661" t="s">
        <v>616</v>
      </c>
      <c r="W661">
        <v>0</v>
      </c>
      <c r="X661" t="s">
        <v>11332</v>
      </c>
      <c r="Z661" t="s">
        <v>11851</v>
      </c>
      <c r="AC661">
        <v>0</v>
      </c>
      <c r="AF661">
        <v>0</v>
      </c>
      <c r="AG661">
        <v>1</v>
      </c>
      <c r="AH661">
        <v>3</v>
      </c>
      <c r="AI661">
        <v>20.18</v>
      </c>
      <c r="AL661" t="s">
        <v>19614</v>
      </c>
      <c r="AM661">
        <v>5196</v>
      </c>
      <c r="AS661">
        <v>14.25</v>
      </c>
      <c r="AT661" t="s">
        <v>482</v>
      </c>
      <c r="AU661" t="s">
        <v>72</v>
      </c>
      <c r="AV661" t="s">
        <v>20733</v>
      </c>
    </row>
    <row r="662" spans="1:48">
      <c r="A662" s="1">
        <f>HYPERLINK("https://lsnyc.legalserver.org/matter/dynamic-profile/view/1886102","18-1886102")</f>
        <v>0</v>
      </c>
      <c r="B662" t="s">
        <v>119</v>
      </c>
      <c r="C662" t="s">
        <v>256</v>
      </c>
      <c r="D662" t="s">
        <v>397</v>
      </c>
      <c r="F662" t="s">
        <v>1487</v>
      </c>
      <c r="G662" t="s">
        <v>3710</v>
      </c>
      <c r="H662" t="s">
        <v>6095</v>
      </c>
      <c r="I662" t="s">
        <v>8312</v>
      </c>
      <c r="J662" t="s">
        <v>9065</v>
      </c>
      <c r="K662">
        <v>10456</v>
      </c>
      <c r="L662" t="s">
        <v>9094</v>
      </c>
      <c r="M662" t="s">
        <v>9094</v>
      </c>
      <c r="N662" t="s">
        <v>9401</v>
      </c>
      <c r="O662" t="s">
        <v>11134</v>
      </c>
      <c r="P662" t="s">
        <v>11168</v>
      </c>
      <c r="R662" t="s">
        <v>11180</v>
      </c>
      <c r="S662" t="s">
        <v>9094</v>
      </c>
      <c r="T662" t="s">
        <v>11183</v>
      </c>
      <c r="V662" t="s">
        <v>738</v>
      </c>
      <c r="W662">
        <v>820</v>
      </c>
      <c r="X662" t="s">
        <v>11333</v>
      </c>
      <c r="Y662" t="s">
        <v>11346</v>
      </c>
      <c r="Z662" t="s">
        <v>11828</v>
      </c>
      <c r="AA662">
        <v>6629815</v>
      </c>
      <c r="AC662">
        <v>131</v>
      </c>
      <c r="AD662" t="s">
        <v>19566</v>
      </c>
      <c r="AE662" t="s">
        <v>19582</v>
      </c>
      <c r="AF662">
        <v>9</v>
      </c>
      <c r="AG662">
        <v>1</v>
      </c>
      <c r="AH662">
        <v>3</v>
      </c>
      <c r="AI662">
        <v>20.3</v>
      </c>
      <c r="AL662" t="s">
        <v>19614</v>
      </c>
      <c r="AM662">
        <v>5096</v>
      </c>
      <c r="AS662">
        <v>0</v>
      </c>
      <c r="AU662" t="s">
        <v>163</v>
      </c>
    </row>
    <row r="663" spans="1:48">
      <c r="A663" s="1">
        <f>HYPERLINK("https://lsnyc.legalserver.org/matter/dynamic-profile/view/1834714","17-1834714")</f>
        <v>0</v>
      </c>
      <c r="B663" t="s">
        <v>56</v>
      </c>
      <c r="C663" t="s">
        <v>256</v>
      </c>
      <c r="D663" t="s">
        <v>550</v>
      </c>
      <c r="F663" t="s">
        <v>1558</v>
      </c>
      <c r="G663" t="s">
        <v>3723</v>
      </c>
      <c r="H663" t="s">
        <v>6118</v>
      </c>
      <c r="I663" t="s">
        <v>8320</v>
      </c>
      <c r="J663" t="s">
        <v>9055</v>
      </c>
      <c r="K663">
        <v>11355</v>
      </c>
      <c r="L663" t="s">
        <v>9095</v>
      </c>
      <c r="M663" t="s">
        <v>9095</v>
      </c>
      <c r="N663" t="s">
        <v>9417</v>
      </c>
      <c r="O663" t="s">
        <v>11128</v>
      </c>
      <c r="P663" t="s">
        <v>11165</v>
      </c>
      <c r="R663" t="s">
        <v>11180</v>
      </c>
      <c r="S663" t="s">
        <v>9096</v>
      </c>
      <c r="T663" t="s">
        <v>11183</v>
      </c>
      <c r="V663" t="s">
        <v>550</v>
      </c>
      <c r="W663">
        <v>0</v>
      </c>
      <c r="X663" t="s">
        <v>11331</v>
      </c>
      <c r="Y663" t="s">
        <v>11342</v>
      </c>
      <c r="Z663" t="s">
        <v>11852</v>
      </c>
      <c r="AB663" t="s">
        <v>16313</v>
      </c>
      <c r="AC663">
        <v>3</v>
      </c>
      <c r="AD663" t="s">
        <v>19565</v>
      </c>
      <c r="AF663">
        <v>8</v>
      </c>
      <c r="AG663">
        <v>4</v>
      </c>
      <c r="AH663">
        <v>0</v>
      </c>
      <c r="AI663">
        <v>20.33</v>
      </c>
      <c r="AL663" t="s">
        <v>19614</v>
      </c>
      <c r="AM663">
        <v>5000</v>
      </c>
      <c r="AS663">
        <v>23.8</v>
      </c>
      <c r="AT663" t="s">
        <v>20589</v>
      </c>
      <c r="AU663" t="s">
        <v>56</v>
      </c>
    </row>
    <row r="664" spans="1:48">
      <c r="A664" s="1">
        <f>HYPERLINK("https://lsnyc.legalserver.org/matter/dynamic-profile/view/1882586","18-1882586")</f>
        <v>0</v>
      </c>
      <c r="B664" t="s">
        <v>136</v>
      </c>
      <c r="C664" t="s">
        <v>256</v>
      </c>
      <c r="D664" t="s">
        <v>433</v>
      </c>
      <c r="F664" t="s">
        <v>1559</v>
      </c>
      <c r="G664" t="s">
        <v>3724</v>
      </c>
      <c r="H664" t="s">
        <v>6119</v>
      </c>
      <c r="I664" t="s">
        <v>8218</v>
      </c>
      <c r="J664" t="s">
        <v>9067</v>
      </c>
      <c r="K664">
        <v>10031</v>
      </c>
      <c r="L664" t="s">
        <v>9094</v>
      </c>
      <c r="M664" t="s">
        <v>9094</v>
      </c>
      <c r="N664" t="s">
        <v>9418</v>
      </c>
      <c r="O664" t="s">
        <v>11130</v>
      </c>
      <c r="P664" t="s">
        <v>11165</v>
      </c>
      <c r="R664" t="s">
        <v>11180</v>
      </c>
      <c r="S664" t="s">
        <v>9094</v>
      </c>
      <c r="T664" t="s">
        <v>11183</v>
      </c>
      <c r="U664" t="s">
        <v>11201</v>
      </c>
      <c r="V664" t="s">
        <v>514</v>
      </c>
      <c r="W664">
        <v>2697</v>
      </c>
      <c r="X664" t="s">
        <v>11335</v>
      </c>
      <c r="Y664" t="s">
        <v>11339</v>
      </c>
      <c r="Z664" t="s">
        <v>11853</v>
      </c>
      <c r="AB664" t="s">
        <v>16314</v>
      </c>
      <c r="AC664">
        <v>44</v>
      </c>
      <c r="AD664" t="s">
        <v>19566</v>
      </c>
      <c r="AE664" t="s">
        <v>19580</v>
      </c>
      <c r="AF664">
        <v>10</v>
      </c>
      <c r="AG664">
        <v>2</v>
      </c>
      <c r="AH664">
        <v>0</v>
      </c>
      <c r="AI664">
        <v>20.33</v>
      </c>
      <c r="AL664" t="s">
        <v>19614</v>
      </c>
      <c r="AM664">
        <v>3346.2</v>
      </c>
      <c r="AS664">
        <v>2</v>
      </c>
      <c r="AT664" t="s">
        <v>268</v>
      </c>
      <c r="AU664" t="s">
        <v>20657</v>
      </c>
    </row>
    <row r="665" spans="1:48">
      <c r="A665" s="1">
        <f>HYPERLINK("https://lsnyc.legalserver.org/matter/dynamic-profile/view/1876683","18-1876683")</f>
        <v>0</v>
      </c>
      <c r="B665" t="s">
        <v>119</v>
      </c>
      <c r="C665" t="s">
        <v>256</v>
      </c>
      <c r="D665" t="s">
        <v>593</v>
      </c>
      <c r="F665" t="s">
        <v>1487</v>
      </c>
      <c r="G665" t="s">
        <v>3710</v>
      </c>
      <c r="H665" t="s">
        <v>6095</v>
      </c>
      <c r="I665" t="s">
        <v>8312</v>
      </c>
      <c r="J665" t="s">
        <v>9065</v>
      </c>
      <c r="K665">
        <v>10456</v>
      </c>
      <c r="L665" t="s">
        <v>9094</v>
      </c>
      <c r="M665" t="s">
        <v>9094</v>
      </c>
      <c r="N665" t="s">
        <v>9419</v>
      </c>
      <c r="O665" t="s">
        <v>11134</v>
      </c>
      <c r="P665" t="s">
        <v>11168</v>
      </c>
      <c r="R665" t="s">
        <v>11180</v>
      </c>
      <c r="S665" t="s">
        <v>9094</v>
      </c>
      <c r="T665" t="s">
        <v>11183</v>
      </c>
      <c r="V665" t="s">
        <v>593</v>
      </c>
      <c r="W665">
        <v>820</v>
      </c>
      <c r="X665" t="s">
        <v>11333</v>
      </c>
      <c r="Y665" t="s">
        <v>11346</v>
      </c>
      <c r="Z665" t="s">
        <v>11828</v>
      </c>
      <c r="AA665">
        <v>6629815</v>
      </c>
      <c r="AC665">
        <v>131</v>
      </c>
      <c r="AD665" t="s">
        <v>19566</v>
      </c>
      <c r="AE665" t="s">
        <v>19582</v>
      </c>
      <c r="AF665">
        <v>9</v>
      </c>
      <c r="AG665">
        <v>1</v>
      </c>
      <c r="AH665">
        <v>3</v>
      </c>
      <c r="AI665">
        <v>20.35</v>
      </c>
      <c r="AL665" t="s">
        <v>19614</v>
      </c>
      <c r="AM665">
        <v>5107.96</v>
      </c>
      <c r="AS665">
        <v>0</v>
      </c>
      <c r="AU665" t="s">
        <v>163</v>
      </c>
    </row>
    <row r="666" spans="1:48">
      <c r="A666" s="1">
        <f>HYPERLINK("https://lsnyc.legalserver.org/matter/dynamic-profile/view/1882501","18-1882501")</f>
        <v>0</v>
      </c>
      <c r="B666" t="s">
        <v>161</v>
      </c>
      <c r="C666" t="s">
        <v>257</v>
      </c>
      <c r="D666" t="s">
        <v>323</v>
      </c>
      <c r="E666" t="s">
        <v>271</v>
      </c>
      <c r="F666" t="s">
        <v>1560</v>
      </c>
      <c r="G666" t="s">
        <v>3725</v>
      </c>
      <c r="H666" t="s">
        <v>6120</v>
      </c>
      <c r="I666" t="s">
        <v>8321</v>
      </c>
      <c r="J666" t="s">
        <v>9065</v>
      </c>
      <c r="K666">
        <v>10468</v>
      </c>
      <c r="L666" t="s">
        <v>9094</v>
      </c>
      <c r="M666" t="s">
        <v>9094</v>
      </c>
      <c r="N666" t="s">
        <v>9171</v>
      </c>
      <c r="O666" t="s">
        <v>11151</v>
      </c>
      <c r="P666" t="s">
        <v>11166</v>
      </c>
      <c r="Q666" t="s">
        <v>11173</v>
      </c>
      <c r="R666" t="s">
        <v>11180</v>
      </c>
      <c r="S666" t="s">
        <v>9096</v>
      </c>
      <c r="T666" t="s">
        <v>11190</v>
      </c>
      <c r="U666" t="s">
        <v>11200</v>
      </c>
      <c r="V666" t="s">
        <v>323</v>
      </c>
      <c r="W666">
        <v>1550.24</v>
      </c>
      <c r="X666" t="s">
        <v>11333</v>
      </c>
      <c r="Y666" t="s">
        <v>11346</v>
      </c>
      <c r="Z666" t="s">
        <v>11854</v>
      </c>
      <c r="AA666" t="s">
        <v>15394</v>
      </c>
      <c r="AB666" t="s">
        <v>16315</v>
      </c>
      <c r="AC666">
        <v>871</v>
      </c>
      <c r="AD666" t="s">
        <v>19572</v>
      </c>
      <c r="AE666" t="s">
        <v>19582</v>
      </c>
      <c r="AF666">
        <v>3</v>
      </c>
      <c r="AG666">
        <v>2</v>
      </c>
      <c r="AH666">
        <v>3</v>
      </c>
      <c r="AI666">
        <v>20.39</v>
      </c>
      <c r="AL666" t="s">
        <v>19614</v>
      </c>
      <c r="AM666">
        <v>6000</v>
      </c>
      <c r="AN666" t="s">
        <v>19723</v>
      </c>
      <c r="AO666" t="s">
        <v>20294</v>
      </c>
      <c r="AS666">
        <v>5.4</v>
      </c>
      <c r="AT666" t="s">
        <v>271</v>
      </c>
      <c r="AU666" t="s">
        <v>20670</v>
      </c>
      <c r="AV666" t="s">
        <v>20733</v>
      </c>
    </row>
    <row r="667" spans="1:48">
      <c r="A667" s="1">
        <f>HYPERLINK("https://lsnyc.legalserver.org/matter/dynamic-profile/view/1899049","19-1899049")</f>
        <v>0</v>
      </c>
      <c r="B667" t="s">
        <v>111</v>
      </c>
      <c r="C667" t="s">
        <v>256</v>
      </c>
      <c r="D667" t="s">
        <v>492</v>
      </c>
      <c r="F667" t="s">
        <v>1561</v>
      </c>
      <c r="G667" t="s">
        <v>3726</v>
      </c>
      <c r="H667" t="s">
        <v>6121</v>
      </c>
      <c r="I667" t="s">
        <v>8132</v>
      </c>
      <c r="J667" t="s">
        <v>9065</v>
      </c>
      <c r="K667">
        <v>10451</v>
      </c>
      <c r="L667" t="s">
        <v>9094</v>
      </c>
      <c r="M667" t="s">
        <v>9095</v>
      </c>
      <c r="O667" t="s">
        <v>11129</v>
      </c>
      <c r="P667" t="s">
        <v>11164</v>
      </c>
      <c r="R667" t="s">
        <v>11180</v>
      </c>
      <c r="S667" t="s">
        <v>9096</v>
      </c>
      <c r="T667" t="s">
        <v>11183</v>
      </c>
      <c r="U667" t="s">
        <v>11200</v>
      </c>
      <c r="V667" t="s">
        <v>11218</v>
      </c>
      <c r="W667">
        <v>975</v>
      </c>
      <c r="X667" t="s">
        <v>11333</v>
      </c>
      <c r="Y667" t="s">
        <v>11346</v>
      </c>
      <c r="Z667" t="s">
        <v>11855</v>
      </c>
      <c r="AB667" t="s">
        <v>16316</v>
      </c>
      <c r="AC667">
        <v>84</v>
      </c>
      <c r="AD667" t="s">
        <v>19569</v>
      </c>
      <c r="AE667" t="s">
        <v>19587</v>
      </c>
      <c r="AF667">
        <v>7</v>
      </c>
      <c r="AG667">
        <v>2</v>
      </c>
      <c r="AH667">
        <v>0</v>
      </c>
      <c r="AI667">
        <v>20.44</v>
      </c>
      <c r="AM667">
        <v>3456</v>
      </c>
      <c r="AS667">
        <v>0</v>
      </c>
      <c r="AU667" t="s">
        <v>20642</v>
      </c>
      <c r="AV667" t="s">
        <v>20733</v>
      </c>
    </row>
    <row r="668" spans="1:48">
      <c r="A668" s="1">
        <f>HYPERLINK("https://lsnyc.legalserver.org/matter/dynamic-profile/view/1869015","18-1869015")</f>
        <v>0</v>
      </c>
      <c r="B668" t="s">
        <v>73</v>
      </c>
      <c r="C668" t="s">
        <v>257</v>
      </c>
      <c r="D668" t="s">
        <v>281</v>
      </c>
      <c r="E668" t="s">
        <v>367</v>
      </c>
      <c r="F668" t="s">
        <v>1562</v>
      </c>
      <c r="G668" t="s">
        <v>3727</v>
      </c>
      <c r="H668" t="s">
        <v>6122</v>
      </c>
      <c r="I668" t="s">
        <v>8161</v>
      </c>
      <c r="J668" t="s">
        <v>9059</v>
      </c>
      <c r="K668">
        <v>11233</v>
      </c>
      <c r="L668" t="s">
        <v>9094</v>
      </c>
      <c r="M668" t="s">
        <v>9094</v>
      </c>
      <c r="N668" t="s">
        <v>9420</v>
      </c>
      <c r="O668" t="s">
        <v>11129</v>
      </c>
      <c r="P668" t="s">
        <v>11165</v>
      </c>
      <c r="Q668" t="s">
        <v>11176</v>
      </c>
      <c r="R668" t="s">
        <v>11180</v>
      </c>
      <c r="S668" t="s">
        <v>9096</v>
      </c>
      <c r="T668" t="s">
        <v>11183</v>
      </c>
      <c r="V668" t="s">
        <v>1017</v>
      </c>
      <c r="W668">
        <v>1436</v>
      </c>
      <c r="X668" t="s">
        <v>11332</v>
      </c>
      <c r="Y668" t="s">
        <v>11346</v>
      </c>
      <c r="Z668" t="s">
        <v>11856</v>
      </c>
      <c r="AA668" t="s">
        <v>15395</v>
      </c>
      <c r="AB668" t="s">
        <v>16317</v>
      </c>
      <c r="AC668">
        <v>6</v>
      </c>
      <c r="AD668" t="s">
        <v>19566</v>
      </c>
      <c r="AE668" t="s">
        <v>19580</v>
      </c>
      <c r="AF668">
        <v>9</v>
      </c>
      <c r="AG668">
        <v>1</v>
      </c>
      <c r="AH668">
        <v>1</v>
      </c>
      <c r="AI668">
        <v>20.53</v>
      </c>
      <c r="AL668" t="s">
        <v>19614</v>
      </c>
      <c r="AM668">
        <v>3380</v>
      </c>
      <c r="AS668">
        <v>25.3</v>
      </c>
      <c r="AT668" t="s">
        <v>503</v>
      </c>
      <c r="AU668" t="s">
        <v>95</v>
      </c>
    </row>
    <row r="669" spans="1:48">
      <c r="A669" s="1">
        <f>HYPERLINK("https://lsnyc.legalserver.org/matter/dynamic-profile/view/1913448","19-1913448")</f>
        <v>0</v>
      </c>
      <c r="B669" t="s">
        <v>162</v>
      </c>
      <c r="C669" t="s">
        <v>256</v>
      </c>
      <c r="D669" t="s">
        <v>483</v>
      </c>
      <c r="F669" t="s">
        <v>1402</v>
      </c>
      <c r="G669" t="s">
        <v>2681</v>
      </c>
      <c r="H669" t="s">
        <v>6123</v>
      </c>
      <c r="I669" t="s">
        <v>8322</v>
      </c>
      <c r="J669" t="s">
        <v>9065</v>
      </c>
      <c r="K669">
        <v>10452</v>
      </c>
      <c r="L669" t="s">
        <v>9095</v>
      </c>
      <c r="M669" t="s">
        <v>9095</v>
      </c>
      <c r="N669" t="s">
        <v>9421</v>
      </c>
      <c r="O669" t="s">
        <v>11129</v>
      </c>
      <c r="P669" t="s">
        <v>11167</v>
      </c>
      <c r="R669" t="s">
        <v>11180</v>
      </c>
      <c r="S669" t="s">
        <v>9096</v>
      </c>
      <c r="T669" t="s">
        <v>11183</v>
      </c>
      <c r="U669" t="s">
        <v>11200</v>
      </c>
      <c r="W669">
        <v>1270</v>
      </c>
      <c r="X669" t="s">
        <v>11333</v>
      </c>
      <c r="Y669" t="s">
        <v>11347</v>
      </c>
      <c r="Z669" t="s">
        <v>11857</v>
      </c>
      <c r="AA669" t="s">
        <v>15396</v>
      </c>
      <c r="AB669" t="s">
        <v>16318</v>
      </c>
      <c r="AC669">
        <v>40</v>
      </c>
      <c r="AD669" t="s">
        <v>15441</v>
      </c>
      <c r="AE669" t="s">
        <v>19581</v>
      </c>
      <c r="AF669">
        <v>6</v>
      </c>
      <c r="AG669">
        <v>1</v>
      </c>
      <c r="AH669">
        <v>1</v>
      </c>
      <c r="AI669">
        <v>20.58</v>
      </c>
      <c r="AL669" t="s">
        <v>19615</v>
      </c>
      <c r="AM669">
        <v>3480</v>
      </c>
      <c r="AS669">
        <v>16.6</v>
      </c>
      <c r="AT669" t="s">
        <v>1135</v>
      </c>
      <c r="AU669" t="s">
        <v>20647</v>
      </c>
      <c r="AV669" t="s">
        <v>20734</v>
      </c>
    </row>
    <row r="670" spans="1:48">
      <c r="A670" s="1">
        <f>HYPERLINK("https://lsnyc.legalserver.org/matter/dynamic-profile/view/1905088","19-1905088")</f>
        <v>0</v>
      </c>
      <c r="B670" t="s">
        <v>101</v>
      </c>
      <c r="C670" t="s">
        <v>256</v>
      </c>
      <c r="D670" t="s">
        <v>367</v>
      </c>
      <c r="F670" t="s">
        <v>1402</v>
      </c>
      <c r="G670" t="s">
        <v>2681</v>
      </c>
      <c r="H670" t="s">
        <v>6123</v>
      </c>
      <c r="I670" t="s">
        <v>8322</v>
      </c>
      <c r="J670" t="s">
        <v>9065</v>
      </c>
      <c r="K670">
        <v>10452</v>
      </c>
      <c r="L670" t="s">
        <v>9094</v>
      </c>
      <c r="M670" t="s">
        <v>9095</v>
      </c>
      <c r="P670" t="s">
        <v>11164</v>
      </c>
      <c r="R670" t="s">
        <v>11180</v>
      </c>
      <c r="T670" t="s">
        <v>11183</v>
      </c>
      <c r="W670">
        <v>1270</v>
      </c>
      <c r="X670" t="s">
        <v>11333</v>
      </c>
      <c r="Z670" t="s">
        <v>11857</v>
      </c>
      <c r="AB670" t="s">
        <v>16318</v>
      </c>
      <c r="AC670">
        <v>40</v>
      </c>
      <c r="AF670">
        <v>6</v>
      </c>
      <c r="AG670">
        <v>1</v>
      </c>
      <c r="AH670">
        <v>1</v>
      </c>
      <c r="AI670">
        <v>20.58</v>
      </c>
      <c r="AL670" t="s">
        <v>19615</v>
      </c>
      <c r="AM670">
        <v>3480</v>
      </c>
      <c r="AS670">
        <v>2</v>
      </c>
      <c r="AT670" t="s">
        <v>728</v>
      </c>
      <c r="AU670" t="s">
        <v>20627</v>
      </c>
      <c r="AV670" t="s">
        <v>20733</v>
      </c>
    </row>
    <row r="671" spans="1:48">
      <c r="A671" s="1">
        <f>HYPERLINK("https://lsnyc.legalserver.org/matter/dynamic-profile/view/1913332","19-1913332")</f>
        <v>0</v>
      </c>
      <c r="B671" t="s">
        <v>57</v>
      </c>
      <c r="C671" t="s">
        <v>256</v>
      </c>
      <c r="D671" t="s">
        <v>286</v>
      </c>
      <c r="F671" t="s">
        <v>1563</v>
      </c>
      <c r="G671" t="s">
        <v>3728</v>
      </c>
      <c r="H671" t="s">
        <v>6124</v>
      </c>
      <c r="I671" t="s">
        <v>8323</v>
      </c>
      <c r="J671" t="s">
        <v>9050</v>
      </c>
      <c r="K671">
        <v>11377</v>
      </c>
      <c r="L671" t="s">
        <v>9094</v>
      </c>
      <c r="M671" t="s">
        <v>9095</v>
      </c>
      <c r="N671" t="s">
        <v>9422</v>
      </c>
      <c r="O671" t="s">
        <v>11128</v>
      </c>
      <c r="P671" t="s">
        <v>11167</v>
      </c>
      <c r="R671" t="s">
        <v>11180</v>
      </c>
      <c r="S671" t="s">
        <v>9096</v>
      </c>
      <c r="T671" t="s">
        <v>11183</v>
      </c>
      <c r="U671" t="s">
        <v>11201</v>
      </c>
      <c r="V671" t="s">
        <v>476</v>
      </c>
      <c r="W671">
        <v>600</v>
      </c>
      <c r="X671" t="s">
        <v>11331</v>
      </c>
      <c r="Y671" t="s">
        <v>11336</v>
      </c>
      <c r="Z671" t="s">
        <v>11858</v>
      </c>
      <c r="AB671" t="s">
        <v>16319</v>
      </c>
      <c r="AC671">
        <v>150</v>
      </c>
      <c r="AD671" t="s">
        <v>19565</v>
      </c>
      <c r="AE671" t="s">
        <v>9144</v>
      </c>
      <c r="AF671">
        <v>-1</v>
      </c>
      <c r="AG671">
        <v>1</v>
      </c>
      <c r="AH671">
        <v>0</v>
      </c>
      <c r="AI671">
        <v>20.66</v>
      </c>
      <c r="AL671" t="s">
        <v>19615</v>
      </c>
      <c r="AM671">
        <v>2580</v>
      </c>
      <c r="AS671">
        <v>3.28</v>
      </c>
      <c r="AT671" t="s">
        <v>331</v>
      </c>
      <c r="AU671" t="s">
        <v>20619</v>
      </c>
      <c r="AV671" t="s">
        <v>20733</v>
      </c>
    </row>
    <row r="672" spans="1:48">
      <c r="A672" s="1">
        <f>HYPERLINK("https://lsnyc.legalserver.org/matter/dynamic-profile/view/1915402","19-1915402")</f>
        <v>0</v>
      </c>
      <c r="B672" t="s">
        <v>140</v>
      </c>
      <c r="C672" t="s">
        <v>256</v>
      </c>
      <c r="D672" t="s">
        <v>487</v>
      </c>
      <c r="F672" t="s">
        <v>1450</v>
      </c>
      <c r="G672" t="s">
        <v>3729</v>
      </c>
      <c r="H672" t="s">
        <v>6125</v>
      </c>
      <c r="I672" t="s">
        <v>8324</v>
      </c>
      <c r="J672" t="s">
        <v>9067</v>
      </c>
      <c r="K672">
        <v>10040</v>
      </c>
      <c r="L672" t="s">
        <v>9094</v>
      </c>
      <c r="M672" t="s">
        <v>9095</v>
      </c>
      <c r="P672" t="s">
        <v>11169</v>
      </c>
      <c r="R672" t="s">
        <v>11180</v>
      </c>
      <c r="S672" t="s">
        <v>9096</v>
      </c>
      <c r="T672" t="s">
        <v>11183</v>
      </c>
      <c r="V672" t="s">
        <v>487</v>
      </c>
      <c r="W672">
        <v>833.99</v>
      </c>
      <c r="X672" t="s">
        <v>11335</v>
      </c>
      <c r="Y672" t="s">
        <v>11340</v>
      </c>
      <c r="Z672" t="s">
        <v>11859</v>
      </c>
      <c r="AB672" t="s">
        <v>16320</v>
      </c>
      <c r="AC672">
        <v>43</v>
      </c>
      <c r="AD672" t="s">
        <v>19569</v>
      </c>
      <c r="AE672" t="s">
        <v>9144</v>
      </c>
      <c r="AF672">
        <v>33</v>
      </c>
      <c r="AG672">
        <v>1</v>
      </c>
      <c r="AH672">
        <v>0</v>
      </c>
      <c r="AI672">
        <v>20.66</v>
      </c>
      <c r="AL672" t="s">
        <v>19615</v>
      </c>
      <c r="AM672">
        <v>2580</v>
      </c>
      <c r="AS672">
        <v>1.5</v>
      </c>
      <c r="AT672" t="s">
        <v>487</v>
      </c>
      <c r="AU672" t="s">
        <v>130</v>
      </c>
      <c r="AV672" t="s">
        <v>20733</v>
      </c>
    </row>
    <row r="673" spans="1:48">
      <c r="A673" s="1">
        <f>HYPERLINK("https://lsnyc.legalserver.org/matter/dynamic-profile/view/1907074","19-1907074")</f>
        <v>0</v>
      </c>
      <c r="B673" t="s">
        <v>140</v>
      </c>
      <c r="C673" t="s">
        <v>256</v>
      </c>
      <c r="D673" t="s">
        <v>498</v>
      </c>
      <c r="F673" t="s">
        <v>1358</v>
      </c>
      <c r="G673" t="s">
        <v>3058</v>
      </c>
      <c r="H673" t="s">
        <v>6126</v>
      </c>
      <c r="I673" t="s">
        <v>8168</v>
      </c>
      <c r="J673" t="s">
        <v>9067</v>
      </c>
      <c r="K673">
        <v>10034</v>
      </c>
      <c r="L673" t="s">
        <v>9094</v>
      </c>
      <c r="M673" t="s">
        <v>9095</v>
      </c>
      <c r="O673" t="s">
        <v>11134</v>
      </c>
      <c r="P673" t="s">
        <v>11168</v>
      </c>
      <c r="R673" t="s">
        <v>11180</v>
      </c>
      <c r="S673" t="s">
        <v>9096</v>
      </c>
      <c r="T673" t="s">
        <v>11183</v>
      </c>
      <c r="V673" t="s">
        <v>498</v>
      </c>
      <c r="W673">
        <v>972.72</v>
      </c>
      <c r="X673" t="s">
        <v>11335</v>
      </c>
      <c r="Y673" t="s">
        <v>11340</v>
      </c>
      <c r="Z673" t="s">
        <v>11860</v>
      </c>
      <c r="AB673" t="s">
        <v>16321</v>
      </c>
      <c r="AC673">
        <v>121</v>
      </c>
      <c r="AD673" t="s">
        <v>19566</v>
      </c>
      <c r="AE673" t="s">
        <v>9144</v>
      </c>
      <c r="AF673">
        <v>32</v>
      </c>
      <c r="AG673">
        <v>1</v>
      </c>
      <c r="AH673">
        <v>0</v>
      </c>
      <c r="AI673">
        <v>20.66</v>
      </c>
      <c r="AL673" t="s">
        <v>19615</v>
      </c>
      <c r="AM673">
        <v>2580</v>
      </c>
      <c r="AS673">
        <v>0.1</v>
      </c>
      <c r="AT673" t="s">
        <v>498</v>
      </c>
      <c r="AU673" t="s">
        <v>130</v>
      </c>
      <c r="AV673" t="s">
        <v>20733</v>
      </c>
    </row>
    <row r="674" spans="1:48">
      <c r="A674" s="1">
        <f>HYPERLINK("https://lsnyc.legalserver.org/matter/dynamic-profile/view/1907072","19-1907072")</f>
        <v>0</v>
      </c>
      <c r="B674" t="s">
        <v>140</v>
      </c>
      <c r="C674" t="s">
        <v>256</v>
      </c>
      <c r="D674" t="s">
        <v>498</v>
      </c>
      <c r="F674" t="s">
        <v>1358</v>
      </c>
      <c r="G674" t="s">
        <v>3058</v>
      </c>
      <c r="H674" t="s">
        <v>6126</v>
      </c>
      <c r="I674" t="s">
        <v>8168</v>
      </c>
      <c r="J674" t="s">
        <v>9067</v>
      </c>
      <c r="K674">
        <v>10034</v>
      </c>
      <c r="L674" t="s">
        <v>9094</v>
      </c>
      <c r="M674" t="s">
        <v>9095</v>
      </c>
      <c r="O674" t="s">
        <v>11136</v>
      </c>
      <c r="P674" t="s">
        <v>11168</v>
      </c>
      <c r="R674" t="s">
        <v>11180</v>
      </c>
      <c r="S674" t="s">
        <v>9096</v>
      </c>
      <c r="T674" t="s">
        <v>11183</v>
      </c>
      <c r="V674" t="s">
        <v>498</v>
      </c>
      <c r="W674">
        <v>972.72</v>
      </c>
      <c r="X674" t="s">
        <v>11335</v>
      </c>
      <c r="Y674" t="s">
        <v>11340</v>
      </c>
      <c r="Z674" t="s">
        <v>11860</v>
      </c>
      <c r="AB674" t="s">
        <v>16321</v>
      </c>
      <c r="AC674">
        <v>121</v>
      </c>
      <c r="AD674" t="s">
        <v>19566</v>
      </c>
      <c r="AE674" t="s">
        <v>9144</v>
      </c>
      <c r="AF674">
        <v>32</v>
      </c>
      <c r="AG674">
        <v>1</v>
      </c>
      <c r="AH674">
        <v>0</v>
      </c>
      <c r="AI674">
        <v>20.66</v>
      </c>
      <c r="AL674" t="s">
        <v>19615</v>
      </c>
      <c r="AM674">
        <v>2580</v>
      </c>
      <c r="AS674">
        <v>0.1</v>
      </c>
      <c r="AT674" t="s">
        <v>498</v>
      </c>
      <c r="AU674" t="s">
        <v>130</v>
      </c>
      <c r="AV674" t="s">
        <v>20733</v>
      </c>
    </row>
    <row r="675" spans="1:48">
      <c r="A675" s="1">
        <f>HYPERLINK("https://lsnyc.legalserver.org/matter/dynamic-profile/view/1911974","19-1911974")</f>
        <v>0</v>
      </c>
      <c r="B675" t="s">
        <v>139</v>
      </c>
      <c r="C675" t="s">
        <v>257</v>
      </c>
      <c r="D675" t="s">
        <v>292</v>
      </c>
      <c r="E675" t="s">
        <v>703</v>
      </c>
      <c r="F675" t="s">
        <v>1564</v>
      </c>
      <c r="G675" t="s">
        <v>3344</v>
      </c>
      <c r="H675" t="s">
        <v>6127</v>
      </c>
      <c r="I675" t="s">
        <v>8131</v>
      </c>
      <c r="J675" t="s">
        <v>9067</v>
      </c>
      <c r="K675">
        <v>10033</v>
      </c>
      <c r="L675" t="s">
        <v>9094</v>
      </c>
      <c r="M675" t="s">
        <v>9095</v>
      </c>
      <c r="P675" t="s">
        <v>11169</v>
      </c>
      <c r="Q675" t="s">
        <v>11172</v>
      </c>
      <c r="R675" t="s">
        <v>11180</v>
      </c>
      <c r="S675" t="s">
        <v>9096</v>
      </c>
      <c r="T675" t="s">
        <v>11183</v>
      </c>
      <c r="V675" t="s">
        <v>292</v>
      </c>
      <c r="W675">
        <v>215</v>
      </c>
      <c r="X675" t="s">
        <v>11335</v>
      </c>
      <c r="Y675" t="s">
        <v>11338</v>
      </c>
      <c r="Z675" t="s">
        <v>11861</v>
      </c>
      <c r="AB675" t="s">
        <v>16322</v>
      </c>
      <c r="AC675">
        <v>57</v>
      </c>
      <c r="AD675" t="s">
        <v>19566</v>
      </c>
      <c r="AE675" t="s">
        <v>19580</v>
      </c>
      <c r="AF675">
        <v>8</v>
      </c>
      <c r="AG675">
        <v>1</v>
      </c>
      <c r="AH675">
        <v>0</v>
      </c>
      <c r="AI675">
        <v>20.66</v>
      </c>
      <c r="AL675" t="s">
        <v>19614</v>
      </c>
      <c r="AM675">
        <v>2580</v>
      </c>
      <c r="AS675">
        <v>1</v>
      </c>
      <c r="AT675" t="s">
        <v>292</v>
      </c>
      <c r="AU675" t="s">
        <v>130</v>
      </c>
      <c r="AV675" t="s">
        <v>20733</v>
      </c>
    </row>
    <row r="676" spans="1:48">
      <c r="A676" s="1">
        <f>HYPERLINK("https://lsnyc.legalserver.org/matter/dynamic-profile/view/1873162","18-1873162")</f>
        <v>0</v>
      </c>
      <c r="B676" t="s">
        <v>56</v>
      </c>
      <c r="C676" t="s">
        <v>256</v>
      </c>
      <c r="D676" t="s">
        <v>603</v>
      </c>
      <c r="F676" t="s">
        <v>1565</v>
      </c>
      <c r="G676" t="s">
        <v>1193</v>
      </c>
      <c r="H676" t="s">
        <v>5691</v>
      </c>
      <c r="I676" t="s">
        <v>8325</v>
      </c>
      <c r="J676" t="s">
        <v>9037</v>
      </c>
      <c r="K676">
        <v>11692</v>
      </c>
      <c r="L676" t="s">
        <v>9094</v>
      </c>
      <c r="M676" t="s">
        <v>9094</v>
      </c>
      <c r="N676" t="s">
        <v>9423</v>
      </c>
      <c r="O676" t="s">
        <v>11129</v>
      </c>
      <c r="P676" t="s">
        <v>11165</v>
      </c>
      <c r="R676" t="s">
        <v>11180</v>
      </c>
      <c r="S676" t="s">
        <v>9096</v>
      </c>
      <c r="T676" t="s">
        <v>11183</v>
      </c>
      <c r="U676" t="s">
        <v>11199</v>
      </c>
      <c r="V676" t="s">
        <v>603</v>
      </c>
      <c r="W676">
        <v>1515</v>
      </c>
      <c r="X676" t="s">
        <v>11331</v>
      </c>
      <c r="Y676" t="s">
        <v>11336</v>
      </c>
      <c r="Z676" t="s">
        <v>11862</v>
      </c>
      <c r="AA676" t="s">
        <v>15397</v>
      </c>
      <c r="AB676" t="s">
        <v>16323</v>
      </c>
      <c r="AC676">
        <v>132</v>
      </c>
      <c r="AD676" t="s">
        <v>15441</v>
      </c>
      <c r="AE676" t="s">
        <v>9144</v>
      </c>
      <c r="AF676">
        <v>4</v>
      </c>
      <c r="AG676">
        <v>1</v>
      </c>
      <c r="AH676">
        <v>3</v>
      </c>
      <c r="AI676">
        <v>20.72</v>
      </c>
      <c r="AL676" t="s">
        <v>19614</v>
      </c>
      <c r="AM676">
        <v>5200</v>
      </c>
      <c r="AO676" t="s">
        <v>20294</v>
      </c>
      <c r="AP676" t="s">
        <v>20324</v>
      </c>
      <c r="AQ676" t="s">
        <v>20369</v>
      </c>
      <c r="AR676" t="s">
        <v>20409</v>
      </c>
      <c r="AS676">
        <v>18.93</v>
      </c>
      <c r="AT676" t="s">
        <v>1135</v>
      </c>
      <c r="AU676" t="s">
        <v>20620</v>
      </c>
    </row>
    <row r="677" spans="1:48">
      <c r="A677" s="1">
        <f>HYPERLINK("https://lsnyc.legalserver.org/matter/dynamic-profile/view/1890682","19-1890682")</f>
        <v>0</v>
      </c>
      <c r="B677" t="s">
        <v>138</v>
      </c>
      <c r="C677" t="s">
        <v>256</v>
      </c>
      <c r="D677" t="s">
        <v>381</v>
      </c>
      <c r="F677" t="s">
        <v>1566</v>
      </c>
      <c r="G677" t="s">
        <v>3730</v>
      </c>
      <c r="H677" t="s">
        <v>6128</v>
      </c>
      <c r="I677">
        <v>65</v>
      </c>
      <c r="J677" t="s">
        <v>9067</v>
      </c>
      <c r="K677">
        <v>10040</v>
      </c>
      <c r="L677" t="s">
        <v>9094</v>
      </c>
      <c r="M677" t="s">
        <v>9094</v>
      </c>
      <c r="N677" t="s">
        <v>9424</v>
      </c>
      <c r="O677" t="s">
        <v>11130</v>
      </c>
      <c r="P677" t="s">
        <v>11164</v>
      </c>
      <c r="R677" t="s">
        <v>11180</v>
      </c>
      <c r="S677" t="s">
        <v>9096</v>
      </c>
      <c r="T677" t="s">
        <v>11183</v>
      </c>
      <c r="V677" t="s">
        <v>381</v>
      </c>
      <c r="W677">
        <v>167</v>
      </c>
      <c r="X677" t="s">
        <v>11335</v>
      </c>
      <c r="Y677" t="s">
        <v>11338</v>
      </c>
      <c r="Z677" t="s">
        <v>11863</v>
      </c>
      <c r="AB677" t="s">
        <v>16324</v>
      </c>
      <c r="AC677">
        <v>42</v>
      </c>
      <c r="AD677" t="s">
        <v>19566</v>
      </c>
      <c r="AE677" t="s">
        <v>9144</v>
      </c>
      <c r="AF677">
        <v>40</v>
      </c>
      <c r="AG677">
        <v>1</v>
      </c>
      <c r="AH677">
        <v>0</v>
      </c>
      <c r="AI677">
        <v>20.85</v>
      </c>
      <c r="AL677" t="s">
        <v>19614</v>
      </c>
      <c r="AM677">
        <v>2604</v>
      </c>
      <c r="AS677">
        <v>2.1</v>
      </c>
      <c r="AT677" t="s">
        <v>700</v>
      </c>
      <c r="AU677" t="s">
        <v>130</v>
      </c>
      <c r="AV677" t="s">
        <v>20733</v>
      </c>
    </row>
    <row r="678" spans="1:48">
      <c r="A678" s="1">
        <f>HYPERLINK("https://lsnyc.legalserver.org/matter/dynamic-profile/view/1887420","19-1887420")</f>
        <v>0</v>
      </c>
      <c r="B678" t="s">
        <v>72</v>
      </c>
      <c r="C678" t="s">
        <v>257</v>
      </c>
      <c r="D678" t="s">
        <v>604</v>
      </c>
      <c r="E678" t="s">
        <v>457</v>
      </c>
      <c r="F678" t="s">
        <v>1567</v>
      </c>
      <c r="G678" t="s">
        <v>3731</v>
      </c>
      <c r="H678" t="s">
        <v>6129</v>
      </c>
      <c r="I678" t="s">
        <v>8154</v>
      </c>
      <c r="J678" t="s">
        <v>9059</v>
      </c>
      <c r="K678">
        <v>11207</v>
      </c>
      <c r="L678" t="s">
        <v>9094</v>
      </c>
      <c r="M678" t="s">
        <v>9094</v>
      </c>
      <c r="N678" t="s">
        <v>9425</v>
      </c>
      <c r="O678" t="s">
        <v>11129</v>
      </c>
      <c r="P678" t="s">
        <v>11164</v>
      </c>
      <c r="Q678" t="s">
        <v>11172</v>
      </c>
      <c r="R678" t="s">
        <v>11180</v>
      </c>
      <c r="S678" t="s">
        <v>9096</v>
      </c>
      <c r="T678" t="s">
        <v>11183</v>
      </c>
      <c r="U678" t="s">
        <v>11202</v>
      </c>
      <c r="V678" t="s">
        <v>635</v>
      </c>
      <c r="W678">
        <v>2065</v>
      </c>
      <c r="X678" t="s">
        <v>11332</v>
      </c>
      <c r="Y678" t="s">
        <v>11345</v>
      </c>
      <c r="Z678" t="s">
        <v>11864</v>
      </c>
      <c r="AA678" t="s">
        <v>15398</v>
      </c>
      <c r="AB678" t="s">
        <v>16325</v>
      </c>
      <c r="AC678">
        <v>6</v>
      </c>
      <c r="AD678" t="s">
        <v>19566</v>
      </c>
      <c r="AE678" t="s">
        <v>19580</v>
      </c>
      <c r="AF678">
        <v>2</v>
      </c>
      <c r="AG678">
        <v>3</v>
      </c>
      <c r="AH678">
        <v>2</v>
      </c>
      <c r="AI678">
        <v>20.97</v>
      </c>
      <c r="AL678" t="s">
        <v>19614</v>
      </c>
      <c r="AM678">
        <v>6168</v>
      </c>
      <c r="AS678">
        <v>3.25</v>
      </c>
      <c r="AT678" t="s">
        <v>602</v>
      </c>
      <c r="AU678" t="s">
        <v>95</v>
      </c>
    </row>
    <row r="679" spans="1:48">
      <c r="A679" s="1">
        <f>HYPERLINK("https://lsnyc.legalserver.org/matter/dynamic-profile/view/1906227","19-1906227")</f>
        <v>0</v>
      </c>
      <c r="B679" t="s">
        <v>119</v>
      </c>
      <c r="C679" t="s">
        <v>256</v>
      </c>
      <c r="D679" t="s">
        <v>282</v>
      </c>
      <c r="F679" t="s">
        <v>1293</v>
      </c>
      <c r="G679" t="s">
        <v>3732</v>
      </c>
      <c r="H679" t="s">
        <v>6130</v>
      </c>
      <c r="I679" t="s">
        <v>8176</v>
      </c>
      <c r="J679" t="s">
        <v>9065</v>
      </c>
      <c r="K679">
        <v>10451</v>
      </c>
      <c r="L679" t="s">
        <v>9095</v>
      </c>
      <c r="M679" t="s">
        <v>9095</v>
      </c>
      <c r="O679" t="s">
        <v>11130</v>
      </c>
      <c r="R679" t="s">
        <v>11180</v>
      </c>
      <c r="T679" t="s">
        <v>11183</v>
      </c>
      <c r="W679">
        <v>1325</v>
      </c>
      <c r="X679" t="s">
        <v>11333</v>
      </c>
      <c r="Y679" t="s">
        <v>11346</v>
      </c>
      <c r="Z679" t="s">
        <v>11865</v>
      </c>
      <c r="AA679" t="s">
        <v>15399</v>
      </c>
      <c r="AB679" t="s">
        <v>16326</v>
      </c>
      <c r="AC679">
        <v>0</v>
      </c>
      <c r="AD679" t="s">
        <v>19569</v>
      </c>
      <c r="AF679">
        <v>5</v>
      </c>
      <c r="AG679">
        <v>1</v>
      </c>
      <c r="AH679">
        <v>3</v>
      </c>
      <c r="AI679">
        <v>20.97</v>
      </c>
      <c r="AL679" t="s">
        <v>19614</v>
      </c>
      <c r="AM679">
        <v>5400</v>
      </c>
      <c r="AS679">
        <v>0.1</v>
      </c>
      <c r="AT679" t="s">
        <v>483</v>
      </c>
      <c r="AU679" t="s">
        <v>20647</v>
      </c>
      <c r="AV679" t="s">
        <v>20734</v>
      </c>
    </row>
    <row r="680" spans="1:48">
      <c r="A680" s="1">
        <f>HYPERLINK("https://lsnyc.legalserver.org/matter/dynamic-profile/view/1897120","19-1897120")</f>
        <v>0</v>
      </c>
      <c r="B680" t="s">
        <v>127</v>
      </c>
      <c r="C680" t="s">
        <v>257</v>
      </c>
      <c r="D680" t="s">
        <v>411</v>
      </c>
      <c r="E680" t="s">
        <v>481</v>
      </c>
      <c r="F680" t="s">
        <v>1203</v>
      </c>
      <c r="G680" t="s">
        <v>3733</v>
      </c>
      <c r="H680" t="s">
        <v>6131</v>
      </c>
      <c r="I680" t="s">
        <v>8326</v>
      </c>
      <c r="J680" t="s">
        <v>9066</v>
      </c>
      <c r="K680">
        <v>10303</v>
      </c>
      <c r="L680" t="s">
        <v>9094</v>
      </c>
      <c r="M680" t="s">
        <v>9094</v>
      </c>
      <c r="N680" t="s">
        <v>9144</v>
      </c>
      <c r="O680" t="s">
        <v>11140</v>
      </c>
      <c r="P680" t="s">
        <v>11167</v>
      </c>
      <c r="Q680" t="s">
        <v>11173</v>
      </c>
      <c r="R680" t="s">
        <v>11180</v>
      </c>
      <c r="S680" t="s">
        <v>9096</v>
      </c>
      <c r="T680" t="s">
        <v>11189</v>
      </c>
      <c r="U680" t="s">
        <v>11201</v>
      </c>
      <c r="V680" t="s">
        <v>317</v>
      </c>
      <c r="W680">
        <v>2200</v>
      </c>
      <c r="X680" t="s">
        <v>11334</v>
      </c>
      <c r="Y680" t="s">
        <v>11350</v>
      </c>
      <c r="Z680" t="s">
        <v>11866</v>
      </c>
      <c r="AA680" t="s">
        <v>15400</v>
      </c>
      <c r="AB680" t="s">
        <v>16327</v>
      </c>
      <c r="AC680">
        <v>2</v>
      </c>
      <c r="AD680" t="s">
        <v>19566</v>
      </c>
      <c r="AE680" t="s">
        <v>19580</v>
      </c>
      <c r="AF680">
        <v>1</v>
      </c>
      <c r="AG680">
        <v>1</v>
      </c>
      <c r="AH680">
        <v>3</v>
      </c>
      <c r="AI680">
        <v>20.97</v>
      </c>
      <c r="AL680" t="s">
        <v>19614</v>
      </c>
      <c r="AM680">
        <v>5400</v>
      </c>
      <c r="AO680" t="s">
        <v>20290</v>
      </c>
      <c r="AP680" t="s">
        <v>11157</v>
      </c>
      <c r="AQ680" t="s">
        <v>20369</v>
      </c>
      <c r="AR680" t="s">
        <v>20410</v>
      </c>
      <c r="AS680">
        <v>2.55</v>
      </c>
      <c r="AT680" t="s">
        <v>481</v>
      </c>
      <c r="AU680" t="s">
        <v>20653</v>
      </c>
      <c r="AV680" t="s">
        <v>20733</v>
      </c>
    </row>
    <row r="681" spans="1:48">
      <c r="A681" s="1">
        <f>HYPERLINK("https://lsnyc.legalserver.org/matter/dynamic-profile/view/1904468","19-1904468")</f>
        <v>0</v>
      </c>
      <c r="B681" t="s">
        <v>114</v>
      </c>
      <c r="C681" t="s">
        <v>257</v>
      </c>
      <c r="D681" t="s">
        <v>302</v>
      </c>
      <c r="E681" t="s">
        <v>476</v>
      </c>
      <c r="F681" t="s">
        <v>1568</v>
      </c>
      <c r="G681" t="s">
        <v>3448</v>
      </c>
      <c r="H681" t="s">
        <v>6132</v>
      </c>
      <c r="I681" t="s">
        <v>8160</v>
      </c>
      <c r="J681" t="s">
        <v>9065</v>
      </c>
      <c r="K681">
        <v>10470</v>
      </c>
      <c r="L681" t="s">
        <v>9094</v>
      </c>
      <c r="M681" t="s">
        <v>9095</v>
      </c>
      <c r="N681" t="s">
        <v>9426</v>
      </c>
      <c r="O681" t="s">
        <v>11130</v>
      </c>
      <c r="P681" t="s">
        <v>11165</v>
      </c>
      <c r="Q681" t="s">
        <v>11174</v>
      </c>
      <c r="R681" t="s">
        <v>11180</v>
      </c>
      <c r="S681" t="s">
        <v>9094</v>
      </c>
      <c r="T681" t="s">
        <v>11183</v>
      </c>
      <c r="W681">
        <v>1532.94</v>
      </c>
      <c r="X681" t="s">
        <v>11333</v>
      </c>
      <c r="Y681" t="s">
        <v>11346</v>
      </c>
      <c r="Z681" t="s">
        <v>11867</v>
      </c>
      <c r="AB681" t="s">
        <v>16328</v>
      </c>
      <c r="AC681">
        <v>63</v>
      </c>
      <c r="AD681" t="s">
        <v>15441</v>
      </c>
      <c r="AE681" t="s">
        <v>19581</v>
      </c>
      <c r="AF681">
        <v>4</v>
      </c>
      <c r="AG681">
        <v>1</v>
      </c>
      <c r="AH681">
        <v>3</v>
      </c>
      <c r="AI681">
        <v>21.06</v>
      </c>
      <c r="AL681" t="s">
        <v>19614</v>
      </c>
      <c r="AM681">
        <v>5424</v>
      </c>
      <c r="AS681">
        <v>0.5</v>
      </c>
      <c r="AT681" t="s">
        <v>476</v>
      </c>
      <c r="AU681" t="s">
        <v>163</v>
      </c>
      <c r="AV681" t="s">
        <v>20733</v>
      </c>
    </row>
    <row r="682" spans="1:48">
      <c r="A682" s="1">
        <f>HYPERLINK("https://lsnyc.legalserver.org/matter/dynamic-profile/view/1899975","19-1899975")</f>
        <v>0</v>
      </c>
      <c r="B682" t="s">
        <v>57</v>
      </c>
      <c r="C682" t="s">
        <v>257</v>
      </c>
      <c r="D682" t="s">
        <v>293</v>
      </c>
      <c r="E682" t="s">
        <v>736</v>
      </c>
      <c r="F682" t="s">
        <v>1569</v>
      </c>
      <c r="G682" t="s">
        <v>3734</v>
      </c>
      <c r="H682" t="s">
        <v>6133</v>
      </c>
      <c r="I682" t="s">
        <v>8116</v>
      </c>
      <c r="J682" t="s">
        <v>9070</v>
      </c>
      <c r="K682">
        <v>11421</v>
      </c>
      <c r="L682" t="s">
        <v>9094</v>
      </c>
      <c r="M682" t="s">
        <v>9095</v>
      </c>
      <c r="N682" t="s">
        <v>9427</v>
      </c>
      <c r="O682" t="s">
        <v>11128</v>
      </c>
      <c r="P682" t="s">
        <v>11164</v>
      </c>
      <c r="Q682" t="s">
        <v>11172</v>
      </c>
      <c r="R682" t="s">
        <v>11180</v>
      </c>
      <c r="S682" t="s">
        <v>9096</v>
      </c>
      <c r="T682" t="s">
        <v>11183</v>
      </c>
      <c r="U682" t="s">
        <v>11201</v>
      </c>
      <c r="V682" t="s">
        <v>293</v>
      </c>
      <c r="W682">
        <v>1500</v>
      </c>
      <c r="X682" t="s">
        <v>11331</v>
      </c>
      <c r="Y682" t="s">
        <v>11336</v>
      </c>
      <c r="Z682" t="s">
        <v>11868</v>
      </c>
      <c r="AA682" t="s">
        <v>15401</v>
      </c>
      <c r="AB682" t="s">
        <v>16329</v>
      </c>
      <c r="AC682">
        <v>2</v>
      </c>
      <c r="AD682" t="s">
        <v>19565</v>
      </c>
      <c r="AE682" t="s">
        <v>9144</v>
      </c>
      <c r="AF682">
        <v>-1</v>
      </c>
      <c r="AG682">
        <v>1</v>
      </c>
      <c r="AH682">
        <v>2</v>
      </c>
      <c r="AI682">
        <v>21.1</v>
      </c>
      <c r="AL682" t="s">
        <v>19614</v>
      </c>
      <c r="AM682">
        <v>4500</v>
      </c>
      <c r="AS682">
        <v>2.75</v>
      </c>
      <c r="AT682" t="s">
        <v>268</v>
      </c>
      <c r="AU682" t="s">
        <v>20620</v>
      </c>
      <c r="AV682" t="s">
        <v>20733</v>
      </c>
    </row>
    <row r="683" spans="1:48">
      <c r="A683" s="1">
        <f>HYPERLINK("https://lsnyc.legalserver.org/matter/dynamic-profile/view/1880262","18-1880262")</f>
        <v>0</v>
      </c>
      <c r="B683" t="s">
        <v>71</v>
      </c>
      <c r="C683" t="s">
        <v>257</v>
      </c>
      <c r="D683" t="s">
        <v>569</v>
      </c>
      <c r="E683" t="s">
        <v>408</v>
      </c>
      <c r="F683" t="s">
        <v>1570</v>
      </c>
      <c r="G683" t="s">
        <v>3220</v>
      </c>
      <c r="H683" t="s">
        <v>6134</v>
      </c>
      <c r="I683" t="s">
        <v>8142</v>
      </c>
      <c r="J683" t="s">
        <v>9059</v>
      </c>
      <c r="K683">
        <v>11207</v>
      </c>
      <c r="L683" t="s">
        <v>9094</v>
      </c>
      <c r="M683" t="s">
        <v>9094</v>
      </c>
      <c r="N683" t="s">
        <v>9428</v>
      </c>
      <c r="O683" t="s">
        <v>11129</v>
      </c>
      <c r="P683" t="s">
        <v>11165</v>
      </c>
      <c r="Q683" t="s">
        <v>11178</v>
      </c>
      <c r="R683" t="s">
        <v>11180</v>
      </c>
      <c r="S683" t="s">
        <v>9096</v>
      </c>
      <c r="T683" t="s">
        <v>11183</v>
      </c>
      <c r="U683" t="s">
        <v>11201</v>
      </c>
      <c r="V683" t="s">
        <v>355</v>
      </c>
      <c r="W683">
        <v>1136.48</v>
      </c>
      <c r="X683" t="s">
        <v>11332</v>
      </c>
      <c r="Y683" t="s">
        <v>11157</v>
      </c>
      <c r="Z683" t="s">
        <v>11869</v>
      </c>
      <c r="AA683" t="s">
        <v>15402</v>
      </c>
      <c r="AB683" t="s">
        <v>16330</v>
      </c>
      <c r="AC683">
        <v>542</v>
      </c>
      <c r="AD683" t="s">
        <v>19566</v>
      </c>
      <c r="AE683" t="s">
        <v>9144</v>
      </c>
      <c r="AF683">
        <v>34</v>
      </c>
      <c r="AG683">
        <v>2</v>
      </c>
      <c r="AH683">
        <v>0</v>
      </c>
      <c r="AI683">
        <v>21.14</v>
      </c>
      <c r="AL683" t="s">
        <v>19614</v>
      </c>
      <c r="AM683">
        <v>3480</v>
      </c>
      <c r="AS683">
        <v>7.5</v>
      </c>
      <c r="AT683" t="s">
        <v>427</v>
      </c>
      <c r="AU683" t="s">
        <v>95</v>
      </c>
      <c r="AV683" t="s">
        <v>20733</v>
      </c>
    </row>
    <row r="684" spans="1:48">
      <c r="A684" s="1">
        <f>HYPERLINK("https://lsnyc.legalserver.org/matter/dynamic-profile/view/1877745","18-1877745")</f>
        <v>0</v>
      </c>
      <c r="B684" t="s">
        <v>134</v>
      </c>
      <c r="C684" t="s">
        <v>256</v>
      </c>
      <c r="D684" t="s">
        <v>605</v>
      </c>
      <c r="F684" t="s">
        <v>1255</v>
      </c>
      <c r="G684" t="s">
        <v>3735</v>
      </c>
      <c r="H684" t="s">
        <v>6135</v>
      </c>
      <c r="I684" t="s">
        <v>8270</v>
      </c>
      <c r="J684" t="s">
        <v>9067</v>
      </c>
      <c r="K684">
        <v>10032</v>
      </c>
      <c r="L684" t="s">
        <v>9094</v>
      </c>
      <c r="M684" t="s">
        <v>9094</v>
      </c>
      <c r="O684" t="s">
        <v>11129</v>
      </c>
      <c r="P684" t="s">
        <v>11165</v>
      </c>
      <c r="R684" t="s">
        <v>11180</v>
      </c>
      <c r="S684" t="s">
        <v>9096</v>
      </c>
      <c r="T684" t="s">
        <v>11183</v>
      </c>
      <c r="V684" t="s">
        <v>605</v>
      </c>
      <c r="W684">
        <v>1258.6</v>
      </c>
      <c r="X684" t="s">
        <v>11335</v>
      </c>
      <c r="Y684" t="s">
        <v>11336</v>
      </c>
      <c r="Z684" t="s">
        <v>11870</v>
      </c>
      <c r="AB684" t="s">
        <v>16331</v>
      </c>
      <c r="AC684">
        <v>0</v>
      </c>
      <c r="AD684" t="s">
        <v>19566</v>
      </c>
      <c r="AE684" t="s">
        <v>9144</v>
      </c>
      <c r="AF684">
        <v>39</v>
      </c>
      <c r="AG684">
        <v>1</v>
      </c>
      <c r="AH684">
        <v>0</v>
      </c>
      <c r="AI684">
        <v>21.25</v>
      </c>
      <c r="AL684" t="s">
        <v>19614</v>
      </c>
      <c r="AM684">
        <v>2580</v>
      </c>
      <c r="AS684">
        <v>53.9</v>
      </c>
      <c r="AT684" t="s">
        <v>570</v>
      </c>
      <c r="AU684" t="s">
        <v>130</v>
      </c>
      <c r="AV684" t="s">
        <v>20733</v>
      </c>
    </row>
    <row r="685" spans="1:48">
      <c r="A685" s="1">
        <f>HYPERLINK("https://lsnyc.legalserver.org/matter/dynamic-profile/view/1896215","19-1896215")</f>
        <v>0</v>
      </c>
      <c r="B685" t="s">
        <v>103</v>
      </c>
      <c r="C685" t="s">
        <v>256</v>
      </c>
      <c r="D685" t="s">
        <v>374</v>
      </c>
      <c r="F685" t="s">
        <v>1146</v>
      </c>
      <c r="G685" t="s">
        <v>3736</v>
      </c>
      <c r="H685" t="s">
        <v>5887</v>
      </c>
      <c r="I685" t="s">
        <v>8112</v>
      </c>
      <c r="J685" t="s">
        <v>9065</v>
      </c>
      <c r="K685">
        <v>10453</v>
      </c>
      <c r="L685" t="s">
        <v>9094</v>
      </c>
      <c r="M685" t="s">
        <v>9094</v>
      </c>
      <c r="O685" t="s">
        <v>11134</v>
      </c>
      <c r="P685" t="s">
        <v>11168</v>
      </c>
      <c r="R685" t="s">
        <v>11180</v>
      </c>
      <c r="S685" t="s">
        <v>9094</v>
      </c>
      <c r="T685" t="s">
        <v>11183</v>
      </c>
      <c r="V685" t="s">
        <v>512</v>
      </c>
      <c r="W685">
        <v>931</v>
      </c>
      <c r="X685" t="s">
        <v>11333</v>
      </c>
      <c r="Y685" t="s">
        <v>11339</v>
      </c>
      <c r="Z685" t="s">
        <v>11871</v>
      </c>
      <c r="AB685" t="s">
        <v>16332</v>
      </c>
      <c r="AC685">
        <v>170</v>
      </c>
      <c r="AD685" t="s">
        <v>19566</v>
      </c>
      <c r="AE685" t="s">
        <v>9144</v>
      </c>
      <c r="AF685">
        <v>12</v>
      </c>
      <c r="AG685">
        <v>1</v>
      </c>
      <c r="AH685">
        <v>1</v>
      </c>
      <c r="AI685">
        <v>21.29</v>
      </c>
      <c r="AL685" t="s">
        <v>19614</v>
      </c>
      <c r="AM685">
        <v>3600</v>
      </c>
      <c r="AS685">
        <v>0</v>
      </c>
      <c r="AU685" t="s">
        <v>220</v>
      </c>
    </row>
    <row r="686" spans="1:48">
      <c r="A686" s="1">
        <f>HYPERLINK("https://lsnyc.legalserver.org/matter/dynamic-profile/view/1896214","19-1896214")</f>
        <v>0</v>
      </c>
      <c r="B686" t="s">
        <v>103</v>
      </c>
      <c r="C686" t="s">
        <v>256</v>
      </c>
      <c r="D686" t="s">
        <v>374</v>
      </c>
      <c r="F686" t="s">
        <v>1146</v>
      </c>
      <c r="G686" t="s">
        <v>3736</v>
      </c>
      <c r="H686" t="s">
        <v>5887</v>
      </c>
      <c r="I686" t="s">
        <v>8112</v>
      </c>
      <c r="J686" t="s">
        <v>9065</v>
      </c>
      <c r="K686">
        <v>10453</v>
      </c>
      <c r="L686" t="s">
        <v>9094</v>
      </c>
      <c r="M686" t="s">
        <v>9094</v>
      </c>
      <c r="O686" t="s">
        <v>11130</v>
      </c>
      <c r="P686" t="s">
        <v>11165</v>
      </c>
      <c r="R686" t="s">
        <v>11180</v>
      </c>
      <c r="S686" t="s">
        <v>9094</v>
      </c>
      <c r="T686" t="s">
        <v>11183</v>
      </c>
      <c r="V686" t="s">
        <v>512</v>
      </c>
      <c r="W686">
        <v>931</v>
      </c>
      <c r="X686" t="s">
        <v>11333</v>
      </c>
      <c r="Y686" t="s">
        <v>11339</v>
      </c>
      <c r="Z686" t="s">
        <v>11871</v>
      </c>
      <c r="AA686" t="s">
        <v>15403</v>
      </c>
      <c r="AB686" t="s">
        <v>16332</v>
      </c>
      <c r="AC686">
        <v>170</v>
      </c>
      <c r="AD686" t="s">
        <v>19566</v>
      </c>
      <c r="AE686" t="s">
        <v>19582</v>
      </c>
      <c r="AF686">
        <v>12</v>
      </c>
      <c r="AG686">
        <v>1</v>
      </c>
      <c r="AH686">
        <v>1</v>
      </c>
      <c r="AI686">
        <v>21.29</v>
      </c>
      <c r="AL686" t="s">
        <v>19614</v>
      </c>
      <c r="AM686">
        <v>3600</v>
      </c>
      <c r="AS686">
        <v>0</v>
      </c>
      <c r="AU686" t="s">
        <v>220</v>
      </c>
      <c r="AV686" t="s">
        <v>20734</v>
      </c>
    </row>
    <row r="687" spans="1:48">
      <c r="A687" s="1">
        <f>HYPERLINK("https://lsnyc.legalserver.org/matter/dynamic-profile/view/1900249","19-1900249")</f>
        <v>0</v>
      </c>
      <c r="B687" t="s">
        <v>163</v>
      </c>
      <c r="C687" t="s">
        <v>256</v>
      </c>
      <c r="D687" t="s">
        <v>453</v>
      </c>
      <c r="F687" t="s">
        <v>1571</v>
      </c>
      <c r="G687" t="s">
        <v>3737</v>
      </c>
      <c r="H687" t="s">
        <v>6136</v>
      </c>
      <c r="I687">
        <v>2</v>
      </c>
      <c r="J687" t="s">
        <v>9065</v>
      </c>
      <c r="K687">
        <v>10451</v>
      </c>
      <c r="L687" t="s">
        <v>9095</v>
      </c>
      <c r="M687" t="s">
        <v>9095</v>
      </c>
      <c r="R687" t="s">
        <v>11180</v>
      </c>
      <c r="T687" t="s">
        <v>11183</v>
      </c>
      <c r="W687">
        <v>1600</v>
      </c>
      <c r="X687" t="s">
        <v>11333</v>
      </c>
      <c r="Y687" t="s">
        <v>11345</v>
      </c>
      <c r="Z687" t="s">
        <v>11579</v>
      </c>
      <c r="AB687" t="s">
        <v>15274</v>
      </c>
      <c r="AC687">
        <v>0</v>
      </c>
      <c r="AE687" t="s">
        <v>9144</v>
      </c>
      <c r="AF687">
        <v>10</v>
      </c>
      <c r="AG687">
        <v>1</v>
      </c>
      <c r="AH687">
        <v>1</v>
      </c>
      <c r="AI687">
        <v>21.29</v>
      </c>
      <c r="AL687" t="s">
        <v>19614</v>
      </c>
      <c r="AM687">
        <v>3600</v>
      </c>
      <c r="AS687">
        <v>0.4</v>
      </c>
      <c r="AT687" t="s">
        <v>372</v>
      </c>
      <c r="AU687" t="s">
        <v>163</v>
      </c>
    </row>
    <row r="688" spans="1:48">
      <c r="A688" s="1">
        <f>HYPERLINK("https://lsnyc.legalserver.org/matter/dynamic-profile/view/1853541","17-1853541")</f>
        <v>0</v>
      </c>
      <c r="B688" t="s">
        <v>140</v>
      </c>
      <c r="C688" t="s">
        <v>256</v>
      </c>
      <c r="D688" t="s">
        <v>606</v>
      </c>
      <c r="F688" t="s">
        <v>1358</v>
      </c>
      <c r="G688" t="s">
        <v>3058</v>
      </c>
      <c r="H688" t="s">
        <v>6126</v>
      </c>
      <c r="I688" t="s">
        <v>8168</v>
      </c>
      <c r="J688" t="s">
        <v>9067</v>
      </c>
      <c r="K688">
        <v>10034</v>
      </c>
      <c r="L688" t="s">
        <v>9094</v>
      </c>
      <c r="M688" t="s">
        <v>9095</v>
      </c>
      <c r="N688" t="s">
        <v>9429</v>
      </c>
      <c r="O688" t="s">
        <v>11129</v>
      </c>
      <c r="P688" t="s">
        <v>11165</v>
      </c>
      <c r="R688" t="s">
        <v>11180</v>
      </c>
      <c r="S688" t="s">
        <v>9096</v>
      </c>
      <c r="T688" t="s">
        <v>11183</v>
      </c>
      <c r="V688" t="s">
        <v>1050</v>
      </c>
      <c r="W688">
        <v>972.72</v>
      </c>
      <c r="X688" t="s">
        <v>11335</v>
      </c>
      <c r="Y688" t="s">
        <v>11338</v>
      </c>
      <c r="Z688" t="s">
        <v>11860</v>
      </c>
      <c r="AB688" t="s">
        <v>16321</v>
      </c>
      <c r="AC688">
        <v>121</v>
      </c>
      <c r="AD688" t="s">
        <v>19566</v>
      </c>
      <c r="AE688" t="s">
        <v>9144</v>
      </c>
      <c r="AF688">
        <v>32</v>
      </c>
      <c r="AG688">
        <v>1</v>
      </c>
      <c r="AH688">
        <v>0</v>
      </c>
      <c r="AI688">
        <v>21.39</v>
      </c>
      <c r="AL688" t="s">
        <v>19615</v>
      </c>
      <c r="AM688">
        <v>2580</v>
      </c>
      <c r="AS688">
        <v>117.48</v>
      </c>
      <c r="AT688" t="s">
        <v>1130</v>
      </c>
      <c r="AU688" t="s">
        <v>130</v>
      </c>
    </row>
    <row r="689" spans="1:48">
      <c r="A689" s="1">
        <f>HYPERLINK("https://lsnyc.legalserver.org/matter/dynamic-profile/view/1859311","18-1859311")</f>
        <v>0</v>
      </c>
      <c r="B689" t="s">
        <v>86</v>
      </c>
      <c r="C689" t="s">
        <v>256</v>
      </c>
      <c r="D689" t="s">
        <v>607</v>
      </c>
      <c r="F689" t="s">
        <v>1146</v>
      </c>
      <c r="G689" t="s">
        <v>3684</v>
      </c>
      <c r="H689" t="s">
        <v>5786</v>
      </c>
      <c r="I689" t="s">
        <v>8299</v>
      </c>
      <c r="J689" t="s">
        <v>9059</v>
      </c>
      <c r="K689">
        <v>11225</v>
      </c>
      <c r="L689" t="s">
        <v>9094</v>
      </c>
      <c r="M689" t="s">
        <v>9095</v>
      </c>
      <c r="O689" t="s">
        <v>11130</v>
      </c>
      <c r="P689" t="s">
        <v>11165</v>
      </c>
      <c r="R689" t="s">
        <v>11180</v>
      </c>
      <c r="S689" t="s">
        <v>9094</v>
      </c>
      <c r="T689" t="s">
        <v>11183</v>
      </c>
      <c r="V689" t="s">
        <v>11212</v>
      </c>
      <c r="W689">
        <v>1078</v>
      </c>
      <c r="X689" t="s">
        <v>11332</v>
      </c>
      <c r="Y689" t="s">
        <v>11346</v>
      </c>
      <c r="Z689" t="s">
        <v>11794</v>
      </c>
      <c r="AB689" t="s">
        <v>16259</v>
      </c>
      <c r="AC689">
        <v>42</v>
      </c>
      <c r="AD689" t="s">
        <v>19566</v>
      </c>
      <c r="AF689">
        <v>21</v>
      </c>
      <c r="AG689">
        <v>2</v>
      </c>
      <c r="AH689">
        <v>0</v>
      </c>
      <c r="AI689">
        <v>21.5</v>
      </c>
      <c r="AL689" t="s">
        <v>19615</v>
      </c>
      <c r="AM689">
        <v>3492</v>
      </c>
      <c r="AS689">
        <v>0.7</v>
      </c>
      <c r="AT689" t="s">
        <v>451</v>
      </c>
      <c r="AU689" t="s">
        <v>20630</v>
      </c>
    </row>
    <row r="690" spans="1:48">
      <c r="A690" s="1">
        <f>HYPERLINK("https://lsnyc.legalserver.org/matter/dynamic-profile/view/1899384","19-1899384")</f>
        <v>0</v>
      </c>
      <c r="B690" t="s">
        <v>164</v>
      </c>
      <c r="C690" t="s">
        <v>257</v>
      </c>
      <c r="D690" t="s">
        <v>608</v>
      </c>
      <c r="E690" t="s">
        <v>497</v>
      </c>
      <c r="F690" t="s">
        <v>1572</v>
      </c>
      <c r="G690" t="s">
        <v>3738</v>
      </c>
      <c r="H690" t="s">
        <v>6137</v>
      </c>
      <c r="J690" t="s">
        <v>9071</v>
      </c>
      <c r="K690">
        <v>11413</v>
      </c>
      <c r="L690" t="s">
        <v>9094</v>
      </c>
      <c r="M690" t="s">
        <v>9095</v>
      </c>
      <c r="N690" t="s">
        <v>9430</v>
      </c>
      <c r="O690" t="s">
        <v>11129</v>
      </c>
      <c r="P690" t="s">
        <v>11165</v>
      </c>
      <c r="Q690" t="s">
        <v>11174</v>
      </c>
      <c r="R690" t="s">
        <v>11180</v>
      </c>
      <c r="S690" t="s">
        <v>9096</v>
      </c>
      <c r="T690" t="s">
        <v>11183</v>
      </c>
      <c r="U690" t="s">
        <v>11201</v>
      </c>
      <c r="V690" t="s">
        <v>608</v>
      </c>
      <c r="W690">
        <v>1250</v>
      </c>
      <c r="X690" t="s">
        <v>11331</v>
      </c>
      <c r="Y690" t="s">
        <v>11336</v>
      </c>
      <c r="Z690" t="s">
        <v>11872</v>
      </c>
      <c r="AA690" t="s">
        <v>15404</v>
      </c>
      <c r="AB690" t="s">
        <v>16333</v>
      </c>
      <c r="AC690">
        <v>2</v>
      </c>
      <c r="AD690" t="s">
        <v>15441</v>
      </c>
      <c r="AE690" t="s">
        <v>11157</v>
      </c>
      <c r="AF690">
        <v>1</v>
      </c>
      <c r="AG690">
        <v>1</v>
      </c>
      <c r="AH690">
        <v>1</v>
      </c>
      <c r="AI690">
        <v>21.68</v>
      </c>
      <c r="AL690" t="s">
        <v>19614</v>
      </c>
      <c r="AM690">
        <v>3666</v>
      </c>
      <c r="AO690" t="s">
        <v>20293</v>
      </c>
      <c r="AP690" t="s">
        <v>20309</v>
      </c>
      <c r="AQ690" t="s">
        <v>20369</v>
      </c>
      <c r="AR690" t="s">
        <v>20411</v>
      </c>
      <c r="AS690">
        <v>12.1</v>
      </c>
      <c r="AT690" t="s">
        <v>736</v>
      </c>
      <c r="AU690" t="s">
        <v>20622</v>
      </c>
      <c r="AV690" t="s">
        <v>20733</v>
      </c>
    </row>
    <row r="691" spans="1:48">
      <c r="A691" s="1">
        <f>HYPERLINK("https://lsnyc.legalserver.org/matter/dynamic-profile/view/1863429","18-1863429")</f>
        <v>0</v>
      </c>
      <c r="B691" t="s">
        <v>69</v>
      </c>
      <c r="C691" t="s">
        <v>256</v>
      </c>
      <c r="D691" t="s">
        <v>356</v>
      </c>
      <c r="F691" t="s">
        <v>1573</v>
      </c>
      <c r="G691" t="s">
        <v>3511</v>
      </c>
      <c r="H691" t="s">
        <v>6138</v>
      </c>
      <c r="I691" t="s">
        <v>8149</v>
      </c>
      <c r="J691" t="s">
        <v>9067</v>
      </c>
      <c r="K691">
        <v>10029</v>
      </c>
      <c r="L691" t="s">
        <v>9094</v>
      </c>
      <c r="M691" t="s">
        <v>9095</v>
      </c>
      <c r="O691" t="s">
        <v>11131</v>
      </c>
      <c r="P691" t="s">
        <v>11168</v>
      </c>
      <c r="R691" t="s">
        <v>11180</v>
      </c>
      <c r="S691" t="s">
        <v>9096</v>
      </c>
      <c r="T691" t="s">
        <v>11191</v>
      </c>
      <c r="V691" t="s">
        <v>356</v>
      </c>
      <c r="W691">
        <v>2065</v>
      </c>
      <c r="X691" t="s">
        <v>11335</v>
      </c>
      <c r="Y691" t="s">
        <v>11347</v>
      </c>
      <c r="Z691" t="s">
        <v>11873</v>
      </c>
      <c r="AB691" t="s">
        <v>16334</v>
      </c>
      <c r="AC691">
        <v>32</v>
      </c>
      <c r="AD691" t="s">
        <v>19566</v>
      </c>
      <c r="AE691" t="s">
        <v>9144</v>
      </c>
      <c r="AF691">
        <v>8</v>
      </c>
      <c r="AG691">
        <v>1</v>
      </c>
      <c r="AH691">
        <v>1</v>
      </c>
      <c r="AI691">
        <v>21.73</v>
      </c>
      <c r="AL691" t="s">
        <v>19614</v>
      </c>
      <c r="AM691">
        <v>3576</v>
      </c>
      <c r="AS691">
        <v>15</v>
      </c>
      <c r="AT691" t="s">
        <v>283</v>
      </c>
      <c r="AU691" t="s">
        <v>20657</v>
      </c>
    </row>
    <row r="692" spans="1:48">
      <c r="A692" s="1">
        <f>HYPERLINK("https://lsnyc.legalserver.org/matter/dynamic-profile/view/1890105","19-1890105")</f>
        <v>0</v>
      </c>
      <c r="B692" t="s">
        <v>117</v>
      </c>
      <c r="C692" t="s">
        <v>257</v>
      </c>
      <c r="D692" t="s">
        <v>577</v>
      </c>
      <c r="E692" t="s">
        <v>339</v>
      </c>
      <c r="F692" t="s">
        <v>1574</v>
      </c>
      <c r="G692" t="s">
        <v>3739</v>
      </c>
      <c r="H692" t="s">
        <v>6139</v>
      </c>
      <c r="I692" t="s">
        <v>8209</v>
      </c>
      <c r="J692" t="s">
        <v>9065</v>
      </c>
      <c r="K692">
        <v>10453</v>
      </c>
      <c r="L692" t="s">
        <v>9094</v>
      </c>
      <c r="M692" t="s">
        <v>9094</v>
      </c>
      <c r="N692" t="s">
        <v>9431</v>
      </c>
      <c r="P692" t="s">
        <v>11166</v>
      </c>
      <c r="Q692" t="s">
        <v>11173</v>
      </c>
      <c r="R692" t="s">
        <v>11181</v>
      </c>
      <c r="S692" t="s">
        <v>9096</v>
      </c>
      <c r="T692" t="s">
        <v>11183</v>
      </c>
      <c r="V692" t="s">
        <v>11218</v>
      </c>
      <c r="W692">
        <v>1537</v>
      </c>
      <c r="X692" t="s">
        <v>11333</v>
      </c>
      <c r="Y692" t="s">
        <v>11337</v>
      </c>
      <c r="Z692" t="s">
        <v>11874</v>
      </c>
      <c r="AB692" t="s">
        <v>16335</v>
      </c>
      <c r="AC692">
        <v>0</v>
      </c>
      <c r="AD692" t="s">
        <v>19566</v>
      </c>
      <c r="AE692" t="s">
        <v>19580</v>
      </c>
      <c r="AF692">
        <v>2</v>
      </c>
      <c r="AG692">
        <v>2</v>
      </c>
      <c r="AH692">
        <v>0</v>
      </c>
      <c r="AI692">
        <v>21.79</v>
      </c>
      <c r="AJ692" t="s">
        <v>19591</v>
      </c>
      <c r="AK692" t="s">
        <v>19608</v>
      </c>
      <c r="AL692" t="s">
        <v>19615</v>
      </c>
      <c r="AM692">
        <v>3684</v>
      </c>
      <c r="AN692" t="s">
        <v>19724</v>
      </c>
      <c r="AS692">
        <v>14.05</v>
      </c>
      <c r="AT692" t="s">
        <v>615</v>
      </c>
      <c r="AU692" t="s">
        <v>163</v>
      </c>
    </row>
    <row r="693" spans="1:48">
      <c r="A693" s="1">
        <f>HYPERLINK("https://lsnyc.legalserver.org/matter/dynamic-profile/view/1871632","18-1871632")</f>
        <v>0</v>
      </c>
      <c r="B693" t="s">
        <v>78</v>
      </c>
      <c r="C693" t="s">
        <v>256</v>
      </c>
      <c r="D693" t="s">
        <v>609</v>
      </c>
      <c r="F693" t="s">
        <v>1575</v>
      </c>
      <c r="G693" t="s">
        <v>3740</v>
      </c>
      <c r="H693" t="s">
        <v>5809</v>
      </c>
      <c r="I693" t="s">
        <v>8327</v>
      </c>
      <c r="J693" t="s">
        <v>9059</v>
      </c>
      <c r="K693">
        <v>11212</v>
      </c>
      <c r="L693" t="s">
        <v>9094</v>
      </c>
      <c r="M693" t="s">
        <v>9095</v>
      </c>
      <c r="O693" t="s">
        <v>9121</v>
      </c>
      <c r="P693" t="s">
        <v>11167</v>
      </c>
      <c r="R693" t="s">
        <v>11180</v>
      </c>
      <c r="S693" t="s">
        <v>9094</v>
      </c>
      <c r="T693" t="s">
        <v>11183</v>
      </c>
      <c r="V693" t="s">
        <v>11214</v>
      </c>
      <c r="W693">
        <v>1135</v>
      </c>
      <c r="X693" t="s">
        <v>11332</v>
      </c>
      <c r="Y693" t="s">
        <v>11157</v>
      </c>
      <c r="Z693" t="s">
        <v>11875</v>
      </c>
      <c r="AB693" t="s">
        <v>16336</v>
      </c>
      <c r="AC693">
        <v>32</v>
      </c>
      <c r="AD693" t="s">
        <v>19566</v>
      </c>
      <c r="AE693" t="s">
        <v>9144</v>
      </c>
      <c r="AF693">
        <v>20</v>
      </c>
      <c r="AG693">
        <v>2</v>
      </c>
      <c r="AH693">
        <v>0</v>
      </c>
      <c r="AI693">
        <v>21.87</v>
      </c>
      <c r="AL693" t="s">
        <v>19614</v>
      </c>
      <c r="AM693">
        <v>3600</v>
      </c>
      <c r="AS693">
        <v>0</v>
      </c>
      <c r="AU693" t="s">
        <v>20637</v>
      </c>
    </row>
    <row r="694" spans="1:48">
      <c r="A694" s="1">
        <f>HYPERLINK("https://lsnyc.legalserver.org/matter/dynamic-profile/view/1901850","19-1901850")</f>
        <v>0</v>
      </c>
      <c r="B694" t="s">
        <v>156</v>
      </c>
      <c r="C694" t="s">
        <v>256</v>
      </c>
      <c r="D694" t="s">
        <v>610</v>
      </c>
      <c r="F694" t="s">
        <v>1576</v>
      </c>
      <c r="G694" t="s">
        <v>3741</v>
      </c>
      <c r="H694" t="s">
        <v>6140</v>
      </c>
      <c r="I694" t="s">
        <v>8222</v>
      </c>
      <c r="J694" t="s">
        <v>9065</v>
      </c>
      <c r="K694">
        <v>10453</v>
      </c>
      <c r="L694" t="s">
        <v>9094</v>
      </c>
      <c r="M694" t="s">
        <v>9095</v>
      </c>
      <c r="N694" t="s">
        <v>9432</v>
      </c>
      <c r="O694" t="s">
        <v>11129</v>
      </c>
      <c r="P694" t="s">
        <v>11165</v>
      </c>
      <c r="R694" t="s">
        <v>11180</v>
      </c>
      <c r="S694" t="s">
        <v>9096</v>
      </c>
      <c r="T694" t="s">
        <v>11183</v>
      </c>
      <c r="U694" t="s">
        <v>11200</v>
      </c>
      <c r="V694" t="s">
        <v>11218</v>
      </c>
      <c r="W694">
        <v>1152.86</v>
      </c>
      <c r="X694" t="s">
        <v>11333</v>
      </c>
      <c r="Y694" t="s">
        <v>11340</v>
      </c>
      <c r="Z694" t="s">
        <v>773</v>
      </c>
      <c r="AA694" t="s">
        <v>15405</v>
      </c>
      <c r="AB694" t="s">
        <v>16337</v>
      </c>
      <c r="AC694">
        <v>0</v>
      </c>
      <c r="AD694" t="s">
        <v>19566</v>
      </c>
      <c r="AE694" t="s">
        <v>19582</v>
      </c>
      <c r="AF694">
        <v>6</v>
      </c>
      <c r="AG694">
        <v>1</v>
      </c>
      <c r="AH694">
        <v>2</v>
      </c>
      <c r="AI694">
        <v>21.88</v>
      </c>
      <c r="AL694" t="s">
        <v>19615</v>
      </c>
      <c r="AM694">
        <v>4668</v>
      </c>
      <c r="AN694" t="s">
        <v>19725</v>
      </c>
      <c r="AO694" t="s">
        <v>20294</v>
      </c>
      <c r="AP694" t="s">
        <v>20325</v>
      </c>
      <c r="AQ694" t="s">
        <v>20369</v>
      </c>
      <c r="AR694" t="s">
        <v>20412</v>
      </c>
      <c r="AS694">
        <v>4.3</v>
      </c>
      <c r="AT694" t="s">
        <v>621</v>
      </c>
      <c r="AU694" t="s">
        <v>156</v>
      </c>
      <c r="AV694" t="s">
        <v>20733</v>
      </c>
    </row>
    <row r="695" spans="1:48">
      <c r="A695" s="1">
        <f>HYPERLINK("https://lsnyc.legalserver.org/matter/dynamic-profile/view/1905654","19-1905654")</f>
        <v>0</v>
      </c>
      <c r="B695" t="s">
        <v>126</v>
      </c>
      <c r="C695" t="s">
        <v>256</v>
      </c>
      <c r="D695" t="s">
        <v>295</v>
      </c>
      <c r="F695" t="s">
        <v>1577</v>
      </c>
      <c r="G695" t="s">
        <v>3742</v>
      </c>
      <c r="H695" t="s">
        <v>6141</v>
      </c>
      <c r="I695" t="s">
        <v>8161</v>
      </c>
      <c r="J695" t="s">
        <v>9066</v>
      </c>
      <c r="K695">
        <v>10301</v>
      </c>
      <c r="L695" t="s">
        <v>9094</v>
      </c>
      <c r="M695" t="s">
        <v>9095</v>
      </c>
      <c r="N695" t="s">
        <v>9433</v>
      </c>
      <c r="O695" t="s">
        <v>11128</v>
      </c>
      <c r="P695" t="s">
        <v>11165</v>
      </c>
      <c r="R695" t="s">
        <v>11180</v>
      </c>
      <c r="S695" t="s">
        <v>9096</v>
      </c>
      <c r="T695" t="s">
        <v>11183</v>
      </c>
      <c r="U695" t="s">
        <v>11200</v>
      </c>
      <c r="V695" t="s">
        <v>295</v>
      </c>
      <c r="W695">
        <v>1258</v>
      </c>
      <c r="X695" t="s">
        <v>11334</v>
      </c>
      <c r="Y695" t="s">
        <v>11345</v>
      </c>
      <c r="Z695" t="s">
        <v>11876</v>
      </c>
      <c r="AB695" t="s">
        <v>16338</v>
      </c>
      <c r="AC695">
        <v>6</v>
      </c>
      <c r="AD695" t="s">
        <v>19566</v>
      </c>
      <c r="AE695" t="s">
        <v>19581</v>
      </c>
      <c r="AF695">
        <v>2</v>
      </c>
      <c r="AG695">
        <v>1</v>
      </c>
      <c r="AH695">
        <v>2</v>
      </c>
      <c r="AI695">
        <v>21.88</v>
      </c>
      <c r="AL695" t="s">
        <v>19614</v>
      </c>
      <c r="AM695">
        <v>4668</v>
      </c>
      <c r="AS695">
        <v>11.4</v>
      </c>
      <c r="AT695" t="s">
        <v>487</v>
      </c>
      <c r="AU695" t="s">
        <v>20653</v>
      </c>
      <c r="AV695" t="s">
        <v>20733</v>
      </c>
    </row>
    <row r="696" spans="1:48">
      <c r="A696" s="1">
        <f>HYPERLINK("https://lsnyc.legalserver.org/matter/dynamic-profile/view/1886889","19-1886889")</f>
        <v>0</v>
      </c>
      <c r="B696" t="s">
        <v>71</v>
      </c>
      <c r="C696" t="s">
        <v>257</v>
      </c>
      <c r="D696" t="s">
        <v>611</v>
      </c>
      <c r="E696" t="s">
        <v>457</v>
      </c>
      <c r="F696" t="s">
        <v>1276</v>
      </c>
      <c r="G696" t="s">
        <v>3743</v>
      </c>
      <c r="H696" t="s">
        <v>6142</v>
      </c>
      <c r="J696" t="s">
        <v>9059</v>
      </c>
      <c r="K696">
        <v>11212</v>
      </c>
      <c r="L696" t="s">
        <v>9094</v>
      </c>
      <c r="M696" t="s">
        <v>9094</v>
      </c>
      <c r="N696" t="s">
        <v>9171</v>
      </c>
      <c r="O696" t="s">
        <v>11149</v>
      </c>
      <c r="P696" t="s">
        <v>11164</v>
      </c>
      <c r="Q696" t="s">
        <v>11172</v>
      </c>
      <c r="R696" t="s">
        <v>11180</v>
      </c>
      <c r="S696" t="s">
        <v>9096</v>
      </c>
      <c r="T696" t="s">
        <v>11183</v>
      </c>
      <c r="U696" t="s">
        <v>11201</v>
      </c>
      <c r="V696" t="s">
        <v>611</v>
      </c>
      <c r="W696">
        <v>1696</v>
      </c>
      <c r="X696" t="s">
        <v>11332</v>
      </c>
      <c r="Z696" t="s">
        <v>11877</v>
      </c>
      <c r="AA696" t="s">
        <v>15406</v>
      </c>
      <c r="AB696" t="s">
        <v>16339</v>
      </c>
      <c r="AC696">
        <v>0</v>
      </c>
      <c r="AD696" t="s">
        <v>19567</v>
      </c>
      <c r="AE696" t="s">
        <v>19580</v>
      </c>
      <c r="AF696">
        <v>1</v>
      </c>
      <c r="AG696">
        <v>2</v>
      </c>
      <c r="AH696">
        <v>1</v>
      </c>
      <c r="AI696">
        <v>21.9</v>
      </c>
      <c r="AL696" t="s">
        <v>19614</v>
      </c>
      <c r="AM696">
        <v>4550</v>
      </c>
      <c r="AN696" t="s">
        <v>19680</v>
      </c>
      <c r="AS696">
        <v>2</v>
      </c>
      <c r="AT696" t="s">
        <v>324</v>
      </c>
      <c r="AU696" t="s">
        <v>95</v>
      </c>
    </row>
    <row r="697" spans="1:48">
      <c r="A697" s="1">
        <f>HYPERLINK("https://lsnyc.legalserver.org/matter/dynamic-profile/view/1914532","19-1914532")</f>
        <v>0</v>
      </c>
      <c r="B697" t="s">
        <v>103</v>
      </c>
      <c r="C697" t="s">
        <v>257</v>
      </c>
      <c r="D697" t="s">
        <v>612</v>
      </c>
      <c r="E697" t="s">
        <v>612</v>
      </c>
      <c r="F697" t="s">
        <v>1578</v>
      </c>
      <c r="G697" t="s">
        <v>3744</v>
      </c>
      <c r="H697" t="s">
        <v>6143</v>
      </c>
      <c r="I697" t="s">
        <v>8139</v>
      </c>
      <c r="J697" t="s">
        <v>9065</v>
      </c>
      <c r="K697">
        <v>10453</v>
      </c>
      <c r="L697" t="s">
        <v>9094</v>
      </c>
      <c r="M697" t="s">
        <v>9095</v>
      </c>
      <c r="N697" t="s">
        <v>9434</v>
      </c>
      <c r="O697" t="s">
        <v>11129</v>
      </c>
      <c r="P697" t="s">
        <v>11164</v>
      </c>
      <c r="Q697" t="s">
        <v>11172</v>
      </c>
      <c r="R697" t="s">
        <v>11180</v>
      </c>
      <c r="S697" t="s">
        <v>9096</v>
      </c>
      <c r="T697" t="s">
        <v>11183</v>
      </c>
      <c r="U697" t="s">
        <v>11199</v>
      </c>
      <c r="W697">
        <v>935.12</v>
      </c>
      <c r="X697" t="s">
        <v>11333</v>
      </c>
      <c r="Y697" t="s">
        <v>11346</v>
      </c>
      <c r="Z697" t="s">
        <v>11878</v>
      </c>
      <c r="AA697" t="s">
        <v>15407</v>
      </c>
      <c r="AC697">
        <v>11</v>
      </c>
      <c r="AD697" t="s">
        <v>19566</v>
      </c>
      <c r="AE697" t="s">
        <v>19581</v>
      </c>
      <c r="AF697">
        <v>10</v>
      </c>
      <c r="AG697">
        <v>1</v>
      </c>
      <c r="AH697">
        <v>2</v>
      </c>
      <c r="AI697">
        <v>21.94</v>
      </c>
      <c r="AL697" t="s">
        <v>19614</v>
      </c>
      <c r="AM697">
        <v>4680</v>
      </c>
      <c r="AS697">
        <v>1</v>
      </c>
      <c r="AT697" t="s">
        <v>703</v>
      </c>
      <c r="AU697" t="s">
        <v>103</v>
      </c>
      <c r="AV697" t="s">
        <v>20733</v>
      </c>
    </row>
    <row r="698" spans="1:48">
      <c r="A698" s="1">
        <f>HYPERLINK("https://lsnyc.legalserver.org/matter/dynamic-profile/view/1899402","19-1899402")</f>
        <v>0</v>
      </c>
      <c r="B698" t="s">
        <v>50</v>
      </c>
      <c r="C698" t="s">
        <v>256</v>
      </c>
      <c r="D698" t="s">
        <v>608</v>
      </c>
      <c r="F698" t="s">
        <v>1579</v>
      </c>
      <c r="G698" t="s">
        <v>3745</v>
      </c>
      <c r="H698" t="s">
        <v>6144</v>
      </c>
      <c r="J698" t="s">
        <v>9039</v>
      </c>
      <c r="K698">
        <v>11436</v>
      </c>
      <c r="L698" t="s">
        <v>9094</v>
      </c>
      <c r="M698" t="s">
        <v>9095</v>
      </c>
      <c r="N698" t="s">
        <v>9435</v>
      </c>
      <c r="O698" t="s">
        <v>11128</v>
      </c>
      <c r="P698" t="s">
        <v>11164</v>
      </c>
      <c r="R698" t="s">
        <v>11180</v>
      </c>
      <c r="S698" t="s">
        <v>9096</v>
      </c>
      <c r="T698" t="s">
        <v>11183</v>
      </c>
      <c r="U698" t="s">
        <v>11199</v>
      </c>
      <c r="V698" t="s">
        <v>608</v>
      </c>
      <c r="W698">
        <v>900</v>
      </c>
      <c r="X698" t="s">
        <v>11331</v>
      </c>
      <c r="Y698" t="s">
        <v>11336</v>
      </c>
      <c r="Z698" t="s">
        <v>11879</v>
      </c>
      <c r="AB698" t="s">
        <v>16340</v>
      </c>
      <c r="AC698">
        <v>4</v>
      </c>
      <c r="AD698" t="s">
        <v>19565</v>
      </c>
      <c r="AF698">
        <v>1</v>
      </c>
      <c r="AG698">
        <v>1</v>
      </c>
      <c r="AH698">
        <v>0</v>
      </c>
      <c r="AI698">
        <v>22.1</v>
      </c>
      <c r="AL698" t="s">
        <v>19614</v>
      </c>
      <c r="AM698">
        <v>2760</v>
      </c>
      <c r="AS698">
        <v>1.4</v>
      </c>
      <c r="AT698" t="s">
        <v>621</v>
      </c>
      <c r="AU698" t="s">
        <v>20622</v>
      </c>
      <c r="AV698" t="s">
        <v>20733</v>
      </c>
    </row>
    <row r="699" spans="1:48">
      <c r="A699" s="1">
        <f>HYPERLINK("https://lsnyc.legalserver.org/matter/dynamic-profile/view/1911683","19-1911683")</f>
        <v>0</v>
      </c>
      <c r="B699" t="s">
        <v>71</v>
      </c>
      <c r="C699" t="s">
        <v>256</v>
      </c>
      <c r="D699" t="s">
        <v>290</v>
      </c>
      <c r="F699" t="s">
        <v>1580</v>
      </c>
      <c r="G699" t="s">
        <v>3746</v>
      </c>
      <c r="H699" t="s">
        <v>6145</v>
      </c>
      <c r="I699" t="s">
        <v>8141</v>
      </c>
      <c r="J699" t="s">
        <v>9059</v>
      </c>
      <c r="K699">
        <v>11236</v>
      </c>
      <c r="L699" t="s">
        <v>9094</v>
      </c>
      <c r="M699" t="s">
        <v>9095</v>
      </c>
      <c r="N699" t="s">
        <v>9436</v>
      </c>
      <c r="O699" t="s">
        <v>11128</v>
      </c>
      <c r="P699" t="s">
        <v>11165</v>
      </c>
      <c r="R699" t="s">
        <v>11180</v>
      </c>
      <c r="S699" t="s">
        <v>9096</v>
      </c>
      <c r="T699" t="s">
        <v>11183</v>
      </c>
      <c r="U699" t="s">
        <v>11199</v>
      </c>
      <c r="V699" t="s">
        <v>290</v>
      </c>
      <c r="W699">
        <v>1600</v>
      </c>
      <c r="X699" t="s">
        <v>11332</v>
      </c>
      <c r="Y699" t="s">
        <v>11350</v>
      </c>
      <c r="Z699" t="s">
        <v>11880</v>
      </c>
      <c r="AB699" t="s">
        <v>16341</v>
      </c>
      <c r="AC699">
        <v>3</v>
      </c>
      <c r="AD699" t="s">
        <v>19565</v>
      </c>
      <c r="AE699" t="s">
        <v>19585</v>
      </c>
      <c r="AF699">
        <v>1</v>
      </c>
      <c r="AG699">
        <v>1</v>
      </c>
      <c r="AH699">
        <v>0</v>
      </c>
      <c r="AI699">
        <v>22.1</v>
      </c>
      <c r="AL699" t="s">
        <v>19614</v>
      </c>
      <c r="AM699">
        <v>2760</v>
      </c>
      <c r="AS699">
        <v>5</v>
      </c>
      <c r="AT699" t="s">
        <v>632</v>
      </c>
      <c r="AU699" t="s">
        <v>79</v>
      </c>
      <c r="AV699" t="s">
        <v>20733</v>
      </c>
    </row>
    <row r="700" spans="1:48">
      <c r="A700" s="1">
        <f>HYPERLINK("https://lsnyc.legalserver.org/matter/dynamic-profile/view/1841494","17-1841494")</f>
        <v>0</v>
      </c>
      <c r="B700" t="s">
        <v>136</v>
      </c>
      <c r="C700" t="s">
        <v>257</v>
      </c>
      <c r="D700" t="s">
        <v>613</v>
      </c>
      <c r="E700" t="s">
        <v>331</v>
      </c>
      <c r="F700" t="s">
        <v>1581</v>
      </c>
      <c r="G700" t="s">
        <v>3674</v>
      </c>
      <c r="H700" t="s">
        <v>6146</v>
      </c>
      <c r="I700" t="s">
        <v>8153</v>
      </c>
      <c r="J700" t="s">
        <v>9067</v>
      </c>
      <c r="K700">
        <v>10029</v>
      </c>
      <c r="L700" t="s">
        <v>9094</v>
      </c>
      <c r="M700" t="s">
        <v>9095</v>
      </c>
      <c r="O700" t="s">
        <v>9121</v>
      </c>
      <c r="P700" t="s">
        <v>11167</v>
      </c>
      <c r="Q700" t="s">
        <v>11173</v>
      </c>
      <c r="R700" t="s">
        <v>11180</v>
      </c>
      <c r="S700" t="s">
        <v>9094</v>
      </c>
      <c r="T700" t="s">
        <v>11183</v>
      </c>
      <c r="U700" t="s">
        <v>11201</v>
      </c>
      <c r="V700" t="s">
        <v>837</v>
      </c>
      <c r="W700">
        <v>677.6</v>
      </c>
      <c r="X700" t="s">
        <v>11335</v>
      </c>
      <c r="Y700" t="s">
        <v>11339</v>
      </c>
      <c r="Z700" t="s">
        <v>11881</v>
      </c>
      <c r="AB700" t="s">
        <v>16342</v>
      </c>
      <c r="AC700">
        <v>13</v>
      </c>
      <c r="AD700" t="s">
        <v>19566</v>
      </c>
      <c r="AE700" t="s">
        <v>9144</v>
      </c>
      <c r="AF700">
        <v>40</v>
      </c>
      <c r="AG700">
        <v>1</v>
      </c>
      <c r="AH700">
        <v>1</v>
      </c>
      <c r="AI700">
        <v>22.17</v>
      </c>
      <c r="AL700" t="s">
        <v>19614</v>
      </c>
      <c r="AM700">
        <v>3600</v>
      </c>
      <c r="AS700">
        <v>3.45</v>
      </c>
      <c r="AT700" t="s">
        <v>479</v>
      </c>
      <c r="AU700" t="s">
        <v>20657</v>
      </c>
      <c r="AV700" t="s">
        <v>20733</v>
      </c>
    </row>
    <row r="701" spans="1:48">
      <c r="A701" s="1">
        <f>HYPERLINK("https://lsnyc.legalserver.org/matter/dynamic-profile/view/1881397","18-1881397")</f>
        <v>0</v>
      </c>
      <c r="B701" t="s">
        <v>136</v>
      </c>
      <c r="C701" t="s">
        <v>256</v>
      </c>
      <c r="D701" t="s">
        <v>586</v>
      </c>
      <c r="F701" t="s">
        <v>1210</v>
      </c>
      <c r="G701" t="s">
        <v>3747</v>
      </c>
      <c r="H701" t="s">
        <v>6119</v>
      </c>
      <c r="I701" t="s">
        <v>8156</v>
      </c>
      <c r="J701" t="s">
        <v>9067</v>
      </c>
      <c r="K701">
        <v>10031</v>
      </c>
      <c r="L701" t="s">
        <v>9094</v>
      </c>
      <c r="M701" t="s">
        <v>9094</v>
      </c>
      <c r="N701" t="s">
        <v>9437</v>
      </c>
      <c r="O701" t="s">
        <v>11130</v>
      </c>
      <c r="P701" t="s">
        <v>11165</v>
      </c>
      <c r="R701" t="s">
        <v>11180</v>
      </c>
      <c r="S701" t="s">
        <v>9094</v>
      </c>
      <c r="T701" t="s">
        <v>11183</v>
      </c>
      <c r="U701" t="s">
        <v>11201</v>
      </c>
      <c r="V701" t="s">
        <v>285</v>
      </c>
      <c r="W701">
        <v>457</v>
      </c>
      <c r="X701" t="s">
        <v>11335</v>
      </c>
      <c r="Y701" t="s">
        <v>11339</v>
      </c>
      <c r="Z701" t="s">
        <v>11882</v>
      </c>
      <c r="AB701" t="s">
        <v>16343</v>
      </c>
      <c r="AC701">
        <v>44</v>
      </c>
      <c r="AD701" t="s">
        <v>19566</v>
      </c>
      <c r="AE701" t="s">
        <v>19580</v>
      </c>
      <c r="AF701">
        <v>14</v>
      </c>
      <c r="AG701">
        <v>2</v>
      </c>
      <c r="AH701">
        <v>0</v>
      </c>
      <c r="AI701">
        <v>22.38</v>
      </c>
      <c r="AL701" t="s">
        <v>19614</v>
      </c>
      <c r="AM701">
        <v>3684</v>
      </c>
      <c r="AS701">
        <v>0.25</v>
      </c>
      <c r="AT701" t="s">
        <v>511</v>
      </c>
      <c r="AU701" t="s">
        <v>20657</v>
      </c>
    </row>
    <row r="702" spans="1:48">
      <c r="A702" s="1">
        <f>HYPERLINK("https://lsnyc.legalserver.org/matter/dynamic-profile/view/1870446","18-1870446")</f>
        <v>0</v>
      </c>
      <c r="B702" t="s">
        <v>64</v>
      </c>
      <c r="C702" t="s">
        <v>257</v>
      </c>
      <c r="D702" t="s">
        <v>400</v>
      </c>
      <c r="E702" t="s">
        <v>549</v>
      </c>
      <c r="F702" t="s">
        <v>1148</v>
      </c>
      <c r="G702" t="s">
        <v>3748</v>
      </c>
      <c r="H702" t="s">
        <v>6147</v>
      </c>
      <c r="I702" t="s">
        <v>8315</v>
      </c>
      <c r="J702" t="s">
        <v>9059</v>
      </c>
      <c r="K702">
        <v>11208</v>
      </c>
      <c r="L702" t="s">
        <v>9096</v>
      </c>
      <c r="M702" t="s">
        <v>9095</v>
      </c>
      <c r="Q702" t="s">
        <v>11172</v>
      </c>
      <c r="R702" t="s">
        <v>11180</v>
      </c>
      <c r="S702" t="s">
        <v>9094</v>
      </c>
      <c r="T702" t="s">
        <v>11183</v>
      </c>
      <c r="W702">
        <v>1515</v>
      </c>
      <c r="X702" t="s">
        <v>11332</v>
      </c>
      <c r="Y702" t="s">
        <v>11157</v>
      </c>
      <c r="Z702" t="s">
        <v>11883</v>
      </c>
      <c r="AA702">
        <v>8973405</v>
      </c>
      <c r="AB702" t="s">
        <v>16344</v>
      </c>
      <c r="AC702">
        <v>3</v>
      </c>
      <c r="AD702" t="s">
        <v>15441</v>
      </c>
      <c r="AE702" t="s">
        <v>19581</v>
      </c>
      <c r="AF702">
        <v>1</v>
      </c>
      <c r="AG702">
        <v>1</v>
      </c>
      <c r="AH702">
        <v>2</v>
      </c>
      <c r="AI702">
        <v>22.46</v>
      </c>
      <c r="AL702" t="s">
        <v>19614</v>
      </c>
      <c r="AM702">
        <v>4668</v>
      </c>
      <c r="AS702">
        <v>0.5</v>
      </c>
      <c r="AT702" t="s">
        <v>400</v>
      </c>
      <c r="AU702" t="s">
        <v>20631</v>
      </c>
    </row>
    <row r="703" spans="1:48">
      <c r="A703" s="1">
        <f>HYPERLINK("https://lsnyc.legalserver.org/matter/dynamic-profile/view/1913639","19-1913639")</f>
        <v>0</v>
      </c>
      <c r="B703" t="s">
        <v>115</v>
      </c>
      <c r="C703" t="s">
        <v>256</v>
      </c>
      <c r="D703" t="s">
        <v>395</v>
      </c>
      <c r="F703" t="s">
        <v>1258</v>
      </c>
      <c r="G703" t="s">
        <v>3749</v>
      </c>
      <c r="H703" t="s">
        <v>6148</v>
      </c>
      <c r="I703">
        <v>2</v>
      </c>
      <c r="J703" t="s">
        <v>9065</v>
      </c>
      <c r="K703">
        <v>10466</v>
      </c>
      <c r="L703" t="s">
        <v>9094</v>
      </c>
      <c r="M703" t="s">
        <v>9095</v>
      </c>
      <c r="N703" t="s">
        <v>9438</v>
      </c>
      <c r="O703" t="s">
        <v>11128</v>
      </c>
      <c r="P703" t="s">
        <v>11169</v>
      </c>
      <c r="R703" t="s">
        <v>11180</v>
      </c>
      <c r="S703" t="s">
        <v>9096</v>
      </c>
      <c r="T703" t="s">
        <v>11183</v>
      </c>
      <c r="U703" t="s">
        <v>11201</v>
      </c>
      <c r="W703">
        <v>2224</v>
      </c>
      <c r="X703" t="s">
        <v>11333</v>
      </c>
      <c r="Z703" t="s">
        <v>11730</v>
      </c>
      <c r="AA703" t="s">
        <v>15408</v>
      </c>
      <c r="AB703" t="s">
        <v>16345</v>
      </c>
      <c r="AC703">
        <v>3</v>
      </c>
      <c r="AD703" t="s">
        <v>19565</v>
      </c>
      <c r="AE703" t="s">
        <v>19582</v>
      </c>
      <c r="AF703">
        <v>2</v>
      </c>
      <c r="AG703">
        <v>2</v>
      </c>
      <c r="AH703">
        <v>5</v>
      </c>
      <c r="AI703">
        <v>22.46</v>
      </c>
      <c r="AL703" t="s">
        <v>19614</v>
      </c>
      <c r="AM703">
        <v>8762</v>
      </c>
      <c r="AS703">
        <v>2.2</v>
      </c>
      <c r="AT703" t="s">
        <v>321</v>
      </c>
      <c r="AU703" t="s">
        <v>115</v>
      </c>
      <c r="AV703" t="s">
        <v>20733</v>
      </c>
    </row>
    <row r="704" spans="1:48">
      <c r="A704" s="1">
        <f>HYPERLINK("https://lsnyc.legalserver.org/matter/dynamic-profile/view/1899511","19-1899511")</f>
        <v>0</v>
      </c>
      <c r="B704" t="s">
        <v>115</v>
      </c>
      <c r="C704" t="s">
        <v>256</v>
      </c>
      <c r="D704" t="s">
        <v>614</v>
      </c>
      <c r="F704" t="s">
        <v>1258</v>
      </c>
      <c r="G704" t="s">
        <v>3749</v>
      </c>
      <c r="H704" t="s">
        <v>6148</v>
      </c>
      <c r="I704">
        <v>2</v>
      </c>
      <c r="J704" t="s">
        <v>9065</v>
      </c>
      <c r="K704">
        <v>10466</v>
      </c>
      <c r="L704" t="s">
        <v>9094</v>
      </c>
      <c r="M704" t="s">
        <v>9095</v>
      </c>
      <c r="N704" t="s">
        <v>9439</v>
      </c>
      <c r="O704" t="s">
        <v>11129</v>
      </c>
      <c r="P704" t="s">
        <v>11165</v>
      </c>
      <c r="R704" t="s">
        <v>11180</v>
      </c>
      <c r="S704" t="s">
        <v>9096</v>
      </c>
      <c r="T704" t="s">
        <v>11183</v>
      </c>
      <c r="U704" t="s">
        <v>11198</v>
      </c>
      <c r="V704" t="s">
        <v>614</v>
      </c>
      <c r="W704">
        <v>1678</v>
      </c>
      <c r="X704" t="s">
        <v>11333</v>
      </c>
      <c r="Y704" t="s">
        <v>11345</v>
      </c>
      <c r="Z704" t="s">
        <v>11730</v>
      </c>
      <c r="AA704" t="s">
        <v>15408</v>
      </c>
      <c r="AB704" t="s">
        <v>16345</v>
      </c>
      <c r="AC704">
        <v>0</v>
      </c>
      <c r="AD704" t="s">
        <v>15441</v>
      </c>
      <c r="AE704" t="s">
        <v>19582</v>
      </c>
      <c r="AF704">
        <v>0</v>
      </c>
      <c r="AG704">
        <v>2</v>
      </c>
      <c r="AH704">
        <v>5</v>
      </c>
      <c r="AI704">
        <v>22.46</v>
      </c>
      <c r="AL704" t="s">
        <v>19614</v>
      </c>
      <c r="AM704">
        <v>8762</v>
      </c>
      <c r="AS704">
        <v>6.1</v>
      </c>
      <c r="AT704" t="s">
        <v>377</v>
      </c>
      <c r="AU704" t="s">
        <v>115</v>
      </c>
      <c r="AV704" t="s">
        <v>20734</v>
      </c>
    </row>
    <row r="705" spans="1:48">
      <c r="A705" s="1">
        <f>HYPERLINK("https://lsnyc.legalserver.org/matter/dynamic-profile/view/1903357","19-1903357")</f>
        <v>0</v>
      </c>
      <c r="B705" t="s">
        <v>52</v>
      </c>
      <c r="C705" t="s">
        <v>256</v>
      </c>
      <c r="D705" t="s">
        <v>302</v>
      </c>
      <c r="F705" t="s">
        <v>1582</v>
      </c>
      <c r="G705" t="s">
        <v>3750</v>
      </c>
      <c r="H705" t="s">
        <v>6149</v>
      </c>
      <c r="I705" t="s">
        <v>8120</v>
      </c>
      <c r="J705" t="s">
        <v>9043</v>
      </c>
      <c r="K705">
        <v>11420</v>
      </c>
      <c r="L705" t="s">
        <v>9094</v>
      </c>
      <c r="M705" t="s">
        <v>9095</v>
      </c>
      <c r="N705" t="s">
        <v>9440</v>
      </c>
      <c r="O705" t="s">
        <v>11128</v>
      </c>
      <c r="P705" t="s">
        <v>11165</v>
      </c>
      <c r="R705" t="s">
        <v>11180</v>
      </c>
      <c r="S705" t="s">
        <v>9096</v>
      </c>
      <c r="T705" t="s">
        <v>11183</v>
      </c>
      <c r="U705" t="s">
        <v>11201</v>
      </c>
      <c r="V705" t="s">
        <v>302</v>
      </c>
      <c r="W705">
        <v>1450</v>
      </c>
      <c r="X705" t="s">
        <v>11331</v>
      </c>
      <c r="Y705" t="s">
        <v>11336</v>
      </c>
      <c r="Z705" t="s">
        <v>11884</v>
      </c>
      <c r="AB705" t="s">
        <v>16346</v>
      </c>
      <c r="AC705">
        <v>2</v>
      </c>
      <c r="AD705" t="s">
        <v>15441</v>
      </c>
      <c r="AE705" t="s">
        <v>9144</v>
      </c>
      <c r="AF705">
        <v>2</v>
      </c>
      <c r="AG705">
        <v>1</v>
      </c>
      <c r="AH705">
        <v>2</v>
      </c>
      <c r="AI705">
        <v>22.5</v>
      </c>
      <c r="AL705" t="s">
        <v>19614</v>
      </c>
      <c r="AM705">
        <v>4800</v>
      </c>
      <c r="AS705">
        <v>5</v>
      </c>
      <c r="AT705" t="s">
        <v>370</v>
      </c>
      <c r="AU705" t="s">
        <v>20620</v>
      </c>
      <c r="AV705" t="s">
        <v>20733</v>
      </c>
    </row>
    <row r="706" spans="1:48">
      <c r="A706" s="1">
        <f>HYPERLINK("https://lsnyc.legalserver.org/matter/dynamic-profile/view/1904512","19-1904512")</f>
        <v>0</v>
      </c>
      <c r="B706" t="s">
        <v>72</v>
      </c>
      <c r="C706" t="s">
        <v>256</v>
      </c>
      <c r="D706" t="s">
        <v>615</v>
      </c>
      <c r="F706" t="s">
        <v>1583</v>
      </c>
      <c r="G706" t="s">
        <v>3751</v>
      </c>
      <c r="H706" t="s">
        <v>6150</v>
      </c>
      <c r="I706">
        <v>9</v>
      </c>
      <c r="J706" t="s">
        <v>9059</v>
      </c>
      <c r="K706">
        <v>11212</v>
      </c>
      <c r="L706" t="s">
        <v>9094</v>
      </c>
      <c r="M706" t="s">
        <v>9095</v>
      </c>
      <c r="N706" t="s">
        <v>9441</v>
      </c>
      <c r="O706" t="s">
        <v>11129</v>
      </c>
      <c r="P706" t="s">
        <v>11165</v>
      </c>
      <c r="R706" t="s">
        <v>11180</v>
      </c>
      <c r="S706" t="s">
        <v>9096</v>
      </c>
      <c r="T706" t="s">
        <v>11183</v>
      </c>
      <c r="U706" t="s">
        <v>11201</v>
      </c>
      <c r="V706" t="s">
        <v>493</v>
      </c>
      <c r="W706">
        <v>1300</v>
      </c>
      <c r="X706" t="s">
        <v>11332</v>
      </c>
      <c r="Y706" t="s">
        <v>11350</v>
      </c>
      <c r="Z706" t="s">
        <v>11885</v>
      </c>
      <c r="AA706" t="s">
        <v>15409</v>
      </c>
      <c r="AB706" t="s">
        <v>16347</v>
      </c>
      <c r="AC706">
        <v>23</v>
      </c>
      <c r="AD706" t="s">
        <v>19566</v>
      </c>
      <c r="AE706" t="s">
        <v>9144</v>
      </c>
      <c r="AF706">
        <v>1</v>
      </c>
      <c r="AG706">
        <v>1</v>
      </c>
      <c r="AH706">
        <v>2</v>
      </c>
      <c r="AI706">
        <v>22.5</v>
      </c>
      <c r="AL706" t="s">
        <v>19614</v>
      </c>
      <c r="AM706">
        <v>4800</v>
      </c>
      <c r="AS706">
        <v>11</v>
      </c>
      <c r="AT706" t="s">
        <v>321</v>
      </c>
      <c r="AU706" t="s">
        <v>95</v>
      </c>
      <c r="AV706" t="s">
        <v>20733</v>
      </c>
    </row>
    <row r="707" spans="1:48">
      <c r="A707" s="1">
        <f>HYPERLINK("https://lsnyc.legalserver.org/matter/dynamic-profile/view/1912182","19-1912182")</f>
        <v>0</v>
      </c>
      <c r="B707" t="s">
        <v>69</v>
      </c>
      <c r="C707" t="s">
        <v>256</v>
      </c>
      <c r="D707" t="s">
        <v>570</v>
      </c>
      <c r="F707" t="s">
        <v>1583</v>
      </c>
      <c r="G707" t="s">
        <v>3751</v>
      </c>
      <c r="H707" t="s">
        <v>6150</v>
      </c>
      <c r="I707">
        <v>9</v>
      </c>
      <c r="J707" t="s">
        <v>9059</v>
      </c>
      <c r="K707">
        <v>11212</v>
      </c>
      <c r="L707" t="s">
        <v>9094</v>
      </c>
      <c r="M707" t="s">
        <v>9095</v>
      </c>
      <c r="N707" t="s">
        <v>9441</v>
      </c>
      <c r="O707" t="s">
        <v>11131</v>
      </c>
      <c r="R707" t="s">
        <v>11180</v>
      </c>
      <c r="S707" t="s">
        <v>9096</v>
      </c>
      <c r="T707" t="s">
        <v>11184</v>
      </c>
      <c r="W707">
        <v>1300</v>
      </c>
      <c r="X707" t="s">
        <v>11332</v>
      </c>
      <c r="Y707" t="s">
        <v>11350</v>
      </c>
      <c r="Z707" t="s">
        <v>11885</v>
      </c>
      <c r="AA707" t="s">
        <v>15409</v>
      </c>
      <c r="AB707" t="s">
        <v>16347</v>
      </c>
      <c r="AC707">
        <v>23</v>
      </c>
      <c r="AD707" t="s">
        <v>19566</v>
      </c>
      <c r="AE707" t="s">
        <v>9144</v>
      </c>
      <c r="AF707">
        <v>1</v>
      </c>
      <c r="AG707">
        <v>1</v>
      </c>
      <c r="AH707">
        <v>2</v>
      </c>
      <c r="AI707">
        <v>22.5</v>
      </c>
      <c r="AL707" t="s">
        <v>19614</v>
      </c>
      <c r="AM707">
        <v>4800</v>
      </c>
      <c r="AN707" t="s">
        <v>19726</v>
      </c>
      <c r="AS707">
        <v>8.5</v>
      </c>
      <c r="AT707" t="s">
        <v>321</v>
      </c>
      <c r="AU707" t="s">
        <v>79</v>
      </c>
      <c r="AV707" t="s">
        <v>20733</v>
      </c>
    </row>
    <row r="708" spans="1:48">
      <c r="A708" s="1">
        <f>HYPERLINK("https://lsnyc.legalserver.org/matter/dynamic-profile/view/1890777","19-1890777")</f>
        <v>0</v>
      </c>
      <c r="B708" t="s">
        <v>65</v>
      </c>
      <c r="C708" t="s">
        <v>256</v>
      </c>
      <c r="D708" t="s">
        <v>381</v>
      </c>
      <c r="F708" t="s">
        <v>1349</v>
      </c>
      <c r="G708" t="s">
        <v>3752</v>
      </c>
      <c r="H708" t="s">
        <v>6151</v>
      </c>
      <c r="I708" t="s">
        <v>8328</v>
      </c>
      <c r="J708" t="s">
        <v>9059</v>
      </c>
      <c r="K708">
        <v>11226</v>
      </c>
      <c r="L708" t="s">
        <v>9094</v>
      </c>
      <c r="M708" t="s">
        <v>9095</v>
      </c>
      <c r="O708" t="s">
        <v>9121</v>
      </c>
      <c r="P708" t="s">
        <v>11166</v>
      </c>
      <c r="R708" t="s">
        <v>11180</v>
      </c>
      <c r="S708" t="s">
        <v>9096</v>
      </c>
      <c r="T708" t="s">
        <v>11183</v>
      </c>
      <c r="V708" t="s">
        <v>411</v>
      </c>
      <c r="W708">
        <v>1158.36</v>
      </c>
      <c r="X708" t="s">
        <v>11332</v>
      </c>
      <c r="Y708" t="s">
        <v>11346</v>
      </c>
      <c r="Z708" t="s">
        <v>11886</v>
      </c>
      <c r="AB708" t="s">
        <v>16348</v>
      </c>
      <c r="AC708">
        <v>80</v>
      </c>
      <c r="AD708" t="s">
        <v>19566</v>
      </c>
      <c r="AF708">
        <v>25</v>
      </c>
      <c r="AG708">
        <v>3</v>
      </c>
      <c r="AH708">
        <v>0</v>
      </c>
      <c r="AI708">
        <v>22.62</v>
      </c>
      <c r="AM708">
        <v>4824</v>
      </c>
      <c r="AP708" t="s">
        <v>20319</v>
      </c>
      <c r="AQ708" t="s">
        <v>20369</v>
      </c>
      <c r="AS708">
        <v>42.9</v>
      </c>
      <c r="AT708" t="s">
        <v>301</v>
      </c>
      <c r="AU708" t="s">
        <v>20675</v>
      </c>
      <c r="AV708" t="s">
        <v>20733</v>
      </c>
    </row>
    <row r="709" spans="1:48">
      <c r="A709" s="1">
        <f>HYPERLINK("https://lsnyc.legalserver.org/matter/dynamic-profile/view/1882756","18-1882756")</f>
        <v>0</v>
      </c>
      <c r="B709" t="s">
        <v>106</v>
      </c>
      <c r="C709" t="s">
        <v>256</v>
      </c>
      <c r="D709" t="s">
        <v>433</v>
      </c>
      <c r="F709" t="s">
        <v>1584</v>
      </c>
      <c r="G709" t="s">
        <v>3600</v>
      </c>
      <c r="H709" t="s">
        <v>5874</v>
      </c>
      <c r="I709" t="s">
        <v>8192</v>
      </c>
      <c r="J709" t="s">
        <v>9065</v>
      </c>
      <c r="K709">
        <v>10457</v>
      </c>
      <c r="L709" t="s">
        <v>9094</v>
      </c>
      <c r="M709" t="s">
        <v>9094</v>
      </c>
      <c r="N709" t="s">
        <v>9230</v>
      </c>
      <c r="O709" t="s">
        <v>11134</v>
      </c>
      <c r="P709" t="s">
        <v>11168</v>
      </c>
      <c r="R709" t="s">
        <v>11180</v>
      </c>
      <c r="S709" t="s">
        <v>9094</v>
      </c>
      <c r="T709" t="s">
        <v>11183</v>
      </c>
      <c r="V709" t="s">
        <v>738</v>
      </c>
      <c r="W709">
        <v>1158</v>
      </c>
      <c r="X709" t="s">
        <v>11333</v>
      </c>
      <c r="Y709" t="s">
        <v>11346</v>
      </c>
      <c r="Z709" t="s">
        <v>11814</v>
      </c>
      <c r="AB709" t="s">
        <v>16349</v>
      </c>
      <c r="AC709">
        <v>47</v>
      </c>
      <c r="AD709" t="s">
        <v>19566</v>
      </c>
      <c r="AE709" t="s">
        <v>9144</v>
      </c>
      <c r="AF709">
        <v>9</v>
      </c>
      <c r="AG709">
        <v>1</v>
      </c>
      <c r="AH709">
        <v>0</v>
      </c>
      <c r="AI709">
        <v>22.92</v>
      </c>
      <c r="AL709" t="s">
        <v>19614</v>
      </c>
      <c r="AM709">
        <v>2782</v>
      </c>
      <c r="AS709">
        <v>0.5</v>
      </c>
      <c r="AT709" t="s">
        <v>269</v>
      </c>
      <c r="AU709" t="s">
        <v>20642</v>
      </c>
    </row>
    <row r="710" spans="1:48">
      <c r="A710" s="1">
        <f>HYPERLINK("https://lsnyc.legalserver.org/matter/dynamic-profile/view/1908092","19-1908092")</f>
        <v>0</v>
      </c>
      <c r="B710" t="s">
        <v>113</v>
      </c>
      <c r="C710" t="s">
        <v>257</v>
      </c>
      <c r="D710" t="s">
        <v>551</v>
      </c>
      <c r="E710" t="s">
        <v>442</v>
      </c>
      <c r="F710" t="s">
        <v>1350</v>
      </c>
      <c r="G710" t="s">
        <v>3419</v>
      </c>
      <c r="H710" t="s">
        <v>6152</v>
      </c>
      <c r="I710" t="s">
        <v>8270</v>
      </c>
      <c r="J710" t="s">
        <v>9065</v>
      </c>
      <c r="K710">
        <v>10453</v>
      </c>
      <c r="L710" t="s">
        <v>9094</v>
      </c>
      <c r="M710" t="s">
        <v>9095</v>
      </c>
      <c r="N710" t="s">
        <v>9442</v>
      </c>
      <c r="O710" t="s">
        <v>11129</v>
      </c>
      <c r="P710" t="s">
        <v>11164</v>
      </c>
      <c r="Q710" t="s">
        <v>11172</v>
      </c>
      <c r="R710" t="s">
        <v>11180</v>
      </c>
      <c r="T710" t="s">
        <v>11183</v>
      </c>
      <c r="V710" t="s">
        <v>295</v>
      </c>
      <c r="W710">
        <v>944</v>
      </c>
      <c r="X710" t="s">
        <v>11333</v>
      </c>
      <c r="Y710" t="s">
        <v>11352</v>
      </c>
      <c r="Z710" t="s">
        <v>11887</v>
      </c>
      <c r="AB710" t="s">
        <v>16350</v>
      </c>
      <c r="AC710">
        <v>40</v>
      </c>
      <c r="AD710" t="s">
        <v>19567</v>
      </c>
      <c r="AF710">
        <v>17</v>
      </c>
      <c r="AG710">
        <v>1</v>
      </c>
      <c r="AH710">
        <v>0</v>
      </c>
      <c r="AI710">
        <v>23.06</v>
      </c>
      <c r="AL710" t="s">
        <v>19615</v>
      </c>
      <c r="AM710">
        <v>2880</v>
      </c>
      <c r="AS710">
        <v>4.6</v>
      </c>
      <c r="AT710" t="s">
        <v>442</v>
      </c>
      <c r="AU710" t="s">
        <v>20640</v>
      </c>
      <c r="AV710" t="s">
        <v>20733</v>
      </c>
    </row>
    <row r="711" spans="1:48">
      <c r="A711" s="1">
        <f>HYPERLINK("https://lsnyc.legalserver.org/matter/dynamic-profile/view/1900864","19-1900864")</f>
        <v>0</v>
      </c>
      <c r="B711" t="s">
        <v>72</v>
      </c>
      <c r="C711" t="s">
        <v>256</v>
      </c>
      <c r="D711" t="s">
        <v>315</v>
      </c>
      <c r="F711" t="s">
        <v>1540</v>
      </c>
      <c r="G711" t="s">
        <v>3706</v>
      </c>
      <c r="H711" t="s">
        <v>6153</v>
      </c>
      <c r="I711" t="s">
        <v>8329</v>
      </c>
      <c r="J711" t="s">
        <v>9059</v>
      </c>
      <c r="K711">
        <v>11233</v>
      </c>
      <c r="L711" t="s">
        <v>9094</v>
      </c>
      <c r="M711" t="s">
        <v>9095</v>
      </c>
      <c r="N711" t="s">
        <v>9443</v>
      </c>
      <c r="O711" t="s">
        <v>11129</v>
      </c>
      <c r="P711" t="s">
        <v>11165</v>
      </c>
      <c r="R711" t="s">
        <v>11180</v>
      </c>
      <c r="S711" t="s">
        <v>9096</v>
      </c>
      <c r="T711" t="s">
        <v>11183</v>
      </c>
      <c r="V711" t="s">
        <v>283</v>
      </c>
      <c r="W711">
        <v>904</v>
      </c>
      <c r="X711" t="s">
        <v>11332</v>
      </c>
      <c r="Y711" t="s">
        <v>11157</v>
      </c>
      <c r="Z711" t="s">
        <v>11888</v>
      </c>
      <c r="AA711" t="s">
        <v>15410</v>
      </c>
      <c r="AB711" t="s">
        <v>16351</v>
      </c>
      <c r="AC711">
        <v>0</v>
      </c>
      <c r="AD711" t="s">
        <v>19566</v>
      </c>
      <c r="AE711" t="s">
        <v>19581</v>
      </c>
      <c r="AF711">
        <v>10</v>
      </c>
      <c r="AG711">
        <v>1</v>
      </c>
      <c r="AH711">
        <v>2</v>
      </c>
      <c r="AI711">
        <v>23.16</v>
      </c>
      <c r="AL711" t="s">
        <v>19614</v>
      </c>
      <c r="AM711">
        <v>4940</v>
      </c>
      <c r="AS711">
        <v>28.8</v>
      </c>
      <c r="AT711" t="s">
        <v>321</v>
      </c>
      <c r="AU711" t="s">
        <v>79</v>
      </c>
      <c r="AV711" t="s">
        <v>20733</v>
      </c>
    </row>
    <row r="712" spans="1:48">
      <c r="A712" s="1">
        <f>HYPERLINK("https://lsnyc.legalserver.org/matter/dynamic-profile/view/1900020","19-1900020")</f>
        <v>0</v>
      </c>
      <c r="B712" t="s">
        <v>104</v>
      </c>
      <c r="C712" t="s">
        <v>257</v>
      </c>
      <c r="D712" t="s">
        <v>293</v>
      </c>
      <c r="E712" t="s">
        <v>663</v>
      </c>
      <c r="F712" t="s">
        <v>1585</v>
      </c>
      <c r="G712" t="s">
        <v>3753</v>
      </c>
      <c r="H712" t="s">
        <v>6154</v>
      </c>
      <c r="I712" t="s">
        <v>8107</v>
      </c>
      <c r="J712" t="s">
        <v>9065</v>
      </c>
      <c r="K712">
        <v>10470</v>
      </c>
      <c r="L712" t="s">
        <v>9094</v>
      </c>
      <c r="M712" t="s">
        <v>9095</v>
      </c>
      <c r="N712" t="s">
        <v>9444</v>
      </c>
      <c r="O712" t="s">
        <v>11128</v>
      </c>
      <c r="P712" t="s">
        <v>11164</v>
      </c>
      <c r="Q712" t="s">
        <v>11172</v>
      </c>
      <c r="R712" t="s">
        <v>11180</v>
      </c>
      <c r="S712" t="s">
        <v>9096</v>
      </c>
      <c r="T712" t="s">
        <v>11183</v>
      </c>
      <c r="U712" t="s">
        <v>11201</v>
      </c>
      <c r="V712" t="s">
        <v>785</v>
      </c>
      <c r="W712">
        <v>1622.55</v>
      </c>
      <c r="X712" t="s">
        <v>11333</v>
      </c>
      <c r="Y712" t="s">
        <v>11338</v>
      </c>
      <c r="Z712" t="s">
        <v>11889</v>
      </c>
      <c r="AB712" t="s">
        <v>16352</v>
      </c>
      <c r="AC712">
        <v>2</v>
      </c>
      <c r="AD712" t="s">
        <v>19565</v>
      </c>
      <c r="AE712" t="s">
        <v>19580</v>
      </c>
      <c r="AF712">
        <v>12</v>
      </c>
      <c r="AG712">
        <v>1</v>
      </c>
      <c r="AH712">
        <v>2</v>
      </c>
      <c r="AI712">
        <v>23.28</v>
      </c>
      <c r="AL712" t="s">
        <v>19614</v>
      </c>
      <c r="AM712">
        <v>4966</v>
      </c>
      <c r="AS712">
        <v>0.8</v>
      </c>
      <c r="AT712" t="s">
        <v>293</v>
      </c>
      <c r="AU712" t="s">
        <v>104</v>
      </c>
      <c r="AV712" t="s">
        <v>20733</v>
      </c>
    </row>
    <row r="713" spans="1:48">
      <c r="A713" s="1">
        <f>HYPERLINK("https://lsnyc.legalserver.org/matter/dynamic-profile/view/1909361","19-1909361")</f>
        <v>0</v>
      </c>
      <c r="B713" t="s">
        <v>54</v>
      </c>
      <c r="C713" t="s">
        <v>257</v>
      </c>
      <c r="D713" t="s">
        <v>297</v>
      </c>
      <c r="E713" t="s">
        <v>1076</v>
      </c>
      <c r="F713" t="s">
        <v>1586</v>
      </c>
      <c r="G713" t="s">
        <v>3754</v>
      </c>
      <c r="H713" t="s">
        <v>6155</v>
      </c>
      <c r="I713" t="s">
        <v>8330</v>
      </c>
      <c r="J713" t="s">
        <v>9047</v>
      </c>
      <c r="K713">
        <v>11412</v>
      </c>
      <c r="L713" t="s">
        <v>9094</v>
      </c>
      <c r="M713" t="s">
        <v>9095</v>
      </c>
      <c r="N713" t="s">
        <v>9445</v>
      </c>
      <c r="O713" t="s">
        <v>11128</v>
      </c>
      <c r="P713" t="s">
        <v>11164</v>
      </c>
      <c r="Q713" t="s">
        <v>11172</v>
      </c>
      <c r="R713" t="s">
        <v>11180</v>
      </c>
      <c r="S713" t="s">
        <v>9096</v>
      </c>
      <c r="T713" t="s">
        <v>11183</v>
      </c>
      <c r="U713" t="s">
        <v>11199</v>
      </c>
      <c r="V713" t="s">
        <v>1076</v>
      </c>
      <c r="W713">
        <v>1515</v>
      </c>
      <c r="X713" t="s">
        <v>11331</v>
      </c>
      <c r="Y713" t="s">
        <v>11336</v>
      </c>
      <c r="Z713" t="s">
        <v>11890</v>
      </c>
      <c r="AA713" t="s">
        <v>15411</v>
      </c>
      <c r="AB713" t="s">
        <v>16353</v>
      </c>
      <c r="AC713">
        <v>2</v>
      </c>
      <c r="AE713" t="s">
        <v>19581</v>
      </c>
      <c r="AF713">
        <v>1</v>
      </c>
      <c r="AG713">
        <v>1</v>
      </c>
      <c r="AH713">
        <v>3</v>
      </c>
      <c r="AI713">
        <v>23.3</v>
      </c>
      <c r="AL713" t="s">
        <v>19614</v>
      </c>
      <c r="AM713">
        <v>6000</v>
      </c>
      <c r="AS713">
        <v>1.1</v>
      </c>
      <c r="AT713" t="s">
        <v>444</v>
      </c>
      <c r="AU713" t="s">
        <v>153</v>
      </c>
      <c r="AV713" t="s">
        <v>20733</v>
      </c>
    </row>
    <row r="714" spans="1:48">
      <c r="A714" s="1">
        <f>HYPERLINK("https://lsnyc.legalserver.org/matter/dynamic-profile/view/1912767","19-1912767")</f>
        <v>0</v>
      </c>
      <c r="B714" t="s">
        <v>142</v>
      </c>
      <c r="C714" t="s">
        <v>256</v>
      </c>
      <c r="D714" t="s">
        <v>563</v>
      </c>
      <c r="F714" t="s">
        <v>1587</v>
      </c>
      <c r="G714" t="s">
        <v>3448</v>
      </c>
      <c r="H714" t="s">
        <v>6156</v>
      </c>
      <c r="I714" t="s">
        <v>8171</v>
      </c>
      <c r="J714" t="s">
        <v>9067</v>
      </c>
      <c r="K714">
        <v>10035</v>
      </c>
      <c r="L714" t="s">
        <v>9094</v>
      </c>
      <c r="M714" t="s">
        <v>9095</v>
      </c>
      <c r="O714" t="s">
        <v>9121</v>
      </c>
      <c r="P714" t="s">
        <v>11164</v>
      </c>
      <c r="R714" t="s">
        <v>11180</v>
      </c>
      <c r="S714" t="s">
        <v>9096</v>
      </c>
      <c r="T714" t="s">
        <v>11183</v>
      </c>
      <c r="U714" t="s">
        <v>11201</v>
      </c>
      <c r="V714" t="s">
        <v>806</v>
      </c>
      <c r="W714">
        <v>310</v>
      </c>
      <c r="X714" t="s">
        <v>11335</v>
      </c>
      <c r="Y714" t="s">
        <v>11339</v>
      </c>
      <c r="Z714" t="s">
        <v>11891</v>
      </c>
      <c r="AB714" t="s">
        <v>16354</v>
      </c>
      <c r="AC714">
        <v>0</v>
      </c>
      <c r="AD714" t="s">
        <v>15441</v>
      </c>
      <c r="AE714" t="s">
        <v>9144</v>
      </c>
      <c r="AF714">
        <v>1</v>
      </c>
      <c r="AG714">
        <v>1</v>
      </c>
      <c r="AH714">
        <v>3</v>
      </c>
      <c r="AI714">
        <v>23.3</v>
      </c>
      <c r="AL714" t="s">
        <v>19614</v>
      </c>
      <c r="AM714">
        <v>6000</v>
      </c>
      <c r="AS714">
        <v>0</v>
      </c>
      <c r="AU714" t="s">
        <v>20657</v>
      </c>
      <c r="AV714" t="s">
        <v>20733</v>
      </c>
    </row>
    <row r="715" spans="1:48">
      <c r="A715" s="1">
        <f>HYPERLINK("https://lsnyc.legalserver.org/matter/dynamic-profile/view/1875314","18-1875314")</f>
        <v>0</v>
      </c>
      <c r="B715" t="s">
        <v>64</v>
      </c>
      <c r="C715" t="s">
        <v>257</v>
      </c>
      <c r="D715" t="s">
        <v>547</v>
      </c>
      <c r="E715" t="s">
        <v>806</v>
      </c>
      <c r="F715" t="s">
        <v>1588</v>
      </c>
      <c r="G715" t="s">
        <v>3755</v>
      </c>
      <c r="H715" t="s">
        <v>6157</v>
      </c>
      <c r="I715">
        <v>2</v>
      </c>
      <c r="J715" t="s">
        <v>9059</v>
      </c>
      <c r="K715">
        <v>11208</v>
      </c>
      <c r="L715" t="s">
        <v>9094</v>
      </c>
      <c r="M715" t="s">
        <v>9094</v>
      </c>
      <c r="N715" t="s">
        <v>9446</v>
      </c>
      <c r="O715" t="s">
        <v>11129</v>
      </c>
      <c r="P715" t="s">
        <v>11165</v>
      </c>
      <c r="Q715" t="s">
        <v>11174</v>
      </c>
      <c r="R715" t="s">
        <v>11181</v>
      </c>
      <c r="S715" t="s">
        <v>9096</v>
      </c>
      <c r="T715" t="s">
        <v>11183</v>
      </c>
      <c r="V715" t="s">
        <v>547</v>
      </c>
      <c r="W715">
        <v>1956</v>
      </c>
      <c r="X715" t="s">
        <v>11332</v>
      </c>
      <c r="Y715" t="s">
        <v>11337</v>
      </c>
      <c r="Z715" t="s">
        <v>11892</v>
      </c>
      <c r="AA715" t="s">
        <v>15412</v>
      </c>
      <c r="AB715" t="s">
        <v>16355</v>
      </c>
      <c r="AC715">
        <v>2</v>
      </c>
      <c r="AD715" t="s">
        <v>19565</v>
      </c>
      <c r="AE715" t="s">
        <v>19582</v>
      </c>
      <c r="AF715">
        <v>-2</v>
      </c>
      <c r="AG715">
        <v>1</v>
      </c>
      <c r="AH715">
        <v>3</v>
      </c>
      <c r="AI715">
        <v>23.31</v>
      </c>
      <c r="AJ715" t="s">
        <v>19591</v>
      </c>
      <c r="AK715" t="s">
        <v>19608</v>
      </c>
      <c r="AL715" t="s">
        <v>19615</v>
      </c>
      <c r="AM715">
        <v>5850</v>
      </c>
      <c r="AN715" t="s">
        <v>19727</v>
      </c>
      <c r="AQ715" t="s">
        <v>20368</v>
      </c>
      <c r="AR715" t="s">
        <v>20413</v>
      </c>
      <c r="AS715">
        <v>14.55</v>
      </c>
      <c r="AT715" t="s">
        <v>622</v>
      </c>
      <c r="AU715" t="s">
        <v>20630</v>
      </c>
    </row>
    <row r="716" spans="1:48">
      <c r="A716" s="1">
        <f>HYPERLINK("https://lsnyc.legalserver.org/matter/dynamic-profile/view/1888949","19-1888949")</f>
        <v>0</v>
      </c>
      <c r="B716" t="s">
        <v>118</v>
      </c>
      <c r="C716" t="s">
        <v>256</v>
      </c>
      <c r="D716" t="s">
        <v>616</v>
      </c>
      <c r="F716" t="s">
        <v>1212</v>
      </c>
      <c r="G716" t="s">
        <v>3756</v>
      </c>
      <c r="H716" t="s">
        <v>6158</v>
      </c>
      <c r="I716" t="s">
        <v>8288</v>
      </c>
      <c r="J716" t="s">
        <v>9065</v>
      </c>
      <c r="K716">
        <v>10452</v>
      </c>
      <c r="L716" t="s">
        <v>9094</v>
      </c>
      <c r="M716" t="s">
        <v>9094</v>
      </c>
      <c r="N716" t="s">
        <v>9447</v>
      </c>
      <c r="O716" t="s">
        <v>11132</v>
      </c>
      <c r="P716" t="s">
        <v>11165</v>
      </c>
      <c r="R716" t="s">
        <v>11180</v>
      </c>
      <c r="S716" t="s">
        <v>9094</v>
      </c>
      <c r="T716" t="s">
        <v>11183</v>
      </c>
      <c r="V716" t="s">
        <v>11218</v>
      </c>
      <c r="W716">
        <v>1377.86</v>
      </c>
      <c r="X716" t="s">
        <v>11333</v>
      </c>
      <c r="Y716" t="s">
        <v>11346</v>
      </c>
      <c r="Z716" t="s">
        <v>11893</v>
      </c>
      <c r="AB716" t="s">
        <v>16356</v>
      </c>
      <c r="AC716">
        <v>0</v>
      </c>
      <c r="AD716" t="s">
        <v>19566</v>
      </c>
      <c r="AE716" t="s">
        <v>19580</v>
      </c>
      <c r="AF716">
        <v>11</v>
      </c>
      <c r="AG716">
        <v>2</v>
      </c>
      <c r="AH716">
        <v>1</v>
      </c>
      <c r="AI716">
        <v>23.57</v>
      </c>
      <c r="AL716" t="s">
        <v>19614</v>
      </c>
      <c r="AM716">
        <v>5028</v>
      </c>
      <c r="AS716">
        <v>0.6</v>
      </c>
      <c r="AT716" t="s">
        <v>413</v>
      </c>
      <c r="AU716" t="s">
        <v>174</v>
      </c>
      <c r="AV716" t="s">
        <v>20733</v>
      </c>
    </row>
    <row r="717" spans="1:48">
      <c r="A717" s="1">
        <f>HYPERLINK("https://lsnyc.legalserver.org/matter/dynamic-profile/view/1915385","19-1915385")</f>
        <v>0</v>
      </c>
      <c r="B717" t="s">
        <v>71</v>
      </c>
      <c r="C717" t="s">
        <v>256</v>
      </c>
      <c r="D717" t="s">
        <v>487</v>
      </c>
      <c r="F717" t="s">
        <v>1589</v>
      </c>
      <c r="G717" t="s">
        <v>3398</v>
      </c>
      <c r="H717" t="s">
        <v>6159</v>
      </c>
      <c r="I717" t="s">
        <v>8273</v>
      </c>
      <c r="J717" t="s">
        <v>9059</v>
      </c>
      <c r="K717">
        <v>11233</v>
      </c>
      <c r="L717" t="s">
        <v>9094</v>
      </c>
      <c r="M717" t="s">
        <v>9095</v>
      </c>
      <c r="N717" t="s">
        <v>9448</v>
      </c>
      <c r="O717" t="s">
        <v>11129</v>
      </c>
      <c r="P717" t="s">
        <v>11169</v>
      </c>
      <c r="R717" t="s">
        <v>11180</v>
      </c>
      <c r="S717" t="s">
        <v>9096</v>
      </c>
      <c r="T717" t="s">
        <v>11183</v>
      </c>
      <c r="V717" t="s">
        <v>487</v>
      </c>
      <c r="W717">
        <v>368</v>
      </c>
      <c r="X717" t="s">
        <v>11332</v>
      </c>
      <c r="Y717" t="s">
        <v>11157</v>
      </c>
      <c r="Z717" t="s">
        <v>11894</v>
      </c>
      <c r="AB717" t="s">
        <v>16357</v>
      </c>
      <c r="AC717">
        <v>0</v>
      </c>
      <c r="AD717" t="s">
        <v>19575</v>
      </c>
      <c r="AE717" t="s">
        <v>9144</v>
      </c>
      <c r="AF717">
        <v>5</v>
      </c>
      <c r="AG717">
        <v>1</v>
      </c>
      <c r="AH717">
        <v>2</v>
      </c>
      <c r="AI717">
        <v>23.65</v>
      </c>
      <c r="AL717" t="s">
        <v>19614</v>
      </c>
      <c r="AM717">
        <v>5044</v>
      </c>
      <c r="AS717">
        <v>0</v>
      </c>
      <c r="AU717" t="s">
        <v>79</v>
      </c>
      <c r="AV717" t="s">
        <v>20733</v>
      </c>
    </row>
    <row r="718" spans="1:48">
      <c r="A718" s="1">
        <f>HYPERLINK("https://lsnyc.legalserver.org/matter/dynamic-profile/view/1897598","19-1897598")</f>
        <v>0</v>
      </c>
      <c r="B718" t="s">
        <v>69</v>
      </c>
      <c r="C718" t="s">
        <v>257</v>
      </c>
      <c r="D718" t="s">
        <v>617</v>
      </c>
      <c r="E718" t="s">
        <v>736</v>
      </c>
      <c r="F718" t="s">
        <v>1590</v>
      </c>
      <c r="G718" t="s">
        <v>3757</v>
      </c>
      <c r="H718" t="s">
        <v>6160</v>
      </c>
      <c r="I718" t="s">
        <v>8331</v>
      </c>
      <c r="J718" t="s">
        <v>9059</v>
      </c>
      <c r="K718">
        <v>11212</v>
      </c>
      <c r="L718" t="s">
        <v>9094</v>
      </c>
      <c r="M718" t="s">
        <v>9094</v>
      </c>
      <c r="N718" t="s">
        <v>9449</v>
      </c>
      <c r="O718" t="s">
        <v>11139</v>
      </c>
      <c r="P718" t="s">
        <v>11168</v>
      </c>
      <c r="Q718" t="s">
        <v>11177</v>
      </c>
      <c r="R718" t="s">
        <v>11180</v>
      </c>
      <c r="S718" t="s">
        <v>9096</v>
      </c>
      <c r="T718" t="s">
        <v>11184</v>
      </c>
      <c r="U718" t="s">
        <v>11198</v>
      </c>
      <c r="V718" t="s">
        <v>454</v>
      </c>
      <c r="W718">
        <v>911</v>
      </c>
      <c r="X718" t="s">
        <v>11332</v>
      </c>
      <c r="Y718" t="s">
        <v>11336</v>
      </c>
      <c r="Z718" t="s">
        <v>11895</v>
      </c>
      <c r="AA718" t="s">
        <v>15413</v>
      </c>
      <c r="AB718" t="s">
        <v>16358</v>
      </c>
      <c r="AC718">
        <v>0</v>
      </c>
      <c r="AD718" t="s">
        <v>19566</v>
      </c>
      <c r="AE718" t="s">
        <v>19582</v>
      </c>
      <c r="AF718">
        <v>9</v>
      </c>
      <c r="AG718">
        <v>1</v>
      </c>
      <c r="AH718">
        <v>2</v>
      </c>
      <c r="AI718">
        <v>23.65</v>
      </c>
      <c r="AL718" t="s">
        <v>19614</v>
      </c>
      <c r="AM718">
        <v>5044</v>
      </c>
      <c r="AS718">
        <v>2.75</v>
      </c>
      <c r="AT718" t="s">
        <v>265</v>
      </c>
      <c r="AU718" t="s">
        <v>79</v>
      </c>
    </row>
    <row r="719" spans="1:48">
      <c r="A719" s="1">
        <f>HYPERLINK("https://lsnyc.legalserver.org/matter/dynamic-profile/view/1899916","19-1899916")</f>
        <v>0</v>
      </c>
      <c r="B719" t="s">
        <v>165</v>
      </c>
      <c r="C719" t="s">
        <v>257</v>
      </c>
      <c r="D719" t="s">
        <v>411</v>
      </c>
      <c r="E719" t="s">
        <v>457</v>
      </c>
      <c r="F719" t="s">
        <v>1590</v>
      </c>
      <c r="G719" t="s">
        <v>3757</v>
      </c>
      <c r="H719" t="s">
        <v>6160</v>
      </c>
      <c r="I719" t="s">
        <v>8331</v>
      </c>
      <c r="J719" t="s">
        <v>9059</v>
      </c>
      <c r="K719">
        <v>11212</v>
      </c>
      <c r="L719" t="s">
        <v>9094</v>
      </c>
      <c r="M719" t="s">
        <v>9095</v>
      </c>
      <c r="N719" t="s">
        <v>9102</v>
      </c>
      <c r="O719" t="s">
        <v>11136</v>
      </c>
      <c r="P719" t="s">
        <v>11164</v>
      </c>
      <c r="Q719" t="s">
        <v>11172</v>
      </c>
      <c r="R719" t="s">
        <v>11180</v>
      </c>
      <c r="S719" t="s">
        <v>11182</v>
      </c>
      <c r="T719" t="s">
        <v>11183</v>
      </c>
      <c r="U719" t="s">
        <v>11201</v>
      </c>
      <c r="V719" t="s">
        <v>411</v>
      </c>
      <c r="W719">
        <v>911</v>
      </c>
      <c r="X719" t="s">
        <v>11332</v>
      </c>
      <c r="Y719" t="s">
        <v>11336</v>
      </c>
      <c r="Z719" t="s">
        <v>11895</v>
      </c>
      <c r="AB719" t="s">
        <v>16358</v>
      </c>
      <c r="AC719">
        <v>0</v>
      </c>
      <c r="AD719" t="s">
        <v>19566</v>
      </c>
      <c r="AF719">
        <v>9</v>
      </c>
      <c r="AG719">
        <v>1</v>
      </c>
      <c r="AH719">
        <v>2</v>
      </c>
      <c r="AI719">
        <v>23.65</v>
      </c>
      <c r="AL719" t="s">
        <v>19614</v>
      </c>
      <c r="AM719">
        <v>5044</v>
      </c>
      <c r="AS719">
        <v>1.1</v>
      </c>
      <c r="AT719" t="s">
        <v>315</v>
      </c>
      <c r="AU719" t="s">
        <v>95</v>
      </c>
      <c r="AV719" t="s">
        <v>20733</v>
      </c>
    </row>
    <row r="720" spans="1:48">
      <c r="A720" s="1">
        <f>HYPERLINK("https://lsnyc.legalserver.org/matter/dynamic-profile/view/1894669","19-1894669")</f>
        <v>0</v>
      </c>
      <c r="B720" t="s">
        <v>165</v>
      </c>
      <c r="C720" t="s">
        <v>257</v>
      </c>
      <c r="D720" t="s">
        <v>502</v>
      </c>
      <c r="E720" t="s">
        <v>864</v>
      </c>
      <c r="F720" t="s">
        <v>1591</v>
      </c>
      <c r="G720" t="s">
        <v>3411</v>
      </c>
      <c r="H720" t="s">
        <v>6161</v>
      </c>
      <c r="I720">
        <v>3</v>
      </c>
      <c r="J720" t="s">
        <v>9059</v>
      </c>
      <c r="K720">
        <v>11208</v>
      </c>
      <c r="L720" t="s">
        <v>9094</v>
      </c>
      <c r="M720" t="s">
        <v>9094</v>
      </c>
      <c r="N720" t="s">
        <v>9450</v>
      </c>
      <c r="O720" t="s">
        <v>11128</v>
      </c>
      <c r="P720" t="s">
        <v>11167</v>
      </c>
      <c r="Q720" t="s">
        <v>11173</v>
      </c>
      <c r="R720" t="s">
        <v>11180</v>
      </c>
      <c r="S720" t="s">
        <v>9096</v>
      </c>
      <c r="T720" t="s">
        <v>11183</v>
      </c>
      <c r="U720" t="s">
        <v>11201</v>
      </c>
      <c r="V720" t="s">
        <v>635</v>
      </c>
      <c r="W720">
        <v>1515</v>
      </c>
      <c r="X720" t="s">
        <v>11332</v>
      </c>
      <c r="Y720" t="s">
        <v>11345</v>
      </c>
      <c r="Z720" t="s">
        <v>11896</v>
      </c>
      <c r="AA720" t="s">
        <v>15414</v>
      </c>
      <c r="AB720" t="s">
        <v>16359</v>
      </c>
      <c r="AC720">
        <v>3</v>
      </c>
      <c r="AD720" t="s">
        <v>19565</v>
      </c>
      <c r="AE720" t="s">
        <v>19581</v>
      </c>
      <c r="AF720">
        <v>1</v>
      </c>
      <c r="AG720">
        <v>2</v>
      </c>
      <c r="AH720">
        <v>1</v>
      </c>
      <c r="AI720">
        <v>23.65</v>
      </c>
      <c r="AL720" t="s">
        <v>19614</v>
      </c>
      <c r="AM720">
        <v>5044</v>
      </c>
      <c r="AS720">
        <v>3.3</v>
      </c>
      <c r="AT720" t="s">
        <v>864</v>
      </c>
      <c r="AU720" t="s">
        <v>95</v>
      </c>
    </row>
    <row r="721" spans="1:48">
      <c r="A721" s="1">
        <f>HYPERLINK("https://lsnyc.legalserver.org/matter/dynamic-profile/view/1899862","19-1899862")</f>
        <v>0</v>
      </c>
      <c r="B721" t="s">
        <v>113</v>
      </c>
      <c r="C721" t="s">
        <v>256</v>
      </c>
      <c r="D721" t="s">
        <v>411</v>
      </c>
      <c r="F721" t="s">
        <v>1293</v>
      </c>
      <c r="G721" t="s">
        <v>3758</v>
      </c>
      <c r="H721" t="s">
        <v>5864</v>
      </c>
      <c r="I721" t="s">
        <v>8332</v>
      </c>
      <c r="J721" t="s">
        <v>9065</v>
      </c>
      <c r="K721">
        <v>10460</v>
      </c>
      <c r="L721" t="s">
        <v>9094</v>
      </c>
      <c r="M721" t="s">
        <v>9095</v>
      </c>
      <c r="N721" t="s">
        <v>9171</v>
      </c>
      <c r="O721" t="s">
        <v>9121</v>
      </c>
      <c r="P721" t="s">
        <v>11166</v>
      </c>
      <c r="R721" t="s">
        <v>11180</v>
      </c>
      <c r="S721" t="s">
        <v>9094</v>
      </c>
      <c r="T721" t="s">
        <v>11183</v>
      </c>
      <c r="V721" t="s">
        <v>11218</v>
      </c>
      <c r="W721">
        <v>400</v>
      </c>
      <c r="X721" t="s">
        <v>11333</v>
      </c>
      <c r="Y721" t="s">
        <v>11346</v>
      </c>
      <c r="Z721" t="s">
        <v>11897</v>
      </c>
      <c r="AB721" t="s">
        <v>16360</v>
      </c>
      <c r="AC721">
        <v>169</v>
      </c>
      <c r="AD721" t="s">
        <v>19566</v>
      </c>
      <c r="AE721" t="s">
        <v>19580</v>
      </c>
      <c r="AF721">
        <v>8</v>
      </c>
      <c r="AG721">
        <v>1</v>
      </c>
      <c r="AH721">
        <v>2</v>
      </c>
      <c r="AI721">
        <v>23.65</v>
      </c>
      <c r="AL721" t="s">
        <v>19614</v>
      </c>
      <c r="AM721">
        <v>5044</v>
      </c>
      <c r="AS721">
        <v>0</v>
      </c>
      <c r="AU721" t="s">
        <v>163</v>
      </c>
      <c r="AV721" t="s">
        <v>20733</v>
      </c>
    </row>
    <row r="722" spans="1:48">
      <c r="A722" s="1">
        <f>HYPERLINK("https://lsnyc.legalserver.org/matter/dynamic-profile/view/1868495","18-1868495")</f>
        <v>0</v>
      </c>
      <c r="B722" t="s">
        <v>111</v>
      </c>
      <c r="C722" t="s">
        <v>256</v>
      </c>
      <c r="D722" t="s">
        <v>618</v>
      </c>
      <c r="F722" t="s">
        <v>1276</v>
      </c>
      <c r="G722" t="s">
        <v>3720</v>
      </c>
      <c r="H722" t="s">
        <v>5895</v>
      </c>
      <c r="I722" t="s">
        <v>8333</v>
      </c>
      <c r="J722" t="s">
        <v>9065</v>
      </c>
      <c r="K722">
        <v>10453</v>
      </c>
      <c r="L722" t="s">
        <v>9094</v>
      </c>
      <c r="M722" t="s">
        <v>9095</v>
      </c>
      <c r="N722" t="s">
        <v>9451</v>
      </c>
      <c r="O722" t="s">
        <v>11129</v>
      </c>
      <c r="P722" t="s">
        <v>11165</v>
      </c>
      <c r="R722" t="s">
        <v>11180</v>
      </c>
      <c r="S722" t="s">
        <v>9096</v>
      </c>
      <c r="T722" t="s">
        <v>11183</v>
      </c>
      <c r="V722" t="s">
        <v>675</v>
      </c>
      <c r="W722">
        <v>1613.9</v>
      </c>
      <c r="X722" t="s">
        <v>11333</v>
      </c>
      <c r="Y722" t="s">
        <v>11336</v>
      </c>
      <c r="Z722" t="s">
        <v>11898</v>
      </c>
      <c r="AA722" t="s">
        <v>15415</v>
      </c>
      <c r="AC722">
        <v>40</v>
      </c>
      <c r="AD722" t="s">
        <v>19566</v>
      </c>
      <c r="AE722" t="s">
        <v>19586</v>
      </c>
      <c r="AF722">
        <v>3</v>
      </c>
      <c r="AG722">
        <v>2</v>
      </c>
      <c r="AH722">
        <v>2</v>
      </c>
      <c r="AI722">
        <v>23.65</v>
      </c>
      <c r="AL722" t="s">
        <v>19614</v>
      </c>
      <c r="AM722">
        <v>5936</v>
      </c>
      <c r="AS722">
        <v>80.45</v>
      </c>
      <c r="AT722" t="s">
        <v>298</v>
      </c>
      <c r="AU722" t="s">
        <v>111</v>
      </c>
    </row>
    <row r="723" spans="1:48">
      <c r="A723" s="1">
        <f>HYPERLINK("https://lsnyc.legalserver.org/matter/dynamic-profile/view/1864623","18-1864623")</f>
        <v>0</v>
      </c>
      <c r="B723" t="s">
        <v>100</v>
      </c>
      <c r="C723" t="s">
        <v>256</v>
      </c>
      <c r="D723" t="s">
        <v>619</v>
      </c>
      <c r="F723" t="s">
        <v>1592</v>
      </c>
      <c r="G723" t="s">
        <v>3364</v>
      </c>
      <c r="H723" t="s">
        <v>6162</v>
      </c>
      <c r="I723" t="s">
        <v>8169</v>
      </c>
      <c r="J723" t="s">
        <v>9065</v>
      </c>
      <c r="K723">
        <v>10460</v>
      </c>
      <c r="L723" t="s">
        <v>9094</v>
      </c>
      <c r="M723" t="s">
        <v>9095</v>
      </c>
      <c r="N723" t="s">
        <v>9452</v>
      </c>
      <c r="O723" t="s">
        <v>11128</v>
      </c>
      <c r="P723" t="s">
        <v>11165</v>
      </c>
      <c r="R723" t="s">
        <v>11180</v>
      </c>
      <c r="S723" t="s">
        <v>9096</v>
      </c>
      <c r="T723" t="s">
        <v>11183</v>
      </c>
      <c r="V723" t="s">
        <v>11238</v>
      </c>
      <c r="W723">
        <v>1013</v>
      </c>
      <c r="X723" t="s">
        <v>11333</v>
      </c>
      <c r="Y723" t="s">
        <v>11349</v>
      </c>
      <c r="Z723" t="s">
        <v>11899</v>
      </c>
      <c r="AA723" t="s">
        <v>15416</v>
      </c>
      <c r="AB723" t="s">
        <v>16361</v>
      </c>
      <c r="AC723">
        <v>0</v>
      </c>
      <c r="AD723" t="s">
        <v>19566</v>
      </c>
      <c r="AE723" t="s">
        <v>19582</v>
      </c>
      <c r="AF723">
        <v>4</v>
      </c>
      <c r="AG723">
        <v>1</v>
      </c>
      <c r="AH723">
        <v>1</v>
      </c>
      <c r="AI723">
        <v>23.69</v>
      </c>
      <c r="AL723" t="s">
        <v>19614</v>
      </c>
      <c r="AM723">
        <v>3900</v>
      </c>
      <c r="AN723" t="s">
        <v>19699</v>
      </c>
      <c r="AS723">
        <v>17.75</v>
      </c>
      <c r="AT723" t="s">
        <v>427</v>
      </c>
      <c r="AU723" t="s">
        <v>247</v>
      </c>
    </row>
    <row r="724" spans="1:48">
      <c r="A724" s="1">
        <f>HYPERLINK("https://lsnyc.legalserver.org/matter/dynamic-profile/view/1872303","18-1872303")</f>
        <v>0</v>
      </c>
      <c r="B724" t="s">
        <v>62</v>
      </c>
      <c r="C724" t="s">
        <v>256</v>
      </c>
      <c r="D724" t="s">
        <v>620</v>
      </c>
      <c r="F724" t="s">
        <v>1274</v>
      </c>
      <c r="G724" t="s">
        <v>3339</v>
      </c>
      <c r="H724" t="s">
        <v>5698</v>
      </c>
      <c r="I724" t="s">
        <v>8193</v>
      </c>
      <c r="J724" t="s">
        <v>9038</v>
      </c>
      <c r="K724">
        <v>11691</v>
      </c>
      <c r="L724" t="s">
        <v>9094</v>
      </c>
      <c r="M724" t="s">
        <v>9094</v>
      </c>
      <c r="N724" t="s">
        <v>9453</v>
      </c>
      <c r="O724" t="s">
        <v>11128</v>
      </c>
      <c r="P724" t="s">
        <v>11165</v>
      </c>
      <c r="R724" t="s">
        <v>11180</v>
      </c>
      <c r="S724" t="s">
        <v>9096</v>
      </c>
      <c r="T724" t="s">
        <v>11183</v>
      </c>
      <c r="U724" t="s">
        <v>11201</v>
      </c>
      <c r="V724" t="s">
        <v>620</v>
      </c>
      <c r="W724">
        <v>380</v>
      </c>
      <c r="X724" t="s">
        <v>11331</v>
      </c>
      <c r="Y724" t="s">
        <v>11340</v>
      </c>
      <c r="Z724" t="s">
        <v>11900</v>
      </c>
      <c r="AA724" t="s">
        <v>15417</v>
      </c>
      <c r="AB724" t="s">
        <v>16362</v>
      </c>
      <c r="AC724">
        <v>231</v>
      </c>
      <c r="AD724" t="s">
        <v>19568</v>
      </c>
      <c r="AE724" t="s">
        <v>9144</v>
      </c>
      <c r="AF724">
        <v>19</v>
      </c>
      <c r="AG724">
        <v>3</v>
      </c>
      <c r="AH724">
        <v>0</v>
      </c>
      <c r="AI724">
        <v>23.77</v>
      </c>
      <c r="AL724" t="s">
        <v>19614</v>
      </c>
      <c r="AM724">
        <v>4940</v>
      </c>
      <c r="AS724">
        <v>17.96</v>
      </c>
      <c r="AT724" t="s">
        <v>833</v>
      </c>
      <c r="AU724" t="s">
        <v>20620</v>
      </c>
    </row>
    <row r="725" spans="1:48">
      <c r="A725" s="1">
        <f>HYPERLINK("https://lsnyc.legalserver.org/matter/dynamic-profile/view/1905892","19-1905892")</f>
        <v>0</v>
      </c>
      <c r="B725" t="s">
        <v>111</v>
      </c>
      <c r="C725" t="s">
        <v>257</v>
      </c>
      <c r="D725" t="s">
        <v>426</v>
      </c>
      <c r="E725" t="s">
        <v>1135</v>
      </c>
      <c r="F725" t="s">
        <v>1197</v>
      </c>
      <c r="G725" t="s">
        <v>3624</v>
      </c>
      <c r="H725" t="s">
        <v>6163</v>
      </c>
      <c r="I725" t="s">
        <v>8170</v>
      </c>
      <c r="J725" t="s">
        <v>9065</v>
      </c>
      <c r="K725">
        <v>10452</v>
      </c>
      <c r="L725" t="s">
        <v>9094</v>
      </c>
      <c r="M725" t="s">
        <v>9095</v>
      </c>
      <c r="P725" t="s">
        <v>11164</v>
      </c>
      <c r="Q725" t="s">
        <v>11172</v>
      </c>
      <c r="R725" t="s">
        <v>11180</v>
      </c>
      <c r="S725" t="s">
        <v>9096</v>
      </c>
      <c r="T725" t="s">
        <v>11183</v>
      </c>
      <c r="U725" t="s">
        <v>11201</v>
      </c>
      <c r="W725">
        <v>1557</v>
      </c>
      <c r="X725" t="s">
        <v>11333</v>
      </c>
      <c r="Y725" t="s">
        <v>11340</v>
      </c>
      <c r="Z725" t="s">
        <v>11901</v>
      </c>
      <c r="AB725" t="s">
        <v>16363</v>
      </c>
      <c r="AC725">
        <v>18</v>
      </c>
      <c r="AD725" t="s">
        <v>19567</v>
      </c>
      <c r="AE725" t="s">
        <v>9144</v>
      </c>
      <c r="AF725">
        <v>10</v>
      </c>
      <c r="AG725">
        <v>1</v>
      </c>
      <c r="AH725">
        <v>0</v>
      </c>
      <c r="AI725">
        <v>23.83</v>
      </c>
      <c r="AL725" t="s">
        <v>19614</v>
      </c>
      <c r="AM725">
        <v>2976</v>
      </c>
      <c r="AS725">
        <v>0.01</v>
      </c>
      <c r="AT725" t="s">
        <v>1135</v>
      </c>
      <c r="AU725" t="s">
        <v>20642</v>
      </c>
      <c r="AV725" t="s">
        <v>20733</v>
      </c>
    </row>
    <row r="726" spans="1:48">
      <c r="A726" s="1">
        <f>HYPERLINK("https://lsnyc.legalserver.org/matter/dynamic-profile/view/1905377","19-1905377")</f>
        <v>0</v>
      </c>
      <c r="B726" t="s">
        <v>59</v>
      </c>
      <c r="C726" t="s">
        <v>257</v>
      </c>
      <c r="D726" t="s">
        <v>621</v>
      </c>
      <c r="E726" t="s">
        <v>1136</v>
      </c>
      <c r="F726" t="s">
        <v>1593</v>
      </c>
      <c r="G726" t="s">
        <v>3448</v>
      </c>
      <c r="H726" t="s">
        <v>6164</v>
      </c>
      <c r="I726" t="s">
        <v>8107</v>
      </c>
      <c r="J726" t="s">
        <v>9043</v>
      </c>
      <c r="K726">
        <v>11420</v>
      </c>
      <c r="L726" t="s">
        <v>9094</v>
      </c>
      <c r="M726" t="s">
        <v>9095</v>
      </c>
      <c r="N726" t="s">
        <v>9454</v>
      </c>
      <c r="O726" t="s">
        <v>11128</v>
      </c>
      <c r="P726" t="s">
        <v>11164</v>
      </c>
      <c r="Q726" t="s">
        <v>11172</v>
      </c>
      <c r="R726" t="s">
        <v>11180</v>
      </c>
      <c r="S726" t="s">
        <v>9096</v>
      </c>
      <c r="T726" t="s">
        <v>11183</v>
      </c>
      <c r="U726" t="s">
        <v>11202</v>
      </c>
      <c r="V726" t="s">
        <v>621</v>
      </c>
      <c r="W726">
        <v>2000</v>
      </c>
      <c r="X726" t="s">
        <v>11331</v>
      </c>
      <c r="Y726" t="s">
        <v>11336</v>
      </c>
      <c r="Z726" t="s">
        <v>11902</v>
      </c>
      <c r="AA726" t="s">
        <v>15418</v>
      </c>
      <c r="AB726" t="s">
        <v>16364</v>
      </c>
      <c r="AC726">
        <v>1</v>
      </c>
      <c r="AD726" t="s">
        <v>19565</v>
      </c>
      <c r="AE726" t="s">
        <v>11157</v>
      </c>
      <c r="AF726">
        <v>1</v>
      </c>
      <c r="AG726">
        <v>2</v>
      </c>
      <c r="AH726">
        <v>3</v>
      </c>
      <c r="AI726">
        <v>23.86</v>
      </c>
      <c r="AL726" t="s">
        <v>19614</v>
      </c>
      <c r="AM726">
        <v>7200</v>
      </c>
      <c r="AS726">
        <v>2.5</v>
      </c>
      <c r="AT726" t="s">
        <v>292</v>
      </c>
      <c r="AU726" t="s">
        <v>57</v>
      </c>
      <c r="AV726" t="s">
        <v>20733</v>
      </c>
    </row>
    <row r="727" spans="1:48">
      <c r="A727" s="1">
        <f>HYPERLINK("https://lsnyc.legalserver.org/matter/dynamic-profile/view/1902787","19-1902787")</f>
        <v>0</v>
      </c>
      <c r="B727" t="s">
        <v>129</v>
      </c>
      <c r="C727" t="s">
        <v>257</v>
      </c>
      <c r="D727" t="s">
        <v>279</v>
      </c>
      <c r="E727" t="s">
        <v>370</v>
      </c>
      <c r="F727" t="s">
        <v>1594</v>
      </c>
      <c r="G727" t="s">
        <v>3759</v>
      </c>
      <c r="H727" t="s">
        <v>6165</v>
      </c>
      <c r="I727" t="s">
        <v>8107</v>
      </c>
      <c r="J727" t="s">
        <v>9066</v>
      </c>
      <c r="K727">
        <v>10305</v>
      </c>
      <c r="L727" t="s">
        <v>9094</v>
      </c>
      <c r="M727" t="s">
        <v>9095</v>
      </c>
      <c r="O727" t="s">
        <v>9121</v>
      </c>
      <c r="P727" t="s">
        <v>11164</v>
      </c>
      <c r="Q727" t="s">
        <v>11172</v>
      </c>
      <c r="R727" t="s">
        <v>11181</v>
      </c>
      <c r="S727" t="s">
        <v>9096</v>
      </c>
      <c r="T727" t="s">
        <v>11189</v>
      </c>
      <c r="U727" t="s">
        <v>11201</v>
      </c>
      <c r="V727" t="s">
        <v>279</v>
      </c>
      <c r="W727">
        <v>0</v>
      </c>
      <c r="X727" t="s">
        <v>11334</v>
      </c>
      <c r="Y727" t="s">
        <v>11337</v>
      </c>
      <c r="Z727" t="s">
        <v>11903</v>
      </c>
      <c r="AC727">
        <v>2</v>
      </c>
      <c r="AD727" t="s">
        <v>15441</v>
      </c>
      <c r="AE727" t="s">
        <v>19582</v>
      </c>
      <c r="AF727">
        <v>1</v>
      </c>
      <c r="AG727">
        <v>1</v>
      </c>
      <c r="AH727">
        <v>4</v>
      </c>
      <c r="AI727">
        <v>23.86</v>
      </c>
      <c r="AJ727" t="s">
        <v>19591</v>
      </c>
      <c r="AK727" t="s">
        <v>19608</v>
      </c>
      <c r="AL727" t="s">
        <v>19618</v>
      </c>
      <c r="AM727">
        <v>7200</v>
      </c>
      <c r="AS727">
        <v>1.5</v>
      </c>
      <c r="AT727" t="s">
        <v>621</v>
      </c>
      <c r="AU727" t="s">
        <v>129</v>
      </c>
      <c r="AV727" t="s">
        <v>20733</v>
      </c>
    </row>
    <row r="728" spans="1:48">
      <c r="A728" s="1">
        <f>HYPERLINK("https://lsnyc.legalserver.org/matter/dynamic-profile/view/1899222","19-1899222")</f>
        <v>0</v>
      </c>
      <c r="B728" t="s">
        <v>49</v>
      </c>
      <c r="C728" t="s">
        <v>257</v>
      </c>
      <c r="D728" t="s">
        <v>486</v>
      </c>
      <c r="E728" t="s">
        <v>1129</v>
      </c>
      <c r="F728" t="s">
        <v>1595</v>
      </c>
      <c r="G728" t="s">
        <v>3760</v>
      </c>
      <c r="H728" t="s">
        <v>6166</v>
      </c>
      <c r="I728" t="s">
        <v>8334</v>
      </c>
      <c r="J728" t="s">
        <v>9038</v>
      </c>
      <c r="K728">
        <v>11691</v>
      </c>
      <c r="L728" t="s">
        <v>9094</v>
      </c>
      <c r="M728" t="s">
        <v>9095</v>
      </c>
      <c r="N728" t="s">
        <v>9455</v>
      </c>
      <c r="O728" t="s">
        <v>11128</v>
      </c>
      <c r="P728" t="s">
        <v>11167</v>
      </c>
      <c r="Q728" t="s">
        <v>11176</v>
      </c>
      <c r="R728" t="s">
        <v>11180</v>
      </c>
      <c r="S728" t="s">
        <v>9096</v>
      </c>
      <c r="T728" t="s">
        <v>11183</v>
      </c>
      <c r="U728" t="s">
        <v>11201</v>
      </c>
      <c r="V728" t="s">
        <v>418</v>
      </c>
      <c r="W728">
        <v>0</v>
      </c>
      <c r="X728" t="s">
        <v>11331</v>
      </c>
      <c r="Y728" t="s">
        <v>11345</v>
      </c>
      <c r="Z728" t="s">
        <v>11904</v>
      </c>
      <c r="AB728" t="s">
        <v>16365</v>
      </c>
      <c r="AC728">
        <v>3</v>
      </c>
      <c r="AD728" t="s">
        <v>19565</v>
      </c>
      <c r="AE728" t="s">
        <v>9144</v>
      </c>
      <c r="AF728">
        <v>4</v>
      </c>
      <c r="AG728">
        <v>1</v>
      </c>
      <c r="AH728">
        <v>0</v>
      </c>
      <c r="AI728">
        <v>24.02</v>
      </c>
      <c r="AL728" t="s">
        <v>19614</v>
      </c>
      <c r="AM728">
        <v>3000</v>
      </c>
      <c r="AP728" t="s">
        <v>11157</v>
      </c>
      <c r="AQ728" t="s">
        <v>20371</v>
      </c>
      <c r="AR728" t="s">
        <v>20414</v>
      </c>
      <c r="AS728">
        <v>6.1</v>
      </c>
      <c r="AT728" t="s">
        <v>1129</v>
      </c>
      <c r="AU728" t="s">
        <v>20639</v>
      </c>
      <c r="AV728" t="s">
        <v>20733</v>
      </c>
    </row>
    <row r="729" spans="1:48">
      <c r="A729" s="1">
        <f>HYPERLINK("https://lsnyc.legalserver.org/matter/dynamic-profile/view/1901849","19-1901849")</f>
        <v>0</v>
      </c>
      <c r="B729" t="s">
        <v>115</v>
      </c>
      <c r="C729" t="s">
        <v>257</v>
      </c>
      <c r="D729" t="s">
        <v>425</v>
      </c>
      <c r="E729" t="s">
        <v>425</v>
      </c>
      <c r="F729" t="s">
        <v>1596</v>
      </c>
      <c r="G729" t="s">
        <v>3338</v>
      </c>
      <c r="H729" t="s">
        <v>6167</v>
      </c>
      <c r="J729" t="s">
        <v>9065</v>
      </c>
      <c r="K729">
        <v>10458</v>
      </c>
      <c r="L729" t="s">
        <v>9094</v>
      </c>
      <c r="M729" t="s">
        <v>9095</v>
      </c>
      <c r="N729" t="s">
        <v>9171</v>
      </c>
      <c r="O729" t="s">
        <v>11149</v>
      </c>
      <c r="P729" t="s">
        <v>11164</v>
      </c>
      <c r="Q729" t="s">
        <v>11172</v>
      </c>
      <c r="R729" t="s">
        <v>11180</v>
      </c>
      <c r="S729" t="s">
        <v>9096</v>
      </c>
      <c r="T729" t="s">
        <v>11183</v>
      </c>
      <c r="U729" t="s">
        <v>11198</v>
      </c>
      <c r="W729">
        <v>0</v>
      </c>
      <c r="X729" t="s">
        <v>11333</v>
      </c>
      <c r="Z729" t="s">
        <v>11905</v>
      </c>
      <c r="AB729" t="s">
        <v>16366</v>
      </c>
      <c r="AC729">
        <v>0</v>
      </c>
      <c r="AD729" t="s">
        <v>19566</v>
      </c>
      <c r="AE729" t="s">
        <v>9144</v>
      </c>
      <c r="AF729">
        <v>2</v>
      </c>
      <c r="AG729">
        <v>1</v>
      </c>
      <c r="AH729">
        <v>0</v>
      </c>
      <c r="AI729">
        <v>24.02</v>
      </c>
      <c r="AL729" t="s">
        <v>19614</v>
      </c>
      <c r="AM729">
        <v>3000</v>
      </c>
      <c r="AS729">
        <v>0.1</v>
      </c>
      <c r="AT729" t="s">
        <v>425</v>
      </c>
      <c r="AU729" t="s">
        <v>115</v>
      </c>
      <c r="AV729" t="s">
        <v>20733</v>
      </c>
    </row>
    <row r="730" spans="1:48">
      <c r="A730" s="1">
        <f>HYPERLINK("https://lsnyc.legalserver.org/matter/dynamic-profile/view/1905313","19-1905313")</f>
        <v>0</v>
      </c>
      <c r="B730" t="s">
        <v>166</v>
      </c>
      <c r="C730" t="s">
        <v>257</v>
      </c>
      <c r="D730" t="s">
        <v>414</v>
      </c>
      <c r="E730" t="s">
        <v>416</v>
      </c>
      <c r="F730" t="s">
        <v>1597</v>
      </c>
      <c r="G730" t="s">
        <v>3418</v>
      </c>
      <c r="H730" t="s">
        <v>6168</v>
      </c>
      <c r="I730">
        <v>404</v>
      </c>
      <c r="J730" t="s">
        <v>9065</v>
      </c>
      <c r="K730">
        <v>10460</v>
      </c>
      <c r="L730" t="s">
        <v>9094</v>
      </c>
      <c r="M730" t="s">
        <v>9095</v>
      </c>
      <c r="N730" t="s">
        <v>9456</v>
      </c>
      <c r="O730" t="s">
        <v>11129</v>
      </c>
      <c r="P730" t="s">
        <v>11165</v>
      </c>
      <c r="Q730" t="s">
        <v>11174</v>
      </c>
      <c r="R730" t="s">
        <v>11180</v>
      </c>
      <c r="S730" t="s">
        <v>9096</v>
      </c>
      <c r="T730" t="s">
        <v>11183</v>
      </c>
      <c r="U730" t="s">
        <v>11198</v>
      </c>
      <c r="V730" t="s">
        <v>367</v>
      </c>
      <c r="W730">
        <v>1269</v>
      </c>
      <c r="X730" t="s">
        <v>11333</v>
      </c>
      <c r="Y730" t="s">
        <v>11345</v>
      </c>
      <c r="Z730" t="s">
        <v>11906</v>
      </c>
      <c r="AB730" t="s">
        <v>16367</v>
      </c>
      <c r="AC730">
        <v>27</v>
      </c>
      <c r="AD730" t="s">
        <v>19566</v>
      </c>
      <c r="AE730" t="s">
        <v>19580</v>
      </c>
      <c r="AF730">
        <v>13</v>
      </c>
      <c r="AG730">
        <v>3</v>
      </c>
      <c r="AH730">
        <v>0</v>
      </c>
      <c r="AI730">
        <v>24.19</v>
      </c>
      <c r="AL730" t="s">
        <v>19614</v>
      </c>
      <c r="AM730">
        <v>5160</v>
      </c>
      <c r="AO730" t="s">
        <v>20296</v>
      </c>
      <c r="AP730" t="s">
        <v>20309</v>
      </c>
      <c r="AQ730" t="s">
        <v>20369</v>
      </c>
      <c r="AR730" t="s">
        <v>20415</v>
      </c>
      <c r="AS730">
        <v>10.8</v>
      </c>
      <c r="AT730" t="s">
        <v>416</v>
      </c>
      <c r="AU730" t="s">
        <v>163</v>
      </c>
      <c r="AV730" t="s">
        <v>9144</v>
      </c>
    </row>
    <row r="731" spans="1:48">
      <c r="A731" s="1">
        <f>HYPERLINK("https://lsnyc.legalserver.org/matter/dynamic-profile/view/1888455","19-1888455")</f>
        <v>0</v>
      </c>
      <c r="B731" t="s">
        <v>118</v>
      </c>
      <c r="C731" t="s">
        <v>256</v>
      </c>
      <c r="D731" t="s">
        <v>582</v>
      </c>
      <c r="F731" t="s">
        <v>1212</v>
      </c>
      <c r="G731" t="s">
        <v>3756</v>
      </c>
      <c r="H731" t="s">
        <v>6158</v>
      </c>
      <c r="I731" t="s">
        <v>8288</v>
      </c>
      <c r="J731" t="s">
        <v>9065</v>
      </c>
      <c r="K731">
        <v>10452</v>
      </c>
      <c r="L731" t="s">
        <v>9094</v>
      </c>
      <c r="M731" t="s">
        <v>9094</v>
      </c>
      <c r="O731" t="s">
        <v>9121</v>
      </c>
      <c r="P731" t="s">
        <v>11164</v>
      </c>
      <c r="R731" t="s">
        <v>11180</v>
      </c>
      <c r="S731" t="s">
        <v>9096</v>
      </c>
      <c r="T731" t="s">
        <v>11183</v>
      </c>
      <c r="V731" t="s">
        <v>582</v>
      </c>
      <c r="W731">
        <v>219</v>
      </c>
      <c r="X731" t="s">
        <v>11333</v>
      </c>
      <c r="Y731" t="s">
        <v>11346</v>
      </c>
      <c r="Z731" t="s">
        <v>11893</v>
      </c>
      <c r="AB731" t="s">
        <v>16356</v>
      </c>
      <c r="AC731">
        <v>77</v>
      </c>
      <c r="AD731" t="s">
        <v>19566</v>
      </c>
      <c r="AE731" t="s">
        <v>19580</v>
      </c>
      <c r="AF731">
        <v>11</v>
      </c>
      <c r="AG731">
        <v>2</v>
      </c>
      <c r="AH731">
        <v>1</v>
      </c>
      <c r="AI731">
        <v>24.2</v>
      </c>
      <c r="AL731" t="s">
        <v>19614</v>
      </c>
      <c r="AM731">
        <v>5028</v>
      </c>
      <c r="AS731">
        <v>1</v>
      </c>
      <c r="AT731" t="s">
        <v>376</v>
      </c>
      <c r="AU731" t="s">
        <v>163</v>
      </c>
    </row>
    <row r="732" spans="1:48">
      <c r="A732" s="1">
        <f>HYPERLINK("https://lsnyc.legalserver.org/matter/dynamic-profile/view/1908106","19-1908106")</f>
        <v>0</v>
      </c>
      <c r="B732" t="s">
        <v>91</v>
      </c>
      <c r="C732" t="s">
        <v>256</v>
      </c>
      <c r="D732" t="s">
        <v>551</v>
      </c>
      <c r="F732" t="s">
        <v>1598</v>
      </c>
      <c r="G732" t="s">
        <v>3761</v>
      </c>
      <c r="H732" t="s">
        <v>6169</v>
      </c>
      <c r="I732" t="s">
        <v>8209</v>
      </c>
      <c r="J732" t="s">
        <v>9059</v>
      </c>
      <c r="K732">
        <v>11213</v>
      </c>
      <c r="L732" t="s">
        <v>9094</v>
      </c>
      <c r="M732" t="s">
        <v>9095</v>
      </c>
      <c r="N732" t="s">
        <v>9457</v>
      </c>
      <c r="O732" t="s">
        <v>11134</v>
      </c>
      <c r="P732" t="s">
        <v>11168</v>
      </c>
      <c r="R732" t="s">
        <v>11180</v>
      </c>
      <c r="S732" t="s">
        <v>9096</v>
      </c>
      <c r="T732" t="s">
        <v>11183</v>
      </c>
      <c r="U732" t="s">
        <v>11201</v>
      </c>
      <c r="V732" t="s">
        <v>551</v>
      </c>
      <c r="W732">
        <v>0</v>
      </c>
      <c r="X732" t="s">
        <v>11332</v>
      </c>
      <c r="Y732" t="s">
        <v>11338</v>
      </c>
      <c r="Z732" t="s">
        <v>11907</v>
      </c>
      <c r="AC732">
        <v>35</v>
      </c>
      <c r="AD732" t="s">
        <v>19566</v>
      </c>
      <c r="AF732">
        <v>0</v>
      </c>
      <c r="AG732">
        <v>3</v>
      </c>
      <c r="AH732">
        <v>1</v>
      </c>
      <c r="AI732">
        <v>24.23</v>
      </c>
      <c r="AL732" t="s">
        <v>19614</v>
      </c>
      <c r="AM732">
        <v>6240</v>
      </c>
      <c r="AS732">
        <v>15.75</v>
      </c>
      <c r="AT732" t="s">
        <v>1063</v>
      </c>
      <c r="AU732" t="s">
        <v>151</v>
      </c>
      <c r="AV732" t="s">
        <v>20733</v>
      </c>
    </row>
    <row r="733" spans="1:48">
      <c r="A733" s="1">
        <f>HYPERLINK("https://lsnyc.legalserver.org/matter/dynamic-profile/view/1885652","18-1885652")</f>
        <v>0</v>
      </c>
      <c r="B733" t="s">
        <v>113</v>
      </c>
      <c r="C733" t="s">
        <v>257</v>
      </c>
      <c r="D733" t="s">
        <v>622</v>
      </c>
      <c r="E733" t="s">
        <v>301</v>
      </c>
      <c r="F733" t="s">
        <v>1293</v>
      </c>
      <c r="G733" t="s">
        <v>3758</v>
      </c>
      <c r="H733" t="s">
        <v>5864</v>
      </c>
      <c r="I733" t="s">
        <v>8332</v>
      </c>
      <c r="J733" t="s">
        <v>9065</v>
      </c>
      <c r="K733">
        <v>10460</v>
      </c>
      <c r="L733" t="s">
        <v>9094</v>
      </c>
      <c r="M733" t="s">
        <v>9094</v>
      </c>
      <c r="N733" t="s">
        <v>9222</v>
      </c>
      <c r="O733" t="s">
        <v>11130</v>
      </c>
      <c r="P733" t="s">
        <v>11165</v>
      </c>
      <c r="Q733" t="s">
        <v>11174</v>
      </c>
      <c r="R733" t="s">
        <v>11180</v>
      </c>
      <c r="S733" t="s">
        <v>9094</v>
      </c>
      <c r="T733" t="s">
        <v>11183</v>
      </c>
      <c r="V733" t="s">
        <v>512</v>
      </c>
      <c r="W733">
        <v>400</v>
      </c>
      <c r="X733" t="s">
        <v>11333</v>
      </c>
      <c r="Y733" t="s">
        <v>11346</v>
      </c>
      <c r="Z733" t="s">
        <v>11897</v>
      </c>
      <c r="AB733" t="s">
        <v>16360</v>
      </c>
      <c r="AC733">
        <v>168</v>
      </c>
      <c r="AD733" t="s">
        <v>19566</v>
      </c>
      <c r="AE733" t="s">
        <v>19580</v>
      </c>
      <c r="AF733">
        <v>8</v>
      </c>
      <c r="AG733">
        <v>1</v>
      </c>
      <c r="AH733">
        <v>2</v>
      </c>
      <c r="AI733">
        <v>24.27</v>
      </c>
      <c r="AL733" t="s">
        <v>19614</v>
      </c>
      <c r="AM733">
        <v>5044</v>
      </c>
      <c r="AS733">
        <v>0.25</v>
      </c>
      <c r="AT733" t="s">
        <v>301</v>
      </c>
      <c r="AU733" t="s">
        <v>158</v>
      </c>
    </row>
    <row r="734" spans="1:48">
      <c r="A734" s="1">
        <f>HYPERLINK("https://lsnyc.legalserver.org/matter/dynamic-profile/view/0796919","16-0796919")</f>
        <v>0</v>
      </c>
      <c r="B734" t="s">
        <v>101</v>
      </c>
      <c r="C734" t="s">
        <v>256</v>
      </c>
      <c r="D734" t="s">
        <v>528</v>
      </c>
      <c r="F734" t="s">
        <v>1350</v>
      </c>
      <c r="G734" t="s">
        <v>3533</v>
      </c>
      <c r="H734" t="s">
        <v>5890</v>
      </c>
      <c r="I734" t="s">
        <v>8233</v>
      </c>
      <c r="J734" t="s">
        <v>9065</v>
      </c>
      <c r="K734">
        <v>10453</v>
      </c>
      <c r="L734" t="s">
        <v>9094</v>
      </c>
      <c r="M734" t="s">
        <v>9095</v>
      </c>
      <c r="N734" t="s">
        <v>9458</v>
      </c>
      <c r="O734" t="s">
        <v>11147</v>
      </c>
      <c r="P734" t="s">
        <v>11165</v>
      </c>
      <c r="R734" t="s">
        <v>11180</v>
      </c>
      <c r="S734" t="s">
        <v>9094</v>
      </c>
      <c r="T734" t="s">
        <v>11183</v>
      </c>
      <c r="V734" t="s">
        <v>1113</v>
      </c>
      <c r="W734">
        <v>1612</v>
      </c>
      <c r="X734" t="s">
        <v>11333</v>
      </c>
      <c r="Y734" t="s">
        <v>11338</v>
      </c>
      <c r="Z734" t="s">
        <v>11599</v>
      </c>
      <c r="AB734" t="s">
        <v>16084</v>
      </c>
      <c r="AC734">
        <v>0</v>
      </c>
      <c r="AD734" t="s">
        <v>19566</v>
      </c>
      <c r="AF734">
        <v>9</v>
      </c>
      <c r="AG734">
        <v>1</v>
      </c>
      <c r="AH734">
        <v>4</v>
      </c>
      <c r="AI734">
        <v>24.34</v>
      </c>
      <c r="AL734" t="s">
        <v>19615</v>
      </c>
      <c r="AM734">
        <v>6916</v>
      </c>
      <c r="AS734">
        <v>0.15</v>
      </c>
      <c r="AT734" t="s">
        <v>670</v>
      </c>
      <c r="AU734" t="s">
        <v>109</v>
      </c>
    </row>
    <row r="735" spans="1:48">
      <c r="A735" s="1">
        <f>HYPERLINK("https://lsnyc.legalserver.org/matter/dynamic-profile/view/1887986","19-1887986")</f>
        <v>0</v>
      </c>
      <c r="B735" t="s">
        <v>119</v>
      </c>
      <c r="C735" t="s">
        <v>256</v>
      </c>
      <c r="D735" t="s">
        <v>443</v>
      </c>
      <c r="F735" t="s">
        <v>1176</v>
      </c>
      <c r="G735" t="s">
        <v>3571</v>
      </c>
      <c r="H735" t="s">
        <v>5880</v>
      </c>
      <c r="I735" t="s">
        <v>8124</v>
      </c>
      <c r="J735" t="s">
        <v>9065</v>
      </c>
      <c r="K735">
        <v>10456</v>
      </c>
      <c r="L735" t="s">
        <v>9094</v>
      </c>
      <c r="M735" t="s">
        <v>9094</v>
      </c>
      <c r="N735" t="s">
        <v>9234</v>
      </c>
      <c r="O735" t="s">
        <v>11130</v>
      </c>
      <c r="P735" t="s">
        <v>11165</v>
      </c>
      <c r="R735" t="s">
        <v>11180</v>
      </c>
      <c r="S735" t="s">
        <v>9094</v>
      </c>
      <c r="T735" t="s">
        <v>11183</v>
      </c>
      <c r="V735" t="s">
        <v>11218</v>
      </c>
      <c r="W735">
        <v>1765</v>
      </c>
      <c r="X735" t="s">
        <v>11333</v>
      </c>
      <c r="Y735" t="s">
        <v>11347</v>
      </c>
      <c r="Z735" t="s">
        <v>11908</v>
      </c>
      <c r="AB735" t="s">
        <v>16368</v>
      </c>
      <c r="AC735">
        <v>17</v>
      </c>
      <c r="AD735" t="s">
        <v>19566</v>
      </c>
      <c r="AE735" t="s">
        <v>19581</v>
      </c>
      <c r="AF735">
        <v>7</v>
      </c>
      <c r="AG735">
        <v>2</v>
      </c>
      <c r="AH735">
        <v>2</v>
      </c>
      <c r="AI735">
        <v>24.67</v>
      </c>
      <c r="AL735" t="s">
        <v>19615</v>
      </c>
      <c r="AM735">
        <v>6192</v>
      </c>
      <c r="AS735">
        <v>1</v>
      </c>
      <c r="AT735" t="s">
        <v>443</v>
      </c>
      <c r="AU735" t="s">
        <v>174</v>
      </c>
      <c r="AV735" t="s">
        <v>20733</v>
      </c>
    </row>
    <row r="736" spans="1:48">
      <c r="A736" s="1">
        <f>HYPERLINK("https://lsnyc.legalserver.org/matter/dynamic-profile/view/1865284","18-1865284")</f>
        <v>0</v>
      </c>
      <c r="B736" t="s">
        <v>101</v>
      </c>
      <c r="C736" t="s">
        <v>256</v>
      </c>
      <c r="D736" t="s">
        <v>451</v>
      </c>
      <c r="F736" t="s">
        <v>1599</v>
      </c>
      <c r="G736" t="s">
        <v>3621</v>
      </c>
      <c r="H736" t="s">
        <v>5890</v>
      </c>
      <c r="I736" t="s">
        <v>8335</v>
      </c>
      <c r="J736" t="s">
        <v>9065</v>
      </c>
      <c r="K736">
        <v>10453</v>
      </c>
      <c r="L736" t="s">
        <v>9094</v>
      </c>
      <c r="M736" t="s">
        <v>9095</v>
      </c>
      <c r="N736" t="s">
        <v>9242</v>
      </c>
      <c r="O736" t="s">
        <v>11130</v>
      </c>
      <c r="P736" t="s">
        <v>11165</v>
      </c>
      <c r="R736" t="s">
        <v>11180</v>
      </c>
      <c r="S736" t="s">
        <v>9094</v>
      </c>
      <c r="T736" t="s">
        <v>11183</v>
      </c>
      <c r="V736" t="s">
        <v>675</v>
      </c>
      <c r="W736">
        <v>1139.81</v>
      </c>
      <c r="X736" t="s">
        <v>11333</v>
      </c>
      <c r="Y736" t="s">
        <v>11340</v>
      </c>
      <c r="Z736" t="s">
        <v>11909</v>
      </c>
      <c r="AA736" t="s">
        <v>15419</v>
      </c>
      <c r="AB736" t="s">
        <v>16369</v>
      </c>
      <c r="AC736">
        <v>46</v>
      </c>
      <c r="AD736" t="s">
        <v>19566</v>
      </c>
      <c r="AE736" t="s">
        <v>19582</v>
      </c>
      <c r="AF736">
        <v>7</v>
      </c>
      <c r="AG736">
        <v>1</v>
      </c>
      <c r="AH736">
        <v>2</v>
      </c>
      <c r="AI736">
        <v>24.95</v>
      </c>
      <c r="AL736" t="s">
        <v>19615</v>
      </c>
      <c r="AM736">
        <v>5184</v>
      </c>
      <c r="AS736">
        <v>0.8</v>
      </c>
      <c r="AT736" t="s">
        <v>872</v>
      </c>
      <c r="AU736" t="s">
        <v>174</v>
      </c>
    </row>
    <row r="737" spans="1:48">
      <c r="A737" s="1">
        <f>HYPERLINK("https://lsnyc.legalserver.org/matter/dynamic-profile/view/1884197","18-1884197")</f>
        <v>0</v>
      </c>
      <c r="B737" t="s">
        <v>138</v>
      </c>
      <c r="C737" t="s">
        <v>256</v>
      </c>
      <c r="D737" t="s">
        <v>287</v>
      </c>
      <c r="F737" t="s">
        <v>1600</v>
      </c>
      <c r="G737" t="s">
        <v>3762</v>
      </c>
      <c r="H737" t="s">
        <v>6170</v>
      </c>
      <c r="I737">
        <v>21</v>
      </c>
      <c r="J737" t="s">
        <v>9067</v>
      </c>
      <c r="K737">
        <v>10034</v>
      </c>
      <c r="L737" t="s">
        <v>9094</v>
      </c>
      <c r="M737" t="s">
        <v>9094</v>
      </c>
      <c r="N737" t="s">
        <v>9459</v>
      </c>
      <c r="O737" t="s">
        <v>11136</v>
      </c>
      <c r="P737" t="s">
        <v>11165</v>
      </c>
      <c r="R737" t="s">
        <v>11180</v>
      </c>
      <c r="S737" t="s">
        <v>9096</v>
      </c>
      <c r="T737" t="s">
        <v>11183</v>
      </c>
      <c r="U737" t="s">
        <v>11200</v>
      </c>
      <c r="V737" t="s">
        <v>287</v>
      </c>
      <c r="W737">
        <v>1382</v>
      </c>
      <c r="X737" t="s">
        <v>11335</v>
      </c>
      <c r="Y737" t="s">
        <v>11338</v>
      </c>
      <c r="Z737" t="s">
        <v>11910</v>
      </c>
      <c r="AB737" t="s">
        <v>16370</v>
      </c>
      <c r="AC737">
        <v>93</v>
      </c>
      <c r="AD737" t="s">
        <v>19566</v>
      </c>
      <c r="AE737" t="s">
        <v>9144</v>
      </c>
      <c r="AF737">
        <v>5</v>
      </c>
      <c r="AG737">
        <v>1</v>
      </c>
      <c r="AH737">
        <v>2</v>
      </c>
      <c r="AI737">
        <v>25.02</v>
      </c>
      <c r="AL737" t="s">
        <v>19614</v>
      </c>
      <c r="AM737">
        <v>5200</v>
      </c>
      <c r="AS737">
        <v>112.88</v>
      </c>
      <c r="AT737" t="s">
        <v>1130</v>
      </c>
      <c r="AU737" t="s">
        <v>130</v>
      </c>
      <c r="AV737" t="s">
        <v>20733</v>
      </c>
    </row>
    <row r="738" spans="1:48">
      <c r="A738" s="1">
        <f>HYPERLINK("https://lsnyc.legalserver.org/matter/dynamic-profile/view/0788993","15-0788993")</f>
        <v>0</v>
      </c>
      <c r="B738" t="s">
        <v>119</v>
      </c>
      <c r="C738" t="s">
        <v>256</v>
      </c>
      <c r="D738" t="s">
        <v>580</v>
      </c>
      <c r="F738" t="s">
        <v>1601</v>
      </c>
      <c r="G738" t="s">
        <v>3398</v>
      </c>
      <c r="H738" t="s">
        <v>5897</v>
      </c>
      <c r="I738" t="s">
        <v>8336</v>
      </c>
      <c r="J738" t="s">
        <v>9065</v>
      </c>
      <c r="K738">
        <v>10452</v>
      </c>
      <c r="L738" t="s">
        <v>9094</v>
      </c>
      <c r="M738" t="s">
        <v>9095</v>
      </c>
      <c r="N738" t="s">
        <v>9250</v>
      </c>
      <c r="O738" t="s">
        <v>11147</v>
      </c>
      <c r="P738" t="s">
        <v>11165</v>
      </c>
      <c r="R738" t="s">
        <v>11180</v>
      </c>
      <c r="S738" t="s">
        <v>9094</v>
      </c>
      <c r="T738" t="s">
        <v>11183</v>
      </c>
      <c r="V738" t="s">
        <v>580</v>
      </c>
      <c r="W738">
        <v>1053.9</v>
      </c>
      <c r="X738" t="s">
        <v>11333</v>
      </c>
      <c r="Y738" t="s">
        <v>11347</v>
      </c>
      <c r="Z738" t="s">
        <v>11911</v>
      </c>
      <c r="AB738" t="s">
        <v>16371</v>
      </c>
      <c r="AC738">
        <v>0</v>
      </c>
      <c r="AE738" t="s">
        <v>9144</v>
      </c>
      <c r="AF738">
        <v>24</v>
      </c>
      <c r="AG738">
        <v>2</v>
      </c>
      <c r="AH738">
        <v>0</v>
      </c>
      <c r="AI738">
        <v>25.08</v>
      </c>
      <c r="AL738" t="s">
        <v>19614</v>
      </c>
      <c r="AM738">
        <v>3996</v>
      </c>
      <c r="AS738">
        <v>0.35</v>
      </c>
      <c r="AT738" t="s">
        <v>438</v>
      </c>
      <c r="AU738" t="s">
        <v>109</v>
      </c>
    </row>
    <row r="739" spans="1:48">
      <c r="A739" s="1">
        <f>HYPERLINK("https://lsnyc.legalserver.org/matter/dynamic-profile/view/1907249","19-1907249")</f>
        <v>0</v>
      </c>
      <c r="B739" t="s">
        <v>69</v>
      </c>
      <c r="C739" t="s">
        <v>257</v>
      </c>
      <c r="D739" t="s">
        <v>415</v>
      </c>
      <c r="E739" t="s">
        <v>396</v>
      </c>
      <c r="F739" t="s">
        <v>1602</v>
      </c>
      <c r="G739" t="s">
        <v>3763</v>
      </c>
      <c r="H739" t="s">
        <v>6171</v>
      </c>
      <c r="I739" t="s">
        <v>8107</v>
      </c>
      <c r="J739" t="s">
        <v>9059</v>
      </c>
      <c r="K739">
        <v>11233</v>
      </c>
      <c r="L739" t="s">
        <v>9096</v>
      </c>
      <c r="M739" t="s">
        <v>9095</v>
      </c>
      <c r="N739" t="s">
        <v>9144</v>
      </c>
      <c r="O739" t="s">
        <v>9121</v>
      </c>
      <c r="P739" t="s">
        <v>11164</v>
      </c>
      <c r="Q739" t="s">
        <v>11172</v>
      </c>
      <c r="R739" t="s">
        <v>11180</v>
      </c>
      <c r="S739" t="s">
        <v>9096</v>
      </c>
      <c r="T739" t="s">
        <v>11183</v>
      </c>
      <c r="W739">
        <v>2400</v>
      </c>
      <c r="X739" t="s">
        <v>11332</v>
      </c>
      <c r="Y739" t="s">
        <v>11157</v>
      </c>
      <c r="Z739" t="s">
        <v>11912</v>
      </c>
      <c r="AB739" t="s">
        <v>16372</v>
      </c>
      <c r="AC739">
        <v>2</v>
      </c>
      <c r="AD739" t="s">
        <v>15441</v>
      </c>
      <c r="AE739" t="s">
        <v>9144</v>
      </c>
      <c r="AF739">
        <v>1</v>
      </c>
      <c r="AG739">
        <v>2</v>
      </c>
      <c r="AH739">
        <v>2</v>
      </c>
      <c r="AI739">
        <v>25.17</v>
      </c>
      <c r="AL739" t="s">
        <v>19614</v>
      </c>
      <c r="AM739">
        <v>6480</v>
      </c>
      <c r="AS739">
        <v>1.41</v>
      </c>
      <c r="AT739" t="s">
        <v>396</v>
      </c>
      <c r="AU739" t="s">
        <v>20672</v>
      </c>
    </row>
    <row r="740" spans="1:48">
      <c r="A740" s="1">
        <f>HYPERLINK("https://lsnyc.legalserver.org/matter/dynamic-profile/view/1850179","17-1850179")</f>
        <v>0</v>
      </c>
      <c r="B740" t="s">
        <v>114</v>
      </c>
      <c r="C740" t="s">
        <v>256</v>
      </c>
      <c r="D740" t="s">
        <v>623</v>
      </c>
      <c r="F740" t="s">
        <v>1603</v>
      </c>
      <c r="G740" t="s">
        <v>3764</v>
      </c>
      <c r="H740" t="s">
        <v>6172</v>
      </c>
      <c r="I740" t="s">
        <v>8149</v>
      </c>
      <c r="J740" t="s">
        <v>9065</v>
      </c>
      <c r="K740">
        <v>10453</v>
      </c>
      <c r="L740" t="s">
        <v>9094</v>
      </c>
      <c r="M740" t="s">
        <v>9095</v>
      </c>
      <c r="N740" t="s">
        <v>9460</v>
      </c>
      <c r="O740" t="s">
        <v>11129</v>
      </c>
      <c r="P740" t="s">
        <v>11165</v>
      </c>
      <c r="R740" t="s">
        <v>11180</v>
      </c>
      <c r="S740" t="s">
        <v>9096</v>
      </c>
      <c r="T740" t="s">
        <v>11183</v>
      </c>
      <c r="V740" t="s">
        <v>623</v>
      </c>
      <c r="W740">
        <v>922</v>
      </c>
      <c r="X740" t="s">
        <v>11333</v>
      </c>
      <c r="Y740" t="s">
        <v>11349</v>
      </c>
      <c r="Z740" t="s">
        <v>11913</v>
      </c>
      <c r="AA740" t="s">
        <v>15420</v>
      </c>
      <c r="AB740" t="s">
        <v>16373</v>
      </c>
      <c r="AC740">
        <v>32</v>
      </c>
      <c r="AD740" t="s">
        <v>19569</v>
      </c>
      <c r="AE740" t="s">
        <v>19580</v>
      </c>
      <c r="AF740">
        <v>17</v>
      </c>
      <c r="AG740">
        <v>1</v>
      </c>
      <c r="AH740">
        <v>3</v>
      </c>
      <c r="AI740">
        <v>25.37</v>
      </c>
      <c r="AL740" t="s">
        <v>19614</v>
      </c>
      <c r="AM740">
        <v>6240</v>
      </c>
      <c r="AN740" t="s">
        <v>19699</v>
      </c>
      <c r="AS740">
        <v>46.5</v>
      </c>
      <c r="AT740" t="s">
        <v>694</v>
      </c>
      <c r="AU740" t="s">
        <v>20643</v>
      </c>
    </row>
    <row r="741" spans="1:48">
      <c r="A741" s="1">
        <f>HYPERLINK("https://lsnyc.legalserver.org/matter/dynamic-profile/view/1909991","19-1909991")</f>
        <v>0</v>
      </c>
      <c r="B741" t="s">
        <v>117</v>
      </c>
      <c r="C741" t="s">
        <v>257</v>
      </c>
      <c r="D741" t="s">
        <v>472</v>
      </c>
      <c r="E741" t="s">
        <v>308</v>
      </c>
      <c r="F741" t="s">
        <v>1604</v>
      </c>
      <c r="G741" t="s">
        <v>3497</v>
      </c>
      <c r="H741" t="s">
        <v>6173</v>
      </c>
      <c r="J741" t="s">
        <v>9065</v>
      </c>
      <c r="K741">
        <v>10451</v>
      </c>
      <c r="L741" t="s">
        <v>9094</v>
      </c>
      <c r="M741" t="s">
        <v>9095</v>
      </c>
      <c r="P741" t="s">
        <v>11164</v>
      </c>
      <c r="Q741" t="s">
        <v>11172</v>
      </c>
      <c r="R741" t="s">
        <v>11180</v>
      </c>
      <c r="T741" t="s">
        <v>11183</v>
      </c>
      <c r="W741">
        <v>0</v>
      </c>
      <c r="X741" t="s">
        <v>11333</v>
      </c>
      <c r="Y741" t="s">
        <v>11346</v>
      </c>
      <c r="Z741" t="s">
        <v>11914</v>
      </c>
      <c r="AB741" t="s">
        <v>16374</v>
      </c>
      <c r="AC741">
        <v>0</v>
      </c>
      <c r="AD741" t="s">
        <v>15441</v>
      </c>
      <c r="AE741" t="s">
        <v>9144</v>
      </c>
      <c r="AF741">
        <v>2</v>
      </c>
      <c r="AG741">
        <v>2</v>
      </c>
      <c r="AH741">
        <v>0</v>
      </c>
      <c r="AI741">
        <v>25.43</v>
      </c>
      <c r="AL741" t="s">
        <v>19614</v>
      </c>
      <c r="AM741">
        <v>4300</v>
      </c>
      <c r="AS741">
        <v>0.3</v>
      </c>
      <c r="AT741" t="s">
        <v>308</v>
      </c>
      <c r="AU741" t="s">
        <v>163</v>
      </c>
      <c r="AV741" t="s">
        <v>20733</v>
      </c>
    </row>
    <row r="742" spans="1:48">
      <c r="A742" s="1">
        <f>HYPERLINK("https://lsnyc.legalserver.org/matter/dynamic-profile/view/1875112","18-1875112")</f>
        <v>0</v>
      </c>
      <c r="B742" t="s">
        <v>136</v>
      </c>
      <c r="C742" t="s">
        <v>256</v>
      </c>
      <c r="D742" t="s">
        <v>624</v>
      </c>
      <c r="F742" t="s">
        <v>1336</v>
      </c>
      <c r="G742" t="s">
        <v>3765</v>
      </c>
      <c r="H742" t="s">
        <v>6119</v>
      </c>
      <c r="J742" t="s">
        <v>9067</v>
      </c>
      <c r="K742">
        <v>10031</v>
      </c>
      <c r="L742" t="s">
        <v>9094</v>
      </c>
      <c r="M742" t="s">
        <v>9094</v>
      </c>
      <c r="N742" t="s">
        <v>9461</v>
      </c>
      <c r="O742" t="s">
        <v>11130</v>
      </c>
      <c r="P742" t="s">
        <v>11164</v>
      </c>
      <c r="R742" t="s">
        <v>11180</v>
      </c>
      <c r="S742" t="s">
        <v>9094</v>
      </c>
      <c r="T742" t="s">
        <v>11183</v>
      </c>
      <c r="U742" t="s">
        <v>11201</v>
      </c>
      <c r="V742" t="s">
        <v>624</v>
      </c>
      <c r="W742">
        <v>1712</v>
      </c>
      <c r="X742" t="s">
        <v>11335</v>
      </c>
      <c r="Y742" t="s">
        <v>11339</v>
      </c>
      <c r="Z742" t="s">
        <v>11915</v>
      </c>
      <c r="AC742">
        <v>44</v>
      </c>
      <c r="AD742" t="s">
        <v>19567</v>
      </c>
      <c r="AE742" t="s">
        <v>19580</v>
      </c>
      <c r="AF742">
        <v>14</v>
      </c>
      <c r="AG742">
        <v>2</v>
      </c>
      <c r="AH742">
        <v>1</v>
      </c>
      <c r="AI742">
        <v>25.52</v>
      </c>
      <c r="AL742" t="s">
        <v>19615</v>
      </c>
      <c r="AM742">
        <v>5304</v>
      </c>
      <c r="AN742" t="s">
        <v>19728</v>
      </c>
      <c r="AS742">
        <v>0.4</v>
      </c>
      <c r="AT742" t="s">
        <v>487</v>
      </c>
      <c r="AU742" t="s">
        <v>20657</v>
      </c>
      <c r="AV742" t="s">
        <v>20733</v>
      </c>
    </row>
    <row r="743" spans="1:48">
      <c r="A743" s="1">
        <f>HYPERLINK("https://lsnyc.legalserver.org/matter/dynamic-profile/view/1899959","19-1899959")</f>
        <v>0</v>
      </c>
      <c r="B743" t="s">
        <v>113</v>
      </c>
      <c r="C743" t="s">
        <v>256</v>
      </c>
      <c r="D743" t="s">
        <v>293</v>
      </c>
      <c r="F743" t="s">
        <v>1605</v>
      </c>
      <c r="G743" t="s">
        <v>3677</v>
      </c>
      <c r="H743" t="s">
        <v>5864</v>
      </c>
      <c r="I743" t="s">
        <v>8337</v>
      </c>
      <c r="J743" t="s">
        <v>9065</v>
      </c>
      <c r="K743">
        <v>10460</v>
      </c>
      <c r="L743" t="s">
        <v>9094</v>
      </c>
      <c r="M743" t="s">
        <v>9095</v>
      </c>
      <c r="O743" t="s">
        <v>9121</v>
      </c>
      <c r="P743" t="s">
        <v>11166</v>
      </c>
      <c r="R743" t="s">
        <v>11180</v>
      </c>
      <c r="S743" t="s">
        <v>9094</v>
      </c>
      <c r="T743" t="s">
        <v>11183</v>
      </c>
      <c r="V743" t="s">
        <v>11218</v>
      </c>
      <c r="W743">
        <v>129</v>
      </c>
      <c r="X743" t="s">
        <v>11333</v>
      </c>
      <c r="Y743" t="s">
        <v>11346</v>
      </c>
      <c r="Z743" t="s">
        <v>11916</v>
      </c>
      <c r="AC743">
        <v>168</v>
      </c>
      <c r="AD743" t="s">
        <v>19566</v>
      </c>
      <c r="AE743" t="s">
        <v>19580</v>
      </c>
      <c r="AF743">
        <v>3</v>
      </c>
      <c r="AG743">
        <v>1</v>
      </c>
      <c r="AH743">
        <v>3</v>
      </c>
      <c r="AI743">
        <v>25.63</v>
      </c>
      <c r="AL743" t="s">
        <v>19615</v>
      </c>
      <c r="AM743">
        <v>6600</v>
      </c>
      <c r="AS743">
        <v>0</v>
      </c>
      <c r="AU743" t="s">
        <v>20647</v>
      </c>
      <c r="AV743" t="s">
        <v>20733</v>
      </c>
    </row>
    <row r="744" spans="1:48">
      <c r="A744" s="1">
        <f>HYPERLINK("https://lsnyc.legalserver.org/matter/dynamic-profile/view/1913612","19-1913612")</f>
        <v>0</v>
      </c>
      <c r="B744" t="s">
        <v>74</v>
      </c>
      <c r="C744" t="s">
        <v>256</v>
      </c>
      <c r="D744" t="s">
        <v>521</v>
      </c>
      <c r="F744" t="s">
        <v>1606</v>
      </c>
      <c r="G744" t="s">
        <v>2348</v>
      </c>
      <c r="H744" t="s">
        <v>6174</v>
      </c>
      <c r="I744" t="s">
        <v>8338</v>
      </c>
      <c r="J744" t="s">
        <v>9059</v>
      </c>
      <c r="K744">
        <v>11233</v>
      </c>
      <c r="L744" t="s">
        <v>9094</v>
      </c>
      <c r="M744" t="s">
        <v>9095</v>
      </c>
      <c r="N744" t="s">
        <v>9462</v>
      </c>
      <c r="O744" t="s">
        <v>11128</v>
      </c>
      <c r="R744" t="s">
        <v>11180</v>
      </c>
      <c r="S744" t="s">
        <v>9096</v>
      </c>
      <c r="T744" t="s">
        <v>11183</v>
      </c>
      <c r="U744" t="s">
        <v>11201</v>
      </c>
      <c r="W744">
        <v>0</v>
      </c>
      <c r="X744" t="s">
        <v>11332</v>
      </c>
      <c r="Y744" t="s">
        <v>11340</v>
      </c>
      <c r="Z744" t="s">
        <v>11917</v>
      </c>
      <c r="AA744" t="s">
        <v>15421</v>
      </c>
      <c r="AB744" t="s">
        <v>16375</v>
      </c>
      <c r="AC744">
        <v>13</v>
      </c>
      <c r="AD744" t="s">
        <v>19566</v>
      </c>
      <c r="AE744" t="s">
        <v>9144</v>
      </c>
      <c r="AF744">
        <v>7</v>
      </c>
      <c r="AG744">
        <v>1</v>
      </c>
      <c r="AH744">
        <v>0</v>
      </c>
      <c r="AI744">
        <v>25.71</v>
      </c>
      <c r="AL744" t="s">
        <v>19614</v>
      </c>
      <c r="AM744">
        <v>3211</v>
      </c>
      <c r="AS744">
        <v>0</v>
      </c>
      <c r="AU744" t="s">
        <v>95</v>
      </c>
      <c r="AV744" t="s">
        <v>20733</v>
      </c>
    </row>
    <row r="745" spans="1:48">
      <c r="A745" s="1">
        <f>HYPERLINK("https://lsnyc.legalserver.org/matter/dynamic-profile/view/1852662","17-1852662")</f>
        <v>0</v>
      </c>
      <c r="B745" t="s">
        <v>151</v>
      </c>
      <c r="C745" t="s">
        <v>257</v>
      </c>
      <c r="D745" t="s">
        <v>625</v>
      </c>
      <c r="E745" t="s">
        <v>426</v>
      </c>
      <c r="F745" t="s">
        <v>1137</v>
      </c>
      <c r="G745" t="s">
        <v>3398</v>
      </c>
      <c r="H745" t="s">
        <v>6175</v>
      </c>
      <c r="J745" t="s">
        <v>9059</v>
      </c>
      <c r="K745">
        <v>11208</v>
      </c>
      <c r="L745" t="s">
        <v>9094</v>
      </c>
      <c r="M745" t="s">
        <v>9095</v>
      </c>
      <c r="N745" t="s">
        <v>9463</v>
      </c>
      <c r="O745" t="s">
        <v>11128</v>
      </c>
      <c r="P745" t="s">
        <v>11165</v>
      </c>
      <c r="Q745" t="s">
        <v>11174</v>
      </c>
      <c r="R745" t="s">
        <v>11180</v>
      </c>
      <c r="S745" t="s">
        <v>9096</v>
      </c>
      <c r="T745" t="s">
        <v>11183</v>
      </c>
      <c r="U745" t="s">
        <v>11200</v>
      </c>
      <c r="V745" t="s">
        <v>11239</v>
      </c>
      <c r="W745">
        <v>1939.6</v>
      </c>
      <c r="X745" t="s">
        <v>11332</v>
      </c>
      <c r="Y745" t="s">
        <v>11339</v>
      </c>
      <c r="Z745" t="s">
        <v>11560</v>
      </c>
      <c r="AA745">
        <v>37151017</v>
      </c>
      <c r="AC745">
        <v>6</v>
      </c>
      <c r="AD745" t="s">
        <v>19566</v>
      </c>
      <c r="AE745" t="s">
        <v>19580</v>
      </c>
      <c r="AF745">
        <v>8</v>
      </c>
      <c r="AG745">
        <v>5</v>
      </c>
      <c r="AH745">
        <v>0</v>
      </c>
      <c r="AI745">
        <v>25.84</v>
      </c>
      <c r="AL745" t="s">
        <v>19614</v>
      </c>
      <c r="AM745">
        <v>7436</v>
      </c>
      <c r="AO745" t="s">
        <v>20293</v>
      </c>
      <c r="AP745" t="s">
        <v>20326</v>
      </c>
      <c r="AQ745" t="s">
        <v>20369</v>
      </c>
      <c r="AR745" t="s">
        <v>20416</v>
      </c>
      <c r="AS745">
        <v>112.2</v>
      </c>
      <c r="AT745" t="s">
        <v>376</v>
      </c>
      <c r="AU745" t="s">
        <v>20636</v>
      </c>
      <c r="AV745" t="s">
        <v>20734</v>
      </c>
    </row>
    <row r="746" spans="1:48">
      <c r="A746" s="1">
        <f>HYPERLINK("https://lsnyc.legalserver.org/matter/dynamic-profile/view/1858116","18-1858116")</f>
        <v>0</v>
      </c>
      <c r="B746" t="s">
        <v>76</v>
      </c>
      <c r="C746" t="s">
        <v>256</v>
      </c>
      <c r="D746" t="s">
        <v>626</v>
      </c>
      <c r="F746" t="s">
        <v>1607</v>
      </c>
      <c r="G746" t="s">
        <v>3766</v>
      </c>
      <c r="H746" t="s">
        <v>6176</v>
      </c>
      <c r="I746" t="s">
        <v>8128</v>
      </c>
      <c r="J746" t="s">
        <v>9059</v>
      </c>
      <c r="K746">
        <v>11237</v>
      </c>
      <c r="L746" t="s">
        <v>9094</v>
      </c>
      <c r="M746" t="s">
        <v>9096</v>
      </c>
      <c r="P746" t="s">
        <v>11169</v>
      </c>
      <c r="R746" t="s">
        <v>11180</v>
      </c>
      <c r="S746" t="s">
        <v>9094</v>
      </c>
      <c r="T746" t="s">
        <v>11183</v>
      </c>
      <c r="W746">
        <v>850</v>
      </c>
      <c r="X746" t="s">
        <v>11332</v>
      </c>
      <c r="Z746" t="s">
        <v>11479</v>
      </c>
      <c r="AB746" t="s">
        <v>16376</v>
      </c>
      <c r="AC746">
        <v>8</v>
      </c>
      <c r="AD746" t="s">
        <v>19566</v>
      </c>
      <c r="AF746">
        <v>32</v>
      </c>
      <c r="AG746">
        <v>2</v>
      </c>
      <c r="AH746">
        <v>2</v>
      </c>
      <c r="AI746">
        <v>26</v>
      </c>
      <c r="AL746" t="s">
        <v>19614</v>
      </c>
      <c r="AM746">
        <v>6396</v>
      </c>
      <c r="AS746">
        <v>0</v>
      </c>
      <c r="AU746" t="s">
        <v>20636</v>
      </c>
    </row>
    <row r="747" spans="1:48">
      <c r="A747" s="1">
        <f>HYPERLINK("https://lsnyc.legalserver.org/matter/dynamic-profile/view/1879768","18-1879768")</f>
        <v>0</v>
      </c>
      <c r="B747" t="s">
        <v>83</v>
      </c>
      <c r="C747" t="s">
        <v>256</v>
      </c>
      <c r="D747" t="s">
        <v>627</v>
      </c>
      <c r="F747" t="s">
        <v>1145</v>
      </c>
      <c r="G747" t="s">
        <v>3626</v>
      </c>
      <c r="H747" t="s">
        <v>5987</v>
      </c>
      <c r="I747" t="s">
        <v>8151</v>
      </c>
      <c r="J747" t="s">
        <v>9059</v>
      </c>
      <c r="K747">
        <v>11225</v>
      </c>
      <c r="L747" t="s">
        <v>9094</v>
      </c>
      <c r="M747" t="s">
        <v>9094</v>
      </c>
      <c r="O747" t="s">
        <v>11134</v>
      </c>
      <c r="P747" t="s">
        <v>11168</v>
      </c>
      <c r="R747" t="s">
        <v>11180</v>
      </c>
      <c r="S747" t="s">
        <v>9094</v>
      </c>
      <c r="T747" t="s">
        <v>11183</v>
      </c>
      <c r="V747" t="s">
        <v>627</v>
      </c>
      <c r="W747">
        <v>1108.02</v>
      </c>
      <c r="X747" t="s">
        <v>11332</v>
      </c>
      <c r="Y747" t="s">
        <v>11346</v>
      </c>
      <c r="Z747" t="s">
        <v>11710</v>
      </c>
      <c r="AA747" t="s">
        <v>15328</v>
      </c>
      <c r="AB747" t="s">
        <v>16179</v>
      </c>
      <c r="AC747">
        <v>14</v>
      </c>
      <c r="AD747" t="s">
        <v>19566</v>
      </c>
      <c r="AE747" t="s">
        <v>19580</v>
      </c>
      <c r="AF747">
        <v>13</v>
      </c>
      <c r="AG747">
        <v>1</v>
      </c>
      <c r="AH747">
        <v>0</v>
      </c>
      <c r="AI747">
        <v>26.02</v>
      </c>
      <c r="AL747" t="s">
        <v>19614</v>
      </c>
      <c r="AM747">
        <v>3159.36</v>
      </c>
      <c r="AS747">
        <v>11.2</v>
      </c>
      <c r="AT747" t="s">
        <v>650</v>
      </c>
      <c r="AU747" t="s">
        <v>67</v>
      </c>
    </row>
    <row r="748" spans="1:48">
      <c r="A748" s="1">
        <f>HYPERLINK("https://lsnyc.legalserver.org/matter/dynamic-profile/view/0783887","15-0783887")</f>
        <v>0</v>
      </c>
      <c r="B748" t="s">
        <v>136</v>
      </c>
      <c r="C748" t="s">
        <v>256</v>
      </c>
      <c r="D748" t="s">
        <v>628</v>
      </c>
      <c r="F748" t="s">
        <v>1591</v>
      </c>
      <c r="G748" t="s">
        <v>3767</v>
      </c>
      <c r="H748" t="s">
        <v>6177</v>
      </c>
      <c r="I748">
        <v>427</v>
      </c>
      <c r="J748" t="s">
        <v>9067</v>
      </c>
      <c r="K748">
        <v>10029</v>
      </c>
      <c r="L748" t="s">
        <v>9096</v>
      </c>
      <c r="M748" t="s">
        <v>9095</v>
      </c>
      <c r="N748" t="s">
        <v>9464</v>
      </c>
      <c r="O748" t="s">
        <v>11128</v>
      </c>
      <c r="P748" t="s">
        <v>11165</v>
      </c>
      <c r="R748" t="s">
        <v>11180</v>
      </c>
      <c r="S748" t="s">
        <v>9096</v>
      </c>
      <c r="T748" t="s">
        <v>11183</v>
      </c>
      <c r="V748" t="s">
        <v>984</v>
      </c>
      <c r="W748">
        <v>0</v>
      </c>
      <c r="X748" t="s">
        <v>11335</v>
      </c>
      <c r="Y748" t="s">
        <v>11344</v>
      </c>
      <c r="Z748" t="s">
        <v>11918</v>
      </c>
      <c r="AB748" t="s">
        <v>16377</v>
      </c>
      <c r="AC748">
        <v>135</v>
      </c>
      <c r="AD748" t="s">
        <v>19567</v>
      </c>
      <c r="AE748" t="s">
        <v>9144</v>
      </c>
      <c r="AF748">
        <v>29</v>
      </c>
      <c r="AG748">
        <v>1</v>
      </c>
      <c r="AH748">
        <v>2</v>
      </c>
      <c r="AI748">
        <v>26.28</v>
      </c>
      <c r="AL748" t="s">
        <v>19614</v>
      </c>
      <c r="AM748">
        <v>5280</v>
      </c>
      <c r="AS748">
        <v>181.37</v>
      </c>
      <c r="AT748" t="s">
        <v>453</v>
      </c>
      <c r="AU748" t="s">
        <v>20657</v>
      </c>
    </row>
    <row r="749" spans="1:48">
      <c r="A749" s="1">
        <f>HYPERLINK("https://lsnyc.legalserver.org/matter/dynamic-profile/view/1886719","18-1886719")</f>
        <v>0</v>
      </c>
      <c r="B749" t="s">
        <v>113</v>
      </c>
      <c r="C749" t="s">
        <v>256</v>
      </c>
      <c r="D749" t="s">
        <v>629</v>
      </c>
      <c r="F749" t="s">
        <v>1605</v>
      </c>
      <c r="G749" t="s">
        <v>3677</v>
      </c>
      <c r="H749" t="s">
        <v>5864</v>
      </c>
      <c r="I749" t="s">
        <v>8337</v>
      </c>
      <c r="J749" t="s">
        <v>9065</v>
      </c>
      <c r="K749">
        <v>10460</v>
      </c>
      <c r="L749" t="s">
        <v>9094</v>
      </c>
      <c r="M749" t="s">
        <v>9094</v>
      </c>
      <c r="N749" t="s">
        <v>9222</v>
      </c>
      <c r="O749" t="s">
        <v>11130</v>
      </c>
      <c r="P749" t="s">
        <v>11165</v>
      </c>
      <c r="R749" t="s">
        <v>11180</v>
      </c>
      <c r="S749" t="s">
        <v>9094</v>
      </c>
      <c r="T749" t="s">
        <v>11183</v>
      </c>
      <c r="V749" t="s">
        <v>512</v>
      </c>
      <c r="W749">
        <v>129</v>
      </c>
      <c r="X749" t="s">
        <v>11333</v>
      </c>
      <c r="Y749" t="s">
        <v>11346</v>
      </c>
      <c r="Z749" t="s">
        <v>11916</v>
      </c>
      <c r="AC749">
        <v>168</v>
      </c>
      <c r="AE749" t="s">
        <v>19580</v>
      </c>
      <c r="AF749">
        <v>3</v>
      </c>
      <c r="AG749">
        <v>1</v>
      </c>
      <c r="AH749">
        <v>3</v>
      </c>
      <c r="AI749">
        <v>26.29</v>
      </c>
      <c r="AL749" t="s">
        <v>19615</v>
      </c>
      <c r="AM749">
        <v>6600</v>
      </c>
      <c r="AS749">
        <v>0</v>
      </c>
      <c r="AU749" t="s">
        <v>158</v>
      </c>
    </row>
    <row r="750" spans="1:48">
      <c r="A750" s="1">
        <f>HYPERLINK("https://lsnyc.legalserver.org/matter/dynamic-profile/view/1838171","17-1838171")</f>
        <v>0</v>
      </c>
      <c r="B750" t="s">
        <v>114</v>
      </c>
      <c r="C750" t="s">
        <v>256</v>
      </c>
      <c r="D750" t="s">
        <v>277</v>
      </c>
      <c r="F750" t="s">
        <v>1597</v>
      </c>
      <c r="G750" t="s">
        <v>3427</v>
      </c>
      <c r="H750" t="s">
        <v>6178</v>
      </c>
      <c r="I750" t="s">
        <v>8339</v>
      </c>
      <c r="J750" t="s">
        <v>9065</v>
      </c>
      <c r="K750">
        <v>10453</v>
      </c>
      <c r="L750" t="s">
        <v>9094</v>
      </c>
      <c r="M750" t="s">
        <v>9095</v>
      </c>
      <c r="N750" t="s">
        <v>9465</v>
      </c>
      <c r="O750" t="s">
        <v>11129</v>
      </c>
      <c r="P750" t="s">
        <v>11165</v>
      </c>
      <c r="R750" t="s">
        <v>11180</v>
      </c>
      <c r="T750" t="s">
        <v>11183</v>
      </c>
      <c r="V750" t="s">
        <v>770</v>
      </c>
      <c r="W750">
        <v>0</v>
      </c>
      <c r="X750" t="s">
        <v>11333</v>
      </c>
      <c r="Z750" t="s">
        <v>11919</v>
      </c>
      <c r="AA750" t="s">
        <v>15422</v>
      </c>
      <c r="AB750" t="s">
        <v>16378</v>
      </c>
      <c r="AC750">
        <v>0</v>
      </c>
      <c r="AE750" t="s">
        <v>19580</v>
      </c>
      <c r="AF750">
        <v>10</v>
      </c>
      <c r="AG750">
        <v>2</v>
      </c>
      <c r="AH750">
        <v>0</v>
      </c>
      <c r="AI750">
        <v>26.38</v>
      </c>
      <c r="AL750" t="s">
        <v>19614</v>
      </c>
      <c r="AM750">
        <v>4284</v>
      </c>
      <c r="AS750">
        <v>69.95</v>
      </c>
      <c r="AT750" t="s">
        <v>921</v>
      </c>
      <c r="AU750" t="s">
        <v>20645</v>
      </c>
    </row>
    <row r="751" spans="1:48">
      <c r="A751" s="1">
        <f>HYPERLINK("https://lsnyc.legalserver.org/matter/dynamic-profile/view/1881805","18-1881805")</f>
        <v>0</v>
      </c>
      <c r="B751" t="s">
        <v>114</v>
      </c>
      <c r="C751" t="s">
        <v>257</v>
      </c>
      <c r="D751" t="s">
        <v>477</v>
      </c>
      <c r="E751" t="s">
        <v>563</v>
      </c>
      <c r="F751" t="s">
        <v>1608</v>
      </c>
      <c r="G751" t="s">
        <v>3768</v>
      </c>
      <c r="H751" t="s">
        <v>5907</v>
      </c>
      <c r="I751" t="s">
        <v>8340</v>
      </c>
      <c r="J751" t="s">
        <v>9065</v>
      </c>
      <c r="K751">
        <v>10451</v>
      </c>
      <c r="L751" t="s">
        <v>9094</v>
      </c>
      <c r="M751" t="s">
        <v>9094</v>
      </c>
      <c r="N751" t="s">
        <v>9259</v>
      </c>
      <c r="O751" t="s">
        <v>11130</v>
      </c>
      <c r="P751" t="s">
        <v>11165</v>
      </c>
      <c r="Q751" t="s">
        <v>11174</v>
      </c>
      <c r="R751" t="s">
        <v>11180</v>
      </c>
      <c r="S751" t="s">
        <v>9094</v>
      </c>
      <c r="T751" t="s">
        <v>11183</v>
      </c>
      <c r="V751" t="s">
        <v>738</v>
      </c>
      <c r="W751">
        <v>1995.51</v>
      </c>
      <c r="X751" t="s">
        <v>11333</v>
      </c>
      <c r="Y751" t="s">
        <v>11346</v>
      </c>
      <c r="Z751" t="s">
        <v>11473</v>
      </c>
      <c r="AA751" t="s">
        <v>15423</v>
      </c>
      <c r="AC751">
        <v>100</v>
      </c>
      <c r="AD751" t="s">
        <v>19566</v>
      </c>
      <c r="AE751" t="s">
        <v>19580</v>
      </c>
      <c r="AF751">
        <v>17</v>
      </c>
      <c r="AG751">
        <v>5</v>
      </c>
      <c r="AH751">
        <v>0</v>
      </c>
      <c r="AI751">
        <v>26.51</v>
      </c>
      <c r="AL751" t="s">
        <v>19615</v>
      </c>
      <c r="AM751">
        <v>7800</v>
      </c>
      <c r="AS751">
        <v>0.25</v>
      </c>
      <c r="AT751" t="s">
        <v>563</v>
      </c>
      <c r="AU751" t="s">
        <v>163</v>
      </c>
    </row>
    <row r="752" spans="1:48">
      <c r="A752" s="1">
        <f>HYPERLINK("https://lsnyc.legalserver.org/matter/dynamic-profile/view/1907258","19-1907258")</f>
        <v>0</v>
      </c>
      <c r="B752" t="s">
        <v>64</v>
      </c>
      <c r="C752" t="s">
        <v>256</v>
      </c>
      <c r="D752" t="s">
        <v>415</v>
      </c>
      <c r="F752" t="s">
        <v>1609</v>
      </c>
      <c r="G752" t="s">
        <v>3769</v>
      </c>
      <c r="H752" t="s">
        <v>6179</v>
      </c>
      <c r="I752" t="s">
        <v>8229</v>
      </c>
      <c r="J752" t="s">
        <v>9059</v>
      </c>
      <c r="K752">
        <v>11233</v>
      </c>
      <c r="L752" t="s">
        <v>9094</v>
      </c>
      <c r="M752" t="s">
        <v>9095</v>
      </c>
      <c r="N752" t="s">
        <v>9466</v>
      </c>
      <c r="O752" t="s">
        <v>11129</v>
      </c>
      <c r="P752" t="s">
        <v>11165</v>
      </c>
      <c r="R752" t="s">
        <v>11180</v>
      </c>
      <c r="S752" t="s">
        <v>9096</v>
      </c>
      <c r="T752" t="s">
        <v>11183</v>
      </c>
      <c r="U752" t="s">
        <v>11200</v>
      </c>
      <c r="V752" t="s">
        <v>779</v>
      </c>
      <c r="W752">
        <v>627</v>
      </c>
      <c r="X752" t="s">
        <v>11332</v>
      </c>
      <c r="Y752" t="s">
        <v>11340</v>
      </c>
      <c r="Z752" t="s">
        <v>11920</v>
      </c>
      <c r="AA752" t="s">
        <v>15424</v>
      </c>
      <c r="AB752" t="s">
        <v>16379</v>
      </c>
      <c r="AC752">
        <v>112</v>
      </c>
      <c r="AD752" t="s">
        <v>19566</v>
      </c>
      <c r="AE752" t="s">
        <v>19580</v>
      </c>
      <c r="AF752">
        <v>8</v>
      </c>
      <c r="AG752">
        <v>1</v>
      </c>
      <c r="AH752">
        <v>0</v>
      </c>
      <c r="AI752">
        <v>26.55</v>
      </c>
      <c r="AL752" t="s">
        <v>19614</v>
      </c>
      <c r="AM752">
        <v>3315.6</v>
      </c>
      <c r="AS752">
        <v>14.3</v>
      </c>
      <c r="AT752" t="s">
        <v>1130</v>
      </c>
      <c r="AU752" t="s">
        <v>20639</v>
      </c>
      <c r="AV752" t="s">
        <v>20733</v>
      </c>
    </row>
    <row r="753" spans="1:48">
      <c r="A753" s="1">
        <f>HYPERLINK("https://lsnyc.legalserver.org/matter/dynamic-profile/view/1856674","18-1856674")</f>
        <v>0</v>
      </c>
      <c r="B753" t="s">
        <v>50</v>
      </c>
      <c r="C753" t="s">
        <v>257</v>
      </c>
      <c r="D753" t="s">
        <v>630</v>
      </c>
      <c r="E753" t="s">
        <v>1129</v>
      </c>
      <c r="F753" t="s">
        <v>1610</v>
      </c>
      <c r="G753" t="s">
        <v>2008</v>
      </c>
      <c r="H753" t="s">
        <v>6180</v>
      </c>
      <c r="I753">
        <v>301</v>
      </c>
      <c r="J753" t="s">
        <v>9037</v>
      </c>
      <c r="K753">
        <v>11692</v>
      </c>
      <c r="L753" t="s">
        <v>9094</v>
      </c>
      <c r="M753" t="s">
        <v>9095</v>
      </c>
      <c r="N753" t="s">
        <v>9467</v>
      </c>
      <c r="O753" t="s">
        <v>11129</v>
      </c>
      <c r="P753" t="s">
        <v>11165</v>
      </c>
      <c r="Q753" t="s">
        <v>11174</v>
      </c>
      <c r="R753" t="s">
        <v>11180</v>
      </c>
      <c r="S753" t="s">
        <v>9096</v>
      </c>
      <c r="T753" t="s">
        <v>11183</v>
      </c>
      <c r="U753" t="s">
        <v>11199</v>
      </c>
      <c r="V753" t="s">
        <v>630</v>
      </c>
      <c r="W753">
        <v>1825</v>
      </c>
      <c r="X753" t="s">
        <v>11331</v>
      </c>
      <c r="Y753" t="s">
        <v>11340</v>
      </c>
      <c r="Z753" t="s">
        <v>11921</v>
      </c>
      <c r="AA753" t="s">
        <v>15425</v>
      </c>
      <c r="AB753" t="s">
        <v>16380</v>
      </c>
      <c r="AC753">
        <v>8</v>
      </c>
      <c r="AD753" t="s">
        <v>19565</v>
      </c>
      <c r="AE753" t="s">
        <v>19580</v>
      </c>
      <c r="AF753">
        <v>2</v>
      </c>
      <c r="AG753">
        <v>1</v>
      </c>
      <c r="AH753">
        <v>5</v>
      </c>
      <c r="AI753">
        <v>26.58</v>
      </c>
      <c r="AL753" t="s">
        <v>19614</v>
      </c>
      <c r="AM753">
        <v>8762</v>
      </c>
      <c r="AP753" t="s">
        <v>11157</v>
      </c>
      <c r="AQ753" t="s">
        <v>20369</v>
      </c>
      <c r="AR753" t="s">
        <v>20417</v>
      </c>
      <c r="AS753">
        <v>7.15</v>
      </c>
      <c r="AT753" t="s">
        <v>20590</v>
      </c>
      <c r="AU753" t="s">
        <v>20676</v>
      </c>
      <c r="AV753" t="s">
        <v>20733</v>
      </c>
    </row>
    <row r="754" spans="1:48">
      <c r="A754" s="1">
        <f>HYPERLINK("https://lsnyc.legalserver.org/matter/dynamic-profile/view/1892138","19-1892138")</f>
        <v>0</v>
      </c>
      <c r="B754" t="s">
        <v>167</v>
      </c>
      <c r="C754" t="s">
        <v>256</v>
      </c>
      <c r="D754" t="s">
        <v>428</v>
      </c>
      <c r="F754" t="s">
        <v>1244</v>
      </c>
      <c r="G754" t="s">
        <v>3770</v>
      </c>
      <c r="H754" t="s">
        <v>6181</v>
      </c>
      <c r="I754" t="s">
        <v>8107</v>
      </c>
      <c r="J754" t="s">
        <v>9059</v>
      </c>
      <c r="K754">
        <v>11208</v>
      </c>
      <c r="L754" t="s">
        <v>9094</v>
      </c>
      <c r="M754" t="s">
        <v>9094</v>
      </c>
      <c r="N754" t="s">
        <v>9468</v>
      </c>
      <c r="O754" t="s">
        <v>11129</v>
      </c>
      <c r="P754" t="s">
        <v>11164</v>
      </c>
      <c r="R754" t="s">
        <v>11180</v>
      </c>
      <c r="T754" t="s">
        <v>11183</v>
      </c>
      <c r="V754" t="s">
        <v>635</v>
      </c>
      <c r="W754">
        <v>2200</v>
      </c>
      <c r="X754" t="s">
        <v>11332</v>
      </c>
      <c r="Z754" t="s">
        <v>11922</v>
      </c>
      <c r="AA754" t="s">
        <v>15426</v>
      </c>
      <c r="AB754" t="s">
        <v>16381</v>
      </c>
      <c r="AC754">
        <v>2</v>
      </c>
      <c r="AD754" t="s">
        <v>19565</v>
      </c>
      <c r="AF754">
        <v>1</v>
      </c>
      <c r="AG754">
        <v>1</v>
      </c>
      <c r="AH754">
        <v>4</v>
      </c>
      <c r="AI754">
        <v>26.89</v>
      </c>
      <c r="AL754" t="s">
        <v>19615</v>
      </c>
      <c r="AM754">
        <v>8112</v>
      </c>
      <c r="AS754">
        <v>5.7</v>
      </c>
      <c r="AT754" t="s">
        <v>373</v>
      </c>
      <c r="AU754" t="s">
        <v>20626</v>
      </c>
    </row>
    <row r="755" spans="1:48">
      <c r="A755" s="1">
        <f>HYPERLINK("https://lsnyc.legalserver.org/matter/dynamic-profile/view/0803557","16-0803557")</f>
        <v>0</v>
      </c>
      <c r="B755" t="s">
        <v>64</v>
      </c>
      <c r="C755" t="s">
        <v>257</v>
      </c>
      <c r="D755" t="s">
        <v>631</v>
      </c>
      <c r="E755" t="s">
        <v>331</v>
      </c>
      <c r="F755" t="s">
        <v>1611</v>
      </c>
      <c r="G755" t="s">
        <v>3771</v>
      </c>
      <c r="H755" t="s">
        <v>6182</v>
      </c>
      <c r="I755" t="s">
        <v>8112</v>
      </c>
      <c r="J755" t="s">
        <v>9059</v>
      </c>
      <c r="K755">
        <v>11207</v>
      </c>
      <c r="L755" t="s">
        <v>9095</v>
      </c>
      <c r="M755" t="s">
        <v>9095</v>
      </c>
      <c r="N755" t="s">
        <v>9469</v>
      </c>
      <c r="O755" t="s">
        <v>11129</v>
      </c>
      <c r="P755" t="s">
        <v>11165</v>
      </c>
      <c r="Q755" t="s">
        <v>11174</v>
      </c>
      <c r="R755" t="s">
        <v>11180</v>
      </c>
      <c r="T755" t="s">
        <v>11183</v>
      </c>
      <c r="V755" t="s">
        <v>631</v>
      </c>
      <c r="W755">
        <v>562</v>
      </c>
      <c r="X755" t="s">
        <v>11332</v>
      </c>
      <c r="Y755" t="s">
        <v>11340</v>
      </c>
      <c r="Z755" t="s">
        <v>11923</v>
      </c>
      <c r="AB755" t="s">
        <v>16382</v>
      </c>
      <c r="AC755">
        <v>3</v>
      </c>
      <c r="AE755" t="s">
        <v>11157</v>
      </c>
      <c r="AF755">
        <v>21</v>
      </c>
      <c r="AG755">
        <v>2</v>
      </c>
      <c r="AH755">
        <v>0</v>
      </c>
      <c r="AI755">
        <v>27.27</v>
      </c>
      <c r="AL755" t="s">
        <v>19615</v>
      </c>
      <c r="AM755">
        <v>4368</v>
      </c>
      <c r="AS755">
        <v>17</v>
      </c>
      <c r="AT755" t="s">
        <v>20591</v>
      </c>
      <c r="AU755" t="s">
        <v>76</v>
      </c>
    </row>
    <row r="756" spans="1:48">
      <c r="A756" s="1">
        <f>HYPERLINK("https://lsnyc.legalserver.org/matter/dynamic-profile/view/1881373","18-1881373")</f>
        <v>0</v>
      </c>
      <c r="B756" t="s">
        <v>52</v>
      </c>
      <c r="C756" t="s">
        <v>256</v>
      </c>
      <c r="D756" t="s">
        <v>586</v>
      </c>
      <c r="F756" t="s">
        <v>1612</v>
      </c>
      <c r="G756" t="s">
        <v>3772</v>
      </c>
      <c r="H756" t="s">
        <v>6183</v>
      </c>
      <c r="I756" t="s">
        <v>8156</v>
      </c>
      <c r="J756" t="s">
        <v>9038</v>
      </c>
      <c r="K756">
        <v>11691</v>
      </c>
      <c r="L756" t="s">
        <v>9094</v>
      </c>
      <c r="M756" t="s">
        <v>9094</v>
      </c>
      <c r="N756" t="s">
        <v>9470</v>
      </c>
      <c r="O756" t="s">
        <v>11129</v>
      </c>
      <c r="P756" t="s">
        <v>11165</v>
      </c>
      <c r="R756" t="s">
        <v>11180</v>
      </c>
      <c r="S756" t="s">
        <v>9096</v>
      </c>
      <c r="T756" t="s">
        <v>11183</v>
      </c>
      <c r="U756" t="s">
        <v>11201</v>
      </c>
      <c r="V756" t="s">
        <v>586</v>
      </c>
      <c r="W756">
        <v>1956</v>
      </c>
      <c r="X756" t="s">
        <v>11331</v>
      </c>
      <c r="Y756" t="s">
        <v>11336</v>
      </c>
      <c r="Z756" t="s">
        <v>11924</v>
      </c>
      <c r="AA756" t="s">
        <v>15427</v>
      </c>
      <c r="AB756" t="s">
        <v>16383</v>
      </c>
      <c r="AC756">
        <v>108</v>
      </c>
      <c r="AD756" t="s">
        <v>19566</v>
      </c>
      <c r="AE756" t="s">
        <v>19582</v>
      </c>
      <c r="AF756">
        <v>1</v>
      </c>
      <c r="AG756">
        <v>1</v>
      </c>
      <c r="AH756">
        <v>4</v>
      </c>
      <c r="AI756">
        <v>27.31</v>
      </c>
      <c r="AL756" t="s">
        <v>19614</v>
      </c>
      <c r="AM756">
        <v>8034</v>
      </c>
      <c r="AO756" t="s">
        <v>20291</v>
      </c>
      <c r="AP756" t="s">
        <v>11157</v>
      </c>
      <c r="AQ756" t="s">
        <v>20369</v>
      </c>
      <c r="AR756" t="s">
        <v>20418</v>
      </c>
      <c r="AS756">
        <v>3.9</v>
      </c>
      <c r="AT756" t="s">
        <v>1129</v>
      </c>
      <c r="AU756" t="s">
        <v>153</v>
      </c>
    </row>
    <row r="757" spans="1:48">
      <c r="A757" s="1">
        <f>HYPERLINK("https://lsnyc.legalserver.org/matter/dynamic-profile/view/1868186","18-1868186")</f>
        <v>0</v>
      </c>
      <c r="B757" t="s">
        <v>136</v>
      </c>
      <c r="C757" t="s">
        <v>256</v>
      </c>
      <c r="D757" t="s">
        <v>380</v>
      </c>
      <c r="F757" t="s">
        <v>1613</v>
      </c>
      <c r="G757" t="s">
        <v>3773</v>
      </c>
      <c r="H757" t="s">
        <v>6184</v>
      </c>
      <c r="I757">
        <v>14</v>
      </c>
      <c r="J757" t="s">
        <v>9067</v>
      </c>
      <c r="K757">
        <v>10029</v>
      </c>
      <c r="L757" t="s">
        <v>9094</v>
      </c>
      <c r="M757" t="s">
        <v>9095</v>
      </c>
      <c r="N757" t="s">
        <v>9471</v>
      </c>
      <c r="O757" t="s">
        <v>11129</v>
      </c>
      <c r="P757" t="s">
        <v>11165</v>
      </c>
      <c r="R757" t="s">
        <v>11180</v>
      </c>
      <c r="S757" t="s">
        <v>9096</v>
      </c>
      <c r="T757" t="s">
        <v>11183</v>
      </c>
      <c r="U757" t="s">
        <v>11201</v>
      </c>
      <c r="V757" t="s">
        <v>592</v>
      </c>
      <c r="W757">
        <v>2150</v>
      </c>
      <c r="X757" t="s">
        <v>11335</v>
      </c>
      <c r="Y757" t="s">
        <v>11339</v>
      </c>
      <c r="Z757" t="s">
        <v>11925</v>
      </c>
      <c r="AC757">
        <v>25</v>
      </c>
      <c r="AD757" t="s">
        <v>19566</v>
      </c>
      <c r="AE757" t="s">
        <v>19585</v>
      </c>
      <c r="AF757">
        <v>8</v>
      </c>
      <c r="AG757">
        <v>2</v>
      </c>
      <c r="AH757">
        <v>0</v>
      </c>
      <c r="AI757">
        <v>27.41</v>
      </c>
      <c r="AM757">
        <v>4512</v>
      </c>
      <c r="AO757" t="s">
        <v>20293</v>
      </c>
      <c r="AP757" t="s">
        <v>20309</v>
      </c>
      <c r="AQ757" t="s">
        <v>20369</v>
      </c>
      <c r="AR757" t="s">
        <v>20419</v>
      </c>
      <c r="AS757">
        <v>57.65</v>
      </c>
      <c r="AT757" t="s">
        <v>404</v>
      </c>
      <c r="AU757" t="s">
        <v>20677</v>
      </c>
    </row>
    <row r="758" spans="1:48">
      <c r="A758" s="1">
        <f>HYPERLINK("https://lsnyc.legalserver.org/matter/dynamic-profile/view/1896526","19-1896526")</f>
        <v>0</v>
      </c>
      <c r="B758" t="s">
        <v>106</v>
      </c>
      <c r="C758" t="s">
        <v>256</v>
      </c>
      <c r="D758" t="s">
        <v>384</v>
      </c>
      <c r="F758" t="s">
        <v>1451</v>
      </c>
      <c r="G758" t="s">
        <v>2578</v>
      </c>
      <c r="H758" t="s">
        <v>5993</v>
      </c>
      <c r="I758" t="s">
        <v>8112</v>
      </c>
      <c r="J758" t="s">
        <v>9065</v>
      </c>
      <c r="K758">
        <v>10460</v>
      </c>
      <c r="L758" t="s">
        <v>9094</v>
      </c>
      <c r="M758" t="s">
        <v>9094</v>
      </c>
      <c r="N758" t="s">
        <v>9311</v>
      </c>
      <c r="O758" t="s">
        <v>11129</v>
      </c>
      <c r="P758" t="s">
        <v>11165</v>
      </c>
      <c r="R758" t="s">
        <v>11180</v>
      </c>
      <c r="S758" t="s">
        <v>9096</v>
      </c>
      <c r="T758" t="s">
        <v>11183</v>
      </c>
      <c r="U758" t="s">
        <v>11202</v>
      </c>
      <c r="V758" t="s">
        <v>310</v>
      </c>
      <c r="W758">
        <v>1980.45</v>
      </c>
      <c r="X758" t="s">
        <v>11333</v>
      </c>
      <c r="Y758" t="s">
        <v>11340</v>
      </c>
      <c r="Z758" t="s">
        <v>11716</v>
      </c>
      <c r="AA758" t="s">
        <v>15332</v>
      </c>
      <c r="AB758" t="s">
        <v>16182</v>
      </c>
      <c r="AC758">
        <v>0</v>
      </c>
      <c r="AD758" t="s">
        <v>19566</v>
      </c>
      <c r="AE758" t="s">
        <v>19581</v>
      </c>
      <c r="AF758">
        <v>2</v>
      </c>
      <c r="AG758">
        <v>4</v>
      </c>
      <c r="AH758">
        <v>1</v>
      </c>
      <c r="AI758">
        <v>27.47</v>
      </c>
      <c r="AL758" t="s">
        <v>19614</v>
      </c>
      <c r="AM758">
        <v>8288.799999999999</v>
      </c>
      <c r="AS758">
        <v>50.8</v>
      </c>
      <c r="AT758" t="s">
        <v>321</v>
      </c>
      <c r="AU758" t="s">
        <v>220</v>
      </c>
      <c r="AV758" t="s">
        <v>20734</v>
      </c>
    </row>
    <row r="759" spans="1:48">
      <c r="A759" s="1">
        <f>HYPERLINK("https://lsnyc.legalserver.org/matter/dynamic-profile/view/1887294","19-1887294")</f>
        <v>0</v>
      </c>
      <c r="B759" t="s">
        <v>115</v>
      </c>
      <c r="C759" t="s">
        <v>257</v>
      </c>
      <c r="D759" t="s">
        <v>402</v>
      </c>
      <c r="E759" t="s">
        <v>410</v>
      </c>
      <c r="F759" t="s">
        <v>1614</v>
      </c>
      <c r="G759" t="s">
        <v>3303</v>
      </c>
      <c r="H759" t="s">
        <v>6092</v>
      </c>
      <c r="I759" t="s">
        <v>8265</v>
      </c>
      <c r="J759" t="s">
        <v>9065</v>
      </c>
      <c r="K759">
        <v>10459</v>
      </c>
      <c r="L759" t="s">
        <v>9094</v>
      </c>
      <c r="M759" t="s">
        <v>9094</v>
      </c>
      <c r="O759" t="s">
        <v>11130</v>
      </c>
      <c r="P759" t="s">
        <v>11165</v>
      </c>
      <c r="Q759" t="s">
        <v>11174</v>
      </c>
      <c r="R759" t="s">
        <v>11180</v>
      </c>
      <c r="S759" t="s">
        <v>9094</v>
      </c>
      <c r="T759" t="s">
        <v>11183</v>
      </c>
      <c r="V759" t="s">
        <v>402</v>
      </c>
      <c r="W759">
        <v>461</v>
      </c>
      <c r="X759" t="s">
        <v>11333</v>
      </c>
      <c r="Y759" t="s">
        <v>11346</v>
      </c>
      <c r="Z759" t="s">
        <v>11926</v>
      </c>
      <c r="AB759" t="s">
        <v>16384</v>
      </c>
      <c r="AC759">
        <v>48</v>
      </c>
      <c r="AD759" t="s">
        <v>19567</v>
      </c>
      <c r="AF759">
        <v>7</v>
      </c>
      <c r="AG759">
        <v>1</v>
      </c>
      <c r="AH759">
        <v>6</v>
      </c>
      <c r="AI759">
        <v>27.48</v>
      </c>
      <c r="AM759">
        <v>10460</v>
      </c>
      <c r="AS759">
        <v>0.5</v>
      </c>
      <c r="AT759" t="s">
        <v>410</v>
      </c>
      <c r="AU759" t="s">
        <v>163</v>
      </c>
    </row>
    <row r="760" spans="1:48">
      <c r="A760" s="1">
        <f>HYPERLINK("https://lsnyc.legalserver.org/matter/dynamic-profile/view/1887728","19-1887728")</f>
        <v>0</v>
      </c>
      <c r="B760" t="s">
        <v>135</v>
      </c>
      <c r="C760" t="s">
        <v>256</v>
      </c>
      <c r="D760" t="s">
        <v>363</v>
      </c>
      <c r="F760" t="s">
        <v>1540</v>
      </c>
      <c r="G760" t="s">
        <v>3366</v>
      </c>
      <c r="H760" t="s">
        <v>6185</v>
      </c>
      <c r="I760" t="s">
        <v>8132</v>
      </c>
      <c r="J760" t="s">
        <v>9067</v>
      </c>
      <c r="K760">
        <v>10029</v>
      </c>
      <c r="L760" t="s">
        <v>9094</v>
      </c>
      <c r="M760" t="s">
        <v>9094</v>
      </c>
      <c r="N760" t="s">
        <v>9472</v>
      </c>
      <c r="O760" t="s">
        <v>11129</v>
      </c>
      <c r="P760" t="s">
        <v>11165</v>
      </c>
      <c r="R760" t="s">
        <v>11180</v>
      </c>
      <c r="S760" t="s">
        <v>9096</v>
      </c>
      <c r="T760" t="s">
        <v>11183</v>
      </c>
      <c r="U760" t="s">
        <v>11201</v>
      </c>
      <c r="V760" t="s">
        <v>633</v>
      </c>
      <c r="W760">
        <v>1311</v>
      </c>
      <c r="X760" t="s">
        <v>11335</v>
      </c>
      <c r="Y760" t="s">
        <v>11342</v>
      </c>
      <c r="Z760" t="s">
        <v>11927</v>
      </c>
      <c r="AA760" t="s">
        <v>15428</v>
      </c>
      <c r="AB760" t="s">
        <v>16385</v>
      </c>
      <c r="AC760">
        <v>13</v>
      </c>
      <c r="AD760" t="s">
        <v>19566</v>
      </c>
      <c r="AE760" t="s">
        <v>19582</v>
      </c>
      <c r="AF760">
        <v>4</v>
      </c>
      <c r="AG760">
        <v>1</v>
      </c>
      <c r="AH760">
        <v>4</v>
      </c>
      <c r="AI760">
        <v>27.66</v>
      </c>
      <c r="AL760" t="s">
        <v>19615</v>
      </c>
      <c r="AM760">
        <v>8138</v>
      </c>
      <c r="AS760">
        <v>134.9</v>
      </c>
      <c r="AT760" t="s">
        <v>488</v>
      </c>
      <c r="AU760" t="s">
        <v>20619</v>
      </c>
    </row>
    <row r="761" spans="1:48">
      <c r="A761" s="1">
        <f>HYPERLINK("https://lsnyc.legalserver.org/matter/dynamic-profile/view/1909771","19-1909771")</f>
        <v>0</v>
      </c>
      <c r="B761" t="s">
        <v>106</v>
      </c>
      <c r="C761" t="s">
        <v>256</v>
      </c>
      <c r="D761" t="s">
        <v>425</v>
      </c>
      <c r="F761" t="s">
        <v>1334</v>
      </c>
      <c r="G761" t="s">
        <v>3774</v>
      </c>
      <c r="H761" t="s">
        <v>5874</v>
      </c>
      <c r="I761" t="s">
        <v>8214</v>
      </c>
      <c r="J761" t="s">
        <v>9065</v>
      </c>
      <c r="K761">
        <v>10457</v>
      </c>
      <c r="L761" t="s">
        <v>9094</v>
      </c>
      <c r="M761" t="s">
        <v>9095</v>
      </c>
      <c r="N761" t="s">
        <v>9473</v>
      </c>
      <c r="O761" t="s">
        <v>11134</v>
      </c>
      <c r="P761" t="s">
        <v>11164</v>
      </c>
      <c r="R761" t="s">
        <v>11180</v>
      </c>
      <c r="S761" t="s">
        <v>9096</v>
      </c>
      <c r="T761" t="s">
        <v>11183</v>
      </c>
      <c r="W761">
        <v>1750</v>
      </c>
      <c r="X761" t="s">
        <v>11333</v>
      </c>
      <c r="Y761" t="s">
        <v>11346</v>
      </c>
      <c r="Z761" t="s">
        <v>11928</v>
      </c>
      <c r="AC761">
        <v>47</v>
      </c>
      <c r="AD761" t="s">
        <v>19566</v>
      </c>
      <c r="AE761" t="s">
        <v>9144</v>
      </c>
      <c r="AF761">
        <v>5</v>
      </c>
      <c r="AG761">
        <v>1</v>
      </c>
      <c r="AH761">
        <v>1</v>
      </c>
      <c r="AI761">
        <v>27.68</v>
      </c>
      <c r="AL761" t="s">
        <v>19615</v>
      </c>
      <c r="AM761">
        <v>4680</v>
      </c>
      <c r="AS761">
        <v>1</v>
      </c>
      <c r="AT761" t="s">
        <v>425</v>
      </c>
      <c r="AU761" t="s">
        <v>163</v>
      </c>
      <c r="AV761" t="s">
        <v>20733</v>
      </c>
    </row>
    <row r="762" spans="1:48">
      <c r="A762" s="1">
        <f>HYPERLINK("https://lsnyc.legalserver.org/matter/dynamic-profile/view/1902615","19-1902615")</f>
        <v>0</v>
      </c>
      <c r="B762" t="s">
        <v>111</v>
      </c>
      <c r="C762" t="s">
        <v>256</v>
      </c>
      <c r="D762" t="s">
        <v>327</v>
      </c>
      <c r="F762" t="s">
        <v>1615</v>
      </c>
      <c r="G762" t="s">
        <v>3775</v>
      </c>
      <c r="H762" t="s">
        <v>6186</v>
      </c>
      <c r="I762" t="s">
        <v>8341</v>
      </c>
      <c r="J762" t="s">
        <v>9065</v>
      </c>
      <c r="K762">
        <v>10451</v>
      </c>
      <c r="L762" t="s">
        <v>9094</v>
      </c>
      <c r="M762" t="s">
        <v>9095</v>
      </c>
      <c r="N762" t="s">
        <v>9474</v>
      </c>
      <c r="O762" t="s">
        <v>11129</v>
      </c>
      <c r="P762" t="s">
        <v>11165</v>
      </c>
      <c r="R762" t="s">
        <v>11181</v>
      </c>
      <c r="S762" t="s">
        <v>9096</v>
      </c>
      <c r="T762" t="s">
        <v>11188</v>
      </c>
      <c r="U762" t="s">
        <v>11201</v>
      </c>
      <c r="V762" t="s">
        <v>11218</v>
      </c>
      <c r="W762">
        <v>122</v>
      </c>
      <c r="X762" t="s">
        <v>11333</v>
      </c>
      <c r="Y762" t="s">
        <v>11337</v>
      </c>
      <c r="Z762" t="s">
        <v>11929</v>
      </c>
      <c r="AA762" t="s">
        <v>15429</v>
      </c>
      <c r="AB762" t="s">
        <v>16386</v>
      </c>
      <c r="AC762">
        <v>1023</v>
      </c>
      <c r="AD762" t="s">
        <v>19573</v>
      </c>
      <c r="AE762" t="s">
        <v>9144</v>
      </c>
      <c r="AF762">
        <v>2</v>
      </c>
      <c r="AG762">
        <v>1</v>
      </c>
      <c r="AH762">
        <v>2</v>
      </c>
      <c r="AI762">
        <v>27.85</v>
      </c>
      <c r="AJ762" t="s">
        <v>19591</v>
      </c>
      <c r="AK762" t="s">
        <v>19608</v>
      </c>
      <c r="AL762" t="s">
        <v>19614</v>
      </c>
      <c r="AM762">
        <v>5940</v>
      </c>
      <c r="AN762" t="s">
        <v>19729</v>
      </c>
      <c r="AS762">
        <v>30</v>
      </c>
      <c r="AT762" t="s">
        <v>632</v>
      </c>
      <c r="AU762" t="s">
        <v>20642</v>
      </c>
      <c r="AV762" t="s">
        <v>20734</v>
      </c>
    </row>
    <row r="763" spans="1:48">
      <c r="A763" s="1">
        <f>HYPERLINK("https://lsnyc.legalserver.org/matter/dynamic-profile/view/1899158","19-1899158")</f>
        <v>0</v>
      </c>
      <c r="B763" t="s">
        <v>98</v>
      </c>
      <c r="C763" t="s">
        <v>257</v>
      </c>
      <c r="D763" t="s">
        <v>492</v>
      </c>
      <c r="E763" t="s">
        <v>574</v>
      </c>
      <c r="F763" t="s">
        <v>1616</v>
      </c>
      <c r="G763" t="s">
        <v>2268</v>
      </c>
      <c r="H763" t="s">
        <v>5904</v>
      </c>
      <c r="I763" t="s">
        <v>8279</v>
      </c>
      <c r="J763" t="s">
        <v>9065</v>
      </c>
      <c r="K763">
        <v>10452</v>
      </c>
      <c r="L763" t="s">
        <v>9094</v>
      </c>
      <c r="M763" t="s">
        <v>9095</v>
      </c>
      <c r="O763" t="s">
        <v>11134</v>
      </c>
      <c r="P763" t="s">
        <v>11167</v>
      </c>
      <c r="Q763" t="s">
        <v>11173</v>
      </c>
      <c r="R763" t="s">
        <v>11180</v>
      </c>
      <c r="S763" t="s">
        <v>9094</v>
      </c>
      <c r="T763" t="s">
        <v>11183</v>
      </c>
      <c r="V763" t="s">
        <v>299</v>
      </c>
      <c r="W763">
        <v>1400</v>
      </c>
      <c r="X763" t="s">
        <v>11333</v>
      </c>
      <c r="Y763" t="s">
        <v>11346</v>
      </c>
      <c r="Z763" t="s">
        <v>11930</v>
      </c>
      <c r="AC763">
        <v>41</v>
      </c>
      <c r="AD763" t="s">
        <v>19566</v>
      </c>
      <c r="AE763" t="s">
        <v>9144</v>
      </c>
      <c r="AF763">
        <v>1</v>
      </c>
      <c r="AG763">
        <v>1</v>
      </c>
      <c r="AH763">
        <v>2</v>
      </c>
      <c r="AI763">
        <v>28.13</v>
      </c>
      <c r="AL763" t="s">
        <v>5133</v>
      </c>
      <c r="AM763">
        <v>6000</v>
      </c>
      <c r="AS763">
        <v>0.5</v>
      </c>
      <c r="AT763" t="s">
        <v>335</v>
      </c>
      <c r="AU763" t="s">
        <v>20642</v>
      </c>
      <c r="AV763" t="s">
        <v>20733</v>
      </c>
    </row>
    <row r="764" spans="1:48">
      <c r="A764" s="1">
        <f>HYPERLINK("https://lsnyc.legalserver.org/matter/dynamic-profile/view/1861958","18-1861958")</f>
        <v>0</v>
      </c>
      <c r="B764" t="s">
        <v>101</v>
      </c>
      <c r="C764" t="s">
        <v>256</v>
      </c>
      <c r="D764" t="s">
        <v>451</v>
      </c>
      <c r="F764" t="s">
        <v>1550</v>
      </c>
      <c r="G764" t="s">
        <v>3776</v>
      </c>
      <c r="H764" t="s">
        <v>5890</v>
      </c>
      <c r="I764" t="s">
        <v>8135</v>
      </c>
      <c r="J764" t="s">
        <v>9065</v>
      </c>
      <c r="K764">
        <v>10453</v>
      </c>
      <c r="L764" t="s">
        <v>9094</v>
      </c>
      <c r="M764" t="s">
        <v>9094</v>
      </c>
      <c r="N764" t="s">
        <v>9242</v>
      </c>
      <c r="O764" t="s">
        <v>11130</v>
      </c>
      <c r="P764" t="s">
        <v>11165</v>
      </c>
      <c r="R764" t="s">
        <v>11180</v>
      </c>
      <c r="S764" t="s">
        <v>9094</v>
      </c>
      <c r="T764" t="s">
        <v>11183</v>
      </c>
      <c r="V764" t="s">
        <v>874</v>
      </c>
      <c r="W764">
        <v>533.61</v>
      </c>
      <c r="X764" t="s">
        <v>11333</v>
      </c>
      <c r="Y764" t="s">
        <v>11338</v>
      </c>
      <c r="Z764" t="s">
        <v>11931</v>
      </c>
      <c r="AB764" t="s">
        <v>16387</v>
      </c>
      <c r="AC764">
        <v>46</v>
      </c>
      <c r="AD764" t="s">
        <v>19566</v>
      </c>
      <c r="AE764" t="s">
        <v>9144</v>
      </c>
      <c r="AF764">
        <v>30</v>
      </c>
      <c r="AG764">
        <v>1</v>
      </c>
      <c r="AH764">
        <v>0</v>
      </c>
      <c r="AI764">
        <v>28.27</v>
      </c>
      <c r="AL764" t="s">
        <v>19614</v>
      </c>
      <c r="AM764">
        <v>3432</v>
      </c>
      <c r="AS764">
        <v>2.7</v>
      </c>
      <c r="AT764" t="s">
        <v>361</v>
      </c>
      <c r="AU764" t="s">
        <v>174</v>
      </c>
    </row>
    <row r="765" spans="1:48">
      <c r="A765" s="1">
        <f>HYPERLINK("https://lsnyc.legalserver.org/matter/dynamic-profile/view/1878389","18-1878389")</f>
        <v>0</v>
      </c>
      <c r="B765" t="s">
        <v>168</v>
      </c>
      <c r="C765" t="s">
        <v>256</v>
      </c>
      <c r="D765" t="s">
        <v>509</v>
      </c>
      <c r="F765" t="s">
        <v>1617</v>
      </c>
      <c r="G765" t="s">
        <v>3777</v>
      </c>
      <c r="H765" t="s">
        <v>6187</v>
      </c>
      <c r="I765">
        <v>1</v>
      </c>
      <c r="J765" t="s">
        <v>9059</v>
      </c>
      <c r="K765">
        <v>11233</v>
      </c>
      <c r="L765" t="s">
        <v>9095</v>
      </c>
      <c r="M765" t="s">
        <v>9095</v>
      </c>
      <c r="R765" t="s">
        <v>11180</v>
      </c>
      <c r="T765" t="s">
        <v>11183</v>
      </c>
      <c r="W765">
        <v>0</v>
      </c>
      <c r="X765" t="s">
        <v>11332</v>
      </c>
      <c r="Z765" t="s">
        <v>11932</v>
      </c>
      <c r="AB765" t="s">
        <v>16388</v>
      </c>
      <c r="AC765">
        <v>0</v>
      </c>
      <c r="AF765">
        <v>0</v>
      </c>
      <c r="AG765">
        <v>1</v>
      </c>
      <c r="AH765">
        <v>0</v>
      </c>
      <c r="AI765">
        <v>28.37</v>
      </c>
      <c r="AL765" t="s">
        <v>19614</v>
      </c>
      <c r="AM765">
        <v>3444</v>
      </c>
      <c r="AS765">
        <v>17.95</v>
      </c>
      <c r="AT765" t="s">
        <v>750</v>
      </c>
      <c r="AU765" t="s">
        <v>20678</v>
      </c>
    </row>
    <row r="766" spans="1:48">
      <c r="A766" s="1">
        <f>HYPERLINK("https://lsnyc.legalserver.org/matter/dynamic-profile/view/1905514","19-1905514")</f>
        <v>0</v>
      </c>
      <c r="B766" t="s">
        <v>49</v>
      </c>
      <c r="C766" t="s">
        <v>256</v>
      </c>
      <c r="D766" t="s">
        <v>408</v>
      </c>
      <c r="F766" t="s">
        <v>1618</v>
      </c>
      <c r="G766" t="s">
        <v>3778</v>
      </c>
      <c r="H766" t="s">
        <v>6188</v>
      </c>
      <c r="I766" t="s">
        <v>8108</v>
      </c>
      <c r="J766" t="s">
        <v>9040</v>
      </c>
      <c r="K766">
        <v>11423</v>
      </c>
      <c r="L766" t="s">
        <v>9094</v>
      </c>
      <c r="M766" t="s">
        <v>9095</v>
      </c>
      <c r="N766" t="s">
        <v>9475</v>
      </c>
      <c r="O766" t="s">
        <v>11128</v>
      </c>
      <c r="P766" t="s">
        <v>11165</v>
      </c>
      <c r="R766" t="s">
        <v>11180</v>
      </c>
      <c r="S766" t="s">
        <v>9096</v>
      </c>
      <c r="T766" t="s">
        <v>11183</v>
      </c>
      <c r="U766" t="s">
        <v>11201</v>
      </c>
      <c r="V766" t="s">
        <v>282</v>
      </c>
      <c r="W766">
        <v>1900</v>
      </c>
      <c r="X766" t="s">
        <v>11331</v>
      </c>
      <c r="Y766" t="s">
        <v>11340</v>
      </c>
      <c r="Z766" t="s">
        <v>11933</v>
      </c>
      <c r="AB766" t="s">
        <v>16389</v>
      </c>
      <c r="AC766">
        <v>2</v>
      </c>
      <c r="AD766" t="s">
        <v>19565</v>
      </c>
      <c r="AE766" t="s">
        <v>9144</v>
      </c>
      <c r="AF766">
        <v>1</v>
      </c>
      <c r="AG766">
        <v>1</v>
      </c>
      <c r="AH766">
        <v>1</v>
      </c>
      <c r="AI766">
        <v>28.39</v>
      </c>
      <c r="AL766" t="s">
        <v>19616</v>
      </c>
      <c r="AM766">
        <v>4800</v>
      </c>
      <c r="AO766" t="s">
        <v>20297</v>
      </c>
      <c r="AP766" t="s">
        <v>11157</v>
      </c>
      <c r="AQ766" t="s">
        <v>20368</v>
      </c>
      <c r="AR766" t="s">
        <v>20420</v>
      </c>
      <c r="AS766">
        <v>27.16</v>
      </c>
      <c r="AT766" t="s">
        <v>286</v>
      </c>
      <c r="AU766" t="s">
        <v>49</v>
      </c>
      <c r="AV766" t="s">
        <v>20733</v>
      </c>
    </row>
    <row r="767" spans="1:48">
      <c r="A767" s="1">
        <f>HYPERLINK("https://lsnyc.legalserver.org/matter/dynamic-profile/view/1914730","19-1914730")</f>
        <v>0</v>
      </c>
      <c r="B767" t="s">
        <v>68</v>
      </c>
      <c r="C767" t="s">
        <v>256</v>
      </c>
      <c r="D767" t="s">
        <v>632</v>
      </c>
      <c r="F767" t="s">
        <v>1238</v>
      </c>
      <c r="G767" t="s">
        <v>3779</v>
      </c>
      <c r="H767" t="s">
        <v>6189</v>
      </c>
      <c r="I767" t="s">
        <v>8262</v>
      </c>
      <c r="J767" t="s">
        <v>9059</v>
      </c>
      <c r="K767">
        <v>11236</v>
      </c>
      <c r="L767" t="s">
        <v>9094</v>
      </c>
      <c r="M767" t="s">
        <v>9095</v>
      </c>
      <c r="N767" t="s">
        <v>9476</v>
      </c>
      <c r="O767" t="s">
        <v>11129</v>
      </c>
      <c r="P767" t="s">
        <v>11169</v>
      </c>
      <c r="R767" t="s">
        <v>11180</v>
      </c>
      <c r="S767" t="s">
        <v>9096</v>
      </c>
      <c r="T767" t="s">
        <v>11183</v>
      </c>
      <c r="V767" t="s">
        <v>632</v>
      </c>
      <c r="W767">
        <v>1400</v>
      </c>
      <c r="X767" t="s">
        <v>11332</v>
      </c>
      <c r="Y767" t="s">
        <v>11157</v>
      </c>
      <c r="Z767" t="s">
        <v>11934</v>
      </c>
      <c r="AB767" t="s">
        <v>16390</v>
      </c>
      <c r="AC767">
        <v>0</v>
      </c>
      <c r="AD767" t="s">
        <v>19573</v>
      </c>
      <c r="AE767" t="s">
        <v>9144</v>
      </c>
      <c r="AF767">
        <v>22</v>
      </c>
      <c r="AG767">
        <v>2</v>
      </c>
      <c r="AH767">
        <v>0</v>
      </c>
      <c r="AI767">
        <v>28.39</v>
      </c>
      <c r="AL767" t="s">
        <v>19614</v>
      </c>
      <c r="AM767">
        <v>4800</v>
      </c>
      <c r="AS767">
        <v>2.2</v>
      </c>
      <c r="AT767" t="s">
        <v>321</v>
      </c>
      <c r="AU767" t="s">
        <v>79</v>
      </c>
      <c r="AV767" t="s">
        <v>20733</v>
      </c>
    </row>
    <row r="768" spans="1:48">
      <c r="A768" s="1">
        <f>HYPERLINK("https://lsnyc.legalserver.org/matter/dynamic-profile/view/1914742","19-1914742")</f>
        <v>0</v>
      </c>
      <c r="B768" t="s">
        <v>69</v>
      </c>
      <c r="C768" t="s">
        <v>256</v>
      </c>
      <c r="D768" t="s">
        <v>632</v>
      </c>
      <c r="F768" t="s">
        <v>1238</v>
      </c>
      <c r="G768" t="s">
        <v>3779</v>
      </c>
      <c r="H768" t="s">
        <v>6189</v>
      </c>
      <c r="I768" t="s">
        <v>8262</v>
      </c>
      <c r="J768" t="s">
        <v>9059</v>
      </c>
      <c r="K768">
        <v>11236</v>
      </c>
      <c r="L768" t="s">
        <v>9094</v>
      </c>
      <c r="M768" t="s">
        <v>9095</v>
      </c>
      <c r="N768" t="s">
        <v>9476</v>
      </c>
      <c r="O768" t="s">
        <v>11139</v>
      </c>
      <c r="P768" t="s">
        <v>11169</v>
      </c>
      <c r="R768" t="s">
        <v>11180</v>
      </c>
      <c r="S768" t="s">
        <v>9096</v>
      </c>
      <c r="T768" t="s">
        <v>11184</v>
      </c>
      <c r="W768">
        <v>1400</v>
      </c>
      <c r="X768" t="s">
        <v>11332</v>
      </c>
      <c r="Y768" t="s">
        <v>11157</v>
      </c>
      <c r="Z768" t="s">
        <v>11934</v>
      </c>
      <c r="AB768" t="s">
        <v>16390</v>
      </c>
      <c r="AC768">
        <v>515</v>
      </c>
      <c r="AD768" t="s">
        <v>19573</v>
      </c>
      <c r="AE768" t="s">
        <v>9144</v>
      </c>
      <c r="AF768">
        <v>22</v>
      </c>
      <c r="AG768">
        <v>2</v>
      </c>
      <c r="AH768">
        <v>0</v>
      </c>
      <c r="AI768">
        <v>28.39</v>
      </c>
      <c r="AL768" t="s">
        <v>19614</v>
      </c>
      <c r="AM768">
        <v>4800</v>
      </c>
      <c r="AN768" t="s">
        <v>19730</v>
      </c>
      <c r="AS768">
        <v>2.5</v>
      </c>
      <c r="AT768" t="s">
        <v>321</v>
      </c>
      <c r="AU768" t="s">
        <v>79</v>
      </c>
      <c r="AV768" t="s">
        <v>20733</v>
      </c>
    </row>
    <row r="769" spans="1:48">
      <c r="A769" s="1">
        <f>HYPERLINK("https://lsnyc.legalserver.org/matter/dynamic-profile/view/1908080","19-1908080")</f>
        <v>0</v>
      </c>
      <c r="B769" t="s">
        <v>110</v>
      </c>
      <c r="C769" t="s">
        <v>257</v>
      </c>
      <c r="D769" t="s">
        <v>288</v>
      </c>
      <c r="E769" t="s">
        <v>632</v>
      </c>
      <c r="F769" t="s">
        <v>1362</v>
      </c>
      <c r="G769" t="s">
        <v>3780</v>
      </c>
      <c r="H769" t="s">
        <v>6190</v>
      </c>
      <c r="I769" t="s">
        <v>8262</v>
      </c>
      <c r="J769" t="s">
        <v>9065</v>
      </c>
      <c r="K769">
        <v>10452</v>
      </c>
      <c r="L769" t="s">
        <v>9094</v>
      </c>
      <c r="M769" t="s">
        <v>9095</v>
      </c>
      <c r="N769" t="s">
        <v>9171</v>
      </c>
      <c r="O769" t="s">
        <v>11129</v>
      </c>
      <c r="P769" t="s">
        <v>11164</v>
      </c>
      <c r="Q769" t="s">
        <v>11172</v>
      </c>
      <c r="R769" t="s">
        <v>11180</v>
      </c>
      <c r="S769" t="s">
        <v>9096</v>
      </c>
      <c r="T769" t="s">
        <v>11183</v>
      </c>
      <c r="U769" t="s">
        <v>11201</v>
      </c>
      <c r="V769" t="s">
        <v>292</v>
      </c>
      <c r="W769">
        <v>687.8</v>
      </c>
      <c r="X769" t="s">
        <v>11333</v>
      </c>
      <c r="Y769" t="s">
        <v>11346</v>
      </c>
      <c r="Z769" t="s">
        <v>11935</v>
      </c>
      <c r="AB769" t="s">
        <v>16391</v>
      </c>
      <c r="AC769">
        <v>73</v>
      </c>
      <c r="AD769" t="s">
        <v>19566</v>
      </c>
      <c r="AE769" t="s">
        <v>9144</v>
      </c>
      <c r="AF769">
        <v>5</v>
      </c>
      <c r="AG769">
        <v>2</v>
      </c>
      <c r="AH769">
        <v>0</v>
      </c>
      <c r="AI769">
        <v>28.39</v>
      </c>
      <c r="AL769" t="s">
        <v>19614</v>
      </c>
      <c r="AM769">
        <v>4800</v>
      </c>
      <c r="AS769">
        <v>3</v>
      </c>
      <c r="AT769" t="s">
        <v>669</v>
      </c>
      <c r="AU769" t="s">
        <v>110</v>
      </c>
      <c r="AV769" t="s">
        <v>20733</v>
      </c>
    </row>
    <row r="770" spans="1:48">
      <c r="A770" s="1">
        <f>HYPERLINK("https://lsnyc.legalserver.org/matter/dynamic-profile/view/1914991","19-1914991")</f>
        <v>0</v>
      </c>
      <c r="B770" t="s">
        <v>119</v>
      </c>
      <c r="C770" t="s">
        <v>257</v>
      </c>
      <c r="D770" t="s">
        <v>563</v>
      </c>
      <c r="E770" t="s">
        <v>321</v>
      </c>
      <c r="F770" t="s">
        <v>1619</v>
      </c>
      <c r="G770" t="s">
        <v>1193</v>
      </c>
      <c r="H770" t="s">
        <v>6191</v>
      </c>
      <c r="J770" t="s">
        <v>9065</v>
      </c>
      <c r="K770">
        <v>10451</v>
      </c>
      <c r="L770" t="s">
        <v>9094</v>
      </c>
      <c r="M770" t="s">
        <v>9095</v>
      </c>
      <c r="O770" t="s">
        <v>11152</v>
      </c>
      <c r="P770" t="s">
        <v>11167</v>
      </c>
      <c r="Q770" t="s">
        <v>11173</v>
      </c>
      <c r="R770" t="s">
        <v>11180</v>
      </c>
      <c r="S770" t="s">
        <v>9096</v>
      </c>
      <c r="T770" t="s">
        <v>11183</v>
      </c>
      <c r="W770">
        <v>508</v>
      </c>
      <c r="X770" t="s">
        <v>11333</v>
      </c>
      <c r="Y770" t="s">
        <v>11346</v>
      </c>
      <c r="Z770" t="s">
        <v>11936</v>
      </c>
      <c r="AC770">
        <v>929</v>
      </c>
      <c r="AD770" t="s">
        <v>15441</v>
      </c>
      <c r="AE770" t="s">
        <v>9144</v>
      </c>
      <c r="AF770">
        <v>6</v>
      </c>
      <c r="AG770">
        <v>1</v>
      </c>
      <c r="AH770">
        <v>1</v>
      </c>
      <c r="AI770">
        <v>28.39</v>
      </c>
      <c r="AL770" t="s">
        <v>19614</v>
      </c>
      <c r="AM770">
        <v>4800</v>
      </c>
      <c r="AS770">
        <v>1</v>
      </c>
      <c r="AT770" t="s">
        <v>321</v>
      </c>
      <c r="AU770" t="s">
        <v>163</v>
      </c>
      <c r="AV770" t="s">
        <v>20733</v>
      </c>
    </row>
    <row r="771" spans="1:48">
      <c r="A771" s="1">
        <f>HYPERLINK("https://lsnyc.legalserver.org/matter/dynamic-profile/view/1889779","19-1889779")</f>
        <v>0</v>
      </c>
      <c r="B771" t="s">
        <v>126</v>
      </c>
      <c r="C771" t="s">
        <v>256</v>
      </c>
      <c r="D771" t="s">
        <v>633</v>
      </c>
      <c r="F771" t="s">
        <v>1620</v>
      </c>
      <c r="G771" t="s">
        <v>3781</v>
      </c>
      <c r="H771" t="s">
        <v>6192</v>
      </c>
      <c r="J771" t="s">
        <v>9066</v>
      </c>
      <c r="K771">
        <v>10301</v>
      </c>
      <c r="L771" t="s">
        <v>9095</v>
      </c>
      <c r="M771" t="s">
        <v>9095</v>
      </c>
      <c r="N771" t="s">
        <v>9477</v>
      </c>
      <c r="O771" t="s">
        <v>11128</v>
      </c>
      <c r="R771" t="s">
        <v>11180</v>
      </c>
      <c r="S771" t="s">
        <v>9096</v>
      </c>
      <c r="T771" t="s">
        <v>11183</v>
      </c>
      <c r="U771" t="s">
        <v>11201</v>
      </c>
      <c r="W771">
        <v>1956</v>
      </c>
      <c r="X771" t="s">
        <v>11334</v>
      </c>
      <c r="Y771" t="s">
        <v>11338</v>
      </c>
      <c r="Z771" t="s">
        <v>11937</v>
      </c>
      <c r="AB771" t="s">
        <v>16392</v>
      </c>
      <c r="AC771">
        <v>0</v>
      </c>
      <c r="AD771" t="s">
        <v>19565</v>
      </c>
      <c r="AF771">
        <v>1</v>
      </c>
      <c r="AG771">
        <v>2</v>
      </c>
      <c r="AH771">
        <v>3</v>
      </c>
      <c r="AI771">
        <v>28.44</v>
      </c>
      <c r="AL771" t="s">
        <v>19614</v>
      </c>
      <c r="AM771">
        <v>8580</v>
      </c>
      <c r="AS771">
        <v>22.4</v>
      </c>
      <c r="AT771" t="s">
        <v>669</v>
      </c>
      <c r="AU771" t="s">
        <v>20654</v>
      </c>
    </row>
    <row r="772" spans="1:48">
      <c r="A772" s="1">
        <f>HYPERLINK("https://lsnyc.legalserver.org/matter/dynamic-profile/view/1833966","17-1833966")</f>
        <v>0</v>
      </c>
      <c r="B772" t="s">
        <v>101</v>
      </c>
      <c r="C772" t="s">
        <v>256</v>
      </c>
      <c r="D772" t="s">
        <v>538</v>
      </c>
      <c r="F772" t="s">
        <v>1550</v>
      </c>
      <c r="G772" t="s">
        <v>3776</v>
      </c>
      <c r="H772" t="s">
        <v>5890</v>
      </c>
      <c r="I772" t="s">
        <v>8135</v>
      </c>
      <c r="J772" t="s">
        <v>9065</v>
      </c>
      <c r="K772">
        <v>10453</v>
      </c>
      <c r="L772" t="s">
        <v>9094</v>
      </c>
      <c r="M772" t="s">
        <v>9095</v>
      </c>
      <c r="N772" t="s">
        <v>9478</v>
      </c>
      <c r="O772" t="s">
        <v>11130</v>
      </c>
      <c r="P772" t="s">
        <v>11165</v>
      </c>
      <c r="R772" t="s">
        <v>11180</v>
      </c>
      <c r="S772" t="s">
        <v>9094</v>
      </c>
      <c r="T772" t="s">
        <v>11183</v>
      </c>
      <c r="V772" t="s">
        <v>11219</v>
      </c>
      <c r="W772">
        <v>533.61</v>
      </c>
      <c r="X772" t="s">
        <v>11333</v>
      </c>
      <c r="Y772" t="s">
        <v>11340</v>
      </c>
      <c r="Z772" t="s">
        <v>11931</v>
      </c>
      <c r="AB772" t="s">
        <v>16387</v>
      </c>
      <c r="AC772">
        <v>46</v>
      </c>
      <c r="AD772" t="s">
        <v>19566</v>
      </c>
      <c r="AF772">
        <v>30</v>
      </c>
      <c r="AG772">
        <v>1</v>
      </c>
      <c r="AH772">
        <v>0</v>
      </c>
      <c r="AI772">
        <v>28.46</v>
      </c>
      <c r="AL772" t="s">
        <v>19614</v>
      </c>
      <c r="AM772">
        <v>3432</v>
      </c>
      <c r="AS772">
        <v>5.4</v>
      </c>
      <c r="AT772" t="s">
        <v>737</v>
      </c>
      <c r="AU772" t="s">
        <v>20643</v>
      </c>
    </row>
    <row r="773" spans="1:48">
      <c r="A773" s="1">
        <f>HYPERLINK("https://lsnyc.legalserver.org/matter/dynamic-profile/view/1885583","18-1885583")</f>
        <v>0</v>
      </c>
      <c r="B773" t="s">
        <v>71</v>
      </c>
      <c r="C773" t="s">
        <v>256</v>
      </c>
      <c r="D773" t="s">
        <v>634</v>
      </c>
      <c r="F773" t="s">
        <v>1621</v>
      </c>
      <c r="G773" t="s">
        <v>3782</v>
      </c>
      <c r="H773" t="s">
        <v>6193</v>
      </c>
      <c r="I773" t="s">
        <v>8140</v>
      </c>
      <c r="J773" t="s">
        <v>9059</v>
      </c>
      <c r="K773">
        <v>11233</v>
      </c>
      <c r="L773" t="s">
        <v>9094</v>
      </c>
      <c r="M773" t="s">
        <v>9094</v>
      </c>
      <c r="N773" t="s">
        <v>9479</v>
      </c>
      <c r="O773" t="s">
        <v>11129</v>
      </c>
      <c r="P773" t="s">
        <v>11165</v>
      </c>
      <c r="R773" t="s">
        <v>11180</v>
      </c>
      <c r="S773" t="s">
        <v>9096</v>
      </c>
      <c r="T773" t="s">
        <v>11183</v>
      </c>
      <c r="V773" t="s">
        <v>11240</v>
      </c>
      <c r="W773">
        <v>619</v>
      </c>
      <c r="X773" t="s">
        <v>11332</v>
      </c>
      <c r="Y773" t="s">
        <v>11340</v>
      </c>
      <c r="Z773" t="s">
        <v>11938</v>
      </c>
      <c r="AA773" t="s">
        <v>15430</v>
      </c>
      <c r="AB773" t="s">
        <v>16393</v>
      </c>
      <c r="AC773">
        <v>34</v>
      </c>
      <c r="AD773" t="s">
        <v>19566</v>
      </c>
      <c r="AE773" t="s">
        <v>9144</v>
      </c>
      <c r="AF773">
        <v>6</v>
      </c>
      <c r="AG773">
        <v>1</v>
      </c>
      <c r="AH773">
        <v>0</v>
      </c>
      <c r="AI773">
        <v>28.67</v>
      </c>
      <c r="AL773" t="s">
        <v>19614</v>
      </c>
      <c r="AM773">
        <v>3480</v>
      </c>
      <c r="AS773">
        <v>44.5</v>
      </c>
      <c r="AT773" t="s">
        <v>496</v>
      </c>
      <c r="AU773" t="s">
        <v>79</v>
      </c>
    </row>
    <row r="774" spans="1:48">
      <c r="A774" s="1">
        <f>HYPERLINK("https://lsnyc.legalserver.org/matter/dynamic-profile/view/1892407","19-1892407")</f>
        <v>0</v>
      </c>
      <c r="B774" t="s">
        <v>84</v>
      </c>
      <c r="C774" t="s">
        <v>256</v>
      </c>
      <c r="D774" t="s">
        <v>635</v>
      </c>
      <c r="F774" t="s">
        <v>1622</v>
      </c>
      <c r="G774" t="s">
        <v>3783</v>
      </c>
      <c r="H774" t="s">
        <v>6194</v>
      </c>
      <c r="I774" t="s">
        <v>8342</v>
      </c>
      <c r="J774" t="s">
        <v>9059</v>
      </c>
      <c r="K774">
        <v>11203</v>
      </c>
      <c r="L774" t="s">
        <v>9094</v>
      </c>
      <c r="M774" t="s">
        <v>9094</v>
      </c>
      <c r="N774" t="s">
        <v>9480</v>
      </c>
      <c r="O774" t="s">
        <v>11130</v>
      </c>
      <c r="P774" t="s">
        <v>11165</v>
      </c>
      <c r="R774" t="s">
        <v>11180</v>
      </c>
      <c r="T774" t="s">
        <v>11183</v>
      </c>
      <c r="V774" t="s">
        <v>635</v>
      </c>
      <c r="W774">
        <v>0</v>
      </c>
      <c r="X774" t="s">
        <v>11332</v>
      </c>
      <c r="Z774" t="s">
        <v>11615</v>
      </c>
      <c r="AB774" t="s">
        <v>16394</v>
      </c>
      <c r="AC774">
        <v>0</v>
      </c>
      <c r="AF774">
        <v>0</v>
      </c>
      <c r="AG774">
        <v>1</v>
      </c>
      <c r="AH774">
        <v>0</v>
      </c>
      <c r="AI774">
        <v>28.82</v>
      </c>
      <c r="AL774" t="s">
        <v>19614</v>
      </c>
      <c r="AM774">
        <v>3600</v>
      </c>
      <c r="AS774">
        <v>19.1</v>
      </c>
      <c r="AT774" t="s">
        <v>615</v>
      </c>
      <c r="AU774" t="s">
        <v>215</v>
      </c>
    </row>
    <row r="775" spans="1:48">
      <c r="A775" s="1">
        <f>HYPERLINK("https://lsnyc.legalserver.org/matter/dynamic-profile/view/1907161","19-1907161")</f>
        <v>0</v>
      </c>
      <c r="B775" t="s">
        <v>59</v>
      </c>
      <c r="C775" t="s">
        <v>257</v>
      </c>
      <c r="D775" t="s">
        <v>636</v>
      </c>
      <c r="E775" t="s">
        <v>1076</v>
      </c>
      <c r="F775" t="s">
        <v>1623</v>
      </c>
      <c r="G775" t="s">
        <v>3784</v>
      </c>
      <c r="H775" t="s">
        <v>6195</v>
      </c>
      <c r="I775" t="s">
        <v>8209</v>
      </c>
      <c r="J775" t="s">
        <v>9064</v>
      </c>
      <c r="K775">
        <v>11101</v>
      </c>
      <c r="L775" t="s">
        <v>9094</v>
      </c>
      <c r="M775" t="s">
        <v>9095</v>
      </c>
      <c r="O775" t="s">
        <v>11136</v>
      </c>
      <c r="P775" t="s">
        <v>11164</v>
      </c>
      <c r="Q775" t="s">
        <v>11172</v>
      </c>
      <c r="R775" t="s">
        <v>11180</v>
      </c>
      <c r="S775" t="s">
        <v>9096</v>
      </c>
      <c r="T775" t="s">
        <v>11183</v>
      </c>
      <c r="U775" t="s">
        <v>11201</v>
      </c>
      <c r="V775" t="s">
        <v>1076</v>
      </c>
      <c r="W775">
        <v>1046</v>
      </c>
      <c r="X775" t="s">
        <v>11331</v>
      </c>
      <c r="Y775" t="s">
        <v>11342</v>
      </c>
      <c r="Z775" t="s">
        <v>11939</v>
      </c>
      <c r="AA775" t="s">
        <v>15274</v>
      </c>
      <c r="AB775" t="s">
        <v>15274</v>
      </c>
      <c r="AC775">
        <v>6</v>
      </c>
      <c r="AD775" t="s">
        <v>19566</v>
      </c>
      <c r="AE775" t="s">
        <v>9144</v>
      </c>
      <c r="AF775">
        <v>20</v>
      </c>
      <c r="AG775">
        <v>1</v>
      </c>
      <c r="AH775">
        <v>0</v>
      </c>
      <c r="AI775">
        <v>28.82</v>
      </c>
      <c r="AL775" t="s">
        <v>19614</v>
      </c>
      <c r="AM775">
        <v>3600</v>
      </c>
      <c r="AS775">
        <v>1.95</v>
      </c>
      <c r="AT775" t="s">
        <v>1076</v>
      </c>
      <c r="AU775" t="s">
        <v>20639</v>
      </c>
      <c r="AV775" t="s">
        <v>20733</v>
      </c>
    </row>
    <row r="776" spans="1:48">
      <c r="A776" s="1">
        <f>HYPERLINK("https://lsnyc.legalserver.org/matter/dynamic-profile/view/1885196","18-1885196")</f>
        <v>0</v>
      </c>
      <c r="B776" t="s">
        <v>98</v>
      </c>
      <c r="C776" t="s">
        <v>257</v>
      </c>
      <c r="D776" t="s">
        <v>448</v>
      </c>
      <c r="E776" t="s">
        <v>574</v>
      </c>
      <c r="F776" t="s">
        <v>1616</v>
      </c>
      <c r="G776" t="s">
        <v>2268</v>
      </c>
      <c r="H776" t="s">
        <v>5904</v>
      </c>
      <c r="I776" t="s">
        <v>8279</v>
      </c>
      <c r="J776" t="s">
        <v>9065</v>
      </c>
      <c r="K776">
        <v>10452</v>
      </c>
      <c r="L776" t="s">
        <v>9094</v>
      </c>
      <c r="M776" t="s">
        <v>9094</v>
      </c>
      <c r="N776" t="s">
        <v>9397</v>
      </c>
      <c r="O776" t="s">
        <v>11130</v>
      </c>
      <c r="P776" t="s">
        <v>11165</v>
      </c>
      <c r="Q776" t="s">
        <v>11174</v>
      </c>
      <c r="R776" t="s">
        <v>11180</v>
      </c>
      <c r="S776" t="s">
        <v>9094</v>
      </c>
      <c r="T776" t="s">
        <v>11183</v>
      </c>
      <c r="V776" t="s">
        <v>266</v>
      </c>
      <c r="W776">
        <v>1400</v>
      </c>
      <c r="X776" t="s">
        <v>11333</v>
      </c>
      <c r="Y776" t="s">
        <v>11346</v>
      </c>
      <c r="Z776" t="s">
        <v>11930</v>
      </c>
      <c r="AC776">
        <v>41</v>
      </c>
      <c r="AD776" t="s">
        <v>19566</v>
      </c>
      <c r="AE776" t="s">
        <v>9144</v>
      </c>
      <c r="AF776">
        <v>1</v>
      </c>
      <c r="AG776">
        <v>1</v>
      </c>
      <c r="AH776">
        <v>2</v>
      </c>
      <c r="AI776">
        <v>28.87</v>
      </c>
      <c r="AL776" t="s">
        <v>5133</v>
      </c>
      <c r="AM776">
        <v>6000</v>
      </c>
      <c r="AN776" t="s">
        <v>19731</v>
      </c>
      <c r="AS776">
        <v>0.65</v>
      </c>
      <c r="AT776" t="s">
        <v>335</v>
      </c>
      <c r="AU776" t="s">
        <v>20642</v>
      </c>
    </row>
    <row r="777" spans="1:48">
      <c r="A777" s="1">
        <f>HYPERLINK("https://lsnyc.legalserver.org/matter/dynamic-profile/view/0797650","16-0797650")</f>
        <v>0</v>
      </c>
      <c r="B777" t="s">
        <v>101</v>
      </c>
      <c r="C777" t="s">
        <v>256</v>
      </c>
      <c r="D777" t="s">
        <v>528</v>
      </c>
      <c r="F777" t="s">
        <v>1550</v>
      </c>
      <c r="G777" t="s">
        <v>3776</v>
      </c>
      <c r="H777" t="s">
        <v>5890</v>
      </c>
      <c r="I777" t="s">
        <v>8135</v>
      </c>
      <c r="J777" t="s">
        <v>9065</v>
      </c>
      <c r="K777">
        <v>10453</v>
      </c>
      <c r="L777" t="s">
        <v>9094</v>
      </c>
      <c r="M777" t="s">
        <v>9095</v>
      </c>
      <c r="N777" t="s">
        <v>9310</v>
      </c>
      <c r="O777" t="s">
        <v>11147</v>
      </c>
      <c r="P777" t="s">
        <v>11165</v>
      </c>
      <c r="R777" t="s">
        <v>11180</v>
      </c>
      <c r="S777" t="s">
        <v>9094</v>
      </c>
      <c r="T777" t="s">
        <v>11183</v>
      </c>
      <c r="V777" t="s">
        <v>884</v>
      </c>
      <c r="W777">
        <v>533.61</v>
      </c>
      <c r="X777" t="s">
        <v>11333</v>
      </c>
      <c r="Y777" t="s">
        <v>11346</v>
      </c>
      <c r="Z777" t="s">
        <v>11931</v>
      </c>
      <c r="AB777" t="s">
        <v>16387</v>
      </c>
      <c r="AC777">
        <v>0</v>
      </c>
      <c r="AD777" t="s">
        <v>19566</v>
      </c>
      <c r="AF777">
        <v>30</v>
      </c>
      <c r="AG777">
        <v>1</v>
      </c>
      <c r="AH777">
        <v>0</v>
      </c>
      <c r="AI777">
        <v>28.89</v>
      </c>
      <c r="AL777" t="s">
        <v>19614</v>
      </c>
      <c r="AM777">
        <v>3432</v>
      </c>
      <c r="AS777">
        <v>315.35</v>
      </c>
      <c r="AT777" t="s">
        <v>444</v>
      </c>
      <c r="AU777" t="s">
        <v>109</v>
      </c>
    </row>
    <row r="778" spans="1:48">
      <c r="A778" s="1">
        <f>HYPERLINK("https://lsnyc.legalserver.org/matter/dynamic-profile/view/1865923","18-1865923")</f>
        <v>0</v>
      </c>
      <c r="B778" t="s">
        <v>118</v>
      </c>
      <c r="C778" t="s">
        <v>257</v>
      </c>
      <c r="D778" t="s">
        <v>637</v>
      </c>
      <c r="E778" t="s">
        <v>367</v>
      </c>
      <c r="F778" t="s">
        <v>1212</v>
      </c>
      <c r="G778" t="s">
        <v>3756</v>
      </c>
      <c r="H778" t="s">
        <v>6158</v>
      </c>
      <c r="I778" t="s">
        <v>8288</v>
      </c>
      <c r="J778" t="s">
        <v>9065</v>
      </c>
      <c r="K778">
        <v>10452</v>
      </c>
      <c r="L778" t="s">
        <v>9094</v>
      </c>
      <c r="M778" t="s">
        <v>9095</v>
      </c>
      <c r="O778" t="s">
        <v>11137</v>
      </c>
      <c r="P778" t="s">
        <v>11166</v>
      </c>
      <c r="Q778" t="s">
        <v>11173</v>
      </c>
      <c r="R778" t="s">
        <v>11180</v>
      </c>
      <c r="S778" t="s">
        <v>9094</v>
      </c>
      <c r="T778" t="s">
        <v>11183</v>
      </c>
      <c r="V778" t="s">
        <v>11219</v>
      </c>
      <c r="W778">
        <v>1377.86</v>
      </c>
      <c r="X778" t="s">
        <v>11333</v>
      </c>
      <c r="Y778" t="s">
        <v>11346</v>
      </c>
      <c r="Z778" t="s">
        <v>11893</v>
      </c>
      <c r="AA778" t="s">
        <v>15431</v>
      </c>
      <c r="AB778" t="s">
        <v>16356</v>
      </c>
      <c r="AC778">
        <v>0</v>
      </c>
      <c r="AD778" t="s">
        <v>19566</v>
      </c>
      <c r="AE778" t="s">
        <v>19580</v>
      </c>
      <c r="AF778">
        <v>11</v>
      </c>
      <c r="AG778">
        <v>1</v>
      </c>
      <c r="AH778">
        <v>1</v>
      </c>
      <c r="AI778">
        <v>29.02</v>
      </c>
      <c r="AL778" t="s">
        <v>19614</v>
      </c>
      <c r="AM778">
        <v>4776</v>
      </c>
      <c r="AS778">
        <v>0.5</v>
      </c>
      <c r="AT778" t="s">
        <v>367</v>
      </c>
      <c r="AU778" t="s">
        <v>20647</v>
      </c>
      <c r="AV778" t="s">
        <v>20733</v>
      </c>
    </row>
    <row r="779" spans="1:48">
      <c r="A779" s="1">
        <f>HYPERLINK("https://lsnyc.legalserver.org/matter/dynamic-profile/view/1859708","18-1859708")</f>
        <v>0</v>
      </c>
      <c r="B779" t="s">
        <v>111</v>
      </c>
      <c r="C779" t="s">
        <v>256</v>
      </c>
      <c r="D779" t="s">
        <v>638</v>
      </c>
      <c r="F779" t="s">
        <v>1615</v>
      </c>
      <c r="G779" t="s">
        <v>3775</v>
      </c>
      <c r="H779" t="s">
        <v>6186</v>
      </c>
      <c r="I779" t="s">
        <v>8341</v>
      </c>
      <c r="J779" t="s">
        <v>9065</v>
      </c>
      <c r="K779">
        <v>10451</v>
      </c>
      <c r="L779" t="s">
        <v>9094</v>
      </c>
      <c r="M779" t="s">
        <v>9095</v>
      </c>
      <c r="N779">
        <v>884266</v>
      </c>
      <c r="O779" t="s">
        <v>11153</v>
      </c>
      <c r="P779" t="s">
        <v>11168</v>
      </c>
      <c r="R779" t="s">
        <v>11181</v>
      </c>
      <c r="S779" t="s">
        <v>9096</v>
      </c>
      <c r="T779" t="s">
        <v>11188</v>
      </c>
      <c r="V779" t="s">
        <v>836</v>
      </c>
      <c r="W779">
        <v>122</v>
      </c>
      <c r="X779" t="s">
        <v>11333</v>
      </c>
      <c r="Y779" t="s">
        <v>11337</v>
      </c>
      <c r="Z779" t="s">
        <v>11929</v>
      </c>
      <c r="AA779" t="s">
        <v>15429</v>
      </c>
      <c r="AB779" t="s">
        <v>16386</v>
      </c>
      <c r="AC779">
        <v>1023</v>
      </c>
      <c r="AD779" t="s">
        <v>19573</v>
      </c>
      <c r="AE779" t="s">
        <v>9144</v>
      </c>
      <c r="AF779">
        <v>1</v>
      </c>
      <c r="AG779">
        <v>1</v>
      </c>
      <c r="AH779">
        <v>2</v>
      </c>
      <c r="AI779">
        <v>29.09</v>
      </c>
      <c r="AJ779" t="s">
        <v>19591</v>
      </c>
      <c r="AK779" t="s">
        <v>19608</v>
      </c>
      <c r="AL779" t="s">
        <v>19614</v>
      </c>
      <c r="AM779">
        <v>5940</v>
      </c>
      <c r="AS779">
        <v>35.95</v>
      </c>
      <c r="AT779" t="s">
        <v>270</v>
      </c>
      <c r="AU779" t="s">
        <v>228</v>
      </c>
    </row>
    <row r="780" spans="1:48">
      <c r="A780" s="1">
        <f>HYPERLINK("https://lsnyc.legalserver.org/matter/dynamic-profile/view/1881209","18-1881209")</f>
        <v>0</v>
      </c>
      <c r="B780" t="s">
        <v>111</v>
      </c>
      <c r="C780" t="s">
        <v>256</v>
      </c>
      <c r="D780" t="s">
        <v>639</v>
      </c>
      <c r="F780" t="s">
        <v>1434</v>
      </c>
      <c r="G780" t="s">
        <v>3616</v>
      </c>
      <c r="H780" t="s">
        <v>5979</v>
      </c>
      <c r="I780">
        <v>315</v>
      </c>
      <c r="J780" t="s">
        <v>9065</v>
      </c>
      <c r="K780">
        <v>10459</v>
      </c>
      <c r="L780" t="s">
        <v>9094</v>
      </c>
      <c r="M780" t="s">
        <v>9094</v>
      </c>
      <c r="O780" t="s">
        <v>11154</v>
      </c>
      <c r="P780" t="s">
        <v>11170</v>
      </c>
      <c r="R780" t="s">
        <v>11180</v>
      </c>
      <c r="S780" t="s">
        <v>9096</v>
      </c>
      <c r="T780" t="s">
        <v>11190</v>
      </c>
      <c r="V780" t="s">
        <v>639</v>
      </c>
      <c r="W780">
        <v>1640.18</v>
      </c>
      <c r="X780" t="s">
        <v>11333</v>
      </c>
      <c r="Y780" t="s">
        <v>11340</v>
      </c>
      <c r="Z780" t="s">
        <v>11697</v>
      </c>
      <c r="AB780" t="s">
        <v>16169</v>
      </c>
      <c r="AC780">
        <v>123</v>
      </c>
      <c r="AD780" t="s">
        <v>19566</v>
      </c>
      <c r="AE780" t="s">
        <v>9144</v>
      </c>
      <c r="AF780">
        <v>11</v>
      </c>
      <c r="AG780">
        <v>2</v>
      </c>
      <c r="AH780">
        <v>0</v>
      </c>
      <c r="AI780">
        <v>29.16</v>
      </c>
      <c r="AL780" t="s">
        <v>19614</v>
      </c>
      <c r="AM780">
        <v>4800</v>
      </c>
      <c r="AS780">
        <v>180</v>
      </c>
      <c r="AT780" t="s">
        <v>1063</v>
      </c>
      <c r="AU780" t="s">
        <v>20642</v>
      </c>
    </row>
    <row r="781" spans="1:48">
      <c r="A781" s="1">
        <f>HYPERLINK("https://lsnyc.legalserver.org/matter/dynamic-profile/view/1881190","18-1881190")</f>
        <v>0</v>
      </c>
      <c r="B781" t="s">
        <v>111</v>
      </c>
      <c r="C781" t="s">
        <v>256</v>
      </c>
      <c r="D781" t="s">
        <v>639</v>
      </c>
      <c r="F781" t="s">
        <v>1434</v>
      </c>
      <c r="G781" t="s">
        <v>3616</v>
      </c>
      <c r="H781" t="s">
        <v>5979</v>
      </c>
      <c r="I781">
        <v>315</v>
      </c>
      <c r="J781" t="s">
        <v>9065</v>
      </c>
      <c r="K781">
        <v>10459</v>
      </c>
      <c r="L781" t="s">
        <v>9094</v>
      </c>
      <c r="M781" t="s">
        <v>9094</v>
      </c>
      <c r="N781" t="s">
        <v>9481</v>
      </c>
      <c r="O781" t="s">
        <v>11129</v>
      </c>
      <c r="P781" t="s">
        <v>11165</v>
      </c>
      <c r="R781" t="s">
        <v>11180</v>
      </c>
      <c r="S781" t="s">
        <v>9096</v>
      </c>
      <c r="T781" t="s">
        <v>11183</v>
      </c>
      <c r="U781" t="s">
        <v>11201</v>
      </c>
      <c r="V781" t="s">
        <v>639</v>
      </c>
      <c r="W781">
        <v>1640.18</v>
      </c>
      <c r="X781" t="s">
        <v>11333</v>
      </c>
      <c r="Y781" t="s">
        <v>11340</v>
      </c>
      <c r="Z781" t="s">
        <v>11697</v>
      </c>
      <c r="AB781" t="s">
        <v>16169</v>
      </c>
      <c r="AC781">
        <v>123</v>
      </c>
      <c r="AD781" t="s">
        <v>19566</v>
      </c>
      <c r="AE781" t="s">
        <v>9144</v>
      </c>
      <c r="AF781">
        <v>11</v>
      </c>
      <c r="AG781">
        <v>2</v>
      </c>
      <c r="AH781">
        <v>0</v>
      </c>
      <c r="AI781">
        <v>29.16</v>
      </c>
      <c r="AL781" t="s">
        <v>19614</v>
      </c>
      <c r="AM781">
        <v>4800</v>
      </c>
      <c r="AS781">
        <v>84.09999999999999</v>
      </c>
      <c r="AT781" t="s">
        <v>806</v>
      </c>
      <c r="AU781" t="s">
        <v>20642</v>
      </c>
    </row>
    <row r="782" spans="1:48">
      <c r="A782" s="1">
        <f>HYPERLINK("https://lsnyc.legalserver.org/matter/dynamic-profile/view/1882286","18-1882286")</f>
        <v>0</v>
      </c>
      <c r="B782" t="s">
        <v>114</v>
      </c>
      <c r="C782" t="s">
        <v>257</v>
      </c>
      <c r="D782" t="s">
        <v>581</v>
      </c>
      <c r="E782" t="s">
        <v>563</v>
      </c>
      <c r="F782" t="s">
        <v>1624</v>
      </c>
      <c r="G782" t="s">
        <v>3448</v>
      </c>
      <c r="H782" t="s">
        <v>5907</v>
      </c>
      <c r="I782" t="s">
        <v>8343</v>
      </c>
      <c r="J782" t="s">
        <v>9065</v>
      </c>
      <c r="K782">
        <v>10451</v>
      </c>
      <c r="L782" t="s">
        <v>9094</v>
      </c>
      <c r="M782" t="s">
        <v>9094</v>
      </c>
      <c r="N782" t="s">
        <v>9259</v>
      </c>
      <c r="O782" t="s">
        <v>11130</v>
      </c>
      <c r="P782" t="s">
        <v>11165</v>
      </c>
      <c r="Q782" t="s">
        <v>11174</v>
      </c>
      <c r="R782" t="s">
        <v>11180</v>
      </c>
      <c r="S782" t="s">
        <v>9094</v>
      </c>
      <c r="T782" t="s">
        <v>11183</v>
      </c>
      <c r="V782" t="s">
        <v>738</v>
      </c>
      <c r="W782">
        <v>1053.15</v>
      </c>
      <c r="X782" t="s">
        <v>11333</v>
      </c>
      <c r="Y782" t="s">
        <v>11346</v>
      </c>
      <c r="Z782" t="s">
        <v>11940</v>
      </c>
      <c r="AB782" t="s">
        <v>16395</v>
      </c>
      <c r="AC782">
        <v>100</v>
      </c>
      <c r="AD782" t="s">
        <v>19566</v>
      </c>
      <c r="AE782" t="s">
        <v>9144</v>
      </c>
      <c r="AF782">
        <v>21</v>
      </c>
      <c r="AG782">
        <v>2</v>
      </c>
      <c r="AH782">
        <v>0</v>
      </c>
      <c r="AI782">
        <v>29.16</v>
      </c>
      <c r="AL782" t="s">
        <v>19615</v>
      </c>
      <c r="AM782">
        <v>4800</v>
      </c>
      <c r="AS782">
        <v>0.25</v>
      </c>
      <c r="AT782" t="s">
        <v>563</v>
      </c>
      <c r="AU782" t="s">
        <v>163</v>
      </c>
    </row>
    <row r="783" spans="1:48">
      <c r="A783" s="1">
        <f>HYPERLINK("https://lsnyc.legalserver.org/matter/dynamic-profile/view/1884754","18-1884754")</f>
        <v>0</v>
      </c>
      <c r="B783" t="s">
        <v>102</v>
      </c>
      <c r="C783" t="s">
        <v>256</v>
      </c>
      <c r="D783" t="s">
        <v>622</v>
      </c>
      <c r="F783" t="s">
        <v>1625</v>
      </c>
      <c r="G783" t="s">
        <v>3785</v>
      </c>
      <c r="H783" t="s">
        <v>6196</v>
      </c>
      <c r="I783" t="s">
        <v>8133</v>
      </c>
      <c r="J783" t="s">
        <v>9065</v>
      </c>
      <c r="K783">
        <v>10458</v>
      </c>
      <c r="L783" t="s">
        <v>9094</v>
      </c>
      <c r="M783" t="s">
        <v>9096</v>
      </c>
      <c r="O783" t="s">
        <v>11130</v>
      </c>
      <c r="P783" t="s">
        <v>11164</v>
      </c>
      <c r="R783" t="s">
        <v>11180</v>
      </c>
      <c r="S783" t="s">
        <v>9096</v>
      </c>
      <c r="T783" t="s">
        <v>11183</v>
      </c>
      <c r="V783" t="s">
        <v>11218</v>
      </c>
      <c r="W783">
        <v>921</v>
      </c>
      <c r="X783" t="s">
        <v>11333</v>
      </c>
      <c r="Y783" t="s">
        <v>11346</v>
      </c>
      <c r="Z783" t="s">
        <v>11941</v>
      </c>
      <c r="AB783" t="s">
        <v>16396</v>
      </c>
      <c r="AC783">
        <v>0</v>
      </c>
      <c r="AD783" t="s">
        <v>19566</v>
      </c>
      <c r="AE783" t="s">
        <v>9144</v>
      </c>
      <c r="AF783">
        <v>0</v>
      </c>
      <c r="AG783">
        <v>1</v>
      </c>
      <c r="AH783">
        <v>0</v>
      </c>
      <c r="AI783">
        <v>29.24</v>
      </c>
      <c r="AL783" t="s">
        <v>19615</v>
      </c>
      <c r="AM783">
        <v>3550</v>
      </c>
      <c r="AN783" t="s">
        <v>19732</v>
      </c>
      <c r="AS783">
        <v>0</v>
      </c>
      <c r="AU783" t="s">
        <v>20647</v>
      </c>
      <c r="AV783" t="s">
        <v>20733</v>
      </c>
    </row>
    <row r="784" spans="1:48">
      <c r="A784" s="1">
        <f>HYPERLINK("https://lsnyc.legalserver.org/matter/dynamic-profile/view/1914262","19-1914262")</f>
        <v>0</v>
      </c>
      <c r="B784" t="s">
        <v>71</v>
      </c>
      <c r="C784" t="s">
        <v>256</v>
      </c>
      <c r="D784" t="s">
        <v>496</v>
      </c>
      <c r="F784" t="s">
        <v>1626</v>
      </c>
      <c r="G784" t="s">
        <v>3786</v>
      </c>
      <c r="H784" t="s">
        <v>6197</v>
      </c>
      <c r="I784" t="s">
        <v>8262</v>
      </c>
      <c r="J784" t="s">
        <v>9059</v>
      </c>
      <c r="K784">
        <v>11212</v>
      </c>
      <c r="L784" t="s">
        <v>9095</v>
      </c>
      <c r="M784" t="s">
        <v>9095</v>
      </c>
      <c r="N784" t="s">
        <v>9482</v>
      </c>
      <c r="O784" t="s">
        <v>11128</v>
      </c>
      <c r="P784" t="s">
        <v>11169</v>
      </c>
      <c r="R784" t="s">
        <v>11180</v>
      </c>
      <c r="S784" t="s">
        <v>9096</v>
      </c>
      <c r="T784" t="s">
        <v>11183</v>
      </c>
      <c r="W784">
        <v>947</v>
      </c>
      <c r="X784" t="s">
        <v>11332</v>
      </c>
      <c r="Y784" t="s">
        <v>11340</v>
      </c>
      <c r="Z784" t="s">
        <v>11942</v>
      </c>
      <c r="AB784" t="s">
        <v>16397</v>
      </c>
      <c r="AC784">
        <v>54</v>
      </c>
      <c r="AD784" t="s">
        <v>19566</v>
      </c>
      <c r="AF784">
        <v>6</v>
      </c>
      <c r="AG784">
        <v>1</v>
      </c>
      <c r="AH784">
        <v>0</v>
      </c>
      <c r="AI784">
        <v>29.3</v>
      </c>
      <c r="AL784" t="s">
        <v>19614</v>
      </c>
      <c r="AM784">
        <v>3660</v>
      </c>
      <c r="AS784">
        <v>2</v>
      </c>
      <c r="AT784" t="s">
        <v>270</v>
      </c>
      <c r="AU784" t="s">
        <v>20656</v>
      </c>
    </row>
    <row r="785" spans="1:48">
      <c r="A785" s="1">
        <f>HYPERLINK("https://lsnyc.legalserver.org/matter/dynamic-profile/view/1907511","19-1907511")</f>
        <v>0</v>
      </c>
      <c r="B785" t="s">
        <v>49</v>
      </c>
      <c r="C785" t="s">
        <v>257</v>
      </c>
      <c r="D785" t="s">
        <v>275</v>
      </c>
      <c r="E785" t="s">
        <v>1076</v>
      </c>
      <c r="F785" t="s">
        <v>1627</v>
      </c>
      <c r="G785" t="s">
        <v>3787</v>
      </c>
      <c r="H785" t="s">
        <v>6198</v>
      </c>
      <c r="I785">
        <v>1</v>
      </c>
      <c r="J785" t="s">
        <v>9072</v>
      </c>
      <c r="K785">
        <v>11413</v>
      </c>
      <c r="L785" t="s">
        <v>9094</v>
      </c>
      <c r="M785" t="s">
        <v>9095</v>
      </c>
      <c r="N785" t="s">
        <v>9483</v>
      </c>
      <c r="O785" t="s">
        <v>11128</v>
      </c>
      <c r="P785" t="s">
        <v>11164</v>
      </c>
      <c r="Q785" t="s">
        <v>11172</v>
      </c>
      <c r="R785" t="s">
        <v>11180</v>
      </c>
      <c r="S785" t="s">
        <v>9096</v>
      </c>
      <c r="T785" t="s">
        <v>11183</v>
      </c>
      <c r="U785" t="s">
        <v>11199</v>
      </c>
      <c r="V785" t="s">
        <v>275</v>
      </c>
      <c r="W785">
        <v>1000</v>
      </c>
      <c r="X785" t="s">
        <v>11331</v>
      </c>
      <c r="Y785" t="s">
        <v>11336</v>
      </c>
      <c r="Z785" t="s">
        <v>11943</v>
      </c>
      <c r="AA785" t="s">
        <v>9144</v>
      </c>
      <c r="AB785" t="s">
        <v>16398</v>
      </c>
      <c r="AC785">
        <v>2</v>
      </c>
      <c r="AD785" t="s">
        <v>19565</v>
      </c>
      <c r="AE785" t="s">
        <v>9144</v>
      </c>
      <c r="AF785">
        <v>1</v>
      </c>
      <c r="AG785">
        <v>1</v>
      </c>
      <c r="AH785">
        <v>1</v>
      </c>
      <c r="AI785">
        <v>29.57</v>
      </c>
      <c r="AL785" t="s">
        <v>19614</v>
      </c>
      <c r="AM785">
        <v>5000</v>
      </c>
      <c r="AS785">
        <v>2.01</v>
      </c>
      <c r="AT785" t="s">
        <v>1076</v>
      </c>
      <c r="AU785" t="s">
        <v>153</v>
      </c>
      <c r="AV785" t="s">
        <v>20733</v>
      </c>
    </row>
    <row r="786" spans="1:48">
      <c r="A786" s="1">
        <f>HYPERLINK("https://lsnyc.legalserver.org/matter/dynamic-profile/view/0814754","16-0814754")</f>
        <v>0</v>
      </c>
      <c r="B786" t="s">
        <v>75</v>
      </c>
      <c r="C786" t="s">
        <v>257</v>
      </c>
      <c r="D786" t="s">
        <v>640</v>
      </c>
      <c r="E786" t="s">
        <v>1132</v>
      </c>
      <c r="F786" t="s">
        <v>1628</v>
      </c>
      <c r="G786" t="s">
        <v>3788</v>
      </c>
      <c r="H786" t="s">
        <v>6199</v>
      </c>
      <c r="I786">
        <v>3</v>
      </c>
      <c r="J786" t="s">
        <v>9059</v>
      </c>
      <c r="K786">
        <v>11218</v>
      </c>
      <c r="L786" t="s">
        <v>9094</v>
      </c>
      <c r="M786" t="s">
        <v>9095</v>
      </c>
      <c r="N786" t="s">
        <v>9484</v>
      </c>
      <c r="O786" t="s">
        <v>11128</v>
      </c>
      <c r="P786" t="s">
        <v>11165</v>
      </c>
      <c r="Q786" t="s">
        <v>11174</v>
      </c>
      <c r="R786" t="s">
        <v>11180</v>
      </c>
      <c r="S786" t="s">
        <v>9096</v>
      </c>
      <c r="T786" t="s">
        <v>11183</v>
      </c>
      <c r="U786" t="s">
        <v>11201</v>
      </c>
      <c r="V786" t="s">
        <v>1064</v>
      </c>
      <c r="W786">
        <v>900</v>
      </c>
      <c r="X786" t="s">
        <v>11332</v>
      </c>
      <c r="Y786" t="s">
        <v>11338</v>
      </c>
      <c r="Z786" t="s">
        <v>11944</v>
      </c>
      <c r="AB786" t="s">
        <v>16399</v>
      </c>
      <c r="AC786">
        <v>6</v>
      </c>
      <c r="AD786" t="s">
        <v>19566</v>
      </c>
      <c r="AF786">
        <v>11</v>
      </c>
      <c r="AG786">
        <v>4</v>
      </c>
      <c r="AH786">
        <v>0</v>
      </c>
      <c r="AI786">
        <v>29.63</v>
      </c>
      <c r="AL786" t="s">
        <v>19618</v>
      </c>
      <c r="AM786">
        <v>7200</v>
      </c>
      <c r="AN786" t="s">
        <v>19733</v>
      </c>
      <c r="AS786">
        <v>67.75</v>
      </c>
      <c r="AT786" t="s">
        <v>1132</v>
      </c>
      <c r="AU786" t="s">
        <v>20628</v>
      </c>
    </row>
    <row r="787" spans="1:48">
      <c r="A787" s="1">
        <f>HYPERLINK("https://lsnyc.legalserver.org/matter/dynamic-profile/view/0802595","16-0802595")</f>
        <v>0</v>
      </c>
      <c r="B787" t="s">
        <v>111</v>
      </c>
      <c r="C787" t="s">
        <v>256</v>
      </c>
      <c r="D787" t="s">
        <v>641</v>
      </c>
      <c r="F787" t="s">
        <v>1549</v>
      </c>
      <c r="G787" t="s">
        <v>3497</v>
      </c>
      <c r="H787" t="s">
        <v>6104</v>
      </c>
      <c r="J787" t="s">
        <v>9065</v>
      </c>
      <c r="K787">
        <v>10452</v>
      </c>
      <c r="L787" t="s">
        <v>9094</v>
      </c>
      <c r="M787" t="s">
        <v>9095</v>
      </c>
      <c r="O787" t="s">
        <v>11147</v>
      </c>
      <c r="P787" t="s">
        <v>11165</v>
      </c>
      <c r="R787" t="s">
        <v>11180</v>
      </c>
      <c r="S787" t="s">
        <v>9094</v>
      </c>
      <c r="T787" t="s">
        <v>11183</v>
      </c>
      <c r="V787" t="s">
        <v>1005</v>
      </c>
      <c r="W787">
        <v>1004.86</v>
      </c>
      <c r="X787" t="s">
        <v>11333</v>
      </c>
      <c r="Y787" t="s">
        <v>11346</v>
      </c>
      <c r="Z787" t="s">
        <v>11838</v>
      </c>
      <c r="AA787">
        <v>3868587</v>
      </c>
      <c r="AB787" t="s">
        <v>16300</v>
      </c>
      <c r="AC787">
        <v>0</v>
      </c>
      <c r="AD787" t="s">
        <v>19566</v>
      </c>
      <c r="AE787" t="s">
        <v>19582</v>
      </c>
      <c r="AF787">
        <v>8</v>
      </c>
      <c r="AG787">
        <v>1</v>
      </c>
      <c r="AH787">
        <v>3</v>
      </c>
      <c r="AI787">
        <v>29.63</v>
      </c>
      <c r="AL787" t="s">
        <v>19615</v>
      </c>
      <c r="AM787">
        <v>7200</v>
      </c>
      <c r="AS787">
        <v>1.8</v>
      </c>
      <c r="AT787" t="s">
        <v>1094</v>
      </c>
      <c r="AU787" t="s">
        <v>109</v>
      </c>
    </row>
    <row r="788" spans="1:48">
      <c r="A788" s="1">
        <f>HYPERLINK("https://lsnyc.legalserver.org/matter/dynamic-profile/view/0787091","15-0787091")</f>
        <v>0</v>
      </c>
      <c r="B788" t="s">
        <v>168</v>
      </c>
      <c r="C788" t="s">
        <v>256</v>
      </c>
      <c r="D788" t="s">
        <v>642</v>
      </c>
      <c r="F788" t="s">
        <v>1629</v>
      </c>
      <c r="G788" t="s">
        <v>3789</v>
      </c>
      <c r="H788" t="s">
        <v>6200</v>
      </c>
      <c r="I788" t="s">
        <v>8130</v>
      </c>
      <c r="J788" t="s">
        <v>9059</v>
      </c>
      <c r="K788">
        <v>11223</v>
      </c>
      <c r="L788" t="s">
        <v>9096</v>
      </c>
      <c r="M788" t="s">
        <v>9095</v>
      </c>
      <c r="P788" t="s">
        <v>11165</v>
      </c>
      <c r="R788" t="s">
        <v>11180</v>
      </c>
      <c r="T788" t="s">
        <v>11183</v>
      </c>
      <c r="W788">
        <v>0</v>
      </c>
      <c r="X788" t="s">
        <v>11332</v>
      </c>
      <c r="Z788" t="s">
        <v>11517</v>
      </c>
      <c r="AB788" t="s">
        <v>16400</v>
      </c>
      <c r="AC788">
        <v>0</v>
      </c>
      <c r="AF788">
        <v>0</v>
      </c>
      <c r="AG788">
        <v>2</v>
      </c>
      <c r="AH788">
        <v>0</v>
      </c>
      <c r="AI788">
        <v>29.91</v>
      </c>
      <c r="AL788" t="s">
        <v>19614</v>
      </c>
      <c r="AM788">
        <v>4764</v>
      </c>
      <c r="AS788">
        <v>50.5</v>
      </c>
      <c r="AT788" t="s">
        <v>341</v>
      </c>
      <c r="AU788" t="s">
        <v>20678</v>
      </c>
    </row>
    <row r="789" spans="1:48">
      <c r="A789" s="1">
        <f>HYPERLINK("https://lsnyc.legalserver.org/matter/dynamic-profile/view/0813357","16-0813357")</f>
        <v>0</v>
      </c>
      <c r="B789" t="s">
        <v>169</v>
      </c>
      <c r="C789" t="s">
        <v>256</v>
      </c>
      <c r="D789" t="s">
        <v>643</v>
      </c>
      <c r="F789" t="s">
        <v>1197</v>
      </c>
      <c r="G789" t="s">
        <v>3790</v>
      </c>
      <c r="H789" t="s">
        <v>6201</v>
      </c>
      <c r="I789">
        <v>1410</v>
      </c>
      <c r="J789" t="s">
        <v>9059</v>
      </c>
      <c r="K789">
        <v>11224</v>
      </c>
      <c r="L789" t="s">
        <v>9096</v>
      </c>
      <c r="M789" t="s">
        <v>9095</v>
      </c>
      <c r="N789" t="s">
        <v>9485</v>
      </c>
      <c r="O789" t="s">
        <v>11128</v>
      </c>
      <c r="P789" t="s">
        <v>11165</v>
      </c>
      <c r="R789" t="s">
        <v>11180</v>
      </c>
      <c r="T789" t="s">
        <v>11183</v>
      </c>
      <c r="W789">
        <v>1400</v>
      </c>
      <c r="X789" t="s">
        <v>11332</v>
      </c>
      <c r="Y789" t="s">
        <v>11341</v>
      </c>
      <c r="Z789" t="s">
        <v>11945</v>
      </c>
      <c r="AA789" t="s">
        <v>15432</v>
      </c>
      <c r="AB789" t="s">
        <v>16401</v>
      </c>
      <c r="AC789">
        <v>24</v>
      </c>
      <c r="AD789" t="s">
        <v>15441</v>
      </c>
      <c r="AE789" t="s">
        <v>19580</v>
      </c>
      <c r="AF789">
        <v>20</v>
      </c>
      <c r="AG789">
        <v>1</v>
      </c>
      <c r="AH789">
        <v>1</v>
      </c>
      <c r="AI789">
        <v>29.96</v>
      </c>
      <c r="AL789" t="s">
        <v>19629</v>
      </c>
      <c r="AM789">
        <v>4800</v>
      </c>
      <c r="AN789" t="s">
        <v>19734</v>
      </c>
      <c r="AS789">
        <v>78</v>
      </c>
      <c r="AT789" t="s">
        <v>301</v>
      </c>
      <c r="AU789" t="s">
        <v>20619</v>
      </c>
    </row>
    <row r="790" spans="1:48">
      <c r="A790" s="1">
        <f>HYPERLINK("https://lsnyc.legalserver.org/matter/dynamic-profile/view/1909404","19-1909404")</f>
        <v>0</v>
      </c>
      <c r="B790" t="s">
        <v>73</v>
      </c>
      <c r="C790" t="s">
        <v>256</v>
      </c>
      <c r="D790" t="s">
        <v>339</v>
      </c>
      <c r="F790" t="s">
        <v>1630</v>
      </c>
      <c r="G790" t="s">
        <v>3791</v>
      </c>
      <c r="H790" t="s">
        <v>6202</v>
      </c>
      <c r="I790">
        <v>1</v>
      </c>
      <c r="J790" t="s">
        <v>9059</v>
      </c>
      <c r="K790">
        <v>11207</v>
      </c>
      <c r="L790" t="s">
        <v>9094</v>
      </c>
      <c r="M790" t="s">
        <v>9095</v>
      </c>
      <c r="N790" t="s">
        <v>9486</v>
      </c>
      <c r="O790" t="s">
        <v>11129</v>
      </c>
      <c r="P790" t="s">
        <v>11165</v>
      </c>
      <c r="R790" t="s">
        <v>11180</v>
      </c>
      <c r="S790" t="s">
        <v>9096</v>
      </c>
      <c r="T790" t="s">
        <v>11183</v>
      </c>
      <c r="U790" t="s">
        <v>11201</v>
      </c>
      <c r="V790" t="s">
        <v>339</v>
      </c>
      <c r="W790">
        <v>2000</v>
      </c>
      <c r="X790" t="s">
        <v>11332</v>
      </c>
      <c r="Y790" t="s">
        <v>11355</v>
      </c>
      <c r="Z790" t="s">
        <v>11946</v>
      </c>
      <c r="AA790" t="s">
        <v>15433</v>
      </c>
      <c r="AB790" t="s">
        <v>16402</v>
      </c>
      <c r="AC790">
        <v>3</v>
      </c>
      <c r="AF790">
        <v>0</v>
      </c>
      <c r="AG790">
        <v>3</v>
      </c>
      <c r="AH790">
        <v>2</v>
      </c>
      <c r="AI790">
        <v>30.16</v>
      </c>
      <c r="AL790" t="s">
        <v>19614</v>
      </c>
      <c r="AM790">
        <v>9100</v>
      </c>
      <c r="AS790">
        <v>4.4</v>
      </c>
      <c r="AT790" t="s">
        <v>301</v>
      </c>
      <c r="AU790" t="s">
        <v>20666</v>
      </c>
      <c r="AV790" t="s">
        <v>20734</v>
      </c>
    </row>
    <row r="791" spans="1:48">
      <c r="A791" s="1">
        <f>HYPERLINK("https://lsnyc.legalserver.org/matter/dynamic-profile/view/1913793","19-1913793")</f>
        <v>0</v>
      </c>
      <c r="B791" t="s">
        <v>69</v>
      </c>
      <c r="C791" t="s">
        <v>256</v>
      </c>
      <c r="D791" t="s">
        <v>301</v>
      </c>
      <c r="F791" t="s">
        <v>1630</v>
      </c>
      <c r="G791" t="s">
        <v>3791</v>
      </c>
      <c r="H791" t="s">
        <v>6202</v>
      </c>
      <c r="I791">
        <v>1</v>
      </c>
      <c r="J791" t="s">
        <v>9059</v>
      </c>
      <c r="K791">
        <v>11207</v>
      </c>
      <c r="L791" t="s">
        <v>9094</v>
      </c>
      <c r="M791" t="s">
        <v>9095</v>
      </c>
      <c r="N791" t="s">
        <v>9486</v>
      </c>
      <c r="O791" t="s">
        <v>11139</v>
      </c>
      <c r="R791" t="s">
        <v>11180</v>
      </c>
      <c r="S791" t="s">
        <v>9096</v>
      </c>
      <c r="T791" t="s">
        <v>11184</v>
      </c>
      <c r="U791" t="s">
        <v>11201</v>
      </c>
      <c r="V791" t="s">
        <v>321</v>
      </c>
      <c r="W791">
        <v>2000</v>
      </c>
      <c r="X791" t="s">
        <v>11332</v>
      </c>
      <c r="Z791" t="s">
        <v>11946</v>
      </c>
      <c r="AA791" t="s">
        <v>15433</v>
      </c>
      <c r="AB791" t="s">
        <v>16402</v>
      </c>
      <c r="AC791">
        <v>3</v>
      </c>
      <c r="AD791" t="s">
        <v>19565</v>
      </c>
      <c r="AF791">
        <v>0</v>
      </c>
      <c r="AG791">
        <v>3</v>
      </c>
      <c r="AH791">
        <v>2</v>
      </c>
      <c r="AI791">
        <v>30.16</v>
      </c>
      <c r="AL791" t="s">
        <v>19614</v>
      </c>
      <c r="AM791">
        <v>9100</v>
      </c>
      <c r="AN791" t="s">
        <v>19735</v>
      </c>
      <c r="AS791">
        <v>1.75</v>
      </c>
      <c r="AT791" t="s">
        <v>321</v>
      </c>
      <c r="AU791" t="s">
        <v>79</v>
      </c>
      <c r="AV791" t="s">
        <v>20733</v>
      </c>
    </row>
    <row r="792" spans="1:48">
      <c r="A792" s="1">
        <f>HYPERLINK("https://lsnyc.legalserver.org/matter/dynamic-profile/view/1908713","19-1908713")</f>
        <v>0</v>
      </c>
      <c r="B792" t="s">
        <v>57</v>
      </c>
      <c r="C792" t="s">
        <v>256</v>
      </c>
      <c r="D792" t="s">
        <v>326</v>
      </c>
      <c r="F792" t="s">
        <v>1631</v>
      </c>
      <c r="G792" t="s">
        <v>3366</v>
      </c>
      <c r="H792" t="s">
        <v>6203</v>
      </c>
      <c r="I792" t="s">
        <v>8170</v>
      </c>
      <c r="J792" t="s">
        <v>9050</v>
      </c>
      <c r="K792">
        <v>11377</v>
      </c>
      <c r="L792" t="s">
        <v>9094</v>
      </c>
      <c r="M792" t="s">
        <v>9095</v>
      </c>
      <c r="N792" t="s">
        <v>9487</v>
      </c>
      <c r="O792" t="s">
        <v>11128</v>
      </c>
      <c r="P792" t="s">
        <v>11164</v>
      </c>
      <c r="R792" t="s">
        <v>11181</v>
      </c>
      <c r="S792" t="s">
        <v>9096</v>
      </c>
      <c r="T792" t="s">
        <v>11183</v>
      </c>
      <c r="U792" t="s">
        <v>11201</v>
      </c>
      <c r="V792" t="s">
        <v>11241</v>
      </c>
      <c r="W792">
        <v>720</v>
      </c>
      <c r="X792" t="s">
        <v>11331</v>
      </c>
      <c r="Y792" t="s">
        <v>11337</v>
      </c>
      <c r="Z792" t="s">
        <v>11947</v>
      </c>
      <c r="AA792" t="s">
        <v>15434</v>
      </c>
      <c r="AC792">
        <v>6</v>
      </c>
      <c r="AD792" t="s">
        <v>19566</v>
      </c>
      <c r="AF792">
        <v>9</v>
      </c>
      <c r="AG792">
        <v>1</v>
      </c>
      <c r="AH792">
        <v>3</v>
      </c>
      <c r="AI792">
        <v>30.29</v>
      </c>
      <c r="AJ792" t="s">
        <v>19591</v>
      </c>
      <c r="AK792" t="s">
        <v>19608</v>
      </c>
      <c r="AL792" t="s">
        <v>19615</v>
      </c>
      <c r="AM792">
        <v>7800</v>
      </c>
      <c r="AS792">
        <v>1.75</v>
      </c>
      <c r="AT792" t="s">
        <v>321</v>
      </c>
      <c r="AU792" t="s">
        <v>57</v>
      </c>
      <c r="AV792" t="s">
        <v>20734</v>
      </c>
    </row>
    <row r="793" spans="1:48">
      <c r="A793" s="1">
        <f>HYPERLINK("https://lsnyc.legalserver.org/matter/dynamic-profile/view/1841809","17-1841809")</f>
        <v>0</v>
      </c>
      <c r="B793" t="s">
        <v>103</v>
      </c>
      <c r="C793" t="s">
        <v>256</v>
      </c>
      <c r="D793" t="s">
        <v>644</v>
      </c>
      <c r="F793" t="s">
        <v>1632</v>
      </c>
      <c r="G793" t="s">
        <v>3630</v>
      </c>
      <c r="H793" t="s">
        <v>5899</v>
      </c>
      <c r="I793" t="s">
        <v>8192</v>
      </c>
      <c r="J793" t="s">
        <v>9065</v>
      </c>
      <c r="K793">
        <v>10452</v>
      </c>
      <c r="L793" t="s">
        <v>9094</v>
      </c>
      <c r="M793" t="s">
        <v>9095</v>
      </c>
      <c r="O793" t="s">
        <v>11135</v>
      </c>
      <c r="P793" t="s">
        <v>11168</v>
      </c>
      <c r="R793" t="s">
        <v>11180</v>
      </c>
      <c r="S793" t="s">
        <v>9094</v>
      </c>
      <c r="T793" t="s">
        <v>11183</v>
      </c>
      <c r="V793" t="s">
        <v>467</v>
      </c>
      <c r="W793">
        <v>1200</v>
      </c>
      <c r="X793" t="s">
        <v>11333</v>
      </c>
      <c r="Z793" t="s">
        <v>11948</v>
      </c>
      <c r="AB793" t="s">
        <v>16403</v>
      </c>
      <c r="AC793">
        <v>65</v>
      </c>
      <c r="AE793" t="s">
        <v>9144</v>
      </c>
      <c r="AF793">
        <v>3</v>
      </c>
      <c r="AG793">
        <v>1</v>
      </c>
      <c r="AH793">
        <v>0</v>
      </c>
      <c r="AI793">
        <v>30.35</v>
      </c>
      <c r="AL793" t="s">
        <v>19614</v>
      </c>
      <c r="AM793">
        <v>3660</v>
      </c>
      <c r="AS793">
        <v>1.5</v>
      </c>
      <c r="AT793" t="s">
        <v>455</v>
      </c>
      <c r="AU793" t="s">
        <v>20643</v>
      </c>
    </row>
    <row r="794" spans="1:48">
      <c r="A794" s="1">
        <f>HYPERLINK("https://lsnyc.legalserver.org/matter/dynamic-profile/view/1841811","17-1841811")</f>
        <v>0</v>
      </c>
      <c r="B794" t="s">
        <v>103</v>
      </c>
      <c r="C794" t="s">
        <v>256</v>
      </c>
      <c r="D794" t="s">
        <v>644</v>
      </c>
      <c r="F794" t="s">
        <v>1632</v>
      </c>
      <c r="G794" t="s">
        <v>3630</v>
      </c>
      <c r="H794" t="s">
        <v>5899</v>
      </c>
      <c r="I794" t="s">
        <v>8192</v>
      </c>
      <c r="J794" t="s">
        <v>9065</v>
      </c>
      <c r="K794">
        <v>10452</v>
      </c>
      <c r="L794" t="s">
        <v>9094</v>
      </c>
      <c r="M794" t="s">
        <v>9095</v>
      </c>
      <c r="O794" t="s">
        <v>11135</v>
      </c>
      <c r="P794" t="s">
        <v>11168</v>
      </c>
      <c r="R794" t="s">
        <v>11180</v>
      </c>
      <c r="S794" t="s">
        <v>9094</v>
      </c>
      <c r="T794" t="s">
        <v>11183</v>
      </c>
      <c r="V794" t="s">
        <v>11223</v>
      </c>
      <c r="W794">
        <v>1200</v>
      </c>
      <c r="X794" t="s">
        <v>11333</v>
      </c>
      <c r="Z794" t="s">
        <v>11948</v>
      </c>
      <c r="AB794" t="s">
        <v>16403</v>
      </c>
      <c r="AC794">
        <v>65</v>
      </c>
      <c r="AE794" t="s">
        <v>9144</v>
      </c>
      <c r="AF794">
        <v>3</v>
      </c>
      <c r="AG794">
        <v>1</v>
      </c>
      <c r="AH794">
        <v>0</v>
      </c>
      <c r="AI794">
        <v>30.35</v>
      </c>
      <c r="AL794" t="s">
        <v>19614</v>
      </c>
      <c r="AM794">
        <v>3660</v>
      </c>
      <c r="AS794">
        <v>0</v>
      </c>
      <c r="AU794" t="s">
        <v>20643</v>
      </c>
    </row>
    <row r="795" spans="1:48">
      <c r="A795" s="1">
        <f>HYPERLINK("https://lsnyc.legalserver.org/matter/dynamic-profile/view/1841813","17-1841813")</f>
        <v>0</v>
      </c>
      <c r="B795" t="s">
        <v>103</v>
      </c>
      <c r="C795" t="s">
        <v>256</v>
      </c>
      <c r="D795" t="s">
        <v>644</v>
      </c>
      <c r="F795" t="s">
        <v>1632</v>
      </c>
      <c r="G795" t="s">
        <v>3630</v>
      </c>
      <c r="H795" t="s">
        <v>5899</v>
      </c>
      <c r="I795" t="s">
        <v>8192</v>
      </c>
      <c r="J795" t="s">
        <v>9065</v>
      </c>
      <c r="K795">
        <v>10452</v>
      </c>
      <c r="L795" t="s">
        <v>9094</v>
      </c>
      <c r="M795" t="s">
        <v>9095</v>
      </c>
      <c r="O795" t="s">
        <v>11135</v>
      </c>
      <c r="P795" t="s">
        <v>11168</v>
      </c>
      <c r="R795" t="s">
        <v>11180</v>
      </c>
      <c r="S795" t="s">
        <v>9094</v>
      </c>
      <c r="T795" t="s">
        <v>11183</v>
      </c>
      <c r="V795" t="s">
        <v>11223</v>
      </c>
      <c r="W795">
        <v>1200</v>
      </c>
      <c r="X795" t="s">
        <v>11333</v>
      </c>
      <c r="Z795" t="s">
        <v>11948</v>
      </c>
      <c r="AB795" t="s">
        <v>16403</v>
      </c>
      <c r="AC795">
        <v>65</v>
      </c>
      <c r="AE795" t="s">
        <v>9144</v>
      </c>
      <c r="AF795">
        <v>3</v>
      </c>
      <c r="AG795">
        <v>1</v>
      </c>
      <c r="AH795">
        <v>0</v>
      </c>
      <c r="AI795">
        <v>30.35</v>
      </c>
      <c r="AL795" t="s">
        <v>19614</v>
      </c>
      <c r="AM795">
        <v>3660</v>
      </c>
      <c r="AS795">
        <v>0.25</v>
      </c>
      <c r="AT795" t="s">
        <v>901</v>
      </c>
      <c r="AU795" t="s">
        <v>20643</v>
      </c>
    </row>
    <row r="796" spans="1:48">
      <c r="A796" s="1">
        <f>HYPERLINK("https://lsnyc.legalserver.org/matter/dynamic-profile/view/0823081","16-0823081")</f>
        <v>0</v>
      </c>
      <c r="B796" t="s">
        <v>155</v>
      </c>
      <c r="C796" t="s">
        <v>256</v>
      </c>
      <c r="D796" t="s">
        <v>645</v>
      </c>
      <c r="F796" t="s">
        <v>1337</v>
      </c>
      <c r="G796" t="s">
        <v>3792</v>
      </c>
      <c r="H796" t="s">
        <v>6204</v>
      </c>
      <c r="I796">
        <v>2</v>
      </c>
      <c r="J796" t="s">
        <v>9059</v>
      </c>
      <c r="K796">
        <v>11225</v>
      </c>
      <c r="L796" t="s">
        <v>9096</v>
      </c>
      <c r="M796" t="s">
        <v>9095</v>
      </c>
      <c r="O796" t="s">
        <v>11137</v>
      </c>
      <c r="P796" t="s">
        <v>11167</v>
      </c>
      <c r="R796" t="s">
        <v>11180</v>
      </c>
      <c r="S796" t="s">
        <v>9094</v>
      </c>
      <c r="T796" t="s">
        <v>11183</v>
      </c>
      <c r="V796" t="s">
        <v>566</v>
      </c>
      <c r="W796">
        <v>936.53</v>
      </c>
      <c r="X796" t="s">
        <v>11332</v>
      </c>
      <c r="Y796" t="s">
        <v>11346</v>
      </c>
      <c r="Z796" t="s">
        <v>11949</v>
      </c>
      <c r="AB796" t="s">
        <v>16404</v>
      </c>
      <c r="AC796">
        <v>3</v>
      </c>
      <c r="AD796" t="s">
        <v>19566</v>
      </c>
      <c r="AF796">
        <v>20</v>
      </c>
      <c r="AG796">
        <v>2</v>
      </c>
      <c r="AH796">
        <v>0</v>
      </c>
      <c r="AI796">
        <v>30.41</v>
      </c>
      <c r="AJ796" t="s">
        <v>19596</v>
      </c>
      <c r="AL796" t="s">
        <v>19615</v>
      </c>
      <c r="AM796">
        <v>4870.92</v>
      </c>
      <c r="AS796">
        <v>1</v>
      </c>
      <c r="AT796" t="s">
        <v>422</v>
      </c>
      <c r="AU796" t="s">
        <v>20636</v>
      </c>
    </row>
    <row r="797" spans="1:48">
      <c r="A797" s="1">
        <f>HYPERLINK("https://lsnyc.legalserver.org/matter/dynamic-profile/view/1898695","19-1898695")</f>
        <v>0</v>
      </c>
      <c r="B797" t="s">
        <v>67</v>
      </c>
      <c r="C797" t="s">
        <v>257</v>
      </c>
      <c r="D797" t="s">
        <v>361</v>
      </c>
      <c r="E797" t="s">
        <v>779</v>
      </c>
      <c r="F797" t="s">
        <v>1633</v>
      </c>
      <c r="G797" t="s">
        <v>3793</v>
      </c>
      <c r="H797" t="s">
        <v>5785</v>
      </c>
      <c r="I797" t="s">
        <v>8196</v>
      </c>
      <c r="J797" t="s">
        <v>9059</v>
      </c>
      <c r="K797">
        <v>11225</v>
      </c>
      <c r="L797" t="s">
        <v>9095</v>
      </c>
      <c r="M797" t="s">
        <v>9095</v>
      </c>
      <c r="P797" t="s">
        <v>11167</v>
      </c>
      <c r="Q797" t="s">
        <v>11172</v>
      </c>
      <c r="R797" t="s">
        <v>11180</v>
      </c>
      <c r="T797" t="s">
        <v>11183</v>
      </c>
      <c r="V797" t="s">
        <v>361</v>
      </c>
      <c r="W797">
        <v>0</v>
      </c>
      <c r="X797" t="s">
        <v>11332</v>
      </c>
      <c r="Z797" t="s">
        <v>11950</v>
      </c>
      <c r="AC797">
        <v>0</v>
      </c>
      <c r="AF797">
        <v>0</v>
      </c>
      <c r="AG797">
        <v>3</v>
      </c>
      <c r="AH797">
        <v>6</v>
      </c>
      <c r="AI797">
        <v>30.43</v>
      </c>
      <c r="AL797" t="s">
        <v>19614</v>
      </c>
      <c r="AM797">
        <v>14560</v>
      </c>
      <c r="AS797">
        <v>1.4</v>
      </c>
      <c r="AT797" t="s">
        <v>779</v>
      </c>
      <c r="AU797" t="s">
        <v>67</v>
      </c>
    </row>
    <row r="798" spans="1:48">
      <c r="A798" s="1">
        <f>HYPERLINK("https://lsnyc.legalserver.org/matter/dynamic-profile/view/1864041","18-1864041")</f>
        <v>0</v>
      </c>
      <c r="B798" t="s">
        <v>136</v>
      </c>
      <c r="C798" t="s">
        <v>256</v>
      </c>
      <c r="D798" t="s">
        <v>505</v>
      </c>
      <c r="F798" t="s">
        <v>1634</v>
      </c>
      <c r="G798" t="s">
        <v>3794</v>
      </c>
      <c r="H798" t="s">
        <v>5961</v>
      </c>
      <c r="I798">
        <v>403</v>
      </c>
      <c r="J798" t="s">
        <v>9067</v>
      </c>
      <c r="K798">
        <v>10029</v>
      </c>
      <c r="L798" t="s">
        <v>9094</v>
      </c>
      <c r="M798" t="s">
        <v>9094</v>
      </c>
      <c r="N798" t="s">
        <v>9488</v>
      </c>
      <c r="O798" t="s">
        <v>11130</v>
      </c>
      <c r="P798" t="s">
        <v>11165</v>
      </c>
      <c r="R798" t="s">
        <v>11180</v>
      </c>
      <c r="S798" t="s">
        <v>9094</v>
      </c>
      <c r="T798" t="s">
        <v>11183</v>
      </c>
      <c r="U798" t="s">
        <v>11201</v>
      </c>
      <c r="V798" t="s">
        <v>505</v>
      </c>
      <c r="W798">
        <v>0</v>
      </c>
      <c r="X798" t="s">
        <v>11335</v>
      </c>
      <c r="Y798" t="s">
        <v>11339</v>
      </c>
      <c r="Z798" t="s">
        <v>11951</v>
      </c>
      <c r="AB798" t="s">
        <v>16405</v>
      </c>
      <c r="AC798">
        <v>108</v>
      </c>
      <c r="AD798" t="s">
        <v>19567</v>
      </c>
      <c r="AE798" t="s">
        <v>19580</v>
      </c>
      <c r="AF798">
        <v>13</v>
      </c>
      <c r="AG798">
        <v>1</v>
      </c>
      <c r="AH798">
        <v>4</v>
      </c>
      <c r="AI798">
        <v>30.59</v>
      </c>
      <c r="AL798" t="s">
        <v>19614</v>
      </c>
      <c r="AM798">
        <v>9000</v>
      </c>
      <c r="AS798">
        <v>0.1</v>
      </c>
      <c r="AT798" t="s">
        <v>441</v>
      </c>
      <c r="AU798" t="s">
        <v>20657</v>
      </c>
    </row>
    <row r="799" spans="1:48">
      <c r="A799" s="1">
        <f>HYPERLINK("https://lsnyc.legalserver.org/matter/dynamic-profile/view/1914584","19-1914584")</f>
        <v>0</v>
      </c>
      <c r="B799" t="s">
        <v>135</v>
      </c>
      <c r="C799" t="s">
        <v>256</v>
      </c>
      <c r="D799" t="s">
        <v>476</v>
      </c>
      <c r="F799" t="s">
        <v>1635</v>
      </c>
      <c r="G799" t="s">
        <v>3795</v>
      </c>
      <c r="H799" t="s">
        <v>6177</v>
      </c>
      <c r="I799">
        <v>602</v>
      </c>
      <c r="J799" t="s">
        <v>9067</v>
      </c>
      <c r="K799">
        <v>10029</v>
      </c>
      <c r="L799" t="s">
        <v>9094</v>
      </c>
      <c r="M799" t="s">
        <v>9095</v>
      </c>
      <c r="O799" t="s">
        <v>11130</v>
      </c>
      <c r="P799" t="s">
        <v>11169</v>
      </c>
      <c r="R799" t="s">
        <v>11180</v>
      </c>
      <c r="S799" t="s">
        <v>9094</v>
      </c>
      <c r="T799" t="s">
        <v>11183</v>
      </c>
      <c r="U799" t="s">
        <v>11201</v>
      </c>
      <c r="V799" t="s">
        <v>496</v>
      </c>
      <c r="W799">
        <v>309</v>
      </c>
      <c r="X799" t="s">
        <v>11335</v>
      </c>
      <c r="Y799" t="s">
        <v>11339</v>
      </c>
      <c r="Z799" t="s">
        <v>11952</v>
      </c>
      <c r="AB799" t="s">
        <v>16406</v>
      </c>
      <c r="AC799">
        <v>40</v>
      </c>
      <c r="AD799" t="s">
        <v>19569</v>
      </c>
      <c r="AE799" t="s">
        <v>9144</v>
      </c>
      <c r="AF799">
        <v>7</v>
      </c>
      <c r="AG799">
        <v>1</v>
      </c>
      <c r="AH799">
        <v>0</v>
      </c>
      <c r="AI799">
        <v>30.74</v>
      </c>
      <c r="AL799" t="s">
        <v>19615</v>
      </c>
      <c r="AM799">
        <v>3840</v>
      </c>
      <c r="AS799">
        <v>0</v>
      </c>
      <c r="AU799" t="s">
        <v>20657</v>
      </c>
      <c r="AV799" t="s">
        <v>20733</v>
      </c>
    </row>
    <row r="800" spans="1:48">
      <c r="A800" s="1">
        <f>HYPERLINK("https://lsnyc.legalserver.org/matter/dynamic-profile/view/1913901","19-1913901")</f>
        <v>0</v>
      </c>
      <c r="B800" t="s">
        <v>117</v>
      </c>
      <c r="C800" t="s">
        <v>256</v>
      </c>
      <c r="D800" t="s">
        <v>301</v>
      </c>
      <c r="F800" t="s">
        <v>1636</v>
      </c>
      <c r="G800" t="s">
        <v>3448</v>
      </c>
      <c r="H800" t="s">
        <v>6205</v>
      </c>
      <c r="I800" t="s">
        <v>8164</v>
      </c>
      <c r="J800" t="s">
        <v>9065</v>
      </c>
      <c r="K800">
        <v>10471</v>
      </c>
      <c r="L800" t="s">
        <v>9094</v>
      </c>
      <c r="M800" t="s">
        <v>9095</v>
      </c>
      <c r="O800" t="s">
        <v>11129</v>
      </c>
      <c r="P800" t="s">
        <v>11164</v>
      </c>
      <c r="R800" t="s">
        <v>11180</v>
      </c>
      <c r="S800" t="s">
        <v>9096</v>
      </c>
      <c r="T800" t="s">
        <v>11183</v>
      </c>
      <c r="W800">
        <v>987</v>
      </c>
      <c r="X800" t="s">
        <v>11333</v>
      </c>
      <c r="Y800" t="s">
        <v>11346</v>
      </c>
      <c r="Z800" t="s">
        <v>11953</v>
      </c>
      <c r="AB800" t="s">
        <v>16407</v>
      </c>
      <c r="AC800">
        <v>3</v>
      </c>
      <c r="AD800" t="s">
        <v>19565</v>
      </c>
      <c r="AE800" t="s">
        <v>19580</v>
      </c>
      <c r="AF800">
        <v>5</v>
      </c>
      <c r="AG800">
        <v>1</v>
      </c>
      <c r="AH800">
        <v>1</v>
      </c>
      <c r="AI800">
        <v>30.75</v>
      </c>
      <c r="AM800">
        <v>5200</v>
      </c>
      <c r="AS800">
        <v>1</v>
      </c>
      <c r="AT800" t="s">
        <v>301</v>
      </c>
      <c r="AU800" t="s">
        <v>117</v>
      </c>
    </row>
    <row r="801" spans="1:48">
      <c r="A801" s="1">
        <f>HYPERLINK("https://lsnyc.legalserver.org/matter/dynamic-profile/view/1904684","19-1904684")</f>
        <v>0</v>
      </c>
      <c r="B801" t="s">
        <v>138</v>
      </c>
      <c r="C801" t="s">
        <v>256</v>
      </c>
      <c r="D801" t="s">
        <v>497</v>
      </c>
      <c r="F801" t="s">
        <v>1637</v>
      </c>
      <c r="G801" t="s">
        <v>3418</v>
      </c>
      <c r="H801" t="s">
        <v>6206</v>
      </c>
      <c r="I801" t="s">
        <v>8187</v>
      </c>
      <c r="J801" t="s">
        <v>9067</v>
      </c>
      <c r="K801">
        <v>10040</v>
      </c>
      <c r="L801" t="s">
        <v>9095</v>
      </c>
      <c r="M801" t="s">
        <v>9095</v>
      </c>
      <c r="N801" t="s">
        <v>9489</v>
      </c>
      <c r="O801" t="s">
        <v>11128</v>
      </c>
      <c r="P801" t="s">
        <v>11165</v>
      </c>
      <c r="R801" t="s">
        <v>11180</v>
      </c>
      <c r="S801" t="s">
        <v>9096</v>
      </c>
      <c r="T801" t="s">
        <v>11183</v>
      </c>
      <c r="U801" t="s">
        <v>11201</v>
      </c>
      <c r="W801">
        <v>0</v>
      </c>
      <c r="X801" t="s">
        <v>11335</v>
      </c>
      <c r="Y801" t="s">
        <v>11338</v>
      </c>
      <c r="Z801" t="s">
        <v>11954</v>
      </c>
      <c r="AC801">
        <v>38</v>
      </c>
      <c r="AE801" t="s">
        <v>9144</v>
      </c>
      <c r="AF801">
        <v>18</v>
      </c>
      <c r="AG801">
        <v>2</v>
      </c>
      <c r="AH801">
        <v>0</v>
      </c>
      <c r="AI801">
        <v>30.75</v>
      </c>
      <c r="AL801" t="s">
        <v>19630</v>
      </c>
      <c r="AM801">
        <v>5200</v>
      </c>
      <c r="AS801">
        <v>64.8</v>
      </c>
      <c r="AT801" t="s">
        <v>1130</v>
      </c>
      <c r="AU801" t="s">
        <v>130</v>
      </c>
    </row>
    <row r="802" spans="1:48">
      <c r="A802" s="1">
        <f>HYPERLINK("https://lsnyc.legalserver.org/matter/dynamic-profile/view/1845644","17-1845644")</f>
        <v>0</v>
      </c>
      <c r="B802" t="s">
        <v>150</v>
      </c>
      <c r="C802" t="s">
        <v>256</v>
      </c>
      <c r="D802" t="s">
        <v>646</v>
      </c>
      <c r="F802" t="s">
        <v>1143</v>
      </c>
      <c r="G802" t="s">
        <v>3796</v>
      </c>
      <c r="H802" t="s">
        <v>6207</v>
      </c>
      <c r="I802" t="s">
        <v>8344</v>
      </c>
      <c r="J802" t="s">
        <v>9059</v>
      </c>
      <c r="K802">
        <v>11213</v>
      </c>
      <c r="L802" t="s">
        <v>9094</v>
      </c>
      <c r="M802" t="s">
        <v>9095</v>
      </c>
      <c r="O802" t="s">
        <v>11130</v>
      </c>
      <c r="P802" t="s">
        <v>11165</v>
      </c>
      <c r="R802" t="s">
        <v>11180</v>
      </c>
      <c r="S802" t="s">
        <v>9094</v>
      </c>
      <c r="T802" t="s">
        <v>11183</v>
      </c>
      <c r="V802" t="s">
        <v>837</v>
      </c>
      <c r="W802">
        <v>1100</v>
      </c>
      <c r="X802" t="s">
        <v>11332</v>
      </c>
      <c r="Z802" t="s">
        <v>11955</v>
      </c>
      <c r="AB802" t="s">
        <v>16408</v>
      </c>
      <c r="AC802">
        <v>74</v>
      </c>
      <c r="AD802" t="s">
        <v>19566</v>
      </c>
      <c r="AF802">
        <v>8</v>
      </c>
      <c r="AG802">
        <v>2</v>
      </c>
      <c r="AH802">
        <v>1</v>
      </c>
      <c r="AI802">
        <v>30.81</v>
      </c>
      <c r="AJ802" t="s">
        <v>1108</v>
      </c>
      <c r="AL802" t="s">
        <v>19614</v>
      </c>
      <c r="AM802">
        <v>6292</v>
      </c>
      <c r="AS802">
        <v>0</v>
      </c>
      <c r="AU802" t="s">
        <v>20636</v>
      </c>
    </row>
    <row r="803" spans="1:48">
      <c r="A803" s="1">
        <f>HYPERLINK("https://lsnyc.legalserver.org/matter/dynamic-profile/view/1839938","17-1839938")</f>
        <v>0</v>
      </c>
      <c r="B803" t="s">
        <v>150</v>
      </c>
      <c r="C803" t="s">
        <v>256</v>
      </c>
      <c r="D803" t="s">
        <v>647</v>
      </c>
      <c r="F803" t="s">
        <v>1143</v>
      </c>
      <c r="G803" t="s">
        <v>3796</v>
      </c>
      <c r="H803" t="s">
        <v>6207</v>
      </c>
      <c r="I803" t="s">
        <v>8344</v>
      </c>
      <c r="J803" t="s">
        <v>9059</v>
      </c>
      <c r="K803">
        <v>11213</v>
      </c>
      <c r="L803" t="s">
        <v>9094</v>
      </c>
      <c r="M803" t="s">
        <v>9095</v>
      </c>
      <c r="O803" t="s">
        <v>11137</v>
      </c>
      <c r="P803" t="s">
        <v>11167</v>
      </c>
      <c r="R803" t="s">
        <v>11180</v>
      </c>
      <c r="S803" t="s">
        <v>9094</v>
      </c>
      <c r="T803" t="s">
        <v>11183</v>
      </c>
      <c r="V803" t="s">
        <v>837</v>
      </c>
      <c r="W803">
        <v>1100</v>
      </c>
      <c r="X803" t="s">
        <v>11332</v>
      </c>
      <c r="Z803" t="s">
        <v>11955</v>
      </c>
      <c r="AB803" t="s">
        <v>16408</v>
      </c>
      <c r="AC803">
        <v>74</v>
      </c>
      <c r="AD803" t="s">
        <v>19566</v>
      </c>
      <c r="AF803">
        <v>8</v>
      </c>
      <c r="AG803">
        <v>2</v>
      </c>
      <c r="AH803">
        <v>1</v>
      </c>
      <c r="AI803">
        <v>30.81</v>
      </c>
      <c r="AJ803" t="s">
        <v>1108</v>
      </c>
      <c r="AL803" t="s">
        <v>19614</v>
      </c>
      <c r="AM803">
        <v>6292</v>
      </c>
      <c r="AN803" t="s">
        <v>19736</v>
      </c>
      <c r="AS803">
        <v>0</v>
      </c>
      <c r="AU803" t="s">
        <v>20636</v>
      </c>
    </row>
    <row r="804" spans="1:48">
      <c r="A804" s="1">
        <f>HYPERLINK("https://lsnyc.legalserver.org/matter/dynamic-profile/view/1911085","19-1911085")</f>
        <v>0</v>
      </c>
      <c r="B804" t="s">
        <v>71</v>
      </c>
      <c r="C804" t="s">
        <v>256</v>
      </c>
      <c r="D804" t="s">
        <v>648</v>
      </c>
      <c r="F804" t="s">
        <v>1638</v>
      </c>
      <c r="G804" t="s">
        <v>3344</v>
      </c>
      <c r="H804" t="s">
        <v>6169</v>
      </c>
      <c r="J804" t="s">
        <v>9059</v>
      </c>
      <c r="K804">
        <v>11213</v>
      </c>
      <c r="L804" t="s">
        <v>9094</v>
      </c>
      <c r="M804" t="s">
        <v>9095</v>
      </c>
      <c r="N804" t="s">
        <v>9490</v>
      </c>
      <c r="O804" t="s">
        <v>11129</v>
      </c>
      <c r="P804" t="s">
        <v>11165</v>
      </c>
      <c r="R804" t="s">
        <v>11180</v>
      </c>
      <c r="S804" t="s">
        <v>9096</v>
      </c>
      <c r="T804" t="s">
        <v>11183</v>
      </c>
      <c r="U804" t="s">
        <v>11201</v>
      </c>
      <c r="V804" t="s">
        <v>292</v>
      </c>
      <c r="W804">
        <v>1350</v>
      </c>
      <c r="X804" t="s">
        <v>11332</v>
      </c>
      <c r="Y804" t="s">
        <v>11339</v>
      </c>
      <c r="Z804" t="s">
        <v>11953</v>
      </c>
      <c r="AA804" t="s">
        <v>15435</v>
      </c>
      <c r="AB804" t="s">
        <v>16409</v>
      </c>
      <c r="AC804">
        <v>35</v>
      </c>
      <c r="AD804" t="s">
        <v>19566</v>
      </c>
      <c r="AE804" t="s">
        <v>19581</v>
      </c>
      <c r="AF804">
        <v>2</v>
      </c>
      <c r="AG804">
        <v>2</v>
      </c>
      <c r="AH804">
        <v>0</v>
      </c>
      <c r="AI804">
        <v>30.87</v>
      </c>
      <c r="AL804" t="s">
        <v>19614</v>
      </c>
      <c r="AM804">
        <v>5220</v>
      </c>
      <c r="AS804">
        <v>5.3</v>
      </c>
      <c r="AT804" t="s">
        <v>321</v>
      </c>
      <c r="AU804" t="s">
        <v>95</v>
      </c>
      <c r="AV804" t="s">
        <v>20733</v>
      </c>
    </row>
    <row r="805" spans="1:48">
      <c r="A805" s="1">
        <f>HYPERLINK("https://lsnyc.legalserver.org/matter/dynamic-profile/view/1914121","19-1914121")</f>
        <v>0</v>
      </c>
      <c r="B805" t="s">
        <v>69</v>
      </c>
      <c r="C805" t="s">
        <v>256</v>
      </c>
      <c r="D805" t="s">
        <v>395</v>
      </c>
      <c r="F805" t="s">
        <v>1638</v>
      </c>
      <c r="G805" t="s">
        <v>3344</v>
      </c>
      <c r="H805" t="s">
        <v>6169</v>
      </c>
      <c r="I805" t="s">
        <v>8171</v>
      </c>
      <c r="J805" t="s">
        <v>9059</v>
      </c>
      <c r="K805">
        <v>11213</v>
      </c>
      <c r="L805" t="s">
        <v>9094</v>
      </c>
      <c r="M805" t="s">
        <v>9095</v>
      </c>
      <c r="N805" t="s">
        <v>9490</v>
      </c>
      <c r="O805" t="s">
        <v>11139</v>
      </c>
      <c r="R805" t="s">
        <v>11180</v>
      </c>
      <c r="S805" t="s">
        <v>9096</v>
      </c>
      <c r="T805" t="s">
        <v>11184</v>
      </c>
      <c r="U805" t="s">
        <v>11201</v>
      </c>
      <c r="V805" t="s">
        <v>331</v>
      </c>
      <c r="W805">
        <v>1350</v>
      </c>
      <c r="X805" t="s">
        <v>11332</v>
      </c>
      <c r="Y805" t="s">
        <v>11339</v>
      </c>
      <c r="Z805" t="s">
        <v>11953</v>
      </c>
      <c r="AA805" t="s">
        <v>15435</v>
      </c>
      <c r="AB805" t="s">
        <v>16409</v>
      </c>
      <c r="AC805">
        <v>35</v>
      </c>
      <c r="AD805" t="s">
        <v>19566</v>
      </c>
      <c r="AE805" t="s">
        <v>19581</v>
      </c>
      <c r="AF805">
        <v>2</v>
      </c>
      <c r="AG805">
        <v>2</v>
      </c>
      <c r="AH805">
        <v>0</v>
      </c>
      <c r="AI805">
        <v>30.87</v>
      </c>
      <c r="AL805" t="s">
        <v>19614</v>
      </c>
      <c r="AM805">
        <v>5220</v>
      </c>
      <c r="AN805" t="s">
        <v>19737</v>
      </c>
      <c r="AS805">
        <v>2.25</v>
      </c>
      <c r="AT805" t="s">
        <v>331</v>
      </c>
      <c r="AU805" t="s">
        <v>79</v>
      </c>
      <c r="AV805" t="s">
        <v>20733</v>
      </c>
    </row>
    <row r="806" spans="1:48">
      <c r="A806" s="1">
        <f>HYPERLINK("https://lsnyc.legalserver.org/matter/dynamic-profile/view/1905827","19-1905827")</f>
        <v>0</v>
      </c>
      <c r="B806" t="s">
        <v>78</v>
      </c>
      <c r="C806" t="s">
        <v>256</v>
      </c>
      <c r="D806" t="s">
        <v>426</v>
      </c>
      <c r="F806" t="s">
        <v>1639</v>
      </c>
      <c r="G806" t="s">
        <v>3797</v>
      </c>
      <c r="H806" t="s">
        <v>6002</v>
      </c>
      <c r="I806" t="s">
        <v>8170</v>
      </c>
      <c r="J806" t="s">
        <v>9059</v>
      </c>
      <c r="K806">
        <v>11233</v>
      </c>
      <c r="L806" t="s">
        <v>9094</v>
      </c>
      <c r="M806" t="s">
        <v>9095</v>
      </c>
      <c r="N806" t="s">
        <v>9184</v>
      </c>
      <c r="O806" t="s">
        <v>11132</v>
      </c>
      <c r="P806" t="s">
        <v>11167</v>
      </c>
      <c r="R806" t="s">
        <v>11180</v>
      </c>
      <c r="S806" t="s">
        <v>9094</v>
      </c>
      <c r="T806" t="s">
        <v>11186</v>
      </c>
      <c r="U806" t="s">
        <v>11201</v>
      </c>
      <c r="V806" t="s">
        <v>512</v>
      </c>
      <c r="W806">
        <v>1275.64</v>
      </c>
      <c r="X806" t="s">
        <v>11332</v>
      </c>
      <c r="Y806" t="s">
        <v>11339</v>
      </c>
      <c r="Z806" t="s">
        <v>11956</v>
      </c>
      <c r="AA806" t="s">
        <v>9144</v>
      </c>
      <c r="AB806" t="s">
        <v>16410</v>
      </c>
      <c r="AC806">
        <v>6</v>
      </c>
      <c r="AD806" t="s">
        <v>19566</v>
      </c>
      <c r="AE806" t="s">
        <v>9144</v>
      </c>
      <c r="AF806">
        <v>16</v>
      </c>
      <c r="AG806">
        <v>3</v>
      </c>
      <c r="AH806">
        <v>0</v>
      </c>
      <c r="AI806">
        <v>30.94</v>
      </c>
      <c r="AL806" t="s">
        <v>19614</v>
      </c>
      <c r="AM806">
        <v>6600</v>
      </c>
      <c r="AN806" t="s">
        <v>19738</v>
      </c>
      <c r="AS806">
        <v>0</v>
      </c>
      <c r="AU806" t="s">
        <v>79</v>
      </c>
      <c r="AV806" t="s">
        <v>20733</v>
      </c>
    </row>
    <row r="807" spans="1:48">
      <c r="A807" s="1">
        <f>HYPERLINK("https://lsnyc.legalserver.org/matter/dynamic-profile/view/1884785","18-1884785")</f>
        <v>0</v>
      </c>
      <c r="B807" t="s">
        <v>129</v>
      </c>
      <c r="C807" t="s">
        <v>257</v>
      </c>
      <c r="D807" t="s">
        <v>649</v>
      </c>
      <c r="E807" t="s">
        <v>416</v>
      </c>
      <c r="F807" t="s">
        <v>1640</v>
      </c>
      <c r="G807" t="s">
        <v>3220</v>
      </c>
      <c r="H807" t="s">
        <v>6208</v>
      </c>
      <c r="I807" t="s">
        <v>8345</v>
      </c>
      <c r="J807" t="s">
        <v>9066</v>
      </c>
      <c r="K807">
        <v>10302</v>
      </c>
      <c r="L807" t="s">
        <v>9094</v>
      </c>
      <c r="M807" t="s">
        <v>9094</v>
      </c>
      <c r="N807" t="s">
        <v>9491</v>
      </c>
      <c r="O807" t="s">
        <v>11128</v>
      </c>
      <c r="P807" t="s">
        <v>11165</v>
      </c>
      <c r="Q807" t="s">
        <v>11174</v>
      </c>
      <c r="R807" t="s">
        <v>11181</v>
      </c>
      <c r="S807" t="s">
        <v>9096</v>
      </c>
      <c r="T807" t="s">
        <v>11183</v>
      </c>
      <c r="U807" t="s">
        <v>11201</v>
      </c>
      <c r="W807">
        <v>1300</v>
      </c>
      <c r="X807" t="s">
        <v>11334</v>
      </c>
      <c r="Y807" t="s">
        <v>11337</v>
      </c>
      <c r="Z807" t="s">
        <v>11957</v>
      </c>
      <c r="AC807">
        <v>3</v>
      </c>
      <c r="AD807" t="s">
        <v>19565</v>
      </c>
      <c r="AE807" t="s">
        <v>9144</v>
      </c>
      <c r="AF807">
        <v>5</v>
      </c>
      <c r="AG807">
        <v>2</v>
      </c>
      <c r="AH807">
        <v>4</v>
      </c>
      <c r="AI807">
        <v>30.94</v>
      </c>
      <c r="AJ807" t="s">
        <v>19591</v>
      </c>
      <c r="AK807" t="s">
        <v>19608</v>
      </c>
      <c r="AL807" t="s">
        <v>19615</v>
      </c>
      <c r="AM807">
        <v>10440</v>
      </c>
      <c r="AO807" t="s">
        <v>20290</v>
      </c>
      <c r="AP807" t="s">
        <v>20309</v>
      </c>
      <c r="AQ807" t="s">
        <v>20369</v>
      </c>
      <c r="AR807" t="s">
        <v>20421</v>
      </c>
      <c r="AS807">
        <v>6.15</v>
      </c>
      <c r="AT807" t="s">
        <v>416</v>
      </c>
      <c r="AU807" t="s">
        <v>128</v>
      </c>
      <c r="AV807" t="s">
        <v>20733</v>
      </c>
    </row>
    <row r="808" spans="1:48">
      <c r="A808" s="1">
        <f>HYPERLINK("https://lsnyc.legalserver.org/matter/dynamic-profile/view/1887641","19-1887641")</f>
        <v>0</v>
      </c>
      <c r="B808" t="s">
        <v>64</v>
      </c>
      <c r="C808" t="s">
        <v>256</v>
      </c>
      <c r="D808" t="s">
        <v>650</v>
      </c>
      <c r="F808" t="s">
        <v>1206</v>
      </c>
      <c r="G808" t="s">
        <v>3798</v>
      </c>
      <c r="H808" t="s">
        <v>6209</v>
      </c>
      <c r="I808" t="s">
        <v>8149</v>
      </c>
      <c r="J808" t="s">
        <v>9059</v>
      </c>
      <c r="K808">
        <v>11233</v>
      </c>
      <c r="L808" t="s">
        <v>9094</v>
      </c>
      <c r="M808" t="s">
        <v>9094</v>
      </c>
      <c r="N808" t="s">
        <v>9492</v>
      </c>
      <c r="O808" t="s">
        <v>11129</v>
      </c>
      <c r="P808" t="s">
        <v>11165</v>
      </c>
      <c r="R808" t="s">
        <v>11180</v>
      </c>
      <c r="S808" t="s">
        <v>9096</v>
      </c>
      <c r="T808" t="s">
        <v>11183</v>
      </c>
      <c r="U808" t="s">
        <v>11201</v>
      </c>
      <c r="V808" t="s">
        <v>394</v>
      </c>
      <c r="W808">
        <v>1132</v>
      </c>
      <c r="X808" t="s">
        <v>11332</v>
      </c>
      <c r="Y808" t="s">
        <v>11340</v>
      </c>
      <c r="Z808" t="s">
        <v>11958</v>
      </c>
      <c r="AA808" t="s">
        <v>15436</v>
      </c>
      <c r="AB808" t="s">
        <v>16411</v>
      </c>
      <c r="AC808">
        <v>40</v>
      </c>
      <c r="AD808" t="s">
        <v>19566</v>
      </c>
      <c r="AE808" t="s">
        <v>19585</v>
      </c>
      <c r="AF808">
        <v>13</v>
      </c>
      <c r="AG808">
        <v>2</v>
      </c>
      <c r="AH808">
        <v>0</v>
      </c>
      <c r="AI808">
        <v>30.96</v>
      </c>
      <c r="AL808" t="s">
        <v>19614</v>
      </c>
      <c r="AM808">
        <v>5096</v>
      </c>
      <c r="AS808">
        <v>6.2</v>
      </c>
      <c r="AT808" t="s">
        <v>1130</v>
      </c>
      <c r="AU808" t="s">
        <v>95</v>
      </c>
      <c r="AV808" t="s">
        <v>20733</v>
      </c>
    </row>
    <row r="809" spans="1:48">
      <c r="A809" s="1">
        <f>HYPERLINK("https://lsnyc.legalserver.org/matter/dynamic-profile/view/0817108","16-0817108")</f>
        <v>0</v>
      </c>
      <c r="B809" t="s">
        <v>58</v>
      </c>
      <c r="C809" t="s">
        <v>256</v>
      </c>
      <c r="D809" t="s">
        <v>566</v>
      </c>
      <c r="F809" t="s">
        <v>1337</v>
      </c>
      <c r="G809" t="s">
        <v>3792</v>
      </c>
      <c r="H809" t="s">
        <v>6204</v>
      </c>
      <c r="I809">
        <v>2</v>
      </c>
      <c r="J809" t="s">
        <v>9059</v>
      </c>
      <c r="K809">
        <v>11225</v>
      </c>
      <c r="L809" t="s">
        <v>9094</v>
      </c>
      <c r="M809" t="s">
        <v>9095</v>
      </c>
      <c r="N809" t="s">
        <v>9493</v>
      </c>
      <c r="O809" t="s">
        <v>11132</v>
      </c>
      <c r="P809" t="s">
        <v>11165</v>
      </c>
      <c r="R809" t="s">
        <v>11180</v>
      </c>
      <c r="S809" t="s">
        <v>9094</v>
      </c>
      <c r="T809" t="s">
        <v>11183</v>
      </c>
      <c r="V809" t="s">
        <v>566</v>
      </c>
      <c r="W809">
        <v>936.53</v>
      </c>
      <c r="X809" t="s">
        <v>11332</v>
      </c>
      <c r="Y809" t="s">
        <v>11346</v>
      </c>
      <c r="Z809" t="s">
        <v>11949</v>
      </c>
      <c r="AB809" t="s">
        <v>16404</v>
      </c>
      <c r="AC809">
        <v>16</v>
      </c>
      <c r="AD809" t="s">
        <v>19566</v>
      </c>
      <c r="AE809" t="s">
        <v>9144</v>
      </c>
      <c r="AF809">
        <v>20</v>
      </c>
      <c r="AG809">
        <v>2</v>
      </c>
      <c r="AH809">
        <v>0</v>
      </c>
      <c r="AI809">
        <v>31.15</v>
      </c>
      <c r="AJ809" t="s">
        <v>19596</v>
      </c>
      <c r="AL809" t="s">
        <v>19615</v>
      </c>
      <c r="AM809">
        <v>4990.92</v>
      </c>
      <c r="AS809">
        <v>14.9</v>
      </c>
      <c r="AT809" t="s">
        <v>281</v>
      </c>
      <c r="AU809" t="s">
        <v>157</v>
      </c>
    </row>
    <row r="810" spans="1:48">
      <c r="A810" s="1">
        <f>HYPERLINK("https://lsnyc.legalserver.org/matter/dynamic-profile/view/1908272","19-1908272")</f>
        <v>0</v>
      </c>
      <c r="B810" t="s">
        <v>165</v>
      </c>
      <c r="C810" t="s">
        <v>256</v>
      </c>
      <c r="D810" t="s">
        <v>335</v>
      </c>
      <c r="F810" t="s">
        <v>1641</v>
      </c>
      <c r="G810" t="s">
        <v>3799</v>
      </c>
      <c r="H810" t="s">
        <v>6210</v>
      </c>
      <c r="I810">
        <v>5</v>
      </c>
      <c r="J810" t="s">
        <v>9059</v>
      </c>
      <c r="K810">
        <v>11233</v>
      </c>
      <c r="L810" t="s">
        <v>9094</v>
      </c>
      <c r="M810" t="s">
        <v>9095</v>
      </c>
      <c r="O810" t="s">
        <v>11130</v>
      </c>
      <c r="P810" t="s">
        <v>11165</v>
      </c>
      <c r="R810" t="s">
        <v>11180</v>
      </c>
      <c r="S810" t="s">
        <v>9096</v>
      </c>
      <c r="T810" t="s">
        <v>11183</v>
      </c>
      <c r="U810" t="s">
        <v>11201</v>
      </c>
      <c r="V810" t="s">
        <v>295</v>
      </c>
      <c r="W810">
        <v>1550</v>
      </c>
      <c r="X810" t="s">
        <v>11332</v>
      </c>
      <c r="Z810" t="s">
        <v>11475</v>
      </c>
      <c r="AA810" t="s">
        <v>15287</v>
      </c>
      <c r="AB810" t="s">
        <v>16412</v>
      </c>
      <c r="AC810">
        <v>12</v>
      </c>
      <c r="AD810" t="s">
        <v>19566</v>
      </c>
      <c r="AE810" t="s">
        <v>19585</v>
      </c>
      <c r="AF810">
        <v>4</v>
      </c>
      <c r="AG810">
        <v>1</v>
      </c>
      <c r="AH810">
        <v>0</v>
      </c>
      <c r="AI810">
        <v>31.22</v>
      </c>
      <c r="AL810" t="s">
        <v>19614</v>
      </c>
      <c r="AM810">
        <v>3900</v>
      </c>
      <c r="AS810">
        <v>10.4</v>
      </c>
      <c r="AT810" t="s">
        <v>336</v>
      </c>
      <c r="AU810" t="s">
        <v>95</v>
      </c>
      <c r="AV810" t="s">
        <v>20733</v>
      </c>
    </row>
    <row r="811" spans="1:48">
      <c r="A811" s="1">
        <f>HYPERLINK("https://lsnyc.legalserver.org/matter/dynamic-profile/view/1908269","19-1908269")</f>
        <v>0</v>
      </c>
      <c r="B811" t="s">
        <v>165</v>
      </c>
      <c r="C811" t="s">
        <v>256</v>
      </c>
      <c r="D811" t="s">
        <v>335</v>
      </c>
      <c r="F811" t="s">
        <v>1641</v>
      </c>
      <c r="G811" t="s">
        <v>3799</v>
      </c>
      <c r="H811" t="s">
        <v>6210</v>
      </c>
      <c r="I811">
        <v>5</v>
      </c>
      <c r="J811" t="s">
        <v>9059</v>
      </c>
      <c r="K811">
        <v>11233</v>
      </c>
      <c r="L811" t="s">
        <v>9094</v>
      </c>
      <c r="M811" t="s">
        <v>9095</v>
      </c>
      <c r="N811" t="s">
        <v>9171</v>
      </c>
      <c r="O811" t="s">
        <v>11137</v>
      </c>
      <c r="P811" t="s">
        <v>11167</v>
      </c>
      <c r="R811" t="s">
        <v>11180</v>
      </c>
      <c r="S811" t="s">
        <v>9096</v>
      </c>
      <c r="T811" t="s">
        <v>11183</v>
      </c>
      <c r="U811" t="s">
        <v>11201</v>
      </c>
      <c r="V811" t="s">
        <v>899</v>
      </c>
      <c r="W811">
        <v>1550</v>
      </c>
      <c r="X811" t="s">
        <v>11332</v>
      </c>
      <c r="Z811" t="s">
        <v>11475</v>
      </c>
      <c r="AA811" t="s">
        <v>15334</v>
      </c>
      <c r="AB811" t="s">
        <v>16412</v>
      </c>
      <c r="AC811">
        <v>12</v>
      </c>
      <c r="AD811" t="s">
        <v>19566</v>
      </c>
      <c r="AE811" t="s">
        <v>19585</v>
      </c>
      <c r="AF811">
        <v>4</v>
      </c>
      <c r="AG811">
        <v>1</v>
      </c>
      <c r="AH811">
        <v>0</v>
      </c>
      <c r="AI811">
        <v>31.22</v>
      </c>
      <c r="AL811" t="s">
        <v>19614</v>
      </c>
      <c r="AM811">
        <v>3900</v>
      </c>
      <c r="AS811">
        <v>0</v>
      </c>
      <c r="AU811" t="s">
        <v>95</v>
      </c>
      <c r="AV811" t="s">
        <v>20733</v>
      </c>
    </row>
    <row r="812" spans="1:48">
      <c r="A812" s="1">
        <f>HYPERLINK("https://lsnyc.legalserver.org/matter/dynamic-profile/view/1863621","18-1863621")</f>
        <v>0</v>
      </c>
      <c r="B812" t="s">
        <v>136</v>
      </c>
      <c r="C812" t="s">
        <v>256</v>
      </c>
      <c r="D812" t="s">
        <v>651</v>
      </c>
      <c r="F812" t="s">
        <v>1146</v>
      </c>
      <c r="G812" t="s">
        <v>3355</v>
      </c>
      <c r="H812" t="s">
        <v>5961</v>
      </c>
      <c r="I812">
        <v>102</v>
      </c>
      <c r="J812" t="s">
        <v>9067</v>
      </c>
      <c r="K812">
        <v>10029</v>
      </c>
      <c r="L812" t="s">
        <v>9094</v>
      </c>
      <c r="M812" t="s">
        <v>9095</v>
      </c>
      <c r="N812" t="s">
        <v>9287</v>
      </c>
      <c r="O812" t="s">
        <v>11130</v>
      </c>
      <c r="P812" t="s">
        <v>11165</v>
      </c>
      <c r="R812" t="s">
        <v>11180</v>
      </c>
      <c r="S812" t="s">
        <v>9094</v>
      </c>
      <c r="T812" t="s">
        <v>11183</v>
      </c>
      <c r="U812" t="s">
        <v>11201</v>
      </c>
      <c r="V812" t="s">
        <v>575</v>
      </c>
      <c r="W812">
        <v>0</v>
      </c>
      <c r="X812" t="s">
        <v>11335</v>
      </c>
      <c r="Y812" t="s">
        <v>11339</v>
      </c>
      <c r="Z812" t="s">
        <v>11959</v>
      </c>
      <c r="AB812" t="s">
        <v>16413</v>
      </c>
      <c r="AC812">
        <v>108</v>
      </c>
      <c r="AD812" t="s">
        <v>19567</v>
      </c>
      <c r="AE812" t="s">
        <v>19580</v>
      </c>
      <c r="AF812">
        <v>35</v>
      </c>
      <c r="AG812">
        <v>1</v>
      </c>
      <c r="AH812">
        <v>0</v>
      </c>
      <c r="AI812">
        <v>31.33</v>
      </c>
      <c r="AL812" t="s">
        <v>19615</v>
      </c>
      <c r="AM812">
        <v>3804</v>
      </c>
      <c r="AS812">
        <v>0.75</v>
      </c>
      <c r="AT812" t="s">
        <v>289</v>
      </c>
      <c r="AU812" t="s">
        <v>20657</v>
      </c>
      <c r="AV812" t="s">
        <v>20733</v>
      </c>
    </row>
    <row r="813" spans="1:48">
      <c r="A813" s="1">
        <f>HYPERLINK("https://lsnyc.legalserver.org/matter/dynamic-profile/view/1889301","19-1889301")</f>
        <v>0</v>
      </c>
      <c r="B813" t="s">
        <v>135</v>
      </c>
      <c r="C813" t="s">
        <v>256</v>
      </c>
      <c r="D813" t="s">
        <v>348</v>
      </c>
      <c r="F813" t="s">
        <v>1642</v>
      </c>
      <c r="G813" t="s">
        <v>3800</v>
      </c>
      <c r="H813" t="s">
        <v>6211</v>
      </c>
      <c r="I813" t="s">
        <v>8132</v>
      </c>
      <c r="J813" t="s">
        <v>9067</v>
      </c>
      <c r="K813">
        <v>10035</v>
      </c>
      <c r="L813" t="s">
        <v>9094</v>
      </c>
      <c r="M813" t="s">
        <v>9094</v>
      </c>
      <c r="N813" t="s">
        <v>9494</v>
      </c>
      <c r="O813" t="s">
        <v>11129</v>
      </c>
      <c r="P813" t="s">
        <v>11165</v>
      </c>
      <c r="R813" t="s">
        <v>11180</v>
      </c>
      <c r="S813" t="s">
        <v>9096</v>
      </c>
      <c r="T813" t="s">
        <v>11183</v>
      </c>
      <c r="U813" t="s">
        <v>11201</v>
      </c>
      <c r="V813" t="s">
        <v>491</v>
      </c>
      <c r="W813">
        <v>817.16</v>
      </c>
      <c r="X813" t="s">
        <v>11335</v>
      </c>
      <c r="Y813" t="s">
        <v>11340</v>
      </c>
      <c r="Z813" t="s">
        <v>11960</v>
      </c>
      <c r="AA813" t="s">
        <v>15437</v>
      </c>
      <c r="AB813" t="s">
        <v>16414</v>
      </c>
      <c r="AC813">
        <v>4</v>
      </c>
      <c r="AD813" t="s">
        <v>19569</v>
      </c>
      <c r="AE813" t="s">
        <v>19580</v>
      </c>
      <c r="AF813">
        <v>19</v>
      </c>
      <c r="AG813">
        <v>3</v>
      </c>
      <c r="AH813">
        <v>0</v>
      </c>
      <c r="AI813">
        <v>31.39</v>
      </c>
      <c r="AL813" t="s">
        <v>19615</v>
      </c>
      <c r="AM813">
        <v>6696</v>
      </c>
      <c r="AS813">
        <v>66</v>
      </c>
      <c r="AT813" t="s">
        <v>301</v>
      </c>
      <c r="AU813" t="s">
        <v>20659</v>
      </c>
      <c r="AV813" t="s">
        <v>20733</v>
      </c>
    </row>
    <row r="814" spans="1:48">
      <c r="A814" s="1">
        <f>HYPERLINK("https://lsnyc.legalserver.org/matter/dynamic-profile/view/1914271","19-1914271")</f>
        <v>0</v>
      </c>
      <c r="B814" t="s">
        <v>76</v>
      </c>
      <c r="C814" t="s">
        <v>256</v>
      </c>
      <c r="D814" t="s">
        <v>496</v>
      </c>
      <c r="F814" t="s">
        <v>1643</v>
      </c>
      <c r="G814" t="s">
        <v>3801</v>
      </c>
      <c r="H814" t="s">
        <v>6059</v>
      </c>
      <c r="I814" t="s">
        <v>8124</v>
      </c>
      <c r="J814" t="s">
        <v>9059</v>
      </c>
      <c r="K814">
        <v>11212</v>
      </c>
      <c r="L814" t="s">
        <v>9094</v>
      </c>
      <c r="M814" t="s">
        <v>9095</v>
      </c>
      <c r="N814" t="s">
        <v>9121</v>
      </c>
      <c r="P814" t="s">
        <v>11169</v>
      </c>
      <c r="R814" t="s">
        <v>11180</v>
      </c>
      <c r="S814" t="s">
        <v>9094</v>
      </c>
      <c r="T814" t="s">
        <v>11183</v>
      </c>
      <c r="V814" t="s">
        <v>496</v>
      </c>
      <c r="W814">
        <v>281</v>
      </c>
      <c r="X814" t="s">
        <v>11332</v>
      </c>
      <c r="Y814" t="s">
        <v>11346</v>
      </c>
      <c r="Z814" t="s">
        <v>11961</v>
      </c>
      <c r="AB814" t="s">
        <v>16415</v>
      </c>
      <c r="AC814">
        <v>10</v>
      </c>
      <c r="AD814" t="s">
        <v>19566</v>
      </c>
      <c r="AE814" t="s">
        <v>19580</v>
      </c>
      <c r="AF814">
        <v>21</v>
      </c>
      <c r="AG814">
        <v>3</v>
      </c>
      <c r="AH814">
        <v>2</v>
      </c>
      <c r="AI814">
        <v>31.58</v>
      </c>
      <c r="AL814" t="s">
        <v>19614</v>
      </c>
      <c r="AM814">
        <v>9528</v>
      </c>
      <c r="AS814">
        <v>0</v>
      </c>
      <c r="AU814" t="s">
        <v>79</v>
      </c>
      <c r="AV814" t="s">
        <v>20733</v>
      </c>
    </row>
    <row r="815" spans="1:48">
      <c r="A815" s="1">
        <f>HYPERLINK("https://lsnyc.legalserver.org/matter/dynamic-profile/view/1914002","19-1914002")</f>
        <v>0</v>
      </c>
      <c r="B815" t="s">
        <v>141</v>
      </c>
      <c r="C815" t="s">
        <v>257</v>
      </c>
      <c r="D815" t="s">
        <v>556</v>
      </c>
      <c r="E815" t="s">
        <v>487</v>
      </c>
      <c r="F815" t="s">
        <v>1402</v>
      </c>
      <c r="G815" t="s">
        <v>3802</v>
      </c>
      <c r="H815" t="s">
        <v>6212</v>
      </c>
      <c r="I815">
        <v>31</v>
      </c>
      <c r="J815" t="s">
        <v>9067</v>
      </c>
      <c r="K815">
        <v>10034</v>
      </c>
      <c r="L815" t="s">
        <v>9094</v>
      </c>
      <c r="M815" t="s">
        <v>9095</v>
      </c>
      <c r="O815" t="s">
        <v>9121</v>
      </c>
      <c r="P815" t="s">
        <v>11164</v>
      </c>
      <c r="Q815" t="s">
        <v>11172</v>
      </c>
      <c r="R815" t="s">
        <v>11180</v>
      </c>
      <c r="S815" t="s">
        <v>9096</v>
      </c>
      <c r="T815" t="s">
        <v>11183</v>
      </c>
      <c r="V815" t="s">
        <v>556</v>
      </c>
      <c r="W815">
        <v>1100</v>
      </c>
      <c r="X815" t="s">
        <v>11335</v>
      </c>
      <c r="Y815" t="s">
        <v>11340</v>
      </c>
      <c r="Z815" t="s">
        <v>11962</v>
      </c>
      <c r="AB815" t="s">
        <v>16416</v>
      </c>
      <c r="AC815">
        <v>20</v>
      </c>
      <c r="AD815" t="s">
        <v>19566</v>
      </c>
      <c r="AE815" t="s">
        <v>9144</v>
      </c>
      <c r="AF815">
        <v>20</v>
      </c>
      <c r="AG815">
        <v>2</v>
      </c>
      <c r="AH815">
        <v>1</v>
      </c>
      <c r="AI815">
        <v>31.62</v>
      </c>
      <c r="AL815" t="s">
        <v>19615</v>
      </c>
      <c r="AM815">
        <v>6744</v>
      </c>
      <c r="AS815">
        <v>1</v>
      </c>
      <c r="AT815" t="s">
        <v>487</v>
      </c>
      <c r="AU815" t="s">
        <v>130</v>
      </c>
      <c r="AV815" t="s">
        <v>20733</v>
      </c>
    </row>
    <row r="816" spans="1:48">
      <c r="A816" s="1">
        <f>HYPERLINK("https://lsnyc.legalserver.org/matter/dynamic-profile/view/0830911","17-0830911")</f>
        <v>0</v>
      </c>
      <c r="B816" t="s">
        <v>139</v>
      </c>
      <c r="C816" t="s">
        <v>256</v>
      </c>
      <c r="D816" t="s">
        <v>652</v>
      </c>
      <c r="F816" t="s">
        <v>1358</v>
      </c>
      <c r="G816" t="s">
        <v>3803</v>
      </c>
      <c r="H816" t="s">
        <v>6213</v>
      </c>
      <c r="I816" t="s">
        <v>8176</v>
      </c>
      <c r="J816" t="s">
        <v>9067</v>
      </c>
      <c r="K816">
        <v>10034</v>
      </c>
      <c r="L816" t="s">
        <v>9094</v>
      </c>
      <c r="M816" t="s">
        <v>9095</v>
      </c>
      <c r="O816" t="s">
        <v>9121</v>
      </c>
      <c r="P816" t="s">
        <v>11165</v>
      </c>
      <c r="R816" t="s">
        <v>11180</v>
      </c>
      <c r="S816" t="s">
        <v>9094</v>
      </c>
      <c r="T816" t="s">
        <v>11183</v>
      </c>
      <c r="V816" t="s">
        <v>837</v>
      </c>
      <c r="W816">
        <v>1199</v>
      </c>
      <c r="X816" t="s">
        <v>11335</v>
      </c>
      <c r="Y816" t="s">
        <v>11338</v>
      </c>
      <c r="Z816" t="s">
        <v>11963</v>
      </c>
      <c r="AB816" t="s">
        <v>16417</v>
      </c>
      <c r="AC816">
        <v>49</v>
      </c>
      <c r="AD816" t="s">
        <v>19569</v>
      </c>
      <c r="AE816" t="s">
        <v>9144</v>
      </c>
      <c r="AF816">
        <v>33</v>
      </c>
      <c r="AG816">
        <v>1</v>
      </c>
      <c r="AH816">
        <v>0</v>
      </c>
      <c r="AI816">
        <v>31.74</v>
      </c>
      <c r="AL816" t="s">
        <v>19615</v>
      </c>
      <c r="AM816">
        <v>3828</v>
      </c>
      <c r="AS816">
        <v>75.3</v>
      </c>
      <c r="AT816" t="s">
        <v>321</v>
      </c>
      <c r="AU816" t="s">
        <v>20635</v>
      </c>
    </row>
    <row r="817" spans="1:48">
      <c r="A817" s="1">
        <f>HYPERLINK("https://lsnyc.legalserver.org/matter/dynamic-profile/view/0803671","16-0803671")</f>
        <v>0</v>
      </c>
      <c r="B817" t="s">
        <v>135</v>
      </c>
      <c r="C817" t="s">
        <v>257</v>
      </c>
      <c r="D817" t="s">
        <v>653</v>
      </c>
      <c r="E817" t="s">
        <v>321</v>
      </c>
      <c r="F817" t="s">
        <v>1625</v>
      </c>
      <c r="G817" t="s">
        <v>3804</v>
      </c>
      <c r="H817" t="s">
        <v>6214</v>
      </c>
      <c r="I817" t="s">
        <v>8140</v>
      </c>
      <c r="J817" t="s">
        <v>9067</v>
      </c>
      <c r="K817">
        <v>10035</v>
      </c>
      <c r="L817" t="s">
        <v>9094</v>
      </c>
      <c r="M817" t="s">
        <v>9095</v>
      </c>
      <c r="O817" t="s">
        <v>9121</v>
      </c>
      <c r="P817" t="s">
        <v>11166</v>
      </c>
      <c r="Q817" t="s">
        <v>11174</v>
      </c>
      <c r="R817" t="s">
        <v>11180</v>
      </c>
      <c r="S817" t="s">
        <v>9094</v>
      </c>
      <c r="T817" t="s">
        <v>11183</v>
      </c>
      <c r="U817" t="s">
        <v>11201</v>
      </c>
      <c r="V817" t="s">
        <v>653</v>
      </c>
      <c r="W817">
        <v>1789.68</v>
      </c>
      <c r="X817" t="s">
        <v>11335</v>
      </c>
      <c r="Y817" t="s">
        <v>11343</v>
      </c>
      <c r="Z817" t="s">
        <v>11964</v>
      </c>
      <c r="AC817">
        <v>30</v>
      </c>
      <c r="AD817" t="s">
        <v>19566</v>
      </c>
      <c r="AE817" t="s">
        <v>9144</v>
      </c>
      <c r="AF817">
        <v>10</v>
      </c>
      <c r="AG817">
        <v>2</v>
      </c>
      <c r="AH817">
        <v>4</v>
      </c>
      <c r="AI817">
        <v>31.79</v>
      </c>
      <c r="AL817" t="s">
        <v>19615</v>
      </c>
      <c r="AM817">
        <v>10356</v>
      </c>
      <c r="AS817">
        <v>1.75</v>
      </c>
      <c r="AT817" t="s">
        <v>706</v>
      </c>
      <c r="AU817" t="s">
        <v>20657</v>
      </c>
      <c r="AV817" t="s">
        <v>20733</v>
      </c>
    </row>
    <row r="818" spans="1:48">
      <c r="A818" s="1">
        <f>HYPERLINK("https://lsnyc.legalserver.org/matter/dynamic-profile/view/1902160","19-1902160")</f>
        <v>0</v>
      </c>
      <c r="B818" t="s">
        <v>64</v>
      </c>
      <c r="C818" t="s">
        <v>257</v>
      </c>
      <c r="D818" t="s">
        <v>584</v>
      </c>
      <c r="E818" t="s">
        <v>328</v>
      </c>
      <c r="F818" t="s">
        <v>1644</v>
      </c>
      <c r="G818" t="s">
        <v>3699</v>
      </c>
      <c r="H818" t="s">
        <v>6215</v>
      </c>
      <c r="I818" t="s">
        <v>8183</v>
      </c>
      <c r="J818" t="s">
        <v>9059</v>
      </c>
      <c r="K818">
        <v>11212</v>
      </c>
      <c r="L818" t="s">
        <v>9094</v>
      </c>
      <c r="M818" t="s">
        <v>9095</v>
      </c>
      <c r="N818" t="s">
        <v>9495</v>
      </c>
      <c r="O818" t="s">
        <v>11128</v>
      </c>
      <c r="P818" t="s">
        <v>11164</v>
      </c>
      <c r="Q818" t="s">
        <v>11172</v>
      </c>
      <c r="R818" t="s">
        <v>11180</v>
      </c>
      <c r="S818" t="s">
        <v>9096</v>
      </c>
      <c r="T818" t="s">
        <v>11183</v>
      </c>
      <c r="U818" t="s">
        <v>11201</v>
      </c>
      <c r="V818" t="s">
        <v>302</v>
      </c>
      <c r="W818">
        <v>0</v>
      </c>
      <c r="X818" t="s">
        <v>11332</v>
      </c>
      <c r="Y818" t="s">
        <v>11157</v>
      </c>
      <c r="Z818" t="s">
        <v>11965</v>
      </c>
      <c r="AB818" t="s">
        <v>16418</v>
      </c>
      <c r="AC818">
        <v>48</v>
      </c>
      <c r="AD818" t="s">
        <v>19566</v>
      </c>
      <c r="AE818" t="s">
        <v>9144</v>
      </c>
      <c r="AF818">
        <v>3</v>
      </c>
      <c r="AG818">
        <v>3</v>
      </c>
      <c r="AH818">
        <v>2</v>
      </c>
      <c r="AI818">
        <v>31.82</v>
      </c>
      <c r="AL818" t="s">
        <v>19614</v>
      </c>
      <c r="AM818">
        <v>9600</v>
      </c>
      <c r="AS818">
        <v>2.8</v>
      </c>
      <c r="AT818" t="s">
        <v>736</v>
      </c>
      <c r="AU818" t="s">
        <v>20674</v>
      </c>
      <c r="AV818" t="s">
        <v>20733</v>
      </c>
    </row>
    <row r="819" spans="1:48">
      <c r="A819" s="1">
        <f>HYPERLINK("https://lsnyc.legalserver.org/matter/dynamic-profile/view/1854886","17-1854886")</f>
        <v>0</v>
      </c>
      <c r="B819" t="s">
        <v>101</v>
      </c>
      <c r="C819" t="s">
        <v>256</v>
      </c>
      <c r="D819" t="s">
        <v>558</v>
      </c>
      <c r="F819" t="s">
        <v>1370</v>
      </c>
      <c r="G819" t="s">
        <v>3805</v>
      </c>
      <c r="H819" t="s">
        <v>6041</v>
      </c>
      <c r="I819" t="s">
        <v>8156</v>
      </c>
      <c r="J819" t="s">
        <v>9065</v>
      </c>
      <c r="K819">
        <v>10452</v>
      </c>
      <c r="L819" t="s">
        <v>9094</v>
      </c>
      <c r="M819" t="s">
        <v>9095</v>
      </c>
      <c r="N819" t="s">
        <v>9356</v>
      </c>
      <c r="O819" t="s">
        <v>11135</v>
      </c>
      <c r="P819" t="s">
        <v>11168</v>
      </c>
      <c r="R819" t="s">
        <v>11180</v>
      </c>
      <c r="S819" t="s">
        <v>9094</v>
      </c>
      <c r="T819" t="s">
        <v>11183</v>
      </c>
      <c r="V819" t="s">
        <v>1122</v>
      </c>
      <c r="W819">
        <v>1914.66</v>
      </c>
      <c r="X819" t="s">
        <v>11333</v>
      </c>
      <c r="Z819" t="s">
        <v>11966</v>
      </c>
      <c r="AA819">
        <v>2642556</v>
      </c>
      <c r="AB819" t="s">
        <v>16419</v>
      </c>
      <c r="AC819">
        <v>62</v>
      </c>
      <c r="AD819" t="s">
        <v>19566</v>
      </c>
      <c r="AE819" t="s">
        <v>19580</v>
      </c>
      <c r="AF819">
        <v>12</v>
      </c>
      <c r="AG819">
        <v>2</v>
      </c>
      <c r="AH819">
        <v>1</v>
      </c>
      <c r="AI819">
        <v>31.91</v>
      </c>
      <c r="AL819" t="s">
        <v>19615</v>
      </c>
      <c r="AM819">
        <v>6516</v>
      </c>
      <c r="AS819">
        <v>0.4</v>
      </c>
      <c r="AT819" t="s">
        <v>558</v>
      </c>
      <c r="AU819" t="s">
        <v>174</v>
      </c>
    </row>
    <row r="820" spans="1:48">
      <c r="A820" s="1">
        <f>HYPERLINK("https://lsnyc.legalserver.org/matter/dynamic-profile/view/1855244","18-1855244")</f>
        <v>0</v>
      </c>
      <c r="B820" t="s">
        <v>101</v>
      </c>
      <c r="C820" t="s">
        <v>256</v>
      </c>
      <c r="D820" t="s">
        <v>654</v>
      </c>
      <c r="F820" t="s">
        <v>1370</v>
      </c>
      <c r="G820" t="s">
        <v>3805</v>
      </c>
      <c r="H820" t="s">
        <v>6041</v>
      </c>
      <c r="I820" t="s">
        <v>8156</v>
      </c>
      <c r="J820" t="s">
        <v>9065</v>
      </c>
      <c r="K820">
        <v>10452</v>
      </c>
      <c r="L820" t="s">
        <v>9094</v>
      </c>
      <c r="M820" t="s">
        <v>9095</v>
      </c>
      <c r="N820" t="s">
        <v>9496</v>
      </c>
      <c r="O820" t="s">
        <v>11135</v>
      </c>
      <c r="P820" t="s">
        <v>11168</v>
      </c>
      <c r="R820" t="s">
        <v>11180</v>
      </c>
      <c r="S820" t="s">
        <v>9094</v>
      </c>
      <c r="T820" t="s">
        <v>11183</v>
      </c>
      <c r="V820" t="s">
        <v>1122</v>
      </c>
      <c r="W820">
        <v>1914.66</v>
      </c>
      <c r="X820" t="s">
        <v>11333</v>
      </c>
      <c r="Y820" t="s">
        <v>11346</v>
      </c>
      <c r="Z820" t="s">
        <v>11966</v>
      </c>
      <c r="AA820">
        <v>2642556</v>
      </c>
      <c r="AB820" t="s">
        <v>16419</v>
      </c>
      <c r="AC820">
        <v>62</v>
      </c>
      <c r="AD820" t="s">
        <v>19566</v>
      </c>
      <c r="AE820" t="s">
        <v>19580</v>
      </c>
      <c r="AF820">
        <v>12</v>
      </c>
      <c r="AG820">
        <v>2</v>
      </c>
      <c r="AH820">
        <v>1</v>
      </c>
      <c r="AI820">
        <v>31.91</v>
      </c>
      <c r="AL820" t="s">
        <v>19615</v>
      </c>
      <c r="AM820">
        <v>6516</v>
      </c>
      <c r="AS820">
        <v>0</v>
      </c>
      <c r="AU820" t="s">
        <v>20643</v>
      </c>
    </row>
    <row r="821" spans="1:48">
      <c r="A821" s="1">
        <f>HYPERLINK("https://lsnyc.legalserver.org/matter/dynamic-profile/view/1891015","19-1891015")</f>
        <v>0</v>
      </c>
      <c r="B821" t="s">
        <v>103</v>
      </c>
      <c r="C821" t="s">
        <v>256</v>
      </c>
      <c r="D821" t="s">
        <v>554</v>
      </c>
      <c r="F821" t="s">
        <v>1645</v>
      </c>
      <c r="G821" t="s">
        <v>3448</v>
      </c>
      <c r="H821" t="s">
        <v>5887</v>
      </c>
      <c r="I821" t="s">
        <v>8346</v>
      </c>
      <c r="J821" t="s">
        <v>9065</v>
      </c>
      <c r="K821">
        <v>10453</v>
      </c>
      <c r="L821" t="s">
        <v>9094</v>
      </c>
      <c r="M821" t="s">
        <v>9096</v>
      </c>
      <c r="O821" t="s">
        <v>11134</v>
      </c>
      <c r="P821" t="s">
        <v>11168</v>
      </c>
      <c r="R821" t="s">
        <v>11180</v>
      </c>
      <c r="S821" t="s">
        <v>9094</v>
      </c>
      <c r="T821" t="s">
        <v>11183</v>
      </c>
      <c r="V821" t="s">
        <v>512</v>
      </c>
      <c r="W821">
        <v>979</v>
      </c>
      <c r="X821" t="s">
        <v>11333</v>
      </c>
      <c r="Y821" t="s">
        <v>11346</v>
      </c>
      <c r="Z821" t="s">
        <v>11967</v>
      </c>
      <c r="AA821" t="s">
        <v>15438</v>
      </c>
      <c r="AB821" t="s">
        <v>16420</v>
      </c>
      <c r="AC821">
        <v>167</v>
      </c>
      <c r="AD821" t="s">
        <v>19566</v>
      </c>
      <c r="AE821" t="s">
        <v>9144</v>
      </c>
      <c r="AF821">
        <v>12</v>
      </c>
      <c r="AG821">
        <v>3</v>
      </c>
      <c r="AH821">
        <v>3</v>
      </c>
      <c r="AI821">
        <v>31.92</v>
      </c>
      <c r="AL821" t="s">
        <v>19615</v>
      </c>
      <c r="AM821">
        <v>11040</v>
      </c>
      <c r="AS821">
        <v>0</v>
      </c>
      <c r="AU821" t="s">
        <v>20642</v>
      </c>
    </row>
    <row r="822" spans="1:48">
      <c r="A822" s="1">
        <f>HYPERLINK("https://lsnyc.legalserver.org/matter/dynamic-profile/view/1905049","19-1905049")</f>
        <v>0</v>
      </c>
      <c r="B822" t="s">
        <v>103</v>
      </c>
      <c r="C822" t="s">
        <v>256</v>
      </c>
      <c r="D822" t="s">
        <v>367</v>
      </c>
      <c r="F822" t="s">
        <v>1645</v>
      </c>
      <c r="G822" t="s">
        <v>3448</v>
      </c>
      <c r="H822" t="s">
        <v>5887</v>
      </c>
      <c r="I822" t="s">
        <v>8346</v>
      </c>
      <c r="J822" t="s">
        <v>9065</v>
      </c>
      <c r="K822">
        <v>10453</v>
      </c>
      <c r="L822" t="s">
        <v>9094</v>
      </c>
      <c r="M822" t="s">
        <v>9095</v>
      </c>
      <c r="N822" t="s">
        <v>9239</v>
      </c>
      <c r="O822" t="s">
        <v>11134</v>
      </c>
      <c r="P822" t="s">
        <v>11168</v>
      </c>
      <c r="R822" t="s">
        <v>11180</v>
      </c>
      <c r="S822" t="s">
        <v>9094</v>
      </c>
      <c r="T822" t="s">
        <v>11183</v>
      </c>
      <c r="V822" t="s">
        <v>1061</v>
      </c>
      <c r="W822">
        <v>979</v>
      </c>
      <c r="X822" t="s">
        <v>11333</v>
      </c>
      <c r="Y822" t="s">
        <v>11346</v>
      </c>
      <c r="Z822" t="s">
        <v>11967</v>
      </c>
      <c r="AA822" t="s">
        <v>15438</v>
      </c>
      <c r="AB822" t="s">
        <v>16420</v>
      </c>
      <c r="AC822">
        <v>167</v>
      </c>
      <c r="AD822" t="s">
        <v>19566</v>
      </c>
      <c r="AE822" t="s">
        <v>9144</v>
      </c>
      <c r="AF822">
        <v>12</v>
      </c>
      <c r="AG822">
        <v>4</v>
      </c>
      <c r="AH822">
        <v>2</v>
      </c>
      <c r="AI822">
        <v>31.92</v>
      </c>
      <c r="AL822" t="s">
        <v>19615</v>
      </c>
      <c r="AM822">
        <v>11040</v>
      </c>
      <c r="AS822">
        <v>0</v>
      </c>
      <c r="AU822" t="s">
        <v>220</v>
      </c>
      <c r="AV822" t="s">
        <v>20733</v>
      </c>
    </row>
    <row r="823" spans="1:48">
      <c r="A823" s="1">
        <f>HYPERLINK("https://lsnyc.legalserver.org/matter/dynamic-profile/view/1905057","19-1905057")</f>
        <v>0</v>
      </c>
      <c r="B823" t="s">
        <v>103</v>
      </c>
      <c r="C823" t="s">
        <v>256</v>
      </c>
      <c r="D823" t="s">
        <v>367</v>
      </c>
      <c r="F823" t="s">
        <v>1645</v>
      </c>
      <c r="G823" t="s">
        <v>3448</v>
      </c>
      <c r="H823" t="s">
        <v>5887</v>
      </c>
      <c r="I823" t="s">
        <v>8346</v>
      </c>
      <c r="J823" t="s">
        <v>9065</v>
      </c>
      <c r="K823">
        <v>10453</v>
      </c>
      <c r="L823" t="s">
        <v>9094</v>
      </c>
      <c r="M823" t="s">
        <v>9095</v>
      </c>
      <c r="N823" t="s">
        <v>9240</v>
      </c>
      <c r="O823" t="s">
        <v>11134</v>
      </c>
      <c r="P823" t="s">
        <v>11168</v>
      </c>
      <c r="R823" t="s">
        <v>11180</v>
      </c>
      <c r="S823" t="s">
        <v>9094</v>
      </c>
      <c r="T823" t="s">
        <v>11183</v>
      </c>
      <c r="V823" t="s">
        <v>422</v>
      </c>
      <c r="W823">
        <v>979</v>
      </c>
      <c r="X823" t="s">
        <v>11333</v>
      </c>
      <c r="Y823" t="s">
        <v>11346</v>
      </c>
      <c r="Z823" t="s">
        <v>11967</v>
      </c>
      <c r="AA823" t="s">
        <v>15438</v>
      </c>
      <c r="AB823" t="s">
        <v>16420</v>
      </c>
      <c r="AC823">
        <v>167</v>
      </c>
      <c r="AD823" t="s">
        <v>19566</v>
      </c>
      <c r="AE823" t="s">
        <v>9144</v>
      </c>
      <c r="AF823">
        <v>12</v>
      </c>
      <c r="AG823">
        <v>4</v>
      </c>
      <c r="AH823">
        <v>2</v>
      </c>
      <c r="AI823">
        <v>31.92</v>
      </c>
      <c r="AL823" t="s">
        <v>19615</v>
      </c>
      <c r="AM823">
        <v>11040</v>
      </c>
      <c r="AS823">
        <v>0</v>
      </c>
      <c r="AU823" t="s">
        <v>220</v>
      </c>
      <c r="AV823" t="s">
        <v>20733</v>
      </c>
    </row>
    <row r="824" spans="1:48">
      <c r="A824" s="1">
        <f>HYPERLINK("https://lsnyc.legalserver.org/matter/dynamic-profile/view/1891007","19-1891007")</f>
        <v>0</v>
      </c>
      <c r="B824" t="s">
        <v>103</v>
      </c>
      <c r="C824" t="s">
        <v>256</v>
      </c>
      <c r="D824" t="s">
        <v>554</v>
      </c>
      <c r="F824" t="s">
        <v>1645</v>
      </c>
      <c r="G824" t="s">
        <v>3448</v>
      </c>
      <c r="H824" t="s">
        <v>5887</v>
      </c>
      <c r="I824" t="s">
        <v>8346</v>
      </c>
      <c r="J824" t="s">
        <v>9065</v>
      </c>
      <c r="K824">
        <v>10453</v>
      </c>
      <c r="L824" t="s">
        <v>9094</v>
      </c>
      <c r="M824" t="s">
        <v>9096</v>
      </c>
      <c r="N824" t="s">
        <v>9352</v>
      </c>
      <c r="O824" t="s">
        <v>11130</v>
      </c>
      <c r="P824" t="s">
        <v>11165</v>
      </c>
      <c r="R824" t="s">
        <v>11180</v>
      </c>
      <c r="S824" t="s">
        <v>9094</v>
      </c>
      <c r="T824" t="s">
        <v>11183</v>
      </c>
      <c r="V824" t="s">
        <v>784</v>
      </c>
      <c r="W824">
        <v>979</v>
      </c>
      <c r="X824" t="s">
        <v>11333</v>
      </c>
      <c r="Y824" t="s">
        <v>11346</v>
      </c>
      <c r="Z824" t="s">
        <v>11967</v>
      </c>
      <c r="AA824" t="s">
        <v>15438</v>
      </c>
      <c r="AB824" t="s">
        <v>16420</v>
      </c>
      <c r="AC824">
        <v>167</v>
      </c>
      <c r="AD824" t="s">
        <v>19566</v>
      </c>
      <c r="AE824" t="s">
        <v>9144</v>
      </c>
      <c r="AF824">
        <v>12</v>
      </c>
      <c r="AG824">
        <v>3</v>
      </c>
      <c r="AH824">
        <v>3</v>
      </c>
      <c r="AI824">
        <v>31.92</v>
      </c>
      <c r="AL824" t="s">
        <v>19615</v>
      </c>
      <c r="AM824">
        <v>11040</v>
      </c>
      <c r="AS824">
        <v>0</v>
      </c>
      <c r="AU824" t="s">
        <v>20642</v>
      </c>
    </row>
    <row r="825" spans="1:48">
      <c r="A825" s="1">
        <f>HYPERLINK("https://lsnyc.legalserver.org/matter/dynamic-profile/view/1911772","19-1911772")</f>
        <v>0</v>
      </c>
      <c r="B825" t="s">
        <v>98</v>
      </c>
      <c r="C825" t="s">
        <v>256</v>
      </c>
      <c r="D825" t="s">
        <v>290</v>
      </c>
      <c r="F825" t="s">
        <v>1646</v>
      </c>
      <c r="G825" t="s">
        <v>3220</v>
      </c>
      <c r="H825" t="s">
        <v>6216</v>
      </c>
      <c r="I825" t="s">
        <v>8115</v>
      </c>
      <c r="J825" t="s">
        <v>9065</v>
      </c>
      <c r="K825">
        <v>10452</v>
      </c>
      <c r="L825" t="s">
        <v>9094</v>
      </c>
      <c r="M825" t="s">
        <v>9095</v>
      </c>
      <c r="N825" t="s">
        <v>9497</v>
      </c>
      <c r="O825" t="s">
        <v>11134</v>
      </c>
      <c r="P825" t="s">
        <v>11168</v>
      </c>
      <c r="R825" t="s">
        <v>11180</v>
      </c>
      <c r="S825" t="s">
        <v>9094</v>
      </c>
      <c r="T825" t="s">
        <v>11183</v>
      </c>
      <c r="W825">
        <v>1165</v>
      </c>
      <c r="X825" t="s">
        <v>11333</v>
      </c>
      <c r="Y825" t="s">
        <v>11346</v>
      </c>
      <c r="Z825" t="s">
        <v>11968</v>
      </c>
      <c r="AB825" t="s">
        <v>16421</v>
      </c>
      <c r="AC825">
        <v>67</v>
      </c>
      <c r="AD825" t="s">
        <v>19565</v>
      </c>
      <c r="AE825" t="s">
        <v>9144</v>
      </c>
      <c r="AF825">
        <v>13</v>
      </c>
      <c r="AG825">
        <v>3</v>
      </c>
      <c r="AH825">
        <v>1</v>
      </c>
      <c r="AI825">
        <v>32.04</v>
      </c>
      <c r="AL825" t="s">
        <v>19615</v>
      </c>
      <c r="AM825">
        <v>8250</v>
      </c>
      <c r="AS825">
        <v>0</v>
      </c>
      <c r="AU825" t="s">
        <v>20647</v>
      </c>
      <c r="AV825" t="s">
        <v>9144</v>
      </c>
    </row>
    <row r="826" spans="1:48">
      <c r="A826" s="1">
        <f>HYPERLINK("https://lsnyc.legalserver.org/matter/dynamic-profile/view/0831293","17-0831293")</f>
        <v>0</v>
      </c>
      <c r="B826" t="s">
        <v>94</v>
      </c>
      <c r="C826" t="s">
        <v>257</v>
      </c>
      <c r="D826" t="s">
        <v>655</v>
      </c>
      <c r="E826" t="s">
        <v>370</v>
      </c>
      <c r="F826" t="s">
        <v>1647</v>
      </c>
      <c r="G826" t="s">
        <v>3806</v>
      </c>
      <c r="H826" t="s">
        <v>6217</v>
      </c>
      <c r="I826">
        <v>14</v>
      </c>
      <c r="J826" t="s">
        <v>9059</v>
      </c>
      <c r="K826">
        <v>11219</v>
      </c>
      <c r="L826" t="s">
        <v>9094</v>
      </c>
      <c r="M826" t="s">
        <v>9095</v>
      </c>
      <c r="N826" t="s">
        <v>9498</v>
      </c>
      <c r="O826" t="s">
        <v>11129</v>
      </c>
      <c r="P826" t="s">
        <v>11167</v>
      </c>
      <c r="Q826" t="s">
        <v>11172</v>
      </c>
      <c r="R826" t="s">
        <v>11180</v>
      </c>
      <c r="S826" t="s">
        <v>9096</v>
      </c>
      <c r="T826" t="s">
        <v>11183</v>
      </c>
      <c r="U826" t="s">
        <v>11202</v>
      </c>
      <c r="V826" t="s">
        <v>706</v>
      </c>
      <c r="W826">
        <v>1065</v>
      </c>
      <c r="X826" t="s">
        <v>11332</v>
      </c>
      <c r="Y826" t="s">
        <v>11342</v>
      </c>
      <c r="Z826" t="s">
        <v>11969</v>
      </c>
      <c r="AB826" t="s">
        <v>16422</v>
      </c>
      <c r="AC826">
        <v>14</v>
      </c>
      <c r="AD826" t="s">
        <v>19566</v>
      </c>
      <c r="AE826" t="s">
        <v>9144</v>
      </c>
      <c r="AF826">
        <v>12</v>
      </c>
      <c r="AG826">
        <v>3</v>
      </c>
      <c r="AH826">
        <v>0</v>
      </c>
      <c r="AI826">
        <v>32.32</v>
      </c>
      <c r="AL826" t="s">
        <v>19631</v>
      </c>
      <c r="AM826">
        <v>6600</v>
      </c>
      <c r="AQ826" t="s">
        <v>20369</v>
      </c>
      <c r="AR826" t="s">
        <v>20422</v>
      </c>
      <c r="AS826">
        <v>95.65000000000001</v>
      </c>
      <c r="AT826" t="s">
        <v>370</v>
      </c>
      <c r="AU826" t="s">
        <v>20679</v>
      </c>
      <c r="AV826" t="s">
        <v>20733</v>
      </c>
    </row>
    <row r="827" spans="1:48">
      <c r="A827" s="1">
        <f>HYPERLINK("https://lsnyc.legalserver.org/matter/dynamic-profile/view/0799231","16-0799231")</f>
        <v>0</v>
      </c>
      <c r="B827" t="s">
        <v>101</v>
      </c>
      <c r="C827" t="s">
        <v>256</v>
      </c>
      <c r="D827" t="s">
        <v>656</v>
      </c>
      <c r="F827" t="s">
        <v>1370</v>
      </c>
      <c r="G827" t="s">
        <v>3805</v>
      </c>
      <c r="H827" t="s">
        <v>6041</v>
      </c>
      <c r="I827" t="s">
        <v>8156</v>
      </c>
      <c r="J827" t="s">
        <v>9065</v>
      </c>
      <c r="K827">
        <v>10452</v>
      </c>
      <c r="L827" t="s">
        <v>9094</v>
      </c>
      <c r="M827" t="s">
        <v>9095</v>
      </c>
      <c r="N827" t="s">
        <v>9499</v>
      </c>
      <c r="O827" t="s">
        <v>11135</v>
      </c>
      <c r="P827" t="s">
        <v>11168</v>
      </c>
      <c r="R827" t="s">
        <v>11180</v>
      </c>
      <c r="S827" t="s">
        <v>9094</v>
      </c>
      <c r="T827" t="s">
        <v>11183</v>
      </c>
      <c r="V827" t="s">
        <v>1094</v>
      </c>
      <c r="W827">
        <v>1914.66</v>
      </c>
      <c r="X827" t="s">
        <v>11333</v>
      </c>
      <c r="Y827" t="s">
        <v>11346</v>
      </c>
      <c r="Z827" t="s">
        <v>11966</v>
      </c>
      <c r="AA827">
        <v>2642556</v>
      </c>
      <c r="AB827" t="s">
        <v>16419</v>
      </c>
      <c r="AC827">
        <v>61</v>
      </c>
      <c r="AD827" t="s">
        <v>19566</v>
      </c>
      <c r="AE827" t="s">
        <v>19580</v>
      </c>
      <c r="AF827">
        <v>12</v>
      </c>
      <c r="AG827">
        <v>2</v>
      </c>
      <c r="AH827">
        <v>1</v>
      </c>
      <c r="AI827">
        <v>32.32</v>
      </c>
      <c r="AL827" t="s">
        <v>19615</v>
      </c>
      <c r="AM827">
        <v>6516</v>
      </c>
      <c r="AS827">
        <v>0.5</v>
      </c>
      <c r="AT827" t="s">
        <v>1122</v>
      </c>
      <c r="AU827" t="s">
        <v>109</v>
      </c>
    </row>
    <row r="828" spans="1:48">
      <c r="A828" s="1">
        <f>HYPERLINK("https://lsnyc.legalserver.org/matter/dynamic-profile/view/0816949","16-0816949")</f>
        <v>0</v>
      </c>
      <c r="B828" t="s">
        <v>101</v>
      </c>
      <c r="C828" t="s">
        <v>256</v>
      </c>
      <c r="D828" t="s">
        <v>437</v>
      </c>
      <c r="F828" t="s">
        <v>1370</v>
      </c>
      <c r="G828" t="s">
        <v>3805</v>
      </c>
      <c r="H828" t="s">
        <v>6041</v>
      </c>
      <c r="I828" t="s">
        <v>8156</v>
      </c>
      <c r="J828" t="s">
        <v>9065</v>
      </c>
      <c r="K828">
        <v>10452</v>
      </c>
      <c r="L828" t="s">
        <v>9094</v>
      </c>
      <c r="M828" t="s">
        <v>9095</v>
      </c>
      <c r="N828" t="s">
        <v>9500</v>
      </c>
      <c r="O828" t="s">
        <v>11135</v>
      </c>
      <c r="P828" t="s">
        <v>11168</v>
      </c>
      <c r="R828" t="s">
        <v>11180</v>
      </c>
      <c r="S828" t="s">
        <v>9094</v>
      </c>
      <c r="T828" t="s">
        <v>11183</v>
      </c>
      <c r="V828" t="s">
        <v>1024</v>
      </c>
      <c r="W828">
        <v>1914.66</v>
      </c>
      <c r="X828" t="s">
        <v>11333</v>
      </c>
      <c r="Y828" t="s">
        <v>11346</v>
      </c>
      <c r="Z828" t="s">
        <v>11966</v>
      </c>
      <c r="AB828" t="s">
        <v>16419</v>
      </c>
      <c r="AC828">
        <v>62</v>
      </c>
      <c r="AD828" t="s">
        <v>19566</v>
      </c>
      <c r="AE828" t="s">
        <v>19580</v>
      </c>
      <c r="AF828">
        <v>12</v>
      </c>
      <c r="AG828">
        <v>2</v>
      </c>
      <c r="AH828">
        <v>1</v>
      </c>
      <c r="AI828">
        <v>32.32</v>
      </c>
      <c r="AL828" t="s">
        <v>19615</v>
      </c>
      <c r="AM828">
        <v>6516</v>
      </c>
      <c r="AS828">
        <v>0.8</v>
      </c>
      <c r="AT828" t="s">
        <v>1122</v>
      </c>
      <c r="AU828" t="s">
        <v>20643</v>
      </c>
    </row>
    <row r="829" spans="1:48">
      <c r="A829" s="1">
        <f>HYPERLINK("https://lsnyc.legalserver.org/matter/dynamic-profile/view/0822537","16-0822537")</f>
        <v>0</v>
      </c>
      <c r="B829" t="s">
        <v>101</v>
      </c>
      <c r="C829" t="s">
        <v>256</v>
      </c>
      <c r="D829" t="s">
        <v>657</v>
      </c>
      <c r="F829" t="s">
        <v>1370</v>
      </c>
      <c r="G829" t="s">
        <v>3805</v>
      </c>
      <c r="H829" t="s">
        <v>6041</v>
      </c>
      <c r="I829" t="s">
        <v>8156</v>
      </c>
      <c r="J829" t="s">
        <v>9065</v>
      </c>
      <c r="K829">
        <v>10452</v>
      </c>
      <c r="L829" t="s">
        <v>9094</v>
      </c>
      <c r="M829" t="s">
        <v>9095</v>
      </c>
      <c r="N829" t="s">
        <v>9501</v>
      </c>
      <c r="O829" t="s">
        <v>11135</v>
      </c>
      <c r="P829" t="s">
        <v>11168</v>
      </c>
      <c r="R829" t="s">
        <v>11180</v>
      </c>
      <c r="S829" t="s">
        <v>9094</v>
      </c>
      <c r="T829" t="s">
        <v>11183</v>
      </c>
      <c r="V829" t="s">
        <v>657</v>
      </c>
      <c r="W829">
        <v>1914.66</v>
      </c>
      <c r="X829" t="s">
        <v>11333</v>
      </c>
      <c r="Y829" t="s">
        <v>11346</v>
      </c>
      <c r="Z829" t="s">
        <v>11966</v>
      </c>
      <c r="AA829">
        <v>2642556</v>
      </c>
      <c r="AB829" t="s">
        <v>16419</v>
      </c>
      <c r="AC829">
        <v>62</v>
      </c>
      <c r="AD829" t="s">
        <v>19566</v>
      </c>
      <c r="AE829" t="s">
        <v>19580</v>
      </c>
      <c r="AF829">
        <v>12</v>
      </c>
      <c r="AG829">
        <v>2</v>
      </c>
      <c r="AH829">
        <v>1</v>
      </c>
      <c r="AI829">
        <v>32.32</v>
      </c>
      <c r="AL829" t="s">
        <v>19615</v>
      </c>
      <c r="AM829">
        <v>6516</v>
      </c>
      <c r="AS829">
        <v>0.3</v>
      </c>
      <c r="AT829" t="s">
        <v>1122</v>
      </c>
      <c r="AU829" t="s">
        <v>20643</v>
      </c>
    </row>
    <row r="830" spans="1:48">
      <c r="A830" s="1">
        <f>HYPERLINK("https://lsnyc.legalserver.org/matter/dynamic-profile/view/0799013","16-0799013")</f>
        <v>0</v>
      </c>
      <c r="B830" t="s">
        <v>101</v>
      </c>
      <c r="C830" t="s">
        <v>256</v>
      </c>
      <c r="D830" t="s">
        <v>656</v>
      </c>
      <c r="F830" t="s">
        <v>1197</v>
      </c>
      <c r="G830" t="s">
        <v>3671</v>
      </c>
      <c r="H830" t="s">
        <v>6041</v>
      </c>
      <c r="I830" t="s">
        <v>8294</v>
      </c>
      <c r="J830" t="s">
        <v>9065</v>
      </c>
      <c r="K830">
        <v>10452</v>
      </c>
      <c r="L830" t="s">
        <v>9094</v>
      </c>
      <c r="M830" t="s">
        <v>9095</v>
      </c>
      <c r="N830" t="s">
        <v>9499</v>
      </c>
      <c r="O830" t="s">
        <v>11135</v>
      </c>
      <c r="P830" t="s">
        <v>11168</v>
      </c>
      <c r="R830" t="s">
        <v>11180</v>
      </c>
      <c r="S830" t="s">
        <v>9094</v>
      </c>
      <c r="T830" t="s">
        <v>11183</v>
      </c>
      <c r="V830" t="s">
        <v>431</v>
      </c>
      <c r="W830">
        <v>1233</v>
      </c>
      <c r="X830" t="s">
        <v>11333</v>
      </c>
      <c r="Y830" t="s">
        <v>11346</v>
      </c>
      <c r="Z830" t="s">
        <v>11774</v>
      </c>
      <c r="AB830" t="s">
        <v>16238</v>
      </c>
      <c r="AC830">
        <v>61</v>
      </c>
      <c r="AD830" t="s">
        <v>19566</v>
      </c>
      <c r="AE830" t="s">
        <v>11157</v>
      </c>
      <c r="AF830">
        <v>5</v>
      </c>
      <c r="AG830">
        <v>1</v>
      </c>
      <c r="AH830">
        <v>0</v>
      </c>
      <c r="AI830">
        <v>32.39</v>
      </c>
      <c r="AL830" t="s">
        <v>19614</v>
      </c>
      <c r="AM830">
        <v>3848</v>
      </c>
      <c r="AS830">
        <v>0.6</v>
      </c>
      <c r="AT830" t="s">
        <v>873</v>
      </c>
      <c r="AU830" t="s">
        <v>109</v>
      </c>
    </row>
    <row r="831" spans="1:48">
      <c r="A831" s="1">
        <f>HYPERLINK("https://lsnyc.legalserver.org/matter/dynamic-profile/view/0816939","16-0816939")</f>
        <v>0</v>
      </c>
      <c r="B831" t="s">
        <v>101</v>
      </c>
      <c r="C831" t="s">
        <v>256</v>
      </c>
      <c r="D831" t="s">
        <v>437</v>
      </c>
      <c r="F831" t="s">
        <v>1197</v>
      </c>
      <c r="G831" t="s">
        <v>3671</v>
      </c>
      <c r="H831" t="s">
        <v>6041</v>
      </c>
      <c r="I831" t="s">
        <v>8294</v>
      </c>
      <c r="J831" t="s">
        <v>9065</v>
      </c>
      <c r="K831">
        <v>10452</v>
      </c>
      <c r="L831" t="s">
        <v>9094</v>
      </c>
      <c r="M831" t="s">
        <v>9095</v>
      </c>
      <c r="N831" t="s">
        <v>9500</v>
      </c>
      <c r="O831" t="s">
        <v>11135</v>
      </c>
      <c r="P831" t="s">
        <v>11168</v>
      </c>
      <c r="R831" t="s">
        <v>11180</v>
      </c>
      <c r="S831" t="s">
        <v>9094</v>
      </c>
      <c r="T831" t="s">
        <v>11183</v>
      </c>
      <c r="V831" t="s">
        <v>1024</v>
      </c>
      <c r="W831">
        <v>1233</v>
      </c>
      <c r="X831" t="s">
        <v>11333</v>
      </c>
      <c r="Y831" t="s">
        <v>11346</v>
      </c>
      <c r="Z831" t="s">
        <v>11774</v>
      </c>
      <c r="AB831" t="s">
        <v>16238</v>
      </c>
      <c r="AC831">
        <v>62</v>
      </c>
      <c r="AD831" t="s">
        <v>19566</v>
      </c>
      <c r="AE831" t="s">
        <v>11157</v>
      </c>
      <c r="AF831">
        <v>5</v>
      </c>
      <c r="AG831">
        <v>1</v>
      </c>
      <c r="AH831">
        <v>0</v>
      </c>
      <c r="AI831">
        <v>32.39</v>
      </c>
      <c r="AL831" t="s">
        <v>19614</v>
      </c>
      <c r="AM831">
        <v>3848</v>
      </c>
      <c r="AS831">
        <v>0.8</v>
      </c>
      <c r="AT831" t="s">
        <v>1122</v>
      </c>
      <c r="AU831" t="s">
        <v>20643</v>
      </c>
    </row>
    <row r="832" spans="1:48">
      <c r="A832" s="1">
        <f>HYPERLINK("https://lsnyc.legalserver.org/matter/dynamic-profile/view/0822529","16-0822529")</f>
        <v>0</v>
      </c>
      <c r="B832" t="s">
        <v>101</v>
      </c>
      <c r="C832" t="s">
        <v>256</v>
      </c>
      <c r="D832" t="s">
        <v>657</v>
      </c>
      <c r="F832" t="s">
        <v>1197</v>
      </c>
      <c r="G832" t="s">
        <v>3671</v>
      </c>
      <c r="H832" t="s">
        <v>6041</v>
      </c>
      <c r="I832" t="s">
        <v>8294</v>
      </c>
      <c r="J832" t="s">
        <v>9065</v>
      </c>
      <c r="K832">
        <v>10452</v>
      </c>
      <c r="L832" t="s">
        <v>9094</v>
      </c>
      <c r="M832" t="s">
        <v>9095</v>
      </c>
      <c r="N832" t="s">
        <v>9501</v>
      </c>
      <c r="O832" t="s">
        <v>11135</v>
      </c>
      <c r="P832" t="s">
        <v>11168</v>
      </c>
      <c r="R832" t="s">
        <v>11180</v>
      </c>
      <c r="S832" t="s">
        <v>9094</v>
      </c>
      <c r="T832" t="s">
        <v>11183</v>
      </c>
      <c r="V832" t="s">
        <v>657</v>
      </c>
      <c r="W832">
        <v>1233</v>
      </c>
      <c r="X832" t="s">
        <v>11333</v>
      </c>
      <c r="Y832" t="s">
        <v>11346</v>
      </c>
      <c r="Z832" t="s">
        <v>11774</v>
      </c>
      <c r="AB832" t="s">
        <v>16238</v>
      </c>
      <c r="AC832">
        <v>62</v>
      </c>
      <c r="AD832" t="s">
        <v>19566</v>
      </c>
      <c r="AE832" t="s">
        <v>11157</v>
      </c>
      <c r="AF832">
        <v>5</v>
      </c>
      <c r="AG832">
        <v>1</v>
      </c>
      <c r="AH832">
        <v>0</v>
      </c>
      <c r="AI832">
        <v>32.39</v>
      </c>
      <c r="AL832" t="s">
        <v>19614</v>
      </c>
      <c r="AM832">
        <v>3848</v>
      </c>
      <c r="AS832">
        <v>0.3</v>
      </c>
      <c r="AT832" t="s">
        <v>1122</v>
      </c>
      <c r="AU832" t="s">
        <v>20643</v>
      </c>
    </row>
    <row r="833" spans="1:48">
      <c r="A833" s="1">
        <f>HYPERLINK("https://lsnyc.legalserver.org/matter/dynamic-profile/view/1879107","18-1879107")</f>
        <v>0</v>
      </c>
      <c r="B833" t="s">
        <v>170</v>
      </c>
      <c r="C833" t="s">
        <v>256</v>
      </c>
      <c r="D833" t="s">
        <v>658</v>
      </c>
      <c r="F833" t="s">
        <v>1648</v>
      </c>
      <c r="G833" t="s">
        <v>3807</v>
      </c>
      <c r="H833" t="s">
        <v>6218</v>
      </c>
      <c r="I833" t="s">
        <v>8217</v>
      </c>
      <c r="J833" t="s">
        <v>9059</v>
      </c>
      <c r="K833">
        <v>11230</v>
      </c>
      <c r="L833" t="s">
        <v>9094</v>
      </c>
      <c r="M833" t="s">
        <v>9094</v>
      </c>
      <c r="O833" t="s">
        <v>9121</v>
      </c>
      <c r="P833" t="s">
        <v>11166</v>
      </c>
      <c r="R833" t="s">
        <v>11180</v>
      </c>
      <c r="S833" t="s">
        <v>9094</v>
      </c>
      <c r="T833" t="s">
        <v>11183</v>
      </c>
      <c r="V833" t="s">
        <v>723</v>
      </c>
      <c r="W833">
        <v>0</v>
      </c>
      <c r="X833" t="s">
        <v>11332</v>
      </c>
      <c r="Z833" t="s">
        <v>11411</v>
      </c>
      <c r="AC833">
        <v>0</v>
      </c>
      <c r="AF833">
        <v>0</v>
      </c>
      <c r="AG833">
        <v>2</v>
      </c>
      <c r="AH833">
        <v>0</v>
      </c>
      <c r="AI833">
        <v>32.59</v>
      </c>
      <c r="AL833" t="s">
        <v>19614</v>
      </c>
      <c r="AM833">
        <v>5364</v>
      </c>
      <c r="AS833">
        <v>0.9</v>
      </c>
      <c r="AT833" t="s">
        <v>358</v>
      </c>
      <c r="AU833" t="s">
        <v>170</v>
      </c>
    </row>
    <row r="834" spans="1:48">
      <c r="A834" s="1">
        <f>HYPERLINK("https://lsnyc.legalserver.org/matter/dynamic-profile/view/1870937","18-1870937")</f>
        <v>0</v>
      </c>
      <c r="B834" t="s">
        <v>139</v>
      </c>
      <c r="C834" t="s">
        <v>256</v>
      </c>
      <c r="D834" t="s">
        <v>659</v>
      </c>
      <c r="F834" t="s">
        <v>1318</v>
      </c>
      <c r="G834" t="s">
        <v>3808</v>
      </c>
      <c r="H834" t="s">
        <v>6219</v>
      </c>
      <c r="I834" t="s">
        <v>8151</v>
      </c>
      <c r="J834" t="s">
        <v>9067</v>
      </c>
      <c r="K834">
        <v>10040</v>
      </c>
      <c r="L834" t="s">
        <v>9094</v>
      </c>
      <c r="M834" t="s">
        <v>9094</v>
      </c>
      <c r="O834" t="s">
        <v>11128</v>
      </c>
      <c r="P834" t="s">
        <v>11165</v>
      </c>
      <c r="R834" t="s">
        <v>11180</v>
      </c>
      <c r="S834" t="s">
        <v>9096</v>
      </c>
      <c r="T834" t="s">
        <v>11183</v>
      </c>
      <c r="U834" t="s">
        <v>11201</v>
      </c>
      <c r="V834" t="s">
        <v>659</v>
      </c>
      <c r="W834">
        <v>1268</v>
      </c>
      <c r="X834" t="s">
        <v>11335</v>
      </c>
      <c r="Y834" t="s">
        <v>11338</v>
      </c>
      <c r="Z834" t="s">
        <v>11970</v>
      </c>
      <c r="AB834" t="s">
        <v>16423</v>
      </c>
      <c r="AC834">
        <v>55</v>
      </c>
      <c r="AD834" t="s">
        <v>19566</v>
      </c>
      <c r="AE834" t="s">
        <v>19580</v>
      </c>
      <c r="AF834">
        <v>40</v>
      </c>
      <c r="AG834">
        <v>4</v>
      </c>
      <c r="AH834">
        <v>0</v>
      </c>
      <c r="AI834">
        <v>32.65</v>
      </c>
      <c r="AL834" t="s">
        <v>19615</v>
      </c>
      <c r="AM834">
        <v>8196</v>
      </c>
      <c r="AS834">
        <v>166.37</v>
      </c>
      <c r="AT834" t="s">
        <v>268</v>
      </c>
      <c r="AU834" t="s">
        <v>130</v>
      </c>
    </row>
    <row r="835" spans="1:48">
      <c r="A835" s="1">
        <f>HYPERLINK("https://lsnyc.legalserver.org/matter/dynamic-profile/view/1912574","19-1912574")</f>
        <v>0</v>
      </c>
      <c r="B835" t="s">
        <v>69</v>
      </c>
      <c r="C835" t="s">
        <v>257</v>
      </c>
      <c r="D835" t="s">
        <v>263</v>
      </c>
      <c r="E835" t="s">
        <v>521</v>
      </c>
      <c r="F835" t="s">
        <v>1649</v>
      </c>
      <c r="G835" t="s">
        <v>3398</v>
      </c>
      <c r="H835" t="s">
        <v>6220</v>
      </c>
      <c r="I835">
        <v>2</v>
      </c>
      <c r="J835" t="s">
        <v>9059</v>
      </c>
      <c r="K835">
        <v>11212</v>
      </c>
      <c r="L835" t="s">
        <v>9094</v>
      </c>
      <c r="M835" t="s">
        <v>9095</v>
      </c>
      <c r="N835" t="s">
        <v>9121</v>
      </c>
      <c r="O835" t="s">
        <v>9121</v>
      </c>
      <c r="P835" t="s">
        <v>11164</v>
      </c>
      <c r="Q835" t="s">
        <v>11172</v>
      </c>
      <c r="R835" t="s">
        <v>11180</v>
      </c>
      <c r="S835" t="s">
        <v>9096</v>
      </c>
      <c r="T835" t="s">
        <v>11184</v>
      </c>
      <c r="V835" t="s">
        <v>276</v>
      </c>
      <c r="W835">
        <v>579</v>
      </c>
      <c r="X835" t="s">
        <v>11332</v>
      </c>
      <c r="Y835" t="s">
        <v>11352</v>
      </c>
      <c r="Z835" t="s">
        <v>11971</v>
      </c>
      <c r="AB835" t="s">
        <v>16424</v>
      </c>
      <c r="AC835">
        <v>4</v>
      </c>
      <c r="AD835" t="s">
        <v>19567</v>
      </c>
      <c r="AF835">
        <v>4</v>
      </c>
      <c r="AG835">
        <v>2</v>
      </c>
      <c r="AH835">
        <v>3</v>
      </c>
      <c r="AI835">
        <v>33.15</v>
      </c>
      <c r="AL835" t="s">
        <v>19614</v>
      </c>
      <c r="AM835">
        <v>10000</v>
      </c>
      <c r="AS835">
        <v>4</v>
      </c>
      <c r="AT835" t="s">
        <v>521</v>
      </c>
      <c r="AU835" t="s">
        <v>20640</v>
      </c>
      <c r="AV835" t="s">
        <v>20733</v>
      </c>
    </row>
    <row r="836" spans="1:48">
      <c r="A836" s="1">
        <f>HYPERLINK("https://lsnyc.legalserver.org/matter/dynamic-profile/view/1861971","18-1861971")</f>
        <v>0</v>
      </c>
      <c r="B836" t="s">
        <v>101</v>
      </c>
      <c r="C836" t="s">
        <v>256</v>
      </c>
      <c r="D836" t="s">
        <v>451</v>
      </c>
      <c r="F836" t="s">
        <v>1650</v>
      </c>
      <c r="G836" t="s">
        <v>3370</v>
      </c>
      <c r="H836" t="s">
        <v>5890</v>
      </c>
      <c r="I836" t="s">
        <v>8192</v>
      </c>
      <c r="J836" t="s">
        <v>9065</v>
      </c>
      <c r="K836">
        <v>10453</v>
      </c>
      <c r="L836" t="s">
        <v>9094</v>
      </c>
      <c r="M836" t="s">
        <v>9095</v>
      </c>
      <c r="N836" t="s">
        <v>9242</v>
      </c>
      <c r="O836" t="s">
        <v>11130</v>
      </c>
      <c r="P836" t="s">
        <v>11165</v>
      </c>
      <c r="R836" t="s">
        <v>11180</v>
      </c>
      <c r="S836" t="s">
        <v>9094</v>
      </c>
      <c r="T836" t="s">
        <v>11183</v>
      </c>
      <c r="V836" t="s">
        <v>874</v>
      </c>
      <c r="W836">
        <v>1275</v>
      </c>
      <c r="X836" t="s">
        <v>11333</v>
      </c>
      <c r="Y836" t="s">
        <v>11338</v>
      </c>
      <c r="Z836" t="s">
        <v>11972</v>
      </c>
      <c r="AA836" t="s">
        <v>15439</v>
      </c>
      <c r="AC836">
        <v>46</v>
      </c>
      <c r="AD836" t="s">
        <v>19566</v>
      </c>
      <c r="AE836" t="s">
        <v>19582</v>
      </c>
      <c r="AF836">
        <v>2</v>
      </c>
      <c r="AG836">
        <v>1</v>
      </c>
      <c r="AH836">
        <v>2</v>
      </c>
      <c r="AI836">
        <v>33.15</v>
      </c>
      <c r="AL836" t="s">
        <v>19614</v>
      </c>
      <c r="AM836">
        <v>6888</v>
      </c>
      <c r="AS836">
        <v>0.8</v>
      </c>
      <c r="AT836" t="s">
        <v>451</v>
      </c>
      <c r="AU836" t="s">
        <v>174</v>
      </c>
    </row>
    <row r="837" spans="1:48">
      <c r="A837" s="1">
        <f>HYPERLINK("https://lsnyc.legalserver.org/matter/dynamic-profile/view/1910500","19-1910500")</f>
        <v>0</v>
      </c>
      <c r="B837" t="s">
        <v>171</v>
      </c>
      <c r="C837" t="s">
        <v>256</v>
      </c>
      <c r="D837" t="s">
        <v>341</v>
      </c>
      <c r="F837" t="s">
        <v>1651</v>
      </c>
      <c r="G837" t="s">
        <v>3809</v>
      </c>
      <c r="H837" t="s">
        <v>6221</v>
      </c>
      <c r="I837" t="s">
        <v>8347</v>
      </c>
      <c r="J837" t="s">
        <v>9064</v>
      </c>
      <c r="K837">
        <v>11101</v>
      </c>
      <c r="L837" t="s">
        <v>9094</v>
      </c>
      <c r="M837" t="s">
        <v>9095</v>
      </c>
      <c r="N837" t="s">
        <v>9502</v>
      </c>
      <c r="O837" t="s">
        <v>11149</v>
      </c>
      <c r="P837" t="s">
        <v>11164</v>
      </c>
      <c r="R837" t="s">
        <v>11180</v>
      </c>
      <c r="S837" t="s">
        <v>9096</v>
      </c>
      <c r="T837" t="s">
        <v>11183</v>
      </c>
      <c r="W837">
        <v>281</v>
      </c>
      <c r="X837" t="s">
        <v>11331</v>
      </c>
      <c r="Y837" t="s">
        <v>11336</v>
      </c>
      <c r="Z837" t="s">
        <v>11973</v>
      </c>
      <c r="AB837" t="s">
        <v>16425</v>
      </c>
      <c r="AC837">
        <v>50</v>
      </c>
      <c r="AD837" t="s">
        <v>19565</v>
      </c>
      <c r="AE837" t="s">
        <v>9144</v>
      </c>
      <c r="AF837">
        <v>-1</v>
      </c>
      <c r="AG837">
        <v>1</v>
      </c>
      <c r="AH837">
        <v>0</v>
      </c>
      <c r="AI837">
        <v>33.31</v>
      </c>
      <c r="AL837" t="s">
        <v>19614</v>
      </c>
      <c r="AM837">
        <v>4160</v>
      </c>
      <c r="AS837">
        <v>2.5</v>
      </c>
      <c r="AT837" t="s">
        <v>290</v>
      </c>
      <c r="AU837" t="s">
        <v>20619</v>
      </c>
      <c r="AV837" t="s">
        <v>20733</v>
      </c>
    </row>
    <row r="838" spans="1:48">
      <c r="A838" s="1">
        <f>HYPERLINK("https://lsnyc.legalserver.org/matter/dynamic-profile/view/1890813","19-1890813")</f>
        <v>0</v>
      </c>
      <c r="B838" t="s">
        <v>82</v>
      </c>
      <c r="C838" t="s">
        <v>256</v>
      </c>
      <c r="D838" t="s">
        <v>381</v>
      </c>
      <c r="F838" t="s">
        <v>1652</v>
      </c>
      <c r="G838" t="s">
        <v>3810</v>
      </c>
      <c r="H838" t="s">
        <v>6222</v>
      </c>
      <c r="I838" t="s">
        <v>8265</v>
      </c>
      <c r="J838" t="s">
        <v>9059</v>
      </c>
      <c r="K838">
        <v>11225</v>
      </c>
      <c r="L838" t="s">
        <v>9096</v>
      </c>
      <c r="M838" t="s">
        <v>9094</v>
      </c>
      <c r="R838" t="s">
        <v>11180</v>
      </c>
      <c r="S838" t="s">
        <v>9096</v>
      </c>
      <c r="T838" t="s">
        <v>11183</v>
      </c>
      <c r="V838" t="s">
        <v>695</v>
      </c>
      <c r="W838">
        <v>0</v>
      </c>
      <c r="X838" t="s">
        <v>11332</v>
      </c>
      <c r="Z838" t="s">
        <v>11422</v>
      </c>
      <c r="AC838">
        <v>72</v>
      </c>
      <c r="AF838">
        <v>32</v>
      </c>
      <c r="AG838">
        <v>4</v>
      </c>
      <c r="AH838">
        <v>1</v>
      </c>
      <c r="AI838">
        <v>33.37</v>
      </c>
      <c r="AL838" t="s">
        <v>19614</v>
      </c>
      <c r="AM838">
        <v>10068</v>
      </c>
      <c r="AN838" t="s">
        <v>19739</v>
      </c>
      <c r="AS838">
        <v>10.4</v>
      </c>
      <c r="AT838" t="s">
        <v>282</v>
      </c>
      <c r="AU838" t="s">
        <v>215</v>
      </c>
    </row>
    <row r="839" spans="1:48">
      <c r="A839" s="1">
        <f>HYPERLINK("https://lsnyc.legalserver.org/matter/dynamic-profile/view/1905867","19-1905867")</f>
        <v>0</v>
      </c>
      <c r="B839" t="s">
        <v>76</v>
      </c>
      <c r="C839" t="s">
        <v>256</v>
      </c>
      <c r="D839" t="s">
        <v>426</v>
      </c>
      <c r="F839" t="s">
        <v>1550</v>
      </c>
      <c r="G839" t="s">
        <v>3499</v>
      </c>
      <c r="H839" t="s">
        <v>6223</v>
      </c>
      <c r="I839" t="s">
        <v>8273</v>
      </c>
      <c r="J839" t="s">
        <v>9059</v>
      </c>
      <c r="K839">
        <v>11215</v>
      </c>
      <c r="L839" t="s">
        <v>9094</v>
      </c>
      <c r="M839" t="s">
        <v>9095</v>
      </c>
      <c r="N839" t="s">
        <v>9171</v>
      </c>
      <c r="O839" t="s">
        <v>11134</v>
      </c>
      <c r="P839" t="s">
        <v>11168</v>
      </c>
      <c r="R839" t="s">
        <v>11180</v>
      </c>
      <c r="S839" t="s">
        <v>9094</v>
      </c>
      <c r="T839" t="s">
        <v>11183</v>
      </c>
      <c r="U839" t="s">
        <v>11201</v>
      </c>
      <c r="V839" t="s">
        <v>328</v>
      </c>
      <c r="W839">
        <v>165</v>
      </c>
      <c r="X839" t="s">
        <v>11332</v>
      </c>
      <c r="Y839" t="s">
        <v>11340</v>
      </c>
      <c r="Z839" t="s">
        <v>11974</v>
      </c>
      <c r="AA839" t="s">
        <v>9171</v>
      </c>
      <c r="AB839" t="s">
        <v>16426</v>
      </c>
      <c r="AC839">
        <v>7</v>
      </c>
      <c r="AD839" t="s">
        <v>19569</v>
      </c>
      <c r="AE839" t="s">
        <v>9144</v>
      </c>
      <c r="AF839">
        <v>22</v>
      </c>
      <c r="AG839">
        <v>3</v>
      </c>
      <c r="AH839">
        <v>2</v>
      </c>
      <c r="AI839">
        <v>33.48</v>
      </c>
      <c r="AL839" t="s">
        <v>19614</v>
      </c>
      <c r="AM839">
        <v>10100</v>
      </c>
      <c r="AS839">
        <v>0</v>
      </c>
      <c r="AU839" t="s">
        <v>95</v>
      </c>
      <c r="AV839" t="s">
        <v>20733</v>
      </c>
    </row>
    <row r="840" spans="1:48">
      <c r="A840" s="1">
        <f>HYPERLINK("https://lsnyc.legalserver.org/matter/dynamic-profile/view/1905865","19-1905865")</f>
        <v>0</v>
      </c>
      <c r="B840" t="s">
        <v>76</v>
      </c>
      <c r="C840" t="s">
        <v>256</v>
      </c>
      <c r="D840" t="s">
        <v>426</v>
      </c>
      <c r="F840" t="s">
        <v>1550</v>
      </c>
      <c r="G840" t="s">
        <v>3499</v>
      </c>
      <c r="H840" t="s">
        <v>6223</v>
      </c>
      <c r="I840" t="s">
        <v>8273</v>
      </c>
      <c r="J840" t="s">
        <v>9059</v>
      </c>
      <c r="K840">
        <v>11215</v>
      </c>
      <c r="L840" t="s">
        <v>9094</v>
      </c>
      <c r="M840" t="s">
        <v>9095</v>
      </c>
      <c r="N840" t="s">
        <v>9102</v>
      </c>
      <c r="O840" t="s">
        <v>9121</v>
      </c>
      <c r="P840" t="s">
        <v>11167</v>
      </c>
      <c r="R840" t="s">
        <v>11180</v>
      </c>
      <c r="S840" t="s">
        <v>9094</v>
      </c>
      <c r="T840" t="s">
        <v>11183</v>
      </c>
      <c r="U840" t="s">
        <v>11201</v>
      </c>
      <c r="V840" t="s">
        <v>617</v>
      </c>
      <c r="W840">
        <v>165</v>
      </c>
      <c r="X840" t="s">
        <v>11332</v>
      </c>
      <c r="Y840" t="s">
        <v>11340</v>
      </c>
      <c r="Z840" t="s">
        <v>11974</v>
      </c>
      <c r="AA840" t="s">
        <v>9144</v>
      </c>
      <c r="AB840" t="s">
        <v>16426</v>
      </c>
      <c r="AC840">
        <v>7</v>
      </c>
      <c r="AD840" t="s">
        <v>19569</v>
      </c>
      <c r="AE840" t="s">
        <v>9144</v>
      </c>
      <c r="AF840">
        <v>22</v>
      </c>
      <c r="AG840">
        <v>3</v>
      </c>
      <c r="AH840">
        <v>2</v>
      </c>
      <c r="AI840">
        <v>33.48</v>
      </c>
      <c r="AL840" t="s">
        <v>19614</v>
      </c>
      <c r="AM840">
        <v>10100</v>
      </c>
      <c r="AS840">
        <v>0</v>
      </c>
      <c r="AU840" t="s">
        <v>95</v>
      </c>
      <c r="AV840" t="s">
        <v>20733</v>
      </c>
    </row>
    <row r="841" spans="1:48">
      <c r="A841" s="1">
        <f>HYPERLINK("https://lsnyc.legalserver.org/matter/dynamic-profile/view/1896204","19-1896204")</f>
        <v>0</v>
      </c>
      <c r="B841" t="s">
        <v>103</v>
      </c>
      <c r="C841" t="s">
        <v>256</v>
      </c>
      <c r="D841" t="s">
        <v>374</v>
      </c>
      <c r="F841" t="s">
        <v>1367</v>
      </c>
      <c r="G841" t="s">
        <v>3811</v>
      </c>
      <c r="H841" t="s">
        <v>5887</v>
      </c>
      <c r="I841" t="s">
        <v>8348</v>
      </c>
      <c r="J841" t="s">
        <v>9065</v>
      </c>
      <c r="K841">
        <v>10453</v>
      </c>
      <c r="L841" t="s">
        <v>9094</v>
      </c>
      <c r="M841" t="s">
        <v>9094</v>
      </c>
      <c r="O841" t="s">
        <v>11134</v>
      </c>
      <c r="P841" t="s">
        <v>11168</v>
      </c>
      <c r="R841" t="s">
        <v>11180</v>
      </c>
      <c r="S841" t="s">
        <v>9094</v>
      </c>
      <c r="T841" t="s">
        <v>11183</v>
      </c>
      <c r="V841" t="s">
        <v>512</v>
      </c>
      <c r="W841">
        <v>856.0599999999999</v>
      </c>
      <c r="X841" t="s">
        <v>11333</v>
      </c>
      <c r="Y841" t="s">
        <v>11346</v>
      </c>
      <c r="Z841" t="s">
        <v>11975</v>
      </c>
      <c r="AB841" t="s">
        <v>16427</v>
      </c>
      <c r="AC841">
        <v>170</v>
      </c>
      <c r="AD841" t="s">
        <v>19566</v>
      </c>
      <c r="AE841" t="s">
        <v>9144</v>
      </c>
      <c r="AF841">
        <v>18</v>
      </c>
      <c r="AG841">
        <v>2</v>
      </c>
      <c r="AH841">
        <v>2</v>
      </c>
      <c r="AI841">
        <v>33.55</v>
      </c>
      <c r="AL841" t="s">
        <v>19615</v>
      </c>
      <c r="AM841">
        <v>8640</v>
      </c>
      <c r="AS841">
        <v>0</v>
      </c>
      <c r="AU841" t="s">
        <v>220</v>
      </c>
    </row>
    <row r="842" spans="1:48">
      <c r="A842" s="1">
        <f>HYPERLINK("https://lsnyc.legalserver.org/matter/dynamic-profile/view/1905061","19-1905061")</f>
        <v>0</v>
      </c>
      <c r="B842" t="s">
        <v>103</v>
      </c>
      <c r="C842" t="s">
        <v>256</v>
      </c>
      <c r="D842" t="s">
        <v>367</v>
      </c>
      <c r="F842" t="s">
        <v>1367</v>
      </c>
      <c r="G842" t="s">
        <v>3811</v>
      </c>
      <c r="H842" t="s">
        <v>5887</v>
      </c>
      <c r="I842" t="s">
        <v>8348</v>
      </c>
      <c r="J842" t="s">
        <v>9065</v>
      </c>
      <c r="K842">
        <v>10453</v>
      </c>
      <c r="L842" t="s">
        <v>9094</v>
      </c>
      <c r="M842" t="s">
        <v>9095</v>
      </c>
      <c r="N842" t="s">
        <v>9239</v>
      </c>
      <c r="O842" t="s">
        <v>11134</v>
      </c>
      <c r="P842" t="s">
        <v>11168</v>
      </c>
      <c r="R842" t="s">
        <v>11180</v>
      </c>
      <c r="S842" t="s">
        <v>9094</v>
      </c>
      <c r="T842" t="s">
        <v>11183</v>
      </c>
      <c r="V842" t="s">
        <v>1061</v>
      </c>
      <c r="W842">
        <v>856.0599999999999</v>
      </c>
      <c r="X842" t="s">
        <v>11333</v>
      </c>
      <c r="Y842" t="s">
        <v>11346</v>
      </c>
      <c r="Z842" t="s">
        <v>11975</v>
      </c>
      <c r="AB842" t="s">
        <v>16427</v>
      </c>
      <c r="AC842">
        <v>170</v>
      </c>
      <c r="AD842" t="s">
        <v>19566</v>
      </c>
      <c r="AE842" t="s">
        <v>9144</v>
      </c>
      <c r="AF842">
        <v>18</v>
      </c>
      <c r="AG842">
        <v>2</v>
      </c>
      <c r="AH842">
        <v>2</v>
      </c>
      <c r="AI842">
        <v>33.55</v>
      </c>
      <c r="AL842" t="s">
        <v>19615</v>
      </c>
      <c r="AM842">
        <v>8640</v>
      </c>
      <c r="AS842">
        <v>0</v>
      </c>
      <c r="AU842" t="s">
        <v>220</v>
      </c>
      <c r="AV842" t="s">
        <v>20733</v>
      </c>
    </row>
    <row r="843" spans="1:48">
      <c r="A843" s="1">
        <f>HYPERLINK("https://lsnyc.legalserver.org/matter/dynamic-profile/view/1905066","19-1905066")</f>
        <v>0</v>
      </c>
      <c r="B843" t="s">
        <v>103</v>
      </c>
      <c r="C843" t="s">
        <v>256</v>
      </c>
      <c r="D843" t="s">
        <v>367</v>
      </c>
      <c r="F843" t="s">
        <v>1367</v>
      </c>
      <c r="G843" t="s">
        <v>3811</v>
      </c>
      <c r="H843" t="s">
        <v>5887</v>
      </c>
      <c r="I843" t="s">
        <v>8348</v>
      </c>
      <c r="J843" t="s">
        <v>9065</v>
      </c>
      <c r="K843">
        <v>10453</v>
      </c>
      <c r="L843" t="s">
        <v>9094</v>
      </c>
      <c r="M843" t="s">
        <v>9095</v>
      </c>
      <c r="N843" t="s">
        <v>9240</v>
      </c>
      <c r="O843" t="s">
        <v>11134</v>
      </c>
      <c r="P843" t="s">
        <v>11168</v>
      </c>
      <c r="R843" t="s">
        <v>11180</v>
      </c>
      <c r="S843" t="s">
        <v>9094</v>
      </c>
      <c r="T843" t="s">
        <v>11183</v>
      </c>
      <c r="V843" t="s">
        <v>422</v>
      </c>
      <c r="W843">
        <v>856.0599999999999</v>
      </c>
      <c r="X843" t="s">
        <v>11333</v>
      </c>
      <c r="Y843" t="s">
        <v>11346</v>
      </c>
      <c r="Z843" t="s">
        <v>11975</v>
      </c>
      <c r="AB843" t="s">
        <v>16427</v>
      </c>
      <c r="AC843">
        <v>170</v>
      </c>
      <c r="AD843" t="s">
        <v>19566</v>
      </c>
      <c r="AF843">
        <v>18</v>
      </c>
      <c r="AG843">
        <v>2</v>
      </c>
      <c r="AH843">
        <v>2</v>
      </c>
      <c r="AI843">
        <v>33.55</v>
      </c>
      <c r="AL843" t="s">
        <v>19615</v>
      </c>
      <c r="AM843">
        <v>8640</v>
      </c>
      <c r="AS843">
        <v>0</v>
      </c>
      <c r="AU843" t="s">
        <v>220</v>
      </c>
      <c r="AV843" t="s">
        <v>20733</v>
      </c>
    </row>
    <row r="844" spans="1:48">
      <c r="A844" s="1">
        <f>HYPERLINK("https://lsnyc.legalserver.org/matter/dynamic-profile/view/1896198","19-1896198")</f>
        <v>0</v>
      </c>
      <c r="B844" t="s">
        <v>103</v>
      </c>
      <c r="C844" t="s">
        <v>256</v>
      </c>
      <c r="D844" t="s">
        <v>374</v>
      </c>
      <c r="F844" t="s">
        <v>1367</v>
      </c>
      <c r="G844" t="s">
        <v>3811</v>
      </c>
      <c r="H844" t="s">
        <v>5887</v>
      </c>
      <c r="I844" t="s">
        <v>8348</v>
      </c>
      <c r="J844" t="s">
        <v>9065</v>
      </c>
      <c r="K844">
        <v>10453</v>
      </c>
      <c r="L844" t="s">
        <v>9094</v>
      </c>
      <c r="M844" t="s">
        <v>9094</v>
      </c>
      <c r="N844" t="s">
        <v>9352</v>
      </c>
      <c r="O844" t="s">
        <v>11130</v>
      </c>
      <c r="P844" t="s">
        <v>11165</v>
      </c>
      <c r="R844" t="s">
        <v>11180</v>
      </c>
      <c r="S844" t="s">
        <v>9094</v>
      </c>
      <c r="T844" t="s">
        <v>11183</v>
      </c>
      <c r="V844" t="s">
        <v>512</v>
      </c>
      <c r="W844">
        <v>856.0599999999999</v>
      </c>
      <c r="X844" t="s">
        <v>11333</v>
      </c>
      <c r="Y844" t="s">
        <v>11339</v>
      </c>
      <c r="Z844" t="s">
        <v>11975</v>
      </c>
      <c r="AB844" t="s">
        <v>16427</v>
      </c>
      <c r="AC844">
        <v>170</v>
      </c>
      <c r="AD844" t="s">
        <v>19566</v>
      </c>
      <c r="AE844" t="s">
        <v>9144</v>
      </c>
      <c r="AF844">
        <v>18</v>
      </c>
      <c r="AG844">
        <v>2</v>
      </c>
      <c r="AH844">
        <v>2</v>
      </c>
      <c r="AI844">
        <v>33.55</v>
      </c>
      <c r="AL844" t="s">
        <v>19615</v>
      </c>
      <c r="AM844">
        <v>8640</v>
      </c>
      <c r="AS844">
        <v>0</v>
      </c>
      <c r="AU844" t="s">
        <v>220</v>
      </c>
    </row>
    <row r="845" spans="1:48">
      <c r="A845" s="1">
        <f>HYPERLINK("https://lsnyc.legalserver.org/matter/dynamic-profile/view/1904889","19-1904889")</f>
        <v>0</v>
      </c>
      <c r="B845" t="s">
        <v>59</v>
      </c>
      <c r="C845" t="s">
        <v>256</v>
      </c>
      <c r="D845" t="s">
        <v>660</v>
      </c>
      <c r="F845" t="s">
        <v>1212</v>
      </c>
      <c r="G845" t="s">
        <v>3339</v>
      </c>
      <c r="H845" t="s">
        <v>5698</v>
      </c>
      <c r="I845" t="s">
        <v>8109</v>
      </c>
      <c r="J845" t="s">
        <v>9038</v>
      </c>
      <c r="K845">
        <v>11691</v>
      </c>
      <c r="L845" t="s">
        <v>9094</v>
      </c>
      <c r="M845" t="s">
        <v>9095</v>
      </c>
      <c r="N845" t="s">
        <v>9503</v>
      </c>
      <c r="O845" t="s">
        <v>11128</v>
      </c>
      <c r="P845" t="s">
        <v>11165</v>
      </c>
      <c r="R845" t="s">
        <v>11180</v>
      </c>
      <c r="S845" t="s">
        <v>9096</v>
      </c>
      <c r="T845" t="s">
        <v>11183</v>
      </c>
      <c r="U845" t="s">
        <v>11200</v>
      </c>
      <c r="V845" t="s">
        <v>660</v>
      </c>
      <c r="W845">
        <v>592</v>
      </c>
      <c r="X845" t="s">
        <v>11331</v>
      </c>
      <c r="Y845" t="s">
        <v>11340</v>
      </c>
      <c r="Z845" t="s">
        <v>11976</v>
      </c>
      <c r="AB845" t="s">
        <v>16428</v>
      </c>
      <c r="AC845">
        <v>462</v>
      </c>
      <c r="AD845" t="s">
        <v>19568</v>
      </c>
      <c r="AE845" t="s">
        <v>9144</v>
      </c>
      <c r="AF845">
        <v>10</v>
      </c>
      <c r="AG845">
        <v>1</v>
      </c>
      <c r="AH845">
        <v>0</v>
      </c>
      <c r="AI845">
        <v>33.63</v>
      </c>
      <c r="AL845" t="s">
        <v>19614</v>
      </c>
      <c r="AM845">
        <v>4200</v>
      </c>
      <c r="AP845" t="s">
        <v>11157</v>
      </c>
      <c r="AS845">
        <v>0.61</v>
      </c>
      <c r="AT845" t="s">
        <v>288</v>
      </c>
      <c r="AU845" t="s">
        <v>59</v>
      </c>
      <c r="AV845" t="s">
        <v>20733</v>
      </c>
    </row>
    <row r="846" spans="1:48">
      <c r="A846" s="1">
        <f>HYPERLINK("https://lsnyc.legalserver.org/matter/dynamic-profile/view/1914564","19-1914564")</f>
        <v>0</v>
      </c>
      <c r="B846" t="s">
        <v>117</v>
      </c>
      <c r="C846" t="s">
        <v>256</v>
      </c>
      <c r="D846" t="s">
        <v>612</v>
      </c>
      <c r="F846" t="s">
        <v>1345</v>
      </c>
      <c r="G846" t="s">
        <v>3812</v>
      </c>
      <c r="H846" t="s">
        <v>6224</v>
      </c>
      <c r="I846" t="s">
        <v>8267</v>
      </c>
      <c r="J846" t="s">
        <v>9065</v>
      </c>
      <c r="K846">
        <v>10462</v>
      </c>
      <c r="L846" t="s">
        <v>9094</v>
      </c>
      <c r="M846" t="s">
        <v>9095</v>
      </c>
      <c r="R846" t="s">
        <v>11180</v>
      </c>
      <c r="T846" t="s">
        <v>11183</v>
      </c>
      <c r="W846">
        <v>1557</v>
      </c>
      <c r="X846" t="s">
        <v>11333</v>
      </c>
      <c r="Y846" t="s">
        <v>11351</v>
      </c>
      <c r="Z846" t="s">
        <v>11977</v>
      </c>
      <c r="AB846" t="s">
        <v>16429</v>
      </c>
      <c r="AC846">
        <v>98</v>
      </c>
      <c r="AD846" t="s">
        <v>19576</v>
      </c>
      <c r="AE846" t="s">
        <v>19581</v>
      </c>
      <c r="AF846">
        <v>1</v>
      </c>
      <c r="AG846">
        <v>1</v>
      </c>
      <c r="AH846">
        <v>2</v>
      </c>
      <c r="AI846">
        <v>33.64</v>
      </c>
      <c r="AL846" t="s">
        <v>19614</v>
      </c>
      <c r="AM846">
        <v>7176</v>
      </c>
      <c r="AS846">
        <v>0</v>
      </c>
      <c r="AU846" t="s">
        <v>163</v>
      </c>
      <c r="AV846" t="s">
        <v>20733</v>
      </c>
    </row>
    <row r="847" spans="1:48">
      <c r="A847" s="1">
        <f>HYPERLINK("https://lsnyc.legalserver.org/matter/dynamic-profile/view/1904963","19-1904963")</f>
        <v>0</v>
      </c>
      <c r="B847" t="s">
        <v>49</v>
      </c>
      <c r="C847" t="s">
        <v>256</v>
      </c>
      <c r="D847" t="s">
        <v>660</v>
      </c>
      <c r="F847" t="s">
        <v>1450</v>
      </c>
      <c r="G847" t="s">
        <v>3341</v>
      </c>
      <c r="H847" t="s">
        <v>6225</v>
      </c>
      <c r="I847" t="s">
        <v>8120</v>
      </c>
      <c r="J847" t="s">
        <v>9073</v>
      </c>
      <c r="K847">
        <v>11411</v>
      </c>
      <c r="L847" t="s">
        <v>9094</v>
      </c>
      <c r="M847" t="s">
        <v>9095</v>
      </c>
      <c r="N847" t="s">
        <v>9504</v>
      </c>
      <c r="O847" t="s">
        <v>11128</v>
      </c>
      <c r="P847" t="s">
        <v>11165</v>
      </c>
      <c r="R847" t="s">
        <v>11180</v>
      </c>
      <c r="S847" t="s">
        <v>9096</v>
      </c>
      <c r="T847" t="s">
        <v>11183</v>
      </c>
      <c r="U847" t="s">
        <v>11201</v>
      </c>
      <c r="V847" t="s">
        <v>329</v>
      </c>
      <c r="W847">
        <v>1122</v>
      </c>
      <c r="X847" t="s">
        <v>11331</v>
      </c>
      <c r="Y847" t="s">
        <v>11336</v>
      </c>
      <c r="Z847" t="s">
        <v>11978</v>
      </c>
      <c r="AA847" t="s">
        <v>9144</v>
      </c>
      <c r="AB847" t="s">
        <v>16430</v>
      </c>
      <c r="AC847">
        <v>2</v>
      </c>
      <c r="AD847" t="s">
        <v>19565</v>
      </c>
      <c r="AE847" t="s">
        <v>19580</v>
      </c>
      <c r="AF847">
        <v>10</v>
      </c>
      <c r="AG847">
        <v>2</v>
      </c>
      <c r="AH847">
        <v>1</v>
      </c>
      <c r="AI847">
        <v>33.76</v>
      </c>
      <c r="AL847" t="s">
        <v>19614</v>
      </c>
      <c r="AM847">
        <v>7200</v>
      </c>
      <c r="AO847" t="s">
        <v>20292</v>
      </c>
      <c r="AP847" t="s">
        <v>20309</v>
      </c>
      <c r="AQ847" t="s">
        <v>20369</v>
      </c>
      <c r="AR847" t="s">
        <v>20423</v>
      </c>
      <c r="AS847">
        <v>20.11</v>
      </c>
      <c r="AT847" t="s">
        <v>446</v>
      </c>
      <c r="AU847" t="s">
        <v>20620</v>
      </c>
      <c r="AV847" t="s">
        <v>20733</v>
      </c>
    </row>
    <row r="848" spans="1:48">
      <c r="A848" s="1">
        <f>HYPERLINK("https://lsnyc.legalserver.org/matter/dynamic-profile/view/1902675","19-1902675")</f>
        <v>0</v>
      </c>
      <c r="B848" t="s">
        <v>79</v>
      </c>
      <c r="C848" t="s">
        <v>257</v>
      </c>
      <c r="D848" t="s">
        <v>327</v>
      </c>
      <c r="E848" t="s">
        <v>615</v>
      </c>
      <c r="F848" t="s">
        <v>1140</v>
      </c>
      <c r="G848" t="s">
        <v>3813</v>
      </c>
      <c r="H848" t="s">
        <v>6226</v>
      </c>
      <c r="I848">
        <v>2</v>
      </c>
      <c r="J848" t="s">
        <v>9059</v>
      </c>
      <c r="K848">
        <v>11208</v>
      </c>
      <c r="L848" t="s">
        <v>9096</v>
      </c>
      <c r="M848" t="s">
        <v>9095</v>
      </c>
      <c r="N848" t="s">
        <v>9154</v>
      </c>
      <c r="O848" t="s">
        <v>9121</v>
      </c>
      <c r="P848" t="s">
        <v>11164</v>
      </c>
      <c r="Q848" t="s">
        <v>11172</v>
      </c>
      <c r="R848" t="s">
        <v>11180</v>
      </c>
      <c r="S848" t="s">
        <v>9096</v>
      </c>
      <c r="T848" t="s">
        <v>11183</v>
      </c>
      <c r="W848">
        <v>900</v>
      </c>
      <c r="X848" t="s">
        <v>11332</v>
      </c>
      <c r="Y848" t="s">
        <v>11157</v>
      </c>
      <c r="Z848" t="s">
        <v>11979</v>
      </c>
      <c r="AB848" t="s">
        <v>16431</v>
      </c>
      <c r="AC848">
        <v>0</v>
      </c>
      <c r="AD848" t="s">
        <v>19565</v>
      </c>
      <c r="AE848" t="s">
        <v>9144</v>
      </c>
      <c r="AF848">
        <v>3</v>
      </c>
      <c r="AG848">
        <v>1</v>
      </c>
      <c r="AH848">
        <v>2</v>
      </c>
      <c r="AI848">
        <v>33.76</v>
      </c>
      <c r="AL848" t="s">
        <v>19614</v>
      </c>
      <c r="AM848">
        <v>7200</v>
      </c>
      <c r="AN848" t="s">
        <v>19681</v>
      </c>
      <c r="AS848">
        <v>1</v>
      </c>
      <c r="AT848" t="s">
        <v>327</v>
      </c>
      <c r="AU848" t="s">
        <v>20660</v>
      </c>
      <c r="AV848" t="s">
        <v>9144</v>
      </c>
    </row>
    <row r="849" spans="1:48">
      <c r="A849" s="1">
        <f>HYPERLINK("https://lsnyc.legalserver.org/matter/dynamic-profile/view/1905740","19-1905740")</f>
        <v>0</v>
      </c>
      <c r="B849" t="s">
        <v>113</v>
      </c>
      <c r="C849" t="s">
        <v>257</v>
      </c>
      <c r="D849" t="s">
        <v>328</v>
      </c>
      <c r="E849" t="s">
        <v>270</v>
      </c>
      <c r="F849" t="s">
        <v>1256</v>
      </c>
      <c r="G849" t="s">
        <v>3427</v>
      </c>
      <c r="H849" t="s">
        <v>5892</v>
      </c>
      <c r="I849" t="s">
        <v>8264</v>
      </c>
      <c r="J849" t="s">
        <v>9065</v>
      </c>
      <c r="K849">
        <v>10453</v>
      </c>
      <c r="L849" t="s">
        <v>9095</v>
      </c>
      <c r="M849" t="s">
        <v>9095</v>
      </c>
      <c r="N849" t="s">
        <v>9505</v>
      </c>
      <c r="O849" t="s">
        <v>11129</v>
      </c>
      <c r="P849" t="s">
        <v>11165</v>
      </c>
      <c r="Q849" t="s">
        <v>11174</v>
      </c>
      <c r="R849" t="s">
        <v>11180</v>
      </c>
      <c r="S849" t="s">
        <v>9096</v>
      </c>
      <c r="T849" t="s">
        <v>11183</v>
      </c>
      <c r="U849" t="s">
        <v>11202</v>
      </c>
      <c r="W849">
        <v>1250</v>
      </c>
      <c r="X849" t="s">
        <v>11333</v>
      </c>
      <c r="Y849" t="s">
        <v>11346</v>
      </c>
      <c r="Z849" t="s">
        <v>11980</v>
      </c>
      <c r="AA849" t="s">
        <v>15440</v>
      </c>
      <c r="AB849" t="s">
        <v>16432</v>
      </c>
      <c r="AC849">
        <v>50</v>
      </c>
      <c r="AD849" t="s">
        <v>19566</v>
      </c>
      <c r="AE849" t="s">
        <v>19581</v>
      </c>
      <c r="AF849">
        <v>2</v>
      </c>
      <c r="AG849">
        <v>1</v>
      </c>
      <c r="AH849">
        <v>0</v>
      </c>
      <c r="AI849">
        <v>33.82</v>
      </c>
      <c r="AL849" t="s">
        <v>19614</v>
      </c>
      <c r="AM849">
        <v>4224</v>
      </c>
      <c r="AS849">
        <v>24.35</v>
      </c>
      <c r="AT849" t="s">
        <v>286</v>
      </c>
      <c r="AU849" t="s">
        <v>189</v>
      </c>
    </row>
    <row r="850" spans="1:48">
      <c r="A850" s="1">
        <f>HYPERLINK("https://lsnyc.legalserver.org/matter/dynamic-profile/view/1912847","19-1912847")</f>
        <v>0</v>
      </c>
      <c r="B850" t="s">
        <v>99</v>
      </c>
      <c r="C850" t="s">
        <v>256</v>
      </c>
      <c r="D850" t="s">
        <v>563</v>
      </c>
      <c r="F850" t="s">
        <v>1653</v>
      </c>
      <c r="G850" t="s">
        <v>3814</v>
      </c>
      <c r="H850" t="s">
        <v>6063</v>
      </c>
      <c r="I850" t="s">
        <v>8259</v>
      </c>
      <c r="J850" t="s">
        <v>9065</v>
      </c>
      <c r="K850">
        <v>10452</v>
      </c>
      <c r="L850" t="s">
        <v>9094</v>
      </c>
      <c r="M850" t="s">
        <v>9095</v>
      </c>
      <c r="O850" t="s">
        <v>9121</v>
      </c>
      <c r="P850" t="s">
        <v>11169</v>
      </c>
      <c r="R850" t="s">
        <v>11180</v>
      </c>
      <c r="S850" t="s">
        <v>9096</v>
      </c>
      <c r="T850" t="s">
        <v>11183</v>
      </c>
      <c r="V850" t="s">
        <v>286</v>
      </c>
      <c r="W850">
        <v>52</v>
      </c>
      <c r="X850" t="s">
        <v>11333</v>
      </c>
      <c r="Y850" t="s">
        <v>11346</v>
      </c>
      <c r="Z850" t="s">
        <v>11981</v>
      </c>
      <c r="AB850" t="s">
        <v>16433</v>
      </c>
      <c r="AC850">
        <v>147</v>
      </c>
      <c r="AD850" t="s">
        <v>19567</v>
      </c>
      <c r="AE850" t="s">
        <v>19580</v>
      </c>
      <c r="AF850">
        <v>25</v>
      </c>
      <c r="AG850">
        <v>1</v>
      </c>
      <c r="AH850">
        <v>0</v>
      </c>
      <c r="AI850">
        <v>34.11</v>
      </c>
      <c r="AL850" t="s">
        <v>19614</v>
      </c>
      <c r="AM850">
        <v>4260</v>
      </c>
      <c r="AS850">
        <v>1.2</v>
      </c>
      <c r="AT850" t="s">
        <v>833</v>
      </c>
      <c r="AU850" t="s">
        <v>99</v>
      </c>
      <c r="AV850" t="s">
        <v>20733</v>
      </c>
    </row>
    <row r="851" spans="1:48">
      <c r="A851" s="1">
        <f>HYPERLINK("https://lsnyc.legalserver.org/matter/dynamic-profile/view/1889854","19-1889854")</f>
        <v>0</v>
      </c>
      <c r="B851" t="s">
        <v>103</v>
      </c>
      <c r="C851" t="s">
        <v>257</v>
      </c>
      <c r="D851" t="s">
        <v>391</v>
      </c>
      <c r="E851" t="s">
        <v>556</v>
      </c>
      <c r="F851" t="s">
        <v>1653</v>
      </c>
      <c r="G851" t="s">
        <v>3814</v>
      </c>
      <c r="H851" t="s">
        <v>6063</v>
      </c>
      <c r="I851" t="s">
        <v>8259</v>
      </c>
      <c r="J851" t="s">
        <v>9065</v>
      </c>
      <c r="K851">
        <v>10452</v>
      </c>
      <c r="L851" t="s">
        <v>9094</v>
      </c>
      <c r="M851" t="s">
        <v>9094</v>
      </c>
      <c r="O851" t="s">
        <v>11129</v>
      </c>
      <c r="P851" t="s">
        <v>11164</v>
      </c>
      <c r="Q851" t="s">
        <v>11172</v>
      </c>
      <c r="R851" t="s">
        <v>11180</v>
      </c>
      <c r="S851" t="s">
        <v>9096</v>
      </c>
      <c r="T851" t="s">
        <v>11183</v>
      </c>
      <c r="V851" t="s">
        <v>554</v>
      </c>
      <c r="W851">
        <v>715.1900000000001</v>
      </c>
      <c r="X851" t="s">
        <v>11333</v>
      </c>
      <c r="Y851" t="s">
        <v>11346</v>
      </c>
      <c r="Z851" t="s">
        <v>11981</v>
      </c>
      <c r="AB851" t="s">
        <v>16433</v>
      </c>
      <c r="AC851">
        <v>147</v>
      </c>
      <c r="AD851" t="s">
        <v>19567</v>
      </c>
      <c r="AE851" t="s">
        <v>19580</v>
      </c>
      <c r="AF851">
        <v>25</v>
      </c>
      <c r="AG851">
        <v>1</v>
      </c>
      <c r="AH851">
        <v>0</v>
      </c>
      <c r="AI851">
        <v>34.11</v>
      </c>
      <c r="AL851" t="s">
        <v>19614</v>
      </c>
      <c r="AM851">
        <v>4260</v>
      </c>
      <c r="AS851">
        <v>0.1</v>
      </c>
      <c r="AT851" t="s">
        <v>554</v>
      </c>
      <c r="AU851" t="s">
        <v>20642</v>
      </c>
    </row>
    <row r="852" spans="1:48">
      <c r="A852" s="1">
        <f>HYPERLINK("https://lsnyc.legalserver.org/matter/dynamic-profile/view/1913565","19-1913565")</f>
        <v>0</v>
      </c>
      <c r="B852" t="s">
        <v>141</v>
      </c>
      <c r="C852" t="s">
        <v>256</v>
      </c>
      <c r="D852" t="s">
        <v>521</v>
      </c>
      <c r="F852" t="s">
        <v>1287</v>
      </c>
      <c r="G852" t="s">
        <v>3815</v>
      </c>
      <c r="H852" t="s">
        <v>6227</v>
      </c>
      <c r="I852" t="s">
        <v>8153</v>
      </c>
      <c r="J852" t="s">
        <v>9067</v>
      </c>
      <c r="K852">
        <v>10034</v>
      </c>
      <c r="L852" t="s">
        <v>9094</v>
      </c>
      <c r="M852" t="s">
        <v>9095</v>
      </c>
      <c r="P852" t="s">
        <v>11169</v>
      </c>
      <c r="R852" t="s">
        <v>11180</v>
      </c>
      <c r="S852" t="s">
        <v>9096</v>
      </c>
      <c r="T852" t="s">
        <v>11183</v>
      </c>
      <c r="V852" t="s">
        <v>521</v>
      </c>
      <c r="W852">
        <v>0</v>
      </c>
      <c r="X852" t="s">
        <v>11335</v>
      </c>
      <c r="Y852" t="s">
        <v>11340</v>
      </c>
      <c r="Z852" t="s">
        <v>11982</v>
      </c>
      <c r="AB852" t="s">
        <v>16434</v>
      </c>
      <c r="AC852">
        <v>85</v>
      </c>
      <c r="AD852" t="s">
        <v>19566</v>
      </c>
      <c r="AE852" t="s">
        <v>9144</v>
      </c>
      <c r="AF852">
        <v>32</v>
      </c>
      <c r="AG852">
        <v>1</v>
      </c>
      <c r="AH852">
        <v>0</v>
      </c>
      <c r="AI852">
        <v>34.11</v>
      </c>
      <c r="AL852" t="s">
        <v>19614</v>
      </c>
      <c r="AM852">
        <v>4260</v>
      </c>
      <c r="AS852">
        <v>2.5</v>
      </c>
      <c r="AT852" t="s">
        <v>301</v>
      </c>
      <c r="AU852" t="s">
        <v>130</v>
      </c>
      <c r="AV852" t="s">
        <v>20733</v>
      </c>
    </row>
    <row r="853" spans="1:48">
      <c r="A853" s="1">
        <f>HYPERLINK("https://lsnyc.legalserver.org/matter/dynamic-profile/view/0831520","17-0831520")</f>
        <v>0</v>
      </c>
      <c r="B853" t="s">
        <v>93</v>
      </c>
      <c r="C853" t="s">
        <v>256</v>
      </c>
      <c r="D853" t="s">
        <v>661</v>
      </c>
      <c r="F853" t="s">
        <v>1654</v>
      </c>
      <c r="G853" t="s">
        <v>3816</v>
      </c>
      <c r="H853" t="s">
        <v>6228</v>
      </c>
      <c r="I853">
        <v>15</v>
      </c>
      <c r="J853" t="s">
        <v>9059</v>
      </c>
      <c r="K853">
        <v>11233</v>
      </c>
      <c r="L853" t="s">
        <v>9094</v>
      </c>
      <c r="M853" t="s">
        <v>9095</v>
      </c>
      <c r="N853" t="s">
        <v>9506</v>
      </c>
      <c r="O853" t="s">
        <v>11128</v>
      </c>
      <c r="P853" t="s">
        <v>11165</v>
      </c>
      <c r="R853" t="s">
        <v>11180</v>
      </c>
      <c r="T853" t="s">
        <v>11183</v>
      </c>
      <c r="V853" t="s">
        <v>644</v>
      </c>
      <c r="W853">
        <v>226.34</v>
      </c>
      <c r="X853" t="s">
        <v>11332</v>
      </c>
      <c r="Z853" t="s">
        <v>11983</v>
      </c>
      <c r="AB853" t="s">
        <v>16435</v>
      </c>
      <c r="AC853">
        <v>16</v>
      </c>
      <c r="AD853" t="s">
        <v>19566</v>
      </c>
      <c r="AF853">
        <v>48</v>
      </c>
      <c r="AG853">
        <v>4</v>
      </c>
      <c r="AH853">
        <v>0</v>
      </c>
      <c r="AI853">
        <v>34.15</v>
      </c>
      <c r="AL853" t="s">
        <v>19614</v>
      </c>
      <c r="AM853">
        <v>8400</v>
      </c>
      <c r="AS853">
        <v>88.26000000000001</v>
      </c>
      <c r="AT853" t="s">
        <v>484</v>
      </c>
      <c r="AU853" t="s">
        <v>20636</v>
      </c>
    </row>
    <row r="854" spans="1:48">
      <c r="A854" s="1">
        <f>HYPERLINK("https://lsnyc.legalserver.org/matter/dynamic-profile/view/1911100","19-1911100")</f>
        <v>0</v>
      </c>
      <c r="B854" t="s">
        <v>114</v>
      </c>
      <c r="C854" t="s">
        <v>256</v>
      </c>
      <c r="D854" t="s">
        <v>648</v>
      </c>
      <c r="F854" t="s">
        <v>1655</v>
      </c>
      <c r="G854" t="s">
        <v>2930</v>
      </c>
      <c r="H854" t="s">
        <v>6229</v>
      </c>
      <c r="I854" t="s">
        <v>8134</v>
      </c>
      <c r="J854" t="s">
        <v>9065</v>
      </c>
      <c r="K854">
        <v>10453</v>
      </c>
      <c r="L854" t="s">
        <v>9095</v>
      </c>
      <c r="M854" t="s">
        <v>9095</v>
      </c>
      <c r="N854" t="s">
        <v>9507</v>
      </c>
      <c r="O854" t="s">
        <v>11128</v>
      </c>
      <c r="P854" t="s">
        <v>11165</v>
      </c>
      <c r="R854" t="s">
        <v>11180</v>
      </c>
      <c r="S854" t="s">
        <v>9096</v>
      </c>
      <c r="T854" t="s">
        <v>11183</v>
      </c>
      <c r="U854" t="s">
        <v>11202</v>
      </c>
      <c r="W854">
        <v>1600</v>
      </c>
      <c r="X854" t="s">
        <v>11333</v>
      </c>
      <c r="Z854" t="s">
        <v>11984</v>
      </c>
      <c r="AB854" t="s">
        <v>16436</v>
      </c>
      <c r="AC854">
        <v>0</v>
      </c>
      <c r="AD854" t="s">
        <v>19566</v>
      </c>
      <c r="AF854">
        <v>0</v>
      </c>
      <c r="AG854">
        <v>1</v>
      </c>
      <c r="AH854">
        <v>3</v>
      </c>
      <c r="AI854">
        <v>34.16</v>
      </c>
      <c r="AL854" t="s">
        <v>19614</v>
      </c>
      <c r="AM854">
        <v>8796</v>
      </c>
      <c r="AS854">
        <v>7</v>
      </c>
      <c r="AT854" t="s">
        <v>476</v>
      </c>
      <c r="AU854" t="s">
        <v>114</v>
      </c>
    </row>
    <row r="855" spans="1:48">
      <c r="A855" s="1">
        <f>HYPERLINK("https://lsnyc.legalserver.org/matter/dynamic-profile/view/1862262","18-1862262")</f>
        <v>0</v>
      </c>
      <c r="B855" t="s">
        <v>172</v>
      </c>
      <c r="C855" t="s">
        <v>257</v>
      </c>
      <c r="D855" t="s">
        <v>662</v>
      </c>
      <c r="E855" t="s">
        <v>270</v>
      </c>
      <c r="F855" t="s">
        <v>1383</v>
      </c>
      <c r="G855" t="s">
        <v>3817</v>
      </c>
      <c r="H855" t="s">
        <v>6230</v>
      </c>
      <c r="I855" t="s">
        <v>8270</v>
      </c>
      <c r="J855" t="s">
        <v>9067</v>
      </c>
      <c r="K855">
        <v>10030</v>
      </c>
      <c r="L855" t="s">
        <v>9096</v>
      </c>
      <c r="M855" t="s">
        <v>9095</v>
      </c>
      <c r="N855" t="s">
        <v>9508</v>
      </c>
      <c r="O855" t="s">
        <v>11129</v>
      </c>
      <c r="P855" t="s">
        <v>11164</v>
      </c>
      <c r="Q855" t="s">
        <v>11172</v>
      </c>
      <c r="R855" t="s">
        <v>11180</v>
      </c>
      <c r="T855" t="s">
        <v>11183</v>
      </c>
      <c r="W855">
        <v>249</v>
      </c>
      <c r="X855" t="s">
        <v>11335</v>
      </c>
      <c r="Z855" t="s">
        <v>11985</v>
      </c>
      <c r="AB855" t="s">
        <v>16437</v>
      </c>
      <c r="AC855">
        <v>0</v>
      </c>
      <c r="AE855" t="s">
        <v>19584</v>
      </c>
      <c r="AF855">
        <v>7</v>
      </c>
      <c r="AG855">
        <v>2</v>
      </c>
      <c r="AH855">
        <v>2</v>
      </c>
      <c r="AI855">
        <v>34.16</v>
      </c>
      <c r="AM855">
        <v>8574.6</v>
      </c>
      <c r="AS855">
        <v>0.2</v>
      </c>
      <c r="AT855" t="s">
        <v>576</v>
      </c>
      <c r="AU855" t="s">
        <v>20680</v>
      </c>
    </row>
    <row r="856" spans="1:48">
      <c r="A856" s="1">
        <f>HYPERLINK("https://lsnyc.legalserver.org/matter/dynamic-profile/view/1888215","19-1888215")</f>
        <v>0</v>
      </c>
      <c r="B856" t="s">
        <v>70</v>
      </c>
      <c r="C856" t="s">
        <v>256</v>
      </c>
      <c r="D856" t="s">
        <v>510</v>
      </c>
      <c r="F856" t="s">
        <v>1550</v>
      </c>
      <c r="G856" t="s">
        <v>3499</v>
      </c>
      <c r="H856" t="s">
        <v>6223</v>
      </c>
      <c r="I856" t="s">
        <v>8273</v>
      </c>
      <c r="J856" t="s">
        <v>9059</v>
      </c>
      <c r="K856">
        <v>11215</v>
      </c>
      <c r="L856" t="s">
        <v>9094</v>
      </c>
      <c r="M856" t="s">
        <v>9096</v>
      </c>
      <c r="N856" t="s">
        <v>9509</v>
      </c>
      <c r="O856" t="s">
        <v>11130</v>
      </c>
      <c r="P856" t="s">
        <v>11165</v>
      </c>
      <c r="R856" t="s">
        <v>11180</v>
      </c>
      <c r="S856" t="s">
        <v>9094</v>
      </c>
      <c r="T856" t="s">
        <v>11183</v>
      </c>
      <c r="U856" t="s">
        <v>11201</v>
      </c>
      <c r="V856" t="s">
        <v>604</v>
      </c>
      <c r="W856">
        <v>165</v>
      </c>
      <c r="X856" t="s">
        <v>11332</v>
      </c>
      <c r="Y856" t="s">
        <v>11340</v>
      </c>
      <c r="Z856" t="s">
        <v>11974</v>
      </c>
      <c r="AA856" t="s">
        <v>9171</v>
      </c>
      <c r="AB856" t="s">
        <v>16426</v>
      </c>
      <c r="AC856">
        <v>7</v>
      </c>
      <c r="AD856" t="s">
        <v>19569</v>
      </c>
      <c r="AE856" t="s">
        <v>9144</v>
      </c>
      <c r="AF856">
        <v>22</v>
      </c>
      <c r="AG856">
        <v>3</v>
      </c>
      <c r="AH856">
        <v>2</v>
      </c>
      <c r="AI856">
        <v>34.33</v>
      </c>
      <c r="AL856" t="s">
        <v>19614</v>
      </c>
      <c r="AM856">
        <v>10100</v>
      </c>
      <c r="AS856">
        <v>0</v>
      </c>
      <c r="AU856" t="s">
        <v>95</v>
      </c>
      <c r="AV856" t="s">
        <v>20733</v>
      </c>
    </row>
    <row r="857" spans="1:48">
      <c r="A857" s="1">
        <f>HYPERLINK("https://lsnyc.legalserver.org/matter/dynamic-profile/view/1910119","19-1910119")</f>
        <v>0</v>
      </c>
      <c r="B857" t="s">
        <v>138</v>
      </c>
      <c r="C857" t="s">
        <v>256</v>
      </c>
      <c r="D857" t="s">
        <v>435</v>
      </c>
      <c r="F857" t="s">
        <v>1656</v>
      </c>
      <c r="G857" t="s">
        <v>3818</v>
      </c>
      <c r="H857" t="s">
        <v>6231</v>
      </c>
      <c r="J857" t="s">
        <v>9067</v>
      </c>
      <c r="K857">
        <v>10033</v>
      </c>
      <c r="L857" t="s">
        <v>9094</v>
      </c>
      <c r="M857" t="s">
        <v>9095</v>
      </c>
      <c r="O857" t="s">
        <v>11130</v>
      </c>
      <c r="P857" t="s">
        <v>11167</v>
      </c>
      <c r="R857" t="s">
        <v>11180</v>
      </c>
      <c r="S857" t="s">
        <v>9094</v>
      </c>
      <c r="T857" t="s">
        <v>11183</v>
      </c>
      <c r="V857" t="s">
        <v>706</v>
      </c>
      <c r="W857">
        <v>811.77</v>
      </c>
      <c r="X857" t="s">
        <v>11335</v>
      </c>
      <c r="Y857" t="s">
        <v>11338</v>
      </c>
      <c r="Z857" t="s">
        <v>11986</v>
      </c>
      <c r="AB857" t="s">
        <v>16438</v>
      </c>
      <c r="AC857">
        <v>24</v>
      </c>
      <c r="AD857" t="s">
        <v>19566</v>
      </c>
      <c r="AE857" t="s">
        <v>19587</v>
      </c>
      <c r="AF857">
        <v>45</v>
      </c>
      <c r="AG857">
        <v>2</v>
      </c>
      <c r="AH857">
        <v>0</v>
      </c>
      <c r="AI857">
        <v>34.35</v>
      </c>
      <c r="AL857" t="s">
        <v>19615</v>
      </c>
      <c r="AM857">
        <v>5808</v>
      </c>
      <c r="AS857">
        <v>0</v>
      </c>
      <c r="AT857" t="s">
        <v>320</v>
      </c>
      <c r="AU857" t="s">
        <v>130</v>
      </c>
      <c r="AV857" t="s">
        <v>20733</v>
      </c>
    </row>
    <row r="858" spans="1:48">
      <c r="A858" s="1">
        <f>HYPERLINK("https://lsnyc.legalserver.org/matter/dynamic-profile/view/1894706","19-1894706")</f>
        <v>0</v>
      </c>
      <c r="B858" t="s">
        <v>169</v>
      </c>
      <c r="C858" t="s">
        <v>256</v>
      </c>
      <c r="D858" t="s">
        <v>502</v>
      </c>
      <c r="F858" t="s">
        <v>1657</v>
      </c>
      <c r="G858" t="s">
        <v>3819</v>
      </c>
      <c r="H858" t="s">
        <v>6232</v>
      </c>
      <c r="I858">
        <v>9</v>
      </c>
      <c r="J858" t="s">
        <v>9059</v>
      </c>
      <c r="K858">
        <v>11203</v>
      </c>
      <c r="L858" t="s">
        <v>9096</v>
      </c>
      <c r="M858" t="s">
        <v>9096</v>
      </c>
      <c r="P858" t="s">
        <v>11166</v>
      </c>
      <c r="R858" t="s">
        <v>11180</v>
      </c>
      <c r="T858" t="s">
        <v>11183</v>
      </c>
      <c r="V858" t="s">
        <v>502</v>
      </c>
      <c r="W858">
        <v>0</v>
      </c>
      <c r="X858" t="s">
        <v>11332</v>
      </c>
      <c r="Z858" t="s">
        <v>11987</v>
      </c>
      <c r="AB858" t="s">
        <v>16439</v>
      </c>
      <c r="AC858">
        <v>0</v>
      </c>
      <c r="AF858">
        <v>0</v>
      </c>
      <c r="AG858">
        <v>2</v>
      </c>
      <c r="AH858">
        <v>2</v>
      </c>
      <c r="AI858">
        <v>34.43</v>
      </c>
      <c r="AL858" t="s">
        <v>19614</v>
      </c>
      <c r="AM858">
        <v>8866</v>
      </c>
      <c r="AS858">
        <v>15.7</v>
      </c>
      <c r="AT858" t="s">
        <v>331</v>
      </c>
      <c r="AU858" t="s">
        <v>67</v>
      </c>
    </row>
    <row r="859" spans="1:48">
      <c r="A859" s="1">
        <f>HYPERLINK("https://lsnyc.legalserver.org/matter/dynamic-profile/view/1905345","19-1905345")</f>
        <v>0</v>
      </c>
      <c r="B859" t="s">
        <v>57</v>
      </c>
      <c r="C859" t="s">
        <v>256</v>
      </c>
      <c r="D859" t="s">
        <v>621</v>
      </c>
      <c r="F859" t="s">
        <v>1658</v>
      </c>
      <c r="G859" t="s">
        <v>3820</v>
      </c>
      <c r="H859" t="s">
        <v>6233</v>
      </c>
      <c r="I859" t="s">
        <v>8176</v>
      </c>
      <c r="J859" t="s">
        <v>9051</v>
      </c>
      <c r="K859">
        <v>11374</v>
      </c>
      <c r="L859" t="s">
        <v>9094</v>
      </c>
      <c r="M859" t="s">
        <v>9095</v>
      </c>
      <c r="N859" t="s">
        <v>9510</v>
      </c>
      <c r="O859" t="s">
        <v>11129</v>
      </c>
      <c r="P859" t="s">
        <v>11164</v>
      </c>
      <c r="R859" t="s">
        <v>11180</v>
      </c>
      <c r="S859" t="s">
        <v>9094</v>
      </c>
      <c r="T859" t="s">
        <v>11183</v>
      </c>
      <c r="U859" t="s">
        <v>11201</v>
      </c>
      <c r="V859" t="s">
        <v>621</v>
      </c>
      <c r="W859">
        <v>0</v>
      </c>
      <c r="X859" t="s">
        <v>11331</v>
      </c>
      <c r="Y859" t="s">
        <v>11336</v>
      </c>
      <c r="Z859" t="s">
        <v>11988</v>
      </c>
      <c r="AB859" t="s">
        <v>16440</v>
      </c>
      <c r="AC859">
        <v>47</v>
      </c>
      <c r="AD859" t="s">
        <v>19574</v>
      </c>
      <c r="AE859" t="s">
        <v>9144</v>
      </c>
      <c r="AF859">
        <v>16</v>
      </c>
      <c r="AG859">
        <v>4</v>
      </c>
      <c r="AH859">
        <v>1</v>
      </c>
      <c r="AI859">
        <v>34.47</v>
      </c>
      <c r="AL859" t="s">
        <v>19614</v>
      </c>
      <c r="AM859">
        <v>10400</v>
      </c>
      <c r="AS859">
        <v>2.15</v>
      </c>
      <c r="AT859" t="s">
        <v>496</v>
      </c>
      <c r="AU859" t="s">
        <v>20619</v>
      </c>
      <c r="AV859" t="s">
        <v>20733</v>
      </c>
    </row>
    <row r="860" spans="1:48">
      <c r="A860" s="1">
        <f>HYPERLINK("https://lsnyc.legalserver.org/matter/dynamic-profile/view/1905837","19-1905837")</f>
        <v>0</v>
      </c>
      <c r="B860" t="s">
        <v>92</v>
      </c>
      <c r="C860" t="s">
        <v>256</v>
      </c>
      <c r="D860" t="s">
        <v>426</v>
      </c>
      <c r="F860" t="s">
        <v>1659</v>
      </c>
      <c r="G860" t="s">
        <v>3821</v>
      </c>
      <c r="H860" t="s">
        <v>5808</v>
      </c>
      <c r="I860" t="s">
        <v>8124</v>
      </c>
      <c r="J860" t="s">
        <v>9059</v>
      </c>
      <c r="K860">
        <v>11212</v>
      </c>
      <c r="L860" t="s">
        <v>9094</v>
      </c>
      <c r="M860" t="s">
        <v>9095</v>
      </c>
      <c r="N860" t="s">
        <v>9184</v>
      </c>
      <c r="O860" t="s">
        <v>11132</v>
      </c>
      <c r="P860" t="s">
        <v>11167</v>
      </c>
      <c r="R860" t="s">
        <v>11180</v>
      </c>
      <c r="S860" t="s">
        <v>9094</v>
      </c>
      <c r="T860" t="s">
        <v>11186</v>
      </c>
      <c r="U860" t="s">
        <v>11201</v>
      </c>
      <c r="V860" t="s">
        <v>512</v>
      </c>
      <c r="W860">
        <v>0</v>
      </c>
      <c r="X860" t="s">
        <v>11332</v>
      </c>
      <c r="Y860" t="s">
        <v>11340</v>
      </c>
      <c r="Z860" t="s">
        <v>11989</v>
      </c>
      <c r="AA860" t="s">
        <v>9171</v>
      </c>
      <c r="AC860">
        <v>8</v>
      </c>
      <c r="AD860" t="s">
        <v>19566</v>
      </c>
      <c r="AE860" t="s">
        <v>9144</v>
      </c>
      <c r="AF860">
        <v>0</v>
      </c>
      <c r="AG860">
        <v>3</v>
      </c>
      <c r="AH860">
        <v>2</v>
      </c>
      <c r="AI860">
        <v>34.47</v>
      </c>
      <c r="AL860" t="s">
        <v>5133</v>
      </c>
      <c r="AM860">
        <v>10400</v>
      </c>
      <c r="AS860">
        <v>0</v>
      </c>
      <c r="AU860" t="s">
        <v>95</v>
      </c>
      <c r="AV860" t="s">
        <v>20733</v>
      </c>
    </row>
    <row r="861" spans="1:48">
      <c r="A861" s="1">
        <f>HYPERLINK("https://lsnyc.legalserver.org/matter/dynamic-profile/view/1903936","19-1903936")</f>
        <v>0</v>
      </c>
      <c r="B861" t="s">
        <v>92</v>
      </c>
      <c r="C861" t="s">
        <v>256</v>
      </c>
      <c r="D861" t="s">
        <v>597</v>
      </c>
      <c r="F861" t="s">
        <v>1659</v>
      </c>
      <c r="G861" t="s">
        <v>3821</v>
      </c>
      <c r="H861" t="s">
        <v>5808</v>
      </c>
      <c r="I861" t="s">
        <v>8124</v>
      </c>
      <c r="J861" t="s">
        <v>9059</v>
      </c>
      <c r="K861">
        <v>11212</v>
      </c>
      <c r="L861" t="s">
        <v>9094</v>
      </c>
      <c r="M861" t="s">
        <v>9095</v>
      </c>
      <c r="N861" t="s">
        <v>9511</v>
      </c>
      <c r="O861" t="s">
        <v>11129</v>
      </c>
      <c r="P861" t="s">
        <v>11165</v>
      </c>
      <c r="R861" t="s">
        <v>11180</v>
      </c>
      <c r="S861" t="s">
        <v>9096</v>
      </c>
      <c r="T861" t="s">
        <v>11183</v>
      </c>
      <c r="U861" t="s">
        <v>11201</v>
      </c>
      <c r="V861" t="s">
        <v>492</v>
      </c>
      <c r="W861">
        <v>0</v>
      </c>
      <c r="X861" t="s">
        <v>11332</v>
      </c>
      <c r="Z861" t="s">
        <v>11989</v>
      </c>
      <c r="AA861" t="s">
        <v>15441</v>
      </c>
      <c r="AC861">
        <v>0</v>
      </c>
      <c r="AD861" t="s">
        <v>19566</v>
      </c>
      <c r="AE861" t="s">
        <v>9144</v>
      </c>
      <c r="AF861">
        <v>0</v>
      </c>
      <c r="AG861">
        <v>3</v>
      </c>
      <c r="AH861">
        <v>2</v>
      </c>
      <c r="AI861">
        <v>34.47</v>
      </c>
      <c r="AL861" t="s">
        <v>5133</v>
      </c>
      <c r="AM861">
        <v>10400</v>
      </c>
      <c r="AS861">
        <v>49.3</v>
      </c>
      <c r="AT861" t="s">
        <v>594</v>
      </c>
      <c r="AU861" t="s">
        <v>95</v>
      </c>
      <c r="AV861" t="s">
        <v>20733</v>
      </c>
    </row>
    <row r="862" spans="1:48">
      <c r="A862" s="1">
        <f>HYPERLINK("https://lsnyc.legalserver.org/matter/dynamic-profile/view/1903977","19-1903977")</f>
        <v>0</v>
      </c>
      <c r="B862" t="s">
        <v>92</v>
      </c>
      <c r="C862" t="s">
        <v>256</v>
      </c>
      <c r="D862" t="s">
        <v>663</v>
      </c>
      <c r="F862" t="s">
        <v>1659</v>
      </c>
      <c r="G862" t="s">
        <v>3821</v>
      </c>
      <c r="H862" t="s">
        <v>5808</v>
      </c>
      <c r="I862" t="s">
        <v>8124</v>
      </c>
      <c r="J862" t="s">
        <v>9059</v>
      </c>
      <c r="K862">
        <v>11212</v>
      </c>
      <c r="L862" t="s">
        <v>9094</v>
      </c>
      <c r="M862" t="s">
        <v>9095</v>
      </c>
      <c r="N862" t="s">
        <v>9512</v>
      </c>
      <c r="O862" t="s">
        <v>11136</v>
      </c>
      <c r="P862" t="s">
        <v>11170</v>
      </c>
      <c r="R862" t="s">
        <v>11180</v>
      </c>
      <c r="S862" t="s">
        <v>9094</v>
      </c>
      <c r="T862" t="s">
        <v>11185</v>
      </c>
      <c r="U862" t="s">
        <v>11201</v>
      </c>
      <c r="V862" t="s">
        <v>493</v>
      </c>
      <c r="W862">
        <v>588.1799999999999</v>
      </c>
      <c r="X862" t="s">
        <v>11332</v>
      </c>
      <c r="Y862" t="s">
        <v>11339</v>
      </c>
      <c r="Z862" t="s">
        <v>11989</v>
      </c>
      <c r="AA862" t="s">
        <v>15441</v>
      </c>
      <c r="AC862">
        <v>8</v>
      </c>
      <c r="AD862" t="s">
        <v>19566</v>
      </c>
      <c r="AE862" t="s">
        <v>9144</v>
      </c>
      <c r="AF862">
        <v>15</v>
      </c>
      <c r="AG862">
        <v>3</v>
      </c>
      <c r="AH862">
        <v>2</v>
      </c>
      <c r="AI862">
        <v>34.47</v>
      </c>
      <c r="AL862" t="s">
        <v>5133</v>
      </c>
      <c r="AM862">
        <v>10400</v>
      </c>
      <c r="AS862">
        <v>18.5</v>
      </c>
      <c r="AT862" t="s">
        <v>594</v>
      </c>
      <c r="AU862" t="s">
        <v>95</v>
      </c>
      <c r="AV862" t="s">
        <v>20733</v>
      </c>
    </row>
    <row r="863" spans="1:48">
      <c r="A863" s="1">
        <f>HYPERLINK("https://lsnyc.legalserver.org/matter/dynamic-profile/view/1911686","19-1911686")</f>
        <v>0</v>
      </c>
      <c r="B863" t="s">
        <v>106</v>
      </c>
      <c r="C863" t="s">
        <v>257</v>
      </c>
      <c r="D863" t="s">
        <v>290</v>
      </c>
      <c r="E863" t="s">
        <v>744</v>
      </c>
      <c r="F863" t="s">
        <v>1624</v>
      </c>
      <c r="G863" t="s">
        <v>3822</v>
      </c>
      <c r="H863">
        <v>1150</v>
      </c>
      <c r="I863" t="s">
        <v>8349</v>
      </c>
      <c r="J863" t="s">
        <v>9065</v>
      </c>
      <c r="K863">
        <v>10459</v>
      </c>
      <c r="L863" t="s">
        <v>9094</v>
      </c>
      <c r="M863" t="s">
        <v>9095</v>
      </c>
      <c r="N863" t="s">
        <v>9513</v>
      </c>
      <c r="O863" t="s">
        <v>11129</v>
      </c>
      <c r="P863" t="s">
        <v>11167</v>
      </c>
      <c r="Q863" t="s">
        <v>11173</v>
      </c>
      <c r="R863" t="s">
        <v>11180</v>
      </c>
      <c r="S863" t="s">
        <v>9096</v>
      </c>
      <c r="T863" t="s">
        <v>11183</v>
      </c>
      <c r="U863" t="s">
        <v>11200</v>
      </c>
      <c r="V863" t="s">
        <v>309</v>
      </c>
      <c r="W863">
        <v>1039</v>
      </c>
      <c r="X863" t="s">
        <v>11333</v>
      </c>
      <c r="Y863" t="s">
        <v>11346</v>
      </c>
      <c r="Z863" t="s">
        <v>11990</v>
      </c>
      <c r="AB863" t="s">
        <v>16441</v>
      </c>
      <c r="AC863">
        <v>0</v>
      </c>
      <c r="AD863" t="s">
        <v>19566</v>
      </c>
      <c r="AE863" t="s">
        <v>19585</v>
      </c>
      <c r="AF863">
        <v>0</v>
      </c>
      <c r="AG863">
        <v>1</v>
      </c>
      <c r="AH863">
        <v>0</v>
      </c>
      <c r="AI863">
        <v>34.59</v>
      </c>
      <c r="AL863" t="s">
        <v>19614</v>
      </c>
      <c r="AM863">
        <v>4320</v>
      </c>
      <c r="AS863">
        <v>0.8</v>
      </c>
      <c r="AT863" t="s">
        <v>290</v>
      </c>
      <c r="AU863" t="s">
        <v>106</v>
      </c>
      <c r="AV863" t="s">
        <v>20733</v>
      </c>
    </row>
    <row r="864" spans="1:48">
      <c r="A864" s="1">
        <f>HYPERLINK("https://lsnyc.legalserver.org/matter/dynamic-profile/view/1911250","19-1911250")</f>
        <v>0</v>
      </c>
      <c r="B864" t="s">
        <v>113</v>
      </c>
      <c r="C864" t="s">
        <v>257</v>
      </c>
      <c r="D864" t="s">
        <v>664</v>
      </c>
      <c r="E864" t="s">
        <v>594</v>
      </c>
      <c r="F864" t="s">
        <v>1144</v>
      </c>
      <c r="G864" t="s">
        <v>3823</v>
      </c>
      <c r="H864" t="s">
        <v>6234</v>
      </c>
      <c r="I864" t="s">
        <v>8291</v>
      </c>
      <c r="J864" t="s">
        <v>9065</v>
      </c>
      <c r="K864">
        <v>10453</v>
      </c>
      <c r="L864" t="s">
        <v>9094</v>
      </c>
      <c r="M864" t="s">
        <v>9095</v>
      </c>
      <c r="O864" t="s">
        <v>11136</v>
      </c>
      <c r="P864" t="s">
        <v>11164</v>
      </c>
      <c r="Q864" t="s">
        <v>11172</v>
      </c>
      <c r="R864" t="s">
        <v>11180</v>
      </c>
      <c r="S864" t="s">
        <v>9094</v>
      </c>
      <c r="T864" t="s">
        <v>11183</v>
      </c>
      <c r="W864">
        <v>1300</v>
      </c>
      <c r="X864" t="s">
        <v>11333</v>
      </c>
      <c r="Y864" t="s">
        <v>11341</v>
      </c>
      <c r="Z864" t="s">
        <v>11991</v>
      </c>
      <c r="AB864" t="s">
        <v>16442</v>
      </c>
      <c r="AC864">
        <v>12</v>
      </c>
      <c r="AD864" t="s">
        <v>19567</v>
      </c>
      <c r="AE864" t="s">
        <v>19580</v>
      </c>
      <c r="AF864">
        <v>10</v>
      </c>
      <c r="AG864">
        <v>1</v>
      </c>
      <c r="AH864">
        <v>1</v>
      </c>
      <c r="AI864">
        <v>34.59</v>
      </c>
      <c r="AL864" t="s">
        <v>19614</v>
      </c>
      <c r="AM864">
        <v>5850</v>
      </c>
      <c r="AS864">
        <v>0.44</v>
      </c>
      <c r="AT864" t="s">
        <v>664</v>
      </c>
      <c r="AU864" t="s">
        <v>20656</v>
      </c>
      <c r="AV864" t="s">
        <v>20733</v>
      </c>
    </row>
    <row r="865" spans="1:48">
      <c r="A865" s="1">
        <f>HYPERLINK("https://lsnyc.legalserver.org/matter/dynamic-profile/view/0816888","16-0816888")</f>
        <v>0</v>
      </c>
      <c r="B865" t="s">
        <v>111</v>
      </c>
      <c r="C865" t="s">
        <v>256</v>
      </c>
      <c r="D865" t="s">
        <v>437</v>
      </c>
      <c r="F865" t="s">
        <v>1245</v>
      </c>
      <c r="G865" t="s">
        <v>3639</v>
      </c>
      <c r="H865" t="s">
        <v>6235</v>
      </c>
      <c r="I865" t="s">
        <v>8112</v>
      </c>
      <c r="J865" t="s">
        <v>9065</v>
      </c>
      <c r="K865">
        <v>10453</v>
      </c>
      <c r="L865" t="s">
        <v>9094</v>
      </c>
      <c r="M865" t="s">
        <v>9095</v>
      </c>
      <c r="O865" t="s">
        <v>11137</v>
      </c>
      <c r="P865" t="s">
        <v>11166</v>
      </c>
      <c r="R865" t="s">
        <v>11180</v>
      </c>
      <c r="S865" t="s">
        <v>9096</v>
      </c>
      <c r="T865" t="s">
        <v>11183</v>
      </c>
      <c r="V865" t="s">
        <v>11235</v>
      </c>
      <c r="W865">
        <v>906</v>
      </c>
      <c r="X865" t="s">
        <v>11333</v>
      </c>
      <c r="Y865" t="s">
        <v>11342</v>
      </c>
      <c r="Z865" t="s">
        <v>11992</v>
      </c>
      <c r="AB865" t="s">
        <v>16443</v>
      </c>
      <c r="AC865">
        <v>30</v>
      </c>
      <c r="AD865" t="s">
        <v>19566</v>
      </c>
      <c r="AE865" t="s">
        <v>9144</v>
      </c>
      <c r="AF865">
        <v>7</v>
      </c>
      <c r="AG865">
        <v>1</v>
      </c>
      <c r="AH865">
        <v>0</v>
      </c>
      <c r="AI865">
        <v>34.63</v>
      </c>
      <c r="AL865" t="s">
        <v>19614</v>
      </c>
      <c r="AM865">
        <v>4114</v>
      </c>
      <c r="AN865" t="s">
        <v>19740</v>
      </c>
      <c r="AS865">
        <v>30.85</v>
      </c>
      <c r="AT865" t="s">
        <v>875</v>
      </c>
      <c r="AU865" t="s">
        <v>20681</v>
      </c>
    </row>
    <row r="866" spans="1:48">
      <c r="A866" s="1">
        <f>HYPERLINK("https://lsnyc.legalserver.org/matter/dynamic-profile/view/1877721","18-1877721")</f>
        <v>0</v>
      </c>
      <c r="B866" t="s">
        <v>81</v>
      </c>
      <c r="C866" t="s">
        <v>257</v>
      </c>
      <c r="D866" t="s">
        <v>605</v>
      </c>
      <c r="E866" t="s">
        <v>669</v>
      </c>
      <c r="F866" t="s">
        <v>1562</v>
      </c>
      <c r="G866" t="s">
        <v>3430</v>
      </c>
      <c r="H866" t="s">
        <v>6236</v>
      </c>
      <c r="I866" t="s">
        <v>8124</v>
      </c>
      <c r="J866" t="s">
        <v>9059</v>
      </c>
      <c r="K866">
        <v>11233</v>
      </c>
      <c r="L866" t="s">
        <v>9094</v>
      </c>
      <c r="M866" t="s">
        <v>9094</v>
      </c>
      <c r="N866" t="s">
        <v>9514</v>
      </c>
      <c r="O866" t="s">
        <v>11146</v>
      </c>
      <c r="P866" t="s">
        <v>11166</v>
      </c>
      <c r="Q866" t="s">
        <v>11177</v>
      </c>
      <c r="R866" t="s">
        <v>11180</v>
      </c>
      <c r="S866" t="s">
        <v>9096</v>
      </c>
      <c r="T866" t="s">
        <v>11184</v>
      </c>
      <c r="U866" t="s">
        <v>11199</v>
      </c>
      <c r="V866" t="s">
        <v>614</v>
      </c>
      <c r="W866">
        <v>1475</v>
      </c>
      <c r="X866" t="s">
        <v>11332</v>
      </c>
      <c r="Y866" t="s">
        <v>11336</v>
      </c>
      <c r="Z866" t="s">
        <v>11993</v>
      </c>
      <c r="AA866" t="s">
        <v>15442</v>
      </c>
      <c r="AB866" t="s">
        <v>16444</v>
      </c>
      <c r="AC866">
        <v>16</v>
      </c>
      <c r="AD866" t="s">
        <v>19566</v>
      </c>
      <c r="AE866" t="s">
        <v>19582</v>
      </c>
      <c r="AF866">
        <v>4</v>
      </c>
      <c r="AG866">
        <v>2</v>
      </c>
      <c r="AH866">
        <v>1</v>
      </c>
      <c r="AI866">
        <v>34.65</v>
      </c>
      <c r="AM866">
        <v>7200</v>
      </c>
      <c r="AS866">
        <v>53.45</v>
      </c>
      <c r="AT866" t="s">
        <v>486</v>
      </c>
      <c r="AU866" t="s">
        <v>20633</v>
      </c>
      <c r="AV866" t="s">
        <v>20733</v>
      </c>
    </row>
    <row r="867" spans="1:48">
      <c r="A867" s="1">
        <f>HYPERLINK("https://lsnyc.legalserver.org/matter/dynamic-profile/view/1910677","19-1910677")</f>
        <v>0</v>
      </c>
      <c r="B867" t="s">
        <v>173</v>
      </c>
      <c r="C867" t="s">
        <v>256</v>
      </c>
      <c r="D867" t="s">
        <v>259</v>
      </c>
      <c r="F867" t="s">
        <v>1549</v>
      </c>
      <c r="G867" t="s">
        <v>3824</v>
      </c>
      <c r="H867" t="s">
        <v>6237</v>
      </c>
      <c r="J867" t="s">
        <v>9039</v>
      </c>
      <c r="K867">
        <v>11432</v>
      </c>
      <c r="L867" t="s">
        <v>9094</v>
      </c>
      <c r="M867" t="s">
        <v>9095</v>
      </c>
      <c r="N867" t="s">
        <v>9515</v>
      </c>
      <c r="O867" t="s">
        <v>11128</v>
      </c>
      <c r="P867" t="s">
        <v>11165</v>
      </c>
      <c r="R867" t="s">
        <v>11180</v>
      </c>
      <c r="S867" t="s">
        <v>9096</v>
      </c>
      <c r="T867" t="s">
        <v>11183</v>
      </c>
      <c r="U867" t="s">
        <v>11201</v>
      </c>
      <c r="V867" t="s">
        <v>832</v>
      </c>
      <c r="W867">
        <v>2100</v>
      </c>
      <c r="X867" t="s">
        <v>11331</v>
      </c>
      <c r="Y867" t="s">
        <v>11336</v>
      </c>
      <c r="Z867" t="s">
        <v>11994</v>
      </c>
      <c r="AA867" t="s">
        <v>15443</v>
      </c>
      <c r="AB867" t="s">
        <v>16445</v>
      </c>
      <c r="AC867">
        <v>2</v>
      </c>
      <c r="AD867" t="s">
        <v>19565</v>
      </c>
      <c r="AE867" t="s">
        <v>9144</v>
      </c>
      <c r="AF867">
        <v>1</v>
      </c>
      <c r="AG867">
        <v>2</v>
      </c>
      <c r="AH867">
        <v>1</v>
      </c>
      <c r="AI867">
        <v>34.67</v>
      </c>
      <c r="AL867" t="s">
        <v>19614</v>
      </c>
      <c r="AM867">
        <v>7396</v>
      </c>
      <c r="AS867">
        <v>33.4</v>
      </c>
      <c r="AT867" t="s">
        <v>331</v>
      </c>
      <c r="AU867" t="s">
        <v>20619</v>
      </c>
      <c r="AV867" t="s">
        <v>20733</v>
      </c>
    </row>
    <row r="868" spans="1:48">
      <c r="A868" s="1">
        <f>HYPERLINK("https://lsnyc.legalserver.org/matter/dynamic-profile/view/0822356","16-0822356")</f>
        <v>0</v>
      </c>
      <c r="B868" t="s">
        <v>108</v>
      </c>
      <c r="C868" t="s">
        <v>256</v>
      </c>
      <c r="D868" t="s">
        <v>665</v>
      </c>
      <c r="F868" t="s">
        <v>1660</v>
      </c>
      <c r="G868" t="s">
        <v>3825</v>
      </c>
      <c r="H868" t="s">
        <v>6238</v>
      </c>
      <c r="I868" t="s">
        <v>8188</v>
      </c>
      <c r="J868" t="s">
        <v>9065</v>
      </c>
      <c r="K868">
        <v>10468</v>
      </c>
      <c r="L868" t="s">
        <v>9094</v>
      </c>
      <c r="M868" t="s">
        <v>9095</v>
      </c>
      <c r="N868" t="s">
        <v>9516</v>
      </c>
      <c r="O868" t="s">
        <v>11129</v>
      </c>
      <c r="P868" t="s">
        <v>11165</v>
      </c>
      <c r="R868" t="s">
        <v>11180</v>
      </c>
      <c r="S868" t="s">
        <v>9096</v>
      </c>
      <c r="T868" t="s">
        <v>11183</v>
      </c>
      <c r="V868" t="s">
        <v>665</v>
      </c>
      <c r="W868">
        <v>1300</v>
      </c>
      <c r="X868" t="s">
        <v>11333</v>
      </c>
      <c r="Y868" t="s">
        <v>11346</v>
      </c>
      <c r="Z868" t="s">
        <v>11701</v>
      </c>
      <c r="AA868" t="s">
        <v>15444</v>
      </c>
      <c r="AB868" t="s">
        <v>16446</v>
      </c>
      <c r="AC868">
        <v>37</v>
      </c>
      <c r="AD868" t="s">
        <v>19566</v>
      </c>
      <c r="AE868" t="s">
        <v>9144</v>
      </c>
      <c r="AF868">
        <v>4</v>
      </c>
      <c r="AG868">
        <v>1</v>
      </c>
      <c r="AH868">
        <v>2</v>
      </c>
      <c r="AI868">
        <v>34.69</v>
      </c>
      <c r="AJ868" t="s">
        <v>529</v>
      </c>
      <c r="AL868" t="s">
        <v>19614</v>
      </c>
      <c r="AM868">
        <v>8190</v>
      </c>
      <c r="AS868">
        <v>145.6</v>
      </c>
      <c r="AT868" t="s">
        <v>671</v>
      </c>
      <c r="AU868" t="s">
        <v>20643</v>
      </c>
    </row>
    <row r="869" spans="1:48">
      <c r="A869" s="1">
        <f>HYPERLINK("https://lsnyc.legalserver.org/matter/dynamic-profile/view/1867812","18-1867812")</f>
        <v>0</v>
      </c>
      <c r="B869" t="s">
        <v>114</v>
      </c>
      <c r="C869" t="s">
        <v>256</v>
      </c>
      <c r="D869" t="s">
        <v>666</v>
      </c>
      <c r="F869" t="s">
        <v>1661</v>
      </c>
      <c r="G869" t="s">
        <v>3826</v>
      </c>
      <c r="H869" t="s">
        <v>6239</v>
      </c>
      <c r="I869" t="s">
        <v>8169</v>
      </c>
      <c r="J869" t="s">
        <v>9065</v>
      </c>
      <c r="K869">
        <v>10468</v>
      </c>
      <c r="L869" t="s">
        <v>9094</v>
      </c>
      <c r="M869" t="s">
        <v>9095</v>
      </c>
      <c r="N869" t="s">
        <v>9517</v>
      </c>
      <c r="O869" t="s">
        <v>11129</v>
      </c>
      <c r="P869" t="s">
        <v>11165</v>
      </c>
      <c r="R869" t="s">
        <v>11180</v>
      </c>
      <c r="T869" t="s">
        <v>11183</v>
      </c>
      <c r="V869" t="s">
        <v>675</v>
      </c>
      <c r="W869">
        <v>817.85</v>
      </c>
      <c r="X869" t="s">
        <v>11333</v>
      </c>
      <c r="Z869" t="s">
        <v>11995</v>
      </c>
      <c r="AB869" t="s">
        <v>16447</v>
      </c>
      <c r="AC869">
        <v>0</v>
      </c>
      <c r="AD869" t="s">
        <v>19566</v>
      </c>
      <c r="AF869">
        <v>42</v>
      </c>
      <c r="AG869">
        <v>2</v>
      </c>
      <c r="AH869">
        <v>0</v>
      </c>
      <c r="AI869">
        <v>34.75</v>
      </c>
      <c r="AL869" t="s">
        <v>19614</v>
      </c>
      <c r="AM869">
        <v>5720</v>
      </c>
      <c r="AS869">
        <v>27.5</v>
      </c>
      <c r="AT869" t="s">
        <v>269</v>
      </c>
      <c r="AU869" t="s">
        <v>163</v>
      </c>
    </row>
    <row r="870" spans="1:48">
      <c r="A870" s="1">
        <f>HYPERLINK("https://lsnyc.legalserver.org/matter/dynamic-profile/view/1852111","17-1852111")</f>
        <v>0</v>
      </c>
      <c r="B870" t="s">
        <v>70</v>
      </c>
      <c r="C870" t="s">
        <v>256</v>
      </c>
      <c r="D870" t="s">
        <v>667</v>
      </c>
      <c r="F870" t="s">
        <v>1550</v>
      </c>
      <c r="G870" t="s">
        <v>3499</v>
      </c>
      <c r="H870" t="s">
        <v>6223</v>
      </c>
      <c r="I870" t="s">
        <v>8273</v>
      </c>
      <c r="J870" t="s">
        <v>9059</v>
      </c>
      <c r="K870">
        <v>11215</v>
      </c>
      <c r="L870" t="s">
        <v>9094</v>
      </c>
      <c r="M870" t="s">
        <v>9094</v>
      </c>
      <c r="N870" t="s">
        <v>9518</v>
      </c>
      <c r="O870" t="s">
        <v>11128</v>
      </c>
      <c r="P870" t="s">
        <v>11165</v>
      </c>
      <c r="R870" t="s">
        <v>11180</v>
      </c>
      <c r="S870" t="s">
        <v>9094</v>
      </c>
      <c r="T870" t="s">
        <v>11183</v>
      </c>
      <c r="V870" t="s">
        <v>266</v>
      </c>
      <c r="W870">
        <v>165</v>
      </c>
      <c r="X870" t="s">
        <v>11332</v>
      </c>
      <c r="Y870" t="s">
        <v>11341</v>
      </c>
      <c r="Z870" t="s">
        <v>11974</v>
      </c>
      <c r="AB870" t="s">
        <v>16426</v>
      </c>
      <c r="AC870">
        <v>7</v>
      </c>
      <c r="AD870" t="s">
        <v>19569</v>
      </c>
      <c r="AE870" t="s">
        <v>9144</v>
      </c>
      <c r="AF870">
        <v>22</v>
      </c>
      <c r="AG870">
        <v>3</v>
      </c>
      <c r="AH870">
        <v>2</v>
      </c>
      <c r="AI870">
        <v>35.09</v>
      </c>
      <c r="AL870" t="s">
        <v>19614</v>
      </c>
      <c r="AM870">
        <v>10100</v>
      </c>
      <c r="AS870">
        <v>207.9</v>
      </c>
      <c r="AT870" t="s">
        <v>377</v>
      </c>
      <c r="AU870" t="s">
        <v>95</v>
      </c>
    </row>
    <row r="871" spans="1:48">
      <c r="A871" s="1">
        <f>HYPERLINK("https://lsnyc.legalserver.org/matter/dynamic-profile/view/1903978","19-1903978")</f>
        <v>0</v>
      </c>
      <c r="B871" t="s">
        <v>55</v>
      </c>
      <c r="C871" t="s">
        <v>256</v>
      </c>
      <c r="D871" t="s">
        <v>663</v>
      </c>
      <c r="F871" t="s">
        <v>1662</v>
      </c>
      <c r="G871" t="s">
        <v>3588</v>
      </c>
      <c r="H871" t="s">
        <v>6240</v>
      </c>
      <c r="I871" t="s">
        <v>8275</v>
      </c>
      <c r="J871" t="s">
        <v>9037</v>
      </c>
      <c r="K871">
        <v>11692</v>
      </c>
      <c r="L871" t="s">
        <v>9094</v>
      </c>
      <c r="M871" t="s">
        <v>9095</v>
      </c>
      <c r="N871" t="s">
        <v>9519</v>
      </c>
      <c r="O871" t="s">
        <v>11130</v>
      </c>
      <c r="P871" t="s">
        <v>11167</v>
      </c>
      <c r="R871" t="s">
        <v>11180</v>
      </c>
      <c r="S871" t="s">
        <v>9096</v>
      </c>
      <c r="T871" t="s">
        <v>11183</v>
      </c>
      <c r="U871" t="s">
        <v>11201</v>
      </c>
      <c r="W871">
        <v>2206</v>
      </c>
      <c r="X871" t="s">
        <v>11331</v>
      </c>
      <c r="Y871" t="s">
        <v>11336</v>
      </c>
      <c r="Z871" t="s">
        <v>11996</v>
      </c>
      <c r="AB871" t="s">
        <v>16448</v>
      </c>
      <c r="AC871">
        <v>3</v>
      </c>
      <c r="AD871" t="s">
        <v>19565</v>
      </c>
      <c r="AF871">
        <v>5</v>
      </c>
      <c r="AG871">
        <v>1</v>
      </c>
      <c r="AH871">
        <v>3</v>
      </c>
      <c r="AI871">
        <v>35.14</v>
      </c>
      <c r="AL871" t="s">
        <v>19614</v>
      </c>
      <c r="AM871">
        <v>9048</v>
      </c>
      <c r="AS871">
        <v>1.3</v>
      </c>
      <c r="AT871" t="s">
        <v>1136</v>
      </c>
      <c r="AU871" t="s">
        <v>55</v>
      </c>
      <c r="AV871" t="s">
        <v>20733</v>
      </c>
    </row>
    <row r="872" spans="1:48">
      <c r="A872" s="1">
        <f>HYPERLINK("https://lsnyc.legalserver.org/matter/dynamic-profile/view/1902332","19-1902332")</f>
        <v>0</v>
      </c>
      <c r="B872" t="s">
        <v>99</v>
      </c>
      <c r="C872" t="s">
        <v>257</v>
      </c>
      <c r="D872" t="s">
        <v>268</v>
      </c>
      <c r="E872" t="s">
        <v>362</v>
      </c>
      <c r="F872" t="s">
        <v>1663</v>
      </c>
      <c r="G872" t="s">
        <v>3571</v>
      </c>
      <c r="H872" t="s">
        <v>6241</v>
      </c>
      <c r="I872" t="s">
        <v>8350</v>
      </c>
      <c r="J872" t="s">
        <v>9065</v>
      </c>
      <c r="K872">
        <v>10452</v>
      </c>
      <c r="L872" t="s">
        <v>9094</v>
      </c>
      <c r="M872" t="s">
        <v>9095</v>
      </c>
      <c r="O872" t="s">
        <v>9121</v>
      </c>
      <c r="P872" t="s">
        <v>11167</v>
      </c>
      <c r="Q872" t="s">
        <v>11173</v>
      </c>
      <c r="R872" t="s">
        <v>11180</v>
      </c>
      <c r="S872" t="s">
        <v>9096</v>
      </c>
      <c r="T872" t="s">
        <v>11183</v>
      </c>
      <c r="V872" t="s">
        <v>11218</v>
      </c>
      <c r="W872">
        <v>121</v>
      </c>
      <c r="X872" t="s">
        <v>11333</v>
      </c>
      <c r="Y872" t="s">
        <v>11346</v>
      </c>
      <c r="Z872" t="s">
        <v>11997</v>
      </c>
      <c r="AC872">
        <v>57</v>
      </c>
      <c r="AD872" t="s">
        <v>19566</v>
      </c>
      <c r="AE872" t="s">
        <v>19580</v>
      </c>
      <c r="AF872">
        <v>30</v>
      </c>
      <c r="AG872">
        <v>2</v>
      </c>
      <c r="AH872">
        <v>2</v>
      </c>
      <c r="AI872">
        <v>35.23</v>
      </c>
      <c r="AL872" t="s">
        <v>19615</v>
      </c>
      <c r="AM872">
        <v>9072</v>
      </c>
      <c r="AS872">
        <v>1.4</v>
      </c>
      <c r="AT872" t="s">
        <v>362</v>
      </c>
      <c r="AU872" t="s">
        <v>99</v>
      </c>
      <c r="AV872" t="s">
        <v>20733</v>
      </c>
    </row>
    <row r="873" spans="1:48">
      <c r="A873" s="1">
        <f>HYPERLINK("https://lsnyc.legalserver.org/matter/dynamic-profile/view/1899581","19-1899581")</f>
        <v>0</v>
      </c>
      <c r="B873" t="s">
        <v>174</v>
      </c>
      <c r="C873" t="s">
        <v>257</v>
      </c>
      <c r="D873" t="s">
        <v>418</v>
      </c>
      <c r="E873" t="s">
        <v>370</v>
      </c>
      <c r="F873" t="s">
        <v>1209</v>
      </c>
      <c r="G873" t="s">
        <v>3699</v>
      </c>
      <c r="H873" t="s">
        <v>6242</v>
      </c>
      <c r="I873" t="s">
        <v>8315</v>
      </c>
      <c r="J873" t="s">
        <v>9065</v>
      </c>
      <c r="K873">
        <v>10454</v>
      </c>
      <c r="L873" t="s">
        <v>9094</v>
      </c>
      <c r="M873" t="s">
        <v>9095</v>
      </c>
      <c r="O873" t="s">
        <v>9121</v>
      </c>
      <c r="P873" t="s">
        <v>11167</v>
      </c>
      <c r="Q873" t="s">
        <v>11173</v>
      </c>
      <c r="R873" t="s">
        <v>11180</v>
      </c>
      <c r="S873" t="s">
        <v>9096</v>
      </c>
      <c r="T873" t="s">
        <v>11183</v>
      </c>
      <c r="V873" t="s">
        <v>785</v>
      </c>
      <c r="W873">
        <v>400</v>
      </c>
      <c r="X873" t="s">
        <v>11333</v>
      </c>
      <c r="Y873" t="s">
        <v>11340</v>
      </c>
      <c r="Z873" t="s">
        <v>11998</v>
      </c>
      <c r="AB873" t="s">
        <v>16449</v>
      </c>
      <c r="AC873">
        <v>0</v>
      </c>
      <c r="AD873" t="s">
        <v>15441</v>
      </c>
      <c r="AE873" t="s">
        <v>9144</v>
      </c>
      <c r="AF873">
        <v>0</v>
      </c>
      <c r="AG873">
        <v>2</v>
      </c>
      <c r="AH873">
        <v>0</v>
      </c>
      <c r="AI873">
        <v>35.28</v>
      </c>
      <c r="AL873" t="s">
        <v>19615</v>
      </c>
      <c r="AM873">
        <v>5966.4</v>
      </c>
      <c r="AS873">
        <v>3.9</v>
      </c>
      <c r="AT873" t="s">
        <v>370</v>
      </c>
      <c r="AU873" t="s">
        <v>174</v>
      </c>
      <c r="AV873" t="s">
        <v>20733</v>
      </c>
    </row>
    <row r="874" spans="1:48">
      <c r="A874" s="1">
        <f>HYPERLINK("https://lsnyc.legalserver.org/matter/dynamic-profile/view/1833670","17-1833670")</f>
        <v>0</v>
      </c>
      <c r="B874" t="s">
        <v>141</v>
      </c>
      <c r="C874" t="s">
        <v>257</v>
      </c>
      <c r="D874" t="s">
        <v>668</v>
      </c>
      <c r="E874" t="s">
        <v>395</v>
      </c>
      <c r="F874" t="s">
        <v>1287</v>
      </c>
      <c r="G874" t="s">
        <v>3815</v>
      </c>
      <c r="H874" t="s">
        <v>6227</v>
      </c>
      <c r="I874" t="s">
        <v>8153</v>
      </c>
      <c r="J874" t="s">
        <v>9067</v>
      </c>
      <c r="K874">
        <v>10034</v>
      </c>
      <c r="L874" t="s">
        <v>9094</v>
      </c>
      <c r="M874" t="s">
        <v>9095</v>
      </c>
      <c r="N874" t="s">
        <v>9520</v>
      </c>
      <c r="O874" t="s">
        <v>11128</v>
      </c>
      <c r="P874" t="s">
        <v>11165</v>
      </c>
      <c r="Q874" t="s">
        <v>11174</v>
      </c>
      <c r="R874" t="s">
        <v>11180</v>
      </c>
      <c r="S874" t="s">
        <v>9096</v>
      </c>
      <c r="T874" t="s">
        <v>11183</v>
      </c>
      <c r="V874" t="s">
        <v>771</v>
      </c>
      <c r="W874">
        <v>996</v>
      </c>
      <c r="X874" t="s">
        <v>11335</v>
      </c>
      <c r="Y874" t="s">
        <v>11338</v>
      </c>
      <c r="Z874" t="s">
        <v>11982</v>
      </c>
      <c r="AB874" t="s">
        <v>16434</v>
      </c>
      <c r="AC874">
        <v>85</v>
      </c>
      <c r="AD874" t="s">
        <v>19566</v>
      </c>
      <c r="AE874" t="s">
        <v>9144</v>
      </c>
      <c r="AF874">
        <v>30</v>
      </c>
      <c r="AG874">
        <v>1</v>
      </c>
      <c r="AH874">
        <v>0</v>
      </c>
      <c r="AI874">
        <v>35.32</v>
      </c>
      <c r="AL874" t="s">
        <v>19614</v>
      </c>
      <c r="AM874">
        <v>4260</v>
      </c>
      <c r="AS874">
        <v>96.31999999999999</v>
      </c>
      <c r="AT874" t="s">
        <v>395</v>
      </c>
      <c r="AU874" t="s">
        <v>20657</v>
      </c>
    </row>
    <row r="875" spans="1:48">
      <c r="A875" s="1">
        <f>HYPERLINK("https://lsnyc.legalserver.org/matter/dynamic-profile/view/1912808","19-1912808")</f>
        <v>0</v>
      </c>
      <c r="B875" t="s">
        <v>69</v>
      </c>
      <c r="C875" t="s">
        <v>257</v>
      </c>
      <c r="D875" t="s">
        <v>563</v>
      </c>
      <c r="E875" t="s">
        <v>395</v>
      </c>
      <c r="F875" t="s">
        <v>1231</v>
      </c>
      <c r="G875" t="s">
        <v>3497</v>
      </c>
      <c r="H875" t="s">
        <v>6243</v>
      </c>
      <c r="J875" t="s">
        <v>9059</v>
      </c>
      <c r="K875">
        <v>11233</v>
      </c>
      <c r="L875" t="s">
        <v>9094</v>
      </c>
      <c r="M875" t="s">
        <v>9095</v>
      </c>
      <c r="N875" t="s">
        <v>9121</v>
      </c>
      <c r="O875" t="s">
        <v>11139</v>
      </c>
      <c r="P875" t="s">
        <v>11164</v>
      </c>
      <c r="Q875" t="s">
        <v>11172</v>
      </c>
      <c r="R875" t="s">
        <v>11180</v>
      </c>
      <c r="S875" t="s">
        <v>9096</v>
      </c>
      <c r="T875" t="s">
        <v>11183</v>
      </c>
      <c r="U875" t="s">
        <v>11201</v>
      </c>
      <c r="V875" t="s">
        <v>563</v>
      </c>
      <c r="W875">
        <v>1588</v>
      </c>
      <c r="X875" t="s">
        <v>11332</v>
      </c>
      <c r="Y875" t="s">
        <v>11338</v>
      </c>
      <c r="Z875" t="s">
        <v>11999</v>
      </c>
      <c r="AA875" t="s">
        <v>15445</v>
      </c>
      <c r="AB875" t="s">
        <v>16450</v>
      </c>
      <c r="AC875">
        <v>19</v>
      </c>
      <c r="AE875" t="s">
        <v>19580</v>
      </c>
      <c r="AF875">
        <v>6</v>
      </c>
      <c r="AG875">
        <v>1</v>
      </c>
      <c r="AH875">
        <v>3</v>
      </c>
      <c r="AI875">
        <v>35.4</v>
      </c>
      <c r="AL875" t="s">
        <v>19614</v>
      </c>
      <c r="AM875">
        <v>9116</v>
      </c>
      <c r="AS875">
        <v>0.75</v>
      </c>
      <c r="AT875" t="s">
        <v>395</v>
      </c>
      <c r="AU875" t="s">
        <v>95</v>
      </c>
      <c r="AV875" t="s">
        <v>20733</v>
      </c>
    </row>
    <row r="876" spans="1:48">
      <c r="A876" s="1">
        <f>HYPERLINK("https://lsnyc.legalserver.org/matter/dynamic-profile/view/1904250","19-1904250")</f>
        <v>0</v>
      </c>
      <c r="B876" t="s">
        <v>59</v>
      </c>
      <c r="C876" t="s">
        <v>257</v>
      </c>
      <c r="D876" t="s">
        <v>312</v>
      </c>
      <c r="E876" t="s">
        <v>457</v>
      </c>
      <c r="F876" t="s">
        <v>1664</v>
      </c>
      <c r="G876" t="s">
        <v>3827</v>
      </c>
      <c r="H876" t="s">
        <v>6244</v>
      </c>
      <c r="I876" t="s">
        <v>8170</v>
      </c>
      <c r="J876" t="s">
        <v>9038</v>
      </c>
      <c r="K876">
        <v>11691</v>
      </c>
      <c r="L876" t="s">
        <v>9094</v>
      </c>
      <c r="M876" t="s">
        <v>9095</v>
      </c>
      <c r="N876" t="s">
        <v>9521</v>
      </c>
      <c r="O876" t="s">
        <v>11129</v>
      </c>
      <c r="P876" t="s">
        <v>11165</v>
      </c>
      <c r="Q876" t="s">
        <v>11174</v>
      </c>
      <c r="R876" t="s">
        <v>11180</v>
      </c>
      <c r="S876" t="s">
        <v>9096</v>
      </c>
      <c r="T876" t="s">
        <v>11183</v>
      </c>
      <c r="U876" t="s">
        <v>11198</v>
      </c>
      <c r="V876" t="s">
        <v>312</v>
      </c>
      <c r="W876">
        <v>208</v>
      </c>
      <c r="X876" t="s">
        <v>11331</v>
      </c>
      <c r="Y876" t="s">
        <v>11342</v>
      </c>
      <c r="Z876" t="s">
        <v>12000</v>
      </c>
      <c r="AB876" t="s">
        <v>16451</v>
      </c>
      <c r="AC876">
        <v>53</v>
      </c>
      <c r="AD876" t="s">
        <v>15441</v>
      </c>
      <c r="AE876" t="s">
        <v>19580</v>
      </c>
      <c r="AF876">
        <v>30</v>
      </c>
      <c r="AG876">
        <v>2</v>
      </c>
      <c r="AH876">
        <v>2</v>
      </c>
      <c r="AI876">
        <v>35.42</v>
      </c>
      <c r="AL876" t="s">
        <v>19614</v>
      </c>
      <c r="AM876">
        <v>9120</v>
      </c>
      <c r="AO876" t="s">
        <v>20294</v>
      </c>
      <c r="AP876" t="s">
        <v>20312</v>
      </c>
      <c r="AQ876" t="s">
        <v>20369</v>
      </c>
      <c r="AR876" t="s">
        <v>20424</v>
      </c>
      <c r="AS876">
        <v>5.5</v>
      </c>
      <c r="AT876" t="s">
        <v>329</v>
      </c>
      <c r="AU876" t="s">
        <v>59</v>
      </c>
      <c r="AV876" t="s">
        <v>20733</v>
      </c>
    </row>
    <row r="877" spans="1:48">
      <c r="A877" s="1">
        <f>HYPERLINK("https://lsnyc.legalserver.org/matter/dynamic-profile/view/1904251","19-1904251")</f>
        <v>0</v>
      </c>
      <c r="B877" t="s">
        <v>54</v>
      </c>
      <c r="C877" t="s">
        <v>257</v>
      </c>
      <c r="D877" t="s">
        <v>312</v>
      </c>
      <c r="E877" t="s">
        <v>328</v>
      </c>
      <c r="F877" t="s">
        <v>1664</v>
      </c>
      <c r="G877" t="s">
        <v>3827</v>
      </c>
      <c r="H877" t="s">
        <v>6244</v>
      </c>
      <c r="I877" t="s">
        <v>8170</v>
      </c>
      <c r="J877" t="s">
        <v>9038</v>
      </c>
      <c r="K877">
        <v>11691</v>
      </c>
      <c r="L877" t="s">
        <v>9094</v>
      </c>
      <c r="M877" t="s">
        <v>9095</v>
      </c>
      <c r="O877" t="s">
        <v>11131</v>
      </c>
      <c r="P877" t="s">
        <v>11166</v>
      </c>
      <c r="Q877" t="s">
        <v>11177</v>
      </c>
      <c r="R877" t="s">
        <v>11180</v>
      </c>
      <c r="S877" t="s">
        <v>9096</v>
      </c>
      <c r="T877" t="s">
        <v>11184</v>
      </c>
      <c r="U877" t="s">
        <v>11198</v>
      </c>
      <c r="W877">
        <v>208</v>
      </c>
      <c r="X877" t="s">
        <v>11331</v>
      </c>
      <c r="Y877" t="s">
        <v>11342</v>
      </c>
      <c r="Z877" t="s">
        <v>12000</v>
      </c>
      <c r="AC877">
        <v>53</v>
      </c>
      <c r="AD877" t="s">
        <v>15441</v>
      </c>
      <c r="AE877" t="s">
        <v>19580</v>
      </c>
      <c r="AF877">
        <v>0</v>
      </c>
      <c r="AG877">
        <v>2</v>
      </c>
      <c r="AH877">
        <v>2</v>
      </c>
      <c r="AI877">
        <v>35.42</v>
      </c>
      <c r="AL877" t="s">
        <v>19614</v>
      </c>
      <c r="AM877">
        <v>9120</v>
      </c>
      <c r="AO877" t="s">
        <v>20294</v>
      </c>
      <c r="AP877" t="s">
        <v>20309</v>
      </c>
      <c r="AQ877" t="s">
        <v>20369</v>
      </c>
      <c r="AR877" t="s">
        <v>20425</v>
      </c>
      <c r="AS877">
        <v>1.15</v>
      </c>
      <c r="AT877" t="s">
        <v>457</v>
      </c>
      <c r="AU877" t="s">
        <v>59</v>
      </c>
      <c r="AV877" t="s">
        <v>20733</v>
      </c>
    </row>
    <row r="878" spans="1:48">
      <c r="A878" s="1">
        <f>HYPERLINK("https://lsnyc.legalserver.org/matter/dynamic-profile/view/1909085","19-1909085")</f>
        <v>0</v>
      </c>
      <c r="B878" t="s">
        <v>70</v>
      </c>
      <c r="C878" t="s">
        <v>256</v>
      </c>
      <c r="D878" t="s">
        <v>669</v>
      </c>
      <c r="F878" t="s">
        <v>1665</v>
      </c>
      <c r="G878" t="s">
        <v>3828</v>
      </c>
      <c r="H878" t="s">
        <v>5750</v>
      </c>
      <c r="I878" t="s">
        <v>8207</v>
      </c>
      <c r="J878" t="s">
        <v>9059</v>
      </c>
      <c r="K878">
        <v>11233</v>
      </c>
      <c r="L878" t="s">
        <v>9094</v>
      </c>
      <c r="M878" t="s">
        <v>9095</v>
      </c>
      <c r="N878" t="s">
        <v>9147</v>
      </c>
      <c r="O878" t="s">
        <v>11134</v>
      </c>
      <c r="P878" t="s">
        <v>11168</v>
      </c>
      <c r="R878" t="s">
        <v>11180</v>
      </c>
      <c r="S878" t="s">
        <v>9094</v>
      </c>
      <c r="T878" t="s">
        <v>11183</v>
      </c>
      <c r="U878" t="s">
        <v>11201</v>
      </c>
      <c r="V878" t="s">
        <v>11207</v>
      </c>
      <c r="W878">
        <v>840</v>
      </c>
      <c r="X878" t="s">
        <v>11332</v>
      </c>
      <c r="Y878" t="s">
        <v>11157</v>
      </c>
      <c r="Z878" t="s">
        <v>12001</v>
      </c>
      <c r="AC878">
        <v>359</v>
      </c>
      <c r="AD878" t="s">
        <v>19566</v>
      </c>
      <c r="AF878">
        <v>20</v>
      </c>
      <c r="AG878">
        <v>2</v>
      </c>
      <c r="AH878">
        <v>0</v>
      </c>
      <c r="AI878">
        <v>35.48</v>
      </c>
      <c r="AL878" t="s">
        <v>19614</v>
      </c>
      <c r="AM878">
        <v>6000</v>
      </c>
      <c r="AN878" t="s">
        <v>19741</v>
      </c>
      <c r="AS878">
        <v>0</v>
      </c>
      <c r="AU878" t="s">
        <v>79</v>
      </c>
      <c r="AV878" t="s">
        <v>9144</v>
      </c>
    </row>
    <row r="879" spans="1:48">
      <c r="A879" s="1">
        <f>HYPERLINK("https://lsnyc.legalserver.org/matter/dynamic-profile/view/1906315","19-1906315")</f>
        <v>0</v>
      </c>
      <c r="B879" t="s">
        <v>72</v>
      </c>
      <c r="C879" t="s">
        <v>256</v>
      </c>
      <c r="D879" t="s">
        <v>372</v>
      </c>
      <c r="F879" t="s">
        <v>1213</v>
      </c>
      <c r="G879" t="s">
        <v>3829</v>
      </c>
      <c r="H879" t="s">
        <v>6245</v>
      </c>
      <c r="I879" t="s">
        <v>8351</v>
      </c>
      <c r="J879" t="s">
        <v>9059</v>
      </c>
      <c r="K879">
        <v>11233</v>
      </c>
      <c r="L879" t="s">
        <v>9094</v>
      </c>
      <c r="M879" t="s">
        <v>9095</v>
      </c>
      <c r="N879" t="s">
        <v>9522</v>
      </c>
      <c r="O879" t="s">
        <v>11129</v>
      </c>
      <c r="R879" t="s">
        <v>11180</v>
      </c>
      <c r="S879" t="s">
        <v>9096</v>
      </c>
      <c r="T879" t="s">
        <v>11183</v>
      </c>
      <c r="U879" t="s">
        <v>11201</v>
      </c>
      <c r="V879" t="s">
        <v>394</v>
      </c>
      <c r="W879">
        <v>1500</v>
      </c>
      <c r="X879" t="s">
        <v>11332</v>
      </c>
      <c r="Y879" t="s">
        <v>11340</v>
      </c>
      <c r="Z879" t="s">
        <v>12002</v>
      </c>
      <c r="AA879" t="s">
        <v>9171</v>
      </c>
      <c r="AB879" t="s">
        <v>16452</v>
      </c>
      <c r="AC879">
        <v>3</v>
      </c>
      <c r="AD879" t="s">
        <v>19565</v>
      </c>
      <c r="AE879" t="s">
        <v>19580</v>
      </c>
      <c r="AF879">
        <v>19</v>
      </c>
      <c r="AG879">
        <v>2</v>
      </c>
      <c r="AH879">
        <v>0</v>
      </c>
      <c r="AI879">
        <v>35.48</v>
      </c>
      <c r="AL879" t="s">
        <v>19614</v>
      </c>
      <c r="AM879">
        <v>6000</v>
      </c>
      <c r="AS879">
        <v>2.75</v>
      </c>
      <c r="AT879" t="s">
        <v>288</v>
      </c>
      <c r="AU879" t="s">
        <v>95</v>
      </c>
      <c r="AV879" t="s">
        <v>20733</v>
      </c>
    </row>
    <row r="880" spans="1:48">
      <c r="A880" s="1">
        <f>HYPERLINK("https://lsnyc.legalserver.org/matter/dynamic-profile/view/1912091","19-1912091")</f>
        <v>0</v>
      </c>
      <c r="B880" t="s">
        <v>115</v>
      </c>
      <c r="C880" t="s">
        <v>256</v>
      </c>
      <c r="D880" t="s">
        <v>404</v>
      </c>
      <c r="F880" t="s">
        <v>1666</v>
      </c>
      <c r="G880" t="s">
        <v>3830</v>
      </c>
      <c r="H880" t="s">
        <v>6246</v>
      </c>
      <c r="I880" t="s">
        <v>8197</v>
      </c>
      <c r="J880" t="s">
        <v>9065</v>
      </c>
      <c r="K880">
        <v>10452</v>
      </c>
      <c r="L880" t="s">
        <v>9094</v>
      </c>
      <c r="M880" t="s">
        <v>9095</v>
      </c>
      <c r="N880" t="s">
        <v>9523</v>
      </c>
      <c r="O880" t="s">
        <v>11129</v>
      </c>
      <c r="R880" t="s">
        <v>11180</v>
      </c>
      <c r="S880" t="s">
        <v>9096</v>
      </c>
      <c r="T880" t="s">
        <v>11183</v>
      </c>
      <c r="W880">
        <v>1067.92</v>
      </c>
      <c r="X880" t="s">
        <v>11333</v>
      </c>
      <c r="Y880" t="s">
        <v>11345</v>
      </c>
      <c r="Z880" t="s">
        <v>12003</v>
      </c>
      <c r="AB880" t="s">
        <v>16453</v>
      </c>
      <c r="AC880">
        <v>54</v>
      </c>
      <c r="AD880" t="s">
        <v>19566</v>
      </c>
      <c r="AE880" t="s">
        <v>9144</v>
      </c>
      <c r="AF880">
        <v>20</v>
      </c>
      <c r="AG880">
        <v>2</v>
      </c>
      <c r="AH880">
        <v>0</v>
      </c>
      <c r="AI880">
        <v>35.48</v>
      </c>
      <c r="AL880" t="s">
        <v>19614</v>
      </c>
      <c r="AM880">
        <v>6000</v>
      </c>
      <c r="AS880">
        <v>16</v>
      </c>
      <c r="AT880" t="s">
        <v>321</v>
      </c>
      <c r="AU880" t="s">
        <v>220</v>
      </c>
    </row>
    <row r="881" spans="1:48">
      <c r="A881" s="1">
        <f>HYPERLINK("https://lsnyc.legalserver.org/matter/dynamic-profile/view/1887422","19-1887422")</f>
        <v>0</v>
      </c>
      <c r="B881" t="s">
        <v>74</v>
      </c>
      <c r="C881" t="s">
        <v>256</v>
      </c>
      <c r="D881" t="s">
        <v>604</v>
      </c>
      <c r="F881" t="s">
        <v>1667</v>
      </c>
      <c r="G881" t="s">
        <v>3819</v>
      </c>
      <c r="H881" t="s">
        <v>6247</v>
      </c>
      <c r="I881">
        <v>2</v>
      </c>
      <c r="J881" t="s">
        <v>9059</v>
      </c>
      <c r="K881">
        <v>11233</v>
      </c>
      <c r="L881" t="s">
        <v>9094</v>
      </c>
      <c r="M881" t="s">
        <v>9094</v>
      </c>
      <c r="N881" t="s">
        <v>9524</v>
      </c>
      <c r="O881" t="s">
        <v>11128</v>
      </c>
      <c r="P881" t="s">
        <v>11167</v>
      </c>
      <c r="R881" t="s">
        <v>11180</v>
      </c>
      <c r="S881" t="s">
        <v>9096</v>
      </c>
      <c r="T881" t="s">
        <v>11183</v>
      </c>
      <c r="V881" t="s">
        <v>616</v>
      </c>
      <c r="W881">
        <v>0</v>
      </c>
      <c r="X881" t="s">
        <v>11332</v>
      </c>
      <c r="Z881" t="s">
        <v>12004</v>
      </c>
      <c r="AB881" t="s">
        <v>16454</v>
      </c>
      <c r="AC881">
        <v>2</v>
      </c>
      <c r="AD881" t="s">
        <v>19565</v>
      </c>
      <c r="AE881" t="s">
        <v>9144</v>
      </c>
      <c r="AF881">
        <v>6</v>
      </c>
      <c r="AG881">
        <v>6</v>
      </c>
      <c r="AH881">
        <v>0</v>
      </c>
      <c r="AI881">
        <v>35.57</v>
      </c>
      <c r="AL881" t="s">
        <v>19614</v>
      </c>
      <c r="AM881">
        <v>12000</v>
      </c>
      <c r="AS881">
        <v>0</v>
      </c>
      <c r="AU881" t="s">
        <v>79</v>
      </c>
      <c r="AV881" t="s">
        <v>20733</v>
      </c>
    </row>
    <row r="882" spans="1:48">
      <c r="A882" s="1">
        <f>HYPERLINK("https://lsnyc.legalserver.org/matter/dynamic-profile/view/1862877","18-1862877")</f>
        <v>0</v>
      </c>
      <c r="B882" t="s">
        <v>72</v>
      </c>
      <c r="C882" t="s">
        <v>257</v>
      </c>
      <c r="D882" t="s">
        <v>439</v>
      </c>
      <c r="E882" t="s">
        <v>457</v>
      </c>
      <c r="F882" t="s">
        <v>1648</v>
      </c>
      <c r="G882" t="s">
        <v>3831</v>
      </c>
      <c r="H882" t="s">
        <v>6248</v>
      </c>
      <c r="I882" t="s">
        <v>8352</v>
      </c>
      <c r="J882" t="s">
        <v>9059</v>
      </c>
      <c r="K882">
        <v>11239</v>
      </c>
      <c r="L882" t="s">
        <v>9094</v>
      </c>
      <c r="M882" t="s">
        <v>9094</v>
      </c>
      <c r="N882" t="s">
        <v>9525</v>
      </c>
      <c r="O882" t="s">
        <v>11129</v>
      </c>
      <c r="P882" t="s">
        <v>11164</v>
      </c>
      <c r="Q882" t="s">
        <v>11172</v>
      </c>
      <c r="R882" t="s">
        <v>11180</v>
      </c>
      <c r="T882" t="s">
        <v>11183</v>
      </c>
      <c r="V882" t="s">
        <v>871</v>
      </c>
      <c r="W882">
        <v>792</v>
      </c>
      <c r="X882" t="s">
        <v>11332</v>
      </c>
      <c r="Y882" t="s">
        <v>11341</v>
      </c>
      <c r="Z882" t="s">
        <v>12005</v>
      </c>
      <c r="AA882" t="s">
        <v>15446</v>
      </c>
      <c r="AB882" t="s">
        <v>16455</v>
      </c>
      <c r="AC882">
        <v>40</v>
      </c>
      <c r="AD882" t="s">
        <v>19569</v>
      </c>
      <c r="AE882" t="s">
        <v>9144</v>
      </c>
      <c r="AF882">
        <v>10</v>
      </c>
      <c r="AG882">
        <v>1</v>
      </c>
      <c r="AH882">
        <v>0</v>
      </c>
      <c r="AI882">
        <v>35.68</v>
      </c>
      <c r="AL882" t="s">
        <v>19614</v>
      </c>
      <c r="AM882">
        <v>4332</v>
      </c>
      <c r="AN882" t="s">
        <v>19665</v>
      </c>
      <c r="AS882">
        <v>5.95</v>
      </c>
      <c r="AT882" t="s">
        <v>553</v>
      </c>
      <c r="AU882" t="s">
        <v>20632</v>
      </c>
      <c r="AV882" t="s">
        <v>20733</v>
      </c>
    </row>
    <row r="883" spans="1:48">
      <c r="A883" s="1">
        <f>HYPERLINK("https://lsnyc.legalserver.org/matter/dynamic-profile/view/1897904","19-1897904")</f>
        <v>0</v>
      </c>
      <c r="B883" t="s">
        <v>72</v>
      </c>
      <c r="C883" t="s">
        <v>256</v>
      </c>
      <c r="D883" t="s">
        <v>499</v>
      </c>
      <c r="F883" t="s">
        <v>1601</v>
      </c>
      <c r="G883" t="s">
        <v>3756</v>
      </c>
      <c r="H883" t="s">
        <v>6249</v>
      </c>
      <c r="I883">
        <v>254</v>
      </c>
      <c r="J883" t="s">
        <v>9059</v>
      </c>
      <c r="K883">
        <v>11208</v>
      </c>
      <c r="L883" t="s">
        <v>9094</v>
      </c>
      <c r="M883" t="s">
        <v>9094</v>
      </c>
      <c r="N883" t="s">
        <v>9526</v>
      </c>
      <c r="O883" t="s">
        <v>11129</v>
      </c>
      <c r="P883" t="s">
        <v>11165</v>
      </c>
      <c r="R883" t="s">
        <v>11180</v>
      </c>
      <c r="S883" t="s">
        <v>9096</v>
      </c>
      <c r="T883" t="s">
        <v>11183</v>
      </c>
      <c r="U883" t="s">
        <v>11201</v>
      </c>
      <c r="V883" t="s">
        <v>278</v>
      </c>
      <c r="W883">
        <v>1561</v>
      </c>
      <c r="X883" t="s">
        <v>11332</v>
      </c>
      <c r="Y883" t="s">
        <v>11157</v>
      </c>
      <c r="Z883" t="s">
        <v>12006</v>
      </c>
      <c r="AA883">
        <v>5428120</v>
      </c>
      <c r="AB883" t="s">
        <v>16456</v>
      </c>
      <c r="AC883">
        <v>266</v>
      </c>
      <c r="AD883" t="s">
        <v>19566</v>
      </c>
      <c r="AF883">
        <v>5</v>
      </c>
      <c r="AG883">
        <v>2</v>
      </c>
      <c r="AH883">
        <v>0</v>
      </c>
      <c r="AI883">
        <v>35.77</v>
      </c>
      <c r="AL883" t="s">
        <v>19614</v>
      </c>
      <c r="AM883">
        <v>6048</v>
      </c>
      <c r="AS883">
        <v>10.75</v>
      </c>
      <c r="AT883" t="s">
        <v>750</v>
      </c>
      <c r="AU883" t="s">
        <v>79</v>
      </c>
      <c r="AV883" t="s">
        <v>20733</v>
      </c>
    </row>
    <row r="884" spans="1:48">
      <c r="A884" s="1">
        <f>HYPERLINK("https://lsnyc.legalserver.org/matter/dynamic-profile/view/1915494","19-1915494")</f>
        <v>0</v>
      </c>
      <c r="B884" t="s">
        <v>113</v>
      </c>
      <c r="C884" t="s">
        <v>257</v>
      </c>
      <c r="D884" t="s">
        <v>594</v>
      </c>
      <c r="E884" t="s">
        <v>594</v>
      </c>
      <c r="F884" t="s">
        <v>1293</v>
      </c>
      <c r="G884" t="s">
        <v>3832</v>
      </c>
      <c r="H884" t="s">
        <v>6250</v>
      </c>
      <c r="J884" t="s">
        <v>9065</v>
      </c>
      <c r="K884">
        <v>10457</v>
      </c>
      <c r="L884" t="s">
        <v>9094</v>
      </c>
      <c r="M884" t="s">
        <v>9095</v>
      </c>
      <c r="O884" t="s">
        <v>9121</v>
      </c>
      <c r="P884" t="s">
        <v>11164</v>
      </c>
      <c r="Q884" t="s">
        <v>11172</v>
      </c>
      <c r="R884" t="s">
        <v>11180</v>
      </c>
      <c r="T884" t="s">
        <v>11183</v>
      </c>
      <c r="U884" t="s">
        <v>11201</v>
      </c>
      <c r="W884">
        <v>1100</v>
      </c>
      <c r="X884" t="s">
        <v>11333</v>
      </c>
      <c r="Y884" t="s">
        <v>11346</v>
      </c>
      <c r="Z884" t="s">
        <v>12007</v>
      </c>
      <c r="AB884" t="s">
        <v>16457</v>
      </c>
      <c r="AC884">
        <v>0</v>
      </c>
      <c r="AD884" t="s">
        <v>19570</v>
      </c>
      <c r="AF884">
        <v>3</v>
      </c>
      <c r="AG884">
        <v>2</v>
      </c>
      <c r="AH884">
        <v>3</v>
      </c>
      <c r="AI884">
        <v>35.8</v>
      </c>
      <c r="AL884" t="s">
        <v>19614</v>
      </c>
      <c r="AM884">
        <v>10800</v>
      </c>
      <c r="AS884">
        <v>0.5</v>
      </c>
      <c r="AT884" t="s">
        <v>594</v>
      </c>
      <c r="AU884" t="s">
        <v>113</v>
      </c>
      <c r="AV884" t="s">
        <v>20733</v>
      </c>
    </row>
    <row r="885" spans="1:48">
      <c r="A885" s="1">
        <f>HYPERLINK("https://lsnyc.legalserver.org/matter/dynamic-profile/view/1905305","19-1905305")</f>
        <v>0</v>
      </c>
      <c r="B885" t="s">
        <v>100</v>
      </c>
      <c r="C885" t="s">
        <v>256</v>
      </c>
      <c r="D885" t="s">
        <v>414</v>
      </c>
      <c r="F885" t="s">
        <v>1276</v>
      </c>
      <c r="G885" t="s">
        <v>3833</v>
      </c>
      <c r="H885" t="s">
        <v>6251</v>
      </c>
      <c r="I885">
        <v>3</v>
      </c>
      <c r="J885" t="s">
        <v>9065</v>
      </c>
      <c r="K885">
        <v>10459</v>
      </c>
      <c r="L885" t="s">
        <v>9094</v>
      </c>
      <c r="M885" t="s">
        <v>9095</v>
      </c>
      <c r="N885" t="s">
        <v>9527</v>
      </c>
      <c r="O885" t="s">
        <v>11128</v>
      </c>
      <c r="R885" t="s">
        <v>11180</v>
      </c>
      <c r="S885" t="s">
        <v>9096</v>
      </c>
      <c r="T885" t="s">
        <v>11183</v>
      </c>
      <c r="W885">
        <v>743.21</v>
      </c>
      <c r="X885" t="s">
        <v>11333</v>
      </c>
      <c r="Y885" t="s">
        <v>11346</v>
      </c>
      <c r="Z885" t="s">
        <v>12008</v>
      </c>
      <c r="AA885" t="s">
        <v>15447</v>
      </c>
      <c r="AB885" t="s">
        <v>16458</v>
      </c>
      <c r="AC885">
        <v>11</v>
      </c>
      <c r="AD885" t="s">
        <v>19566</v>
      </c>
      <c r="AE885" t="s">
        <v>9144</v>
      </c>
      <c r="AF885">
        <v>3</v>
      </c>
      <c r="AG885">
        <v>1</v>
      </c>
      <c r="AH885">
        <v>0</v>
      </c>
      <c r="AI885">
        <v>35.84</v>
      </c>
      <c r="AL885" t="s">
        <v>19614</v>
      </c>
      <c r="AM885">
        <v>4476</v>
      </c>
      <c r="AS885">
        <v>5.1</v>
      </c>
      <c r="AT885" t="s">
        <v>484</v>
      </c>
      <c r="AU885" t="s">
        <v>174</v>
      </c>
      <c r="AV885" t="s">
        <v>20733</v>
      </c>
    </row>
    <row r="886" spans="1:48">
      <c r="A886" s="1">
        <f>HYPERLINK("https://lsnyc.legalserver.org/matter/dynamic-profile/view/1837914","17-1837914")</f>
        <v>0</v>
      </c>
      <c r="B886" t="s">
        <v>93</v>
      </c>
      <c r="C886" t="s">
        <v>256</v>
      </c>
      <c r="D886" t="s">
        <v>670</v>
      </c>
      <c r="F886" t="s">
        <v>1241</v>
      </c>
      <c r="G886" t="s">
        <v>3834</v>
      </c>
      <c r="H886" t="s">
        <v>6252</v>
      </c>
      <c r="I886">
        <v>15</v>
      </c>
      <c r="J886" t="s">
        <v>9059</v>
      </c>
      <c r="K886">
        <v>11233</v>
      </c>
      <c r="L886" t="s">
        <v>9094</v>
      </c>
      <c r="M886" t="s">
        <v>9095</v>
      </c>
      <c r="N886" t="s">
        <v>9506</v>
      </c>
      <c r="O886" t="s">
        <v>11128</v>
      </c>
      <c r="P886" t="s">
        <v>11165</v>
      </c>
      <c r="R886" t="s">
        <v>11180</v>
      </c>
      <c r="S886" t="s">
        <v>9094</v>
      </c>
      <c r="T886" t="s">
        <v>11183</v>
      </c>
      <c r="V886" t="s">
        <v>1120</v>
      </c>
      <c r="W886">
        <v>226.34</v>
      </c>
      <c r="X886" t="s">
        <v>11332</v>
      </c>
      <c r="Y886" t="s">
        <v>11341</v>
      </c>
      <c r="Z886" t="s">
        <v>12009</v>
      </c>
      <c r="AB886" t="s">
        <v>16459</v>
      </c>
      <c r="AC886">
        <v>16</v>
      </c>
      <c r="AD886" t="s">
        <v>19566</v>
      </c>
      <c r="AF886">
        <v>48</v>
      </c>
      <c r="AG886">
        <v>4</v>
      </c>
      <c r="AH886">
        <v>0</v>
      </c>
      <c r="AI886">
        <v>35.85</v>
      </c>
      <c r="AL886" t="s">
        <v>19614</v>
      </c>
      <c r="AM886">
        <v>8820</v>
      </c>
      <c r="AS886">
        <v>0.35</v>
      </c>
      <c r="AT886" t="s">
        <v>792</v>
      </c>
      <c r="AU886" t="s">
        <v>59</v>
      </c>
    </row>
    <row r="887" spans="1:48">
      <c r="A887" s="1">
        <f>HYPERLINK("https://lsnyc.legalserver.org/matter/dynamic-profile/view/1874480","18-1874480")</f>
        <v>0</v>
      </c>
      <c r="B887" t="s">
        <v>52</v>
      </c>
      <c r="C887" t="s">
        <v>257</v>
      </c>
      <c r="D887" t="s">
        <v>260</v>
      </c>
      <c r="E887" t="s">
        <v>1129</v>
      </c>
      <c r="F887" t="s">
        <v>1668</v>
      </c>
      <c r="G887" t="s">
        <v>3756</v>
      </c>
      <c r="H887" t="s">
        <v>5691</v>
      </c>
      <c r="I887">
        <v>1110</v>
      </c>
      <c r="J887" t="s">
        <v>9037</v>
      </c>
      <c r="K887">
        <v>11692</v>
      </c>
      <c r="L887" t="s">
        <v>9094</v>
      </c>
      <c r="M887" t="s">
        <v>9094</v>
      </c>
      <c r="N887" t="s">
        <v>9528</v>
      </c>
      <c r="O887" t="s">
        <v>11129</v>
      </c>
      <c r="P887" t="s">
        <v>11165</v>
      </c>
      <c r="Q887" t="s">
        <v>11174</v>
      </c>
      <c r="R887" t="s">
        <v>11180</v>
      </c>
      <c r="S887" t="s">
        <v>9096</v>
      </c>
      <c r="T887" t="s">
        <v>11183</v>
      </c>
      <c r="U887" t="s">
        <v>11201</v>
      </c>
      <c r="V887" t="s">
        <v>260</v>
      </c>
      <c r="W887">
        <v>1500</v>
      </c>
      <c r="X887" t="s">
        <v>11331</v>
      </c>
      <c r="Y887" t="s">
        <v>11336</v>
      </c>
      <c r="Z887" t="s">
        <v>12010</v>
      </c>
      <c r="AA887" t="s">
        <v>15448</v>
      </c>
      <c r="AB887" t="s">
        <v>16460</v>
      </c>
      <c r="AC887">
        <v>217</v>
      </c>
      <c r="AD887" t="s">
        <v>15441</v>
      </c>
      <c r="AE887" t="s">
        <v>19586</v>
      </c>
      <c r="AF887">
        <v>3</v>
      </c>
      <c r="AG887">
        <v>2</v>
      </c>
      <c r="AH887">
        <v>2</v>
      </c>
      <c r="AI887">
        <v>35.86</v>
      </c>
      <c r="AL887" t="s">
        <v>19614</v>
      </c>
      <c r="AM887">
        <v>9000</v>
      </c>
      <c r="AO887" t="s">
        <v>20291</v>
      </c>
      <c r="AP887" t="s">
        <v>20327</v>
      </c>
      <c r="AQ887" t="s">
        <v>20369</v>
      </c>
      <c r="AR887" t="s">
        <v>20426</v>
      </c>
      <c r="AS887">
        <v>12.85</v>
      </c>
      <c r="AT887" t="s">
        <v>1129</v>
      </c>
      <c r="AU887" t="s">
        <v>81</v>
      </c>
    </row>
    <row r="888" spans="1:48">
      <c r="A888" s="1">
        <f>HYPERLINK("https://lsnyc.legalserver.org/matter/dynamic-profile/view/1902001","19-1902001")</f>
        <v>0</v>
      </c>
      <c r="B888" t="s">
        <v>70</v>
      </c>
      <c r="C888" t="s">
        <v>256</v>
      </c>
      <c r="D888" t="s">
        <v>319</v>
      </c>
      <c r="F888" t="s">
        <v>1518</v>
      </c>
      <c r="G888" t="s">
        <v>3835</v>
      </c>
      <c r="H888" t="s">
        <v>5749</v>
      </c>
      <c r="I888" t="s">
        <v>8353</v>
      </c>
      <c r="J888" t="s">
        <v>9059</v>
      </c>
      <c r="K888">
        <v>11233</v>
      </c>
      <c r="L888" t="s">
        <v>9094</v>
      </c>
      <c r="M888" t="s">
        <v>9095</v>
      </c>
      <c r="N888" t="s">
        <v>9146</v>
      </c>
      <c r="O888" t="s">
        <v>11134</v>
      </c>
      <c r="P888" t="s">
        <v>11168</v>
      </c>
      <c r="R888" t="s">
        <v>11180</v>
      </c>
      <c r="S888" t="s">
        <v>9094</v>
      </c>
      <c r="T888" t="s">
        <v>11183</v>
      </c>
      <c r="V888" t="s">
        <v>482</v>
      </c>
      <c r="W888">
        <v>1350</v>
      </c>
      <c r="X888" t="s">
        <v>11332</v>
      </c>
      <c r="Y888" t="s">
        <v>11157</v>
      </c>
      <c r="Z888" t="s">
        <v>12011</v>
      </c>
      <c r="AC888">
        <v>359</v>
      </c>
      <c r="AD888" t="s">
        <v>19566</v>
      </c>
      <c r="AF888">
        <v>20</v>
      </c>
      <c r="AG888">
        <v>3</v>
      </c>
      <c r="AH888">
        <v>1</v>
      </c>
      <c r="AI888">
        <v>35.93</v>
      </c>
      <c r="AL888" t="s">
        <v>19614</v>
      </c>
      <c r="AM888">
        <v>9252</v>
      </c>
      <c r="AN888" t="s">
        <v>19642</v>
      </c>
      <c r="AS888">
        <v>0</v>
      </c>
      <c r="AU888" t="s">
        <v>79</v>
      </c>
      <c r="AV888" t="s">
        <v>9144</v>
      </c>
    </row>
    <row r="889" spans="1:48">
      <c r="A889" s="1">
        <f>HYPERLINK("https://lsnyc.legalserver.org/matter/dynamic-profile/view/1902003","19-1902003")</f>
        <v>0</v>
      </c>
      <c r="B889" t="s">
        <v>70</v>
      </c>
      <c r="C889" t="s">
        <v>256</v>
      </c>
      <c r="D889" t="s">
        <v>319</v>
      </c>
      <c r="F889" t="s">
        <v>1518</v>
      </c>
      <c r="G889" t="s">
        <v>3835</v>
      </c>
      <c r="H889" t="s">
        <v>5749</v>
      </c>
      <c r="I889" t="s">
        <v>8353</v>
      </c>
      <c r="J889" t="s">
        <v>9059</v>
      </c>
      <c r="K889">
        <v>11233</v>
      </c>
      <c r="L889" t="s">
        <v>9094</v>
      </c>
      <c r="M889" t="s">
        <v>9095</v>
      </c>
      <c r="N889" t="s">
        <v>9121</v>
      </c>
      <c r="O889" t="s">
        <v>11137</v>
      </c>
      <c r="P889" t="s">
        <v>11167</v>
      </c>
      <c r="R889" t="s">
        <v>11180</v>
      </c>
      <c r="S889" t="s">
        <v>9094</v>
      </c>
      <c r="T889" t="s">
        <v>11183</v>
      </c>
      <c r="V889" t="s">
        <v>749</v>
      </c>
      <c r="W889">
        <v>1350</v>
      </c>
      <c r="X889" t="s">
        <v>11332</v>
      </c>
      <c r="Y889" t="s">
        <v>11157</v>
      </c>
      <c r="Z889" t="s">
        <v>12011</v>
      </c>
      <c r="AC889">
        <v>359</v>
      </c>
      <c r="AD889" t="s">
        <v>19566</v>
      </c>
      <c r="AF889">
        <v>20</v>
      </c>
      <c r="AG889">
        <v>3</v>
      </c>
      <c r="AH889">
        <v>1</v>
      </c>
      <c r="AI889">
        <v>35.93</v>
      </c>
      <c r="AL889" t="s">
        <v>19614</v>
      </c>
      <c r="AM889">
        <v>9252</v>
      </c>
      <c r="AN889" t="s">
        <v>19742</v>
      </c>
      <c r="AS889">
        <v>0</v>
      </c>
      <c r="AU889" t="s">
        <v>79</v>
      </c>
      <c r="AV889" t="s">
        <v>9144</v>
      </c>
    </row>
    <row r="890" spans="1:48">
      <c r="A890" s="1">
        <f>HYPERLINK("https://lsnyc.legalserver.org/matter/dynamic-profile/view/1878163","18-1878163")</f>
        <v>0</v>
      </c>
      <c r="B890" t="s">
        <v>138</v>
      </c>
      <c r="C890" t="s">
        <v>256</v>
      </c>
      <c r="D890" t="s">
        <v>671</v>
      </c>
      <c r="F890" t="s">
        <v>1146</v>
      </c>
      <c r="G890" t="s">
        <v>3580</v>
      </c>
      <c r="H890" t="s">
        <v>6253</v>
      </c>
      <c r="I890" t="s">
        <v>8178</v>
      </c>
      <c r="J890" t="s">
        <v>9067</v>
      </c>
      <c r="K890">
        <v>10031</v>
      </c>
      <c r="L890" t="s">
        <v>9094</v>
      </c>
      <c r="M890" t="s">
        <v>9094</v>
      </c>
      <c r="N890" t="s">
        <v>9529</v>
      </c>
      <c r="O890" t="s">
        <v>11128</v>
      </c>
      <c r="P890" t="s">
        <v>11165</v>
      </c>
      <c r="R890" t="s">
        <v>11180</v>
      </c>
      <c r="S890" t="s">
        <v>9096</v>
      </c>
      <c r="T890" t="s">
        <v>11183</v>
      </c>
      <c r="U890" t="s">
        <v>11201</v>
      </c>
      <c r="V890" t="s">
        <v>671</v>
      </c>
      <c r="W890">
        <v>572.08</v>
      </c>
      <c r="X890" t="s">
        <v>11335</v>
      </c>
      <c r="Y890" t="s">
        <v>11336</v>
      </c>
      <c r="Z890" t="s">
        <v>12012</v>
      </c>
      <c r="AB890" t="s">
        <v>16461</v>
      </c>
      <c r="AC890">
        <v>13</v>
      </c>
      <c r="AD890" t="s">
        <v>19566</v>
      </c>
      <c r="AE890" t="s">
        <v>9144</v>
      </c>
      <c r="AF890">
        <v>28</v>
      </c>
      <c r="AG890">
        <v>4</v>
      </c>
      <c r="AH890">
        <v>5</v>
      </c>
      <c r="AI890">
        <v>35.97</v>
      </c>
      <c r="AL890" t="s">
        <v>19615</v>
      </c>
      <c r="AM890">
        <v>16800</v>
      </c>
      <c r="AP890" t="s">
        <v>20309</v>
      </c>
      <c r="AQ890" t="s">
        <v>20369</v>
      </c>
      <c r="AR890" t="s">
        <v>20427</v>
      </c>
      <c r="AS890">
        <v>6.7</v>
      </c>
      <c r="AT890" t="s">
        <v>629</v>
      </c>
      <c r="AU890" t="s">
        <v>130</v>
      </c>
    </row>
    <row r="891" spans="1:48">
      <c r="A891" s="1">
        <f>HYPERLINK("https://lsnyc.legalserver.org/matter/dynamic-profile/view/1872640","18-1872640")</f>
        <v>0</v>
      </c>
      <c r="B891" t="s">
        <v>56</v>
      </c>
      <c r="C891" t="s">
        <v>256</v>
      </c>
      <c r="D891" t="s">
        <v>672</v>
      </c>
      <c r="F891" t="s">
        <v>1669</v>
      </c>
      <c r="G891" t="s">
        <v>3427</v>
      </c>
      <c r="H891" t="s">
        <v>6254</v>
      </c>
      <c r="I891" t="s">
        <v>8282</v>
      </c>
      <c r="J891" t="s">
        <v>9037</v>
      </c>
      <c r="K891">
        <v>11692</v>
      </c>
      <c r="L891" t="s">
        <v>9094</v>
      </c>
      <c r="M891" t="s">
        <v>9094</v>
      </c>
      <c r="N891" t="s">
        <v>9530</v>
      </c>
      <c r="O891" t="s">
        <v>11128</v>
      </c>
      <c r="P891" t="s">
        <v>11165</v>
      </c>
      <c r="R891" t="s">
        <v>11180</v>
      </c>
      <c r="S891" t="s">
        <v>9096</v>
      </c>
      <c r="T891" t="s">
        <v>11183</v>
      </c>
      <c r="U891" t="s">
        <v>11201</v>
      </c>
      <c r="V891" t="s">
        <v>672</v>
      </c>
      <c r="W891">
        <v>791</v>
      </c>
      <c r="X891" t="s">
        <v>11331</v>
      </c>
      <c r="Y891" t="s">
        <v>11336</v>
      </c>
      <c r="Z891" t="s">
        <v>12013</v>
      </c>
      <c r="AA891" t="s">
        <v>15449</v>
      </c>
      <c r="AB891" t="s">
        <v>16462</v>
      </c>
      <c r="AC891">
        <v>2</v>
      </c>
      <c r="AD891" t="s">
        <v>19565</v>
      </c>
      <c r="AE891" t="s">
        <v>9144</v>
      </c>
      <c r="AF891">
        <v>8</v>
      </c>
      <c r="AG891">
        <v>1</v>
      </c>
      <c r="AH891">
        <v>3</v>
      </c>
      <c r="AI891">
        <v>36</v>
      </c>
      <c r="AL891" t="s">
        <v>19614</v>
      </c>
      <c r="AM891">
        <v>9036</v>
      </c>
      <c r="AO891" t="s">
        <v>20293</v>
      </c>
      <c r="AP891" t="s">
        <v>20309</v>
      </c>
      <c r="AQ891" t="s">
        <v>20369</v>
      </c>
      <c r="AR891" t="s">
        <v>20428</v>
      </c>
      <c r="AS891">
        <v>2.15</v>
      </c>
      <c r="AT891" t="s">
        <v>817</v>
      </c>
      <c r="AU891" t="s">
        <v>81</v>
      </c>
    </row>
    <row r="892" spans="1:48">
      <c r="A892" s="1">
        <f>HYPERLINK("https://lsnyc.legalserver.org/matter/dynamic-profile/view/1898448","19-1898448")</f>
        <v>0</v>
      </c>
      <c r="B892" t="s">
        <v>168</v>
      </c>
      <c r="C892" t="s">
        <v>257</v>
      </c>
      <c r="D892" t="s">
        <v>299</v>
      </c>
      <c r="E892" t="s">
        <v>442</v>
      </c>
      <c r="F892" t="s">
        <v>1323</v>
      </c>
      <c r="G892" t="s">
        <v>3429</v>
      </c>
      <c r="H892" t="s">
        <v>6255</v>
      </c>
      <c r="I892" t="s">
        <v>8354</v>
      </c>
      <c r="J892" t="s">
        <v>9059</v>
      </c>
      <c r="K892">
        <v>11213</v>
      </c>
      <c r="L892" t="s">
        <v>9094</v>
      </c>
      <c r="M892" t="s">
        <v>9095</v>
      </c>
      <c r="N892" t="s">
        <v>9531</v>
      </c>
      <c r="O892" t="s">
        <v>11129</v>
      </c>
      <c r="P892" t="s">
        <v>11165</v>
      </c>
      <c r="Q892" t="s">
        <v>11174</v>
      </c>
      <c r="R892" t="s">
        <v>11180</v>
      </c>
      <c r="S892" t="s">
        <v>9096</v>
      </c>
      <c r="T892" t="s">
        <v>11183</v>
      </c>
      <c r="V892" t="s">
        <v>706</v>
      </c>
      <c r="W892">
        <v>659.4299999999999</v>
      </c>
      <c r="X892" t="s">
        <v>11332</v>
      </c>
      <c r="Y892" t="s">
        <v>11340</v>
      </c>
      <c r="Z892" t="s">
        <v>12014</v>
      </c>
      <c r="AA892" t="s">
        <v>15450</v>
      </c>
      <c r="AB892" t="s">
        <v>16463</v>
      </c>
      <c r="AC892">
        <v>8</v>
      </c>
      <c r="AD892" t="s">
        <v>19570</v>
      </c>
      <c r="AF892">
        <v>18</v>
      </c>
      <c r="AG892">
        <v>2</v>
      </c>
      <c r="AH892">
        <v>2</v>
      </c>
      <c r="AI892">
        <v>36.12</v>
      </c>
      <c r="AL892" t="s">
        <v>19614</v>
      </c>
      <c r="AM892">
        <v>9300</v>
      </c>
      <c r="AO892" t="s">
        <v>20290</v>
      </c>
      <c r="AP892" t="s">
        <v>20313</v>
      </c>
      <c r="AQ892" t="s">
        <v>20369</v>
      </c>
      <c r="AR892" t="s">
        <v>20423</v>
      </c>
      <c r="AS892">
        <v>13.15</v>
      </c>
      <c r="AT892" t="s">
        <v>442</v>
      </c>
      <c r="AU892" t="s">
        <v>200</v>
      </c>
      <c r="AV892" t="s">
        <v>20734</v>
      </c>
    </row>
    <row r="893" spans="1:48">
      <c r="A893" s="1">
        <f>HYPERLINK("https://lsnyc.legalserver.org/matter/dynamic-profile/view/1905013","19-1905013")</f>
        <v>0</v>
      </c>
      <c r="B893" t="s">
        <v>72</v>
      </c>
      <c r="C893" t="s">
        <v>256</v>
      </c>
      <c r="D893" t="s">
        <v>660</v>
      </c>
      <c r="F893" t="s">
        <v>1670</v>
      </c>
      <c r="G893" t="s">
        <v>3836</v>
      </c>
      <c r="H893" t="s">
        <v>6256</v>
      </c>
      <c r="I893" t="s">
        <v>8334</v>
      </c>
      <c r="J893" t="s">
        <v>9059</v>
      </c>
      <c r="K893">
        <v>11212</v>
      </c>
      <c r="L893" t="s">
        <v>9094</v>
      </c>
      <c r="M893" t="s">
        <v>9095</v>
      </c>
      <c r="N893" t="s">
        <v>9532</v>
      </c>
      <c r="O893" t="s">
        <v>11128</v>
      </c>
      <c r="P893" t="s">
        <v>11164</v>
      </c>
      <c r="R893" t="s">
        <v>11180</v>
      </c>
      <c r="S893" t="s">
        <v>9096</v>
      </c>
      <c r="T893" t="s">
        <v>11183</v>
      </c>
      <c r="V893" t="s">
        <v>493</v>
      </c>
      <c r="W893">
        <v>790</v>
      </c>
      <c r="X893" t="s">
        <v>11332</v>
      </c>
      <c r="Y893" t="s">
        <v>11348</v>
      </c>
      <c r="Z893" t="s">
        <v>12015</v>
      </c>
      <c r="AB893" t="s">
        <v>16464</v>
      </c>
      <c r="AC893">
        <v>2</v>
      </c>
      <c r="AD893" t="s">
        <v>19565</v>
      </c>
      <c r="AE893" t="s">
        <v>9144</v>
      </c>
      <c r="AF893">
        <v>5</v>
      </c>
      <c r="AG893">
        <v>1</v>
      </c>
      <c r="AH893">
        <v>0</v>
      </c>
      <c r="AI893">
        <v>36.12</v>
      </c>
      <c r="AL893" t="s">
        <v>19614</v>
      </c>
      <c r="AM893">
        <v>4512</v>
      </c>
      <c r="AS893">
        <v>8.25</v>
      </c>
      <c r="AT893" t="s">
        <v>551</v>
      </c>
      <c r="AU893" t="s">
        <v>20639</v>
      </c>
      <c r="AV893" t="s">
        <v>20733</v>
      </c>
    </row>
    <row r="894" spans="1:48">
      <c r="A894" s="1">
        <f>HYPERLINK("https://lsnyc.legalserver.org/matter/dynamic-profile/view/1901514","19-1901514")</f>
        <v>0</v>
      </c>
      <c r="B894" t="s">
        <v>83</v>
      </c>
      <c r="C894" t="s">
        <v>256</v>
      </c>
      <c r="D894" t="s">
        <v>559</v>
      </c>
      <c r="F894" t="s">
        <v>1450</v>
      </c>
      <c r="G894" t="s">
        <v>3837</v>
      </c>
      <c r="H894" t="s">
        <v>6257</v>
      </c>
      <c r="I894" t="s">
        <v>8140</v>
      </c>
      <c r="J894" t="s">
        <v>9059</v>
      </c>
      <c r="K894">
        <v>11225</v>
      </c>
      <c r="L894" t="s">
        <v>9094</v>
      </c>
      <c r="M894" t="s">
        <v>9095</v>
      </c>
      <c r="P894" t="s">
        <v>11166</v>
      </c>
      <c r="R894" t="s">
        <v>11180</v>
      </c>
      <c r="S894" t="s">
        <v>9094</v>
      </c>
      <c r="T894" t="s">
        <v>11183</v>
      </c>
      <c r="V894" t="s">
        <v>559</v>
      </c>
      <c r="W894">
        <v>0</v>
      </c>
      <c r="X894" t="s">
        <v>11332</v>
      </c>
      <c r="Z894" t="s">
        <v>12016</v>
      </c>
      <c r="AB894" t="s">
        <v>16465</v>
      </c>
      <c r="AC894">
        <v>0</v>
      </c>
      <c r="AF894">
        <v>0</v>
      </c>
      <c r="AG894">
        <v>4</v>
      </c>
      <c r="AH894">
        <v>0</v>
      </c>
      <c r="AI894">
        <v>36.25</v>
      </c>
      <c r="AL894" t="s">
        <v>19614</v>
      </c>
      <c r="AM894">
        <v>9335.16</v>
      </c>
      <c r="AS894">
        <v>0.6</v>
      </c>
      <c r="AT894" t="s">
        <v>806</v>
      </c>
      <c r="AU894" t="s">
        <v>215</v>
      </c>
      <c r="AV894" t="s">
        <v>20733</v>
      </c>
    </row>
    <row r="895" spans="1:48">
      <c r="A895" s="1">
        <f>HYPERLINK("https://lsnyc.legalserver.org/matter/dynamic-profile/view/1910849","19-1910849")</f>
        <v>0</v>
      </c>
      <c r="B895" t="s">
        <v>83</v>
      </c>
      <c r="C895" t="s">
        <v>256</v>
      </c>
      <c r="D895" t="s">
        <v>308</v>
      </c>
      <c r="F895" t="s">
        <v>1450</v>
      </c>
      <c r="G895" t="s">
        <v>3837</v>
      </c>
      <c r="H895" t="s">
        <v>6257</v>
      </c>
      <c r="I895" t="s">
        <v>8140</v>
      </c>
      <c r="J895" t="s">
        <v>9059</v>
      </c>
      <c r="K895">
        <v>11225</v>
      </c>
      <c r="L895" t="s">
        <v>9094</v>
      </c>
      <c r="M895" t="s">
        <v>9095</v>
      </c>
      <c r="P895" t="s">
        <v>11168</v>
      </c>
      <c r="R895" t="s">
        <v>11180</v>
      </c>
      <c r="S895" t="s">
        <v>9094</v>
      </c>
      <c r="T895" t="s">
        <v>11183</v>
      </c>
      <c r="V895" t="s">
        <v>435</v>
      </c>
      <c r="W895">
        <v>0</v>
      </c>
      <c r="X895" t="s">
        <v>11332</v>
      </c>
      <c r="Z895" t="s">
        <v>12016</v>
      </c>
      <c r="AB895" t="s">
        <v>16465</v>
      </c>
      <c r="AC895">
        <v>11</v>
      </c>
      <c r="AF895">
        <v>0</v>
      </c>
      <c r="AG895">
        <v>4</v>
      </c>
      <c r="AH895">
        <v>0</v>
      </c>
      <c r="AI895">
        <v>36.25</v>
      </c>
      <c r="AL895" t="s">
        <v>19614</v>
      </c>
      <c r="AM895">
        <v>9335.16</v>
      </c>
      <c r="AS895">
        <v>0</v>
      </c>
      <c r="AU895" t="s">
        <v>215</v>
      </c>
      <c r="AV895" t="s">
        <v>20733</v>
      </c>
    </row>
    <row r="896" spans="1:48">
      <c r="A896" s="1">
        <f>HYPERLINK("https://lsnyc.legalserver.org/matter/dynamic-profile/view/1866057","18-1866057")</f>
        <v>0</v>
      </c>
      <c r="B896" t="s">
        <v>111</v>
      </c>
      <c r="C896" t="s">
        <v>256</v>
      </c>
      <c r="D896" t="s">
        <v>673</v>
      </c>
      <c r="F896" t="s">
        <v>1671</v>
      </c>
      <c r="G896" t="s">
        <v>3838</v>
      </c>
      <c r="H896" t="s">
        <v>6258</v>
      </c>
      <c r="I896" t="s">
        <v>8124</v>
      </c>
      <c r="J896" t="s">
        <v>9065</v>
      </c>
      <c r="K896">
        <v>10453</v>
      </c>
      <c r="L896" t="s">
        <v>9094</v>
      </c>
      <c r="M896" t="s">
        <v>9095</v>
      </c>
      <c r="N896" t="s">
        <v>9533</v>
      </c>
      <c r="O896" t="s">
        <v>11130</v>
      </c>
      <c r="P896" t="s">
        <v>11165</v>
      </c>
      <c r="R896" t="s">
        <v>11180</v>
      </c>
      <c r="S896" t="s">
        <v>9096</v>
      </c>
      <c r="T896" t="s">
        <v>11183</v>
      </c>
      <c r="V896" t="s">
        <v>675</v>
      </c>
      <c r="W896">
        <v>1437.99</v>
      </c>
      <c r="X896" t="s">
        <v>11333</v>
      </c>
      <c r="Y896" t="s">
        <v>11340</v>
      </c>
      <c r="Z896" t="s">
        <v>12017</v>
      </c>
      <c r="AC896">
        <v>101</v>
      </c>
      <c r="AD896" t="s">
        <v>19566</v>
      </c>
      <c r="AE896" t="s">
        <v>19580</v>
      </c>
      <c r="AF896">
        <v>15</v>
      </c>
      <c r="AG896">
        <v>3</v>
      </c>
      <c r="AH896">
        <v>6</v>
      </c>
      <c r="AI896">
        <v>36.33</v>
      </c>
      <c r="AL896" t="s">
        <v>19614</v>
      </c>
      <c r="AM896">
        <v>16968</v>
      </c>
      <c r="AS896">
        <v>58.8</v>
      </c>
      <c r="AT896" t="s">
        <v>855</v>
      </c>
      <c r="AU896" t="s">
        <v>111</v>
      </c>
    </row>
    <row r="897" spans="1:48">
      <c r="A897" s="1">
        <f>HYPERLINK("https://lsnyc.legalserver.org/matter/dynamic-profile/view/1891847","19-1891847")</f>
        <v>0</v>
      </c>
      <c r="B897" t="s">
        <v>147</v>
      </c>
      <c r="C897" t="s">
        <v>256</v>
      </c>
      <c r="D897" t="s">
        <v>274</v>
      </c>
      <c r="F897" t="s">
        <v>1672</v>
      </c>
      <c r="G897" t="s">
        <v>3839</v>
      </c>
      <c r="H897" t="s">
        <v>6259</v>
      </c>
      <c r="J897" t="s">
        <v>9066</v>
      </c>
      <c r="K897">
        <v>10301</v>
      </c>
      <c r="L897" t="s">
        <v>9094</v>
      </c>
      <c r="M897" t="s">
        <v>9094</v>
      </c>
      <c r="N897" t="s">
        <v>9534</v>
      </c>
      <c r="O897" t="s">
        <v>11129</v>
      </c>
      <c r="P897" t="s">
        <v>11165</v>
      </c>
      <c r="R897" t="s">
        <v>11180</v>
      </c>
      <c r="S897" t="s">
        <v>9096</v>
      </c>
      <c r="T897" t="s">
        <v>11183</v>
      </c>
      <c r="U897" t="s">
        <v>11201</v>
      </c>
      <c r="V897" t="s">
        <v>274</v>
      </c>
      <c r="W897">
        <v>911</v>
      </c>
      <c r="X897" t="s">
        <v>11334</v>
      </c>
      <c r="Y897" t="s">
        <v>11157</v>
      </c>
      <c r="Z897" t="s">
        <v>12018</v>
      </c>
      <c r="AB897" t="s">
        <v>16466</v>
      </c>
      <c r="AC897">
        <v>20</v>
      </c>
      <c r="AD897" t="s">
        <v>19566</v>
      </c>
      <c r="AE897" t="s">
        <v>9144</v>
      </c>
      <c r="AF897">
        <v>3</v>
      </c>
      <c r="AG897">
        <v>2</v>
      </c>
      <c r="AH897">
        <v>0</v>
      </c>
      <c r="AI897">
        <v>36.33</v>
      </c>
      <c r="AL897" t="s">
        <v>19614</v>
      </c>
      <c r="AM897">
        <v>6144</v>
      </c>
      <c r="AS897">
        <v>14.1</v>
      </c>
      <c r="AT897" t="s">
        <v>1135</v>
      </c>
      <c r="AU897" t="s">
        <v>20654</v>
      </c>
    </row>
    <row r="898" spans="1:48">
      <c r="A898" s="1">
        <f>HYPERLINK("https://lsnyc.legalserver.org/matter/dynamic-profile/view/1865230","18-1865230")</f>
        <v>0</v>
      </c>
      <c r="B898" t="s">
        <v>111</v>
      </c>
      <c r="C898" t="s">
        <v>256</v>
      </c>
      <c r="D898" t="s">
        <v>674</v>
      </c>
      <c r="F898" t="s">
        <v>1673</v>
      </c>
      <c r="G898" t="s">
        <v>3840</v>
      </c>
      <c r="H898" t="s">
        <v>6260</v>
      </c>
      <c r="I898" t="s">
        <v>8196</v>
      </c>
      <c r="J898" t="s">
        <v>9065</v>
      </c>
      <c r="K898">
        <v>10452</v>
      </c>
      <c r="L898" t="s">
        <v>9094</v>
      </c>
      <c r="M898" t="s">
        <v>9095</v>
      </c>
      <c r="N898" t="s">
        <v>9407</v>
      </c>
      <c r="O898" t="s">
        <v>11135</v>
      </c>
      <c r="P898" t="s">
        <v>11168</v>
      </c>
      <c r="R898" t="s">
        <v>11180</v>
      </c>
      <c r="S898" t="s">
        <v>9094</v>
      </c>
      <c r="T898" t="s">
        <v>11183</v>
      </c>
      <c r="V898" t="s">
        <v>638</v>
      </c>
      <c r="W898">
        <v>1285</v>
      </c>
      <c r="X898" t="s">
        <v>11333</v>
      </c>
      <c r="Y898" t="s">
        <v>11340</v>
      </c>
      <c r="Z898" t="s">
        <v>12019</v>
      </c>
      <c r="AA898" t="s">
        <v>15451</v>
      </c>
      <c r="AB898" t="s">
        <v>16467</v>
      </c>
      <c r="AC898">
        <v>71</v>
      </c>
      <c r="AD898" t="s">
        <v>19566</v>
      </c>
      <c r="AE898" t="s">
        <v>9144</v>
      </c>
      <c r="AF898">
        <v>15</v>
      </c>
      <c r="AG898">
        <v>1</v>
      </c>
      <c r="AH898">
        <v>4</v>
      </c>
      <c r="AI898">
        <v>36.38</v>
      </c>
      <c r="AL898" t="s">
        <v>19632</v>
      </c>
      <c r="AM898">
        <v>10704</v>
      </c>
      <c r="AS898">
        <v>0</v>
      </c>
      <c r="AU898" t="s">
        <v>20647</v>
      </c>
    </row>
    <row r="899" spans="1:48">
      <c r="A899" s="1">
        <f>HYPERLINK("https://lsnyc.legalserver.org/matter/dynamic-profile/view/1872151","18-1872151")</f>
        <v>0</v>
      </c>
      <c r="B899" t="s">
        <v>111</v>
      </c>
      <c r="C899" t="s">
        <v>256</v>
      </c>
      <c r="D899" t="s">
        <v>675</v>
      </c>
      <c r="F899" t="s">
        <v>1673</v>
      </c>
      <c r="G899" t="s">
        <v>3840</v>
      </c>
      <c r="H899" t="s">
        <v>6260</v>
      </c>
      <c r="I899" t="s">
        <v>8196</v>
      </c>
      <c r="J899" t="s">
        <v>9065</v>
      </c>
      <c r="K899">
        <v>10452</v>
      </c>
      <c r="L899" t="s">
        <v>9094</v>
      </c>
      <c r="M899" t="s">
        <v>9095</v>
      </c>
      <c r="O899" t="s">
        <v>11135</v>
      </c>
      <c r="P899" t="s">
        <v>11168</v>
      </c>
      <c r="R899" t="s">
        <v>11180</v>
      </c>
      <c r="S899" t="s">
        <v>9094</v>
      </c>
      <c r="T899" t="s">
        <v>11183</v>
      </c>
      <c r="V899" t="s">
        <v>675</v>
      </c>
      <c r="W899">
        <v>1285</v>
      </c>
      <c r="X899" t="s">
        <v>11333</v>
      </c>
      <c r="Y899" t="s">
        <v>11340</v>
      </c>
      <c r="Z899" t="s">
        <v>12019</v>
      </c>
      <c r="AA899" t="s">
        <v>15451</v>
      </c>
      <c r="AB899" t="s">
        <v>16467</v>
      </c>
      <c r="AC899">
        <v>71</v>
      </c>
      <c r="AD899" t="s">
        <v>19566</v>
      </c>
      <c r="AE899" t="s">
        <v>9144</v>
      </c>
      <c r="AF899">
        <v>15</v>
      </c>
      <c r="AG899">
        <v>1</v>
      </c>
      <c r="AH899">
        <v>4</v>
      </c>
      <c r="AI899">
        <v>36.38</v>
      </c>
      <c r="AL899" t="s">
        <v>19632</v>
      </c>
      <c r="AM899">
        <v>10704</v>
      </c>
      <c r="AN899" t="s">
        <v>19743</v>
      </c>
      <c r="AS899">
        <v>0</v>
      </c>
      <c r="AU899" t="s">
        <v>20642</v>
      </c>
    </row>
    <row r="900" spans="1:48">
      <c r="A900" s="1">
        <f>HYPERLINK("https://lsnyc.legalserver.org/matter/dynamic-profile/view/1904151","19-1904151")</f>
        <v>0</v>
      </c>
      <c r="B900" t="s">
        <v>57</v>
      </c>
      <c r="C900" t="s">
        <v>256</v>
      </c>
      <c r="D900" t="s">
        <v>312</v>
      </c>
      <c r="F900" t="s">
        <v>1674</v>
      </c>
      <c r="G900" t="s">
        <v>3841</v>
      </c>
      <c r="H900" t="s">
        <v>6261</v>
      </c>
      <c r="I900" t="s">
        <v>8112</v>
      </c>
      <c r="J900" t="s">
        <v>9056</v>
      </c>
      <c r="K900">
        <v>11365</v>
      </c>
      <c r="L900" t="s">
        <v>9094</v>
      </c>
      <c r="M900" t="s">
        <v>9095</v>
      </c>
      <c r="N900" t="s">
        <v>9535</v>
      </c>
      <c r="O900" t="s">
        <v>11128</v>
      </c>
      <c r="P900" t="s">
        <v>11165</v>
      </c>
      <c r="R900" t="s">
        <v>11181</v>
      </c>
      <c r="S900" t="s">
        <v>9096</v>
      </c>
      <c r="T900" t="s">
        <v>11188</v>
      </c>
      <c r="U900" t="s">
        <v>11201</v>
      </c>
      <c r="V900" t="s">
        <v>312</v>
      </c>
      <c r="W900">
        <v>532</v>
      </c>
      <c r="X900" t="s">
        <v>11331</v>
      </c>
      <c r="Y900" t="s">
        <v>11337</v>
      </c>
      <c r="Z900" t="s">
        <v>12020</v>
      </c>
      <c r="AA900" t="s">
        <v>15452</v>
      </c>
      <c r="AB900" t="s">
        <v>16468</v>
      </c>
      <c r="AC900">
        <v>701</v>
      </c>
      <c r="AD900" t="s">
        <v>19573</v>
      </c>
      <c r="AE900" t="s">
        <v>9144</v>
      </c>
      <c r="AF900">
        <v>13</v>
      </c>
      <c r="AG900">
        <v>1</v>
      </c>
      <c r="AH900">
        <v>2</v>
      </c>
      <c r="AI900">
        <v>36.4</v>
      </c>
      <c r="AJ900" t="s">
        <v>19591</v>
      </c>
      <c r="AK900" t="s">
        <v>19608</v>
      </c>
      <c r="AL900" t="s">
        <v>19614</v>
      </c>
      <c r="AM900">
        <v>7764</v>
      </c>
      <c r="AO900" t="s">
        <v>20293</v>
      </c>
      <c r="AP900" t="s">
        <v>20309</v>
      </c>
      <c r="AQ900" t="s">
        <v>20369</v>
      </c>
      <c r="AR900" t="s">
        <v>20429</v>
      </c>
      <c r="AS900">
        <v>46.72</v>
      </c>
      <c r="AT900" t="s">
        <v>476</v>
      </c>
      <c r="AU900" t="s">
        <v>57</v>
      </c>
      <c r="AV900" t="s">
        <v>20734</v>
      </c>
    </row>
    <row r="901" spans="1:48">
      <c r="A901" s="1">
        <f>HYPERLINK("https://lsnyc.legalserver.org/matter/dynamic-profile/view/1907528","19-1907528")</f>
        <v>0</v>
      </c>
      <c r="B901" t="s">
        <v>98</v>
      </c>
      <c r="C901" t="s">
        <v>256</v>
      </c>
      <c r="D901" t="s">
        <v>275</v>
      </c>
      <c r="F901" t="s">
        <v>1675</v>
      </c>
      <c r="G901" t="s">
        <v>3364</v>
      </c>
      <c r="H901" t="s">
        <v>5851</v>
      </c>
      <c r="I901" t="s">
        <v>8160</v>
      </c>
      <c r="J901" t="s">
        <v>9065</v>
      </c>
      <c r="K901">
        <v>10474</v>
      </c>
      <c r="L901" t="s">
        <v>9095</v>
      </c>
      <c r="M901" t="s">
        <v>9095</v>
      </c>
      <c r="N901" t="s">
        <v>9218</v>
      </c>
      <c r="O901" t="s">
        <v>11134</v>
      </c>
      <c r="P901" t="s">
        <v>11168</v>
      </c>
      <c r="R901" t="s">
        <v>11180</v>
      </c>
      <c r="S901" t="s">
        <v>9094</v>
      </c>
      <c r="T901" t="s">
        <v>11183</v>
      </c>
      <c r="W901">
        <v>390.6</v>
      </c>
      <c r="X901" t="s">
        <v>11333</v>
      </c>
      <c r="Y901" t="s">
        <v>11346</v>
      </c>
      <c r="Z901" t="s">
        <v>12021</v>
      </c>
      <c r="AB901" t="s">
        <v>16469</v>
      </c>
      <c r="AC901">
        <v>45</v>
      </c>
      <c r="AD901" t="s">
        <v>19569</v>
      </c>
      <c r="AE901" t="s">
        <v>9144</v>
      </c>
      <c r="AF901">
        <v>42</v>
      </c>
      <c r="AG901">
        <v>1</v>
      </c>
      <c r="AH901">
        <v>0</v>
      </c>
      <c r="AI901">
        <v>36.41</v>
      </c>
      <c r="AL901" t="s">
        <v>19614</v>
      </c>
      <c r="AM901">
        <v>4548</v>
      </c>
      <c r="AS901">
        <v>0</v>
      </c>
      <c r="AU901" t="s">
        <v>98</v>
      </c>
    </row>
    <row r="902" spans="1:48">
      <c r="A902" s="1">
        <f>HYPERLINK("https://lsnyc.legalserver.org/matter/dynamic-profile/view/1907089","19-1907089")</f>
        <v>0</v>
      </c>
      <c r="B902" t="s">
        <v>98</v>
      </c>
      <c r="C902" t="s">
        <v>256</v>
      </c>
      <c r="D902" t="s">
        <v>676</v>
      </c>
      <c r="F902" t="s">
        <v>1675</v>
      </c>
      <c r="G902" t="s">
        <v>3364</v>
      </c>
      <c r="H902" t="s">
        <v>5851</v>
      </c>
      <c r="I902" t="s">
        <v>8160</v>
      </c>
      <c r="J902" t="s">
        <v>9065</v>
      </c>
      <c r="K902">
        <v>10474</v>
      </c>
      <c r="L902" t="s">
        <v>9094</v>
      </c>
      <c r="M902" t="s">
        <v>9095</v>
      </c>
      <c r="N902" t="s">
        <v>9536</v>
      </c>
      <c r="O902" t="s">
        <v>11130</v>
      </c>
      <c r="P902" t="s">
        <v>11165</v>
      </c>
      <c r="R902" t="s">
        <v>11180</v>
      </c>
      <c r="S902" t="s">
        <v>9094</v>
      </c>
      <c r="T902" t="s">
        <v>11183</v>
      </c>
      <c r="W902">
        <v>309.6</v>
      </c>
      <c r="X902" t="s">
        <v>11333</v>
      </c>
      <c r="Y902" t="s">
        <v>11346</v>
      </c>
      <c r="Z902" t="s">
        <v>12021</v>
      </c>
      <c r="AB902" t="s">
        <v>16469</v>
      </c>
      <c r="AC902">
        <v>45</v>
      </c>
      <c r="AD902" t="s">
        <v>15441</v>
      </c>
      <c r="AE902" t="s">
        <v>9144</v>
      </c>
      <c r="AF902">
        <v>42</v>
      </c>
      <c r="AG902">
        <v>1</v>
      </c>
      <c r="AH902">
        <v>0</v>
      </c>
      <c r="AI902">
        <v>36.41</v>
      </c>
      <c r="AL902" t="s">
        <v>19614</v>
      </c>
      <c r="AM902">
        <v>4548</v>
      </c>
      <c r="AS902">
        <v>0</v>
      </c>
      <c r="AU902" t="s">
        <v>163</v>
      </c>
      <c r="AV902" t="s">
        <v>20733</v>
      </c>
    </row>
    <row r="903" spans="1:48">
      <c r="A903" s="1">
        <f>HYPERLINK("https://lsnyc.legalserver.org/matter/dynamic-profile/view/1908303","19-1908303")</f>
        <v>0</v>
      </c>
      <c r="B903" t="s">
        <v>98</v>
      </c>
      <c r="C903" t="s">
        <v>256</v>
      </c>
      <c r="D903" t="s">
        <v>335</v>
      </c>
      <c r="F903" t="s">
        <v>1675</v>
      </c>
      <c r="G903" t="s">
        <v>3364</v>
      </c>
      <c r="H903" t="s">
        <v>5851</v>
      </c>
      <c r="I903" t="s">
        <v>8160</v>
      </c>
      <c r="J903" t="s">
        <v>9065</v>
      </c>
      <c r="K903">
        <v>10474</v>
      </c>
      <c r="L903" t="s">
        <v>9095</v>
      </c>
      <c r="M903" t="s">
        <v>9095</v>
      </c>
      <c r="N903" t="s">
        <v>9121</v>
      </c>
      <c r="O903" t="s">
        <v>11136</v>
      </c>
      <c r="P903" t="s">
        <v>11166</v>
      </c>
      <c r="R903" t="s">
        <v>11180</v>
      </c>
      <c r="S903" t="s">
        <v>9096</v>
      </c>
      <c r="T903" t="s">
        <v>11183</v>
      </c>
      <c r="U903" t="s">
        <v>11201</v>
      </c>
      <c r="W903">
        <v>309.6</v>
      </c>
      <c r="X903" t="s">
        <v>11333</v>
      </c>
      <c r="Y903" t="s">
        <v>11346</v>
      </c>
      <c r="Z903" t="s">
        <v>12021</v>
      </c>
      <c r="AB903" t="s">
        <v>16469</v>
      </c>
      <c r="AC903">
        <v>45</v>
      </c>
      <c r="AD903" t="s">
        <v>19569</v>
      </c>
      <c r="AF903">
        <v>42</v>
      </c>
      <c r="AG903">
        <v>1</v>
      </c>
      <c r="AH903">
        <v>0</v>
      </c>
      <c r="AI903">
        <v>36.41</v>
      </c>
      <c r="AL903" t="s">
        <v>19614</v>
      </c>
      <c r="AM903">
        <v>4548</v>
      </c>
      <c r="AS903">
        <v>7.5</v>
      </c>
      <c r="AT903" t="s">
        <v>1130</v>
      </c>
      <c r="AU903" t="s">
        <v>98</v>
      </c>
    </row>
    <row r="904" spans="1:48">
      <c r="A904" s="1">
        <f>HYPERLINK("https://lsnyc.legalserver.org/matter/dynamic-profile/view/1862079","18-1862079")</f>
        <v>0</v>
      </c>
      <c r="B904" t="s">
        <v>101</v>
      </c>
      <c r="C904" t="s">
        <v>257</v>
      </c>
      <c r="D904" t="s">
        <v>677</v>
      </c>
      <c r="E904" t="s">
        <v>416</v>
      </c>
      <c r="F904" t="s">
        <v>1474</v>
      </c>
      <c r="G904" t="s">
        <v>3842</v>
      </c>
      <c r="H904" t="s">
        <v>6262</v>
      </c>
      <c r="I904" t="s">
        <v>8355</v>
      </c>
      <c r="J904" t="s">
        <v>9065</v>
      </c>
      <c r="K904">
        <v>10452</v>
      </c>
      <c r="L904" t="s">
        <v>9094</v>
      </c>
      <c r="M904" t="s">
        <v>9095</v>
      </c>
      <c r="N904" t="s">
        <v>9537</v>
      </c>
      <c r="O904" t="s">
        <v>11130</v>
      </c>
      <c r="P904" t="s">
        <v>11165</v>
      </c>
      <c r="Q904" t="s">
        <v>11174</v>
      </c>
      <c r="R904" t="s">
        <v>11180</v>
      </c>
      <c r="S904" t="s">
        <v>9094</v>
      </c>
      <c r="T904" t="s">
        <v>11183</v>
      </c>
      <c r="V904" t="s">
        <v>874</v>
      </c>
      <c r="W904">
        <v>810</v>
      </c>
      <c r="X904" t="s">
        <v>11333</v>
      </c>
      <c r="Y904" t="s">
        <v>11346</v>
      </c>
      <c r="Z904" t="s">
        <v>12022</v>
      </c>
      <c r="AA904" t="s">
        <v>15453</v>
      </c>
      <c r="AB904" t="s">
        <v>16470</v>
      </c>
      <c r="AC904">
        <v>60</v>
      </c>
      <c r="AD904" t="s">
        <v>19566</v>
      </c>
      <c r="AE904" t="s">
        <v>11157</v>
      </c>
      <c r="AF904">
        <v>25</v>
      </c>
      <c r="AG904">
        <v>1</v>
      </c>
      <c r="AH904">
        <v>1</v>
      </c>
      <c r="AI904">
        <v>36.45</v>
      </c>
      <c r="AL904" t="s">
        <v>19615</v>
      </c>
      <c r="AM904">
        <v>6000</v>
      </c>
      <c r="AS904">
        <v>0.3</v>
      </c>
      <c r="AT904" t="s">
        <v>416</v>
      </c>
      <c r="AU904" t="s">
        <v>20647</v>
      </c>
    </row>
    <row r="905" spans="1:48">
      <c r="A905" s="1">
        <f>HYPERLINK("https://lsnyc.legalserver.org/matter/dynamic-profile/view/1868750","18-1868750")</f>
        <v>0</v>
      </c>
      <c r="B905" t="s">
        <v>101</v>
      </c>
      <c r="C905" t="s">
        <v>257</v>
      </c>
      <c r="D905" t="s">
        <v>678</v>
      </c>
      <c r="E905" t="s">
        <v>275</v>
      </c>
      <c r="F905" t="s">
        <v>1474</v>
      </c>
      <c r="G905" t="s">
        <v>3842</v>
      </c>
      <c r="H905" t="s">
        <v>6262</v>
      </c>
      <c r="I905" t="s">
        <v>8355</v>
      </c>
      <c r="J905" t="s">
        <v>9065</v>
      </c>
      <c r="K905">
        <v>10452</v>
      </c>
      <c r="L905" t="s">
        <v>9094</v>
      </c>
      <c r="M905" t="s">
        <v>9095</v>
      </c>
      <c r="O905" t="s">
        <v>9121</v>
      </c>
      <c r="P905" t="s">
        <v>11166</v>
      </c>
      <c r="Q905" t="s">
        <v>11178</v>
      </c>
      <c r="R905" t="s">
        <v>11180</v>
      </c>
      <c r="S905" t="s">
        <v>9094</v>
      </c>
      <c r="T905" t="s">
        <v>11183</v>
      </c>
      <c r="V905" t="s">
        <v>675</v>
      </c>
      <c r="W905">
        <v>810</v>
      </c>
      <c r="X905" t="s">
        <v>11333</v>
      </c>
      <c r="Y905" t="s">
        <v>11347</v>
      </c>
      <c r="Z905" t="s">
        <v>12022</v>
      </c>
      <c r="AA905" t="s">
        <v>15453</v>
      </c>
      <c r="AB905" t="s">
        <v>16470</v>
      </c>
      <c r="AC905">
        <v>60</v>
      </c>
      <c r="AD905" t="s">
        <v>19566</v>
      </c>
      <c r="AE905" t="s">
        <v>11157</v>
      </c>
      <c r="AF905">
        <v>25</v>
      </c>
      <c r="AG905">
        <v>1</v>
      </c>
      <c r="AH905">
        <v>1</v>
      </c>
      <c r="AI905">
        <v>36.45</v>
      </c>
      <c r="AL905" t="s">
        <v>19615</v>
      </c>
      <c r="AM905">
        <v>6000</v>
      </c>
      <c r="AS905">
        <v>0.5</v>
      </c>
      <c r="AT905" t="s">
        <v>275</v>
      </c>
      <c r="AU905" t="s">
        <v>20647</v>
      </c>
    </row>
    <row r="906" spans="1:48">
      <c r="A906" s="1">
        <f>HYPERLINK("https://lsnyc.legalserver.org/matter/dynamic-profile/view/1844422","17-1844422")</f>
        <v>0</v>
      </c>
      <c r="B906" t="s">
        <v>76</v>
      </c>
      <c r="C906" t="s">
        <v>256</v>
      </c>
      <c r="D906" t="s">
        <v>679</v>
      </c>
      <c r="F906" t="s">
        <v>1676</v>
      </c>
      <c r="G906" t="s">
        <v>3843</v>
      </c>
      <c r="H906" t="s">
        <v>6263</v>
      </c>
      <c r="I906" t="s">
        <v>8213</v>
      </c>
      <c r="J906" t="s">
        <v>9074</v>
      </c>
      <c r="K906">
        <v>10457</v>
      </c>
      <c r="L906" t="s">
        <v>9094</v>
      </c>
      <c r="M906" t="s">
        <v>9095</v>
      </c>
      <c r="P906" t="s">
        <v>11164</v>
      </c>
      <c r="R906" t="s">
        <v>11181</v>
      </c>
      <c r="S906" t="s">
        <v>9096</v>
      </c>
      <c r="T906" t="s">
        <v>11189</v>
      </c>
      <c r="V906" t="s">
        <v>679</v>
      </c>
      <c r="W906">
        <v>0</v>
      </c>
      <c r="X906" t="s">
        <v>11332</v>
      </c>
      <c r="Y906" t="s">
        <v>11337</v>
      </c>
      <c r="Z906" t="s">
        <v>12023</v>
      </c>
      <c r="AB906" t="s">
        <v>16471</v>
      </c>
      <c r="AC906">
        <v>60</v>
      </c>
      <c r="AD906" t="s">
        <v>19577</v>
      </c>
      <c r="AF906">
        <v>0</v>
      </c>
      <c r="AG906">
        <v>2</v>
      </c>
      <c r="AH906">
        <v>0</v>
      </c>
      <c r="AI906">
        <v>36.58</v>
      </c>
      <c r="AJ906" t="s">
        <v>19591</v>
      </c>
      <c r="AK906" t="s">
        <v>19608</v>
      </c>
      <c r="AL906" t="s">
        <v>19614</v>
      </c>
      <c r="AM906">
        <v>5940</v>
      </c>
      <c r="AS906">
        <v>0</v>
      </c>
      <c r="AU906" t="s">
        <v>20628</v>
      </c>
    </row>
    <row r="907" spans="1:48">
      <c r="A907" s="1">
        <f>HYPERLINK("https://lsnyc.legalserver.org/matter/dynamic-profile/view/0796071","16-0796071")</f>
        <v>0</v>
      </c>
      <c r="B907" t="s">
        <v>106</v>
      </c>
      <c r="C907" t="s">
        <v>256</v>
      </c>
      <c r="D907" t="s">
        <v>680</v>
      </c>
      <c r="F907" t="s">
        <v>1677</v>
      </c>
      <c r="G907" t="s">
        <v>3844</v>
      </c>
      <c r="H907" t="s">
        <v>6140</v>
      </c>
      <c r="I907" t="s">
        <v>8302</v>
      </c>
      <c r="J907" t="s">
        <v>9065</v>
      </c>
      <c r="K907">
        <v>10453</v>
      </c>
      <c r="L907" t="s">
        <v>9094</v>
      </c>
      <c r="M907" t="s">
        <v>9095</v>
      </c>
      <c r="N907" t="s">
        <v>9538</v>
      </c>
      <c r="O907" t="s">
        <v>11155</v>
      </c>
      <c r="P907" t="s">
        <v>11168</v>
      </c>
      <c r="R907" t="s">
        <v>11180</v>
      </c>
      <c r="S907" t="s">
        <v>9096</v>
      </c>
      <c r="T907" t="s">
        <v>11192</v>
      </c>
      <c r="V907" t="s">
        <v>1127</v>
      </c>
      <c r="W907">
        <v>991</v>
      </c>
      <c r="X907" t="s">
        <v>11333</v>
      </c>
      <c r="Y907" t="s">
        <v>11352</v>
      </c>
      <c r="Z907" t="s">
        <v>12024</v>
      </c>
      <c r="AA907" t="s">
        <v>15454</v>
      </c>
      <c r="AB907" t="s">
        <v>16472</v>
      </c>
      <c r="AC907">
        <v>40</v>
      </c>
      <c r="AD907" t="s">
        <v>19566</v>
      </c>
      <c r="AE907" t="s">
        <v>11157</v>
      </c>
      <c r="AF907">
        <v>19</v>
      </c>
      <c r="AG907">
        <v>1</v>
      </c>
      <c r="AH907">
        <v>0</v>
      </c>
      <c r="AI907">
        <v>36.7</v>
      </c>
      <c r="AL907" t="s">
        <v>11157</v>
      </c>
      <c r="AM907">
        <v>4320</v>
      </c>
      <c r="AS907">
        <v>55.68</v>
      </c>
      <c r="AT907" t="s">
        <v>297</v>
      </c>
      <c r="AU907" t="s">
        <v>20682</v>
      </c>
    </row>
    <row r="908" spans="1:48">
      <c r="A908" s="1">
        <f>HYPERLINK("https://lsnyc.legalserver.org/matter/dynamic-profile/view/1858274","18-1858274")</f>
        <v>0</v>
      </c>
      <c r="B908" t="s">
        <v>63</v>
      </c>
      <c r="C908" t="s">
        <v>256</v>
      </c>
      <c r="D908" t="s">
        <v>579</v>
      </c>
      <c r="F908" t="s">
        <v>1674</v>
      </c>
      <c r="G908" t="s">
        <v>3841</v>
      </c>
      <c r="H908" t="s">
        <v>6261</v>
      </c>
      <c r="I908" t="s">
        <v>8112</v>
      </c>
      <c r="J908" t="s">
        <v>9056</v>
      </c>
      <c r="K908">
        <v>11365</v>
      </c>
      <c r="L908" t="s">
        <v>9094</v>
      </c>
      <c r="M908" t="s">
        <v>9094</v>
      </c>
      <c r="N908" t="s">
        <v>9121</v>
      </c>
      <c r="O908" t="s">
        <v>11136</v>
      </c>
      <c r="P908" t="s">
        <v>11166</v>
      </c>
      <c r="R908" t="s">
        <v>11181</v>
      </c>
      <c r="S908" t="s">
        <v>9096</v>
      </c>
      <c r="T908" t="s">
        <v>11183</v>
      </c>
      <c r="V908" t="s">
        <v>579</v>
      </c>
      <c r="W908">
        <v>521</v>
      </c>
      <c r="X908" t="s">
        <v>11331</v>
      </c>
      <c r="Y908" t="s">
        <v>11337</v>
      </c>
      <c r="Z908" t="s">
        <v>12020</v>
      </c>
      <c r="AA908" t="s">
        <v>15455</v>
      </c>
      <c r="AB908" t="s">
        <v>16468</v>
      </c>
      <c r="AC908">
        <v>100</v>
      </c>
      <c r="AD908" t="s">
        <v>19573</v>
      </c>
      <c r="AE908" t="s">
        <v>9144</v>
      </c>
      <c r="AF908">
        <v>13</v>
      </c>
      <c r="AG908">
        <v>1</v>
      </c>
      <c r="AH908">
        <v>2</v>
      </c>
      <c r="AI908">
        <v>37.02</v>
      </c>
      <c r="AJ908" t="s">
        <v>19591</v>
      </c>
      <c r="AK908" t="s">
        <v>19608</v>
      </c>
      <c r="AL908" t="s">
        <v>19614</v>
      </c>
      <c r="AM908">
        <v>7560</v>
      </c>
      <c r="AS908">
        <v>31.06</v>
      </c>
      <c r="AT908" t="s">
        <v>321</v>
      </c>
      <c r="AU908" t="s">
        <v>20620</v>
      </c>
    </row>
    <row r="909" spans="1:48">
      <c r="A909" s="1">
        <f>HYPERLINK("https://lsnyc.legalserver.org/matter/dynamic-profile/view/1852102","17-1852102")</f>
        <v>0</v>
      </c>
      <c r="B909" t="s">
        <v>119</v>
      </c>
      <c r="C909" t="s">
        <v>256</v>
      </c>
      <c r="D909" t="s">
        <v>667</v>
      </c>
      <c r="F909" t="s">
        <v>1631</v>
      </c>
      <c r="G909" t="s">
        <v>3448</v>
      </c>
      <c r="H909" t="s">
        <v>6264</v>
      </c>
      <c r="I909" t="s">
        <v>8356</v>
      </c>
      <c r="J909" t="s">
        <v>9065</v>
      </c>
      <c r="K909">
        <v>10453</v>
      </c>
      <c r="L909" t="s">
        <v>9094</v>
      </c>
      <c r="M909" t="s">
        <v>9094</v>
      </c>
      <c r="N909" t="s">
        <v>9539</v>
      </c>
      <c r="O909" t="s">
        <v>11135</v>
      </c>
      <c r="P909" t="s">
        <v>11168</v>
      </c>
      <c r="R909" t="s">
        <v>11180</v>
      </c>
      <c r="S909" t="s">
        <v>9096</v>
      </c>
      <c r="T909" t="s">
        <v>11183</v>
      </c>
      <c r="V909" t="s">
        <v>11223</v>
      </c>
      <c r="W909">
        <v>1583</v>
      </c>
      <c r="X909" t="s">
        <v>11333</v>
      </c>
      <c r="Y909" t="s">
        <v>11347</v>
      </c>
      <c r="Z909" t="s">
        <v>11421</v>
      </c>
      <c r="AB909" t="s">
        <v>16473</v>
      </c>
      <c r="AC909">
        <v>64</v>
      </c>
      <c r="AD909" t="s">
        <v>19566</v>
      </c>
      <c r="AE909" t="s">
        <v>19580</v>
      </c>
      <c r="AF909">
        <v>27</v>
      </c>
      <c r="AG909">
        <v>3</v>
      </c>
      <c r="AH909">
        <v>0</v>
      </c>
      <c r="AI909">
        <v>37.02</v>
      </c>
      <c r="AL909" t="s">
        <v>19615</v>
      </c>
      <c r="AM909">
        <v>7560</v>
      </c>
      <c r="AS909">
        <v>2.6</v>
      </c>
      <c r="AT909" t="s">
        <v>390</v>
      </c>
      <c r="AU909" t="s">
        <v>20643</v>
      </c>
    </row>
    <row r="910" spans="1:48">
      <c r="A910" s="1">
        <f>HYPERLINK("https://lsnyc.legalserver.org/matter/dynamic-profile/view/1879919","18-1879919")</f>
        <v>0</v>
      </c>
      <c r="B910" t="s">
        <v>113</v>
      </c>
      <c r="C910" t="s">
        <v>256</v>
      </c>
      <c r="D910" t="s">
        <v>313</v>
      </c>
      <c r="F910" t="s">
        <v>1199</v>
      </c>
      <c r="G910" t="s">
        <v>3845</v>
      </c>
      <c r="H910" t="s">
        <v>5890</v>
      </c>
      <c r="I910" t="s">
        <v>8134</v>
      </c>
      <c r="J910" t="s">
        <v>9065</v>
      </c>
      <c r="K910">
        <v>10453</v>
      </c>
      <c r="L910" t="s">
        <v>9094</v>
      </c>
      <c r="M910" t="s">
        <v>9094</v>
      </c>
      <c r="N910" t="s">
        <v>9540</v>
      </c>
      <c r="O910" t="s">
        <v>11128</v>
      </c>
      <c r="P910" t="s">
        <v>11165</v>
      </c>
      <c r="R910" t="s">
        <v>11180</v>
      </c>
      <c r="S910" t="s">
        <v>9096</v>
      </c>
      <c r="T910" t="s">
        <v>11183</v>
      </c>
      <c r="V910" t="s">
        <v>313</v>
      </c>
      <c r="W910">
        <v>0</v>
      </c>
      <c r="X910" t="s">
        <v>11333</v>
      </c>
      <c r="Y910" t="s">
        <v>11347</v>
      </c>
      <c r="Z910" t="s">
        <v>12025</v>
      </c>
      <c r="AA910" t="s">
        <v>15456</v>
      </c>
      <c r="AB910" t="s">
        <v>16474</v>
      </c>
      <c r="AC910">
        <v>0</v>
      </c>
      <c r="AD910" t="s">
        <v>19566</v>
      </c>
      <c r="AE910" t="s">
        <v>19580</v>
      </c>
      <c r="AF910">
        <v>14</v>
      </c>
      <c r="AG910">
        <v>3</v>
      </c>
      <c r="AH910">
        <v>2</v>
      </c>
      <c r="AI910">
        <v>37.08</v>
      </c>
      <c r="AL910" t="s">
        <v>19614</v>
      </c>
      <c r="AM910">
        <v>10908</v>
      </c>
      <c r="AS910">
        <v>9.199999999999999</v>
      </c>
      <c r="AT910" t="s">
        <v>454</v>
      </c>
      <c r="AU910" t="s">
        <v>20647</v>
      </c>
    </row>
    <row r="911" spans="1:48">
      <c r="A911" s="1">
        <f>HYPERLINK("https://lsnyc.legalserver.org/matter/dynamic-profile/view/1889826","19-1889826")</f>
        <v>0</v>
      </c>
      <c r="B911" t="s">
        <v>103</v>
      </c>
      <c r="C911" t="s">
        <v>256</v>
      </c>
      <c r="D911" t="s">
        <v>681</v>
      </c>
      <c r="F911" t="s">
        <v>1563</v>
      </c>
      <c r="G911" t="s">
        <v>3419</v>
      </c>
      <c r="H911" t="s">
        <v>5887</v>
      </c>
      <c r="I911" t="s">
        <v>8147</v>
      </c>
      <c r="J911" t="s">
        <v>9065</v>
      </c>
      <c r="K911">
        <v>10453</v>
      </c>
      <c r="L911" t="s">
        <v>9094</v>
      </c>
      <c r="M911" t="s">
        <v>9094</v>
      </c>
      <c r="O911" t="s">
        <v>11134</v>
      </c>
      <c r="P911" t="s">
        <v>11168</v>
      </c>
      <c r="R911" t="s">
        <v>11180</v>
      </c>
      <c r="S911" t="s">
        <v>9094</v>
      </c>
      <c r="T911" t="s">
        <v>11183</v>
      </c>
      <c r="V911" t="s">
        <v>993</v>
      </c>
      <c r="W911">
        <v>1193.81</v>
      </c>
      <c r="X911" t="s">
        <v>11333</v>
      </c>
      <c r="Y911" t="s">
        <v>11346</v>
      </c>
      <c r="Z911" t="s">
        <v>11576</v>
      </c>
      <c r="AB911" t="s">
        <v>16475</v>
      </c>
      <c r="AC911">
        <v>170</v>
      </c>
      <c r="AD911" t="s">
        <v>19566</v>
      </c>
      <c r="AF911">
        <v>12</v>
      </c>
      <c r="AG911">
        <v>2</v>
      </c>
      <c r="AH911">
        <v>0</v>
      </c>
      <c r="AI911">
        <v>37.11</v>
      </c>
      <c r="AL911" t="s">
        <v>19615</v>
      </c>
      <c r="AM911">
        <v>6276</v>
      </c>
      <c r="AS911">
        <v>0</v>
      </c>
      <c r="AU911" t="s">
        <v>158</v>
      </c>
      <c r="AV911" t="s">
        <v>20733</v>
      </c>
    </row>
    <row r="912" spans="1:48">
      <c r="A912" s="1">
        <f>HYPERLINK("https://lsnyc.legalserver.org/matter/dynamic-profile/view/1905517","19-1905517")</f>
        <v>0</v>
      </c>
      <c r="B912" t="s">
        <v>103</v>
      </c>
      <c r="C912" t="s">
        <v>256</v>
      </c>
      <c r="D912" t="s">
        <v>457</v>
      </c>
      <c r="F912" t="s">
        <v>1563</v>
      </c>
      <c r="G912" t="s">
        <v>3419</v>
      </c>
      <c r="H912" t="s">
        <v>5887</v>
      </c>
      <c r="I912" t="s">
        <v>8147</v>
      </c>
      <c r="J912" t="s">
        <v>9065</v>
      </c>
      <c r="K912">
        <v>10453</v>
      </c>
      <c r="L912" t="s">
        <v>9094</v>
      </c>
      <c r="M912" t="s">
        <v>9095</v>
      </c>
      <c r="N912" t="s">
        <v>9239</v>
      </c>
      <c r="O912" t="s">
        <v>11134</v>
      </c>
      <c r="P912" t="s">
        <v>11168</v>
      </c>
      <c r="R912" t="s">
        <v>11180</v>
      </c>
      <c r="S912" t="s">
        <v>9094</v>
      </c>
      <c r="T912" t="s">
        <v>11183</v>
      </c>
      <c r="V912" t="s">
        <v>1061</v>
      </c>
      <c r="W912">
        <v>1193.81</v>
      </c>
      <c r="X912" t="s">
        <v>11333</v>
      </c>
      <c r="Y912" t="s">
        <v>11346</v>
      </c>
      <c r="Z912" t="s">
        <v>11576</v>
      </c>
      <c r="AB912" t="s">
        <v>16475</v>
      </c>
      <c r="AC912">
        <v>170</v>
      </c>
      <c r="AD912" t="s">
        <v>19566</v>
      </c>
      <c r="AE912" t="s">
        <v>9144</v>
      </c>
      <c r="AF912">
        <v>12</v>
      </c>
      <c r="AG912">
        <v>2</v>
      </c>
      <c r="AH912">
        <v>0</v>
      </c>
      <c r="AI912">
        <v>37.11</v>
      </c>
      <c r="AL912" t="s">
        <v>19615</v>
      </c>
      <c r="AM912">
        <v>6276</v>
      </c>
      <c r="AS912">
        <v>0</v>
      </c>
      <c r="AU912" t="s">
        <v>20642</v>
      </c>
      <c r="AV912" t="s">
        <v>20733</v>
      </c>
    </row>
    <row r="913" spans="1:48">
      <c r="A913" s="1">
        <f>HYPERLINK("https://lsnyc.legalserver.org/matter/dynamic-profile/view/1905518","19-1905518")</f>
        <v>0</v>
      </c>
      <c r="B913" t="s">
        <v>103</v>
      </c>
      <c r="C913" t="s">
        <v>256</v>
      </c>
      <c r="D913" t="s">
        <v>457</v>
      </c>
      <c r="F913" t="s">
        <v>1563</v>
      </c>
      <c r="G913" t="s">
        <v>3419</v>
      </c>
      <c r="H913" t="s">
        <v>5887</v>
      </c>
      <c r="I913" t="s">
        <v>8147</v>
      </c>
      <c r="J913" t="s">
        <v>9065</v>
      </c>
      <c r="K913">
        <v>10453</v>
      </c>
      <c r="L913" t="s">
        <v>9094</v>
      </c>
      <c r="M913" t="s">
        <v>9095</v>
      </c>
      <c r="N913" t="s">
        <v>9240</v>
      </c>
      <c r="O913" t="s">
        <v>11134</v>
      </c>
      <c r="P913" t="s">
        <v>11168</v>
      </c>
      <c r="R913" t="s">
        <v>11180</v>
      </c>
      <c r="S913" t="s">
        <v>9094</v>
      </c>
      <c r="T913" t="s">
        <v>11183</v>
      </c>
      <c r="V913" t="s">
        <v>422</v>
      </c>
      <c r="W913">
        <v>1193.81</v>
      </c>
      <c r="X913" t="s">
        <v>11333</v>
      </c>
      <c r="Y913" t="s">
        <v>11346</v>
      </c>
      <c r="Z913" t="s">
        <v>11576</v>
      </c>
      <c r="AB913" t="s">
        <v>16475</v>
      </c>
      <c r="AC913">
        <v>170</v>
      </c>
      <c r="AD913" t="s">
        <v>19566</v>
      </c>
      <c r="AE913" t="s">
        <v>9144</v>
      </c>
      <c r="AF913">
        <v>12</v>
      </c>
      <c r="AG913">
        <v>2</v>
      </c>
      <c r="AH913">
        <v>0</v>
      </c>
      <c r="AI913">
        <v>37.11</v>
      </c>
      <c r="AL913" t="s">
        <v>19615</v>
      </c>
      <c r="AM913">
        <v>6276</v>
      </c>
      <c r="AS913">
        <v>0</v>
      </c>
      <c r="AU913" t="s">
        <v>20642</v>
      </c>
      <c r="AV913" t="s">
        <v>20733</v>
      </c>
    </row>
    <row r="914" spans="1:48">
      <c r="A914" s="1">
        <f>HYPERLINK("https://lsnyc.legalserver.org/matter/dynamic-profile/view/1889811","19-1889811")</f>
        <v>0</v>
      </c>
      <c r="B914" t="s">
        <v>103</v>
      </c>
      <c r="C914" t="s">
        <v>256</v>
      </c>
      <c r="D914" t="s">
        <v>681</v>
      </c>
      <c r="F914" t="s">
        <v>1563</v>
      </c>
      <c r="G914" t="s">
        <v>3419</v>
      </c>
      <c r="H914" t="s">
        <v>5887</v>
      </c>
      <c r="I914" t="s">
        <v>8147</v>
      </c>
      <c r="J914" t="s">
        <v>9065</v>
      </c>
      <c r="K914">
        <v>10453</v>
      </c>
      <c r="L914" t="s">
        <v>9094</v>
      </c>
      <c r="M914" t="s">
        <v>9094</v>
      </c>
      <c r="N914" t="s">
        <v>9352</v>
      </c>
      <c r="O914" t="s">
        <v>11130</v>
      </c>
      <c r="P914" t="s">
        <v>11165</v>
      </c>
      <c r="R914" t="s">
        <v>11180</v>
      </c>
      <c r="S914" t="s">
        <v>9094</v>
      </c>
      <c r="T914" t="s">
        <v>11183</v>
      </c>
      <c r="V914" t="s">
        <v>512</v>
      </c>
      <c r="W914">
        <v>1193.81</v>
      </c>
      <c r="X914" t="s">
        <v>11333</v>
      </c>
      <c r="Y914" t="s">
        <v>11346</v>
      </c>
      <c r="Z914" t="s">
        <v>11576</v>
      </c>
      <c r="AB914" t="s">
        <v>16475</v>
      </c>
      <c r="AC914">
        <v>170</v>
      </c>
      <c r="AD914" t="s">
        <v>19566</v>
      </c>
      <c r="AF914">
        <v>12</v>
      </c>
      <c r="AG914">
        <v>2</v>
      </c>
      <c r="AH914">
        <v>0</v>
      </c>
      <c r="AI914">
        <v>37.11</v>
      </c>
      <c r="AL914" t="s">
        <v>19615</v>
      </c>
      <c r="AM914">
        <v>6276</v>
      </c>
      <c r="AS914">
        <v>0</v>
      </c>
      <c r="AU914" t="s">
        <v>158</v>
      </c>
    </row>
    <row r="915" spans="1:48">
      <c r="A915" s="1">
        <f>HYPERLINK("https://lsnyc.legalserver.org/matter/dynamic-profile/view/1896625","19-1896625")</f>
        <v>0</v>
      </c>
      <c r="B915" t="s">
        <v>70</v>
      </c>
      <c r="C915" t="s">
        <v>256</v>
      </c>
      <c r="D915" t="s">
        <v>454</v>
      </c>
      <c r="F915" t="s">
        <v>1678</v>
      </c>
      <c r="G915" t="s">
        <v>3846</v>
      </c>
      <c r="H915" t="s">
        <v>5749</v>
      </c>
      <c r="I915" t="s">
        <v>8357</v>
      </c>
      <c r="J915" t="s">
        <v>9059</v>
      </c>
      <c r="K915">
        <v>11233</v>
      </c>
      <c r="L915" t="s">
        <v>9094</v>
      </c>
      <c r="M915" t="s">
        <v>9096</v>
      </c>
      <c r="N915" t="s">
        <v>9146</v>
      </c>
      <c r="O915" t="s">
        <v>11134</v>
      </c>
      <c r="P915" t="s">
        <v>11168</v>
      </c>
      <c r="R915" t="s">
        <v>11180</v>
      </c>
      <c r="T915" t="s">
        <v>11183</v>
      </c>
      <c r="U915" t="s">
        <v>11201</v>
      </c>
      <c r="V915" t="s">
        <v>482</v>
      </c>
      <c r="W915">
        <v>1056</v>
      </c>
      <c r="X915" t="s">
        <v>11332</v>
      </c>
      <c r="Z915" t="s">
        <v>12026</v>
      </c>
      <c r="AC915">
        <v>359</v>
      </c>
      <c r="AD915" t="s">
        <v>19566</v>
      </c>
      <c r="AE915" t="s">
        <v>9144</v>
      </c>
      <c r="AF915">
        <v>9</v>
      </c>
      <c r="AG915">
        <v>2</v>
      </c>
      <c r="AH915">
        <v>0</v>
      </c>
      <c r="AI915">
        <v>37.21</v>
      </c>
      <c r="AL915" t="s">
        <v>19614</v>
      </c>
      <c r="AM915">
        <v>6292</v>
      </c>
      <c r="AN915" t="s">
        <v>19744</v>
      </c>
      <c r="AS915">
        <v>0</v>
      </c>
      <c r="AU915" t="s">
        <v>79</v>
      </c>
      <c r="AV915" t="s">
        <v>20733</v>
      </c>
    </row>
    <row r="916" spans="1:48">
      <c r="A916" s="1">
        <f>HYPERLINK("https://lsnyc.legalserver.org/matter/dynamic-profile/view/1896627","19-1896627")</f>
        <v>0</v>
      </c>
      <c r="B916" t="s">
        <v>70</v>
      </c>
      <c r="C916" t="s">
        <v>256</v>
      </c>
      <c r="D916" t="s">
        <v>454</v>
      </c>
      <c r="F916" t="s">
        <v>1678</v>
      </c>
      <c r="G916" t="s">
        <v>3846</v>
      </c>
      <c r="H916" t="s">
        <v>5749</v>
      </c>
      <c r="I916" t="s">
        <v>8357</v>
      </c>
      <c r="J916" t="s">
        <v>9059</v>
      </c>
      <c r="K916">
        <v>11233</v>
      </c>
      <c r="L916" t="s">
        <v>9094</v>
      </c>
      <c r="M916" t="s">
        <v>9096</v>
      </c>
      <c r="O916" t="s">
        <v>11137</v>
      </c>
      <c r="P916" t="s">
        <v>11167</v>
      </c>
      <c r="R916" t="s">
        <v>11180</v>
      </c>
      <c r="S916" t="s">
        <v>9094</v>
      </c>
      <c r="T916" t="s">
        <v>11183</v>
      </c>
      <c r="U916" t="s">
        <v>11201</v>
      </c>
      <c r="V916" t="s">
        <v>706</v>
      </c>
      <c r="W916">
        <v>1056</v>
      </c>
      <c r="X916" t="s">
        <v>11332</v>
      </c>
      <c r="Z916" t="s">
        <v>12026</v>
      </c>
      <c r="AC916">
        <v>359</v>
      </c>
      <c r="AD916" t="s">
        <v>19566</v>
      </c>
      <c r="AE916" t="s">
        <v>9144</v>
      </c>
      <c r="AF916">
        <v>9</v>
      </c>
      <c r="AG916">
        <v>2</v>
      </c>
      <c r="AH916">
        <v>0</v>
      </c>
      <c r="AI916">
        <v>37.21</v>
      </c>
      <c r="AL916" t="s">
        <v>19614</v>
      </c>
      <c r="AM916">
        <v>6292</v>
      </c>
      <c r="AN916" t="s">
        <v>19745</v>
      </c>
      <c r="AS916">
        <v>0</v>
      </c>
      <c r="AU916" t="s">
        <v>79</v>
      </c>
      <c r="AV916" t="s">
        <v>20733</v>
      </c>
    </row>
    <row r="917" spans="1:48">
      <c r="A917" s="1">
        <f>HYPERLINK("https://lsnyc.legalserver.org/matter/dynamic-profile/view/1864963","18-1864963")</f>
        <v>0</v>
      </c>
      <c r="B917" t="s">
        <v>101</v>
      </c>
      <c r="C917" t="s">
        <v>256</v>
      </c>
      <c r="D917" t="s">
        <v>451</v>
      </c>
      <c r="F917" t="s">
        <v>1679</v>
      </c>
      <c r="G917" t="s">
        <v>3699</v>
      </c>
      <c r="H917" t="s">
        <v>5890</v>
      </c>
      <c r="I917" t="s">
        <v>8358</v>
      </c>
      <c r="J917" t="s">
        <v>9065</v>
      </c>
      <c r="K917">
        <v>10453</v>
      </c>
      <c r="L917" t="s">
        <v>9094</v>
      </c>
      <c r="M917" t="s">
        <v>9095</v>
      </c>
      <c r="N917" t="s">
        <v>9242</v>
      </c>
      <c r="O917" t="s">
        <v>11130</v>
      </c>
      <c r="P917" t="s">
        <v>11165</v>
      </c>
      <c r="R917" t="s">
        <v>11180</v>
      </c>
      <c r="S917" t="s">
        <v>9094</v>
      </c>
      <c r="T917" t="s">
        <v>11183</v>
      </c>
      <c r="V917" t="s">
        <v>637</v>
      </c>
      <c r="W917">
        <v>2101.58</v>
      </c>
      <c r="X917" t="s">
        <v>11333</v>
      </c>
      <c r="Y917" t="s">
        <v>11338</v>
      </c>
      <c r="Z917" t="s">
        <v>12027</v>
      </c>
      <c r="AA917" t="s">
        <v>15457</v>
      </c>
      <c r="AB917" t="s">
        <v>16476</v>
      </c>
      <c r="AC917">
        <v>46</v>
      </c>
      <c r="AD917" t="s">
        <v>19566</v>
      </c>
      <c r="AE917" t="s">
        <v>19580</v>
      </c>
      <c r="AF917">
        <v>14</v>
      </c>
      <c r="AG917">
        <v>4</v>
      </c>
      <c r="AH917">
        <v>3</v>
      </c>
      <c r="AI917">
        <v>37.23</v>
      </c>
      <c r="AL917" t="s">
        <v>19614</v>
      </c>
      <c r="AM917">
        <v>21970</v>
      </c>
      <c r="AS917">
        <v>2</v>
      </c>
      <c r="AT917" t="s">
        <v>457</v>
      </c>
      <c r="AU917" t="s">
        <v>174</v>
      </c>
    </row>
    <row r="918" spans="1:48">
      <c r="A918" s="1">
        <f>HYPERLINK("https://lsnyc.legalserver.org/matter/dynamic-profile/view/1907242","19-1907242")</f>
        <v>0</v>
      </c>
      <c r="B918" t="s">
        <v>52</v>
      </c>
      <c r="C918" t="s">
        <v>256</v>
      </c>
      <c r="D918" t="s">
        <v>415</v>
      </c>
      <c r="F918" t="s">
        <v>1680</v>
      </c>
      <c r="G918" t="s">
        <v>3847</v>
      </c>
      <c r="H918" t="s">
        <v>6265</v>
      </c>
      <c r="J918" t="s">
        <v>9039</v>
      </c>
      <c r="K918">
        <v>11436</v>
      </c>
      <c r="L918" t="s">
        <v>9094</v>
      </c>
      <c r="M918" t="s">
        <v>9095</v>
      </c>
      <c r="N918" t="s">
        <v>9541</v>
      </c>
      <c r="O918" t="s">
        <v>11129</v>
      </c>
      <c r="P918" t="s">
        <v>11165</v>
      </c>
      <c r="R918" t="s">
        <v>11180</v>
      </c>
      <c r="S918" t="s">
        <v>9096</v>
      </c>
      <c r="T918" t="s">
        <v>11183</v>
      </c>
      <c r="U918" t="s">
        <v>11201</v>
      </c>
      <c r="V918" t="s">
        <v>415</v>
      </c>
      <c r="W918">
        <v>1554</v>
      </c>
      <c r="X918" t="s">
        <v>11331</v>
      </c>
      <c r="Y918" t="s">
        <v>11336</v>
      </c>
      <c r="Z918" t="s">
        <v>12028</v>
      </c>
      <c r="AA918" t="s">
        <v>15458</v>
      </c>
      <c r="AB918" t="s">
        <v>16477</v>
      </c>
      <c r="AC918">
        <v>3</v>
      </c>
      <c r="AD918" t="s">
        <v>15441</v>
      </c>
      <c r="AE918" t="s">
        <v>19582</v>
      </c>
      <c r="AF918">
        <v>-1</v>
      </c>
      <c r="AG918">
        <v>1</v>
      </c>
      <c r="AH918">
        <v>0</v>
      </c>
      <c r="AI918">
        <v>37.28</v>
      </c>
      <c r="AL918" t="s">
        <v>19614</v>
      </c>
      <c r="AM918">
        <v>4656</v>
      </c>
      <c r="AP918" t="s">
        <v>11157</v>
      </c>
      <c r="AS918">
        <v>6.15</v>
      </c>
      <c r="AT918" t="s">
        <v>496</v>
      </c>
      <c r="AU918" t="s">
        <v>20620</v>
      </c>
      <c r="AV918" t="s">
        <v>20733</v>
      </c>
    </row>
    <row r="919" spans="1:48">
      <c r="A919" s="1">
        <f>HYPERLINK("https://lsnyc.legalserver.org/matter/dynamic-profile/view/1893549","19-1893549")</f>
        <v>0</v>
      </c>
      <c r="B919" t="s">
        <v>69</v>
      </c>
      <c r="C919" t="s">
        <v>257</v>
      </c>
      <c r="D919" t="s">
        <v>573</v>
      </c>
      <c r="E919" t="s">
        <v>326</v>
      </c>
      <c r="F919" t="s">
        <v>1144</v>
      </c>
      <c r="G919" t="s">
        <v>1305</v>
      </c>
      <c r="H919" t="s">
        <v>6266</v>
      </c>
      <c r="I919" t="s">
        <v>8359</v>
      </c>
      <c r="J919" t="s">
        <v>9059</v>
      </c>
      <c r="K919">
        <v>11208</v>
      </c>
      <c r="L919" t="s">
        <v>9094</v>
      </c>
      <c r="M919" t="s">
        <v>9094</v>
      </c>
      <c r="N919" t="s">
        <v>9542</v>
      </c>
      <c r="O919" t="s">
        <v>11131</v>
      </c>
      <c r="P919" t="s">
        <v>11168</v>
      </c>
      <c r="Q919" t="s">
        <v>11178</v>
      </c>
      <c r="R919" t="s">
        <v>11180</v>
      </c>
      <c r="S919" t="s">
        <v>9096</v>
      </c>
      <c r="T919" t="s">
        <v>11184</v>
      </c>
      <c r="V919" t="s">
        <v>526</v>
      </c>
      <c r="W919">
        <v>247</v>
      </c>
      <c r="X919" t="s">
        <v>11332</v>
      </c>
      <c r="Y919" t="s">
        <v>11348</v>
      </c>
      <c r="Z919" t="s">
        <v>12029</v>
      </c>
      <c r="AB919" t="s">
        <v>16478</v>
      </c>
      <c r="AC919">
        <v>0</v>
      </c>
      <c r="AD919" t="s">
        <v>19567</v>
      </c>
      <c r="AF919">
        <v>9</v>
      </c>
      <c r="AG919">
        <v>1</v>
      </c>
      <c r="AH919">
        <v>0</v>
      </c>
      <c r="AI919">
        <v>37.28</v>
      </c>
      <c r="AL919" t="s">
        <v>19614</v>
      </c>
      <c r="AM919">
        <v>4656</v>
      </c>
      <c r="AS919">
        <v>21.75</v>
      </c>
      <c r="AT919" t="s">
        <v>326</v>
      </c>
      <c r="AU919" t="s">
        <v>79</v>
      </c>
      <c r="AV919" t="s">
        <v>20733</v>
      </c>
    </row>
    <row r="920" spans="1:48">
      <c r="A920" s="1">
        <f>HYPERLINK("https://lsnyc.legalserver.org/matter/dynamic-profile/view/1910045","19-1910045")</f>
        <v>0</v>
      </c>
      <c r="B920" t="s">
        <v>118</v>
      </c>
      <c r="C920" t="s">
        <v>256</v>
      </c>
      <c r="D920" t="s">
        <v>435</v>
      </c>
      <c r="F920" t="s">
        <v>1681</v>
      </c>
      <c r="G920" t="s">
        <v>3848</v>
      </c>
      <c r="H920" t="s">
        <v>6267</v>
      </c>
      <c r="I920" t="s">
        <v>8214</v>
      </c>
      <c r="J920" t="s">
        <v>9065</v>
      </c>
      <c r="K920">
        <v>10456</v>
      </c>
      <c r="L920" t="s">
        <v>9094</v>
      </c>
      <c r="M920" t="s">
        <v>9095</v>
      </c>
      <c r="N920" t="s">
        <v>9543</v>
      </c>
      <c r="P920" t="s">
        <v>11164</v>
      </c>
      <c r="R920" t="s">
        <v>11180</v>
      </c>
      <c r="S920" t="s">
        <v>9096</v>
      </c>
      <c r="T920" t="s">
        <v>11183</v>
      </c>
      <c r="W920">
        <v>83</v>
      </c>
      <c r="X920" t="s">
        <v>11333</v>
      </c>
      <c r="Y920" t="s">
        <v>11346</v>
      </c>
      <c r="Z920" t="s">
        <v>12030</v>
      </c>
      <c r="AB920" t="s">
        <v>16479</v>
      </c>
      <c r="AC920">
        <v>0</v>
      </c>
      <c r="AD920" t="s">
        <v>19577</v>
      </c>
      <c r="AF920">
        <v>5</v>
      </c>
      <c r="AG920">
        <v>1</v>
      </c>
      <c r="AH920">
        <v>3</v>
      </c>
      <c r="AI920">
        <v>37.28</v>
      </c>
      <c r="AL920" t="s">
        <v>19615</v>
      </c>
      <c r="AM920">
        <v>9600</v>
      </c>
      <c r="AS920">
        <v>0</v>
      </c>
      <c r="AU920" t="s">
        <v>118</v>
      </c>
      <c r="AV920" t="s">
        <v>20733</v>
      </c>
    </row>
    <row r="921" spans="1:48">
      <c r="A921" s="1">
        <f>HYPERLINK("https://lsnyc.legalserver.org/matter/dynamic-profile/view/0802155","16-0802155")</f>
        <v>0</v>
      </c>
      <c r="B921" t="s">
        <v>159</v>
      </c>
      <c r="C921" t="s">
        <v>256</v>
      </c>
      <c r="D921" t="s">
        <v>682</v>
      </c>
      <c r="F921" t="s">
        <v>1682</v>
      </c>
      <c r="G921" t="s">
        <v>3849</v>
      </c>
      <c r="H921" t="s">
        <v>6268</v>
      </c>
      <c r="I921">
        <v>417</v>
      </c>
      <c r="J921" t="s">
        <v>9065</v>
      </c>
      <c r="K921">
        <v>10455</v>
      </c>
      <c r="L921" t="s">
        <v>9094</v>
      </c>
      <c r="M921" t="s">
        <v>9094</v>
      </c>
      <c r="N921" t="s">
        <v>9544</v>
      </c>
      <c r="O921" t="s">
        <v>11128</v>
      </c>
      <c r="P921" t="s">
        <v>11165</v>
      </c>
      <c r="R921" t="s">
        <v>11180</v>
      </c>
      <c r="T921" t="s">
        <v>11183</v>
      </c>
      <c r="U921" t="s">
        <v>11199</v>
      </c>
      <c r="V921" t="s">
        <v>11229</v>
      </c>
      <c r="W921">
        <v>560</v>
      </c>
      <c r="X921" t="s">
        <v>11333</v>
      </c>
      <c r="Y921" t="s">
        <v>11340</v>
      </c>
      <c r="Z921" t="s">
        <v>12031</v>
      </c>
      <c r="AB921" t="s">
        <v>16480</v>
      </c>
      <c r="AC921">
        <v>109</v>
      </c>
      <c r="AD921" t="s">
        <v>19567</v>
      </c>
      <c r="AE921" t="s">
        <v>19580</v>
      </c>
      <c r="AF921">
        <v>20</v>
      </c>
      <c r="AG921">
        <v>2</v>
      </c>
      <c r="AH921">
        <v>0</v>
      </c>
      <c r="AI921">
        <v>37.45</v>
      </c>
      <c r="AL921" t="s">
        <v>19615</v>
      </c>
      <c r="AM921">
        <v>6000</v>
      </c>
      <c r="AN921" t="s">
        <v>19746</v>
      </c>
      <c r="AS921">
        <v>260.65</v>
      </c>
      <c r="AT921" t="s">
        <v>292</v>
      </c>
      <c r="AU921" t="s">
        <v>20648</v>
      </c>
    </row>
    <row r="922" spans="1:48">
      <c r="A922" s="1">
        <f>HYPERLINK("https://lsnyc.legalserver.org/matter/dynamic-profile/view/1893706","19-1893706")</f>
        <v>0</v>
      </c>
      <c r="B922" t="s">
        <v>124</v>
      </c>
      <c r="C922" t="s">
        <v>257</v>
      </c>
      <c r="D922" t="s">
        <v>502</v>
      </c>
      <c r="E922" t="s">
        <v>307</v>
      </c>
      <c r="F922" t="s">
        <v>1213</v>
      </c>
      <c r="G922" t="s">
        <v>3344</v>
      </c>
      <c r="H922" t="s">
        <v>6269</v>
      </c>
      <c r="I922" t="s">
        <v>8141</v>
      </c>
      <c r="J922" t="s">
        <v>9066</v>
      </c>
      <c r="K922">
        <v>10301</v>
      </c>
      <c r="L922" t="s">
        <v>9094</v>
      </c>
      <c r="M922" t="s">
        <v>9094</v>
      </c>
      <c r="N922" t="s">
        <v>9545</v>
      </c>
      <c r="O922" t="s">
        <v>11130</v>
      </c>
      <c r="P922" t="s">
        <v>11165</v>
      </c>
      <c r="Q922" t="s">
        <v>11174</v>
      </c>
      <c r="R922" t="s">
        <v>11180</v>
      </c>
      <c r="S922" t="s">
        <v>9096</v>
      </c>
      <c r="T922" t="s">
        <v>11183</v>
      </c>
      <c r="U922" t="s">
        <v>11201</v>
      </c>
      <c r="V922" t="s">
        <v>502</v>
      </c>
      <c r="W922">
        <v>1172</v>
      </c>
      <c r="X922" t="s">
        <v>11334</v>
      </c>
      <c r="Y922" t="s">
        <v>11340</v>
      </c>
      <c r="Z922" t="s">
        <v>12032</v>
      </c>
      <c r="AB922" t="s">
        <v>15274</v>
      </c>
      <c r="AC922">
        <v>8</v>
      </c>
      <c r="AD922" t="s">
        <v>19566</v>
      </c>
      <c r="AE922" t="s">
        <v>19585</v>
      </c>
      <c r="AF922">
        <v>9</v>
      </c>
      <c r="AG922">
        <v>1</v>
      </c>
      <c r="AH922">
        <v>0</v>
      </c>
      <c r="AI922">
        <v>37.47</v>
      </c>
      <c r="AL922" t="s">
        <v>19614</v>
      </c>
      <c r="AM922">
        <v>4680</v>
      </c>
      <c r="AO922" t="s">
        <v>20298</v>
      </c>
      <c r="AP922" t="s">
        <v>20323</v>
      </c>
      <c r="AQ922" t="s">
        <v>20369</v>
      </c>
      <c r="AR922" t="s">
        <v>20430</v>
      </c>
      <c r="AS922">
        <v>32.15</v>
      </c>
      <c r="AT922" t="s">
        <v>335</v>
      </c>
      <c r="AU922" t="s">
        <v>20653</v>
      </c>
      <c r="AV922" t="s">
        <v>20733</v>
      </c>
    </row>
    <row r="923" spans="1:48">
      <c r="A923" s="1">
        <f>HYPERLINK("https://lsnyc.legalserver.org/matter/dynamic-profile/view/1860628","18-1860628")</f>
        <v>0</v>
      </c>
      <c r="B923" t="s">
        <v>136</v>
      </c>
      <c r="C923" t="s">
        <v>256</v>
      </c>
      <c r="D923" t="s">
        <v>683</v>
      </c>
      <c r="F923" t="s">
        <v>1404</v>
      </c>
      <c r="G923" t="s">
        <v>3850</v>
      </c>
      <c r="H923" t="s">
        <v>6119</v>
      </c>
      <c r="I923" t="s">
        <v>8213</v>
      </c>
      <c r="J923" t="s">
        <v>9067</v>
      </c>
      <c r="K923">
        <v>10031</v>
      </c>
      <c r="L923" t="s">
        <v>9094</v>
      </c>
      <c r="M923" t="s">
        <v>9094</v>
      </c>
      <c r="O923" t="s">
        <v>11130</v>
      </c>
      <c r="P923" t="s">
        <v>11167</v>
      </c>
      <c r="R923" t="s">
        <v>11180</v>
      </c>
      <c r="S923" t="s">
        <v>9094</v>
      </c>
      <c r="T923" t="s">
        <v>11183</v>
      </c>
      <c r="U923" t="s">
        <v>11201</v>
      </c>
      <c r="V923" t="s">
        <v>638</v>
      </c>
      <c r="W923">
        <v>2697</v>
      </c>
      <c r="X923" t="s">
        <v>11335</v>
      </c>
      <c r="Y923" t="s">
        <v>11339</v>
      </c>
      <c r="Z923" t="s">
        <v>12033</v>
      </c>
      <c r="AB923" t="s">
        <v>16481</v>
      </c>
      <c r="AC923">
        <v>44</v>
      </c>
      <c r="AD923" t="s">
        <v>19567</v>
      </c>
      <c r="AE923" t="s">
        <v>19580</v>
      </c>
      <c r="AF923">
        <v>17</v>
      </c>
      <c r="AG923">
        <v>2</v>
      </c>
      <c r="AH923">
        <v>1</v>
      </c>
      <c r="AI923">
        <v>37.54</v>
      </c>
      <c r="AL923" t="s">
        <v>19615</v>
      </c>
      <c r="AM923">
        <v>7800</v>
      </c>
      <c r="AS923">
        <v>0</v>
      </c>
      <c r="AU923" t="s">
        <v>20657</v>
      </c>
    </row>
    <row r="924" spans="1:48">
      <c r="A924" s="1">
        <f>HYPERLINK("https://lsnyc.legalserver.org/matter/dynamic-profile/view/1877020","18-1877020")</f>
        <v>0</v>
      </c>
      <c r="B924" t="s">
        <v>175</v>
      </c>
      <c r="C924" t="s">
        <v>256</v>
      </c>
      <c r="D924" t="s">
        <v>561</v>
      </c>
      <c r="F924" t="s">
        <v>1193</v>
      </c>
      <c r="G924" t="s">
        <v>3851</v>
      </c>
      <c r="H924" t="s">
        <v>6270</v>
      </c>
      <c r="I924" t="s">
        <v>8270</v>
      </c>
      <c r="J924" t="s">
        <v>9067</v>
      </c>
      <c r="K924">
        <v>10011</v>
      </c>
      <c r="L924" t="s">
        <v>9094</v>
      </c>
      <c r="M924" t="s">
        <v>9094</v>
      </c>
      <c r="N924" t="s">
        <v>9546</v>
      </c>
      <c r="O924" t="s">
        <v>11129</v>
      </c>
      <c r="P924" t="s">
        <v>11167</v>
      </c>
      <c r="R924" t="s">
        <v>11180</v>
      </c>
      <c r="S924" t="s">
        <v>9096</v>
      </c>
      <c r="T924" t="s">
        <v>11183</v>
      </c>
      <c r="V924" t="s">
        <v>561</v>
      </c>
      <c r="W924">
        <v>1608</v>
      </c>
      <c r="X924" t="s">
        <v>11335</v>
      </c>
      <c r="Y924" t="s">
        <v>11338</v>
      </c>
      <c r="Z924" t="s">
        <v>12034</v>
      </c>
      <c r="AB924" t="s">
        <v>16482</v>
      </c>
      <c r="AC924">
        <v>0</v>
      </c>
      <c r="AD924" t="s">
        <v>19566</v>
      </c>
      <c r="AE924" t="s">
        <v>9144</v>
      </c>
      <c r="AF924">
        <v>22</v>
      </c>
      <c r="AG924">
        <v>1</v>
      </c>
      <c r="AH924">
        <v>0</v>
      </c>
      <c r="AI924">
        <v>37.56</v>
      </c>
      <c r="AL924" t="s">
        <v>19614</v>
      </c>
      <c r="AM924">
        <v>4560</v>
      </c>
      <c r="AS924">
        <v>6.3</v>
      </c>
      <c r="AT924" t="s">
        <v>325</v>
      </c>
      <c r="AU924" t="s">
        <v>20655</v>
      </c>
    </row>
    <row r="925" spans="1:48">
      <c r="A925" s="1">
        <f>HYPERLINK("https://lsnyc.legalserver.org/matter/dynamic-profile/view/1901296","19-1901296")</f>
        <v>0</v>
      </c>
      <c r="B925" t="s">
        <v>122</v>
      </c>
      <c r="C925" t="s">
        <v>256</v>
      </c>
      <c r="D925" t="s">
        <v>471</v>
      </c>
      <c r="F925" t="s">
        <v>1231</v>
      </c>
      <c r="G925" t="s">
        <v>3852</v>
      </c>
      <c r="H925" t="s">
        <v>6271</v>
      </c>
      <c r="I925" t="s">
        <v>8160</v>
      </c>
      <c r="J925" t="s">
        <v>9066</v>
      </c>
      <c r="K925">
        <v>10301</v>
      </c>
      <c r="L925" t="s">
        <v>9094</v>
      </c>
      <c r="M925" t="s">
        <v>9095</v>
      </c>
      <c r="N925" t="s">
        <v>9547</v>
      </c>
      <c r="O925" t="s">
        <v>11152</v>
      </c>
      <c r="P925" t="s">
        <v>11165</v>
      </c>
      <c r="R925" t="s">
        <v>11180</v>
      </c>
      <c r="S925" t="s">
        <v>9096</v>
      </c>
      <c r="T925" t="s">
        <v>11190</v>
      </c>
      <c r="U925" t="s">
        <v>11201</v>
      </c>
      <c r="V925" t="s">
        <v>471</v>
      </c>
      <c r="W925">
        <v>2200</v>
      </c>
      <c r="X925" t="s">
        <v>11334</v>
      </c>
      <c r="Y925" t="s">
        <v>11340</v>
      </c>
      <c r="Z925" t="s">
        <v>12035</v>
      </c>
      <c r="AB925" t="s">
        <v>16483</v>
      </c>
      <c r="AC925">
        <v>227</v>
      </c>
      <c r="AD925" t="s">
        <v>19568</v>
      </c>
      <c r="AE925" t="s">
        <v>19580</v>
      </c>
      <c r="AF925">
        <v>7</v>
      </c>
      <c r="AG925">
        <v>2</v>
      </c>
      <c r="AH925">
        <v>0</v>
      </c>
      <c r="AI925">
        <v>37.61</v>
      </c>
      <c r="AL925" t="s">
        <v>19614</v>
      </c>
      <c r="AM925">
        <v>6360</v>
      </c>
      <c r="AS925">
        <v>146.85</v>
      </c>
      <c r="AT925" t="s">
        <v>487</v>
      </c>
      <c r="AU925" t="s">
        <v>122</v>
      </c>
      <c r="AV925" t="s">
        <v>20733</v>
      </c>
    </row>
    <row r="926" spans="1:48">
      <c r="A926" s="1">
        <f>HYPERLINK("https://lsnyc.legalserver.org/matter/dynamic-profile/view/0803381","16-0803381")</f>
        <v>0</v>
      </c>
      <c r="B926" t="s">
        <v>111</v>
      </c>
      <c r="C926" t="s">
        <v>256</v>
      </c>
      <c r="D926" t="s">
        <v>684</v>
      </c>
      <c r="F926" t="s">
        <v>1673</v>
      </c>
      <c r="G926" t="s">
        <v>3840</v>
      </c>
      <c r="H926" t="s">
        <v>6260</v>
      </c>
      <c r="I926" t="s">
        <v>8196</v>
      </c>
      <c r="J926" t="s">
        <v>9065</v>
      </c>
      <c r="K926">
        <v>10452</v>
      </c>
      <c r="L926" t="s">
        <v>9094</v>
      </c>
      <c r="M926" t="s">
        <v>9095</v>
      </c>
      <c r="O926" t="s">
        <v>11147</v>
      </c>
      <c r="P926" t="s">
        <v>11165</v>
      </c>
      <c r="R926" t="s">
        <v>11180</v>
      </c>
      <c r="S926" t="s">
        <v>9094</v>
      </c>
      <c r="T926" t="s">
        <v>11183</v>
      </c>
      <c r="V926" t="s">
        <v>1005</v>
      </c>
      <c r="W926">
        <v>1285</v>
      </c>
      <c r="X926" t="s">
        <v>11333</v>
      </c>
      <c r="Y926" t="s">
        <v>11346</v>
      </c>
      <c r="Z926" t="s">
        <v>12019</v>
      </c>
      <c r="AB926" t="s">
        <v>16467</v>
      </c>
      <c r="AC926">
        <v>0</v>
      </c>
      <c r="AD926" t="s">
        <v>19566</v>
      </c>
      <c r="AF926">
        <v>14</v>
      </c>
      <c r="AG926">
        <v>1</v>
      </c>
      <c r="AH926">
        <v>4</v>
      </c>
      <c r="AI926">
        <v>37.64</v>
      </c>
      <c r="AL926" t="s">
        <v>19632</v>
      </c>
      <c r="AM926">
        <v>10704</v>
      </c>
      <c r="AS926">
        <v>0.3</v>
      </c>
      <c r="AT926" t="s">
        <v>805</v>
      </c>
      <c r="AU926" t="s">
        <v>109</v>
      </c>
    </row>
    <row r="927" spans="1:48">
      <c r="A927" s="1">
        <f>HYPERLINK("https://lsnyc.legalserver.org/matter/dynamic-profile/view/1871564","18-1871564")</f>
        <v>0</v>
      </c>
      <c r="B927" t="s">
        <v>78</v>
      </c>
      <c r="C927" t="s">
        <v>256</v>
      </c>
      <c r="D927" t="s">
        <v>389</v>
      </c>
      <c r="F927" t="s">
        <v>1683</v>
      </c>
      <c r="G927" t="s">
        <v>3853</v>
      </c>
      <c r="H927" t="s">
        <v>5809</v>
      </c>
      <c r="I927" t="s">
        <v>8360</v>
      </c>
      <c r="J927" t="s">
        <v>9059</v>
      </c>
      <c r="K927">
        <v>11212</v>
      </c>
      <c r="L927" t="s">
        <v>9094</v>
      </c>
      <c r="M927" t="s">
        <v>9095</v>
      </c>
      <c r="O927" t="s">
        <v>9121</v>
      </c>
      <c r="P927" t="s">
        <v>11167</v>
      </c>
      <c r="R927" t="s">
        <v>11180</v>
      </c>
      <c r="S927" t="s">
        <v>9094</v>
      </c>
      <c r="T927" t="s">
        <v>11183</v>
      </c>
      <c r="V927" t="s">
        <v>11214</v>
      </c>
      <c r="W927">
        <v>939.42</v>
      </c>
      <c r="X927" t="s">
        <v>11332</v>
      </c>
      <c r="Y927" t="s">
        <v>11157</v>
      </c>
      <c r="Z927" t="s">
        <v>11531</v>
      </c>
      <c r="AB927" t="s">
        <v>16484</v>
      </c>
      <c r="AC927">
        <v>32</v>
      </c>
      <c r="AD927" t="s">
        <v>19566</v>
      </c>
      <c r="AE927" t="s">
        <v>19587</v>
      </c>
      <c r="AF927">
        <v>19</v>
      </c>
      <c r="AG927">
        <v>1</v>
      </c>
      <c r="AH927">
        <v>2</v>
      </c>
      <c r="AI927">
        <v>37.65</v>
      </c>
      <c r="AL927" t="s">
        <v>19614</v>
      </c>
      <c r="AM927">
        <v>15648</v>
      </c>
      <c r="AS927">
        <v>0</v>
      </c>
      <c r="AU927" t="s">
        <v>20637</v>
      </c>
    </row>
    <row r="928" spans="1:48">
      <c r="A928" s="1">
        <f>HYPERLINK("https://lsnyc.legalserver.org/matter/dynamic-profile/view/1885460","18-1885460")</f>
        <v>0</v>
      </c>
      <c r="B928" t="s">
        <v>72</v>
      </c>
      <c r="C928" t="s">
        <v>256</v>
      </c>
      <c r="D928" t="s">
        <v>685</v>
      </c>
      <c r="F928" t="s">
        <v>1200</v>
      </c>
      <c r="G928" t="s">
        <v>3544</v>
      </c>
      <c r="H928" t="s">
        <v>6272</v>
      </c>
      <c r="I928" t="s">
        <v>8361</v>
      </c>
      <c r="J928" t="s">
        <v>9059</v>
      </c>
      <c r="K928">
        <v>11212</v>
      </c>
      <c r="L928" t="s">
        <v>9094</v>
      </c>
      <c r="M928" t="s">
        <v>9094</v>
      </c>
      <c r="N928" t="s">
        <v>9548</v>
      </c>
      <c r="O928" t="s">
        <v>11129</v>
      </c>
      <c r="P928" t="s">
        <v>11165</v>
      </c>
      <c r="R928" t="s">
        <v>11180</v>
      </c>
      <c r="S928" t="s">
        <v>9096</v>
      </c>
      <c r="T928" t="s">
        <v>11183</v>
      </c>
      <c r="V928" t="s">
        <v>784</v>
      </c>
      <c r="W928">
        <v>508</v>
      </c>
      <c r="X928" t="s">
        <v>11332</v>
      </c>
      <c r="Y928" t="s">
        <v>11336</v>
      </c>
      <c r="Z928" t="s">
        <v>12036</v>
      </c>
      <c r="AA928" t="s">
        <v>15459</v>
      </c>
      <c r="AB928" t="s">
        <v>16485</v>
      </c>
      <c r="AC928">
        <v>23</v>
      </c>
      <c r="AF928">
        <v>32</v>
      </c>
      <c r="AG928">
        <v>1</v>
      </c>
      <c r="AH928">
        <v>1</v>
      </c>
      <c r="AI928">
        <v>37.69</v>
      </c>
      <c r="AL928" t="s">
        <v>19614</v>
      </c>
      <c r="AM928">
        <v>6204</v>
      </c>
      <c r="AS928">
        <v>11.75</v>
      </c>
      <c r="AT928" t="s">
        <v>832</v>
      </c>
      <c r="AU928" t="s">
        <v>20626</v>
      </c>
    </row>
    <row r="929" spans="1:48">
      <c r="A929" s="1">
        <f>HYPERLINK("https://lsnyc.legalserver.org/matter/dynamic-profile/view/1885530","18-1885530")</f>
        <v>0</v>
      </c>
      <c r="B929" t="s">
        <v>69</v>
      </c>
      <c r="C929" t="s">
        <v>257</v>
      </c>
      <c r="D929" t="s">
        <v>634</v>
      </c>
      <c r="E929" t="s">
        <v>265</v>
      </c>
      <c r="F929" t="s">
        <v>1200</v>
      </c>
      <c r="G929" t="s">
        <v>3544</v>
      </c>
      <c r="H929" t="s">
        <v>6272</v>
      </c>
      <c r="I929" t="s">
        <v>8361</v>
      </c>
      <c r="J929" t="s">
        <v>9059</v>
      </c>
      <c r="K929">
        <v>11212</v>
      </c>
      <c r="L929" t="s">
        <v>9094</v>
      </c>
      <c r="M929" t="s">
        <v>9095</v>
      </c>
      <c r="N929" t="s">
        <v>9548</v>
      </c>
      <c r="O929" t="s">
        <v>11146</v>
      </c>
      <c r="P929" t="s">
        <v>11168</v>
      </c>
      <c r="Q929" t="s">
        <v>11177</v>
      </c>
      <c r="R929" t="s">
        <v>11180</v>
      </c>
      <c r="T929" t="s">
        <v>11184</v>
      </c>
      <c r="V929" t="s">
        <v>300</v>
      </c>
      <c r="W929">
        <v>508</v>
      </c>
      <c r="X929" t="s">
        <v>11332</v>
      </c>
      <c r="Y929" t="s">
        <v>11336</v>
      </c>
      <c r="Z929" t="s">
        <v>12036</v>
      </c>
      <c r="AB929" t="s">
        <v>16485</v>
      </c>
      <c r="AC929">
        <v>23</v>
      </c>
      <c r="AF929">
        <v>32</v>
      </c>
      <c r="AG929">
        <v>1</v>
      </c>
      <c r="AH929">
        <v>1</v>
      </c>
      <c r="AI929">
        <v>37.69</v>
      </c>
      <c r="AL929" t="s">
        <v>19614</v>
      </c>
      <c r="AM929">
        <v>6204</v>
      </c>
      <c r="AS929">
        <v>12.75</v>
      </c>
      <c r="AT929" t="s">
        <v>265</v>
      </c>
      <c r="AU929" t="s">
        <v>20626</v>
      </c>
      <c r="AV929" t="s">
        <v>20733</v>
      </c>
    </row>
    <row r="930" spans="1:48">
      <c r="A930" s="1">
        <f>HYPERLINK("https://lsnyc.legalserver.org/matter/dynamic-profile/view/1907805","19-1907805")</f>
        <v>0</v>
      </c>
      <c r="B930" t="s">
        <v>119</v>
      </c>
      <c r="C930" t="s">
        <v>256</v>
      </c>
      <c r="D930" t="s">
        <v>396</v>
      </c>
      <c r="F930" t="s">
        <v>1684</v>
      </c>
      <c r="G930" t="s">
        <v>3854</v>
      </c>
      <c r="H930" t="s">
        <v>6273</v>
      </c>
      <c r="I930" t="s">
        <v>8362</v>
      </c>
      <c r="J930" t="s">
        <v>9065</v>
      </c>
      <c r="K930">
        <v>10457</v>
      </c>
      <c r="L930" t="s">
        <v>9094</v>
      </c>
      <c r="M930" t="s">
        <v>9095</v>
      </c>
      <c r="R930" t="s">
        <v>11180</v>
      </c>
      <c r="S930" t="s">
        <v>9094</v>
      </c>
      <c r="T930" t="s">
        <v>11183</v>
      </c>
      <c r="W930">
        <v>0</v>
      </c>
      <c r="X930" t="s">
        <v>11333</v>
      </c>
      <c r="Y930" t="s">
        <v>11346</v>
      </c>
      <c r="Z930" t="s">
        <v>12037</v>
      </c>
      <c r="AB930" t="s">
        <v>16486</v>
      </c>
      <c r="AC930">
        <v>0</v>
      </c>
      <c r="AD930" t="s">
        <v>15441</v>
      </c>
      <c r="AE930" t="s">
        <v>9144</v>
      </c>
      <c r="AF930">
        <v>5</v>
      </c>
      <c r="AG930">
        <v>2</v>
      </c>
      <c r="AH930">
        <v>1</v>
      </c>
      <c r="AI930">
        <v>37.82</v>
      </c>
      <c r="AL930" t="s">
        <v>19614</v>
      </c>
      <c r="AM930">
        <v>8066.4</v>
      </c>
      <c r="AS930">
        <v>0</v>
      </c>
      <c r="AU930" t="s">
        <v>20647</v>
      </c>
      <c r="AV930" t="s">
        <v>20733</v>
      </c>
    </row>
    <row r="931" spans="1:48">
      <c r="A931" s="1">
        <f>HYPERLINK("https://lsnyc.legalserver.org/matter/dynamic-profile/view/1873178","18-1873178")</f>
        <v>0</v>
      </c>
      <c r="B931" t="s">
        <v>138</v>
      </c>
      <c r="C931" t="s">
        <v>256</v>
      </c>
      <c r="D931" t="s">
        <v>603</v>
      </c>
      <c r="F931" t="s">
        <v>1685</v>
      </c>
      <c r="G931" t="s">
        <v>3855</v>
      </c>
      <c r="H931" t="s">
        <v>5943</v>
      </c>
      <c r="I931" t="s">
        <v>8216</v>
      </c>
      <c r="J931" t="s">
        <v>9067</v>
      </c>
      <c r="K931">
        <v>10034</v>
      </c>
      <c r="L931" t="s">
        <v>9094</v>
      </c>
      <c r="M931" t="s">
        <v>9094</v>
      </c>
      <c r="N931" t="s">
        <v>9279</v>
      </c>
      <c r="O931" t="s">
        <v>11130</v>
      </c>
      <c r="P931" t="s">
        <v>11165</v>
      </c>
      <c r="R931" t="s">
        <v>11180</v>
      </c>
      <c r="S931" t="s">
        <v>9094</v>
      </c>
      <c r="T931" t="s">
        <v>11183</v>
      </c>
      <c r="V931" t="s">
        <v>603</v>
      </c>
      <c r="W931">
        <v>1585</v>
      </c>
      <c r="X931" t="s">
        <v>11335</v>
      </c>
      <c r="Y931" t="s">
        <v>11338</v>
      </c>
      <c r="Z931" t="s">
        <v>12038</v>
      </c>
      <c r="AB931" t="s">
        <v>16487</v>
      </c>
      <c r="AC931">
        <v>67</v>
      </c>
      <c r="AD931" t="s">
        <v>19566</v>
      </c>
      <c r="AE931" t="s">
        <v>9144</v>
      </c>
      <c r="AF931">
        <v>2</v>
      </c>
      <c r="AG931">
        <v>2</v>
      </c>
      <c r="AH931">
        <v>0</v>
      </c>
      <c r="AI931">
        <v>37.83</v>
      </c>
      <c r="AL931" t="s">
        <v>19614</v>
      </c>
      <c r="AM931">
        <v>6227</v>
      </c>
      <c r="AS931">
        <v>1.3</v>
      </c>
      <c r="AT931" t="s">
        <v>855</v>
      </c>
      <c r="AU931" t="s">
        <v>130</v>
      </c>
      <c r="AV931" t="s">
        <v>20733</v>
      </c>
    </row>
    <row r="932" spans="1:48">
      <c r="A932" s="1">
        <f>HYPERLINK("https://lsnyc.legalserver.org/matter/dynamic-profile/view/1915469","19-1915469")</f>
        <v>0</v>
      </c>
      <c r="B932" t="s">
        <v>136</v>
      </c>
      <c r="C932" t="s">
        <v>256</v>
      </c>
      <c r="D932" t="s">
        <v>594</v>
      </c>
      <c r="F932" t="s">
        <v>1686</v>
      </c>
      <c r="G932" t="s">
        <v>3530</v>
      </c>
      <c r="H932" t="s">
        <v>6274</v>
      </c>
      <c r="I932" t="s">
        <v>8132</v>
      </c>
      <c r="J932" t="s">
        <v>9067</v>
      </c>
      <c r="K932">
        <v>10034</v>
      </c>
      <c r="L932" t="s">
        <v>9094</v>
      </c>
      <c r="M932" t="s">
        <v>9095</v>
      </c>
      <c r="N932" t="s">
        <v>9549</v>
      </c>
      <c r="O932" t="s">
        <v>11129</v>
      </c>
      <c r="P932" t="s">
        <v>11165</v>
      </c>
      <c r="R932" t="s">
        <v>11180</v>
      </c>
      <c r="S932" t="s">
        <v>9096</v>
      </c>
      <c r="T932" t="s">
        <v>11183</v>
      </c>
      <c r="U932" t="s">
        <v>11201</v>
      </c>
      <c r="V932" t="s">
        <v>594</v>
      </c>
      <c r="W932">
        <v>1300</v>
      </c>
      <c r="X932" t="s">
        <v>11335</v>
      </c>
      <c r="Y932" t="s">
        <v>11340</v>
      </c>
      <c r="Z932" t="s">
        <v>12039</v>
      </c>
      <c r="AB932" t="s">
        <v>16488</v>
      </c>
      <c r="AC932">
        <v>66</v>
      </c>
      <c r="AD932" t="s">
        <v>19566</v>
      </c>
      <c r="AE932" t="s">
        <v>9144</v>
      </c>
      <c r="AF932">
        <v>3</v>
      </c>
      <c r="AG932">
        <v>2</v>
      </c>
      <c r="AH932">
        <v>0</v>
      </c>
      <c r="AI932">
        <v>37.85</v>
      </c>
      <c r="AL932" t="s">
        <v>19614</v>
      </c>
      <c r="AM932">
        <v>6400</v>
      </c>
      <c r="AO932" t="s">
        <v>20293</v>
      </c>
      <c r="AP932" t="s">
        <v>20309</v>
      </c>
      <c r="AQ932" t="s">
        <v>20369</v>
      </c>
      <c r="AR932" t="s">
        <v>20431</v>
      </c>
      <c r="AS932">
        <v>0.3</v>
      </c>
      <c r="AT932" t="s">
        <v>594</v>
      </c>
      <c r="AU932" t="s">
        <v>136</v>
      </c>
      <c r="AV932" t="s">
        <v>20733</v>
      </c>
    </row>
    <row r="933" spans="1:48">
      <c r="A933" s="1">
        <f>HYPERLINK("https://lsnyc.legalserver.org/matter/dynamic-profile/view/1904688","19-1904688")</f>
        <v>0</v>
      </c>
      <c r="B933" t="s">
        <v>175</v>
      </c>
      <c r="C933" t="s">
        <v>256</v>
      </c>
      <c r="D933" t="s">
        <v>497</v>
      </c>
      <c r="F933" t="s">
        <v>1687</v>
      </c>
      <c r="G933" t="s">
        <v>3856</v>
      </c>
      <c r="H933" t="s">
        <v>6275</v>
      </c>
      <c r="I933" t="s">
        <v>8363</v>
      </c>
      <c r="J933" t="s">
        <v>9067</v>
      </c>
      <c r="K933">
        <v>10128</v>
      </c>
      <c r="L933" t="s">
        <v>9094</v>
      </c>
      <c r="M933" t="s">
        <v>9095</v>
      </c>
      <c r="N933" t="s">
        <v>9550</v>
      </c>
      <c r="O933" t="s">
        <v>11128</v>
      </c>
      <c r="P933" t="s">
        <v>11165</v>
      </c>
      <c r="R933" t="s">
        <v>11180</v>
      </c>
      <c r="S933" t="s">
        <v>9096</v>
      </c>
      <c r="T933" t="s">
        <v>11183</v>
      </c>
      <c r="V933" t="s">
        <v>497</v>
      </c>
      <c r="W933">
        <v>918</v>
      </c>
      <c r="X933" t="s">
        <v>11335</v>
      </c>
      <c r="Y933" t="s">
        <v>11346</v>
      </c>
      <c r="Z933" t="s">
        <v>12040</v>
      </c>
      <c r="AA933" t="s">
        <v>15460</v>
      </c>
      <c r="AB933" t="s">
        <v>16489</v>
      </c>
      <c r="AC933">
        <v>37</v>
      </c>
      <c r="AD933" t="s">
        <v>19566</v>
      </c>
      <c r="AE933" t="s">
        <v>19585</v>
      </c>
      <c r="AF933">
        <v>21</v>
      </c>
      <c r="AG933">
        <v>1</v>
      </c>
      <c r="AH933">
        <v>0</v>
      </c>
      <c r="AI933">
        <v>37.89</v>
      </c>
      <c r="AL933" t="s">
        <v>19614</v>
      </c>
      <c r="AM933">
        <v>4732</v>
      </c>
      <c r="AS933">
        <v>10.6</v>
      </c>
      <c r="AT933" t="s">
        <v>1130</v>
      </c>
      <c r="AU933" t="s">
        <v>20659</v>
      </c>
      <c r="AV933" t="s">
        <v>20734</v>
      </c>
    </row>
    <row r="934" spans="1:48">
      <c r="A934" s="1">
        <f>HYPERLINK("https://lsnyc.legalserver.org/matter/dynamic-profile/view/1878127","18-1878127")</f>
        <v>0</v>
      </c>
      <c r="B934" t="s">
        <v>156</v>
      </c>
      <c r="C934" t="s">
        <v>256</v>
      </c>
      <c r="D934" t="s">
        <v>671</v>
      </c>
      <c r="F934" t="s">
        <v>1229</v>
      </c>
      <c r="G934" t="s">
        <v>3370</v>
      </c>
      <c r="J934" t="s">
        <v>9065</v>
      </c>
      <c r="K934">
        <v>10453</v>
      </c>
      <c r="L934" t="s">
        <v>9094</v>
      </c>
      <c r="M934" t="s">
        <v>9094</v>
      </c>
      <c r="O934" t="s">
        <v>11151</v>
      </c>
      <c r="P934" t="s">
        <v>11166</v>
      </c>
      <c r="R934" t="s">
        <v>11180</v>
      </c>
      <c r="S934" t="s">
        <v>9096</v>
      </c>
      <c r="T934" t="s">
        <v>11190</v>
      </c>
      <c r="V934" t="s">
        <v>285</v>
      </c>
      <c r="W934">
        <v>1636.37</v>
      </c>
      <c r="X934" t="s">
        <v>11333</v>
      </c>
      <c r="Y934" t="s">
        <v>11340</v>
      </c>
      <c r="Z934" t="s">
        <v>12041</v>
      </c>
      <c r="AB934" t="s">
        <v>16490</v>
      </c>
      <c r="AC934">
        <v>0</v>
      </c>
      <c r="AD934" t="s">
        <v>19566</v>
      </c>
      <c r="AE934" t="s">
        <v>19580</v>
      </c>
      <c r="AF934">
        <v>1</v>
      </c>
      <c r="AG934">
        <v>2</v>
      </c>
      <c r="AH934">
        <v>0</v>
      </c>
      <c r="AI934">
        <v>37.91</v>
      </c>
      <c r="AL934" t="s">
        <v>19614</v>
      </c>
      <c r="AM934">
        <v>6240</v>
      </c>
      <c r="AS934">
        <v>2.1</v>
      </c>
      <c r="AT934" t="s">
        <v>285</v>
      </c>
      <c r="AU934" t="s">
        <v>156</v>
      </c>
    </row>
    <row r="935" spans="1:48">
      <c r="A935" s="1">
        <f>HYPERLINK("https://lsnyc.legalserver.org/matter/dynamic-profile/view/1910328","19-1910328")</f>
        <v>0</v>
      </c>
      <c r="B935" t="s">
        <v>115</v>
      </c>
      <c r="C935" t="s">
        <v>256</v>
      </c>
      <c r="D935" t="s">
        <v>446</v>
      </c>
      <c r="F935" t="s">
        <v>1367</v>
      </c>
      <c r="G935" t="s">
        <v>3811</v>
      </c>
      <c r="H935" t="s">
        <v>5887</v>
      </c>
      <c r="I935" t="s">
        <v>8348</v>
      </c>
      <c r="J935" t="s">
        <v>9065</v>
      </c>
      <c r="K935">
        <v>10453</v>
      </c>
      <c r="L935" t="s">
        <v>9094</v>
      </c>
      <c r="M935" t="s">
        <v>9095</v>
      </c>
      <c r="N935" t="s">
        <v>9551</v>
      </c>
      <c r="R935" t="s">
        <v>11180</v>
      </c>
      <c r="S935" t="s">
        <v>9096</v>
      </c>
      <c r="T935" t="s">
        <v>11183</v>
      </c>
      <c r="W935">
        <v>856.0599999999999</v>
      </c>
      <c r="X935" t="s">
        <v>11333</v>
      </c>
      <c r="Y935" t="s">
        <v>11340</v>
      </c>
      <c r="Z935" t="s">
        <v>11975</v>
      </c>
      <c r="AB935" t="s">
        <v>16427</v>
      </c>
      <c r="AC935">
        <v>0</v>
      </c>
      <c r="AD935" t="s">
        <v>19566</v>
      </c>
      <c r="AE935" t="s">
        <v>9144</v>
      </c>
      <c r="AF935">
        <v>23</v>
      </c>
      <c r="AG935">
        <v>2</v>
      </c>
      <c r="AH935">
        <v>2</v>
      </c>
      <c r="AI935">
        <v>37.93</v>
      </c>
      <c r="AL935" t="s">
        <v>19615</v>
      </c>
      <c r="AM935">
        <v>9768</v>
      </c>
      <c r="AS935">
        <v>8.4</v>
      </c>
      <c r="AT935" t="s">
        <v>612</v>
      </c>
      <c r="AU935" t="s">
        <v>163</v>
      </c>
      <c r="AV935" t="s">
        <v>20733</v>
      </c>
    </row>
    <row r="936" spans="1:48">
      <c r="A936" s="1">
        <f>HYPERLINK("https://lsnyc.legalserver.org/matter/dynamic-profile/view/1891035","19-1891035")</f>
        <v>0</v>
      </c>
      <c r="B936" t="s">
        <v>119</v>
      </c>
      <c r="C936" t="s">
        <v>256</v>
      </c>
      <c r="D936" t="s">
        <v>554</v>
      </c>
      <c r="F936" t="s">
        <v>1688</v>
      </c>
      <c r="G936" t="s">
        <v>3857</v>
      </c>
      <c r="H936" t="s">
        <v>6095</v>
      </c>
      <c r="I936" t="s">
        <v>8364</v>
      </c>
      <c r="J936" t="s">
        <v>9065</v>
      </c>
      <c r="K936">
        <v>10456</v>
      </c>
      <c r="L936" t="s">
        <v>9094</v>
      </c>
      <c r="M936" t="s">
        <v>9094</v>
      </c>
      <c r="O936" t="s">
        <v>11134</v>
      </c>
      <c r="P936" t="s">
        <v>11164</v>
      </c>
      <c r="R936" t="s">
        <v>11180</v>
      </c>
      <c r="S936" t="s">
        <v>9094</v>
      </c>
      <c r="T936" t="s">
        <v>11183</v>
      </c>
      <c r="V936" t="s">
        <v>512</v>
      </c>
      <c r="W936">
        <v>0</v>
      </c>
      <c r="X936" t="s">
        <v>11333</v>
      </c>
      <c r="Y936" t="s">
        <v>11346</v>
      </c>
      <c r="Z936" t="s">
        <v>12042</v>
      </c>
      <c r="AC936">
        <v>131</v>
      </c>
      <c r="AD936" t="s">
        <v>19566</v>
      </c>
      <c r="AE936" t="s">
        <v>9144</v>
      </c>
      <c r="AF936">
        <v>0</v>
      </c>
      <c r="AG936">
        <v>4</v>
      </c>
      <c r="AH936">
        <v>0</v>
      </c>
      <c r="AI936">
        <v>37.98</v>
      </c>
      <c r="AL936" t="s">
        <v>19614</v>
      </c>
      <c r="AM936">
        <v>9780</v>
      </c>
      <c r="AS936">
        <v>1.5</v>
      </c>
      <c r="AT936" t="s">
        <v>791</v>
      </c>
      <c r="AU936" t="s">
        <v>163</v>
      </c>
    </row>
    <row r="937" spans="1:48">
      <c r="A937" s="1">
        <f>HYPERLINK("https://lsnyc.legalserver.org/matter/dynamic-profile/view/1860289","18-1860289")</f>
        <v>0</v>
      </c>
      <c r="B937" t="s">
        <v>176</v>
      </c>
      <c r="C937" t="s">
        <v>256</v>
      </c>
      <c r="D937" t="s">
        <v>364</v>
      </c>
      <c r="F937" t="s">
        <v>1689</v>
      </c>
      <c r="G937" t="s">
        <v>3858</v>
      </c>
      <c r="H937" t="s">
        <v>6276</v>
      </c>
      <c r="I937">
        <v>41</v>
      </c>
      <c r="J937" t="s">
        <v>9065</v>
      </c>
      <c r="K937">
        <v>10453</v>
      </c>
      <c r="L937" t="s">
        <v>9094</v>
      </c>
      <c r="M937" t="s">
        <v>9094</v>
      </c>
      <c r="N937" t="s">
        <v>9552</v>
      </c>
      <c r="O937" t="s">
        <v>11129</v>
      </c>
      <c r="P937" t="s">
        <v>11165</v>
      </c>
      <c r="R937" t="s">
        <v>11180</v>
      </c>
      <c r="S937" t="s">
        <v>9096</v>
      </c>
      <c r="T937" t="s">
        <v>11183</v>
      </c>
      <c r="U937" t="s">
        <v>11200</v>
      </c>
      <c r="V937" t="s">
        <v>364</v>
      </c>
      <c r="W937">
        <v>1366.27</v>
      </c>
      <c r="X937" t="s">
        <v>11333</v>
      </c>
      <c r="Y937" t="s">
        <v>11349</v>
      </c>
      <c r="Z937" t="s">
        <v>12043</v>
      </c>
      <c r="AC937">
        <v>32</v>
      </c>
      <c r="AD937" t="s">
        <v>19566</v>
      </c>
      <c r="AE937" t="s">
        <v>9144</v>
      </c>
      <c r="AF937">
        <v>16</v>
      </c>
      <c r="AG937">
        <v>3</v>
      </c>
      <c r="AH937">
        <v>8</v>
      </c>
      <c r="AI937">
        <v>38.04</v>
      </c>
      <c r="AL937" t="s">
        <v>19615</v>
      </c>
      <c r="AM937">
        <v>20488</v>
      </c>
      <c r="AS937">
        <v>95.3</v>
      </c>
      <c r="AT937" t="s">
        <v>487</v>
      </c>
      <c r="AU937" t="s">
        <v>163</v>
      </c>
    </row>
    <row r="938" spans="1:48">
      <c r="A938" s="1">
        <f>HYPERLINK("https://lsnyc.legalserver.org/matter/dynamic-profile/view/1901574","19-1901574")</f>
        <v>0</v>
      </c>
      <c r="B938" t="s">
        <v>126</v>
      </c>
      <c r="C938" t="s">
        <v>256</v>
      </c>
      <c r="D938" t="s">
        <v>298</v>
      </c>
      <c r="F938" t="s">
        <v>1640</v>
      </c>
      <c r="G938" t="s">
        <v>3220</v>
      </c>
      <c r="H938" t="s">
        <v>6208</v>
      </c>
      <c r="I938">
        <v>1</v>
      </c>
      <c r="J938" t="s">
        <v>9066</v>
      </c>
      <c r="K938">
        <v>10302</v>
      </c>
      <c r="L938" t="s">
        <v>9094</v>
      </c>
      <c r="M938" t="s">
        <v>9095</v>
      </c>
      <c r="O938" t="s">
        <v>11128</v>
      </c>
      <c r="P938" t="s">
        <v>11169</v>
      </c>
      <c r="R938" t="s">
        <v>11181</v>
      </c>
      <c r="T938" t="s">
        <v>11183</v>
      </c>
      <c r="W938">
        <v>1300</v>
      </c>
      <c r="X938" t="s">
        <v>11334</v>
      </c>
      <c r="Y938" t="s">
        <v>11340</v>
      </c>
      <c r="Z938" t="s">
        <v>12044</v>
      </c>
      <c r="AC938">
        <v>0</v>
      </c>
      <c r="AF938">
        <v>6</v>
      </c>
      <c r="AG938">
        <v>4</v>
      </c>
      <c r="AH938">
        <v>2</v>
      </c>
      <c r="AI938">
        <v>38.16</v>
      </c>
      <c r="AJ938" t="s">
        <v>19591</v>
      </c>
      <c r="AK938" t="s">
        <v>19608</v>
      </c>
      <c r="AL938" t="s">
        <v>19615</v>
      </c>
      <c r="AM938">
        <v>13200</v>
      </c>
      <c r="AS938">
        <v>1</v>
      </c>
      <c r="AT938" t="s">
        <v>988</v>
      </c>
      <c r="AU938" t="s">
        <v>126</v>
      </c>
    </row>
    <row r="939" spans="1:48">
      <c r="A939" s="1">
        <f>HYPERLINK("https://lsnyc.legalserver.org/matter/dynamic-profile/view/1871738","18-1871738")</f>
        <v>0</v>
      </c>
      <c r="B939" t="s">
        <v>78</v>
      </c>
      <c r="C939" t="s">
        <v>256</v>
      </c>
      <c r="D939" t="s">
        <v>686</v>
      </c>
      <c r="F939" t="s">
        <v>1690</v>
      </c>
      <c r="G939" t="s">
        <v>3859</v>
      </c>
      <c r="H939" t="s">
        <v>6277</v>
      </c>
      <c r="I939" t="s">
        <v>8151</v>
      </c>
      <c r="J939" t="s">
        <v>9059</v>
      </c>
      <c r="K939">
        <v>11206</v>
      </c>
      <c r="L939" t="s">
        <v>9094</v>
      </c>
      <c r="M939" t="s">
        <v>9094</v>
      </c>
      <c r="N939" t="s">
        <v>9553</v>
      </c>
      <c r="O939" t="s">
        <v>11134</v>
      </c>
      <c r="P939" t="s">
        <v>11168</v>
      </c>
      <c r="R939" t="s">
        <v>11180</v>
      </c>
      <c r="S939" t="s">
        <v>9094</v>
      </c>
      <c r="T939" t="s">
        <v>11183</v>
      </c>
      <c r="V939" t="s">
        <v>686</v>
      </c>
      <c r="W939">
        <v>1291.45</v>
      </c>
      <c r="X939" t="s">
        <v>11332</v>
      </c>
      <c r="Z939" t="s">
        <v>12045</v>
      </c>
      <c r="AB939" t="s">
        <v>16491</v>
      </c>
      <c r="AC939">
        <v>29</v>
      </c>
      <c r="AD939" t="s">
        <v>19566</v>
      </c>
      <c r="AE939" t="s">
        <v>19580</v>
      </c>
      <c r="AF939">
        <v>23</v>
      </c>
      <c r="AG939">
        <v>3</v>
      </c>
      <c r="AH939">
        <v>0</v>
      </c>
      <c r="AI939">
        <v>38.2</v>
      </c>
      <c r="AL939" t="s">
        <v>19614</v>
      </c>
      <c r="AM939">
        <v>7938</v>
      </c>
      <c r="AN939" t="s">
        <v>19747</v>
      </c>
      <c r="AS939">
        <v>11.45</v>
      </c>
      <c r="AT939" t="s">
        <v>791</v>
      </c>
      <c r="AU939" t="s">
        <v>20637</v>
      </c>
    </row>
    <row r="940" spans="1:48">
      <c r="A940" s="1">
        <f>HYPERLINK("https://lsnyc.legalserver.org/matter/dynamic-profile/view/1908630","19-1908630")</f>
        <v>0</v>
      </c>
      <c r="B940" t="s">
        <v>74</v>
      </c>
      <c r="C940" t="s">
        <v>256</v>
      </c>
      <c r="D940" t="s">
        <v>574</v>
      </c>
      <c r="F940" t="s">
        <v>1691</v>
      </c>
      <c r="G940" t="s">
        <v>3860</v>
      </c>
      <c r="H940" t="s">
        <v>6278</v>
      </c>
      <c r="I940">
        <v>219</v>
      </c>
      <c r="J940" t="s">
        <v>9059</v>
      </c>
      <c r="K940">
        <v>11212</v>
      </c>
      <c r="L940" t="s">
        <v>9094</v>
      </c>
      <c r="M940" t="s">
        <v>9095</v>
      </c>
      <c r="N940" t="s">
        <v>9554</v>
      </c>
      <c r="O940" t="s">
        <v>11129</v>
      </c>
      <c r="P940" t="s">
        <v>11169</v>
      </c>
      <c r="R940" t="s">
        <v>11180</v>
      </c>
      <c r="S940" t="s">
        <v>9096</v>
      </c>
      <c r="T940" t="s">
        <v>11183</v>
      </c>
      <c r="U940" t="s">
        <v>11201</v>
      </c>
      <c r="V940" t="s">
        <v>341</v>
      </c>
      <c r="W940">
        <v>895.23</v>
      </c>
      <c r="X940" t="s">
        <v>11332</v>
      </c>
      <c r="Y940" t="s">
        <v>11342</v>
      </c>
      <c r="Z940" t="s">
        <v>12046</v>
      </c>
      <c r="AA940" t="s">
        <v>15290</v>
      </c>
      <c r="AB940" t="s">
        <v>16492</v>
      </c>
      <c r="AC940">
        <v>132</v>
      </c>
      <c r="AD940" t="s">
        <v>19566</v>
      </c>
      <c r="AF940">
        <v>1</v>
      </c>
      <c r="AG940">
        <v>1</v>
      </c>
      <c r="AH940">
        <v>0</v>
      </c>
      <c r="AI940">
        <v>38.24</v>
      </c>
      <c r="AL940" t="s">
        <v>19614</v>
      </c>
      <c r="AM940">
        <v>4776</v>
      </c>
      <c r="AS940">
        <v>9.1</v>
      </c>
      <c r="AT940" t="s">
        <v>377</v>
      </c>
      <c r="AU940" t="s">
        <v>20629</v>
      </c>
      <c r="AV940" t="s">
        <v>20733</v>
      </c>
    </row>
    <row r="941" spans="1:48">
      <c r="A941" s="1">
        <f>HYPERLINK("https://lsnyc.legalserver.org/matter/dynamic-profile/view/1897636","19-1897636")</f>
        <v>0</v>
      </c>
      <c r="B941" t="s">
        <v>138</v>
      </c>
      <c r="C941" t="s">
        <v>256</v>
      </c>
      <c r="D941" t="s">
        <v>617</v>
      </c>
      <c r="F941" t="s">
        <v>1692</v>
      </c>
      <c r="G941" t="s">
        <v>1404</v>
      </c>
      <c r="H941" t="s">
        <v>6279</v>
      </c>
      <c r="I941">
        <v>24</v>
      </c>
      <c r="J941" t="s">
        <v>9067</v>
      </c>
      <c r="K941">
        <v>10033</v>
      </c>
      <c r="L941" t="s">
        <v>9094</v>
      </c>
      <c r="M941" t="s">
        <v>9094</v>
      </c>
      <c r="O941" t="s">
        <v>11128</v>
      </c>
      <c r="P941" t="s">
        <v>11165</v>
      </c>
      <c r="R941" t="s">
        <v>11180</v>
      </c>
      <c r="S941" t="s">
        <v>9096</v>
      </c>
      <c r="T941" t="s">
        <v>11183</v>
      </c>
      <c r="V941" t="s">
        <v>617</v>
      </c>
      <c r="W941">
        <v>816.66</v>
      </c>
      <c r="X941" t="s">
        <v>11335</v>
      </c>
      <c r="Y941" t="s">
        <v>11340</v>
      </c>
      <c r="Z941" t="s">
        <v>12047</v>
      </c>
      <c r="AB941" t="s">
        <v>16493</v>
      </c>
      <c r="AC941">
        <v>20</v>
      </c>
      <c r="AD941" t="s">
        <v>19566</v>
      </c>
      <c r="AE941" t="s">
        <v>9144</v>
      </c>
      <c r="AF941">
        <v>23</v>
      </c>
      <c r="AG941">
        <v>1</v>
      </c>
      <c r="AH941">
        <v>0</v>
      </c>
      <c r="AI941">
        <v>38.24</v>
      </c>
      <c r="AL941" t="s">
        <v>19615</v>
      </c>
      <c r="AM941">
        <v>4776</v>
      </c>
      <c r="AS941">
        <v>3.7</v>
      </c>
      <c r="AT941" t="s">
        <v>669</v>
      </c>
      <c r="AU941" t="s">
        <v>130</v>
      </c>
      <c r="AV941" t="s">
        <v>20733</v>
      </c>
    </row>
    <row r="942" spans="1:48">
      <c r="A942" s="1">
        <f>HYPERLINK("https://lsnyc.legalserver.org/matter/dynamic-profile/view/1897622","19-1897622")</f>
        <v>0</v>
      </c>
      <c r="B942" t="s">
        <v>138</v>
      </c>
      <c r="C942" t="s">
        <v>256</v>
      </c>
      <c r="D942" t="s">
        <v>617</v>
      </c>
      <c r="F942" t="s">
        <v>1692</v>
      </c>
      <c r="G942" t="s">
        <v>1404</v>
      </c>
      <c r="H942" t="s">
        <v>6279</v>
      </c>
      <c r="I942">
        <v>24</v>
      </c>
      <c r="J942" t="s">
        <v>9067</v>
      </c>
      <c r="K942">
        <v>10033</v>
      </c>
      <c r="L942" t="s">
        <v>9094</v>
      </c>
      <c r="M942" t="s">
        <v>9094</v>
      </c>
      <c r="N942" t="s">
        <v>9555</v>
      </c>
      <c r="O942" t="s">
        <v>11129</v>
      </c>
      <c r="P942" t="s">
        <v>11165</v>
      </c>
      <c r="R942" t="s">
        <v>11180</v>
      </c>
      <c r="S942" t="s">
        <v>9096</v>
      </c>
      <c r="T942" t="s">
        <v>11183</v>
      </c>
      <c r="V942" t="s">
        <v>288</v>
      </c>
      <c r="W942">
        <v>816.66</v>
      </c>
      <c r="X942" t="s">
        <v>11335</v>
      </c>
      <c r="Y942" t="s">
        <v>11338</v>
      </c>
      <c r="Z942" t="s">
        <v>12047</v>
      </c>
      <c r="AB942" t="s">
        <v>16493</v>
      </c>
      <c r="AC942">
        <v>20</v>
      </c>
      <c r="AD942" t="s">
        <v>19566</v>
      </c>
      <c r="AE942" t="s">
        <v>9144</v>
      </c>
      <c r="AF942">
        <v>23</v>
      </c>
      <c r="AG942">
        <v>1</v>
      </c>
      <c r="AH942">
        <v>0</v>
      </c>
      <c r="AI942">
        <v>38.24</v>
      </c>
      <c r="AL942" t="s">
        <v>19615</v>
      </c>
      <c r="AM942">
        <v>4776</v>
      </c>
      <c r="AS942">
        <v>10.7</v>
      </c>
      <c r="AT942" t="s">
        <v>283</v>
      </c>
      <c r="AU942" t="s">
        <v>130</v>
      </c>
      <c r="AV942" t="s">
        <v>20733</v>
      </c>
    </row>
    <row r="943" spans="1:48">
      <c r="A943" s="1">
        <f>HYPERLINK("https://lsnyc.legalserver.org/matter/dynamic-profile/view/1897652","19-1897652")</f>
        <v>0</v>
      </c>
      <c r="B943" t="s">
        <v>138</v>
      </c>
      <c r="C943" t="s">
        <v>256</v>
      </c>
      <c r="D943" t="s">
        <v>617</v>
      </c>
      <c r="F943" t="s">
        <v>1692</v>
      </c>
      <c r="G943" t="s">
        <v>1404</v>
      </c>
      <c r="H943" t="s">
        <v>6279</v>
      </c>
      <c r="I943">
        <v>24</v>
      </c>
      <c r="J943" t="s">
        <v>9067</v>
      </c>
      <c r="K943">
        <v>10033</v>
      </c>
      <c r="L943" t="s">
        <v>9094</v>
      </c>
      <c r="M943" t="s">
        <v>9094</v>
      </c>
      <c r="O943" t="s">
        <v>11133</v>
      </c>
      <c r="P943" t="s">
        <v>11167</v>
      </c>
      <c r="R943" t="s">
        <v>11180</v>
      </c>
      <c r="S943" t="s">
        <v>9096</v>
      </c>
      <c r="T943" t="s">
        <v>11183</v>
      </c>
      <c r="V943" t="s">
        <v>617</v>
      </c>
      <c r="W943">
        <v>816.66</v>
      </c>
      <c r="X943" t="s">
        <v>11335</v>
      </c>
      <c r="Y943" t="s">
        <v>11340</v>
      </c>
      <c r="Z943" t="s">
        <v>12047</v>
      </c>
      <c r="AB943" t="s">
        <v>16493</v>
      </c>
      <c r="AC943">
        <v>20</v>
      </c>
      <c r="AD943" t="s">
        <v>19566</v>
      </c>
      <c r="AE943" t="s">
        <v>9144</v>
      </c>
      <c r="AF943">
        <v>23</v>
      </c>
      <c r="AG943">
        <v>1</v>
      </c>
      <c r="AH943">
        <v>0</v>
      </c>
      <c r="AI943">
        <v>38.24</v>
      </c>
      <c r="AL943" t="s">
        <v>19615</v>
      </c>
      <c r="AM943">
        <v>4776</v>
      </c>
      <c r="AS943">
        <v>0</v>
      </c>
      <c r="AT943" t="s">
        <v>777</v>
      </c>
      <c r="AU943" t="s">
        <v>130</v>
      </c>
      <c r="AV943" t="s">
        <v>20733</v>
      </c>
    </row>
    <row r="944" spans="1:48">
      <c r="A944" s="1">
        <f>HYPERLINK("https://lsnyc.legalserver.org/matter/dynamic-profile/view/1858775","18-1858775")</f>
        <v>0</v>
      </c>
      <c r="B944" t="s">
        <v>113</v>
      </c>
      <c r="C944" t="s">
        <v>256</v>
      </c>
      <c r="D944" t="s">
        <v>687</v>
      </c>
      <c r="F944" t="s">
        <v>1693</v>
      </c>
      <c r="G944" t="s">
        <v>3097</v>
      </c>
      <c r="H944" t="s">
        <v>6280</v>
      </c>
      <c r="I944">
        <v>305</v>
      </c>
      <c r="J944" t="s">
        <v>9065</v>
      </c>
      <c r="K944">
        <v>10452</v>
      </c>
      <c r="L944" t="s">
        <v>9094</v>
      </c>
      <c r="M944" t="s">
        <v>9095</v>
      </c>
      <c r="N944" t="s">
        <v>9556</v>
      </c>
      <c r="O944" t="s">
        <v>11128</v>
      </c>
      <c r="P944" t="s">
        <v>11165</v>
      </c>
      <c r="R944" t="s">
        <v>11180</v>
      </c>
      <c r="S944" t="s">
        <v>9096</v>
      </c>
      <c r="T944" t="s">
        <v>11183</v>
      </c>
      <c r="V944" t="s">
        <v>843</v>
      </c>
      <c r="W944">
        <v>995</v>
      </c>
      <c r="X944" t="s">
        <v>11333</v>
      </c>
      <c r="Y944" t="s">
        <v>11344</v>
      </c>
      <c r="Z944" t="s">
        <v>12048</v>
      </c>
      <c r="AA944" t="s">
        <v>15461</v>
      </c>
      <c r="AB944" t="s">
        <v>16494</v>
      </c>
      <c r="AC944">
        <v>163</v>
      </c>
      <c r="AD944" t="s">
        <v>19566</v>
      </c>
      <c r="AE944" t="s">
        <v>19580</v>
      </c>
      <c r="AF944">
        <v>8</v>
      </c>
      <c r="AG944">
        <v>4</v>
      </c>
      <c r="AH944">
        <v>0</v>
      </c>
      <c r="AI944">
        <v>38.25</v>
      </c>
      <c r="AL944" t="s">
        <v>19615</v>
      </c>
      <c r="AM944">
        <v>9600</v>
      </c>
      <c r="AN944" t="s">
        <v>19699</v>
      </c>
      <c r="AS944">
        <v>93.90000000000001</v>
      </c>
      <c r="AT944" t="s">
        <v>286</v>
      </c>
      <c r="AU944" t="s">
        <v>247</v>
      </c>
    </row>
    <row r="945" spans="1:48">
      <c r="A945" s="1">
        <f>HYPERLINK("https://lsnyc.legalserver.org/matter/dynamic-profile/view/1884734","18-1884734")</f>
        <v>0</v>
      </c>
      <c r="B945" t="s">
        <v>69</v>
      </c>
      <c r="C945" t="s">
        <v>257</v>
      </c>
      <c r="D945" t="s">
        <v>622</v>
      </c>
      <c r="E945" t="s">
        <v>326</v>
      </c>
      <c r="F945" t="s">
        <v>1143</v>
      </c>
      <c r="G945" t="s">
        <v>3861</v>
      </c>
      <c r="H945" t="s">
        <v>6176</v>
      </c>
      <c r="I945" t="s">
        <v>8142</v>
      </c>
      <c r="J945" t="s">
        <v>9059</v>
      </c>
      <c r="K945">
        <v>11237</v>
      </c>
      <c r="L945" t="s">
        <v>9094</v>
      </c>
      <c r="M945" t="s">
        <v>9094</v>
      </c>
      <c r="N945" t="s">
        <v>9121</v>
      </c>
      <c r="O945" t="s">
        <v>11139</v>
      </c>
      <c r="P945" t="s">
        <v>11168</v>
      </c>
      <c r="Q945" t="s">
        <v>11178</v>
      </c>
      <c r="R945" t="s">
        <v>11180</v>
      </c>
      <c r="S945" t="s">
        <v>9096</v>
      </c>
      <c r="T945" t="s">
        <v>11184</v>
      </c>
      <c r="U945" t="s">
        <v>11200</v>
      </c>
      <c r="V945" t="s">
        <v>364</v>
      </c>
      <c r="W945">
        <v>978</v>
      </c>
      <c r="X945" t="s">
        <v>11332</v>
      </c>
      <c r="Y945" t="s">
        <v>11346</v>
      </c>
      <c r="Z945" t="s">
        <v>12049</v>
      </c>
      <c r="AA945" t="s">
        <v>15462</v>
      </c>
      <c r="AB945" t="s">
        <v>16495</v>
      </c>
      <c r="AC945">
        <v>8</v>
      </c>
      <c r="AD945" t="s">
        <v>19566</v>
      </c>
      <c r="AF945">
        <v>20</v>
      </c>
      <c r="AG945">
        <v>1</v>
      </c>
      <c r="AH945">
        <v>0</v>
      </c>
      <c r="AI945">
        <v>38.34</v>
      </c>
      <c r="AL945" t="s">
        <v>19614</v>
      </c>
      <c r="AM945">
        <v>4654</v>
      </c>
      <c r="AN945" t="s">
        <v>19748</v>
      </c>
      <c r="AS945">
        <v>56</v>
      </c>
      <c r="AT945" t="s">
        <v>326</v>
      </c>
      <c r="AU945" t="s">
        <v>95</v>
      </c>
    </row>
    <row r="946" spans="1:48">
      <c r="A946" s="1">
        <f>HYPERLINK("https://lsnyc.legalserver.org/matter/dynamic-profile/view/1886330","18-1886330")</f>
        <v>0</v>
      </c>
      <c r="B946" t="s">
        <v>64</v>
      </c>
      <c r="C946" t="s">
        <v>257</v>
      </c>
      <c r="D946" t="s">
        <v>688</v>
      </c>
      <c r="E946" t="s">
        <v>367</v>
      </c>
      <c r="F946" t="s">
        <v>1144</v>
      </c>
      <c r="G946" t="s">
        <v>1305</v>
      </c>
      <c r="H946" t="s">
        <v>6266</v>
      </c>
      <c r="I946" t="s">
        <v>8359</v>
      </c>
      <c r="J946" t="s">
        <v>9059</v>
      </c>
      <c r="K946">
        <v>11208</v>
      </c>
      <c r="L946" t="s">
        <v>9094</v>
      </c>
      <c r="M946" t="s">
        <v>9094</v>
      </c>
      <c r="N946" t="s">
        <v>9542</v>
      </c>
      <c r="O946" t="s">
        <v>11129</v>
      </c>
      <c r="P946" t="s">
        <v>11165</v>
      </c>
      <c r="Q946" t="s">
        <v>11174</v>
      </c>
      <c r="R946" t="s">
        <v>11180</v>
      </c>
      <c r="S946" t="s">
        <v>9096</v>
      </c>
      <c r="T946" t="s">
        <v>11183</v>
      </c>
      <c r="U946" t="s">
        <v>11201</v>
      </c>
      <c r="V946" t="s">
        <v>688</v>
      </c>
      <c r="W946">
        <v>247</v>
      </c>
      <c r="X946" t="s">
        <v>11332</v>
      </c>
      <c r="Y946" t="s">
        <v>11339</v>
      </c>
      <c r="Z946" t="s">
        <v>12029</v>
      </c>
      <c r="AB946" t="s">
        <v>16478</v>
      </c>
      <c r="AC946">
        <v>0</v>
      </c>
      <c r="AD946" t="s">
        <v>19567</v>
      </c>
      <c r="AF946">
        <v>9</v>
      </c>
      <c r="AG946">
        <v>1</v>
      </c>
      <c r="AH946">
        <v>0</v>
      </c>
      <c r="AI946">
        <v>38.35</v>
      </c>
      <c r="AL946" t="s">
        <v>19614</v>
      </c>
      <c r="AM946">
        <v>4656</v>
      </c>
      <c r="AP946" t="s">
        <v>20309</v>
      </c>
      <c r="AQ946" t="s">
        <v>20369</v>
      </c>
      <c r="AR946" t="s">
        <v>20432</v>
      </c>
      <c r="AS946">
        <v>18.3</v>
      </c>
      <c r="AT946" t="s">
        <v>367</v>
      </c>
      <c r="AU946" t="s">
        <v>20638</v>
      </c>
    </row>
    <row r="947" spans="1:48">
      <c r="A947" s="1">
        <f>HYPERLINK("https://lsnyc.legalserver.org/matter/dynamic-profile/view/1906765","19-1906765")</f>
        <v>0</v>
      </c>
      <c r="B947" t="s">
        <v>57</v>
      </c>
      <c r="C947" t="s">
        <v>256</v>
      </c>
      <c r="D947" t="s">
        <v>474</v>
      </c>
      <c r="F947" t="s">
        <v>1694</v>
      </c>
      <c r="G947" t="s">
        <v>3862</v>
      </c>
      <c r="H947" t="s">
        <v>6281</v>
      </c>
      <c r="J947" t="s">
        <v>9038</v>
      </c>
      <c r="K947">
        <v>11691</v>
      </c>
      <c r="L947" t="s">
        <v>9095</v>
      </c>
      <c r="M947" t="s">
        <v>9095</v>
      </c>
      <c r="O947" t="s">
        <v>9121</v>
      </c>
      <c r="P947" t="s">
        <v>11165</v>
      </c>
      <c r="R947" t="s">
        <v>11180</v>
      </c>
      <c r="T947" t="s">
        <v>11183</v>
      </c>
      <c r="W947">
        <v>1650</v>
      </c>
      <c r="X947" t="s">
        <v>11331</v>
      </c>
      <c r="Z947" t="s">
        <v>12050</v>
      </c>
      <c r="AB947" t="s">
        <v>16496</v>
      </c>
      <c r="AC947">
        <v>0</v>
      </c>
      <c r="AD947" t="s">
        <v>15441</v>
      </c>
      <c r="AE947" t="s">
        <v>9144</v>
      </c>
      <c r="AF947">
        <v>2</v>
      </c>
      <c r="AG947">
        <v>1</v>
      </c>
      <c r="AH947">
        <v>0</v>
      </c>
      <c r="AI947">
        <v>38.43</v>
      </c>
      <c r="AL947" t="s">
        <v>19614</v>
      </c>
      <c r="AM947">
        <v>4800</v>
      </c>
      <c r="AS947">
        <v>7.75</v>
      </c>
      <c r="AT947" t="s">
        <v>594</v>
      </c>
      <c r="AU947" t="s">
        <v>20660</v>
      </c>
    </row>
    <row r="948" spans="1:48">
      <c r="A948" s="1">
        <f>HYPERLINK("https://lsnyc.legalserver.org/matter/dynamic-profile/view/1912848","19-1912848")</f>
        <v>0</v>
      </c>
      <c r="B948" t="s">
        <v>73</v>
      </c>
      <c r="C948" t="s">
        <v>256</v>
      </c>
      <c r="D948" t="s">
        <v>563</v>
      </c>
      <c r="F948" t="s">
        <v>1227</v>
      </c>
      <c r="G948" t="s">
        <v>3863</v>
      </c>
      <c r="H948" t="s">
        <v>6282</v>
      </c>
      <c r="I948" t="s">
        <v>8365</v>
      </c>
      <c r="J948" t="s">
        <v>9059</v>
      </c>
      <c r="K948">
        <v>11208</v>
      </c>
      <c r="L948" t="s">
        <v>9094</v>
      </c>
      <c r="M948" t="s">
        <v>9095</v>
      </c>
      <c r="N948" t="s">
        <v>9557</v>
      </c>
      <c r="O948" t="s">
        <v>11128</v>
      </c>
      <c r="P948" t="s">
        <v>11165</v>
      </c>
      <c r="R948" t="s">
        <v>11180</v>
      </c>
      <c r="S948" t="s">
        <v>9096</v>
      </c>
      <c r="T948" t="s">
        <v>11183</v>
      </c>
      <c r="U948" t="s">
        <v>11201</v>
      </c>
      <c r="V948" t="s">
        <v>1063</v>
      </c>
      <c r="W948">
        <v>800</v>
      </c>
      <c r="X948" t="s">
        <v>11332</v>
      </c>
      <c r="Y948" t="s">
        <v>11336</v>
      </c>
      <c r="Z948" t="s">
        <v>12051</v>
      </c>
      <c r="AA948">
        <v>6270460</v>
      </c>
      <c r="AB948" t="s">
        <v>16497</v>
      </c>
      <c r="AC948">
        <v>3</v>
      </c>
      <c r="AD948" t="s">
        <v>19565</v>
      </c>
      <c r="AE948" t="s">
        <v>19581</v>
      </c>
      <c r="AF948">
        <v>1</v>
      </c>
      <c r="AG948">
        <v>1</v>
      </c>
      <c r="AH948">
        <v>0</v>
      </c>
      <c r="AI948">
        <v>38.43</v>
      </c>
      <c r="AL948" t="s">
        <v>19614</v>
      </c>
      <c r="AM948">
        <v>4800</v>
      </c>
      <c r="AS948">
        <v>0.3</v>
      </c>
      <c r="AT948" t="s">
        <v>487</v>
      </c>
      <c r="AU948" t="s">
        <v>95</v>
      </c>
      <c r="AV948" t="s">
        <v>20733</v>
      </c>
    </row>
    <row r="949" spans="1:48">
      <c r="A949" s="1">
        <f>HYPERLINK("https://lsnyc.legalserver.org/matter/dynamic-profile/view/1909791","19-1909791")</f>
        <v>0</v>
      </c>
      <c r="B949" t="s">
        <v>113</v>
      </c>
      <c r="C949" t="s">
        <v>257</v>
      </c>
      <c r="D949" t="s">
        <v>425</v>
      </c>
      <c r="E949" t="s">
        <v>442</v>
      </c>
      <c r="F949" t="s">
        <v>1144</v>
      </c>
      <c r="G949" t="s">
        <v>3519</v>
      </c>
      <c r="H949" t="s">
        <v>5875</v>
      </c>
      <c r="J949" t="s">
        <v>9065</v>
      </c>
      <c r="K949">
        <v>10457</v>
      </c>
      <c r="L949" t="s">
        <v>9094</v>
      </c>
      <c r="M949" t="s">
        <v>9095</v>
      </c>
      <c r="N949" t="s">
        <v>9558</v>
      </c>
      <c r="O949" t="s">
        <v>11129</v>
      </c>
      <c r="P949" t="s">
        <v>11164</v>
      </c>
      <c r="Q949" t="s">
        <v>11172</v>
      </c>
      <c r="R949" t="s">
        <v>11180</v>
      </c>
      <c r="S949" t="s">
        <v>9096</v>
      </c>
      <c r="T949" t="s">
        <v>11189</v>
      </c>
      <c r="V949" t="s">
        <v>295</v>
      </c>
      <c r="W949">
        <v>0</v>
      </c>
      <c r="X949" t="s">
        <v>11333</v>
      </c>
      <c r="Z949" t="s">
        <v>11581</v>
      </c>
      <c r="AC949">
        <v>95</v>
      </c>
      <c r="AF949">
        <v>0</v>
      </c>
      <c r="AG949">
        <v>1</v>
      </c>
      <c r="AH949">
        <v>0</v>
      </c>
      <c r="AI949">
        <v>38.43</v>
      </c>
      <c r="AM949">
        <v>4800</v>
      </c>
      <c r="AS949">
        <v>0.3</v>
      </c>
      <c r="AT949" t="s">
        <v>435</v>
      </c>
      <c r="AU949" t="s">
        <v>113</v>
      </c>
      <c r="AV949" t="s">
        <v>20733</v>
      </c>
    </row>
    <row r="950" spans="1:48">
      <c r="A950" s="1">
        <f>HYPERLINK("https://lsnyc.legalserver.org/matter/dynamic-profile/view/1913308","19-1913308")</f>
        <v>0</v>
      </c>
      <c r="B950" t="s">
        <v>136</v>
      </c>
      <c r="C950" t="s">
        <v>256</v>
      </c>
      <c r="D950" t="s">
        <v>286</v>
      </c>
      <c r="F950" t="s">
        <v>1416</v>
      </c>
      <c r="G950" t="s">
        <v>3864</v>
      </c>
      <c r="H950" t="s">
        <v>5961</v>
      </c>
      <c r="I950">
        <v>201</v>
      </c>
      <c r="J950" t="s">
        <v>9067</v>
      </c>
      <c r="K950">
        <v>10029</v>
      </c>
      <c r="L950" t="s">
        <v>9094</v>
      </c>
      <c r="M950" t="s">
        <v>9095</v>
      </c>
      <c r="O950" t="s">
        <v>11130</v>
      </c>
      <c r="P950" t="s">
        <v>11164</v>
      </c>
      <c r="R950" t="s">
        <v>11180</v>
      </c>
      <c r="S950" t="s">
        <v>9094</v>
      </c>
      <c r="T950" t="s">
        <v>11183</v>
      </c>
      <c r="U950" t="s">
        <v>11201</v>
      </c>
      <c r="V950" t="s">
        <v>1063</v>
      </c>
      <c r="W950">
        <v>48</v>
      </c>
      <c r="X950" t="s">
        <v>11335</v>
      </c>
      <c r="Y950" t="s">
        <v>11340</v>
      </c>
      <c r="Z950" t="s">
        <v>12052</v>
      </c>
      <c r="AC950">
        <v>108</v>
      </c>
      <c r="AD950" t="s">
        <v>19567</v>
      </c>
      <c r="AE950" t="s">
        <v>19580</v>
      </c>
      <c r="AF950">
        <v>10</v>
      </c>
      <c r="AG950">
        <v>1</v>
      </c>
      <c r="AH950">
        <v>1</v>
      </c>
      <c r="AI950">
        <v>38.44</v>
      </c>
      <c r="AL950" t="s">
        <v>19614</v>
      </c>
      <c r="AM950">
        <v>6500</v>
      </c>
      <c r="AN950" t="s">
        <v>19697</v>
      </c>
      <c r="AS950">
        <v>0</v>
      </c>
      <c r="AU950" t="s">
        <v>20657</v>
      </c>
      <c r="AV950" t="s">
        <v>20733</v>
      </c>
    </row>
    <row r="951" spans="1:48">
      <c r="A951" s="1">
        <f>HYPERLINK("https://lsnyc.legalserver.org/matter/dynamic-profile/view/1878493","18-1878493")</f>
        <v>0</v>
      </c>
      <c r="B951" t="s">
        <v>147</v>
      </c>
      <c r="C951" t="s">
        <v>257</v>
      </c>
      <c r="D951" t="s">
        <v>572</v>
      </c>
      <c r="E951" t="s">
        <v>410</v>
      </c>
      <c r="F951" t="s">
        <v>1556</v>
      </c>
      <c r="G951" t="s">
        <v>3865</v>
      </c>
      <c r="H951" t="s">
        <v>6283</v>
      </c>
      <c r="I951" t="s">
        <v>8366</v>
      </c>
      <c r="J951" t="s">
        <v>9066</v>
      </c>
      <c r="K951">
        <v>10304</v>
      </c>
      <c r="L951" t="s">
        <v>9094</v>
      </c>
      <c r="M951" t="s">
        <v>9094</v>
      </c>
      <c r="N951" t="s">
        <v>9559</v>
      </c>
      <c r="O951" t="s">
        <v>11129</v>
      </c>
      <c r="P951" t="s">
        <v>11165</v>
      </c>
      <c r="Q951" t="s">
        <v>11174</v>
      </c>
      <c r="R951" t="s">
        <v>11180</v>
      </c>
      <c r="S951" t="s">
        <v>9096</v>
      </c>
      <c r="T951" t="s">
        <v>11183</v>
      </c>
      <c r="U951" t="s">
        <v>11201</v>
      </c>
      <c r="V951" t="s">
        <v>306</v>
      </c>
      <c r="W951">
        <v>192</v>
      </c>
      <c r="X951" t="s">
        <v>11334</v>
      </c>
      <c r="Y951" t="s">
        <v>11346</v>
      </c>
      <c r="Z951" t="s">
        <v>12053</v>
      </c>
      <c r="AB951" t="s">
        <v>16498</v>
      </c>
      <c r="AC951">
        <v>108</v>
      </c>
      <c r="AD951" t="s">
        <v>19572</v>
      </c>
      <c r="AE951" t="s">
        <v>11157</v>
      </c>
      <c r="AF951">
        <v>2</v>
      </c>
      <c r="AG951">
        <v>1</v>
      </c>
      <c r="AH951">
        <v>0</v>
      </c>
      <c r="AI951">
        <v>38.55</v>
      </c>
      <c r="AL951" t="s">
        <v>19614</v>
      </c>
      <c r="AM951">
        <v>4680</v>
      </c>
      <c r="AS951">
        <v>18.1</v>
      </c>
      <c r="AT951" t="s">
        <v>410</v>
      </c>
      <c r="AU951" t="s">
        <v>20667</v>
      </c>
      <c r="AV951" t="s">
        <v>20733</v>
      </c>
    </row>
    <row r="952" spans="1:48">
      <c r="A952" s="1">
        <f>HYPERLINK("https://lsnyc.legalserver.org/matter/dynamic-profile/view/1883688","18-1883688")</f>
        <v>0</v>
      </c>
      <c r="B952" t="s">
        <v>147</v>
      </c>
      <c r="C952" t="s">
        <v>257</v>
      </c>
      <c r="D952" t="s">
        <v>622</v>
      </c>
      <c r="E952" t="s">
        <v>563</v>
      </c>
      <c r="F952" t="s">
        <v>1695</v>
      </c>
      <c r="G952" t="s">
        <v>3866</v>
      </c>
      <c r="H952" t="s">
        <v>6284</v>
      </c>
      <c r="I952" t="s">
        <v>8266</v>
      </c>
      <c r="J952" t="s">
        <v>9066</v>
      </c>
      <c r="K952">
        <v>10301</v>
      </c>
      <c r="L952" t="s">
        <v>9094</v>
      </c>
      <c r="M952" t="s">
        <v>9094</v>
      </c>
      <c r="N952" t="s">
        <v>9560</v>
      </c>
      <c r="O952" t="s">
        <v>11129</v>
      </c>
      <c r="P952" t="s">
        <v>11165</v>
      </c>
      <c r="Q952" t="s">
        <v>11174</v>
      </c>
      <c r="R952" t="s">
        <v>11180</v>
      </c>
      <c r="S952" t="s">
        <v>9094</v>
      </c>
      <c r="T952" t="s">
        <v>11183</v>
      </c>
      <c r="U952" t="s">
        <v>11199</v>
      </c>
      <c r="V952" t="s">
        <v>622</v>
      </c>
      <c r="W952">
        <v>1825</v>
      </c>
      <c r="X952" t="s">
        <v>11334</v>
      </c>
      <c r="Y952" t="s">
        <v>11345</v>
      </c>
      <c r="Z952" t="s">
        <v>12054</v>
      </c>
      <c r="AA952" t="s">
        <v>15463</v>
      </c>
      <c r="AB952" t="s">
        <v>16499</v>
      </c>
      <c r="AC952">
        <v>60</v>
      </c>
      <c r="AD952" t="s">
        <v>19566</v>
      </c>
      <c r="AE952" t="s">
        <v>9144</v>
      </c>
      <c r="AF952">
        <v>13</v>
      </c>
      <c r="AG952">
        <v>1</v>
      </c>
      <c r="AH952">
        <v>0</v>
      </c>
      <c r="AI952">
        <v>38.57</v>
      </c>
      <c r="AL952" t="s">
        <v>19614</v>
      </c>
      <c r="AM952">
        <v>4683</v>
      </c>
      <c r="AO952" t="s">
        <v>20299</v>
      </c>
      <c r="AP952" t="s">
        <v>20309</v>
      </c>
      <c r="AQ952" t="s">
        <v>20369</v>
      </c>
      <c r="AR952" t="s">
        <v>20433</v>
      </c>
      <c r="AS952">
        <v>28.4</v>
      </c>
      <c r="AT952" t="s">
        <v>308</v>
      </c>
      <c r="AU952" t="s">
        <v>20667</v>
      </c>
      <c r="AV952" t="s">
        <v>20733</v>
      </c>
    </row>
    <row r="953" spans="1:48">
      <c r="A953" s="1">
        <f>HYPERLINK("https://lsnyc.legalserver.org/matter/dynamic-profile/view/1887107","19-1887107")</f>
        <v>0</v>
      </c>
      <c r="B953" t="s">
        <v>122</v>
      </c>
      <c r="C953" t="s">
        <v>256</v>
      </c>
      <c r="D953" t="s">
        <v>604</v>
      </c>
      <c r="F953" t="s">
        <v>1231</v>
      </c>
      <c r="G953" t="s">
        <v>3852</v>
      </c>
      <c r="H953" t="s">
        <v>6271</v>
      </c>
      <c r="I953" t="s">
        <v>8160</v>
      </c>
      <c r="J953" t="s">
        <v>9066</v>
      </c>
      <c r="K953">
        <v>10301</v>
      </c>
      <c r="L953" t="s">
        <v>9094</v>
      </c>
      <c r="M953" t="s">
        <v>9094</v>
      </c>
      <c r="N953" t="s">
        <v>9561</v>
      </c>
      <c r="O953" t="s">
        <v>11128</v>
      </c>
      <c r="P953" t="s">
        <v>11165</v>
      </c>
      <c r="R953" t="s">
        <v>11180</v>
      </c>
      <c r="S953" t="s">
        <v>9096</v>
      </c>
      <c r="T953" t="s">
        <v>11183</v>
      </c>
      <c r="U953" t="s">
        <v>11201</v>
      </c>
      <c r="V953" t="s">
        <v>604</v>
      </c>
      <c r="W953">
        <v>2200</v>
      </c>
      <c r="X953" t="s">
        <v>11334</v>
      </c>
      <c r="Y953" t="s">
        <v>11345</v>
      </c>
      <c r="Z953" t="s">
        <v>12035</v>
      </c>
      <c r="AB953" t="s">
        <v>16483</v>
      </c>
      <c r="AC953">
        <v>227</v>
      </c>
      <c r="AD953" t="s">
        <v>19567</v>
      </c>
      <c r="AE953" t="s">
        <v>9144</v>
      </c>
      <c r="AF953">
        <v>5</v>
      </c>
      <c r="AG953">
        <v>2</v>
      </c>
      <c r="AH953">
        <v>0</v>
      </c>
      <c r="AI953">
        <v>38.64</v>
      </c>
      <c r="AL953" t="s">
        <v>19614</v>
      </c>
      <c r="AM953">
        <v>6360</v>
      </c>
      <c r="AS953">
        <v>76.95</v>
      </c>
      <c r="AT953" t="s">
        <v>487</v>
      </c>
      <c r="AU953" t="s">
        <v>20654</v>
      </c>
      <c r="AV953" t="s">
        <v>20733</v>
      </c>
    </row>
    <row r="954" spans="1:48">
      <c r="A954" s="1">
        <f>HYPERLINK("https://lsnyc.legalserver.org/matter/dynamic-profile/view/1865272","18-1865272")</f>
        <v>0</v>
      </c>
      <c r="B954" t="s">
        <v>101</v>
      </c>
      <c r="C954" t="s">
        <v>256</v>
      </c>
      <c r="D954" t="s">
        <v>451</v>
      </c>
      <c r="F954" t="s">
        <v>1199</v>
      </c>
      <c r="G954" t="s">
        <v>3845</v>
      </c>
      <c r="H954" t="s">
        <v>5890</v>
      </c>
      <c r="I954" t="s">
        <v>8134</v>
      </c>
      <c r="J954" t="s">
        <v>9065</v>
      </c>
      <c r="K954">
        <v>10453</v>
      </c>
      <c r="L954" t="s">
        <v>9094</v>
      </c>
      <c r="M954" t="s">
        <v>9095</v>
      </c>
      <c r="N954" t="s">
        <v>9242</v>
      </c>
      <c r="O954" t="s">
        <v>11130</v>
      </c>
      <c r="P954" t="s">
        <v>11165</v>
      </c>
      <c r="R954" t="s">
        <v>11180</v>
      </c>
      <c r="S954" t="s">
        <v>9094</v>
      </c>
      <c r="T954" t="s">
        <v>11183</v>
      </c>
      <c r="V954" t="s">
        <v>675</v>
      </c>
      <c r="W954">
        <v>0</v>
      </c>
      <c r="X954" t="s">
        <v>11333</v>
      </c>
      <c r="Y954" t="s">
        <v>11338</v>
      </c>
      <c r="Z954" t="s">
        <v>12025</v>
      </c>
      <c r="AA954" t="s">
        <v>15456</v>
      </c>
      <c r="AC954">
        <v>0</v>
      </c>
      <c r="AD954" t="s">
        <v>19566</v>
      </c>
      <c r="AE954" t="s">
        <v>19580</v>
      </c>
      <c r="AF954">
        <v>0</v>
      </c>
      <c r="AG954">
        <v>3</v>
      </c>
      <c r="AH954">
        <v>2</v>
      </c>
      <c r="AI954">
        <v>38.79</v>
      </c>
      <c r="AL954" t="s">
        <v>19614</v>
      </c>
      <c r="AM954">
        <v>11412</v>
      </c>
      <c r="AS954">
        <v>21.9</v>
      </c>
      <c r="AT954" t="s">
        <v>384</v>
      </c>
      <c r="AU954" t="s">
        <v>174</v>
      </c>
    </row>
    <row r="955" spans="1:48">
      <c r="A955" s="1">
        <f>HYPERLINK("https://lsnyc.legalserver.org/matter/dynamic-profile/view/1857233","18-1857233")</f>
        <v>0</v>
      </c>
      <c r="B955" t="s">
        <v>78</v>
      </c>
      <c r="C955" t="s">
        <v>256</v>
      </c>
      <c r="D955" t="s">
        <v>466</v>
      </c>
      <c r="F955" t="s">
        <v>1690</v>
      </c>
      <c r="G955" t="s">
        <v>3859</v>
      </c>
      <c r="H955" t="s">
        <v>6277</v>
      </c>
      <c r="I955" t="s">
        <v>8151</v>
      </c>
      <c r="J955" t="s">
        <v>9059</v>
      </c>
      <c r="K955">
        <v>11206</v>
      </c>
      <c r="L955" t="s">
        <v>9094</v>
      </c>
      <c r="M955" t="s">
        <v>9094</v>
      </c>
      <c r="O955" t="s">
        <v>11130</v>
      </c>
      <c r="P955" t="s">
        <v>11165</v>
      </c>
      <c r="R955" t="s">
        <v>11180</v>
      </c>
      <c r="S955" t="s">
        <v>9094</v>
      </c>
      <c r="T955" t="s">
        <v>11183</v>
      </c>
      <c r="V955" t="s">
        <v>11242</v>
      </c>
      <c r="W955">
        <v>1291.45</v>
      </c>
      <c r="X955" t="s">
        <v>11332</v>
      </c>
      <c r="Z955" t="s">
        <v>12045</v>
      </c>
      <c r="AB955" t="s">
        <v>16491</v>
      </c>
      <c r="AC955">
        <v>29</v>
      </c>
      <c r="AD955" t="s">
        <v>19566</v>
      </c>
      <c r="AE955" t="s">
        <v>19580</v>
      </c>
      <c r="AF955">
        <v>23</v>
      </c>
      <c r="AG955">
        <v>3</v>
      </c>
      <c r="AH955">
        <v>0</v>
      </c>
      <c r="AI955">
        <v>38.87</v>
      </c>
      <c r="AL955" t="s">
        <v>19614</v>
      </c>
      <c r="AM955">
        <v>7938</v>
      </c>
      <c r="AN955" t="s">
        <v>19747</v>
      </c>
      <c r="AS955">
        <v>15.25</v>
      </c>
      <c r="AT955" t="s">
        <v>400</v>
      </c>
      <c r="AU955" t="s">
        <v>95</v>
      </c>
    </row>
    <row r="956" spans="1:48">
      <c r="A956" s="1">
        <f>HYPERLINK("https://lsnyc.legalserver.org/matter/dynamic-profile/view/1875807","18-1875807")</f>
        <v>0</v>
      </c>
      <c r="B956" t="s">
        <v>64</v>
      </c>
      <c r="C956" t="s">
        <v>257</v>
      </c>
      <c r="D956" t="s">
        <v>689</v>
      </c>
      <c r="E956" t="s">
        <v>549</v>
      </c>
      <c r="F956" t="s">
        <v>1696</v>
      </c>
      <c r="G956" t="s">
        <v>3867</v>
      </c>
      <c r="H956" t="s">
        <v>6285</v>
      </c>
      <c r="J956" t="s">
        <v>9059</v>
      </c>
      <c r="K956">
        <v>11203</v>
      </c>
      <c r="L956" t="s">
        <v>9095</v>
      </c>
      <c r="M956" t="s">
        <v>9095</v>
      </c>
      <c r="O956" t="s">
        <v>9121</v>
      </c>
      <c r="Q956" t="s">
        <v>11172</v>
      </c>
      <c r="R956" t="s">
        <v>11180</v>
      </c>
      <c r="S956" t="s">
        <v>9096</v>
      </c>
      <c r="T956" t="s">
        <v>11183</v>
      </c>
      <c r="W956">
        <v>400</v>
      </c>
      <c r="X956" t="s">
        <v>11332</v>
      </c>
      <c r="Z956" t="s">
        <v>12055</v>
      </c>
      <c r="AB956" t="s">
        <v>16500</v>
      </c>
      <c r="AC956">
        <v>2</v>
      </c>
      <c r="AD956" t="s">
        <v>19565</v>
      </c>
      <c r="AE956" t="s">
        <v>9144</v>
      </c>
      <c r="AF956">
        <v>20</v>
      </c>
      <c r="AG956">
        <v>1</v>
      </c>
      <c r="AH956">
        <v>2</v>
      </c>
      <c r="AI956">
        <v>39.08</v>
      </c>
      <c r="AL956" t="s">
        <v>19614</v>
      </c>
      <c r="AM956">
        <v>8120</v>
      </c>
      <c r="AS956">
        <v>1</v>
      </c>
      <c r="AT956" t="s">
        <v>689</v>
      </c>
      <c r="AU956" t="s">
        <v>20635</v>
      </c>
    </row>
    <row r="957" spans="1:48">
      <c r="A957" s="1">
        <f>HYPERLINK("https://lsnyc.legalserver.org/matter/dynamic-profile/view/1844003","17-1844003")</f>
        <v>0</v>
      </c>
      <c r="B957" t="s">
        <v>61</v>
      </c>
      <c r="C957" t="s">
        <v>256</v>
      </c>
      <c r="D957" t="s">
        <v>690</v>
      </c>
      <c r="F957" t="s">
        <v>1697</v>
      </c>
      <c r="G957" t="s">
        <v>3868</v>
      </c>
      <c r="H957" t="s">
        <v>6286</v>
      </c>
      <c r="I957">
        <v>620</v>
      </c>
      <c r="J957" t="s">
        <v>9055</v>
      </c>
      <c r="K957">
        <v>11355</v>
      </c>
      <c r="L957" t="s">
        <v>9094</v>
      </c>
      <c r="M957" t="s">
        <v>9095</v>
      </c>
      <c r="N957" t="s">
        <v>9562</v>
      </c>
      <c r="O957" t="s">
        <v>11141</v>
      </c>
      <c r="P957" t="s">
        <v>11165</v>
      </c>
      <c r="R957" t="s">
        <v>11180</v>
      </c>
      <c r="S957" t="s">
        <v>9096</v>
      </c>
      <c r="T957" t="s">
        <v>11187</v>
      </c>
      <c r="U957" t="s">
        <v>11201</v>
      </c>
      <c r="V957" t="s">
        <v>948</v>
      </c>
      <c r="W957">
        <v>975.25</v>
      </c>
      <c r="X957" t="s">
        <v>11331</v>
      </c>
      <c r="Y957" t="s">
        <v>11350</v>
      </c>
      <c r="Z957" t="s">
        <v>12056</v>
      </c>
      <c r="AA957" t="s">
        <v>15464</v>
      </c>
      <c r="AB957" t="s">
        <v>15274</v>
      </c>
      <c r="AC957">
        <v>50</v>
      </c>
      <c r="AD957" t="s">
        <v>19566</v>
      </c>
      <c r="AE957" t="s">
        <v>19582</v>
      </c>
      <c r="AF957">
        <v>22</v>
      </c>
      <c r="AG957">
        <v>3</v>
      </c>
      <c r="AH957">
        <v>2</v>
      </c>
      <c r="AI957">
        <v>39.11</v>
      </c>
      <c r="AJ957" t="s">
        <v>679</v>
      </c>
      <c r="AL957" t="s">
        <v>19615</v>
      </c>
      <c r="AM957">
        <v>11256</v>
      </c>
      <c r="AN957" t="s">
        <v>19685</v>
      </c>
      <c r="AS957">
        <v>82.3</v>
      </c>
      <c r="AT957" t="s">
        <v>276</v>
      </c>
      <c r="AU957" t="s">
        <v>20665</v>
      </c>
    </row>
    <row r="958" spans="1:48">
      <c r="A958" s="1">
        <f>HYPERLINK("https://lsnyc.legalserver.org/matter/dynamic-profile/view/1910736","19-1910736")</f>
        <v>0</v>
      </c>
      <c r="B958" t="s">
        <v>57</v>
      </c>
      <c r="C958" t="s">
        <v>256</v>
      </c>
      <c r="D958" t="s">
        <v>307</v>
      </c>
      <c r="F958" t="s">
        <v>1698</v>
      </c>
      <c r="G958" t="s">
        <v>3869</v>
      </c>
      <c r="H958" t="s">
        <v>6287</v>
      </c>
      <c r="I958" t="s">
        <v>8114</v>
      </c>
      <c r="J958" t="s">
        <v>9047</v>
      </c>
      <c r="K958">
        <v>11412</v>
      </c>
      <c r="L958" t="s">
        <v>9094</v>
      </c>
      <c r="M958" t="s">
        <v>9095</v>
      </c>
      <c r="N958" t="s">
        <v>9563</v>
      </c>
      <c r="O958" t="s">
        <v>11128</v>
      </c>
      <c r="P958" t="s">
        <v>11164</v>
      </c>
      <c r="R958" t="s">
        <v>11180</v>
      </c>
      <c r="S958" t="s">
        <v>9096</v>
      </c>
      <c r="T958" t="s">
        <v>11183</v>
      </c>
      <c r="U958" t="s">
        <v>11201</v>
      </c>
      <c r="V958" t="s">
        <v>307</v>
      </c>
      <c r="W958">
        <v>1250</v>
      </c>
      <c r="X958" t="s">
        <v>11331</v>
      </c>
      <c r="Y958" t="s">
        <v>11336</v>
      </c>
      <c r="Z958" t="s">
        <v>12057</v>
      </c>
      <c r="AA958" t="s">
        <v>15465</v>
      </c>
      <c r="AB958" t="s">
        <v>16501</v>
      </c>
      <c r="AC958">
        <v>2</v>
      </c>
      <c r="AD958" t="s">
        <v>15441</v>
      </c>
      <c r="AE958" t="s">
        <v>9144</v>
      </c>
      <c r="AF958">
        <v>12</v>
      </c>
      <c r="AG958">
        <v>1</v>
      </c>
      <c r="AH958">
        <v>0</v>
      </c>
      <c r="AI958">
        <v>39.14</v>
      </c>
      <c r="AL958" t="s">
        <v>19614</v>
      </c>
      <c r="AM958">
        <v>4888</v>
      </c>
      <c r="AS958">
        <v>1.15</v>
      </c>
      <c r="AT958" t="s">
        <v>309</v>
      </c>
      <c r="AU958" t="s">
        <v>20620</v>
      </c>
      <c r="AV958" t="s">
        <v>20733</v>
      </c>
    </row>
    <row r="959" spans="1:48">
      <c r="A959" s="1">
        <f>HYPERLINK("https://lsnyc.legalserver.org/matter/dynamic-profile/view/1900257","19-1900257")</f>
        <v>0</v>
      </c>
      <c r="B959" t="s">
        <v>168</v>
      </c>
      <c r="C959" t="s">
        <v>257</v>
      </c>
      <c r="D959" t="s">
        <v>453</v>
      </c>
      <c r="E959" t="s">
        <v>992</v>
      </c>
      <c r="F959" t="s">
        <v>1699</v>
      </c>
      <c r="G959" t="s">
        <v>2930</v>
      </c>
      <c r="H959" t="s">
        <v>6288</v>
      </c>
      <c r="I959" t="s">
        <v>8367</v>
      </c>
      <c r="J959" t="s">
        <v>9059</v>
      </c>
      <c r="K959">
        <v>11237</v>
      </c>
      <c r="L959" t="s">
        <v>9096</v>
      </c>
      <c r="M959" t="s">
        <v>9095</v>
      </c>
      <c r="Q959" t="s">
        <v>11173</v>
      </c>
      <c r="R959" t="s">
        <v>11180</v>
      </c>
      <c r="T959" t="s">
        <v>11183</v>
      </c>
      <c r="W959">
        <v>1950</v>
      </c>
      <c r="X959" t="s">
        <v>11332</v>
      </c>
      <c r="Y959" t="s">
        <v>11157</v>
      </c>
      <c r="Z959" t="s">
        <v>12058</v>
      </c>
      <c r="AB959" t="s">
        <v>16502</v>
      </c>
      <c r="AC959">
        <v>0</v>
      </c>
      <c r="AD959" t="s">
        <v>19569</v>
      </c>
      <c r="AF959">
        <v>3</v>
      </c>
      <c r="AG959">
        <v>1</v>
      </c>
      <c r="AH959">
        <v>0</v>
      </c>
      <c r="AI959">
        <v>39.14</v>
      </c>
      <c r="AL959" t="s">
        <v>19614</v>
      </c>
      <c r="AM959">
        <v>4888</v>
      </c>
      <c r="AS959">
        <v>1.85</v>
      </c>
      <c r="AT959" t="s">
        <v>992</v>
      </c>
      <c r="AU959" t="s">
        <v>20638</v>
      </c>
    </row>
    <row r="960" spans="1:48">
      <c r="A960" s="1">
        <f>HYPERLINK("https://lsnyc.legalserver.org/matter/dynamic-profile/view/1900523","19-1900523")</f>
        <v>0</v>
      </c>
      <c r="B960" t="s">
        <v>113</v>
      </c>
      <c r="C960" t="s">
        <v>256</v>
      </c>
      <c r="D960" t="s">
        <v>283</v>
      </c>
      <c r="F960" t="s">
        <v>1700</v>
      </c>
      <c r="G960" t="s">
        <v>3870</v>
      </c>
      <c r="H960" t="s">
        <v>5864</v>
      </c>
      <c r="I960" t="s">
        <v>8193</v>
      </c>
      <c r="J960" t="s">
        <v>9065</v>
      </c>
      <c r="K960">
        <v>10460</v>
      </c>
      <c r="L960" t="s">
        <v>9094</v>
      </c>
      <c r="M960" t="s">
        <v>9095</v>
      </c>
      <c r="N960" t="s">
        <v>9171</v>
      </c>
      <c r="O960" t="s">
        <v>9121</v>
      </c>
      <c r="P960" t="s">
        <v>11166</v>
      </c>
      <c r="R960" t="s">
        <v>11180</v>
      </c>
      <c r="S960" t="s">
        <v>9094</v>
      </c>
      <c r="T960" t="s">
        <v>11183</v>
      </c>
      <c r="V960" t="s">
        <v>11218</v>
      </c>
      <c r="W960">
        <v>1000</v>
      </c>
      <c r="X960" t="s">
        <v>11333</v>
      </c>
      <c r="Y960" t="s">
        <v>11340</v>
      </c>
      <c r="Z960" t="s">
        <v>12059</v>
      </c>
      <c r="AB960" t="s">
        <v>16503</v>
      </c>
      <c r="AC960">
        <v>168</v>
      </c>
      <c r="AD960" t="s">
        <v>19566</v>
      </c>
      <c r="AE960" t="s">
        <v>9144</v>
      </c>
      <c r="AF960">
        <v>4</v>
      </c>
      <c r="AG960">
        <v>1</v>
      </c>
      <c r="AH960">
        <v>0</v>
      </c>
      <c r="AI960">
        <v>39.14</v>
      </c>
      <c r="AL960" t="s">
        <v>19615</v>
      </c>
      <c r="AM960">
        <v>4888</v>
      </c>
      <c r="AS960">
        <v>0</v>
      </c>
      <c r="AU960" t="s">
        <v>20642</v>
      </c>
      <c r="AV960" t="s">
        <v>20733</v>
      </c>
    </row>
    <row r="961" spans="1:48">
      <c r="A961" s="1">
        <f>HYPERLINK("https://lsnyc.legalserver.org/matter/dynamic-profile/view/1912915","19-1912915")</f>
        <v>0</v>
      </c>
      <c r="B961" t="s">
        <v>177</v>
      </c>
      <c r="C961" t="s">
        <v>256</v>
      </c>
      <c r="D961" t="s">
        <v>294</v>
      </c>
      <c r="F961" t="s">
        <v>1193</v>
      </c>
      <c r="G961" t="s">
        <v>3871</v>
      </c>
      <c r="H961" t="s">
        <v>5940</v>
      </c>
      <c r="I961" t="s">
        <v>8368</v>
      </c>
      <c r="J961" t="s">
        <v>9067</v>
      </c>
      <c r="K961">
        <v>10037</v>
      </c>
      <c r="L961" t="s">
        <v>9094</v>
      </c>
      <c r="M961" t="s">
        <v>9095</v>
      </c>
      <c r="O961" t="s">
        <v>9121</v>
      </c>
      <c r="P961" t="s">
        <v>11169</v>
      </c>
      <c r="R961" t="s">
        <v>11180</v>
      </c>
      <c r="S961" t="s">
        <v>9096</v>
      </c>
      <c r="T961" t="s">
        <v>11183</v>
      </c>
      <c r="U961" t="s">
        <v>11201</v>
      </c>
      <c r="V961" t="s">
        <v>294</v>
      </c>
      <c r="W961">
        <v>2235</v>
      </c>
      <c r="X961" t="s">
        <v>11335</v>
      </c>
      <c r="Y961" t="s">
        <v>11339</v>
      </c>
      <c r="Z961" t="s">
        <v>12060</v>
      </c>
      <c r="AB961" t="s">
        <v>16504</v>
      </c>
      <c r="AC961">
        <v>259</v>
      </c>
      <c r="AD961" t="s">
        <v>19566</v>
      </c>
      <c r="AF961">
        <v>4</v>
      </c>
      <c r="AG961">
        <v>1</v>
      </c>
      <c r="AH961">
        <v>0</v>
      </c>
      <c r="AI961">
        <v>39.14</v>
      </c>
      <c r="AL961" t="s">
        <v>19614</v>
      </c>
      <c r="AM961">
        <v>4888</v>
      </c>
      <c r="AS961">
        <v>0</v>
      </c>
      <c r="AU961" t="s">
        <v>20663</v>
      </c>
      <c r="AV961" t="s">
        <v>20734</v>
      </c>
    </row>
    <row r="962" spans="1:48">
      <c r="A962" s="1">
        <f>HYPERLINK("https://lsnyc.legalserver.org/matter/dynamic-profile/view/1883232","18-1883232")</f>
        <v>0</v>
      </c>
      <c r="B962" t="s">
        <v>64</v>
      </c>
      <c r="C962" t="s">
        <v>257</v>
      </c>
      <c r="D962" t="s">
        <v>691</v>
      </c>
      <c r="E962" t="s">
        <v>992</v>
      </c>
      <c r="F962" t="s">
        <v>1701</v>
      </c>
      <c r="G962" t="s">
        <v>3872</v>
      </c>
      <c r="H962" t="s">
        <v>6289</v>
      </c>
      <c r="I962">
        <v>2</v>
      </c>
      <c r="J962" t="s">
        <v>9059</v>
      </c>
      <c r="K962">
        <v>11207</v>
      </c>
      <c r="L962" t="s">
        <v>9095</v>
      </c>
      <c r="M962" t="s">
        <v>9095</v>
      </c>
      <c r="Q962" t="s">
        <v>11172</v>
      </c>
      <c r="R962" t="s">
        <v>11180</v>
      </c>
      <c r="T962" t="s">
        <v>11183</v>
      </c>
      <c r="W962">
        <v>2020</v>
      </c>
      <c r="X962" t="s">
        <v>11332</v>
      </c>
      <c r="Z962" t="s">
        <v>12061</v>
      </c>
      <c r="AB962" t="s">
        <v>16505</v>
      </c>
      <c r="AC962">
        <v>2</v>
      </c>
      <c r="AE962" t="s">
        <v>19582</v>
      </c>
      <c r="AF962">
        <v>1</v>
      </c>
      <c r="AG962">
        <v>2</v>
      </c>
      <c r="AH962">
        <v>4</v>
      </c>
      <c r="AI962">
        <v>39.15</v>
      </c>
      <c r="AL962" t="s">
        <v>19614</v>
      </c>
      <c r="AM962">
        <v>13208</v>
      </c>
      <c r="AS962">
        <v>1</v>
      </c>
      <c r="AT962" t="s">
        <v>691</v>
      </c>
      <c r="AU962" t="s">
        <v>20627</v>
      </c>
    </row>
    <row r="963" spans="1:48">
      <c r="A963" s="1">
        <f>HYPERLINK("https://lsnyc.legalserver.org/matter/dynamic-profile/view/1880493","18-1880493")</f>
        <v>0</v>
      </c>
      <c r="B963" t="s">
        <v>101</v>
      </c>
      <c r="C963" t="s">
        <v>256</v>
      </c>
      <c r="D963" t="s">
        <v>355</v>
      </c>
      <c r="F963" t="s">
        <v>1583</v>
      </c>
      <c r="G963" t="s">
        <v>3873</v>
      </c>
      <c r="H963" t="s">
        <v>6063</v>
      </c>
      <c r="I963" t="s">
        <v>8140</v>
      </c>
      <c r="J963" t="s">
        <v>9065</v>
      </c>
      <c r="K963">
        <v>10452</v>
      </c>
      <c r="L963" t="s">
        <v>9094</v>
      </c>
      <c r="M963" t="s">
        <v>9094</v>
      </c>
      <c r="N963" t="s">
        <v>9564</v>
      </c>
      <c r="O963" t="s">
        <v>11130</v>
      </c>
      <c r="P963" t="s">
        <v>11165</v>
      </c>
      <c r="R963" t="s">
        <v>11180</v>
      </c>
      <c r="S963" t="s">
        <v>9094</v>
      </c>
      <c r="T963" t="s">
        <v>11183</v>
      </c>
      <c r="V963" t="s">
        <v>738</v>
      </c>
      <c r="W963">
        <v>3000</v>
      </c>
      <c r="X963" t="s">
        <v>11333</v>
      </c>
      <c r="Y963" t="s">
        <v>11346</v>
      </c>
      <c r="Z963" t="s">
        <v>12062</v>
      </c>
      <c r="AA963" t="s">
        <v>15466</v>
      </c>
      <c r="AB963" t="s">
        <v>16506</v>
      </c>
      <c r="AC963">
        <v>149</v>
      </c>
      <c r="AD963" t="s">
        <v>19566</v>
      </c>
      <c r="AE963" t="s">
        <v>19585</v>
      </c>
      <c r="AF963">
        <v>24</v>
      </c>
      <c r="AG963">
        <v>3</v>
      </c>
      <c r="AH963">
        <v>2</v>
      </c>
      <c r="AI963">
        <v>39.16</v>
      </c>
      <c r="AL963" t="s">
        <v>19614</v>
      </c>
      <c r="AM963">
        <v>11520</v>
      </c>
      <c r="AS963">
        <v>0</v>
      </c>
      <c r="AU963" t="s">
        <v>20647</v>
      </c>
    </row>
    <row r="964" spans="1:48">
      <c r="A964" s="1">
        <f>HYPERLINK("https://lsnyc.legalserver.org/matter/dynamic-profile/view/1880507","18-1880507")</f>
        <v>0</v>
      </c>
      <c r="B964" t="s">
        <v>101</v>
      </c>
      <c r="C964" t="s">
        <v>256</v>
      </c>
      <c r="D964" t="s">
        <v>355</v>
      </c>
      <c r="F964" t="s">
        <v>1583</v>
      </c>
      <c r="G964" t="s">
        <v>3873</v>
      </c>
      <c r="H964" t="s">
        <v>6063</v>
      </c>
      <c r="I964" t="s">
        <v>8140</v>
      </c>
      <c r="J964" t="s">
        <v>9065</v>
      </c>
      <c r="K964">
        <v>10452</v>
      </c>
      <c r="L964" t="s">
        <v>9094</v>
      </c>
      <c r="M964" t="s">
        <v>9094</v>
      </c>
      <c r="N964" t="s">
        <v>9565</v>
      </c>
      <c r="O964" t="s">
        <v>11136</v>
      </c>
      <c r="P964" t="s">
        <v>11170</v>
      </c>
      <c r="R964" t="s">
        <v>11180</v>
      </c>
      <c r="S964" t="s">
        <v>9094</v>
      </c>
      <c r="T964" t="s">
        <v>11183</v>
      </c>
      <c r="V964" t="s">
        <v>738</v>
      </c>
      <c r="W964">
        <v>3000</v>
      </c>
      <c r="X964" t="s">
        <v>11333</v>
      </c>
      <c r="Y964" t="s">
        <v>11346</v>
      </c>
      <c r="Z964" t="s">
        <v>12062</v>
      </c>
      <c r="AA964" t="s">
        <v>15466</v>
      </c>
      <c r="AB964" t="s">
        <v>16506</v>
      </c>
      <c r="AC964">
        <v>149</v>
      </c>
      <c r="AD964" t="s">
        <v>19566</v>
      </c>
      <c r="AE964" t="s">
        <v>19585</v>
      </c>
      <c r="AF964">
        <v>24</v>
      </c>
      <c r="AG964">
        <v>3</v>
      </c>
      <c r="AH964">
        <v>2</v>
      </c>
      <c r="AI964">
        <v>39.16</v>
      </c>
      <c r="AM964">
        <v>11520</v>
      </c>
      <c r="AS964">
        <v>4.6</v>
      </c>
      <c r="AT964" t="s">
        <v>570</v>
      </c>
      <c r="AU964" t="s">
        <v>20647</v>
      </c>
    </row>
    <row r="965" spans="1:48">
      <c r="A965" s="1">
        <f>HYPERLINK("https://lsnyc.legalserver.org/matter/dynamic-profile/view/1881365","18-1881365")</f>
        <v>0</v>
      </c>
      <c r="B965" t="s">
        <v>136</v>
      </c>
      <c r="C965" t="s">
        <v>256</v>
      </c>
      <c r="D965" t="s">
        <v>586</v>
      </c>
      <c r="F965" t="s">
        <v>1206</v>
      </c>
      <c r="G965" t="s">
        <v>3874</v>
      </c>
      <c r="H965" t="s">
        <v>6119</v>
      </c>
      <c r="I965" t="s">
        <v>8225</v>
      </c>
      <c r="J965" t="s">
        <v>9067</v>
      </c>
      <c r="K965">
        <v>10031</v>
      </c>
      <c r="L965" t="s">
        <v>9094</v>
      </c>
      <c r="M965" t="s">
        <v>9094</v>
      </c>
      <c r="N965" t="s">
        <v>9437</v>
      </c>
      <c r="O965" t="s">
        <v>11130</v>
      </c>
      <c r="P965" t="s">
        <v>11165</v>
      </c>
      <c r="R965" t="s">
        <v>11180</v>
      </c>
      <c r="S965" t="s">
        <v>9094</v>
      </c>
      <c r="T965" t="s">
        <v>11183</v>
      </c>
      <c r="U965" t="s">
        <v>11201</v>
      </c>
      <c r="V965" t="s">
        <v>285</v>
      </c>
      <c r="W965">
        <v>2216</v>
      </c>
      <c r="X965" t="s">
        <v>11335</v>
      </c>
      <c r="Y965" t="s">
        <v>11350</v>
      </c>
      <c r="Z965" t="s">
        <v>12063</v>
      </c>
      <c r="AB965" t="s">
        <v>16507</v>
      </c>
      <c r="AC965">
        <v>44</v>
      </c>
      <c r="AD965" t="s">
        <v>19567</v>
      </c>
      <c r="AE965" t="s">
        <v>19580</v>
      </c>
      <c r="AF965">
        <v>10</v>
      </c>
      <c r="AG965">
        <v>1</v>
      </c>
      <c r="AH965">
        <v>0</v>
      </c>
      <c r="AI965">
        <v>39.35</v>
      </c>
      <c r="AL965" t="s">
        <v>19614</v>
      </c>
      <c r="AM965">
        <v>4777</v>
      </c>
      <c r="AS965">
        <v>3</v>
      </c>
      <c r="AT965" t="s">
        <v>546</v>
      </c>
      <c r="AU965" t="s">
        <v>20657</v>
      </c>
    </row>
    <row r="966" spans="1:48">
      <c r="A966" s="1">
        <f>HYPERLINK("https://lsnyc.legalserver.org/matter/dynamic-profile/view/1904893","19-1904893")</f>
        <v>0</v>
      </c>
      <c r="B966" t="s">
        <v>52</v>
      </c>
      <c r="C966" t="s">
        <v>256</v>
      </c>
      <c r="D966" t="s">
        <v>660</v>
      </c>
      <c r="F966" t="s">
        <v>1173</v>
      </c>
      <c r="G966" t="s">
        <v>3875</v>
      </c>
      <c r="H966" t="s">
        <v>6290</v>
      </c>
      <c r="I966" t="s">
        <v>8369</v>
      </c>
      <c r="J966" t="s">
        <v>9045</v>
      </c>
      <c r="K966">
        <v>11417</v>
      </c>
      <c r="L966" t="s">
        <v>9094</v>
      </c>
      <c r="M966" t="s">
        <v>9095</v>
      </c>
      <c r="N966" t="s">
        <v>9566</v>
      </c>
      <c r="O966" t="s">
        <v>11128</v>
      </c>
      <c r="P966" t="s">
        <v>11165</v>
      </c>
      <c r="R966" t="s">
        <v>11180</v>
      </c>
      <c r="S966" t="s">
        <v>9096</v>
      </c>
      <c r="T966" t="s">
        <v>11183</v>
      </c>
      <c r="U966" t="s">
        <v>11201</v>
      </c>
      <c r="V966" t="s">
        <v>779</v>
      </c>
      <c r="W966">
        <v>800</v>
      </c>
      <c r="X966" t="s">
        <v>11331</v>
      </c>
      <c r="Y966" t="s">
        <v>11336</v>
      </c>
      <c r="Z966" t="s">
        <v>12064</v>
      </c>
      <c r="AB966" t="s">
        <v>16508</v>
      </c>
      <c r="AC966">
        <v>2</v>
      </c>
      <c r="AD966" t="s">
        <v>19565</v>
      </c>
      <c r="AE966" t="s">
        <v>9144</v>
      </c>
      <c r="AF966">
        <v>6</v>
      </c>
      <c r="AG966">
        <v>1</v>
      </c>
      <c r="AH966">
        <v>2</v>
      </c>
      <c r="AI966">
        <v>39.38</v>
      </c>
      <c r="AL966" t="s">
        <v>19614</v>
      </c>
      <c r="AM966">
        <v>8400</v>
      </c>
      <c r="AP966" t="s">
        <v>20317</v>
      </c>
      <c r="AS966">
        <v>24.91</v>
      </c>
      <c r="AT966" t="s">
        <v>496</v>
      </c>
      <c r="AU966" t="s">
        <v>20660</v>
      </c>
      <c r="AV966" t="s">
        <v>20733</v>
      </c>
    </row>
    <row r="967" spans="1:48">
      <c r="A967" s="1">
        <f>HYPERLINK("https://lsnyc.legalserver.org/matter/dynamic-profile/view/1915483","19-1915483")</f>
        <v>0</v>
      </c>
      <c r="B967" t="s">
        <v>134</v>
      </c>
      <c r="C967" t="s">
        <v>256</v>
      </c>
      <c r="D967" t="s">
        <v>594</v>
      </c>
      <c r="F967" t="s">
        <v>1639</v>
      </c>
      <c r="G967" t="s">
        <v>3876</v>
      </c>
      <c r="H967" t="s">
        <v>6291</v>
      </c>
      <c r="I967" t="s">
        <v>8164</v>
      </c>
      <c r="J967" t="s">
        <v>9067</v>
      </c>
      <c r="K967">
        <v>10002</v>
      </c>
      <c r="L967" t="s">
        <v>9094</v>
      </c>
      <c r="M967" t="s">
        <v>9095</v>
      </c>
      <c r="P967" t="s">
        <v>11169</v>
      </c>
      <c r="R967" t="s">
        <v>11180</v>
      </c>
      <c r="S967" t="s">
        <v>9096</v>
      </c>
      <c r="T967" t="s">
        <v>11183</v>
      </c>
      <c r="V967" t="s">
        <v>594</v>
      </c>
      <c r="W967">
        <v>0</v>
      </c>
      <c r="X967" t="s">
        <v>11335</v>
      </c>
      <c r="Y967" t="s">
        <v>11339</v>
      </c>
      <c r="Z967" t="s">
        <v>12065</v>
      </c>
      <c r="AC967">
        <v>200</v>
      </c>
      <c r="AD967" t="s">
        <v>15441</v>
      </c>
      <c r="AE967" t="s">
        <v>19580</v>
      </c>
      <c r="AF967">
        <v>40</v>
      </c>
      <c r="AG967">
        <v>3</v>
      </c>
      <c r="AH967">
        <v>0</v>
      </c>
      <c r="AI967">
        <v>39.38</v>
      </c>
      <c r="AL967" t="s">
        <v>19614</v>
      </c>
      <c r="AM967">
        <v>8400</v>
      </c>
      <c r="AS967">
        <v>0</v>
      </c>
      <c r="AU967" t="s">
        <v>130</v>
      </c>
      <c r="AV967" t="s">
        <v>20733</v>
      </c>
    </row>
    <row r="968" spans="1:48">
      <c r="A968" s="1">
        <f>HYPERLINK("https://lsnyc.legalserver.org/matter/dynamic-profile/view/1904493","19-1904493")</f>
        <v>0</v>
      </c>
      <c r="B968" t="s">
        <v>134</v>
      </c>
      <c r="C968" t="s">
        <v>256</v>
      </c>
      <c r="D968" t="s">
        <v>615</v>
      </c>
      <c r="F968" t="s">
        <v>1702</v>
      </c>
      <c r="G968" t="s">
        <v>3877</v>
      </c>
      <c r="H968" t="s">
        <v>6292</v>
      </c>
      <c r="I968" t="s">
        <v>8315</v>
      </c>
      <c r="J968" t="s">
        <v>9067</v>
      </c>
      <c r="K968">
        <v>10033</v>
      </c>
      <c r="L968" t="s">
        <v>9094</v>
      </c>
      <c r="M968" t="s">
        <v>9095</v>
      </c>
      <c r="P968" t="s">
        <v>11165</v>
      </c>
      <c r="R968" t="s">
        <v>11180</v>
      </c>
      <c r="S968" t="s">
        <v>9096</v>
      </c>
      <c r="T968" t="s">
        <v>11183</v>
      </c>
      <c r="V968" t="s">
        <v>615</v>
      </c>
      <c r="W968">
        <v>1213</v>
      </c>
      <c r="X968" t="s">
        <v>11335</v>
      </c>
      <c r="Y968" t="s">
        <v>11340</v>
      </c>
      <c r="Z968" t="s">
        <v>12066</v>
      </c>
      <c r="AB968" t="s">
        <v>16509</v>
      </c>
      <c r="AC968">
        <v>24</v>
      </c>
      <c r="AE968" t="s">
        <v>19588</v>
      </c>
      <c r="AF968">
        <v>4</v>
      </c>
      <c r="AG968">
        <v>1</v>
      </c>
      <c r="AH968">
        <v>0</v>
      </c>
      <c r="AI968">
        <v>39.41</v>
      </c>
      <c r="AL968" t="s">
        <v>19614</v>
      </c>
      <c r="AM968">
        <v>4922</v>
      </c>
      <c r="AS968">
        <v>14.4</v>
      </c>
      <c r="AT968" t="s">
        <v>435</v>
      </c>
      <c r="AU968" t="s">
        <v>130</v>
      </c>
      <c r="AV968" t="s">
        <v>20733</v>
      </c>
    </row>
    <row r="969" spans="1:48">
      <c r="A969" s="1">
        <f>HYPERLINK("https://lsnyc.legalserver.org/matter/dynamic-profile/view/0830679","17-0830679")</f>
        <v>0</v>
      </c>
      <c r="B969" t="s">
        <v>70</v>
      </c>
      <c r="C969" t="s">
        <v>257</v>
      </c>
      <c r="D969" t="s">
        <v>692</v>
      </c>
      <c r="E969" t="s">
        <v>706</v>
      </c>
      <c r="F969" t="s">
        <v>1703</v>
      </c>
      <c r="G969" t="s">
        <v>1305</v>
      </c>
      <c r="H969" t="s">
        <v>6293</v>
      </c>
      <c r="I969" t="s">
        <v>8153</v>
      </c>
      <c r="J969" t="s">
        <v>9059</v>
      </c>
      <c r="K969">
        <v>11212</v>
      </c>
      <c r="L969" t="s">
        <v>9094</v>
      </c>
      <c r="M969" t="s">
        <v>9095</v>
      </c>
      <c r="P969" t="s">
        <v>11166</v>
      </c>
      <c r="Q969" t="s">
        <v>11173</v>
      </c>
      <c r="R969" t="s">
        <v>11181</v>
      </c>
      <c r="T969" t="s">
        <v>11184</v>
      </c>
      <c r="V969" t="s">
        <v>692</v>
      </c>
      <c r="W969">
        <v>0</v>
      </c>
      <c r="X969" t="s">
        <v>11332</v>
      </c>
      <c r="Y969" t="s">
        <v>11337</v>
      </c>
      <c r="Z969" t="s">
        <v>12067</v>
      </c>
      <c r="AB969" t="s">
        <v>16510</v>
      </c>
      <c r="AC969">
        <v>0</v>
      </c>
      <c r="AD969" t="s">
        <v>19566</v>
      </c>
      <c r="AF969">
        <v>0</v>
      </c>
      <c r="AG969">
        <v>1</v>
      </c>
      <c r="AH969">
        <v>5</v>
      </c>
      <c r="AI969">
        <v>39.44</v>
      </c>
      <c r="AJ969" t="s">
        <v>19591</v>
      </c>
      <c r="AK969" t="s">
        <v>19608</v>
      </c>
      <c r="AL969" t="s">
        <v>19614</v>
      </c>
      <c r="AM969">
        <v>13000</v>
      </c>
      <c r="AN969" t="s">
        <v>19749</v>
      </c>
      <c r="AS969">
        <v>135.65</v>
      </c>
      <c r="AT969" t="s">
        <v>940</v>
      </c>
      <c r="AU969" t="s">
        <v>95</v>
      </c>
    </row>
    <row r="970" spans="1:48">
      <c r="A970" s="1">
        <f>HYPERLINK("https://lsnyc.legalserver.org/matter/dynamic-profile/view/1863302","18-1863302")</f>
        <v>0</v>
      </c>
      <c r="B970" t="s">
        <v>86</v>
      </c>
      <c r="C970" t="s">
        <v>256</v>
      </c>
      <c r="D970" t="s">
        <v>693</v>
      </c>
      <c r="F970" t="s">
        <v>1237</v>
      </c>
      <c r="G970" t="s">
        <v>3427</v>
      </c>
      <c r="H970" t="s">
        <v>5778</v>
      </c>
      <c r="I970" t="s">
        <v>8370</v>
      </c>
      <c r="J970" t="s">
        <v>9059</v>
      </c>
      <c r="K970">
        <v>11226</v>
      </c>
      <c r="L970" t="s">
        <v>9094</v>
      </c>
      <c r="M970" t="s">
        <v>9094</v>
      </c>
      <c r="P970" t="s">
        <v>11165</v>
      </c>
      <c r="R970" t="s">
        <v>11180</v>
      </c>
      <c r="S970" t="s">
        <v>9094</v>
      </c>
      <c r="T970" t="s">
        <v>11183</v>
      </c>
      <c r="V970" t="s">
        <v>723</v>
      </c>
      <c r="W970">
        <v>1560.44</v>
      </c>
      <c r="X970" t="s">
        <v>11332</v>
      </c>
      <c r="Y970" t="s">
        <v>11340</v>
      </c>
      <c r="Z970" t="s">
        <v>11463</v>
      </c>
      <c r="AA970" t="s">
        <v>15467</v>
      </c>
      <c r="AB970" t="s">
        <v>15978</v>
      </c>
      <c r="AC970">
        <v>65</v>
      </c>
      <c r="AD970" t="s">
        <v>19566</v>
      </c>
      <c r="AE970" t="s">
        <v>19580</v>
      </c>
      <c r="AF970">
        <v>32</v>
      </c>
      <c r="AG970">
        <v>2</v>
      </c>
      <c r="AH970">
        <v>0</v>
      </c>
      <c r="AI970">
        <v>39.48</v>
      </c>
      <c r="AL970" t="s">
        <v>19614</v>
      </c>
      <c r="AM970">
        <v>6498</v>
      </c>
      <c r="AS970">
        <v>9.65</v>
      </c>
      <c r="AT970" t="s">
        <v>779</v>
      </c>
      <c r="AU970" t="s">
        <v>20630</v>
      </c>
    </row>
    <row r="971" spans="1:48">
      <c r="A971" s="1">
        <f>HYPERLINK("https://lsnyc.legalserver.org/matter/dynamic-profile/view/1874668","18-1874668")</f>
        <v>0</v>
      </c>
      <c r="B971" t="s">
        <v>119</v>
      </c>
      <c r="C971" t="s">
        <v>256</v>
      </c>
      <c r="D971" t="s">
        <v>536</v>
      </c>
      <c r="F971" t="s">
        <v>1704</v>
      </c>
      <c r="G971" t="s">
        <v>3497</v>
      </c>
      <c r="H971" t="s">
        <v>6294</v>
      </c>
      <c r="I971" t="s">
        <v>8371</v>
      </c>
      <c r="J971" t="s">
        <v>9065</v>
      </c>
      <c r="K971">
        <v>10453</v>
      </c>
      <c r="L971" t="s">
        <v>9094</v>
      </c>
      <c r="M971" t="s">
        <v>9094</v>
      </c>
      <c r="N971" t="s">
        <v>9567</v>
      </c>
      <c r="O971" t="s">
        <v>11129</v>
      </c>
      <c r="P971" t="s">
        <v>11165</v>
      </c>
      <c r="R971" t="s">
        <v>11180</v>
      </c>
      <c r="S971" t="s">
        <v>9096</v>
      </c>
      <c r="T971" t="s">
        <v>11183</v>
      </c>
      <c r="U971" t="s">
        <v>11200</v>
      </c>
      <c r="V971" t="s">
        <v>945</v>
      </c>
      <c r="W971">
        <v>784.77</v>
      </c>
      <c r="X971" t="s">
        <v>11333</v>
      </c>
      <c r="Y971" t="s">
        <v>11354</v>
      </c>
      <c r="Z971" t="s">
        <v>12068</v>
      </c>
      <c r="AB971" t="s">
        <v>16511</v>
      </c>
      <c r="AC971">
        <v>65</v>
      </c>
      <c r="AD971" t="s">
        <v>19566</v>
      </c>
      <c r="AE971" t="s">
        <v>9144</v>
      </c>
      <c r="AF971">
        <v>46</v>
      </c>
      <c r="AG971">
        <v>1</v>
      </c>
      <c r="AH971">
        <v>0</v>
      </c>
      <c r="AI971">
        <v>39.54</v>
      </c>
      <c r="AL971" t="s">
        <v>19614</v>
      </c>
      <c r="AM971">
        <v>4800</v>
      </c>
      <c r="AS971">
        <v>38.15</v>
      </c>
      <c r="AT971" t="s">
        <v>597</v>
      </c>
      <c r="AU971" t="s">
        <v>20643</v>
      </c>
    </row>
    <row r="972" spans="1:48">
      <c r="A972" s="1">
        <f>HYPERLINK("https://lsnyc.legalserver.org/matter/dynamic-profile/view/1894805","19-1894805")</f>
        <v>0</v>
      </c>
      <c r="B972" t="s">
        <v>86</v>
      </c>
      <c r="C972" t="s">
        <v>256</v>
      </c>
      <c r="D972" t="s">
        <v>694</v>
      </c>
      <c r="F972" t="s">
        <v>1251</v>
      </c>
      <c r="G972" t="s">
        <v>3442</v>
      </c>
      <c r="H972" t="s">
        <v>5788</v>
      </c>
      <c r="I972" t="s">
        <v>8186</v>
      </c>
      <c r="J972" t="s">
        <v>9059</v>
      </c>
      <c r="K972">
        <v>11221</v>
      </c>
      <c r="L972" t="s">
        <v>9094</v>
      </c>
      <c r="M972" t="s">
        <v>9094</v>
      </c>
      <c r="P972" t="s">
        <v>11166</v>
      </c>
      <c r="R972" t="s">
        <v>11180</v>
      </c>
      <c r="S972" t="s">
        <v>9096</v>
      </c>
      <c r="T972" t="s">
        <v>11183</v>
      </c>
      <c r="V972" t="s">
        <v>502</v>
      </c>
      <c r="W972">
        <v>0</v>
      </c>
      <c r="X972" t="s">
        <v>11332</v>
      </c>
      <c r="Z972" t="s">
        <v>11481</v>
      </c>
      <c r="AB972" t="s">
        <v>15988</v>
      </c>
      <c r="AC972">
        <v>0</v>
      </c>
      <c r="AF972">
        <v>0</v>
      </c>
      <c r="AG972">
        <v>1</v>
      </c>
      <c r="AH972">
        <v>1</v>
      </c>
      <c r="AI972">
        <v>39.74</v>
      </c>
      <c r="AL972" t="s">
        <v>19614</v>
      </c>
      <c r="AM972">
        <v>6720</v>
      </c>
      <c r="AS972">
        <v>42.7</v>
      </c>
      <c r="AT972" t="s">
        <v>594</v>
      </c>
      <c r="AU972" t="s">
        <v>215</v>
      </c>
    </row>
    <row r="973" spans="1:48">
      <c r="A973" s="1">
        <f>HYPERLINK("https://lsnyc.legalserver.org/matter/dynamic-profile/view/1900699","19-1900699")</f>
        <v>0</v>
      </c>
      <c r="B973" t="s">
        <v>50</v>
      </c>
      <c r="C973" t="s">
        <v>257</v>
      </c>
      <c r="D973" t="s">
        <v>338</v>
      </c>
      <c r="E973" t="s">
        <v>321</v>
      </c>
      <c r="F973" t="s">
        <v>1705</v>
      </c>
      <c r="G973" t="s">
        <v>3878</v>
      </c>
      <c r="H973" t="s">
        <v>6295</v>
      </c>
      <c r="J973" t="s">
        <v>9046</v>
      </c>
      <c r="K973">
        <v>11415</v>
      </c>
      <c r="L973" t="s">
        <v>9094</v>
      </c>
      <c r="M973" t="s">
        <v>9095</v>
      </c>
      <c r="O973" t="s">
        <v>9121</v>
      </c>
      <c r="P973" t="s">
        <v>11166</v>
      </c>
      <c r="Q973" t="s">
        <v>11173</v>
      </c>
      <c r="R973" t="s">
        <v>11180</v>
      </c>
      <c r="S973" t="s">
        <v>9096</v>
      </c>
      <c r="T973" t="s">
        <v>11183</v>
      </c>
      <c r="U973" t="s">
        <v>11201</v>
      </c>
      <c r="V973" t="s">
        <v>396</v>
      </c>
      <c r="W973">
        <v>1800</v>
      </c>
      <c r="X973" t="s">
        <v>11331</v>
      </c>
      <c r="Y973" t="s">
        <v>11340</v>
      </c>
      <c r="Z973" t="s">
        <v>11583</v>
      </c>
      <c r="AA973" t="s">
        <v>15468</v>
      </c>
      <c r="AB973" t="s">
        <v>16512</v>
      </c>
      <c r="AC973">
        <v>50</v>
      </c>
      <c r="AD973" t="s">
        <v>19566</v>
      </c>
      <c r="AE973" t="s">
        <v>19582</v>
      </c>
      <c r="AF973">
        <v>4</v>
      </c>
      <c r="AG973">
        <v>2</v>
      </c>
      <c r="AH973">
        <v>3</v>
      </c>
      <c r="AI973">
        <v>39.77</v>
      </c>
      <c r="AL973" t="s">
        <v>19618</v>
      </c>
      <c r="AM973">
        <v>12000</v>
      </c>
      <c r="AS973">
        <v>2.8</v>
      </c>
      <c r="AT973" t="s">
        <v>270</v>
      </c>
      <c r="AU973" t="s">
        <v>50</v>
      </c>
      <c r="AV973" t="s">
        <v>20733</v>
      </c>
    </row>
    <row r="974" spans="1:48">
      <c r="A974" s="1">
        <f>HYPERLINK("https://lsnyc.legalserver.org/matter/dynamic-profile/view/1899554","19-1899554")</f>
        <v>0</v>
      </c>
      <c r="B974" t="s">
        <v>73</v>
      </c>
      <c r="C974" t="s">
        <v>257</v>
      </c>
      <c r="D974" t="s">
        <v>418</v>
      </c>
      <c r="E974" t="s">
        <v>446</v>
      </c>
      <c r="F974" t="s">
        <v>1433</v>
      </c>
      <c r="G974" t="s">
        <v>3427</v>
      </c>
      <c r="H974" t="s">
        <v>5978</v>
      </c>
      <c r="I974" t="s">
        <v>8218</v>
      </c>
      <c r="J974" t="s">
        <v>9059</v>
      </c>
      <c r="K974">
        <v>11212</v>
      </c>
      <c r="L974" t="s">
        <v>9094</v>
      </c>
      <c r="M974" t="s">
        <v>9095</v>
      </c>
      <c r="N974" t="s">
        <v>9568</v>
      </c>
      <c r="O974" t="s">
        <v>11129</v>
      </c>
      <c r="P974" t="s">
        <v>11165</v>
      </c>
      <c r="Q974" t="s">
        <v>11174</v>
      </c>
      <c r="R974" t="s">
        <v>11180</v>
      </c>
      <c r="S974" t="s">
        <v>9096</v>
      </c>
      <c r="T974" t="s">
        <v>11183</v>
      </c>
      <c r="U974" t="s">
        <v>11201</v>
      </c>
      <c r="V974" t="s">
        <v>289</v>
      </c>
      <c r="W974">
        <v>1984.35</v>
      </c>
      <c r="X974" t="s">
        <v>11332</v>
      </c>
      <c r="Y974" t="s">
        <v>11353</v>
      </c>
      <c r="Z974" t="s">
        <v>11696</v>
      </c>
      <c r="AA974">
        <v>17011970</v>
      </c>
      <c r="AB974" t="s">
        <v>16168</v>
      </c>
      <c r="AC974">
        <v>4</v>
      </c>
      <c r="AD974" t="s">
        <v>19565</v>
      </c>
      <c r="AE974" t="s">
        <v>19586</v>
      </c>
      <c r="AF974">
        <v>3</v>
      </c>
      <c r="AG974">
        <v>1</v>
      </c>
      <c r="AH974">
        <v>4</v>
      </c>
      <c r="AI974">
        <v>39.77</v>
      </c>
      <c r="AL974" t="s">
        <v>19614</v>
      </c>
      <c r="AM974">
        <v>12000</v>
      </c>
      <c r="AQ974" t="s">
        <v>20369</v>
      </c>
      <c r="AR974" t="s">
        <v>20434</v>
      </c>
      <c r="AS974">
        <v>60.4</v>
      </c>
      <c r="AT974" t="s">
        <v>339</v>
      </c>
      <c r="AU974" t="s">
        <v>20629</v>
      </c>
      <c r="AV974" t="s">
        <v>20733</v>
      </c>
    </row>
    <row r="975" spans="1:48">
      <c r="A975" s="1">
        <f>HYPERLINK("https://lsnyc.legalserver.org/matter/dynamic-profile/view/1890801","19-1890801")</f>
        <v>0</v>
      </c>
      <c r="B975" t="s">
        <v>103</v>
      </c>
      <c r="C975" t="s">
        <v>256</v>
      </c>
      <c r="D975" t="s">
        <v>554</v>
      </c>
      <c r="F975" t="s">
        <v>1358</v>
      </c>
      <c r="G975" t="s">
        <v>3879</v>
      </c>
      <c r="H975" t="s">
        <v>5887</v>
      </c>
      <c r="I975" t="s">
        <v>8244</v>
      </c>
      <c r="J975" t="s">
        <v>9065</v>
      </c>
      <c r="K975">
        <v>10453</v>
      </c>
      <c r="L975" t="s">
        <v>9094</v>
      </c>
      <c r="M975" t="s">
        <v>9094</v>
      </c>
      <c r="O975" t="s">
        <v>11134</v>
      </c>
      <c r="P975" t="s">
        <v>11168</v>
      </c>
      <c r="R975" t="s">
        <v>11180</v>
      </c>
      <c r="S975" t="s">
        <v>9094</v>
      </c>
      <c r="T975" t="s">
        <v>11183</v>
      </c>
      <c r="V975" t="s">
        <v>512</v>
      </c>
      <c r="W975">
        <v>1145</v>
      </c>
      <c r="X975" t="s">
        <v>11333</v>
      </c>
      <c r="Y975" t="s">
        <v>11346</v>
      </c>
      <c r="Z975" t="s">
        <v>12069</v>
      </c>
      <c r="AB975" t="s">
        <v>16513</v>
      </c>
      <c r="AC975">
        <v>170</v>
      </c>
      <c r="AD975" t="s">
        <v>19566</v>
      </c>
      <c r="AE975" t="s">
        <v>9144</v>
      </c>
      <c r="AF975">
        <v>7</v>
      </c>
      <c r="AG975">
        <v>4</v>
      </c>
      <c r="AH975">
        <v>1</v>
      </c>
      <c r="AI975">
        <v>39.77</v>
      </c>
      <c r="AL975" t="s">
        <v>19615</v>
      </c>
      <c r="AM975">
        <v>12000</v>
      </c>
      <c r="AS975">
        <v>0</v>
      </c>
      <c r="AU975" t="s">
        <v>20647</v>
      </c>
    </row>
    <row r="976" spans="1:48">
      <c r="A976" s="1">
        <f>HYPERLINK("https://lsnyc.legalserver.org/matter/dynamic-profile/view/1905171","19-1905171")</f>
        <v>0</v>
      </c>
      <c r="B976" t="s">
        <v>103</v>
      </c>
      <c r="C976" t="s">
        <v>256</v>
      </c>
      <c r="D976" t="s">
        <v>414</v>
      </c>
      <c r="F976" t="s">
        <v>1358</v>
      </c>
      <c r="G976" t="s">
        <v>3879</v>
      </c>
      <c r="H976" t="s">
        <v>5887</v>
      </c>
      <c r="I976" t="s">
        <v>8244</v>
      </c>
      <c r="J976" t="s">
        <v>9065</v>
      </c>
      <c r="K976">
        <v>10453</v>
      </c>
      <c r="L976" t="s">
        <v>9094</v>
      </c>
      <c r="M976" t="s">
        <v>9095</v>
      </c>
      <c r="N976" t="s">
        <v>9239</v>
      </c>
      <c r="O976" t="s">
        <v>11134</v>
      </c>
      <c r="P976" t="s">
        <v>11168</v>
      </c>
      <c r="R976" t="s">
        <v>11180</v>
      </c>
      <c r="S976" t="s">
        <v>9094</v>
      </c>
      <c r="T976" t="s">
        <v>11183</v>
      </c>
      <c r="V976" t="s">
        <v>1061</v>
      </c>
      <c r="W976">
        <v>1145</v>
      </c>
      <c r="X976" t="s">
        <v>11333</v>
      </c>
      <c r="Y976" t="s">
        <v>11346</v>
      </c>
      <c r="Z976" t="s">
        <v>12069</v>
      </c>
      <c r="AB976" t="s">
        <v>16513</v>
      </c>
      <c r="AC976">
        <v>170</v>
      </c>
      <c r="AD976" t="s">
        <v>19566</v>
      </c>
      <c r="AE976" t="s">
        <v>9144</v>
      </c>
      <c r="AF976">
        <v>7</v>
      </c>
      <c r="AG976">
        <v>4</v>
      </c>
      <c r="AH976">
        <v>1</v>
      </c>
      <c r="AI976">
        <v>39.77</v>
      </c>
      <c r="AL976" t="s">
        <v>19615</v>
      </c>
      <c r="AM976">
        <v>12000</v>
      </c>
      <c r="AS976">
        <v>0</v>
      </c>
      <c r="AU976" t="s">
        <v>20642</v>
      </c>
      <c r="AV976" t="s">
        <v>20733</v>
      </c>
    </row>
    <row r="977" spans="1:48">
      <c r="A977" s="1">
        <f>HYPERLINK("https://lsnyc.legalserver.org/matter/dynamic-profile/view/1905174","19-1905174")</f>
        <v>0</v>
      </c>
      <c r="B977" t="s">
        <v>103</v>
      </c>
      <c r="C977" t="s">
        <v>256</v>
      </c>
      <c r="D977" t="s">
        <v>414</v>
      </c>
      <c r="F977" t="s">
        <v>1358</v>
      </c>
      <c r="G977" t="s">
        <v>3879</v>
      </c>
      <c r="H977" t="s">
        <v>5887</v>
      </c>
      <c r="I977" t="s">
        <v>8244</v>
      </c>
      <c r="J977" t="s">
        <v>9065</v>
      </c>
      <c r="K977">
        <v>10453</v>
      </c>
      <c r="L977" t="s">
        <v>9094</v>
      </c>
      <c r="M977" t="s">
        <v>9095</v>
      </c>
      <c r="N977" t="s">
        <v>9240</v>
      </c>
      <c r="O977" t="s">
        <v>11134</v>
      </c>
      <c r="P977" t="s">
        <v>11168</v>
      </c>
      <c r="R977" t="s">
        <v>11180</v>
      </c>
      <c r="S977" t="s">
        <v>9094</v>
      </c>
      <c r="T977" t="s">
        <v>11183</v>
      </c>
      <c r="V977" t="s">
        <v>422</v>
      </c>
      <c r="W977">
        <v>1145</v>
      </c>
      <c r="X977" t="s">
        <v>11333</v>
      </c>
      <c r="Y977" t="s">
        <v>11346</v>
      </c>
      <c r="Z977" t="s">
        <v>12069</v>
      </c>
      <c r="AB977" t="s">
        <v>16513</v>
      </c>
      <c r="AC977">
        <v>170</v>
      </c>
      <c r="AD977" t="s">
        <v>19566</v>
      </c>
      <c r="AE977" t="s">
        <v>9144</v>
      </c>
      <c r="AF977">
        <v>7</v>
      </c>
      <c r="AG977">
        <v>4</v>
      </c>
      <c r="AH977">
        <v>1</v>
      </c>
      <c r="AI977">
        <v>39.77</v>
      </c>
      <c r="AL977" t="s">
        <v>19615</v>
      </c>
      <c r="AM977">
        <v>12000</v>
      </c>
      <c r="AS977">
        <v>0</v>
      </c>
      <c r="AU977" t="s">
        <v>20642</v>
      </c>
      <c r="AV977" t="s">
        <v>20733</v>
      </c>
    </row>
    <row r="978" spans="1:48">
      <c r="A978" s="1">
        <f>HYPERLINK("https://lsnyc.legalserver.org/matter/dynamic-profile/view/1890793","19-1890793")</f>
        <v>0</v>
      </c>
      <c r="B978" t="s">
        <v>103</v>
      </c>
      <c r="C978" t="s">
        <v>256</v>
      </c>
      <c r="D978" t="s">
        <v>381</v>
      </c>
      <c r="F978" t="s">
        <v>1358</v>
      </c>
      <c r="G978" t="s">
        <v>3879</v>
      </c>
      <c r="H978" t="s">
        <v>5887</v>
      </c>
      <c r="I978" t="s">
        <v>8244</v>
      </c>
      <c r="J978" t="s">
        <v>9065</v>
      </c>
      <c r="K978">
        <v>10453</v>
      </c>
      <c r="L978" t="s">
        <v>9094</v>
      </c>
      <c r="M978" t="s">
        <v>9094</v>
      </c>
      <c r="N978" t="s">
        <v>9352</v>
      </c>
      <c r="O978" t="s">
        <v>11130</v>
      </c>
      <c r="P978" t="s">
        <v>11165</v>
      </c>
      <c r="R978" t="s">
        <v>11180</v>
      </c>
      <c r="S978" t="s">
        <v>9094</v>
      </c>
      <c r="T978" t="s">
        <v>11183</v>
      </c>
      <c r="V978" t="s">
        <v>512</v>
      </c>
      <c r="W978">
        <v>1145</v>
      </c>
      <c r="X978" t="s">
        <v>11333</v>
      </c>
      <c r="Y978" t="s">
        <v>11346</v>
      </c>
      <c r="Z978" t="s">
        <v>12069</v>
      </c>
      <c r="AB978" t="s">
        <v>16513</v>
      </c>
      <c r="AC978">
        <v>170</v>
      </c>
      <c r="AD978" t="s">
        <v>19566</v>
      </c>
      <c r="AE978" t="s">
        <v>9144</v>
      </c>
      <c r="AF978">
        <v>7</v>
      </c>
      <c r="AG978">
        <v>5</v>
      </c>
      <c r="AH978">
        <v>0</v>
      </c>
      <c r="AI978">
        <v>39.77</v>
      </c>
      <c r="AL978" t="s">
        <v>19615</v>
      </c>
      <c r="AM978">
        <v>12000</v>
      </c>
      <c r="AS978">
        <v>0</v>
      </c>
      <c r="AU978" t="s">
        <v>20647</v>
      </c>
    </row>
    <row r="979" spans="1:48">
      <c r="A979" s="1">
        <f>HYPERLINK("https://lsnyc.legalserver.org/matter/dynamic-profile/view/1905846","19-1905846")</f>
        <v>0</v>
      </c>
      <c r="B979" t="s">
        <v>119</v>
      </c>
      <c r="C979" t="s">
        <v>257</v>
      </c>
      <c r="D979" t="s">
        <v>445</v>
      </c>
      <c r="E979" t="s">
        <v>612</v>
      </c>
      <c r="F979" t="s">
        <v>1706</v>
      </c>
      <c r="G979" t="s">
        <v>3880</v>
      </c>
      <c r="H979" t="s">
        <v>6296</v>
      </c>
      <c r="I979" t="s">
        <v>8372</v>
      </c>
      <c r="J979" t="s">
        <v>9065</v>
      </c>
      <c r="K979">
        <v>10452</v>
      </c>
      <c r="L979" t="s">
        <v>9094</v>
      </c>
      <c r="M979" t="s">
        <v>9095</v>
      </c>
      <c r="N979" t="s">
        <v>9171</v>
      </c>
      <c r="P979" t="s">
        <v>11164</v>
      </c>
      <c r="Q979" t="s">
        <v>11172</v>
      </c>
      <c r="R979" t="s">
        <v>11180</v>
      </c>
      <c r="S979" t="s">
        <v>9096</v>
      </c>
      <c r="T979" t="s">
        <v>11183</v>
      </c>
      <c r="W979">
        <v>1075</v>
      </c>
      <c r="X979" t="s">
        <v>11333</v>
      </c>
      <c r="Y979" t="s">
        <v>11346</v>
      </c>
      <c r="Z979" t="s">
        <v>12070</v>
      </c>
      <c r="AA979" t="s">
        <v>15469</v>
      </c>
      <c r="AC979">
        <v>58</v>
      </c>
      <c r="AD979" t="s">
        <v>19576</v>
      </c>
      <c r="AE979" t="s">
        <v>19582</v>
      </c>
      <c r="AF979">
        <v>8</v>
      </c>
      <c r="AG979">
        <v>2</v>
      </c>
      <c r="AH979">
        <v>3</v>
      </c>
      <c r="AI979">
        <v>39.77</v>
      </c>
      <c r="AL979" t="s">
        <v>19614</v>
      </c>
      <c r="AM979">
        <v>12000</v>
      </c>
      <c r="AS979">
        <v>0.1</v>
      </c>
      <c r="AT979" t="s">
        <v>612</v>
      </c>
      <c r="AU979" t="s">
        <v>163</v>
      </c>
      <c r="AV979" t="s">
        <v>20733</v>
      </c>
    </row>
    <row r="980" spans="1:48">
      <c r="A980" s="1">
        <f>HYPERLINK("https://lsnyc.legalserver.org/matter/dynamic-profile/view/1862833","18-1862833")</f>
        <v>0</v>
      </c>
      <c r="B980" t="s">
        <v>103</v>
      </c>
      <c r="C980" t="s">
        <v>256</v>
      </c>
      <c r="D980" t="s">
        <v>439</v>
      </c>
      <c r="F980" t="s">
        <v>1264</v>
      </c>
      <c r="G980" t="s">
        <v>3653</v>
      </c>
      <c r="H980" t="s">
        <v>5873</v>
      </c>
      <c r="I980" t="s">
        <v>8206</v>
      </c>
      <c r="J980" t="s">
        <v>9065</v>
      </c>
      <c r="K980">
        <v>10457</v>
      </c>
      <c r="L980" t="s">
        <v>9094</v>
      </c>
      <c r="M980" t="s">
        <v>9095</v>
      </c>
      <c r="N980" t="s">
        <v>9233</v>
      </c>
      <c r="O980" t="s">
        <v>11135</v>
      </c>
      <c r="P980" t="s">
        <v>11168</v>
      </c>
      <c r="R980" t="s">
        <v>11180</v>
      </c>
      <c r="S980" t="s">
        <v>9094</v>
      </c>
      <c r="T980" t="s">
        <v>11183</v>
      </c>
      <c r="V980" t="s">
        <v>673</v>
      </c>
      <c r="W980">
        <v>1200</v>
      </c>
      <c r="X980" t="s">
        <v>11333</v>
      </c>
      <c r="Y980" t="s">
        <v>11340</v>
      </c>
      <c r="Z980" t="s">
        <v>12071</v>
      </c>
      <c r="AA980" t="s">
        <v>15470</v>
      </c>
      <c r="AC980">
        <v>100</v>
      </c>
      <c r="AD980" t="s">
        <v>19566</v>
      </c>
      <c r="AF980">
        <v>7</v>
      </c>
      <c r="AG980">
        <v>3</v>
      </c>
      <c r="AH980">
        <v>1</v>
      </c>
      <c r="AI980">
        <v>39.82</v>
      </c>
      <c r="AL980" t="s">
        <v>19615</v>
      </c>
      <c r="AM980">
        <v>15196</v>
      </c>
      <c r="AS980">
        <v>0.4</v>
      </c>
      <c r="AT980" t="s">
        <v>439</v>
      </c>
      <c r="AU980" t="s">
        <v>20642</v>
      </c>
    </row>
    <row r="981" spans="1:48">
      <c r="A981" s="1">
        <f>HYPERLINK("https://lsnyc.legalserver.org/matter/dynamic-profile/view/1889000","19-1889000")</f>
        <v>0</v>
      </c>
      <c r="B981" t="s">
        <v>112</v>
      </c>
      <c r="C981" t="s">
        <v>257</v>
      </c>
      <c r="D981" t="s">
        <v>503</v>
      </c>
      <c r="E981" t="s">
        <v>314</v>
      </c>
      <c r="F981" t="s">
        <v>1707</v>
      </c>
      <c r="G981" t="s">
        <v>2092</v>
      </c>
      <c r="H981" t="s">
        <v>6297</v>
      </c>
      <c r="I981" t="s">
        <v>8267</v>
      </c>
      <c r="J981" t="s">
        <v>9065</v>
      </c>
      <c r="K981">
        <v>10468</v>
      </c>
      <c r="L981" t="s">
        <v>9094</v>
      </c>
      <c r="M981" t="s">
        <v>9094</v>
      </c>
      <c r="O981" t="s">
        <v>11140</v>
      </c>
      <c r="P981" t="s">
        <v>11166</v>
      </c>
      <c r="Q981" t="s">
        <v>11172</v>
      </c>
      <c r="R981" t="s">
        <v>11180</v>
      </c>
      <c r="S981" t="s">
        <v>9096</v>
      </c>
      <c r="T981" t="s">
        <v>11190</v>
      </c>
      <c r="V981" t="s">
        <v>503</v>
      </c>
      <c r="W981">
        <v>1508</v>
      </c>
      <c r="X981" t="s">
        <v>11333</v>
      </c>
      <c r="Y981" t="s">
        <v>11340</v>
      </c>
      <c r="Z981" t="s">
        <v>11752</v>
      </c>
      <c r="AA981" t="s">
        <v>15471</v>
      </c>
      <c r="AB981" t="s">
        <v>16514</v>
      </c>
      <c r="AC981">
        <v>46</v>
      </c>
      <c r="AD981" t="s">
        <v>19566</v>
      </c>
      <c r="AE981" t="s">
        <v>9144</v>
      </c>
      <c r="AF981">
        <v>20</v>
      </c>
      <c r="AG981">
        <v>3</v>
      </c>
      <c r="AH981">
        <v>0</v>
      </c>
      <c r="AI981">
        <v>39.83</v>
      </c>
      <c r="AL981" t="s">
        <v>19614</v>
      </c>
      <c r="AM981">
        <v>8496</v>
      </c>
      <c r="AS981">
        <v>1.5</v>
      </c>
      <c r="AT981" t="s">
        <v>474</v>
      </c>
      <c r="AU981" t="s">
        <v>20644</v>
      </c>
    </row>
    <row r="982" spans="1:48">
      <c r="A982" s="1">
        <f>HYPERLINK("https://lsnyc.legalserver.org/matter/dynamic-profile/view/1910445","19-1910445")</f>
        <v>0</v>
      </c>
      <c r="B982" t="s">
        <v>141</v>
      </c>
      <c r="C982" t="s">
        <v>257</v>
      </c>
      <c r="D982" t="s">
        <v>341</v>
      </c>
      <c r="E982" t="s">
        <v>594</v>
      </c>
      <c r="F982" t="s">
        <v>1708</v>
      </c>
      <c r="G982" t="s">
        <v>3881</v>
      </c>
      <c r="H982" t="s">
        <v>6298</v>
      </c>
      <c r="I982" t="s">
        <v>8229</v>
      </c>
      <c r="J982" t="s">
        <v>9067</v>
      </c>
      <c r="K982">
        <v>10032</v>
      </c>
      <c r="L982" t="s">
        <v>9094</v>
      </c>
      <c r="M982" t="s">
        <v>9095</v>
      </c>
      <c r="P982" t="s">
        <v>11169</v>
      </c>
      <c r="Q982" t="s">
        <v>11172</v>
      </c>
      <c r="R982" t="s">
        <v>11180</v>
      </c>
      <c r="S982" t="s">
        <v>9096</v>
      </c>
      <c r="T982" t="s">
        <v>11183</v>
      </c>
      <c r="V982" t="s">
        <v>341</v>
      </c>
      <c r="W982">
        <v>2195</v>
      </c>
      <c r="X982" t="s">
        <v>11335</v>
      </c>
      <c r="Y982" t="s">
        <v>11338</v>
      </c>
      <c r="Z982" t="s">
        <v>12072</v>
      </c>
      <c r="AA982" t="s">
        <v>15472</v>
      </c>
      <c r="AB982" t="s">
        <v>16515</v>
      </c>
      <c r="AC982">
        <v>108</v>
      </c>
      <c r="AD982" t="s">
        <v>19566</v>
      </c>
      <c r="AE982" t="s">
        <v>9144</v>
      </c>
      <c r="AF982">
        <v>1</v>
      </c>
      <c r="AG982">
        <v>1</v>
      </c>
      <c r="AH982">
        <v>0</v>
      </c>
      <c r="AI982">
        <v>39.97</v>
      </c>
      <c r="AL982" t="s">
        <v>19614</v>
      </c>
      <c r="AM982">
        <v>4992</v>
      </c>
      <c r="AS982">
        <v>3.1</v>
      </c>
      <c r="AT982" t="s">
        <v>487</v>
      </c>
      <c r="AU982" t="s">
        <v>130</v>
      </c>
      <c r="AV982" t="s">
        <v>20733</v>
      </c>
    </row>
    <row r="983" spans="1:48">
      <c r="A983" s="1">
        <f>HYPERLINK("https://lsnyc.legalserver.org/matter/dynamic-profile/view/1905350","19-1905350")</f>
        <v>0</v>
      </c>
      <c r="B983" t="s">
        <v>50</v>
      </c>
      <c r="C983" t="s">
        <v>256</v>
      </c>
      <c r="D983" t="s">
        <v>621</v>
      </c>
      <c r="F983" t="s">
        <v>1300</v>
      </c>
      <c r="G983" t="s">
        <v>3882</v>
      </c>
      <c r="H983" t="s">
        <v>6299</v>
      </c>
      <c r="I983" t="s">
        <v>8107</v>
      </c>
      <c r="J983" t="s">
        <v>9041</v>
      </c>
      <c r="K983">
        <v>11422</v>
      </c>
      <c r="L983" t="s">
        <v>9094</v>
      </c>
      <c r="M983" t="s">
        <v>9095</v>
      </c>
      <c r="N983" t="s">
        <v>9569</v>
      </c>
      <c r="O983" t="s">
        <v>11128</v>
      </c>
      <c r="P983" t="s">
        <v>11164</v>
      </c>
      <c r="R983" t="s">
        <v>11180</v>
      </c>
      <c r="S983" t="s">
        <v>9096</v>
      </c>
      <c r="T983" t="s">
        <v>11183</v>
      </c>
      <c r="U983" t="s">
        <v>11201</v>
      </c>
      <c r="W983">
        <v>1300</v>
      </c>
      <c r="X983" t="s">
        <v>11331</v>
      </c>
      <c r="Y983" t="s">
        <v>11336</v>
      </c>
      <c r="Z983" t="s">
        <v>12073</v>
      </c>
      <c r="AB983" t="s">
        <v>16516</v>
      </c>
      <c r="AC983">
        <v>2</v>
      </c>
      <c r="AD983" t="s">
        <v>19565</v>
      </c>
      <c r="AE983" t="s">
        <v>9144</v>
      </c>
      <c r="AF983">
        <v>10</v>
      </c>
      <c r="AG983">
        <v>1</v>
      </c>
      <c r="AH983">
        <v>0</v>
      </c>
      <c r="AI983">
        <v>40.03</v>
      </c>
      <c r="AL983" t="s">
        <v>19614</v>
      </c>
      <c r="AM983">
        <v>5000</v>
      </c>
      <c r="AS983">
        <v>2.35</v>
      </c>
      <c r="AT983" t="s">
        <v>396</v>
      </c>
      <c r="AU983" t="s">
        <v>20619</v>
      </c>
      <c r="AV983" t="s">
        <v>20733</v>
      </c>
    </row>
    <row r="984" spans="1:48">
      <c r="A984" s="1">
        <f>HYPERLINK("https://lsnyc.legalserver.org/matter/dynamic-profile/view/1895955","19-1895955")</f>
        <v>0</v>
      </c>
      <c r="B984" t="s">
        <v>52</v>
      </c>
      <c r="C984" t="s">
        <v>256</v>
      </c>
      <c r="D984" t="s">
        <v>300</v>
      </c>
      <c r="F984" t="s">
        <v>1709</v>
      </c>
      <c r="G984" t="s">
        <v>3883</v>
      </c>
      <c r="H984" t="s">
        <v>6300</v>
      </c>
      <c r="J984" t="s">
        <v>9055</v>
      </c>
      <c r="K984">
        <v>11358</v>
      </c>
      <c r="L984" t="s">
        <v>9094</v>
      </c>
      <c r="M984" t="s">
        <v>9094</v>
      </c>
      <c r="N984" t="s">
        <v>9570</v>
      </c>
      <c r="O984" t="s">
        <v>11128</v>
      </c>
      <c r="P984" t="s">
        <v>11165</v>
      </c>
      <c r="R984" t="s">
        <v>11180</v>
      </c>
      <c r="S984" t="s">
        <v>9096</v>
      </c>
      <c r="T984" t="s">
        <v>11183</v>
      </c>
      <c r="U984" t="s">
        <v>11201</v>
      </c>
      <c r="V984" t="s">
        <v>300</v>
      </c>
      <c r="W984">
        <v>430</v>
      </c>
      <c r="X984" t="s">
        <v>11331</v>
      </c>
      <c r="Y984" t="s">
        <v>11336</v>
      </c>
      <c r="Z984" t="s">
        <v>12074</v>
      </c>
      <c r="AA984" t="s">
        <v>15274</v>
      </c>
      <c r="AB984" t="s">
        <v>16517</v>
      </c>
      <c r="AC984">
        <v>6</v>
      </c>
      <c r="AD984" t="s">
        <v>15441</v>
      </c>
      <c r="AE984" t="s">
        <v>9144</v>
      </c>
      <c r="AF984">
        <v>2</v>
      </c>
      <c r="AG984">
        <v>1</v>
      </c>
      <c r="AH984">
        <v>0</v>
      </c>
      <c r="AI984">
        <v>40.03</v>
      </c>
      <c r="AL984" t="s">
        <v>19614</v>
      </c>
      <c r="AM984">
        <v>5000</v>
      </c>
      <c r="AS984">
        <v>50.85</v>
      </c>
      <c r="AT984" t="s">
        <v>549</v>
      </c>
      <c r="AU984" t="s">
        <v>20622</v>
      </c>
    </row>
    <row r="985" spans="1:48">
      <c r="A985" s="1">
        <f>HYPERLINK("https://lsnyc.legalserver.org/matter/dynamic-profile/view/1899914","19-1899914")</f>
        <v>0</v>
      </c>
      <c r="B985" t="s">
        <v>113</v>
      </c>
      <c r="C985" t="s">
        <v>256</v>
      </c>
      <c r="D985" t="s">
        <v>411</v>
      </c>
      <c r="F985" t="s">
        <v>1710</v>
      </c>
      <c r="G985" t="s">
        <v>3884</v>
      </c>
      <c r="H985" t="s">
        <v>5864</v>
      </c>
      <c r="I985" t="s">
        <v>8373</v>
      </c>
      <c r="J985" t="s">
        <v>9065</v>
      </c>
      <c r="K985">
        <v>10460</v>
      </c>
      <c r="L985" t="s">
        <v>9094</v>
      </c>
      <c r="M985" t="s">
        <v>9095</v>
      </c>
      <c r="N985" t="s">
        <v>9171</v>
      </c>
      <c r="O985" t="s">
        <v>9121</v>
      </c>
      <c r="P985" t="s">
        <v>11166</v>
      </c>
      <c r="R985" t="s">
        <v>11180</v>
      </c>
      <c r="S985" t="s">
        <v>9094</v>
      </c>
      <c r="T985" t="s">
        <v>11183</v>
      </c>
      <c r="V985" t="s">
        <v>11218</v>
      </c>
      <c r="W985">
        <v>1300</v>
      </c>
      <c r="X985" t="s">
        <v>11333</v>
      </c>
      <c r="Y985" t="s">
        <v>11346</v>
      </c>
      <c r="Z985" t="s">
        <v>12075</v>
      </c>
      <c r="AB985" t="s">
        <v>16518</v>
      </c>
      <c r="AC985">
        <v>168</v>
      </c>
      <c r="AD985" t="s">
        <v>19566</v>
      </c>
      <c r="AE985" t="s">
        <v>19580</v>
      </c>
      <c r="AF985">
        <v>19</v>
      </c>
      <c r="AG985">
        <v>1</v>
      </c>
      <c r="AH985">
        <v>0</v>
      </c>
      <c r="AI985">
        <v>40.03</v>
      </c>
      <c r="AL985" t="s">
        <v>19614</v>
      </c>
      <c r="AM985">
        <v>5000.04</v>
      </c>
      <c r="AS985">
        <v>0</v>
      </c>
      <c r="AU985" t="s">
        <v>20647</v>
      </c>
      <c r="AV985" t="s">
        <v>20733</v>
      </c>
    </row>
    <row r="986" spans="1:48">
      <c r="A986" s="1">
        <f>HYPERLINK("https://lsnyc.legalserver.org/matter/dynamic-profile/view/1906263","19-1906263")</f>
        <v>0</v>
      </c>
      <c r="B986" t="s">
        <v>122</v>
      </c>
      <c r="C986" t="s">
        <v>257</v>
      </c>
      <c r="D986" t="s">
        <v>372</v>
      </c>
      <c r="E986" t="s">
        <v>334</v>
      </c>
      <c r="F986" t="s">
        <v>1499</v>
      </c>
      <c r="G986" t="s">
        <v>3764</v>
      </c>
      <c r="H986" t="s">
        <v>6301</v>
      </c>
      <c r="I986" t="s">
        <v>8293</v>
      </c>
      <c r="J986" t="s">
        <v>9066</v>
      </c>
      <c r="K986">
        <v>10301</v>
      </c>
      <c r="L986" t="s">
        <v>9094</v>
      </c>
      <c r="M986" t="s">
        <v>9095</v>
      </c>
      <c r="N986" t="s">
        <v>9102</v>
      </c>
      <c r="O986" t="s">
        <v>11140</v>
      </c>
      <c r="P986" t="s">
        <v>11167</v>
      </c>
      <c r="Q986" t="s">
        <v>11173</v>
      </c>
      <c r="R986" t="s">
        <v>11181</v>
      </c>
      <c r="S986" t="s">
        <v>9096</v>
      </c>
      <c r="T986" t="s">
        <v>11190</v>
      </c>
      <c r="U986" t="s">
        <v>11201</v>
      </c>
      <c r="V986" t="s">
        <v>372</v>
      </c>
      <c r="W986">
        <v>98</v>
      </c>
      <c r="X986" t="s">
        <v>11334</v>
      </c>
      <c r="Y986" t="s">
        <v>11337</v>
      </c>
      <c r="Z986" t="s">
        <v>12076</v>
      </c>
      <c r="AB986" t="s">
        <v>16519</v>
      </c>
      <c r="AC986">
        <v>2</v>
      </c>
      <c r="AD986" t="s">
        <v>19565</v>
      </c>
      <c r="AE986" t="s">
        <v>19580</v>
      </c>
      <c r="AF986">
        <v>3</v>
      </c>
      <c r="AG986">
        <v>4</v>
      </c>
      <c r="AH986">
        <v>0</v>
      </c>
      <c r="AI986">
        <v>40.12</v>
      </c>
      <c r="AJ986" t="s">
        <v>19591</v>
      </c>
      <c r="AK986" t="s">
        <v>19608</v>
      </c>
      <c r="AL986" t="s">
        <v>19614</v>
      </c>
      <c r="AM986">
        <v>10332</v>
      </c>
      <c r="AS986">
        <v>1.6</v>
      </c>
      <c r="AT986" t="s">
        <v>334</v>
      </c>
      <c r="AU986" t="s">
        <v>122</v>
      </c>
      <c r="AV986" t="s">
        <v>20733</v>
      </c>
    </row>
    <row r="987" spans="1:48">
      <c r="A987" s="1">
        <f>HYPERLINK("https://lsnyc.legalserver.org/matter/dynamic-profile/view/1887510","19-1887510")</f>
        <v>0</v>
      </c>
      <c r="B987" t="s">
        <v>134</v>
      </c>
      <c r="C987" t="s">
        <v>256</v>
      </c>
      <c r="D987" t="s">
        <v>604</v>
      </c>
      <c r="F987" t="s">
        <v>1711</v>
      </c>
      <c r="G987" t="s">
        <v>3351</v>
      </c>
      <c r="H987" t="s">
        <v>6302</v>
      </c>
      <c r="I987" t="s">
        <v>8265</v>
      </c>
      <c r="J987" t="s">
        <v>9067</v>
      </c>
      <c r="K987">
        <v>10034</v>
      </c>
      <c r="L987" t="s">
        <v>9094</v>
      </c>
      <c r="M987" t="s">
        <v>9094</v>
      </c>
      <c r="N987" t="s">
        <v>9571</v>
      </c>
      <c r="O987" t="s">
        <v>11129</v>
      </c>
      <c r="P987" t="s">
        <v>11165</v>
      </c>
      <c r="R987" t="s">
        <v>11180</v>
      </c>
      <c r="S987" t="s">
        <v>9096</v>
      </c>
      <c r="T987" t="s">
        <v>11183</v>
      </c>
      <c r="U987" t="s">
        <v>11198</v>
      </c>
      <c r="V987" t="s">
        <v>604</v>
      </c>
      <c r="W987">
        <v>1223.79</v>
      </c>
      <c r="X987" t="s">
        <v>11335</v>
      </c>
      <c r="Y987" t="s">
        <v>11336</v>
      </c>
      <c r="Z987" t="s">
        <v>12077</v>
      </c>
      <c r="AA987" t="s">
        <v>15473</v>
      </c>
      <c r="AB987" t="s">
        <v>16520</v>
      </c>
      <c r="AC987">
        <v>0</v>
      </c>
      <c r="AD987" t="s">
        <v>15441</v>
      </c>
      <c r="AE987" t="s">
        <v>19580</v>
      </c>
      <c r="AF987">
        <v>14</v>
      </c>
      <c r="AG987">
        <v>1</v>
      </c>
      <c r="AH987">
        <v>2</v>
      </c>
      <c r="AI987">
        <v>40.14</v>
      </c>
      <c r="AL987" t="s">
        <v>19614</v>
      </c>
      <c r="AM987">
        <v>8341.200000000001</v>
      </c>
      <c r="AS987">
        <v>28.85</v>
      </c>
      <c r="AT987" t="s">
        <v>694</v>
      </c>
      <c r="AU987" t="s">
        <v>20655</v>
      </c>
    </row>
    <row r="988" spans="1:48">
      <c r="A988" s="1">
        <f>HYPERLINK("https://lsnyc.legalserver.org/matter/dynamic-profile/view/1890543","19-1890543")</f>
        <v>0</v>
      </c>
      <c r="B988" t="s">
        <v>70</v>
      </c>
      <c r="C988" t="s">
        <v>256</v>
      </c>
      <c r="D988" t="s">
        <v>695</v>
      </c>
      <c r="F988" t="s">
        <v>1712</v>
      </c>
      <c r="G988" t="s">
        <v>3332</v>
      </c>
      <c r="H988" t="s">
        <v>5749</v>
      </c>
      <c r="I988" t="s">
        <v>8266</v>
      </c>
      <c r="J988" t="s">
        <v>9059</v>
      </c>
      <c r="K988">
        <v>11233</v>
      </c>
      <c r="L988" t="s">
        <v>9094</v>
      </c>
      <c r="M988" t="s">
        <v>9096</v>
      </c>
      <c r="N988" t="s">
        <v>9146</v>
      </c>
      <c r="O988" t="s">
        <v>11134</v>
      </c>
      <c r="P988" t="s">
        <v>11168</v>
      </c>
      <c r="R988" t="s">
        <v>11180</v>
      </c>
      <c r="S988" t="s">
        <v>9094</v>
      </c>
      <c r="T988" t="s">
        <v>11183</v>
      </c>
      <c r="U988" t="s">
        <v>11201</v>
      </c>
      <c r="V988" t="s">
        <v>482</v>
      </c>
      <c r="W988">
        <v>300</v>
      </c>
      <c r="X988" t="s">
        <v>11332</v>
      </c>
      <c r="Y988" t="s">
        <v>11342</v>
      </c>
      <c r="Z988" t="s">
        <v>12078</v>
      </c>
      <c r="AC988">
        <v>359</v>
      </c>
      <c r="AD988" t="s">
        <v>19566</v>
      </c>
      <c r="AE988" t="s">
        <v>19580</v>
      </c>
      <c r="AF988">
        <v>50</v>
      </c>
      <c r="AG988">
        <v>2</v>
      </c>
      <c r="AH988">
        <v>0</v>
      </c>
      <c r="AI988">
        <v>40.21</v>
      </c>
      <c r="AL988" t="s">
        <v>19614</v>
      </c>
      <c r="AM988">
        <v>6800</v>
      </c>
      <c r="AN988" t="s">
        <v>19750</v>
      </c>
      <c r="AS988">
        <v>0</v>
      </c>
      <c r="AU988" t="s">
        <v>95</v>
      </c>
    </row>
    <row r="989" spans="1:48">
      <c r="A989" s="1">
        <f>HYPERLINK("https://lsnyc.legalserver.org/matter/dynamic-profile/view/1891478","19-1891478")</f>
        <v>0</v>
      </c>
      <c r="B989" t="s">
        <v>70</v>
      </c>
      <c r="C989" t="s">
        <v>256</v>
      </c>
      <c r="D989" t="s">
        <v>316</v>
      </c>
      <c r="F989" t="s">
        <v>1712</v>
      </c>
      <c r="G989" t="s">
        <v>3332</v>
      </c>
      <c r="H989" t="s">
        <v>5749</v>
      </c>
      <c r="I989" t="s">
        <v>8266</v>
      </c>
      <c r="J989" t="s">
        <v>9059</v>
      </c>
      <c r="K989">
        <v>11233</v>
      </c>
      <c r="L989" t="s">
        <v>9094</v>
      </c>
      <c r="M989" t="s">
        <v>9096</v>
      </c>
      <c r="O989" t="s">
        <v>11137</v>
      </c>
      <c r="P989" t="s">
        <v>11167</v>
      </c>
      <c r="R989" t="s">
        <v>11180</v>
      </c>
      <c r="S989" t="s">
        <v>9094</v>
      </c>
      <c r="T989" t="s">
        <v>11183</v>
      </c>
      <c r="U989" t="s">
        <v>11201</v>
      </c>
      <c r="V989" t="s">
        <v>749</v>
      </c>
      <c r="W989">
        <v>300</v>
      </c>
      <c r="X989" t="s">
        <v>11332</v>
      </c>
      <c r="Y989" t="s">
        <v>11342</v>
      </c>
      <c r="Z989" t="s">
        <v>12078</v>
      </c>
      <c r="AC989">
        <v>359</v>
      </c>
      <c r="AD989" t="s">
        <v>19566</v>
      </c>
      <c r="AE989" t="s">
        <v>19580</v>
      </c>
      <c r="AF989">
        <v>50</v>
      </c>
      <c r="AG989">
        <v>2</v>
      </c>
      <c r="AH989">
        <v>0</v>
      </c>
      <c r="AI989">
        <v>40.21</v>
      </c>
      <c r="AL989" t="s">
        <v>19614</v>
      </c>
      <c r="AM989">
        <v>6800</v>
      </c>
      <c r="AN989" t="s">
        <v>19751</v>
      </c>
      <c r="AS989">
        <v>0</v>
      </c>
      <c r="AU989" t="s">
        <v>79</v>
      </c>
    </row>
    <row r="990" spans="1:48">
      <c r="A990" s="1">
        <f>HYPERLINK("https://lsnyc.legalserver.org/matter/dynamic-profile/view/0823967","17-0823967")</f>
        <v>0</v>
      </c>
      <c r="B990" t="s">
        <v>156</v>
      </c>
      <c r="C990" t="s">
        <v>256</v>
      </c>
      <c r="D990" t="s">
        <v>438</v>
      </c>
      <c r="F990" t="s">
        <v>1140</v>
      </c>
      <c r="G990" t="s">
        <v>2061</v>
      </c>
      <c r="H990" t="s">
        <v>5855</v>
      </c>
      <c r="J990" t="s">
        <v>9065</v>
      </c>
      <c r="K990">
        <v>10467</v>
      </c>
      <c r="L990" t="s">
        <v>9094</v>
      </c>
      <c r="M990" t="s">
        <v>9095</v>
      </c>
      <c r="N990" t="s">
        <v>9220</v>
      </c>
      <c r="O990" t="s">
        <v>11143</v>
      </c>
      <c r="P990" t="s">
        <v>11165</v>
      </c>
      <c r="R990" t="s">
        <v>11180</v>
      </c>
      <c r="S990" t="s">
        <v>9094</v>
      </c>
      <c r="T990" t="s">
        <v>11183</v>
      </c>
      <c r="V990" t="s">
        <v>438</v>
      </c>
      <c r="W990">
        <v>0</v>
      </c>
      <c r="X990" t="s">
        <v>11333</v>
      </c>
      <c r="Y990" t="s">
        <v>11338</v>
      </c>
      <c r="Z990" t="s">
        <v>12079</v>
      </c>
      <c r="AB990" t="s">
        <v>16521</v>
      </c>
      <c r="AC990">
        <v>30</v>
      </c>
      <c r="AD990" t="s">
        <v>19566</v>
      </c>
      <c r="AF990">
        <v>0</v>
      </c>
      <c r="AG990">
        <v>2</v>
      </c>
      <c r="AH990">
        <v>2</v>
      </c>
      <c r="AI990">
        <v>40.25</v>
      </c>
      <c r="AJ990" t="s">
        <v>865</v>
      </c>
      <c r="AL990" t="s">
        <v>19614</v>
      </c>
      <c r="AM990">
        <v>9780</v>
      </c>
      <c r="AS990">
        <v>0</v>
      </c>
      <c r="AU990" t="s">
        <v>20645</v>
      </c>
    </row>
    <row r="991" spans="1:48">
      <c r="A991" s="1">
        <f>HYPERLINK("https://lsnyc.legalserver.org/matter/dynamic-profile/view/1885681","18-1885681")</f>
        <v>0</v>
      </c>
      <c r="B991" t="s">
        <v>113</v>
      </c>
      <c r="C991" t="s">
        <v>257</v>
      </c>
      <c r="D991" t="s">
        <v>424</v>
      </c>
      <c r="E991" t="s">
        <v>496</v>
      </c>
      <c r="F991" t="s">
        <v>1700</v>
      </c>
      <c r="G991" t="s">
        <v>3870</v>
      </c>
      <c r="H991" t="s">
        <v>5864</v>
      </c>
      <c r="I991" t="s">
        <v>8193</v>
      </c>
      <c r="J991" t="s">
        <v>9065</v>
      </c>
      <c r="K991">
        <v>10460</v>
      </c>
      <c r="L991" t="s">
        <v>9094</v>
      </c>
      <c r="M991" t="s">
        <v>9094</v>
      </c>
      <c r="N991" t="s">
        <v>9222</v>
      </c>
      <c r="O991" t="s">
        <v>11130</v>
      </c>
      <c r="P991" t="s">
        <v>11165</v>
      </c>
      <c r="Q991" t="s">
        <v>11174</v>
      </c>
      <c r="R991" t="s">
        <v>11180</v>
      </c>
      <c r="S991" t="s">
        <v>9094</v>
      </c>
      <c r="T991" t="s">
        <v>11183</v>
      </c>
      <c r="V991" t="s">
        <v>512</v>
      </c>
      <c r="W991">
        <v>1000</v>
      </c>
      <c r="X991" t="s">
        <v>11333</v>
      </c>
      <c r="Y991" t="s">
        <v>11346</v>
      </c>
      <c r="Z991" t="s">
        <v>12059</v>
      </c>
      <c r="AB991" t="s">
        <v>16503</v>
      </c>
      <c r="AC991">
        <v>168</v>
      </c>
      <c r="AD991" t="s">
        <v>15441</v>
      </c>
      <c r="AE991" t="s">
        <v>9144</v>
      </c>
      <c r="AF991">
        <v>4</v>
      </c>
      <c r="AG991">
        <v>1</v>
      </c>
      <c r="AH991">
        <v>0</v>
      </c>
      <c r="AI991">
        <v>40.26</v>
      </c>
      <c r="AL991" t="s">
        <v>19615</v>
      </c>
      <c r="AM991">
        <v>4888</v>
      </c>
      <c r="AS991">
        <v>0.5</v>
      </c>
      <c r="AT991" t="s">
        <v>395</v>
      </c>
      <c r="AU991" t="s">
        <v>20642</v>
      </c>
    </row>
    <row r="992" spans="1:48">
      <c r="A992" s="1">
        <f>HYPERLINK("https://lsnyc.legalserver.org/matter/dynamic-profile/view/1911976","19-1911976")</f>
        <v>0</v>
      </c>
      <c r="B992" t="s">
        <v>178</v>
      </c>
      <c r="C992" t="s">
        <v>256</v>
      </c>
      <c r="D992" t="s">
        <v>292</v>
      </c>
      <c r="F992" t="s">
        <v>1222</v>
      </c>
      <c r="G992" t="s">
        <v>2348</v>
      </c>
      <c r="H992" t="s">
        <v>6303</v>
      </c>
      <c r="I992" t="s">
        <v>8374</v>
      </c>
      <c r="J992" t="s">
        <v>9065</v>
      </c>
      <c r="K992">
        <v>10453</v>
      </c>
      <c r="L992" t="s">
        <v>9094</v>
      </c>
      <c r="M992" t="s">
        <v>9095</v>
      </c>
      <c r="P992" t="s">
        <v>11164</v>
      </c>
      <c r="R992" t="s">
        <v>11180</v>
      </c>
      <c r="T992" t="s">
        <v>11183</v>
      </c>
      <c r="W992">
        <v>0</v>
      </c>
      <c r="X992" t="s">
        <v>11333</v>
      </c>
      <c r="Z992" t="s">
        <v>12080</v>
      </c>
      <c r="AB992" t="s">
        <v>16522</v>
      </c>
      <c r="AC992">
        <v>0</v>
      </c>
      <c r="AF992">
        <v>0</v>
      </c>
      <c r="AG992">
        <v>1</v>
      </c>
      <c r="AH992">
        <v>0</v>
      </c>
      <c r="AI992">
        <v>40.3</v>
      </c>
      <c r="AL992" t="s">
        <v>19614</v>
      </c>
      <c r="AM992">
        <v>5033</v>
      </c>
      <c r="AS992">
        <v>1.15</v>
      </c>
      <c r="AT992" t="s">
        <v>703</v>
      </c>
      <c r="AU992" t="s">
        <v>178</v>
      </c>
      <c r="AV992" t="s">
        <v>20733</v>
      </c>
    </row>
    <row r="993" spans="1:48">
      <c r="A993" s="1">
        <f>HYPERLINK("https://lsnyc.legalserver.org/matter/dynamic-profile/view/1910511","19-1910511")</f>
        <v>0</v>
      </c>
      <c r="B993" t="s">
        <v>49</v>
      </c>
      <c r="C993" t="s">
        <v>257</v>
      </c>
      <c r="D993" t="s">
        <v>341</v>
      </c>
      <c r="E993" t="s">
        <v>570</v>
      </c>
      <c r="F993" t="s">
        <v>1139</v>
      </c>
      <c r="G993" t="s">
        <v>3885</v>
      </c>
      <c r="H993" t="s">
        <v>6304</v>
      </c>
      <c r="I993" t="s">
        <v>8209</v>
      </c>
      <c r="J993" t="s">
        <v>9061</v>
      </c>
      <c r="K993">
        <v>11102</v>
      </c>
      <c r="L993" t="s">
        <v>9094</v>
      </c>
      <c r="M993" t="s">
        <v>9095</v>
      </c>
      <c r="N993" t="s">
        <v>9572</v>
      </c>
      <c r="O993" t="s">
        <v>11128</v>
      </c>
      <c r="P993" t="s">
        <v>11167</v>
      </c>
      <c r="Q993" t="s">
        <v>11172</v>
      </c>
      <c r="R993" t="s">
        <v>11180</v>
      </c>
      <c r="S993" t="s">
        <v>9096</v>
      </c>
      <c r="T993" t="s">
        <v>11183</v>
      </c>
      <c r="U993" t="s">
        <v>11201</v>
      </c>
      <c r="V993" t="s">
        <v>308</v>
      </c>
      <c r="W993">
        <v>1560</v>
      </c>
      <c r="X993" t="s">
        <v>11331</v>
      </c>
      <c r="Y993" t="s">
        <v>11336</v>
      </c>
      <c r="Z993" t="s">
        <v>12081</v>
      </c>
      <c r="AA993" t="s">
        <v>15474</v>
      </c>
      <c r="AB993" t="s">
        <v>15274</v>
      </c>
      <c r="AC993">
        <v>6</v>
      </c>
      <c r="AD993" t="s">
        <v>19565</v>
      </c>
      <c r="AE993" t="s">
        <v>9144</v>
      </c>
      <c r="AF993">
        <v>9</v>
      </c>
      <c r="AG993">
        <v>2</v>
      </c>
      <c r="AH993">
        <v>2</v>
      </c>
      <c r="AI993">
        <v>40.39</v>
      </c>
      <c r="AL993" t="s">
        <v>19615</v>
      </c>
      <c r="AM993">
        <v>10400</v>
      </c>
      <c r="AP993" t="s">
        <v>11157</v>
      </c>
      <c r="AR993" t="s">
        <v>20435</v>
      </c>
      <c r="AS993">
        <v>4.2</v>
      </c>
      <c r="AT993" t="s">
        <v>284</v>
      </c>
      <c r="AU993" t="s">
        <v>20619</v>
      </c>
      <c r="AV993" t="s">
        <v>20733</v>
      </c>
    </row>
    <row r="994" spans="1:48">
      <c r="A994" s="1">
        <f>HYPERLINK("https://lsnyc.legalserver.org/matter/dynamic-profile/view/1874691","18-1874691")</f>
        <v>0</v>
      </c>
      <c r="B994" t="s">
        <v>68</v>
      </c>
      <c r="C994" t="s">
        <v>256</v>
      </c>
      <c r="D994" t="s">
        <v>536</v>
      </c>
      <c r="F994" t="s">
        <v>1375</v>
      </c>
      <c r="G994" t="s">
        <v>3886</v>
      </c>
      <c r="H994" t="s">
        <v>6305</v>
      </c>
      <c r="I994" t="s">
        <v>8119</v>
      </c>
      <c r="J994" t="s">
        <v>9059</v>
      </c>
      <c r="K994">
        <v>11233</v>
      </c>
      <c r="L994" t="s">
        <v>9094</v>
      </c>
      <c r="M994" t="s">
        <v>9094</v>
      </c>
      <c r="N994" t="s">
        <v>9573</v>
      </c>
      <c r="O994" t="s">
        <v>11129</v>
      </c>
      <c r="P994" t="s">
        <v>11165</v>
      </c>
      <c r="R994" t="s">
        <v>11180</v>
      </c>
      <c r="S994" t="s">
        <v>9096</v>
      </c>
      <c r="T994" t="s">
        <v>11183</v>
      </c>
      <c r="U994" t="s">
        <v>11201</v>
      </c>
      <c r="V994" t="s">
        <v>635</v>
      </c>
      <c r="W994">
        <v>933.24</v>
      </c>
      <c r="X994" t="s">
        <v>11332</v>
      </c>
      <c r="Y994" t="s">
        <v>11340</v>
      </c>
      <c r="Z994" t="s">
        <v>12082</v>
      </c>
      <c r="AA994" t="s">
        <v>15475</v>
      </c>
      <c r="AB994" t="s">
        <v>16523</v>
      </c>
      <c r="AC994">
        <v>8</v>
      </c>
      <c r="AD994" t="s">
        <v>19567</v>
      </c>
      <c r="AE994" t="s">
        <v>19580</v>
      </c>
      <c r="AF994">
        <v>20</v>
      </c>
      <c r="AG994">
        <v>2</v>
      </c>
      <c r="AH994">
        <v>1</v>
      </c>
      <c r="AI994">
        <v>40.42</v>
      </c>
      <c r="AL994" t="s">
        <v>19614</v>
      </c>
      <c r="AM994">
        <v>8400</v>
      </c>
      <c r="AS994">
        <v>18.22</v>
      </c>
      <c r="AT994" t="s">
        <v>632</v>
      </c>
      <c r="AU994" t="s">
        <v>20635</v>
      </c>
    </row>
    <row r="995" spans="1:48">
      <c r="A995" s="1">
        <f>HYPERLINK("https://lsnyc.legalserver.org/matter/dynamic-profile/view/1866254","18-1866254")</f>
        <v>0</v>
      </c>
      <c r="B995" t="s">
        <v>103</v>
      </c>
      <c r="C995" t="s">
        <v>256</v>
      </c>
      <c r="D995" t="s">
        <v>696</v>
      </c>
      <c r="F995" t="s">
        <v>1713</v>
      </c>
      <c r="G995" t="s">
        <v>3887</v>
      </c>
      <c r="H995" t="s">
        <v>6100</v>
      </c>
      <c r="I995" t="s">
        <v>8254</v>
      </c>
      <c r="J995" t="s">
        <v>9065</v>
      </c>
      <c r="K995">
        <v>10452</v>
      </c>
      <c r="L995" t="s">
        <v>9094</v>
      </c>
      <c r="M995" t="s">
        <v>9094</v>
      </c>
      <c r="N995" t="s">
        <v>9574</v>
      </c>
      <c r="O995" t="s">
        <v>11156</v>
      </c>
      <c r="P995" t="s">
        <v>11168</v>
      </c>
      <c r="R995" t="s">
        <v>11180</v>
      </c>
      <c r="S995" t="s">
        <v>9094</v>
      </c>
      <c r="T995" t="s">
        <v>11183</v>
      </c>
      <c r="U995" t="s">
        <v>11201</v>
      </c>
      <c r="V995" t="s">
        <v>808</v>
      </c>
      <c r="W995">
        <v>1600</v>
      </c>
      <c r="X995" t="s">
        <v>11333</v>
      </c>
      <c r="Y995" t="s">
        <v>11346</v>
      </c>
      <c r="Z995" t="s">
        <v>12083</v>
      </c>
      <c r="AA995" t="s">
        <v>15476</v>
      </c>
      <c r="AB995" t="s">
        <v>16524</v>
      </c>
      <c r="AC995">
        <v>53</v>
      </c>
      <c r="AD995" t="s">
        <v>19566</v>
      </c>
      <c r="AE995" t="s">
        <v>19582</v>
      </c>
      <c r="AF995">
        <v>3</v>
      </c>
      <c r="AG995">
        <v>1</v>
      </c>
      <c r="AH995">
        <v>2</v>
      </c>
      <c r="AI995">
        <v>40.42</v>
      </c>
      <c r="AL995" t="s">
        <v>19614</v>
      </c>
      <c r="AM995">
        <v>8400</v>
      </c>
      <c r="AS995">
        <v>94.25</v>
      </c>
      <c r="AT995" t="s">
        <v>337</v>
      </c>
      <c r="AU995" t="s">
        <v>20642</v>
      </c>
    </row>
    <row r="996" spans="1:48">
      <c r="A996" s="1">
        <f>HYPERLINK("https://lsnyc.legalserver.org/matter/dynamic-profile/view/1887903","19-1887903")</f>
        <v>0</v>
      </c>
      <c r="B996" t="s">
        <v>78</v>
      </c>
      <c r="C996" t="s">
        <v>256</v>
      </c>
      <c r="D996" t="s">
        <v>443</v>
      </c>
      <c r="F996" t="s">
        <v>1436</v>
      </c>
      <c r="G996" t="s">
        <v>3618</v>
      </c>
      <c r="H996" t="s">
        <v>5805</v>
      </c>
      <c r="I996" t="s">
        <v>8112</v>
      </c>
      <c r="J996" t="s">
        <v>9059</v>
      </c>
      <c r="K996">
        <v>11213</v>
      </c>
      <c r="L996" t="s">
        <v>9094</v>
      </c>
      <c r="M996" t="s">
        <v>9094</v>
      </c>
      <c r="N996" t="s">
        <v>9575</v>
      </c>
      <c r="O996" t="s">
        <v>11130</v>
      </c>
      <c r="P996" t="s">
        <v>11165</v>
      </c>
      <c r="R996" t="s">
        <v>11180</v>
      </c>
      <c r="S996" t="s">
        <v>9094</v>
      </c>
      <c r="T996" t="s">
        <v>11183</v>
      </c>
      <c r="V996" t="s">
        <v>509</v>
      </c>
      <c r="W996">
        <v>643.51</v>
      </c>
      <c r="X996" t="s">
        <v>11332</v>
      </c>
      <c r="Y996" t="s">
        <v>11157</v>
      </c>
      <c r="Z996" t="s">
        <v>11699</v>
      </c>
      <c r="AB996" t="s">
        <v>16171</v>
      </c>
      <c r="AC996">
        <v>19</v>
      </c>
      <c r="AD996" t="s">
        <v>19566</v>
      </c>
      <c r="AE996" t="s">
        <v>9144</v>
      </c>
      <c r="AF996">
        <v>7</v>
      </c>
      <c r="AG996">
        <v>2</v>
      </c>
      <c r="AH996">
        <v>2</v>
      </c>
      <c r="AI996">
        <v>40.64</v>
      </c>
      <c r="AL996" t="s">
        <v>19614</v>
      </c>
      <c r="AM996">
        <v>10200</v>
      </c>
      <c r="AS996">
        <v>0</v>
      </c>
      <c r="AU996" t="s">
        <v>79</v>
      </c>
    </row>
    <row r="997" spans="1:48">
      <c r="A997" s="1">
        <f>HYPERLINK("https://lsnyc.legalserver.org/matter/dynamic-profile/view/1913589","19-1913589")</f>
        <v>0</v>
      </c>
      <c r="B997" t="s">
        <v>92</v>
      </c>
      <c r="C997" t="s">
        <v>256</v>
      </c>
      <c r="D997" t="s">
        <v>521</v>
      </c>
      <c r="F997" t="s">
        <v>1714</v>
      </c>
      <c r="G997" t="s">
        <v>3888</v>
      </c>
      <c r="H997" t="s">
        <v>6306</v>
      </c>
      <c r="I997" t="s">
        <v>8112</v>
      </c>
      <c r="J997" t="s">
        <v>9059</v>
      </c>
      <c r="K997">
        <v>11238</v>
      </c>
      <c r="L997" t="s">
        <v>9094</v>
      </c>
      <c r="M997" t="s">
        <v>9095</v>
      </c>
      <c r="O997" t="s">
        <v>11134</v>
      </c>
      <c r="P997" t="s">
        <v>11168</v>
      </c>
      <c r="R997" t="s">
        <v>11180</v>
      </c>
      <c r="S997" t="s">
        <v>9094</v>
      </c>
      <c r="T997" t="s">
        <v>11183</v>
      </c>
      <c r="U997" t="s">
        <v>11201</v>
      </c>
      <c r="V997" t="s">
        <v>11243</v>
      </c>
      <c r="W997">
        <v>0</v>
      </c>
      <c r="X997" t="s">
        <v>11332</v>
      </c>
      <c r="Y997" t="s">
        <v>11340</v>
      </c>
      <c r="Z997" t="s">
        <v>12084</v>
      </c>
      <c r="AA997" t="s">
        <v>15477</v>
      </c>
      <c r="AB997" t="s">
        <v>16525</v>
      </c>
      <c r="AC997">
        <v>16</v>
      </c>
      <c r="AD997" t="s">
        <v>19566</v>
      </c>
      <c r="AE997" t="s">
        <v>19581</v>
      </c>
      <c r="AF997">
        <v>0</v>
      </c>
      <c r="AG997">
        <v>1</v>
      </c>
      <c r="AH997">
        <v>1</v>
      </c>
      <c r="AI997">
        <v>40.73</v>
      </c>
      <c r="AL997" t="s">
        <v>19614</v>
      </c>
      <c r="AM997">
        <v>6888</v>
      </c>
      <c r="AN997" t="s">
        <v>19752</v>
      </c>
      <c r="AS997">
        <v>0</v>
      </c>
      <c r="AU997" t="s">
        <v>79</v>
      </c>
      <c r="AV997" t="s">
        <v>20733</v>
      </c>
    </row>
    <row r="998" spans="1:48">
      <c r="A998" s="1">
        <f>HYPERLINK("https://lsnyc.legalserver.org/matter/dynamic-profile/view/1913594","19-1913594")</f>
        <v>0</v>
      </c>
      <c r="B998" t="s">
        <v>92</v>
      </c>
      <c r="C998" t="s">
        <v>256</v>
      </c>
      <c r="D998" t="s">
        <v>521</v>
      </c>
      <c r="F998" t="s">
        <v>1714</v>
      </c>
      <c r="G998" t="s">
        <v>3888</v>
      </c>
      <c r="H998" t="s">
        <v>6306</v>
      </c>
      <c r="I998" t="s">
        <v>8112</v>
      </c>
      <c r="J998" t="s">
        <v>9059</v>
      </c>
      <c r="K998">
        <v>11238</v>
      </c>
      <c r="L998" t="s">
        <v>9094</v>
      </c>
      <c r="M998" t="s">
        <v>9095</v>
      </c>
      <c r="O998" t="s">
        <v>11130</v>
      </c>
      <c r="P998" t="s">
        <v>11165</v>
      </c>
      <c r="R998" t="s">
        <v>11180</v>
      </c>
      <c r="S998" t="s">
        <v>9094</v>
      </c>
      <c r="T998" t="s">
        <v>11183</v>
      </c>
      <c r="U998" t="s">
        <v>11201</v>
      </c>
      <c r="V998" t="s">
        <v>11243</v>
      </c>
      <c r="W998">
        <v>0</v>
      </c>
      <c r="X998" t="s">
        <v>11332</v>
      </c>
      <c r="Y998" t="s">
        <v>11340</v>
      </c>
      <c r="Z998" t="s">
        <v>12084</v>
      </c>
      <c r="AA998" t="s">
        <v>15477</v>
      </c>
      <c r="AB998" t="s">
        <v>16525</v>
      </c>
      <c r="AC998">
        <v>16</v>
      </c>
      <c r="AD998" t="s">
        <v>19566</v>
      </c>
      <c r="AE998" t="s">
        <v>19581</v>
      </c>
      <c r="AF998">
        <v>0</v>
      </c>
      <c r="AG998">
        <v>1</v>
      </c>
      <c r="AH998">
        <v>1</v>
      </c>
      <c r="AI998">
        <v>40.73</v>
      </c>
      <c r="AL998" t="s">
        <v>19614</v>
      </c>
      <c r="AM998">
        <v>6888</v>
      </c>
      <c r="AN998" t="s">
        <v>19753</v>
      </c>
      <c r="AS998">
        <v>0</v>
      </c>
      <c r="AU998" t="s">
        <v>79</v>
      </c>
      <c r="AV998" t="s">
        <v>20733</v>
      </c>
    </row>
    <row r="999" spans="1:48">
      <c r="A999" s="1">
        <f>HYPERLINK("https://lsnyc.legalserver.org/matter/dynamic-profile/view/1907709","19-1907709")</f>
        <v>0</v>
      </c>
      <c r="B999" t="s">
        <v>92</v>
      </c>
      <c r="C999" t="s">
        <v>256</v>
      </c>
      <c r="D999" t="s">
        <v>429</v>
      </c>
      <c r="F999" t="s">
        <v>1714</v>
      </c>
      <c r="G999" t="s">
        <v>3888</v>
      </c>
      <c r="H999" t="s">
        <v>6306</v>
      </c>
      <c r="I999" t="s">
        <v>8112</v>
      </c>
      <c r="J999" t="s">
        <v>9059</v>
      </c>
      <c r="K999">
        <v>11238</v>
      </c>
      <c r="L999" t="s">
        <v>9094</v>
      </c>
      <c r="M999" t="s">
        <v>9095</v>
      </c>
      <c r="N999" t="s">
        <v>9144</v>
      </c>
      <c r="O999" t="s">
        <v>11137</v>
      </c>
      <c r="P999" t="s">
        <v>11167</v>
      </c>
      <c r="R999" t="s">
        <v>11180</v>
      </c>
      <c r="S999" t="s">
        <v>9096</v>
      </c>
      <c r="T999" t="s">
        <v>11183</v>
      </c>
      <c r="U999" t="s">
        <v>11201</v>
      </c>
      <c r="V999" t="s">
        <v>429</v>
      </c>
      <c r="W999">
        <v>1266.98</v>
      </c>
      <c r="X999" t="s">
        <v>11332</v>
      </c>
      <c r="Y999" t="s">
        <v>11340</v>
      </c>
      <c r="Z999" t="s">
        <v>12084</v>
      </c>
      <c r="AA999" t="s">
        <v>15477</v>
      </c>
      <c r="AB999" t="s">
        <v>16525</v>
      </c>
      <c r="AC999">
        <v>16</v>
      </c>
      <c r="AD999" t="s">
        <v>19566</v>
      </c>
      <c r="AE999" t="s">
        <v>19581</v>
      </c>
      <c r="AF999">
        <v>0</v>
      </c>
      <c r="AG999">
        <v>1</v>
      </c>
      <c r="AH999">
        <v>1</v>
      </c>
      <c r="AI999">
        <v>40.73</v>
      </c>
      <c r="AL999" t="s">
        <v>19614</v>
      </c>
      <c r="AM999">
        <v>6888</v>
      </c>
      <c r="AS999">
        <v>2.5</v>
      </c>
      <c r="AT999" t="s">
        <v>295</v>
      </c>
      <c r="AU999" t="s">
        <v>95</v>
      </c>
      <c r="AV999" t="s">
        <v>20734</v>
      </c>
    </row>
    <row r="1000" spans="1:48">
      <c r="A1000" s="1">
        <f>HYPERLINK("https://lsnyc.legalserver.org/matter/dynamic-profile/view/1911193","19-1911193")</f>
        <v>0</v>
      </c>
      <c r="B1000" t="s">
        <v>92</v>
      </c>
      <c r="C1000" t="s">
        <v>256</v>
      </c>
      <c r="D1000" t="s">
        <v>336</v>
      </c>
      <c r="F1000" t="s">
        <v>1714</v>
      </c>
      <c r="G1000" t="s">
        <v>3888</v>
      </c>
      <c r="H1000" t="s">
        <v>6306</v>
      </c>
      <c r="I1000" t="s">
        <v>8112</v>
      </c>
      <c r="J1000" t="s">
        <v>9059</v>
      </c>
      <c r="K1000">
        <v>11238</v>
      </c>
      <c r="L1000" t="s">
        <v>9094</v>
      </c>
      <c r="M1000" t="s">
        <v>9095</v>
      </c>
      <c r="N1000" t="s">
        <v>9121</v>
      </c>
      <c r="O1000" t="s">
        <v>11137</v>
      </c>
      <c r="P1000" t="s">
        <v>11167</v>
      </c>
      <c r="R1000" t="s">
        <v>11180</v>
      </c>
      <c r="S1000" t="s">
        <v>9094</v>
      </c>
      <c r="T1000" t="s">
        <v>11183</v>
      </c>
      <c r="U1000" t="s">
        <v>11201</v>
      </c>
      <c r="V1000" t="s">
        <v>648</v>
      </c>
      <c r="W1000">
        <v>0</v>
      </c>
      <c r="X1000" t="s">
        <v>11332</v>
      </c>
      <c r="Y1000" t="s">
        <v>11340</v>
      </c>
      <c r="Z1000" t="s">
        <v>12084</v>
      </c>
      <c r="AA1000" t="s">
        <v>15477</v>
      </c>
      <c r="AB1000" t="s">
        <v>16525</v>
      </c>
      <c r="AC1000">
        <v>16</v>
      </c>
      <c r="AD1000" t="s">
        <v>19566</v>
      </c>
      <c r="AE1000" t="s">
        <v>19581</v>
      </c>
      <c r="AF1000">
        <v>0</v>
      </c>
      <c r="AG1000">
        <v>1</v>
      </c>
      <c r="AH1000">
        <v>1</v>
      </c>
      <c r="AI1000">
        <v>40.73</v>
      </c>
      <c r="AL1000" t="s">
        <v>19614</v>
      </c>
      <c r="AM1000">
        <v>6888</v>
      </c>
      <c r="AS1000">
        <v>28.1</v>
      </c>
      <c r="AT1000" t="s">
        <v>1135</v>
      </c>
      <c r="AU1000" t="s">
        <v>95</v>
      </c>
      <c r="AV1000" t="s">
        <v>20733</v>
      </c>
    </row>
    <row r="1001" spans="1:48">
      <c r="A1001" s="1">
        <f>HYPERLINK("https://lsnyc.legalserver.org/matter/dynamic-profile/view/1882115","18-1882115")</f>
        <v>0</v>
      </c>
      <c r="B1001" t="s">
        <v>111</v>
      </c>
      <c r="C1001" t="s">
        <v>256</v>
      </c>
      <c r="D1001" t="s">
        <v>697</v>
      </c>
      <c r="F1001" t="s">
        <v>1715</v>
      </c>
      <c r="G1001" t="s">
        <v>3889</v>
      </c>
      <c r="H1001" t="s">
        <v>5894</v>
      </c>
      <c r="I1001" t="s">
        <v>8357</v>
      </c>
      <c r="J1001" t="s">
        <v>9065</v>
      </c>
      <c r="K1001">
        <v>10453</v>
      </c>
      <c r="L1001" t="s">
        <v>9094</v>
      </c>
      <c r="M1001" t="s">
        <v>9094</v>
      </c>
      <c r="O1001" t="s">
        <v>11130</v>
      </c>
      <c r="P1001" t="s">
        <v>11165</v>
      </c>
      <c r="R1001" t="s">
        <v>11180</v>
      </c>
      <c r="S1001" t="s">
        <v>9096</v>
      </c>
      <c r="T1001" t="s">
        <v>11183</v>
      </c>
      <c r="V1001" t="s">
        <v>697</v>
      </c>
      <c r="W1001">
        <v>1931</v>
      </c>
      <c r="X1001" t="s">
        <v>11333</v>
      </c>
      <c r="Y1001" t="s">
        <v>11340</v>
      </c>
      <c r="Z1001" t="s">
        <v>12085</v>
      </c>
      <c r="AA1001">
        <v>32013902</v>
      </c>
      <c r="AB1001" t="s">
        <v>16526</v>
      </c>
      <c r="AC1001">
        <v>1654</v>
      </c>
      <c r="AD1001" t="s">
        <v>19567</v>
      </c>
      <c r="AE1001" t="s">
        <v>19580</v>
      </c>
      <c r="AF1001">
        <v>9</v>
      </c>
      <c r="AG1001">
        <v>2</v>
      </c>
      <c r="AH1001">
        <v>4</v>
      </c>
      <c r="AI1001">
        <v>40.9</v>
      </c>
      <c r="AL1001" t="s">
        <v>19614</v>
      </c>
      <c r="AM1001">
        <v>13800</v>
      </c>
      <c r="AS1001">
        <v>21.8</v>
      </c>
      <c r="AT1001" t="s">
        <v>262</v>
      </c>
      <c r="AU1001" t="s">
        <v>20642</v>
      </c>
    </row>
    <row r="1002" spans="1:48">
      <c r="A1002" s="1">
        <f>HYPERLINK("https://lsnyc.legalserver.org/matter/dynamic-profile/view/1888329","19-1888329")</f>
        <v>0</v>
      </c>
      <c r="B1002" t="s">
        <v>111</v>
      </c>
      <c r="C1002" t="s">
        <v>256</v>
      </c>
      <c r="D1002" t="s">
        <v>540</v>
      </c>
      <c r="F1002" t="s">
        <v>1715</v>
      </c>
      <c r="G1002" t="s">
        <v>3889</v>
      </c>
      <c r="H1002" t="s">
        <v>5894</v>
      </c>
      <c r="I1002" t="s">
        <v>8357</v>
      </c>
      <c r="J1002" t="s">
        <v>9065</v>
      </c>
      <c r="K1002">
        <v>10453</v>
      </c>
      <c r="L1002" t="s">
        <v>9094</v>
      </c>
      <c r="M1002" t="s">
        <v>9094</v>
      </c>
      <c r="N1002" t="s">
        <v>9576</v>
      </c>
      <c r="O1002" t="s">
        <v>11129</v>
      </c>
      <c r="P1002" t="s">
        <v>11164</v>
      </c>
      <c r="R1002" t="s">
        <v>11180</v>
      </c>
      <c r="S1002" t="s">
        <v>9096</v>
      </c>
      <c r="T1002" t="s">
        <v>11183</v>
      </c>
      <c r="U1002" t="s">
        <v>11201</v>
      </c>
      <c r="V1002" t="s">
        <v>11218</v>
      </c>
      <c r="W1002">
        <v>1931</v>
      </c>
      <c r="X1002" t="s">
        <v>11333</v>
      </c>
      <c r="Y1002" t="s">
        <v>11340</v>
      </c>
      <c r="Z1002" t="s">
        <v>12085</v>
      </c>
      <c r="AA1002">
        <v>32013902</v>
      </c>
      <c r="AB1002" t="s">
        <v>16526</v>
      </c>
      <c r="AC1002">
        <v>1654</v>
      </c>
      <c r="AD1002" t="s">
        <v>19567</v>
      </c>
      <c r="AE1002" t="s">
        <v>19580</v>
      </c>
      <c r="AF1002">
        <v>9</v>
      </c>
      <c r="AG1002">
        <v>2</v>
      </c>
      <c r="AH1002">
        <v>4</v>
      </c>
      <c r="AI1002">
        <v>40.9</v>
      </c>
      <c r="AL1002" t="s">
        <v>19614</v>
      </c>
      <c r="AM1002">
        <v>13800</v>
      </c>
      <c r="AN1002" t="s">
        <v>19754</v>
      </c>
      <c r="AS1002">
        <v>3.3</v>
      </c>
      <c r="AT1002" t="s">
        <v>703</v>
      </c>
      <c r="AU1002" t="s">
        <v>163</v>
      </c>
    </row>
    <row r="1003" spans="1:48">
      <c r="A1003" s="1">
        <f>HYPERLINK("https://lsnyc.legalserver.org/matter/dynamic-profile/view/1907085","19-1907085")</f>
        <v>0</v>
      </c>
      <c r="B1003" t="s">
        <v>98</v>
      </c>
      <c r="C1003" t="s">
        <v>257</v>
      </c>
      <c r="D1003" t="s">
        <v>498</v>
      </c>
      <c r="E1003" t="s">
        <v>574</v>
      </c>
      <c r="F1003" t="s">
        <v>1716</v>
      </c>
      <c r="G1003" t="s">
        <v>3890</v>
      </c>
      <c r="H1003" t="s">
        <v>6307</v>
      </c>
      <c r="J1003" t="s">
        <v>9065</v>
      </c>
      <c r="K1003">
        <v>10453</v>
      </c>
      <c r="L1003" t="s">
        <v>9094</v>
      </c>
      <c r="M1003" t="s">
        <v>9095</v>
      </c>
      <c r="N1003" t="s">
        <v>9171</v>
      </c>
      <c r="O1003" t="s">
        <v>9121</v>
      </c>
      <c r="P1003" t="s">
        <v>11164</v>
      </c>
      <c r="Q1003" t="s">
        <v>11172</v>
      </c>
      <c r="R1003" t="s">
        <v>11180</v>
      </c>
      <c r="S1003" t="s">
        <v>9096</v>
      </c>
      <c r="T1003" t="s">
        <v>11183</v>
      </c>
      <c r="V1003" t="s">
        <v>11207</v>
      </c>
      <c r="W1003">
        <v>1129</v>
      </c>
      <c r="X1003" t="s">
        <v>11333</v>
      </c>
      <c r="Y1003" t="s">
        <v>11346</v>
      </c>
      <c r="Z1003" t="s">
        <v>12086</v>
      </c>
      <c r="AC1003">
        <v>69</v>
      </c>
      <c r="AD1003" t="s">
        <v>15441</v>
      </c>
      <c r="AE1003" t="s">
        <v>9144</v>
      </c>
      <c r="AF1003">
        <v>37</v>
      </c>
      <c r="AG1003">
        <v>2</v>
      </c>
      <c r="AH1003">
        <v>2</v>
      </c>
      <c r="AI1003">
        <v>40.92</v>
      </c>
      <c r="AL1003" t="s">
        <v>19614</v>
      </c>
      <c r="AM1003">
        <v>10536</v>
      </c>
      <c r="AS1003">
        <v>1</v>
      </c>
      <c r="AT1003" t="s">
        <v>574</v>
      </c>
      <c r="AU1003" t="s">
        <v>220</v>
      </c>
      <c r="AV1003" t="s">
        <v>20733</v>
      </c>
    </row>
    <row r="1004" spans="1:48">
      <c r="A1004" s="1">
        <f>HYPERLINK("https://lsnyc.legalserver.org/matter/dynamic-profile/view/1904659","19-1904659")</f>
        <v>0</v>
      </c>
      <c r="B1004" t="s">
        <v>119</v>
      </c>
      <c r="C1004" t="s">
        <v>256</v>
      </c>
      <c r="D1004" t="s">
        <v>497</v>
      </c>
      <c r="F1004" t="s">
        <v>1717</v>
      </c>
      <c r="G1004" t="s">
        <v>3891</v>
      </c>
      <c r="H1004" t="s">
        <v>6095</v>
      </c>
      <c r="I1004" t="s">
        <v>8375</v>
      </c>
      <c r="J1004" t="s">
        <v>9065</v>
      </c>
      <c r="K1004">
        <v>10456</v>
      </c>
      <c r="L1004" t="s">
        <v>9094</v>
      </c>
      <c r="M1004" t="s">
        <v>9095</v>
      </c>
      <c r="N1004" t="s">
        <v>9401</v>
      </c>
      <c r="O1004" t="s">
        <v>11134</v>
      </c>
      <c r="P1004" t="s">
        <v>11168</v>
      </c>
      <c r="R1004" t="s">
        <v>11180</v>
      </c>
      <c r="S1004" t="s">
        <v>9094</v>
      </c>
      <c r="T1004" t="s">
        <v>11183</v>
      </c>
      <c r="V1004" t="s">
        <v>11218</v>
      </c>
      <c r="W1004">
        <v>1227</v>
      </c>
      <c r="X1004" t="s">
        <v>11333</v>
      </c>
      <c r="Y1004" t="s">
        <v>11346</v>
      </c>
      <c r="Z1004" t="s">
        <v>12087</v>
      </c>
      <c r="AB1004" t="s">
        <v>16527</v>
      </c>
      <c r="AC1004">
        <v>131</v>
      </c>
      <c r="AD1004" t="s">
        <v>19566</v>
      </c>
      <c r="AE1004" t="s">
        <v>19580</v>
      </c>
      <c r="AF1004">
        <v>9</v>
      </c>
      <c r="AG1004">
        <v>2</v>
      </c>
      <c r="AH1004">
        <v>3</v>
      </c>
      <c r="AI1004">
        <v>41.13</v>
      </c>
      <c r="AL1004" t="s">
        <v>19615</v>
      </c>
      <c r="AM1004">
        <v>12408</v>
      </c>
      <c r="AS1004">
        <v>0</v>
      </c>
      <c r="AU1004" t="s">
        <v>163</v>
      </c>
      <c r="AV1004" t="s">
        <v>20733</v>
      </c>
    </row>
    <row r="1005" spans="1:48">
      <c r="A1005" s="1">
        <f>HYPERLINK("https://lsnyc.legalserver.org/matter/dynamic-profile/view/0808046","16-0808046")</f>
        <v>0</v>
      </c>
      <c r="B1005" t="s">
        <v>167</v>
      </c>
      <c r="C1005" t="s">
        <v>256</v>
      </c>
      <c r="D1005" t="s">
        <v>698</v>
      </c>
      <c r="F1005" t="s">
        <v>1641</v>
      </c>
      <c r="G1005" t="s">
        <v>3892</v>
      </c>
      <c r="H1005" t="s">
        <v>6308</v>
      </c>
      <c r="I1005" t="s">
        <v>8376</v>
      </c>
      <c r="J1005" t="s">
        <v>9059</v>
      </c>
      <c r="K1005">
        <v>11207</v>
      </c>
      <c r="L1005" t="s">
        <v>9095</v>
      </c>
      <c r="M1005" t="s">
        <v>9095</v>
      </c>
      <c r="P1005" t="s">
        <v>11165</v>
      </c>
      <c r="R1005" t="s">
        <v>11180</v>
      </c>
      <c r="T1005" t="s">
        <v>11183</v>
      </c>
      <c r="V1005" t="s">
        <v>698</v>
      </c>
      <c r="W1005">
        <v>0</v>
      </c>
      <c r="X1005" t="s">
        <v>11332</v>
      </c>
      <c r="Z1005" t="s">
        <v>12088</v>
      </c>
      <c r="AB1005" t="s">
        <v>16528</v>
      </c>
      <c r="AC1005">
        <v>0</v>
      </c>
      <c r="AF1005">
        <v>0</v>
      </c>
      <c r="AG1005">
        <v>1</v>
      </c>
      <c r="AH1005">
        <v>0</v>
      </c>
      <c r="AI1005">
        <v>41.14</v>
      </c>
      <c r="AL1005" t="s">
        <v>19614</v>
      </c>
      <c r="AM1005">
        <v>4888</v>
      </c>
      <c r="AS1005">
        <v>56.52</v>
      </c>
      <c r="AT1005" t="s">
        <v>11217</v>
      </c>
      <c r="AU1005" t="s">
        <v>97</v>
      </c>
    </row>
    <row r="1006" spans="1:48">
      <c r="A1006" s="1">
        <f>HYPERLINK("https://lsnyc.legalserver.org/matter/dynamic-profile/view/0816867","16-0816867")</f>
        <v>0</v>
      </c>
      <c r="B1006" t="s">
        <v>103</v>
      </c>
      <c r="C1006" t="s">
        <v>256</v>
      </c>
      <c r="D1006" t="s">
        <v>437</v>
      </c>
      <c r="F1006" t="s">
        <v>1264</v>
      </c>
      <c r="G1006" t="s">
        <v>3653</v>
      </c>
      <c r="H1006" t="s">
        <v>5873</v>
      </c>
      <c r="I1006" t="s">
        <v>8206</v>
      </c>
      <c r="J1006" t="s">
        <v>9065</v>
      </c>
      <c r="K1006">
        <v>10457</v>
      </c>
      <c r="L1006" t="s">
        <v>9094</v>
      </c>
      <c r="M1006" t="s">
        <v>9095</v>
      </c>
      <c r="N1006" t="s">
        <v>9228</v>
      </c>
      <c r="O1006" t="s">
        <v>11135</v>
      </c>
      <c r="P1006" t="s">
        <v>11168</v>
      </c>
      <c r="R1006" t="s">
        <v>11180</v>
      </c>
      <c r="S1006" t="s">
        <v>9094</v>
      </c>
      <c r="T1006" t="s">
        <v>11183</v>
      </c>
      <c r="V1006" t="s">
        <v>1024</v>
      </c>
      <c r="W1006">
        <v>1200</v>
      </c>
      <c r="X1006" t="s">
        <v>11333</v>
      </c>
      <c r="Y1006" t="s">
        <v>11338</v>
      </c>
      <c r="Z1006" t="s">
        <v>12071</v>
      </c>
      <c r="AC1006">
        <v>100</v>
      </c>
      <c r="AD1006" t="s">
        <v>19566</v>
      </c>
      <c r="AF1006">
        <v>7</v>
      </c>
      <c r="AG1006">
        <v>3</v>
      </c>
      <c r="AH1006">
        <v>1</v>
      </c>
      <c r="AI1006">
        <v>41.14</v>
      </c>
      <c r="AJ1006" t="s">
        <v>11262</v>
      </c>
      <c r="AL1006" t="s">
        <v>19615</v>
      </c>
      <c r="AM1006">
        <v>15196</v>
      </c>
      <c r="AS1006">
        <v>0.5</v>
      </c>
      <c r="AT1006" t="s">
        <v>437</v>
      </c>
      <c r="AU1006" t="s">
        <v>20643</v>
      </c>
    </row>
    <row r="1007" spans="1:48">
      <c r="A1007" s="1">
        <f>HYPERLINK("https://lsnyc.legalserver.org/matter/dynamic-profile/view/1906018","19-1906018")</f>
        <v>0</v>
      </c>
      <c r="B1007" t="s">
        <v>64</v>
      </c>
      <c r="C1007" t="s">
        <v>257</v>
      </c>
      <c r="D1007" t="s">
        <v>329</v>
      </c>
      <c r="E1007" t="s">
        <v>444</v>
      </c>
      <c r="F1007" t="s">
        <v>1229</v>
      </c>
      <c r="G1007" t="s">
        <v>3893</v>
      </c>
      <c r="H1007" t="s">
        <v>6309</v>
      </c>
      <c r="I1007" t="s">
        <v>8377</v>
      </c>
      <c r="J1007" t="s">
        <v>9059</v>
      </c>
      <c r="K1007">
        <v>11233</v>
      </c>
      <c r="L1007" t="s">
        <v>9094</v>
      </c>
      <c r="M1007" t="s">
        <v>9095</v>
      </c>
      <c r="N1007" t="s">
        <v>9121</v>
      </c>
      <c r="O1007" t="s">
        <v>9121</v>
      </c>
      <c r="P1007" t="s">
        <v>11167</v>
      </c>
      <c r="Q1007" t="s">
        <v>11173</v>
      </c>
      <c r="R1007" t="s">
        <v>11180</v>
      </c>
      <c r="S1007" t="s">
        <v>9096</v>
      </c>
      <c r="T1007" t="s">
        <v>11183</v>
      </c>
      <c r="V1007" t="s">
        <v>333</v>
      </c>
      <c r="W1007">
        <v>1781</v>
      </c>
      <c r="X1007" t="s">
        <v>11332</v>
      </c>
      <c r="Y1007" t="s">
        <v>11346</v>
      </c>
      <c r="Z1007" t="s">
        <v>12089</v>
      </c>
      <c r="AB1007" t="s">
        <v>16529</v>
      </c>
      <c r="AC1007">
        <v>8</v>
      </c>
      <c r="AD1007" t="s">
        <v>19566</v>
      </c>
      <c r="AE1007" t="s">
        <v>19585</v>
      </c>
      <c r="AF1007">
        <v>14</v>
      </c>
      <c r="AG1007">
        <v>3</v>
      </c>
      <c r="AH1007">
        <v>1</v>
      </c>
      <c r="AI1007">
        <v>41.15</v>
      </c>
      <c r="AL1007" t="s">
        <v>19614</v>
      </c>
      <c r="AM1007">
        <v>10596</v>
      </c>
      <c r="AS1007">
        <v>1.4</v>
      </c>
      <c r="AT1007" t="s">
        <v>276</v>
      </c>
      <c r="AU1007" t="s">
        <v>20626</v>
      </c>
      <c r="AV1007" t="s">
        <v>20733</v>
      </c>
    </row>
    <row r="1008" spans="1:48">
      <c r="A1008" s="1">
        <f>HYPERLINK("https://lsnyc.legalserver.org/matter/dynamic-profile/view/1871979","18-1871979")</f>
        <v>0</v>
      </c>
      <c r="B1008" t="s">
        <v>165</v>
      </c>
      <c r="C1008" t="s">
        <v>256</v>
      </c>
      <c r="D1008" t="s">
        <v>515</v>
      </c>
      <c r="F1008" t="s">
        <v>1676</v>
      </c>
      <c r="G1008" t="s">
        <v>2505</v>
      </c>
      <c r="H1008" t="s">
        <v>6310</v>
      </c>
      <c r="I1008" t="s">
        <v>8124</v>
      </c>
      <c r="J1008" t="s">
        <v>9059</v>
      </c>
      <c r="K1008">
        <v>11233</v>
      </c>
      <c r="L1008" t="s">
        <v>9094</v>
      </c>
      <c r="M1008" t="s">
        <v>9094</v>
      </c>
      <c r="N1008" t="s">
        <v>9577</v>
      </c>
      <c r="O1008" t="s">
        <v>11128</v>
      </c>
      <c r="P1008" t="s">
        <v>11165</v>
      </c>
      <c r="R1008" t="s">
        <v>11180</v>
      </c>
      <c r="S1008" t="s">
        <v>9096</v>
      </c>
      <c r="T1008" t="s">
        <v>11183</v>
      </c>
      <c r="U1008" t="s">
        <v>11201</v>
      </c>
      <c r="V1008" t="s">
        <v>515</v>
      </c>
      <c r="W1008">
        <v>650.39</v>
      </c>
      <c r="X1008" t="s">
        <v>11332</v>
      </c>
      <c r="Y1008" t="s">
        <v>11340</v>
      </c>
      <c r="Z1008" t="s">
        <v>12090</v>
      </c>
      <c r="AA1008" t="s">
        <v>15478</v>
      </c>
      <c r="AB1008" t="s">
        <v>16530</v>
      </c>
      <c r="AC1008">
        <v>23</v>
      </c>
      <c r="AD1008" t="s">
        <v>19566</v>
      </c>
      <c r="AE1008" t="s">
        <v>19588</v>
      </c>
      <c r="AF1008">
        <v>4</v>
      </c>
      <c r="AG1008">
        <v>1</v>
      </c>
      <c r="AH1008">
        <v>0</v>
      </c>
      <c r="AI1008">
        <v>41.19</v>
      </c>
      <c r="AL1008" t="s">
        <v>19614</v>
      </c>
      <c r="AM1008">
        <v>5000</v>
      </c>
      <c r="AS1008">
        <v>64</v>
      </c>
      <c r="AT1008" t="s">
        <v>1130</v>
      </c>
      <c r="AU1008" t="s">
        <v>165</v>
      </c>
    </row>
    <row r="1009" spans="1:48">
      <c r="A1009" s="1">
        <f>HYPERLINK("https://lsnyc.legalserver.org/matter/dynamic-profile/view/1886699","18-1886699")</f>
        <v>0</v>
      </c>
      <c r="B1009" t="s">
        <v>113</v>
      </c>
      <c r="C1009" t="s">
        <v>256</v>
      </c>
      <c r="D1009" t="s">
        <v>629</v>
      </c>
      <c r="F1009" t="s">
        <v>1710</v>
      </c>
      <c r="G1009" t="s">
        <v>3884</v>
      </c>
      <c r="H1009" t="s">
        <v>5864</v>
      </c>
      <c r="I1009" t="s">
        <v>8373</v>
      </c>
      <c r="J1009" t="s">
        <v>9065</v>
      </c>
      <c r="K1009">
        <v>10460</v>
      </c>
      <c r="L1009" t="s">
        <v>9094</v>
      </c>
      <c r="M1009" t="s">
        <v>9094</v>
      </c>
      <c r="N1009" t="s">
        <v>9222</v>
      </c>
      <c r="O1009" t="s">
        <v>11130</v>
      </c>
      <c r="P1009" t="s">
        <v>11165</v>
      </c>
      <c r="R1009" t="s">
        <v>11180</v>
      </c>
      <c r="S1009" t="s">
        <v>9094</v>
      </c>
      <c r="T1009" t="s">
        <v>11183</v>
      </c>
      <c r="V1009" t="s">
        <v>629</v>
      </c>
      <c r="W1009">
        <v>1300</v>
      </c>
      <c r="X1009" t="s">
        <v>11333</v>
      </c>
      <c r="Y1009" t="s">
        <v>11346</v>
      </c>
      <c r="Z1009" t="s">
        <v>12075</v>
      </c>
      <c r="AB1009" t="s">
        <v>16518</v>
      </c>
      <c r="AC1009">
        <v>168</v>
      </c>
      <c r="AD1009" t="s">
        <v>19565</v>
      </c>
      <c r="AE1009" t="s">
        <v>19580</v>
      </c>
      <c r="AF1009">
        <v>19</v>
      </c>
      <c r="AG1009">
        <v>1</v>
      </c>
      <c r="AH1009">
        <v>0</v>
      </c>
      <c r="AI1009">
        <v>41.19</v>
      </c>
      <c r="AL1009" t="s">
        <v>19614</v>
      </c>
      <c r="AM1009">
        <v>5000</v>
      </c>
      <c r="AS1009">
        <v>0</v>
      </c>
      <c r="AU1009" t="s">
        <v>158</v>
      </c>
    </row>
    <row r="1010" spans="1:48">
      <c r="A1010" s="1">
        <f>HYPERLINK("https://lsnyc.legalserver.org/matter/dynamic-profile/view/1906982","19-1906982")</f>
        <v>0</v>
      </c>
      <c r="B1010" t="s">
        <v>99</v>
      </c>
      <c r="C1010" t="s">
        <v>257</v>
      </c>
      <c r="D1010" t="s">
        <v>370</v>
      </c>
      <c r="E1010" t="s">
        <v>779</v>
      </c>
      <c r="F1010" t="s">
        <v>1450</v>
      </c>
      <c r="G1010" t="s">
        <v>3720</v>
      </c>
      <c r="H1010" t="s">
        <v>6311</v>
      </c>
      <c r="I1010" t="s">
        <v>8149</v>
      </c>
      <c r="J1010" t="s">
        <v>9065</v>
      </c>
      <c r="K1010">
        <v>10452</v>
      </c>
      <c r="L1010" t="s">
        <v>9094</v>
      </c>
      <c r="M1010" t="s">
        <v>9095</v>
      </c>
      <c r="O1010" t="s">
        <v>9121</v>
      </c>
      <c r="P1010" t="s">
        <v>11164</v>
      </c>
      <c r="Q1010" t="s">
        <v>11172</v>
      </c>
      <c r="R1010" t="s">
        <v>11180</v>
      </c>
      <c r="S1010" t="s">
        <v>9096</v>
      </c>
      <c r="T1010" t="s">
        <v>11183</v>
      </c>
      <c r="V1010" t="s">
        <v>396</v>
      </c>
      <c r="W1010">
        <v>811.24</v>
      </c>
      <c r="X1010" t="s">
        <v>11333</v>
      </c>
      <c r="Y1010" t="s">
        <v>11346</v>
      </c>
      <c r="Z1010" t="s">
        <v>12091</v>
      </c>
      <c r="AB1010" t="s">
        <v>16531</v>
      </c>
      <c r="AC1010">
        <v>53</v>
      </c>
      <c r="AD1010" t="s">
        <v>19566</v>
      </c>
      <c r="AE1010" t="s">
        <v>19582</v>
      </c>
      <c r="AF1010">
        <v>34</v>
      </c>
      <c r="AG1010">
        <v>1</v>
      </c>
      <c r="AH1010">
        <v>2</v>
      </c>
      <c r="AI1010">
        <v>41.24</v>
      </c>
      <c r="AL1010" t="s">
        <v>19615</v>
      </c>
      <c r="AM1010">
        <v>8796</v>
      </c>
      <c r="AS1010">
        <v>1.4</v>
      </c>
      <c r="AT1010" t="s">
        <v>779</v>
      </c>
      <c r="AU1010" t="s">
        <v>99</v>
      </c>
      <c r="AV1010" t="s">
        <v>20733</v>
      </c>
    </row>
    <row r="1011" spans="1:48">
      <c r="A1011" s="1">
        <f>HYPERLINK("https://lsnyc.legalserver.org/matter/dynamic-profile/view/1880059","18-1880059")</f>
        <v>0</v>
      </c>
      <c r="B1011" t="s">
        <v>76</v>
      </c>
      <c r="C1011" t="s">
        <v>256</v>
      </c>
      <c r="D1011" t="s">
        <v>699</v>
      </c>
      <c r="F1011" t="s">
        <v>1323</v>
      </c>
      <c r="G1011" t="s">
        <v>3894</v>
      </c>
      <c r="H1011" t="s">
        <v>6312</v>
      </c>
      <c r="I1011" t="s">
        <v>8128</v>
      </c>
      <c r="J1011" t="s">
        <v>9059</v>
      </c>
      <c r="K1011">
        <v>11207</v>
      </c>
      <c r="L1011" t="s">
        <v>9094</v>
      </c>
      <c r="M1011" t="s">
        <v>9096</v>
      </c>
      <c r="N1011" t="s">
        <v>9121</v>
      </c>
      <c r="O1011" t="s">
        <v>11143</v>
      </c>
      <c r="P1011" t="s">
        <v>11167</v>
      </c>
      <c r="R1011" t="s">
        <v>11180</v>
      </c>
      <c r="S1011" t="s">
        <v>9094</v>
      </c>
      <c r="T1011" t="s">
        <v>11183</v>
      </c>
      <c r="U1011" t="s">
        <v>11201</v>
      </c>
      <c r="V1011" t="s">
        <v>697</v>
      </c>
      <c r="W1011">
        <v>0</v>
      </c>
      <c r="X1011" t="s">
        <v>11332</v>
      </c>
      <c r="Y1011" t="s">
        <v>11340</v>
      </c>
      <c r="Z1011" t="s">
        <v>12092</v>
      </c>
      <c r="AA1011" t="s">
        <v>9144</v>
      </c>
      <c r="AC1011">
        <v>6</v>
      </c>
      <c r="AD1011" t="s">
        <v>19566</v>
      </c>
      <c r="AE1011" t="s">
        <v>9144</v>
      </c>
      <c r="AF1011">
        <v>0</v>
      </c>
      <c r="AG1011">
        <v>1</v>
      </c>
      <c r="AH1011">
        <v>3</v>
      </c>
      <c r="AI1011">
        <v>41.43</v>
      </c>
      <c r="AL1011" t="s">
        <v>19614</v>
      </c>
      <c r="AM1011">
        <v>10400</v>
      </c>
      <c r="AS1011">
        <v>0</v>
      </c>
      <c r="AU1011" t="s">
        <v>95</v>
      </c>
      <c r="AV1011" t="s">
        <v>20733</v>
      </c>
    </row>
    <row r="1012" spans="1:48">
      <c r="A1012" s="1">
        <f>HYPERLINK("https://lsnyc.legalserver.org/matter/dynamic-profile/view/1880062","18-1880062")</f>
        <v>0</v>
      </c>
      <c r="B1012" t="s">
        <v>76</v>
      </c>
      <c r="C1012" t="s">
        <v>256</v>
      </c>
      <c r="D1012" t="s">
        <v>699</v>
      </c>
      <c r="F1012" t="s">
        <v>1323</v>
      </c>
      <c r="G1012" t="s">
        <v>3894</v>
      </c>
      <c r="H1012" t="s">
        <v>6312</v>
      </c>
      <c r="I1012" t="s">
        <v>8128</v>
      </c>
      <c r="J1012" t="s">
        <v>9059</v>
      </c>
      <c r="K1012">
        <v>11207</v>
      </c>
      <c r="L1012" t="s">
        <v>9094</v>
      </c>
      <c r="M1012" t="s">
        <v>9096</v>
      </c>
      <c r="N1012" t="s">
        <v>9121</v>
      </c>
      <c r="O1012" t="s">
        <v>11132</v>
      </c>
      <c r="P1012" t="s">
        <v>11167</v>
      </c>
      <c r="R1012" t="s">
        <v>11180</v>
      </c>
      <c r="S1012" t="s">
        <v>9094</v>
      </c>
      <c r="T1012" t="s">
        <v>11183</v>
      </c>
      <c r="U1012" t="s">
        <v>11201</v>
      </c>
      <c r="V1012" t="s">
        <v>11236</v>
      </c>
      <c r="W1012">
        <v>0</v>
      </c>
      <c r="X1012" t="s">
        <v>11332</v>
      </c>
      <c r="Y1012" t="s">
        <v>11340</v>
      </c>
      <c r="Z1012" t="s">
        <v>12092</v>
      </c>
      <c r="AA1012" t="s">
        <v>9144</v>
      </c>
      <c r="AC1012">
        <v>6</v>
      </c>
      <c r="AD1012" t="s">
        <v>19566</v>
      </c>
      <c r="AE1012" t="s">
        <v>9144</v>
      </c>
      <c r="AF1012">
        <v>0</v>
      </c>
      <c r="AG1012">
        <v>1</v>
      </c>
      <c r="AH1012">
        <v>3</v>
      </c>
      <c r="AI1012">
        <v>41.43</v>
      </c>
      <c r="AL1012" t="s">
        <v>19614</v>
      </c>
      <c r="AM1012">
        <v>10400</v>
      </c>
      <c r="AS1012">
        <v>0</v>
      </c>
      <c r="AU1012" t="s">
        <v>95</v>
      </c>
      <c r="AV1012" t="s">
        <v>20733</v>
      </c>
    </row>
    <row r="1013" spans="1:48">
      <c r="A1013" s="1">
        <f>HYPERLINK("https://lsnyc.legalserver.org/matter/dynamic-profile/view/1880052","18-1880052")</f>
        <v>0</v>
      </c>
      <c r="B1013" t="s">
        <v>76</v>
      </c>
      <c r="C1013" t="s">
        <v>256</v>
      </c>
      <c r="D1013" t="s">
        <v>699</v>
      </c>
      <c r="F1013" t="s">
        <v>1323</v>
      </c>
      <c r="G1013" t="s">
        <v>3894</v>
      </c>
      <c r="H1013" t="s">
        <v>6312</v>
      </c>
      <c r="I1013" t="s">
        <v>8128</v>
      </c>
      <c r="J1013" t="s">
        <v>9059</v>
      </c>
      <c r="K1013">
        <v>11207</v>
      </c>
      <c r="L1013" t="s">
        <v>9094</v>
      </c>
      <c r="M1013" t="s">
        <v>9096</v>
      </c>
      <c r="N1013" t="s">
        <v>9578</v>
      </c>
      <c r="O1013" t="s">
        <v>11134</v>
      </c>
      <c r="P1013" t="s">
        <v>11168</v>
      </c>
      <c r="R1013" t="s">
        <v>11180</v>
      </c>
      <c r="S1013" t="s">
        <v>9094</v>
      </c>
      <c r="T1013" t="s">
        <v>11183</v>
      </c>
      <c r="U1013" t="s">
        <v>11201</v>
      </c>
      <c r="V1013" t="s">
        <v>697</v>
      </c>
      <c r="W1013">
        <v>0</v>
      </c>
      <c r="X1013" t="s">
        <v>11332</v>
      </c>
      <c r="Y1013" t="s">
        <v>11340</v>
      </c>
      <c r="Z1013" t="s">
        <v>12092</v>
      </c>
      <c r="AA1013" t="s">
        <v>9171</v>
      </c>
      <c r="AC1013">
        <v>6</v>
      </c>
      <c r="AD1013" t="s">
        <v>19566</v>
      </c>
      <c r="AE1013" t="s">
        <v>9144</v>
      </c>
      <c r="AF1013">
        <v>0</v>
      </c>
      <c r="AG1013">
        <v>1</v>
      </c>
      <c r="AH1013">
        <v>3</v>
      </c>
      <c r="AI1013">
        <v>41.43</v>
      </c>
      <c r="AL1013" t="s">
        <v>19614</v>
      </c>
      <c r="AM1013">
        <v>10400</v>
      </c>
      <c r="AS1013">
        <v>0</v>
      </c>
      <c r="AU1013" t="s">
        <v>95</v>
      </c>
      <c r="AV1013" t="s">
        <v>20733</v>
      </c>
    </row>
    <row r="1014" spans="1:48">
      <c r="A1014" s="1">
        <f>HYPERLINK("https://lsnyc.legalserver.org/matter/dynamic-profile/view/1880054","18-1880054")</f>
        <v>0</v>
      </c>
      <c r="B1014" t="s">
        <v>76</v>
      </c>
      <c r="C1014" t="s">
        <v>256</v>
      </c>
      <c r="D1014" t="s">
        <v>699</v>
      </c>
      <c r="F1014" t="s">
        <v>1323</v>
      </c>
      <c r="G1014" t="s">
        <v>3894</v>
      </c>
      <c r="H1014" t="s">
        <v>6312</v>
      </c>
      <c r="I1014" t="s">
        <v>8128</v>
      </c>
      <c r="J1014" t="s">
        <v>9059</v>
      </c>
      <c r="K1014">
        <v>11207</v>
      </c>
      <c r="L1014" t="s">
        <v>9094</v>
      </c>
      <c r="M1014" t="s">
        <v>9096</v>
      </c>
      <c r="N1014" t="s">
        <v>9579</v>
      </c>
      <c r="O1014" t="s">
        <v>11134</v>
      </c>
      <c r="P1014" t="s">
        <v>11168</v>
      </c>
      <c r="R1014" t="s">
        <v>11180</v>
      </c>
      <c r="S1014" t="s">
        <v>9094</v>
      </c>
      <c r="T1014" t="s">
        <v>11183</v>
      </c>
      <c r="U1014" t="s">
        <v>11201</v>
      </c>
      <c r="V1014" t="s">
        <v>11229</v>
      </c>
      <c r="W1014">
        <v>0</v>
      </c>
      <c r="X1014" t="s">
        <v>11332</v>
      </c>
      <c r="Y1014" t="s">
        <v>11340</v>
      </c>
      <c r="Z1014" t="s">
        <v>12092</v>
      </c>
      <c r="AA1014" t="s">
        <v>9171</v>
      </c>
      <c r="AC1014">
        <v>6</v>
      </c>
      <c r="AD1014" t="s">
        <v>19566</v>
      </c>
      <c r="AE1014" t="s">
        <v>9144</v>
      </c>
      <c r="AF1014">
        <v>0</v>
      </c>
      <c r="AG1014">
        <v>1</v>
      </c>
      <c r="AH1014">
        <v>3</v>
      </c>
      <c r="AI1014">
        <v>41.43</v>
      </c>
      <c r="AL1014" t="s">
        <v>19614</v>
      </c>
      <c r="AM1014">
        <v>10400</v>
      </c>
      <c r="AS1014">
        <v>0.35</v>
      </c>
      <c r="AT1014" t="s">
        <v>328</v>
      </c>
      <c r="AU1014" t="s">
        <v>95</v>
      </c>
      <c r="AV1014" t="s">
        <v>20733</v>
      </c>
    </row>
    <row r="1015" spans="1:48">
      <c r="A1015" s="1">
        <f>HYPERLINK("https://lsnyc.legalserver.org/matter/dynamic-profile/view/1880041","18-1880041")</f>
        <v>0</v>
      </c>
      <c r="B1015" t="s">
        <v>76</v>
      </c>
      <c r="C1015" t="s">
        <v>256</v>
      </c>
      <c r="D1015" t="s">
        <v>699</v>
      </c>
      <c r="F1015" t="s">
        <v>1323</v>
      </c>
      <c r="G1015" t="s">
        <v>3894</v>
      </c>
      <c r="H1015" t="s">
        <v>6312</v>
      </c>
      <c r="I1015" t="s">
        <v>8128</v>
      </c>
      <c r="J1015" t="s">
        <v>9059</v>
      </c>
      <c r="K1015">
        <v>11207</v>
      </c>
      <c r="L1015" t="s">
        <v>9094</v>
      </c>
      <c r="M1015" t="s">
        <v>9096</v>
      </c>
      <c r="N1015" t="s">
        <v>9121</v>
      </c>
      <c r="O1015" t="s">
        <v>9121</v>
      </c>
      <c r="P1015" t="s">
        <v>11167</v>
      </c>
      <c r="R1015" t="s">
        <v>11180</v>
      </c>
      <c r="S1015" t="s">
        <v>9094</v>
      </c>
      <c r="T1015" t="s">
        <v>11183</v>
      </c>
      <c r="U1015" t="s">
        <v>11201</v>
      </c>
      <c r="V1015" t="s">
        <v>572</v>
      </c>
      <c r="W1015">
        <v>0</v>
      </c>
      <c r="X1015" t="s">
        <v>11332</v>
      </c>
      <c r="Y1015" t="s">
        <v>11340</v>
      </c>
      <c r="Z1015" t="s">
        <v>12092</v>
      </c>
      <c r="AA1015" t="s">
        <v>9171</v>
      </c>
      <c r="AC1015">
        <v>6</v>
      </c>
      <c r="AD1015" t="s">
        <v>19566</v>
      </c>
      <c r="AE1015" t="s">
        <v>9144</v>
      </c>
      <c r="AF1015">
        <v>0</v>
      </c>
      <c r="AG1015">
        <v>1</v>
      </c>
      <c r="AH1015">
        <v>3</v>
      </c>
      <c r="AI1015">
        <v>41.43</v>
      </c>
      <c r="AL1015" t="s">
        <v>19614</v>
      </c>
      <c r="AM1015">
        <v>10400</v>
      </c>
      <c r="AS1015">
        <v>0</v>
      </c>
      <c r="AU1015" t="s">
        <v>95</v>
      </c>
      <c r="AV1015" t="s">
        <v>20733</v>
      </c>
    </row>
    <row r="1016" spans="1:48">
      <c r="A1016" s="1">
        <f>HYPERLINK("https://lsnyc.legalserver.org/matter/dynamic-profile/view/1894235","19-1894235")</f>
        <v>0</v>
      </c>
      <c r="B1016" t="s">
        <v>115</v>
      </c>
      <c r="C1016" t="s">
        <v>256</v>
      </c>
      <c r="D1016" t="s">
        <v>507</v>
      </c>
      <c r="F1016" t="s">
        <v>1264</v>
      </c>
      <c r="G1016" t="s">
        <v>3644</v>
      </c>
      <c r="H1016" t="s">
        <v>6005</v>
      </c>
      <c r="I1016">
        <v>59</v>
      </c>
      <c r="J1016" t="s">
        <v>9065</v>
      </c>
      <c r="K1016">
        <v>10458</v>
      </c>
      <c r="L1016" t="s">
        <v>9094</v>
      </c>
      <c r="M1016" t="s">
        <v>9094</v>
      </c>
      <c r="O1016" t="s">
        <v>11129</v>
      </c>
      <c r="P1016" t="s">
        <v>11165</v>
      </c>
      <c r="R1016" t="s">
        <v>11180</v>
      </c>
      <c r="S1016" t="s">
        <v>9096</v>
      </c>
      <c r="T1016" t="s">
        <v>11183</v>
      </c>
      <c r="V1016" t="s">
        <v>507</v>
      </c>
      <c r="W1016">
        <v>0</v>
      </c>
      <c r="X1016" t="s">
        <v>11333</v>
      </c>
      <c r="Y1016" t="s">
        <v>11340</v>
      </c>
      <c r="Z1016" t="s">
        <v>11730</v>
      </c>
      <c r="AA1016" t="s">
        <v>15338</v>
      </c>
      <c r="AB1016" t="s">
        <v>16196</v>
      </c>
      <c r="AC1016">
        <v>48</v>
      </c>
      <c r="AD1016" t="s">
        <v>19566</v>
      </c>
      <c r="AE1016" t="s">
        <v>19582</v>
      </c>
      <c r="AF1016">
        <v>6</v>
      </c>
      <c r="AG1016">
        <v>2</v>
      </c>
      <c r="AH1016">
        <v>3</v>
      </c>
      <c r="AI1016">
        <v>41.52</v>
      </c>
      <c r="AL1016" t="s">
        <v>19614</v>
      </c>
      <c r="AM1016">
        <v>12528</v>
      </c>
      <c r="AS1016">
        <v>36.3</v>
      </c>
      <c r="AT1016" t="s">
        <v>334</v>
      </c>
      <c r="AU1016" t="s">
        <v>163</v>
      </c>
    </row>
    <row r="1017" spans="1:48">
      <c r="A1017" s="1">
        <f>HYPERLINK("https://lsnyc.legalserver.org/matter/dynamic-profile/view/1893888","19-1893888")</f>
        <v>0</v>
      </c>
      <c r="B1017" t="s">
        <v>115</v>
      </c>
      <c r="C1017" t="s">
        <v>256</v>
      </c>
      <c r="D1017" t="s">
        <v>413</v>
      </c>
      <c r="F1017" t="s">
        <v>1264</v>
      </c>
      <c r="G1017" t="s">
        <v>3644</v>
      </c>
      <c r="H1017" t="s">
        <v>6005</v>
      </c>
      <c r="I1017">
        <v>59</v>
      </c>
      <c r="J1017" t="s">
        <v>9065</v>
      </c>
      <c r="K1017">
        <v>10458</v>
      </c>
      <c r="L1017" t="s">
        <v>9094</v>
      </c>
      <c r="M1017" t="s">
        <v>9094</v>
      </c>
      <c r="O1017" t="s">
        <v>11136</v>
      </c>
      <c r="P1017" t="s">
        <v>11164</v>
      </c>
      <c r="R1017" t="s">
        <v>11180</v>
      </c>
      <c r="S1017" t="s">
        <v>9094</v>
      </c>
      <c r="T1017" t="s">
        <v>11183</v>
      </c>
      <c r="V1017" t="s">
        <v>11218</v>
      </c>
      <c r="W1017">
        <v>1092</v>
      </c>
      <c r="X1017" t="s">
        <v>11333</v>
      </c>
      <c r="Y1017" t="s">
        <v>11346</v>
      </c>
      <c r="Z1017" t="s">
        <v>11730</v>
      </c>
      <c r="AA1017" t="s">
        <v>15338</v>
      </c>
      <c r="AB1017" t="s">
        <v>16196</v>
      </c>
      <c r="AC1017">
        <v>48</v>
      </c>
      <c r="AD1017" t="s">
        <v>19566</v>
      </c>
      <c r="AE1017" t="s">
        <v>19582</v>
      </c>
      <c r="AF1017">
        <v>6</v>
      </c>
      <c r="AG1017">
        <v>2</v>
      </c>
      <c r="AH1017">
        <v>3</v>
      </c>
      <c r="AI1017">
        <v>41.52</v>
      </c>
      <c r="AL1017" t="s">
        <v>19614</v>
      </c>
      <c r="AM1017">
        <v>12528</v>
      </c>
      <c r="AS1017">
        <v>28.5</v>
      </c>
      <c r="AT1017" t="s">
        <v>294</v>
      </c>
      <c r="AU1017" t="s">
        <v>174</v>
      </c>
      <c r="AV1017" t="s">
        <v>20733</v>
      </c>
    </row>
    <row r="1018" spans="1:48">
      <c r="A1018" s="1">
        <f>HYPERLINK("https://lsnyc.legalserver.org/matter/dynamic-profile/view/1903663","19-1903663")</f>
        <v>0</v>
      </c>
      <c r="B1018" t="s">
        <v>122</v>
      </c>
      <c r="C1018" t="s">
        <v>256</v>
      </c>
      <c r="D1018" t="s">
        <v>700</v>
      </c>
      <c r="F1018" t="s">
        <v>1324</v>
      </c>
      <c r="G1018" t="s">
        <v>3895</v>
      </c>
      <c r="H1018" t="s">
        <v>5911</v>
      </c>
      <c r="I1018" t="s">
        <v>8378</v>
      </c>
      <c r="J1018" t="s">
        <v>9066</v>
      </c>
      <c r="K1018">
        <v>10314</v>
      </c>
      <c r="L1018" t="s">
        <v>9094</v>
      </c>
      <c r="M1018" t="s">
        <v>9095</v>
      </c>
      <c r="N1018" t="s">
        <v>9580</v>
      </c>
      <c r="O1018" t="s">
        <v>11134</v>
      </c>
      <c r="P1018" t="s">
        <v>11168</v>
      </c>
      <c r="R1018" t="s">
        <v>11180</v>
      </c>
      <c r="S1018" t="s">
        <v>9094</v>
      </c>
      <c r="T1018" t="s">
        <v>11183</v>
      </c>
      <c r="U1018" t="s">
        <v>11201</v>
      </c>
      <c r="V1018" t="s">
        <v>610</v>
      </c>
      <c r="W1018">
        <v>1788</v>
      </c>
      <c r="X1018" t="s">
        <v>11334</v>
      </c>
      <c r="Y1018" t="s">
        <v>11340</v>
      </c>
      <c r="Z1018" t="s">
        <v>12093</v>
      </c>
      <c r="AB1018" t="s">
        <v>16532</v>
      </c>
      <c r="AC1018">
        <v>96</v>
      </c>
      <c r="AD1018" t="s">
        <v>19566</v>
      </c>
      <c r="AE1018" t="s">
        <v>19587</v>
      </c>
      <c r="AF1018">
        <v>9</v>
      </c>
      <c r="AG1018">
        <v>2</v>
      </c>
      <c r="AH1018">
        <v>0</v>
      </c>
      <c r="AI1018">
        <v>41.58</v>
      </c>
      <c r="AL1018" t="s">
        <v>19614</v>
      </c>
      <c r="AM1018">
        <v>7032</v>
      </c>
      <c r="AO1018" t="s">
        <v>20293</v>
      </c>
      <c r="AP1018" t="s">
        <v>20316</v>
      </c>
      <c r="AQ1018" t="s">
        <v>20369</v>
      </c>
      <c r="AR1018" t="s">
        <v>20372</v>
      </c>
      <c r="AS1018">
        <v>0.6</v>
      </c>
      <c r="AT1018" t="s">
        <v>270</v>
      </c>
      <c r="AU1018" t="s">
        <v>20653</v>
      </c>
      <c r="AV1018" t="s">
        <v>20733</v>
      </c>
    </row>
    <row r="1019" spans="1:48">
      <c r="A1019" s="1">
        <f>HYPERLINK("https://lsnyc.legalserver.org/matter/dynamic-profile/view/1890012","19-1890012")</f>
        <v>0</v>
      </c>
      <c r="B1019" t="s">
        <v>103</v>
      </c>
      <c r="C1019" t="s">
        <v>256</v>
      </c>
      <c r="D1019" t="s">
        <v>447</v>
      </c>
      <c r="F1019" t="s">
        <v>1489</v>
      </c>
      <c r="G1019" t="s">
        <v>3896</v>
      </c>
      <c r="H1019" t="s">
        <v>5887</v>
      </c>
      <c r="I1019" t="s">
        <v>8379</v>
      </c>
      <c r="J1019" t="s">
        <v>9065</v>
      </c>
      <c r="K1019">
        <v>10453</v>
      </c>
      <c r="L1019" t="s">
        <v>9094</v>
      </c>
      <c r="M1019" t="s">
        <v>9094</v>
      </c>
      <c r="O1019" t="s">
        <v>11134</v>
      </c>
      <c r="P1019" t="s">
        <v>11168</v>
      </c>
      <c r="R1019" t="s">
        <v>11180</v>
      </c>
      <c r="S1019" t="s">
        <v>9094</v>
      </c>
      <c r="T1019" t="s">
        <v>11183</v>
      </c>
      <c r="V1019" t="s">
        <v>512</v>
      </c>
      <c r="W1019">
        <v>1091</v>
      </c>
      <c r="X1019" t="s">
        <v>11333</v>
      </c>
      <c r="Y1019" t="s">
        <v>11346</v>
      </c>
      <c r="Z1019" t="s">
        <v>12094</v>
      </c>
      <c r="AB1019" t="s">
        <v>16533</v>
      </c>
      <c r="AC1019">
        <v>167</v>
      </c>
      <c r="AD1019" t="s">
        <v>19566</v>
      </c>
      <c r="AE1019" t="s">
        <v>19582</v>
      </c>
      <c r="AF1019">
        <v>12</v>
      </c>
      <c r="AG1019">
        <v>1</v>
      </c>
      <c r="AH1019">
        <v>2</v>
      </c>
      <c r="AI1019">
        <v>41.63</v>
      </c>
      <c r="AL1019" t="s">
        <v>19615</v>
      </c>
      <c r="AM1019">
        <v>8880</v>
      </c>
      <c r="AS1019">
        <v>0</v>
      </c>
      <c r="AU1019" t="s">
        <v>20642</v>
      </c>
    </row>
    <row r="1020" spans="1:48">
      <c r="A1020" s="1">
        <f>HYPERLINK("https://lsnyc.legalserver.org/matter/dynamic-profile/view/1905034","19-1905034")</f>
        <v>0</v>
      </c>
      <c r="B1020" t="s">
        <v>103</v>
      </c>
      <c r="C1020" t="s">
        <v>256</v>
      </c>
      <c r="D1020" t="s">
        <v>367</v>
      </c>
      <c r="F1020" t="s">
        <v>1489</v>
      </c>
      <c r="G1020" t="s">
        <v>3896</v>
      </c>
      <c r="H1020" t="s">
        <v>5887</v>
      </c>
      <c r="I1020" t="s">
        <v>8379</v>
      </c>
      <c r="J1020" t="s">
        <v>9065</v>
      </c>
      <c r="K1020">
        <v>10453</v>
      </c>
      <c r="L1020" t="s">
        <v>9094</v>
      </c>
      <c r="M1020" t="s">
        <v>9095</v>
      </c>
      <c r="N1020" t="s">
        <v>9239</v>
      </c>
      <c r="O1020" t="s">
        <v>11134</v>
      </c>
      <c r="P1020" t="s">
        <v>11168</v>
      </c>
      <c r="R1020" t="s">
        <v>11180</v>
      </c>
      <c r="S1020" t="s">
        <v>9094</v>
      </c>
      <c r="T1020" t="s">
        <v>11183</v>
      </c>
      <c r="V1020" t="s">
        <v>11244</v>
      </c>
      <c r="W1020">
        <v>1091</v>
      </c>
      <c r="X1020" t="s">
        <v>11333</v>
      </c>
      <c r="Y1020" t="s">
        <v>11346</v>
      </c>
      <c r="Z1020" t="s">
        <v>12094</v>
      </c>
      <c r="AB1020" t="s">
        <v>16533</v>
      </c>
      <c r="AC1020">
        <v>170</v>
      </c>
      <c r="AD1020" t="s">
        <v>19566</v>
      </c>
      <c r="AE1020" t="s">
        <v>19582</v>
      </c>
      <c r="AF1020">
        <v>12</v>
      </c>
      <c r="AG1020">
        <v>1</v>
      </c>
      <c r="AH1020">
        <v>2</v>
      </c>
      <c r="AI1020">
        <v>41.63</v>
      </c>
      <c r="AL1020" t="s">
        <v>19615</v>
      </c>
      <c r="AM1020">
        <v>8880</v>
      </c>
      <c r="AS1020">
        <v>0</v>
      </c>
      <c r="AU1020" t="s">
        <v>163</v>
      </c>
      <c r="AV1020" t="s">
        <v>20733</v>
      </c>
    </row>
    <row r="1021" spans="1:48">
      <c r="A1021" s="1">
        <f>HYPERLINK("https://lsnyc.legalserver.org/matter/dynamic-profile/view/1905040","19-1905040")</f>
        <v>0</v>
      </c>
      <c r="B1021" t="s">
        <v>103</v>
      </c>
      <c r="C1021" t="s">
        <v>256</v>
      </c>
      <c r="D1021" t="s">
        <v>367</v>
      </c>
      <c r="F1021" t="s">
        <v>1489</v>
      </c>
      <c r="G1021" t="s">
        <v>3896</v>
      </c>
      <c r="H1021" t="s">
        <v>5887</v>
      </c>
      <c r="I1021" t="s">
        <v>8379</v>
      </c>
      <c r="J1021" t="s">
        <v>9065</v>
      </c>
      <c r="K1021">
        <v>10453</v>
      </c>
      <c r="L1021" t="s">
        <v>9094</v>
      </c>
      <c r="M1021" t="s">
        <v>9095</v>
      </c>
      <c r="N1021" t="s">
        <v>9240</v>
      </c>
      <c r="O1021" t="s">
        <v>11134</v>
      </c>
      <c r="P1021" t="s">
        <v>11168</v>
      </c>
      <c r="R1021" t="s">
        <v>11180</v>
      </c>
      <c r="S1021" t="s">
        <v>9094</v>
      </c>
      <c r="T1021" t="s">
        <v>11183</v>
      </c>
      <c r="V1021" t="s">
        <v>422</v>
      </c>
      <c r="W1021">
        <v>1091</v>
      </c>
      <c r="X1021" t="s">
        <v>11333</v>
      </c>
      <c r="Y1021" t="s">
        <v>11346</v>
      </c>
      <c r="Z1021" t="s">
        <v>12094</v>
      </c>
      <c r="AB1021" t="s">
        <v>16533</v>
      </c>
      <c r="AC1021">
        <v>167</v>
      </c>
      <c r="AD1021" t="s">
        <v>19566</v>
      </c>
      <c r="AE1021" t="s">
        <v>19582</v>
      </c>
      <c r="AF1021">
        <v>12</v>
      </c>
      <c r="AG1021">
        <v>1</v>
      </c>
      <c r="AH1021">
        <v>2</v>
      </c>
      <c r="AI1021">
        <v>41.63</v>
      </c>
      <c r="AL1021" t="s">
        <v>19615</v>
      </c>
      <c r="AM1021">
        <v>8880</v>
      </c>
      <c r="AS1021">
        <v>0</v>
      </c>
      <c r="AU1021" t="s">
        <v>163</v>
      </c>
      <c r="AV1021" t="s">
        <v>20733</v>
      </c>
    </row>
    <row r="1022" spans="1:48">
      <c r="A1022" s="1">
        <f>HYPERLINK("https://lsnyc.legalserver.org/matter/dynamic-profile/view/1890008","19-1890008")</f>
        <v>0</v>
      </c>
      <c r="B1022" t="s">
        <v>103</v>
      </c>
      <c r="C1022" t="s">
        <v>256</v>
      </c>
      <c r="D1022" t="s">
        <v>447</v>
      </c>
      <c r="F1022" t="s">
        <v>1489</v>
      </c>
      <c r="G1022" t="s">
        <v>3896</v>
      </c>
      <c r="H1022" t="s">
        <v>5887</v>
      </c>
      <c r="I1022" t="s">
        <v>8379</v>
      </c>
      <c r="J1022" t="s">
        <v>9065</v>
      </c>
      <c r="K1022">
        <v>10453</v>
      </c>
      <c r="L1022" t="s">
        <v>9094</v>
      </c>
      <c r="M1022" t="s">
        <v>9094</v>
      </c>
      <c r="O1022" t="s">
        <v>9121</v>
      </c>
      <c r="P1022" t="s">
        <v>11164</v>
      </c>
      <c r="R1022" t="s">
        <v>11180</v>
      </c>
      <c r="S1022" t="s">
        <v>9094</v>
      </c>
      <c r="T1022" t="s">
        <v>11183</v>
      </c>
      <c r="V1022" t="s">
        <v>299</v>
      </c>
      <c r="W1022">
        <v>1091</v>
      </c>
      <c r="X1022" t="s">
        <v>11333</v>
      </c>
      <c r="Y1022" t="s">
        <v>11346</v>
      </c>
      <c r="Z1022" t="s">
        <v>12094</v>
      </c>
      <c r="AB1022" t="s">
        <v>16533</v>
      </c>
      <c r="AC1022">
        <v>167</v>
      </c>
      <c r="AD1022" t="s">
        <v>19566</v>
      </c>
      <c r="AE1022" t="s">
        <v>19582</v>
      </c>
      <c r="AF1022">
        <v>12</v>
      </c>
      <c r="AG1022">
        <v>1</v>
      </c>
      <c r="AH1022">
        <v>2</v>
      </c>
      <c r="AI1022">
        <v>41.63</v>
      </c>
      <c r="AL1022" t="s">
        <v>19615</v>
      </c>
      <c r="AM1022">
        <v>8880</v>
      </c>
      <c r="AS1022">
        <v>0</v>
      </c>
      <c r="AU1022" t="s">
        <v>20642</v>
      </c>
      <c r="AV1022" t="s">
        <v>20733</v>
      </c>
    </row>
    <row r="1023" spans="1:48">
      <c r="A1023" s="1">
        <f>HYPERLINK("https://lsnyc.legalserver.org/matter/dynamic-profile/view/1901479","19-1901479")</f>
        <v>0</v>
      </c>
      <c r="B1023" t="s">
        <v>101</v>
      </c>
      <c r="C1023" t="s">
        <v>256</v>
      </c>
      <c r="D1023" t="s">
        <v>559</v>
      </c>
      <c r="F1023" t="s">
        <v>1222</v>
      </c>
      <c r="G1023" t="s">
        <v>3897</v>
      </c>
      <c r="H1023" t="s">
        <v>6113</v>
      </c>
      <c r="I1023" t="s">
        <v>8151</v>
      </c>
      <c r="J1023" t="s">
        <v>9065</v>
      </c>
      <c r="K1023">
        <v>10452</v>
      </c>
      <c r="L1023" t="s">
        <v>9094</v>
      </c>
      <c r="M1023" t="s">
        <v>9095</v>
      </c>
      <c r="O1023" t="s">
        <v>11134</v>
      </c>
      <c r="P1023" t="s">
        <v>11168</v>
      </c>
      <c r="R1023" t="s">
        <v>11180</v>
      </c>
      <c r="S1023" t="s">
        <v>9094</v>
      </c>
      <c r="T1023" t="s">
        <v>11183</v>
      </c>
      <c r="V1023" t="s">
        <v>11218</v>
      </c>
      <c r="W1023">
        <v>1310</v>
      </c>
      <c r="X1023" t="s">
        <v>11333</v>
      </c>
      <c r="Y1023" t="s">
        <v>11346</v>
      </c>
      <c r="Z1023" t="s">
        <v>12095</v>
      </c>
      <c r="AA1023">
        <v>4268720</v>
      </c>
      <c r="AB1023" t="s">
        <v>16534</v>
      </c>
      <c r="AC1023">
        <v>52</v>
      </c>
      <c r="AD1023" t="s">
        <v>15441</v>
      </c>
      <c r="AE1023" t="s">
        <v>19582</v>
      </c>
      <c r="AF1023">
        <v>10</v>
      </c>
      <c r="AG1023">
        <v>3</v>
      </c>
      <c r="AH1023">
        <v>2</v>
      </c>
      <c r="AI1023">
        <v>41.64</v>
      </c>
      <c r="AL1023" t="s">
        <v>19614</v>
      </c>
      <c r="AM1023">
        <v>12564</v>
      </c>
      <c r="AS1023">
        <v>0</v>
      </c>
      <c r="AU1023" t="s">
        <v>220</v>
      </c>
      <c r="AV1023" t="s">
        <v>20733</v>
      </c>
    </row>
    <row r="1024" spans="1:48">
      <c r="A1024" s="1">
        <f>HYPERLINK("https://lsnyc.legalserver.org/matter/dynamic-profile/view/1895890","19-1895890")</f>
        <v>0</v>
      </c>
      <c r="B1024" t="s">
        <v>57</v>
      </c>
      <c r="C1024" t="s">
        <v>256</v>
      </c>
      <c r="D1024" t="s">
        <v>300</v>
      </c>
      <c r="F1024" t="s">
        <v>1718</v>
      </c>
      <c r="G1024" t="s">
        <v>3898</v>
      </c>
      <c r="H1024" t="s">
        <v>6313</v>
      </c>
      <c r="I1024" t="s">
        <v>8112</v>
      </c>
      <c r="J1024" t="s">
        <v>9045</v>
      </c>
      <c r="K1024">
        <v>11416</v>
      </c>
      <c r="L1024" t="s">
        <v>9094</v>
      </c>
      <c r="M1024" t="s">
        <v>9094</v>
      </c>
      <c r="N1024" t="s">
        <v>9581</v>
      </c>
      <c r="O1024" t="s">
        <v>11129</v>
      </c>
      <c r="P1024" t="s">
        <v>11165</v>
      </c>
      <c r="R1024" t="s">
        <v>11180</v>
      </c>
      <c r="S1024" t="s">
        <v>9096</v>
      </c>
      <c r="T1024" t="s">
        <v>11183</v>
      </c>
      <c r="U1024" t="s">
        <v>11201</v>
      </c>
      <c r="V1024" t="s">
        <v>300</v>
      </c>
      <c r="W1024">
        <v>1600</v>
      </c>
      <c r="X1024" t="s">
        <v>11331</v>
      </c>
      <c r="Y1024" t="s">
        <v>11336</v>
      </c>
      <c r="Z1024" t="s">
        <v>12096</v>
      </c>
      <c r="AA1024" t="s">
        <v>15479</v>
      </c>
      <c r="AB1024" t="s">
        <v>16535</v>
      </c>
      <c r="AC1024">
        <v>6</v>
      </c>
      <c r="AD1024" t="s">
        <v>19565</v>
      </c>
      <c r="AE1024" t="s">
        <v>9144</v>
      </c>
      <c r="AF1024">
        <v>14</v>
      </c>
      <c r="AG1024">
        <v>1</v>
      </c>
      <c r="AH1024">
        <v>1</v>
      </c>
      <c r="AI1024">
        <v>41.66</v>
      </c>
      <c r="AL1024" t="s">
        <v>19633</v>
      </c>
      <c r="AM1024">
        <v>7044</v>
      </c>
      <c r="AO1024" t="s">
        <v>20297</v>
      </c>
      <c r="AP1024" t="s">
        <v>20323</v>
      </c>
      <c r="AQ1024" t="s">
        <v>20368</v>
      </c>
      <c r="AR1024" t="s">
        <v>20376</v>
      </c>
      <c r="AS1024">
        <v>19.3</v>
      </c>
      <c r="AT1024" t="s">
        <v>307</v>
      </c>
      <c r="AU1024" t="s">
        <v>20620</v>
      </c>
      <c r="AV1024" t="s">
        <v>20734</v>
      </c>
    </row>
    <row r="1025" spans="1:48">
      <c r="A1025" s="1">
        <f>HYPERLINK("https://lsnyc.legalserver.org/matter/dynamic-profile/view/1907283","19-1907283")</f>
        <v>0</v>
      </c>
      <c r="B1025" t="s">
        <v>134</v>
      </c>
      <c r="C1025" t="s">
        <v>256</v>
      </c>
      <c r="D1025" t="s">
        <v>415</v>
      </c>
      <c r="F1025" t="s">
        <v>1290</v>
      </c>
      <c r="G1025" t="s">
        <v>3881</v>
      </c>
      <c r="H1025" t="s">
        <v>6314</v>
      </c>
      <c r="I1025">
        <v>51</v>
      </c>
      <c r="J1025" t="s">
        <v>9067</v>
      </c>
      <c r="K1025">
        <v>10034</v>
      </c>
      <c r="L1025" t="s">
        <v>9094</v>
      </c>
      <c r="M1025" t="s">
        <v>9095</v>
      </c>
      <c r="O1025" t="s">
        <v>11136</v>
      </c>
      <c r="P1025" t="s">
        <v>11169</v>
      </c>
      <c r="R1025" t="s">
        <v>11180</v>
      </c>
      <c r="S1025" t="s">
        <v>9096</v>
      </c>
      <c r="T1025" t="s">
        <v>11183</v>
      </c>
      <c r="V1025" t="s">
        <v>415</v>
      </c>
      <c r="W1025">
        <v>1664.13</v>
      </c>
      <c r="X1025" t="s">
        <v>11335</v>
      </c>
      <c r="Y1025" t="s">
        <v>11340</v>
      </c>
      <c r="Z1025" t="s">
        <v>12097</v>
      </c>
      <c r="AB1025" t="s">
        <v>16536</v>
      </c>
      <c r="AC1025">
        <v>26</v>
      </c>
      <c r="AD1025" t="s">
        <v>19566</v>
      </c>
      <c r="AE1025" t="s">
        <v>19580</v>
      </c>
      <c r="AF1025">
        <v>26</v>
      </c>
      <c r="AG1025">
        <v>3</v>
      </c>
      <c r="AH1025">
        <v>0</v>
      </c>
      <c r="AI1025">
        <v>41.69</v>
      </c>
      <c r="AL1025" t="s">
        <v>19615</v>
      </c>
      <c r="AM1025">
        <v>8892</v>
      </c>
      <c r="AS1025">
        <v>1.5</v>
      </c>
      <c r="AT1025" t="s">
        <v>574</v>
      </c>
      <c r="AU1025" t="s">
        <v>130</v>
      </c>
      <c r="AV1025" t="s">
        <v>20733</v>
      </c>
    </row>
    <row r="1026" spans="1:48">
      <c r="A1026" s="1">
        <f>HYPERLINK("https://lsnyc.legalserver.org/matter/dynamic-profile/view/1885771","18-1885771")</f>
        <v>0</v>
      </c>
      <c r="B1026" t="s">
        <v>92</v>
      </c>
      <c r="C1026" t="s">
        <v>256</v>
      </c>
      <c r="D1026" t="s">
        <v>424</v>
      </c>
      <c r="F1026" t="s">
        <v>1714</v>
      </c>
      <c r="G1026" t="s">
        <v>3888</v>
      </c>
      <c r="H1026" t="s">
        <v>6306</v>
      </c>
      <c r="I1026" t="s">
        <v>8112</v>
      </c>
      <c r="J1026" t="s">
        <v>9059</v>
      </c>
      <c r="K1026">
        <v>11238</v>
      </c>
      <c r="L1026" t="s">
        <v>9094</v>
      </c>
      <c r="M1026" t="s">
        <v>9094</v>
      </c>
      <c r="N1026" t="s">
        <v>9121</v>
      </c>
      <c r="O1026" t="s">
        <v>11155</v>
      </c>
      <c r="P1026" t="s">
        <v>11168</v>
      </c>
      <c r="R1026" t="s">
        <v>11180</v>
      </c>
      <c r="S1026" t="s">
        <v>9094</v>
      </c>
      <c r="T1026" t="s">
        <v>11183</v>
      </c>
      <c r="U1026" t="s">
        <v>11201</v>
      </c>
      <c r="V1026" t="s">
        <v>685</v>
      </c>
      <c r="W1026">
        <v>0</v>
      </c>
      <c r="X1026" t="s">
        <v>11332</v>
      </c>
      <c r="Z1026" t="s">
        <v>12084</v>
      </c>
      <c r="AA1026" t="s">
        <v>15477</v>
      </c>
      <c r="AB1026" t="s">
        <v>16525</v>
      </c>
      <c r="AC1026">
        <v>0</v>
      </c>
      <c r="AD1026" t="s">
        <v>19566</v>
      </c>
      <c r="AE1026" t="s">
        <v>19581</v>
      </c>
      <c r="AF1026">
        <v>0</v>
      </c>
      <c r="AG1026">
        <v>1</v>
      </c>
      <c r="AH1026">
        <v>1</v>
      </c>
      <c r="AI1026">
        <v>41.85</v>
      </c>
      <c r="AL1026" t="s">
        <v>19614</v>
      </c>
      <c r="AM1026">
        <v>6888</v>
      </c>
      <c r="AS1026">
        <v>41.25</v>
      </c>
      <c r="AT1026" t="s">
        <v>416</v>
      </c>
      <c r="AU1026" t="s">
        <v>95</v>
      </c>
      <c r="AV1026" t="s">
        <v>20733</v>
      </c>
    </row>
    <row r="1027" spans="1:48">
      <c r="A1027" s="1">
        <f>HYPERLINK("https://lsnyc.legalserver.org/matter/dynamic-profile/view/1878793","18-1878793")</f>
        <v>0</v>
      </c>
      <c r="B1027" t="s">
        <v>60</v>
      </c>
      <c r="C1027" t="s">
        <v>257</v>
      </c>
      <c r="D1027" t="s">
        <v>701</v>
      </c>
      <c r="E1027" t="s">
        <v>636</v>
      </c>
      <c r="F1027" t="s">
        <v>1719</v>
      </c>
      <c r="G1027" t="s">
        <v>3899</v>
      </c>
      <c r="H1027" t="s">
        <v>6315</v>
      </c>
      <c r="I1027" t="s">
        <v>8218</v>
      </c>
      <c r="J1027" t="s">
        <v>9038</v>
      </c>
      <c r="K1027">
        <v>11691</v>
      </c>
      <c r="L1027" t="s">
        <v>9094</v>
      </c>
      <c r="M1027" t="s">
        <v>9094</v>
      </c>
      <c r="N1027" t="s">
        <v>9582</v>
      </c>
      <c r="O1027" t="s">
        <v>11129</v>
      </c>
      <c r="P1027" t="s">
        <v>11164</v>
      </c>
      <c r="Q1027" t="s">
        <v>11172</v>
      </c>
      <c r="R1027" t="s">
        <v>11180</v>
      </c>
      <c r="S1027" t="s">
        <v>9096</v>
      </c>
      <c r="T1027" t="s">
        <v>11183</v>
      </c>
      <c r="U1027" t="s">
        <v>11201</v>
      </c>
      <c r="V1027" t="s">
        <v>701</v>
      </c>
      <c r="W1027">
        <v>1213.18</v>
      </c>
      <c r="X1027" t="s">
        <v>11331</v>
      </c>
      <c r="Y1027" t="s">
        <v>11336</v>
      </c>
      <c r="Z1027" t="s">
        <v>12098</v>
      </c>
      <c r="AA1027" t="s">
        <v>15480</v>
      </c>
      <c r="AB1027" t="s">
        <v>16537</v>
      </c>
      <c r="AC1027">
        <v>24</v>
      </c>
      <c r="AD1027" t="s">
        <v>15441</v>
      </c>
      <c r="AE1027" t="s">
        <v>19587</v>
      </c>
      <c r="AF1027">
        <v>20</v>
      </c>
      <c r="AG1027">
        <v>1</v>
      </c>
      <c r="AH1027">
        <v>1</v>
      </c>
      <c r="AI1027">
        <v>41.88</v>
      </c>
      <c r="AL1027" t="s">
        <v>19614</v>
      </c>
      <c r="AM1027">
        <v>6892.8</v>
      </c>
      <c r="AS1027">
        <v>1.2</v>
      </c>
      <c r="AT1027" t="s">
        <v>917</v>
      </c>
      <c r="AU1027" t="s">
        <v>20620</v>
      </c>
      <c r="AV1027" t="s">
        <v>20733</v>
      </c>
    </row>
    <row r="1028" spans="1:48">
      <c r="A1028" s="1">
        <f>HYPERLINK("https://lsnyc.legalserver.org/matter/dynamic-profile/view/0814008","16-0814008")</f>
        <v>0</v>
      </c>
      <c r="B1028" t="s">
        <v>168</v>
      </c>
      <c r="C1028" t="s">
        <v>256</v>
      </c>
      <c r="D1028" t="s">
        <v>702</v>
      </c>
      <c r="F1028" t="s">
        <v>1720</v>
      </c>
      <c r="G1028" t="s">
        <v>3900</v>
      </c>
      <c r="H1028" t="s">
        <v>6316</v>
      </c>
      <c r="I1028" t="s">
        <v>8380</v>
      </c>
      <c r="J1028" t="s">
        <v>9059</v>
      </c>
      <c r="K1028">
        <v>11225</v>
      </c>
      <c r="L1028" t="s">
        <v>9094</v>
      </c>
      <c r="M1028" t="s">
        <v>9095</v>
      </c>
      <c r="O1028" t="s">
        <v>11135</v>
      </c>
      <c r="P1028" t="s">
        <v>11168</v>
      </c>
      <c r="R1028" t="s">
        <v>11180</v>
      </c>
      <c r="T1028" t="s">
        <v>11183</v>
      </c>
      <c r="V1028" t="s">
        <v>11231</v>
      </c>
      <c r="W1028">
        <v>0</v>
      </c>
      <c r="X1028" t="s">
        <v>11332</v>
      </c>
      <c r="Z1028" t="s">
        <v>12099</v>
      </c>
      <c r="AB1028" t="s">
        <v>16538</v>
      </c>
      <c r="AC1028">
        <v>12</v>
      </c>
      <c r="AF1028">
        <v>0</v>
      </c>
      <c r="AG1028">
        <v>1</v>
      </c>
      <c r="AH1028">
        <v>0</v>
      </c>
      <c r="AI1028">
        <v>41.89</v>
      </c>
      <c r="AL1028" t="s">
        <v>19614</v>
      </c>
      <c r="AM1028">
        <v>4976.4</v>
      </c>
      <c r="AS1028">
        <v>49.67</v>
      </c>
      <c r="AT1028" t="s">
        <v>395</v>
      </c>
      <c r="AU1028" t="s">
        <v>20673</v>
      </c>
    </row>
    <row r="1029" spans="1:48">
      <c r="A1029" s="1">
        <f>HYPERLINK("https://lsnyc.legalserver.org/matter/dynamic-profile/view/1914467","19-1914467")</f>
        <v>0</v>
      </c>
      <c r="B1029" t="s">
        <v>79</v>
      </c>
      <c r="C1029" t="s">
        <v>256</v>
      </c>
      <c r="D1029" t="s">
        <v>703</v>
      </c>
      <c r="F1029" t="s">
        <v>1721</v>
      </c>
      <c r="G1029" t="s">
        <v>3901</v>
      </c>
      <c r="H1029" t="s">
        <v>6317</v>
      </c>
      <c r="I1029">
        <v>2</v>
      </c>
      <c r="J1029" t="s">
        <v>9059</v>
      </c>
      <c r="K1029">
        <v>11233</v>
      </c>
      <c r="L1029" t="s">
        <v>9095</v>
      </c>
      <c r="M1029" t="s">
        <v>9095</v>
      </c>
      <c r="N1029" t="s">
        <v>9583</v>
      </c>
      <c r="O1029" t="s">
        <v>11128</v>
      </c>
      <c r="P1029" t="s">
        <v>11169</v>
      </c>
      <c r="R1029" t="s">
        <v>11180</v>
      </c>
      <c r="S1029" t="s">
        <v>9096</v>
      </c>
      <c r="T1029" t="s">
        <v>11183</v>
      </c>
      <c r="W1029">
        <v>1515</v>
      </c>
      <c r="X1029" t="s">
        <v>11332</v>
      </c>
      <c r="Y1029" t="s">
        <v>11157</v>
      </c>
      <c r="Z1029" t="s">
        <v>12100</v>
      </c>
      <c r="AB1029" t="s">
        <v>16539</v>
      </c>
      <c r="AC1029">
        <v>3</v>
      </c>
      <c r="AD1029" t="s">
        <v>19565</v>
      </c>
      <c r="AE1029" t="s">
        <v>19581</v>
      </c>
      <c r="AF1029">
        <v>1</v>
      </c>
      <c r="AG1029">
        <v>2</v>
      </c>
      <c r="AH1029">
        <v>1</v>
      </c>
      <c r="AI1029">
        <v>41.91</v>
      </c>
      <c r="AL1029" t="s">
        <v>19614</v>
      </c>
      <c r="AM1029">
        <v>8940</v>
      </c>
      <c r="AS1029">
        <v>0</v>
      </c>
      <c r="AU1029" t="s">
        <v>79</v>
      </c>
    </row>
    <row r="1030" spans="1:48">
      <c r="A1030" s="1">
        <f>HYPERLINK("https://lsnyc.legalserver.org/matter/dynamic-profile/view/1872089","18-1872089")</f>
        <v>0</v>
      </c>
      <c r="B1030" t="s">
        <v>68</v>
      </c>
      <c r="C1030" t="s">
        <v>257</v>
      </c>
      <c r="D1030" t="s">
        <v>352</v>
      </c>
      <c r="E1030" t="s">
        <v>660</v>
      </c>
      <c r="F1030" t="s">
        <v>1722</v>
      </c>
      <c r="G1030" t="s">
        <v>3902</v>
      </c>
      <c r="H1030" t="s">
        <v>6318</v>
      </c>
      <c r="I1030">
        <v>5</v>
      </c>
      <c r="J1030" t="s">
        <v>9059</v>
      </c>
      <c r="K1030">
        <v>11233</v>
      </c>
      <c r="L1030" t="s">
        <v>9094</v>
      </c>
      <c r="M1030" t="s">
        <v>9094</v>
      </c>
      <c r="N1030" t="s">
        <v>9584</v>
      </c>
      <c r="O1030" t="s">
        <v>11129</v>
      </c>
      <c r="P1030" t="s">
        <v>11165</v>
      </c>
      <c r="Q1030" t="s">
        <v>11174</v>
      </c>
      <c r="R1030" t="s">
        <v>11180</v>
      </c>
      <c r="S1030" t="s">
        <v>9096</v>
      </c>
      <c r="T1030" t="s">
        <v>11183</v>
      </c>
      <c r="U1030" t="s">
        <v>11199</v>
      </c>
      <c r="V1030" t="s">
        <v>930</v>
      </c>
      <c r="W1030">
        <v>1350</v>
      </c>
      <c r="X1030" t="s">
        <v>11332</v>
      </c>
      <c r="Y1030" t="s">
        <v>11349</v>
      </c>
      <c r="Z1030" t="s">
        <v>12101</v>
      </c>
      <c r="AA1030" t="s">
        <v>15441</v>
      </c>
      <c r="AB1030" t="s">
        <v>16540</v>
      </c>
      <c r="AC1030">
        <v>7</v>
      </c>
      <c r="AD1030" t="s">
        <v>19566</v>
      </c>
      <c r="AE1030" t="s">
        <v>9144</v>
      </c>
      <c r="AF1030">
        <v>5</v>
      </c>
      <c r="AG1030">
        <v>2</v>
      </c>
      <c r="AH1030">
        <v>0</v>
      </c>
      <c r="AI1030">
        <v>41.92</v>
      </c>
      <c r="AL1030" t="s">
        <v>19614</v>
      </c>
      <c r="AM1030">
        <v>6900</v>
      </c>
      <c r="AN1030" t="s">
        <v>19755</v>
      </c>
      <c r="AQ1030" t="s">
        <v>20368</v>
      </c>
      <c r="AR1030" t="s">
        <v>20436</v>
      </c>
      <c r="AS1030">
        <v>23.1</v>
      </c>
      <c r="AT1030" t="s">
        <v>616</v>
      </c>
      <c r="AU1030" t="s">
        <v>20629</v>
      </c>
    </row>
    <row r="1031" spans="1:48">
      <c r="A1031" s="1">
        <f>HYPERLINK("https://lsnyc.legalserver.org/matter/dynamic-profile/view/1910745","19-1910745")</f>
        <v>0</v>
      </c>
      <c r="B1031" t="s">
        <v>100</v>
      </c>
      <c r="C1031" t="s">
        <v>256</v>
      </c>
      <c r="D1031" t="s">
        <v>307</v>
      </c>
      <c r="F1031" t="s">
        <v>1723</v>
      </c>
      <c r="G1031" t="s">
        <v>3751</v>
      </c>
      <c r="H1031" t="s">
        <v>6319</v>
      </c>
      <c r="J1031" t="s">
        <v>9065</v>
      </c>
      <c r="K1031">
        <v>10459</v>
      </c>
      <c r="L1031" t="s">
        <v>9095</v>
      </c>
      <c r="M1031" t="s">
        <v>9095</v>
      </c>
      <c r="N1031" t="s">
        <v>9585</v>
      </c>
      <c r="O1031" t="s">
        <v>11128</v>
      </c>
      <c r="R1031" t="s">
        <v>11180</v>
      </c>
      <c r="S1031" t="s">
        <v>9096</v>
      </c>
      <c r="T1031" t="s">
        <v>11183</v>
      </c>
      <c r="W1031">
        <v>1650</v>
      </c>
      <c r="X1031" t="s">
        <v>11333</v>
      </c>
      <c r="Z1031" t="s">
        <v>12102</v>
      </c>
      <c r="AA1031" t="s">
        <v>15481</v>
      </c>
      <c r="AB1031" t="s">
        <v>16541</v>
      </c>
      <c r="AC1031">
        <v>0</v>
      </c>
      <c r="AD1031" t="s">
        <v>15441</v>
      </c>
      <c r="AE1031" t="s">
        <v>9144</v>
      </c>
      <c r="AF1031">
        <v>12</v>
      </c>
      <c r="AG1031">
        <v>1</v>
      </c>
      <c r="AH1031">
        <v>3</v>
      </c>
      <c r="AI1031">
        <v>41.94</v>
      </c>
      <c r="AL1031" t="s">
        <v>19614</v>
      </c>
      <c r="AM1031">
        <v>10800</v>
      </c>
      <c r="AS1031">
        <v>4.4</v>
      </c>
      <c r="AT1031" t="s">
        <v>263</v>
      </c>
      <c r="AU1031" t="s">
        <v>20660</v>
      </c>
      <c r="AV1031" t="s">
        <v>20734</v>
      </c>
    </row>
    <row r="1032" spans="1:48">
      <c r="A1032" s="1">
        <f>HYPERLINK("https://lsnyc.legalserver.org/matter/dynamic-profile/view/1910170","19-1910170")</f>
        <v>0</v>
      </c>
      <c r="B1032" t="s">
        <v>98</v>
      </c>
      <c r="C1032" t="s">
        <v>256</v>
      </c>
      <c r="D1032" t="s">
        <v>442</v>
      </c>
      <c r="F1032" t="s">
        <v>1673</v>
      </c>
      <c r="G1032" t="s">
        <v>3903</v>
      </c>
      <c r="H1032" t="s">
        <v>5878</v>
      </c>
      <c r="I1032" t="s">
        <v>8212</v>
      </c>
      <c r="J1032" t="s">
        <v>9065</v>
      </c>
      <c r="K1032">
        <v>10456</v>
      </c>
      <c r="L1032" t="s">
        <v>9094</v>
      </c>
      <c r="M1032" t="s">
        <v>9095</v>
      </c>
      <c r="O1032" t="s">
        <v>11134</v>
      </c>
      <c r="P1032" t="s">
        <v>11168</v>
      </c>
      <c r="R1032" t="s">
        <v>11180</v>
      </c>
      <c r="S1032" t="s">
        <v>9094</v>
      </c>
      <c r="T1032" t="s">
        <v>11183</v>
      </c>
      <c r="W1032">
        <v>1050</v>
      </c>
      <c r="X1032" t="s">
        <v>11333</v>
      </c>
      <c r="Y1032" t="s">
        <v>11346</v>
      </c>
      <c r="Z1032" t="s">
        <v>12103</v>
      </c>
      <c r="AB1032" t="s">
        <v>16542</v>
      </c>
      <c r="AC1032">
        <v>30</v>
      </c>
      <c r="AD1032" t="s">
        <v>19566</v>
      </c>
      <c r="AE1032" t="s">
        <v>9144</v>
      </c>
      <c r="AF1032">
        <v>8</v>
      </c>
      <c r="AG1032">
        <v>1</v>
      </c>
      <c r="AH1032">
        <v>3</v>
      </c>
      <c r="AI1032">
        <v>41.94</v>
      </c>
      <c r="AL1032" t="s">
        <v>11157</v>
      </c>
      <c r="AM1032">
        <v>10800</v>
      </c>
      <c r="AS1032">
        <v>0</v>
      </c>
      <c r="AU1032" t="s">
        <v>20642</v>
      </c>
      <c r="AV1032" t="s">
        <v>20733</v>
      </c>
    </row>
    <row r="1033" spans="1:48">
      <c r="A1033" s="1">
        <f>HYPERLINK("https://lsnyc.legalserver.org/matter/dynamic-profile/view/1910167","19-1910167")</f>
        <v>0</v>
      </c>
      <c r="B1033" t="s">
        <v>98</v>
      </c>
      <c r="C1033" t="s">
        <v>256</v>
      </c>
      <c r="D1033" t="s">
        <v>442</v>
      </c>
      <c r="F1033" t="s">
        <v>1673</v>
      </c>
      <c r="G1033" t="s">
        <v>3903</v>
      </c>
      <c r="H1033" t="s">
        <v>5878</v>
      </c>
      <c r="I1033" t="s">
        <v>8212</v>
      </c>
      <c r="J1033" t="s">
        <v>9065</v>
      </c>
      <c r="K1033">
        <v>10456</v>
      </c>
      <c r="L1033" t="s">
        <v>9094</v>
      </c>
      <c r="M1033" t="s">
        <v>9095</v>
      </c>
      <c r="N1033" t="s">
        <v>9235</v>
      </c>
      <c r="O1033" t="s">
        <v>11130</v>
      </c>
      <c r="P1033" t="s">
        <v>11165</v>
      </c>
      <c r="R1033" t="s">
        <v>11180</v>
      </c>
      <c r="S1033" t="s">
        <v>9094</v>
      </c>
      <c r="T1033" t="s">
        <v>11183</v>
      </c>
      <c r="W1033">
        <v>1050</v>
      </c>
      <c r="X1033" t="s">
        <v>11333</v>
      </c>
      <c r="Y1033" t="s">
        <v>11346</v>
      </c>
      <c r="Z1033" t="s">
        <v>12103</v>
      </c>
      <c r="AB1033" t="s">
        <v>16542</v>
      </c>
      <c r="AC1033">
        <v>30</v>
      </c>
      <c r="AD1033" t="s">
        <v>19566</v>
      </c>
      <c r="AE1033" t="s">
        <v>9144</v>
      </c>
      <c r="AF1033">
        <v>8</v>
      </c>
      <c r="AG1033">
        <v>1</v>
      </c>
      <c r="AH1033">
        <v>3</v>
      </c>
      <c r="AI1033">
        <v>41.94</v>
      </c>
      <c r="AL1033" t="s">
        <v>11157</v>
      </c>
      <c r="AM1033">
        <v>10800</v>
      </c>
      <c r="AS1033">
        <v>0</v>
      </c>
      <c r="AU1033" t="s">
        <v>20642</v>
      </c>
      <c r="AV1033" t="s">
        <v>20733</v>
      </c>
    </row>
    <row r="1034" spans="1:48">
      <c r="A1034" s="1">
        <f>HYPERLINK("https://lsnyc.legalserver.org/matter/dynamic-profile/view/0816107","16-0816107")</f>
        <v>0</v>
      </c>
      <c r="B1034" t="s">
        <v>105</v>
      </c>
      <c r="C1034" t="s">
        <v>256</v>
      </c>
      <c r="D1034" t="s">
        <v>704</v>
      </c>
      <c r="F1034" t="s">
        <v>1698</v>
      </c>
      <c r="G1034" t="s">
        <v>3904</v>
      </c>
      <c r="H1034" t="s">
        <v>5855</v>
      </c>
      <c r="I1034" t="s">
        <v>8169</v>
      </c>
      <c r="J1034" t="s">
        <v>9065</v>
      </c>
      <c r="K1034">
        <v>10467</v>
      </c>
      <c r="L1034" t="s">
        <v>9094</v>
      </c>
      <c r="M1034" t="s">
        <v>9095</v>
      </c>
      <c r="N1034" t="s">
        <v>9220</v>
      </c>
      <c r="O1034" t="s">
        <v>11143</v>
      </c>
      <c r="P1034" t="s">
        <v>11165</v>
      </c>
      <c r="R1034" t="s">
        <v>11180</v>
      </c>
      <c r="S1034" t="s">
        <v>9094</v>
      </c>
      <c r="T1034" t="s">
        <v>11183</v>
      </c>
      <c r="V1034" t="s">
        <v>1024</v>
      </c>
      <c r="W1034">
        <v>900</v>
      </c>
      <c r="X1034" t="s">
        <v>11333</v>
      </c>
      <c r="Y1034" t="s">
        <v>11338</v>
      </c>
      <c r="Z1034" t="s">
        <v>12104</v>
      </c>
      <c r="AB1034" t="s">
        <v>16543</v>
      </c>
      <c r="AC1034">
        <v>30</v>
      </c>
      <c r="AD1034" t="s">
        <v>19566</v>
      </c>
      <c r="AE1034" t="s">
        <v>9144</v>
      </c>
      <c r="AF1034">
        <v>4</v>
      </c>
      <c r="AG1034">
        <v>2</v>
      </c>
      <c r="AH1034">
        <v>0</v>
      </c>
      <c r="AI1034">
        <v>41.95</v>
      </c>
      <c r="AJ1034" t="s">
        <v>865</v>
      </c>
      <c r="AL1034" t="s">
        <v>19614</v>
      </c>
      <c r="AM1034">
        <v>6720</v>
      </c>
      <c r="AS1034">
        <v>232.55</v>
      </c>
      <c r="AT1034" t="s">
        <v>612</v>
      </c>
      <c r="AU1034" t="s">
        <v>20643</v>
      </c>
    </row>
    <row r="1035" spans="1:48">
      <c r="A1035" s="1">
        <f>HYPERLINK("https://lsnyc.legalserver.org/matter/dynamic-profile/view/1886182","18-1886182")</f>
        <v>0</v>
      </c>
      <c r="B1035" t="s">
        <v>136</v>
      </c>
      <c r="C1035" t="s">
        <v>256</v>
      </c>
      <c r="D1035" t="s">
        <v>516</v>
      </c>
      <c r="F1035" t="s">
        <v>1719</v>
      </c>
      <c r="G1035" t="s">
        <v>3905</v>
      </c>
      <c r="H1035" t="s">
        <v>6320</v>
      </c>
      <c r="I1035" t="s">
        <v>8170</v>
      </c>
      <c r="J1035" t="s">
        <v>9067</v>
      </c>
      <c r="K1035">
        <v>10029</v>
      </c>
      <c r="L1035" t="s">
        <v>9094</v>
      </c>
      <c r="M1035" t="s">
        <v>9094</v>
      </c>
      <c r="N1035" t="s">
        <v>9586</v>
      </c>
      <c r="O1035" t="s">
        <v>11128</v>
      </c>
      <c r="P1035" t="s">
        <v>11165</v>
      </c>
      <c r="R1035" t="s">
        <v>11180</v>
      </c>
      <c r="S1035" t="s">
        <v>9096</v>
      </c>
      <c r="T1035" t="s">
        <v>11183</v>
      </c>
      <c r="U1035" t="s">
        <v>11201</v>
      </c>
      <c r="V1035" t="s">
        <v>516</v>
      </c>
      <c r="W1035">
        <v>250</v>
      </c>
      <c r="X1035" t="s">
        <v>11335</v>
      </c>
      <c r="Y1035" t="s">
        <v>11340</v>
      </c>
      <c r="Z1035" t="s">
        <v>12105</v>
      </c>
      <c r="AB1035" t="s">
        <v>16544</v>
      </c>
      <c r="AC1035">
        <v>10</v>
      </c>
      <c r="AD1035" t="s">
        <v>19566</v>
      </c>
      <c r="AE1035" t="s">
        <v>9144</v>
      </c>
      <c r="AF1035">
        <v>45</v>
      </c>
      <c r="AG1035">
        <v>2</v>
      </c>
      <c r="AH1035">
        <v>0</v>
      </c>
      <c r="AI1035">
        <v>42.07</v>
      </c>
      <c r="AL1035" t="s">
        <v>19614</v>
      </c>
      <c r="AM1035">
        <v>6924</v>
      </c>
      <c r="AS1035">
        <v>31.95</v>
      </c>
      <c r="AT1035" t="s">
        <v>1130</v>
      </c>
      <c r="AU1035" t="s">
        <v>20657</v>
      </c>
      <c r="AV1035" t="s">
        <v>20733</v>
      </c>
    </row>
    <row r="1036" spans="1:48">
      <c r="A1036" s="1">
        <f>HYPERLINK("https://lsnyc.legalserver.org/matter/dynamic-profile/view/1876678","18-1876678")</f>
        <v>0</v>
      </c>
      <c r="B1036" t="s">
        <v>119</v>
      </c>
      <c r="C1036" t="s">
        <v>256</v>
      </c>
      <c r="D1036" t="s">
        <v>593</v>
      </c>
      <c r="F1036" t="s">
        <v>1717</v>
      </c>
      <c r="G1036" t="s">
        <v>3891</v>
      </c>
      <c r="H1036" t="s">
        <v>6095</v>
      </c>
      <c r="I1036" t="s">
        <v>8375</v>
      </c>
      <c r="J1036" t="s">
        <v>9065</v>
      </c>
      <c r="K1036">
        <v>10456</v>
      </c>
      <c r="L1036" t="s">
        <v>9094</v>
      </c>
      <c r="M1036" t="s">
        <v>9094</v>
      </c>
      <c r="N1036" t="s">
        <v>9419</v>
      </c>
      <c r="O1036" t="s">
        <v>11134</v>
      </c>
      <c r="P1036" t="s">
        <v>11166</v>
      </c>
      <c r="R1036" t="s">
        <v>11180</v>
      </c>
      <c r="S1036" t="s">
        <v>9094</v>
      </c>
      <c r="T1036" t="s">
        <v>11183</v>
      </c>
      <c r="V1036" t="s">
        <v>593</v>
      </c>
      <c r="W1036">
        <v>1227</v>
      </c>
      <c r="X1036" t="s">
        <v>11333</v>
      </c>
      <c r="Y1036" t="s">
        <v>11346</v>
      </c>
      <c r="Z1036" t="s">
        <v>12087</v>
      </c>
      <c r="AB1036" t="s">
        <v>16527</v>
      </c>
      <c r="AC1036">
        <v>131</v>
      </c>
      <c r="AD1036" t="s">
        <v>19566</v>
      </c>
      <c r="AE1036" t="s">
        <v>19580</v>
      </c>
      <c r="AF1036">
        <v>9</v>
      </c>
      <c r="AG1036">
        <v>2</v>
      </c>
      <c r="AH1036">
        <v>3</v>
      </c>
      <c r="AI1036">
        <v>42.18</v>
      </c>
      <c r="AL1036" t="s">
        <v>19615</v>
      </c>
      <c r="AM1036">
        <v>12408</v>
      </c>
      <c r="AS1036">
        <v>0</v>
      </c>
      <c r="AU1036" t="s">
        <v>163</v>
      </c>
    </row>
    <row r="1037" spans="1:48">
      <c r="A1037" s="1">
        <f>HYPERLINK("https://lsnyc.legalserver.org/matter/dynamic-profile/view/1886112","18-1886112")</f>
        <v>0</v>
      </c>
      <c r="B1037" t="s">
        <v>119</v>
      </c>
      <c r="C1037" t="s">
        <v>256</v>
      </c>
      <c r="D1037" t="s">
        <v>397</v>
      </c>
      <c r="F1037" t="s">
        <v>1717</v>
      </c>
      <c r="G1037" t="s">
        <v>3891</v>
      </c>
      <c r="H1037" t="s">
        <v>6095</v>
      </c>
      <c r="I1037" t="s">
        <v>8375</v>
      </c>
      <c r="J1037" t="s">
        <v>9065</v>
      </c>
      <c r="K1037">
        <v>10456</v>
      </c>
      <c r="L1037" t="s">
        <v>9094</v>
      </c>
      <c r="M1037" t="s">
        <v>9094</v>
      </c>
      <c r="N1037" t="s">
        <v>9401</v>
      </c>
      <c r="O1037" t="s">
        <v>11134</v>
      </c>
      <c r="P1037" t="s">
        <v>11168</v>
      </c>
      <c r="R1037" t="s">
        <v>11180</v>
      </c>
      <c r="S1037" t="s">
        <v>9094</v>
      </c>
      <c r="T1037" t="s">
        <v>11183</v>
      </c>
      <c r="V1037" t="s">
        <v>738</v>
      </c>
      <c r="W1037">
        <v>1227</v>
      </c>
      <c r="X1037" t="s">
        <v>11333</v>
      </c>
      <c r="Y1037" t="s">
        <v>11346</v>
      </c>
      <c r="Z1037" t="s">
        <v>12087</v>
      </c>
      <c r="AB1037" t="s">
        <v>16527</v>
      </c>
      <c r="AC1037">
        <v>131</v>
      </c>
      <c r="AD1037" t="s">
        <v>19566</v>
      </c>
      <c r="AE1037" t="s">
        <v>19580</v>
      </c>
      <c r="AF1037">
        <v>9</v>
      </c>
      <c r="AG1037">
        <v>2</v>
      </c>
      <c r="AH1037">
        <v>3</v>
      </c>
      <c r="AI1037">
        <v>42.18</v>
      </c>
      <c r="AL1037" t="s">
        <v>19615</v>
      </c>
      <c r="AM1037">
        <v>12408</v>
      </c>
      <c r="AS1037">
        <v>0</v>
      </c>
      <c r="AU1037" t="s">
        <v>163</v>
      </c>
    </row>
    <row r="1038" spans="1:48">
      <c r="A1038" s="1">
        <f>HYPERLINK("https://lsnyc.legalserver.org/matter/dynamic-profile/view/1876670","18-1876670")</f>
        <v>0</v>
      </c>
      <c r="B1038" t="s">
        <v>119</v>
      </c>
      <c r="C1038" t="s">
        <v>256</v>
      </c>
      <c r="D1038" t="s">
        <v>593</v>
      </c>
      <c r="F1038" t="s">
        <v>1717</v>
      </c>
      <c r="G1038" t="s">
        <v>3891</v>
      </c>
      <c r="H1038" t="s">
        <v>6095</v>
      </c>
      <c r="I1038" t="s">
        <v>8375</v>
      </c>
      <c r="J1038" t="s">
        <v>9065</v>
      </c>
      <c r="K1038">
        <v>10456</v>
      </c>
      <c r="L1038" t="s">
        <v>9094</v>
      </c>
      <c r="M1038" t="s">
        <v>9094</v>
      </c>
      <c r="N1038" t="s">
        <v>9403</v>
      </c>
      <c r="O1038" t="s">
        <v>11130</v>
      </c>
      <c r="P1038" t="s">
        <v>11165</v>
      </c>
      <c r="R1038" t="s">
        <v>11180</v>
      </c>
      <c r="S1038" t="s">
        <v>9094</v>
      </c>
      <c r="T1038" t="s">
        <v>11183</v>
      </c>
      <c r="V1038" t="s">
        <v>593</v>
      </c>
      <c r="W1038">
        <v>1227</v>
      </c>
      <c r="X1038" t="s">
        <v>11333</v>
      </c>
      <c r="Y1038" t="s">
        <v>11346</v>
      </c>
      <c r="Z1038" t="s">
        <v>12087</v>
      </c>
      <c r="AB1038" t="s">
        <v>16527</v>
      </c>
      <c r="AC1038">
        <v>131</v>
      </c>
      <c r="AD1038" t="s">
        <v>19566</v>
      </c>
      <c r="AE1038" t="s">
        <v>19580</v>
      </c>
      <c r="AF1038">
        <v>9</v>
      </c>
      <c r="AG1038">
        <v>2</v>
      </c>
      <c r="AH1038">
        <v>3</v>
      </c>
      <c r="AI1038">
        <v>42.18</v>
      </c>
      <c r="AL1038" t="s">
        <v>19615</v>
      </c>
      <c r="AM1038">
        <v>12408</v>
      </c>
      <c r="AS1038">
        <v>0</v>
      </c>
      <c r="AU1038" t="s">
        <v>163</v>
      </c>
    </row>
    <row r="1039" spans="1:48">
      <c r="A1039" s="1">
        <f>HYPERLINK("https://lsnyc.legalserver.org/matter/dynamic-profile/view/1903379","19-1903379")</f>
        <v>0</v>
      </c>
      <c r="B1039" t="s">
        <v>52</v>
      </c>
      <c r="C1039" t="s">
        <v>256</v>
      </c>
      <c r="D1039" t="s">
        <v>302</v>
      </c>
      <c r="F1039" t="s">
        <v>1724</v>
      </c>
      <c r="G1039" t="s">
        <v>3398</v>
      </c>
      <c r="H1039" t="s">
        <v>6321</v>
      </c>
      <c r="I1039" t="s">
        <v>8120</v>
      </c>
      <c r="J1039" t="s">
        <v>9072</v>
      </c>
      <c r="K1039">
        <v>11413</v>
      </c>
      <c r="L1039" t="s">
        <v>9094</v>
      </c>
      <c r="M1039" t="s">
        <v>9095</v>
      </c>
      <c r="N1039" t="s">
        <v>9587</v>
      </c>
      <c r="O1039" t="s">
        <v>11129</v>
      </c>
      <c r="P1039" t="s">
        <v>11165</v>
      </c>
      <c r="R1039" t="s">
        <v>11180</v>
      </c>
      <c r="S1039" t="s">
        <v>9096</v>
      </c>
      <c r="T1039" t="s">
        <v>11183</v>
      </c>
      <c r="U1039" t="s">
        <v>11201</v>
      </c>
      <c r="V1039" t="s">
        <v>302</v>
      </c>
      <c r="W1039">
        <v>2000</v>
      </c>
      <c r="X1039" t="s">
        <v>11331</v>
      </c>
      <c r="Y1039" t="s">
        <v>11336</v>
      </c>
      <c r="Z1039" t="s">
        <v>12106</v>
      </c>
      <c r="AA1039" t="s">
        <v>15482</v>
      </c>
      <c r="AB1039" t="s">
        <v>16545</v>
      </c>
      <c r="AC1039">
        <v>2</v>
      </c>
      <c r="AD1039" t="s">
        <v>15441</v>
      </c>
      <c r="AE1039" t="s">
        <v>9144</v>
      </c>
      <c r="AF1039">
        <v>1</v>
      </c>
      <c r="AG1039">
        <v>2</v>
      </c>
      <c r="AH1039">
        <v>1</v>
      </c>
      <c r="AI1039">
        <v>42.19</v>
      </c>
      <c r="AL1039" t="s">
        <v>19614</v>
      </c>
      <c r="AM1039">
        <v>9000</v>
      </c>
      <c r="AP1039" t="s">
        <v>20328</v>
      </c>
      <c r="AQ1039" t="s">
        <v>20369</v>
      </c>
      <c r="AR1039" t="s">
        <v>20437</v>
      </c>
      <c r="AS1039">
        <v>1.25</v>
      </c>
      <c r="AT1039" t="s">
        <v>314</v>
      </c>
      <c r="AU1039" t="s">
        <v>20620</v>
      </c>
      <c r="AV1039" t="s">
        <v>20733</v>
      </c>
    </row>
    <row r="1040" spans="1:48">
      <c r="A1040" s="1">
        <f>HYPERLINK("https://lsnyc.legalserver.org/matter/dynamic-profile/view/1896516","19-1896516")</f>
        <v>0</v>
      </c>
      <c r="B1040" t="s">
        <v>114</v>
      </c>
      <c r="C1040" t="s">
        <v>256</v>
      </c>
      <c r="D1040" t="s">
        <v>384</v>
      </c>
      <c r="F1040" t="s">
        <v>1645</v>
      </c>
      <c r="G1040" t="s">
        <v>3448</v>
      </c>
      <c r="H1040" t="s">
        <v>5887</v>
      </c>
      <c r="I1040" t="s">
        <v>8346</v>
      </c>
      <c r="J1040" t="s">
        <v>9065</v>
      </c>
      <c r="K1040">
        <v>10453</v>
      </c>
      <c r="L1040" t="s">
        <v>9094</v>
      </c>
      <c r="M1040" t="s">
        <v>9094</v>
      </c>
      <c r="N1040" t="s">
        <v>9588</v>
      </c>
      <c r="O1040" t="s">
        <v>11129</v>
      </c>
      <c r="P1040" t="s">
        <v>11165</v>
      </c>
      <c r="R1040" t="s">
        <v>11180</v>
      </c>
      <c r="S1040" t="s">
        <v>9096</v>
      </c>
      <c r="T1040" t="s">
        <v>11183</v>
      </c>
      <c r="V1040" t="s">
        <v>993</v>
      </c>
      <c r="W1040">
        <v>1011.37</v>
      </c>
      <c r="X1040" t="s">
        <v>11333</v>
      </c>
      <c r="Y1040" t="s">
        <v>11340</v>
      </c>
      <c r="Z1040" t="s">
        <v>11967</v>
      </c>
      <c r="AB1040" t="s">
        <v>16420</v>
      </c>
      <c r="AC1040">
        <v>0</v>
      </c>
      <c r="AD1040" t="s">
        <v>19566</v>
      </c>
      <c r="AE1040" t="s">
        <v>19582</v>
      </c>
      <c r="AF1040">
        <v>12</v>
      </c>
      <c r="AG1040">
        <v>3</v>
      </c>
      <c r="AH1040">
        <v>3</v>
      </c>
      <c r="AI1040">
        <v>42.19</v>
      </c>
      <c r="AL1040" t="s">
        <v>19615</v>
      </c>
      <c r="AM1040">
        <v>14592</v>
      </c>
      <c r="AS1040">
        <v>12.75</v>
      </c>
      <c r="AT1040" t="s">
        <v>415</v>
      </c>
      <c r="AU1040" t="s">
        <v>163</v>
      </c>
      <c r="AV1040" t="s">
        <v>20733</v>
      </c>
    </row>
    <row r="1041" spans="1:48">
      <c r="A1041" s="1">
        <f>HYPERLINK("https://lsnyc.legalserver.org/matter/dynamic-profile/view/1850022","17-1850022")</f>
        <v>0</v>
      </c>
      <c r="B1041" t="s">
        <v>93</v>
      </c>
      <c r="C1041" t="s">
        <v>256</v>
      </c>
      <c r="D1041" t="s">
        <v>705</v>
      </c>
      <c r="F1041" t="s">
        <v>1271</v>
      </c>
      <c r="G1041" t="s">
        <v>3463</v>
      </c>
      <c r="H1041" t="s">
        <v>5809</v>
      </c>
      <c r="I1041" t="s">
        <v>8133</v>
      </c>
      <c r="J1041" t="s">
        <v>9059</v>
      </c>
      <c r="K1041">
        <v>11212</v>
      </c>
      <c r="L1041" t="s">
        <v>9094</v>
      </c>
      <c r="M1041" t="s">
        <v>9095</v>
      </c>
      <c r="O1041" t="s">
        <v>11128</v>
      </c>
      <c r="P1041" t="s">
        <v>11165</v>
      </c>
      <c r="R1041" t="s">
        <v>11180</v>
      </c>
      <c r="T1041" t="s">
        <v>11183</v>
      </c>
      <c r="V1041" t="s">
        <v>705</v>
      </c>
      <c r="W1041">
        <v>1180.14</v>
      </c>
      <c r="X1041" t="s">
        <v>11332</v>
      </c>
      <c r="Y1041" t="s">
        <v>11340</v>
      </c>
      <c r="Z1041" t="s">
        <v>11507</v>
      </c>
      <c r="AB1041" t="s">
        <v>16007</v>
      </c>
      <c r="AC1041">
        <v>32</v>
      </c>
      <c r="AD1041" t="s">
        <v>19566</v>
      </c>
      <c r="AF1041">
        <v>16</v>
      </c>
      <c r="AG1041">
        <v>1</v>
      </c>
      <c r="AH1041">
        <v>0</v>
      </c>
      <c r="AI1041">
        <v>42.26</v>
      </c>
      <c r="AL1041" t="s">
        <v>19614</v>
      </c>
      <c r="AM1041">
        <v>5096</v>
      </c>
      <c r="AN1041" t="s">
        <v>19673</v>
      </c>
      <c r="AS1041">
        <v>56.2</v>
      </c>
      <c r="AT1041" t="s">
        <v>313</v>
      </c>
      <c r="AU1041" t="s">
        <v>95</v>
      </c>
    </row>
    <row r="1042" spans="1:48">
      <c r="A1042" s="1">
        <f>HYPERLINK("https://lsnyc.legalserver.org/matter/dynamic-profile/view/1886881","19-1886881")</f>
        <v>0</v>
      </c>
      <c r="B1042" t="s">
        <v>113</v>
      </c>
      <c r="C1042" t="s">
        <v>256</v>
      </c>
      <c r="D1042" t="s">
        <v>611</v>
      </c>
      <c r="F1042" t="s">
        <v>1450</v>
      </c>
      <c r="G1042" t="s">
        <v>3720</v>
      </c>
      <c r="H1042" t="s">
        <v>6311</v>
      </c>
      <c r="I1042" t="s">
        <v>8149</v>
      </c>
      <c r="J1042" t="s">
        <v>9065</v>
      </c>
      <c r="K1042">
        <v>10452</v>
      </c>
      <c r="L1042" t="s">
        <v>9094</v>
      </c>
      <c r="M1042" t="s">
        <v>9095</v>
      </c>
      <c r="N1042" t="s">
        <v>9589</v>
      </c>
      <c r="O1042" t="s">
        <v>11129</v>
      </c>
      <c r="P1042" t="s">
        <v>11165</v>
      </c>
      <c r="R1042" t="s">
        <v>11180</v>
      </c>
      <c r="S1042" t="s">
        <v>9096</v>
      </c>
      <c r="T1042" t="s">
        <v>11183</v>
      </c>
      <c r="V1042" t="s">
        <v>11218</v>
      </c>
      <c r="W1042">
        <v>811.34</v>
      </c>
      <c r="X1042" t="s">
        <v>11333</v>
      </c>
      <c r="Y1042" t="s">
        <v>11346</v>
      </c>
      <c r="Z1042" t="s">
        <v>12091</v>
      </c>
      <c r="AC1042">
        <v>33</v>
      </c>
      <c r="AD1042" t="s">
        <v>19566</v>
      </c>
      <c r="AE1042" t="s">
        <v>11157</v>
      </c>
      <c r="AF1042">
        <v>0</v>
      </c>
      <c r="AG1042">
        <v>1</v>
      </c>
      <c r="AH1042">
        <v>2</v>
      </c>
      <c r="AI1042">
        <v>42.33</v>
      </c>
      <c r="AL1042" t="s">
        <v>19615</v>
      </c>
      <c r="AM1042">
        <v>8796</v>
      </c>
      <c r="AS1042">
        <v>1.65</v>
      </c>
      <c r="AT1042" t="s">
        <v>507</v>
      </c>
      <c r="AU1042" t="s">
        <v>178</v>
      </c>
      <c r="AV1042" t="s">
        <v>20733</v>
      </c>
    </row>
    <row r="1043" spans="1:48">
      <c r="A1043" s="1">
        <f>HYPERLINK("https://lsnyc.legalserver.org/matter/dynamic-profile/view/1898843","19-1898843")</f>
        <v>0</v>
      </c>
      <c r="B1043" t="s">
        <v>134</v>
      </c>
      <c r="C1043" t="s">
        <v>256</v>
      </c>
      <c r="D1043" t="s">
        <v>337</v>
      </c>
      <c r="F1043" t="s">
        <v>1404</v>
      </c>
      <c r="G1043" t="s">
        <v>3906</v>
      </c>
      <c r="H1043" t="s">
        <v>6322</v>
      </c>
      <c r="I1043" t="s">
        <v>8216</v>
      </c>
      <c r="J1043" t="s">
        <v>9067</v>
      </c>
      <c r="K1043">
        <v>10033</v>
      </c>
      <c r="L1043" t="s">
        <v>9094</v>
      </c>
      <c r="M1043" t="s">
        <v>9094</v>
      </c>
      <c r="N1043" t="s">
        <v>9590</v>
      </c>
      <c r="O1043" t="s">
        <v>11128</v>
      </c>
      <c r="P1043" t="s">
        <v>11165</v>
      </c>
      <c r="R1043" t="s">
        <v>11180</v>
      </c>
      <c r="S1043" t="s">
        <v>9096</v>
      </c>
      <c r="T1043" t="s">
        <v>11183</v>
      </c>
      <c r="V1043" t="s">
        <v>337</v>
      </c>
      <c r="W1043">
        <v>740</v>
      </c>
      <c r="X1043" t="s">
        <v>11335</v>
      </c>
      <c r="Y1043" t="s">
        <v>11338</v>
      </c>
      <c r="Z1043" t="s">
        <v>12107</v>
      </c>
      <c r="AB1043" t="s">
        <v>16546</v>
      </c>
      <c r="AC1043">
        <v>29</v>
      </c>
      <c r="AD1043" t="s">
        <v>19566</v>
      </c>
      <c r="AE1043" t="s">
        <v>9144</v>
      </c>
      <c r="AF1043">
        <v>24</v>
      </c>
      <c r="AG1043">
        <v>3</v>
      </c>
      <c r="AH1043">
        <v>0</v>
      </c>
      <c r="AI1043">
        <v>42.42</v>
      </c>
      <c r="AL1043" t="s">
        <v>19615</v>
      </c>
      <c r="AM1043">
        <v>9048</v>
      </c>
      <c r="AS1043">
        <v>60.2</v>
      </c>
      <c r="AT1043" t="s">
        <v>270</v>
      </c>
      <c r="AU1043" t="s">
        <v>130</v>
      </c>
      <c r="AV1043" t="s">
        <v>20733</v>
      </c>
    </row>
    <row r="1044" spans="1:48">
      <c r="A1044" s="1">
        <f>HYPERLINK("https://lsnyc.legalserver.org/matter/dynamic-profile/view/1898251","19-1898251")</f>
        <v>0</v>
      </c>
      <c r="B1044" t="s">
        <v>70</v>
      </c>
      <c r="C1044" t="s">
        <v>256</v>
      </c>
      <c r="D1044" t="s">
        <v>596</v>
      </c>
      <c r="F1044" t="s">
        <v>1725</v>
      </c>
      <c r="G1044" t="s">
        <v>3427</v>
      </c>
      <c r="H1044" t="s">
        <v>5750</v>
      </c>
      <c r="I1044" t="s">
        <v>8204</v>
      </c>
      <c r="J1044" t="s">
        <v>9059</v>
      </c>
      <c r="K1044">
        <v>11233</v>
      </c>
      <c r="L1044" t="s">
        <v>9094</v>
      </c>
      <c r="M1044" t="s">
        <v>9096</v>
      </c>
      <c r="N1044" t="s">
        <v>9145</v>
      </c>
      <c r="O1044" t="s">
        <v>11134</v>
      </c>
      <c r="P1044" t="s">
        <v>11168</v>
      </c>
      <c r="R1044" t="s">
        <v>11180</v>
      </c>
      <c r="S1044" t="s">
        <v>9094</v>
      </c>
      <c r="T1044" t="s">
        <v>11183</v>
      </c>
      <c r="U1044" t="s">
        <v>11201</v>
      </c>
      <c r="V1044" t="s">
        <v>482</v>
      </c>
      <c r="W1044">
        <v>1000</v>
      </c>
      <c r="X1044" t="s">
        <v>11332</v>
      </c>
      <c r="Y1044" t="s">
        <v>11157</v>
      </c>
      <c r="Z1044" t="s">
        <v>12108</v>
      </c>
      <c r="AC1044">
        <v>359</v>
      </c>
      <c r="AD1044" t="s">
        <v>19566</v>
      </c>
      <c r="AF1044">
        <v>25</v>
      </c>
      <c r="AG1044">
        <v>2</v>
      </c>
      <c r="AH1044">
        <v>0</v>
      </c>
      <c r="AI1044">
        <v>42.58</v>
      </c>
      <c r="AL1044" t="s">
        <v>19614</v>
      </c>
      <c r="AM1044">
        <v>7200</v>
      </c>
      <c r="AN1044" t="s">
        <v>19642</v>
      </c>
      <c r="AS1044">
        <v>0</v>
      </c>
      <c r="AU1044" t="s">
        <v>79</v>
      </c>
    </row>
    <row r="1045" spans="1:48">
      <c r="A1045" s="1">
        <f>HYPERLINK("https://lsnyc.legalserver.org/matter/dynamic-profile/view/1898252","19-1898252")</f>
        <v>0</v>
      </c>
      <c r="B1045" t="s">
        <v>70</v>
      </c>
      <c r="C1045" t="s">
        <v>256</v>
      </c>
      <c r="D1045" t="s">
        <v>596</v>
      </c>
      <c r="F1045" t="s">
        <v>1725</v>
      </c>
      <c r="G1045" t="s">
        <v>3427</v>
      </c>
      <c r="H1045" t="s">
        <v>5750</v>
      </c>
      <c r="I1045" t="s">
        <v>8204</v>
      </c>
      <c r="J1045" t="s">
        <v>9059</v>
      </c>
      <c r="K1045">
        <v>11233</v>
      </c>
      <c r="L1045" t="s">
        <v>9094</v>
      </c>
      <c r="M1045" t="s">
        <v>9096</v>
      </c>
      <c r="O1045" t="s">
        <v>11137</v>
      </c>
      <c r="P1045" t="s">
        <v>11167</v>
      </c>
      <c r="R1045" t="s">
        <v>11180</v>
      </c>
      <c r="S1045" t="s">
        <v>9094</v>
      </c>
      <c r="T1045" t="s">
        <v>11183</v>
      </c>
      <c r="U1045" t="s">
        <v>11201</v>
      </c>
      <c r="V1045" t="s">
        <v>749</v>
      </c>
      <c r="W1045">
        <v>1000</v>
      </c>
      <c r="X1045" t="s">
        <v>11332</v>
      </c>
      <c r="Y1045" t="s">
        <v>11157</v>
      </c>
      <c r="Z1045" t="s">
        <v>12108</v>
      </c>
      <c r="AC1045">
        <v>359</v>
      </c>
      <c r="AD1045" t="s">
        <v>19566</v>
      </c>
      <c r="AF1045">
        <v>25</v>
      </c>
      <c r="AG1045">
        <v>2</v>
      </c>
      <c r="AH1045">
        <v>0</v>
      </c>
      <c r="AI1045">
        <v>42.58</v>
      </c>
      <c r="AL1045" t="s">
        <v>19614</v>
      </c>
      <c r="AM1045">
        <v>7200</v>
      </c>
      <c r="AN1045" t="s">
        <v>19756</v>
      </c>
      <c r="AS1045">
        <v>0</v>
      </c>
      <c r="AU1045" t="s">
        <v>79</v>
      </c>
    </row>
    <row r="1046" spans="1:48">
      <c r="A1046" s="1">
        <f>HYPERLINK("https://lsnyc.legalserver.org/matter/dynamic-profile/view/1885657","18-1885657")</f>
        <v>0</v>
      </c>
      <c r="B1046" t="s">
        <v>52</v>
      </c>
      <c r="C1046" t="s">
        <v>257</v>
      </c>
      <c r="D1046" t="s">
        <v>634</v>
      </c>
      <c r="E1046" t="s">
        <v>1129</v>
      </c>
      <c r="F1046" t="s">
        <v>1726</v>
      </c>
      <c r="G1046" t="s">
        <v>3374</v>
      </c>
      <c r="H1046" t="s">
        <v>6323</v>
      </c>
      <c r="I1046" t="s">
        <v>8151</v>
      </c>
      <c r="J1046" t="s">
        <v>9062</v>
      </c>
      <c r="K1046">
        <v>11104</v>
      </c>
      <c r="L1046" t="s">
        <v>9094</v>
      </c>
      <c r="M1046" t="s">
        <v>9094</v>
      </c>
      <c r="N1046" t="s">
        <v>9591</v>
      </c>
      <c r="O1046" t="s">
        <v>11129</v>
      </c>
      <c r="P1046" t="s">
        <v>11167</v>
      </c>
      <c r="Q1046" t="s">
        <v>11173</v>
      </c>
      <c r="R1046" t="s">
        <v>11180</v>
      </c>
      <c r="S1046" t="s">
        <v>9096</v>
      </c>
      <c r="T1046" t="s">
        <v>11183</v>
      </c>
      <c r="U1046" t="s">
        <v>11201</v>
      </c>
      <c r="V1046" t="s">
        <v>634</v>
      </c>
      <c r="W1046">
        <v>1308.56</v>
      </c>
      <c r="X1046" t="s">
        <v>11331</v>
      </c>
      <c r="Y1046" t="s">
        <v>11336</v>
      </c>
      <c r="Z1046" t="s">
        <v>12109</v>
      </c>
      <c r="AA1046" t="s">
        <v>15483</v>
      </c>
      <c r="AB1046" t="s">
        <v>16547</v>
      </c>
      <c r="AC1046">
        <v>8</v>
      </c>
      <c r="AD1046" t="s">
        <v>19566</v>
      </c>
      <c r="AE1046" t="s">
        <v>9144</v>
      </c>
      <c r="AF1046">
        <v>35</v>
      </c>
      <c r="AG1046">
        <v>2</v>
      </c>
      <c r="AH1046">
        <v>0</v>
      </c>
      <c r="AI1046">
        <v>42.58</v>
      </c>
      <c r="AL1046" t="s">
        <v>19614</v>
      </c>
      <c r="AM1046">
        <v>7008</v>
      </c>
      <c r="AO1046" t="s">
        <v>20290</v>
      </c>
      <c r="AP1046" t="s">
        <v>11157</v>
      </c>
      <c r="AQ1046" t="s">
        <v>20370</v>
      </c>
      <c r="AR1046" t="s">
        <v>20438</v>
      </c>
      <c r="AS1046">
        <v>9.199999999999999</v>
      </c>
      <c r="AT1046" t="s">
        <v>1129</v>
      </c>
      <c r="AU1046" t="s">
        <v>49</v>
      </c>
    </row>
    <row r="1047" spans="1:48">
      <c r="A1047" s="1">
        <f>HYPERLINK("https://lsnyc.legalserver.org/matter/dynamic-profile/view/1914685","19-1914685")</f>
        <v>0</v>
      </c>
      <c r="B1047" t="s">
        <v>117</v>
      </c>
      <c r="C1047" t="s">
        <v>256</v>
      </c>
      <c r="D1047" t="s">
        <v>301</v>
      </c>
      <c r="F1047" t="s">
        <v>1636</v>
      </c>
      <c r="G1047" t="s">
        <v>3448</v>
      </c>
      <c r="H1047" t="s">
        <v>6324</v>
      </c>
      <c r="I1047" t="s">
        <v>8164</v>
      </c>
      <c r="J1047" t="s">
        <v>9065</v>
      </c>
      <c r="K1047">
        <v>10471</v>
      </c>
      <c r="L1047" t="s">
        <v>9094</v>
      </c>
      <c r="M1047" t="s">
        <v>9095</v>
      </c>
      <c r="P1047" t="s">
        <v>11164</v>
      </c>
      <c r="R1047" t="s">
        <v>11180</v>
      </c>
      <c r="S1047" t="s">
        <v>9096</v>
      </c>
      <c r="T1047" t="s">
        <v>11183</v>
      </c>
      <c r="W1047">
        <v>987</v>
      </c>
      <c r="X1047" t="s">
        <v>11333</v>
      </c>
      <c r="Y1047" t="s">
        <v>11346</v>
      </c>
      <c r="Z1047" t="s">
        <v>11953</v>
      </c>
      <c r="AA1047" t="s">
        <v>15484</v>
      </c>
      <c r="AB1047" t="s">
        <v>16407</v>
      </c>
      <c r="AC1047">
        <v>0</v>
      </c>
      <c r="AE1047" t="s">
        <v>19580</v>
      </c>
      <c r="AF1047">
        <v>4</v>
      </c>
      <c r="AG1047">
        <v>1</v>
      </c>
      <c r="AH1047">
        <v>1</v>
      </c>
      <c r="AI1047">
        <v>42.58</v>
      </c>
      <c r="AL1047" t="s">
        <v>19614</v>
      </c>
      <c r="AM1047">
        <v>7200</v>
      </c>
      <c r="AS1047">
        <v>0</v>
      </c>
      <c r="AU1047" t="s">
        <v>163</v>
      </c>
      <c r="AV1047" t="s">
        <v>20733</v>
      </c>
    </row>
    <row r="1048" spans="1:48">
      <c r="A1048" s="1">
        <f>HYPERLINK("https://lsnyc.legalserver.org/matter/dynamic-profile/view/1897698","19-1897698")</f>
        <v>0</v>
      </c>
      <c r="B1048" t="s">
        <v>126</v>
      </c>
      <c r="C1048" t="s">
        <v>257</v>
      </c>
      <c r="D1048" t="s">
        <v>470</v>
      </c>
      <c r="E1048" t="s">
        <v>457</v>
      </c>
      <c r="F1048" t="s">
        <v>1210</v>
      </c>
      <c r="G1048" t="s">
        <v>3588</v>
      </c>
      <c r="H1048" t="s">
        <v>6325</v>
      </c>
      <c r="J1048" t="s">
        <v>9066</v>
      </c>
      <c r="K1048">
        <v>10305</v>
      </c>
      <c r="L1048" t="s">
        <v>9094</v>
      </c>
      <c r="M1048" t="s">
        <v>9095</v>
      </c>
      <c r="N1048" t="s">
        <v>9592</v>
      </c>
      <c r="O1048" t="s">
        <v>11128</v>
      </c>
      <c r="P1048" t="s">
        <v>11164</v>
      </c>
      <c r="Q1048" t="s">
        <v>11172</v>
      </c>
      <c r="R1048" t="s">
        <v>11180</v>
      </c>
      <c r="S1048" t="s">
        <v>9096</v>
      </c>
      <c r="T1048" t="s">
        <v>11183</v>
      </c>
      <c r="U1048" t="s">
        <v>11201</v>
      </c>
      <c r="W1048">
        <v>0</v>
      </c>
      <c r="X1048" t="s">
        <v>11334</v>
      </c>
      <c r="Y1048" t="s">
        <v>11345</v>
      </c>
      <c r="Z1048" t="s">
        <v>12110</v>
      </c>
      <c r="AB1048" t="s">
        <v>16548</v>
      </c>
      <c r="AC1048">
        <v>3</v>
      </c>
      <c r="AD1048" t="s">
        <v>19565</v>
      </c>
      <c r="AE1048" t="s">
        <v>9144</v>
      </c>
      <c r="AF1048">
        <v>1</v>
      </c>
      <c r="AG1048">
        <v>2</v>
      </c>
      <c r="AH1048">
        <v>0</v>
      </c>
      <c r="AI1048">
        <v>42.58</v>
      </c>
      <c r="AL1048" t="s">
        <v>19614</v>
      </c>
      <c r="AM1048">
        <v>7200</v>
      </c>
      <c r="AP1048" t="s">
        <v>11157</v>
      </c>
      <c r="AQ1048" t="s">
        <v>20368</v>
      </c>
      <c r="AS1048">
        <v>3</v>
      </c>
      <c r="AT1048" t="s">
        <v>457</v>
      </c>
      <c r="AU1048" t="s">
        <v>20653</v>
      </c>
      <c r="AV1048" t="s">
        <v>20733</v>
      </c>
    </row>
    <row r="1049" spans="1:48">
      <c r="A1049" s="1">
        <f>HYPERLINK("https://lsnyc.legalserver.org/matter/dynamic-profile/view/1903703","19-1903703")</f>
        <v>0</v>
      </c>
      <c r="B1049" t="s">
        <v>179</v>
      </c>
      <c r="C1049" t="s">
        <v>257</v>
      </c>
      <c r="D1049" t="s">
        <v>706</v>
      </c>
      <c r="E1049" t="s">
        <v>615</v>
      </c>
      <c r="F1049" t="s">
        <v>1727</v>
      </c>
      <c r="G1049" t="s">
        <v>3736</v>
      </c>
      <c r="H1049" t="s">
        <v>6326</v>
      </c>
      <c r="I1049" t="s">
        <v>8264</v>
      </c>
      <c r="J1049" t="s">
        <v>9067</v>
      </c>
      <c r="K1049">
        <v>10035</v>
      </c>
      <c r="L1049" t="s">
        <v>9094</v>
      </c>
      <c r="M1049" t="s">
        <v>9095</v>
      </c>
      <c r="O1049" t="s">
        <v>11131</v>
      </c>
      <c r="P1049" t="s">
        <v>11166</v>
      </c>
      <c r="Q1049" t="s">
        <v>11176</v>
      </c>
      <c r="R1049" t="s">
        <v>11180</v>
      </c>
      <c r="S1049" t="s">
        <v>9096</v>
      </c>
      <c r="T1049" t="s">
        <v>11191</v>
      </c>
      <c r="U1049" t="s">
        <v>11201</v>
      </c>
      <c r="V1049" t="s">
        <v>280</v>
      </c>
      <c r="W1049">
        <v>115.2</v>
      </c>
      <c r="X1049" t="s">
        <v>11335</v>
      </c>
      <c r="Y1049" t="s">
        <v>11347</v>
      </c>
      <c r="Z1049" t="s">
        <v>12111</v>
      </c>
      <c r="AB1049" t="s">
        <v>16549</v>
      </c>
      <c r="AC1049">
        <v>72</v>
      </c>
      <c r="AD1049" t="s">
        <v>19567</v>
      </c>
      <c r="AE1049" t="s">
        <v>19580</v>
      </c>
      <c r="AF1049">
        <v>22</v>
      </c>
      <c r="AG1049">
        <v>2</v>
      </c>
      <c r="AH1049">
        <v>0</v>
      </c>
      <c r="AI1049">
        <v>42.58</v>
      </c>
      <c r="AL1049" t="s">
        <v>19615</v>
      </c>
      <c r="AM1049">
        <v>7200</v>
      </c>
      <c r="AS1049">
        <v>10.75</v>
      </c>
      <c r="AT1049" t="s">
        <v>736</v>
      </c>
      <c r="AU1049" t="s">
        <v>20657</v>
      </c>
      <c r="AV1049" t="s">
        <v>20733</v>
      </c>
    </row>
    <row r="1050" spans="1:48">
      <c r="A1050" s="1">
        <f>HYPERLINK("https://lsnyc.legalserver.org/matter/dynamic-profile/view/1880580","18-1880580")</f>
        <v>0</v>
      </c>
      <c r="B1050" t="s">
        <v>114</v>
      </c>
      <c r="C1050" t="s">
        <v>256</v>
      </c>
      <c r="D1050" t="s">
        <v>477</v>
      </c>
      <c r="F1050" t="s">
        <v>1728</v>
      </c>
      <c r="G1050" t="s">
        <v>3419</v>
      </c>
      <c r="H1050" t="s">
        <v>6276</v>
      </c>
      <c r="I1050">
        <v>4</v>
      </c>
      <c r="J1050" t="s">
        <v>9065</v>
      </c>
      <c r="K1050">
        <v>10453</v>
      </c>
      <c r="L1050" t="s">
        <v>9094</v>
      </c>
      <c r="M1050" t="s">
        <v>9094</v>
      </c>
      <c r="N1050" t="s">
        <v>9593</v>
      </c>
      <c r="O1050" t="s">
        <v>11129</v>
      </c>
      <c r="P1050" t="s">
        <v>11165</v>
      </c>
      <c r="R1050" t="s">
        <v>11180</v>
      </c>
      <c r="T1050" t="s">
        <v>11183</v>
      </c>
      <c r="V1050" t="s">
        <v>358</v>
      </c>
      <c r="W1050">
        <v>1351.5</v>
      </c>
      <c r="X1050" t="s">
        <v>11333</v>
      </c>
      <c r="Y1050" t="s">
        <v>11345</v>
      </c>
      <c r="Z1050" t="s">
        <v>12112</v>
      </c>
      <c r="AA1050" t="s">
        <v>15485</v>
      </c>
      <c r="AB1050" t="s">
        <v>16550</v>
      </c>
      <c r="AC1050">
        <v>30</v>
      </c>
      <c r="AD1050" t="s">
        <v>15441</v>
      </c>
      <c r="AE1050" t="s">
        <v>9144</v>
      </c>
      <c r="AF1050">
        <v>2</v>
      </c>
      <c r="AG1050">
        <v>2</v>
      </c>
      <c r="AH1050">
        <v>3</v>
      </c>
      <c r="AI1050">
        <v>42.6</v>
      </c>
      <c r="AL1050" t="s">
        <v>19615</v>
      </c>
      <c r="AM1050">
        <v>12532</v>
      </c>
      <c r="AS1050">
        <v>16.2</v>
      </c>
      <c r="AT1050" t="s">
        <v>270</v>
      </c>
      <c r="AU1050" t="s">
        <v>20619</v>
      </c>
    </row>
    <row r="1051" spans="1:48">
      <c r="A1051" s="1">
        <f>HYPERLINK("https://lsnyc.legalserver.org/matter/dynamic-profile/view/1870597","18-1870597")</f>
        <v>0</v>
      </c>
      <c r="B1051" t="s">
        <v>180</v>
      </c>
      <c r="C1051" t="s">
        <v>256</v>
      </c>
      <c r="D1051" t="s">
        <v>707</v>
      </c>
      <c r="F1051" t="s">
        <v>1729</v>
      </c>
      <c r="G1051" t="s">
        <v>3833</v>
      </c>
      <c r="H1051" t="s">
        <v>6327</v>
      </c>
      <c r="I1051" t="s">
        <v>8117</v>
      </c>
      <c r="J1051" t="s">
        <v>9059</v>
      </c>
      <c r="K1051">
        <v>11233</v>
      </c>
      <c r="L1051" t="s">
        <v>9094</v>
      </c>
      <c r="M1051" t="s">
        <v>9095</v>
      </c>
      <c r="N1051" t="s">
        <v>9594</v>
      </c>
      <c r="O1051" t="s">
        <v>11128</v>
      </c>
      <c r="P1051" t="s">
        <v>11165</v>
      </c>
      <c r="R1051" t="s">
        <v>11180</v>
      </c>
      <c r="S1051" t="s">
        <v>9096</v>
      </c>
      <c r="T1051" t="s">
        <v>11183</v>
      </c>
      <c r="V1051" t="s">
        <v>707</v>
      </c>
      <c r="W1051">
        <v>0</v>
      </c>
      <c r="X1051" t="s">
        <v>11332</v>
      </c>
      <c r="Y1051" t="s">
        <v>11340</v>
      </c>
      <c r="Z1051" t="s">
        <v>12113</v>
      </c>
      <c r="AB1051" t="s">
        <v>16551</v>
      </c>
      <c r="AC1051">
        <v>0</v>
      </c>
      <c r="AE1051" t="s">
        <v>19581</v>
      </c>
      <c r="AF1051">
        <v>0</v>
      </c>
      <c r="AG1051">
        <v>3</v>
      </c>
      <c r="AH1051">
        <v>1</v>
      </c>
      <c r="AI1051">
        <v>42.62</v>
      </c>
      <c r="AL1051" t="s">
        <v>19614</v>
      </c>
      <c r="AM1051">
        <v>10698.84</v>
      </c>
      <c r="AS1051">
        <v>50.5</v>
      </c>
      <c r="AT1051" t="s">
        <v>663</v>
      </c>
      <c r="AU1051" t="s">
        <v>248</v>
      </c>
    </row>
    <row r="1052" spans="1:48">
      <c r="A1052" s="1">
        <f>HYPERLINK("https://lsnyc.legalserver.org/matter/dynamic-profile/view/1896412","19-1896412")</f>
        <v>0</v>
      </c>
      <c r="B1052" t="s">
        <v>126</v>
      </c>
      <c r="C1052" t="s">
        <v>256</v>
      </c>
      <c r="D1052" t="s">
        <v>384</v>
      </c>
      <c r="F1052" t="s">
        <v>1245</v>
      </c>
      <c r="G1052" t="s">
        <v>3907</v>
      </c>
      <c r="H1052" t="s">
        <v>6328</v>
      </c>
      <c r="I1052">
        <v>3</v>
      </c>
      <c r="J1052" t="s">
        <v>9066</v>
      </c>
      <c r="K1052">
        <v>10301</v>
      </c>
      <c r="L1052" t="s">
        <v>9094</v>
      </c>
      <c r="M1052" t="s">
        <v>9094</v>
      </c>
      <c r="N1052" t="s">
        <v>9595</v>
      </c>
      <c r="O1052" t="s">
        <v>11128</v>
      </c>
      <c r="P1052" t="s">
        <v>11165</v>
      </c>
      <c r="R1052" t="s">
        <v>11180</v>
      </c>
      <c r="S1052" t="s">
        <v>9096</v>
      </c>
      <c r="T1052" t="s">
        <v>11183</v>
      </c>
      <c r="U1052" t="s">
        <v>11201</v>
      </c>
      <c r="V1052" t="s">
        <v>384</v>
      </c>
      <c r="W1052">
        <v>1550</v>
      </c>
      <c r="X1052" t="s">
        <v>11334</v>
      </c>
      <c r="Y1052" t="s">
        <v>11340</v>
      </c>
      <c r="Z1052" t="s">
        <v>12114</v>
      </c>
      <c r="AB1052" t="s">
        <v>16552</v>
      </c>
      <c r="AC1052">
        <v>2</v>
      </c>
      <c r="AD1052" t="s">
        <v>19565</v>
      </c>
      <c r="AE1052" t="s">
        <v>19581</v>
      </c>
      <c r="AF1052">
        <v>3</v>
      </c>
      <c r="AG1052">
        <v>1</v>
      </c>
      <c r="AH1052">
        <v>2</v>
      </c>
      <c r="AI1052">
        <v>42.64</v>
      </c>
      <c r="AL1052" t="s">
        <v>19614</v>
      </c>
      <c r="AM1052">
        <v>9096</v>
      </c>
      <c r="AO1052" t="s">
        <v>20290</v>
      </c>
      <c r="AP1052" t="s">
        <v>11157</v>
      </c>
      <c r="AS1052">
        <v>21.2</v>
      </c>
      <c r="AT1052" t="s">
        <v>292</v>
      </c>
      <c r="AU1052" t="s">
        <v>20653</v>
      </c>
      <c r="AV1052" t="s">
        <v>20734</v>
      </c>
    </row>
    <row r="1053" spans="1:48">
      <c r="A1053" s="1">
        <f>HYPERLINK("https://lsnyc.legalserver.org/matter/dynamic-profile/view/1868346","18-1868346")</f>
        <v>0</v>
      </c>
      <c r="B1053" t="s">
        <v>111</v>
      </c>
      <c r="C1053" t="s">
        <v>256</v>
      </c>
      <c r="D1053" t="s">
        <v>708</v>
      </c>
      <c r="F1053" t="s">
        <v>1212</v>
      </c>
      <c r="G1053" t="s">
        <v>3908</v>
      </c>
      <c r="H1053" t="s">
        <v>6104</v>
      </c>
      <c r="I1053" t="s">
        <v>8137</v>
      </c>
      <c r="J1053" t="s">
        <v>9065</v>
      </c>
      <c r="K1053">
        <v>10452</v>
      </c>
      <c r="L1053" t="s">
        <v>9094</v>
      </c>
      <c r="M1053" t="s">
        <v>9095</v>
      </c>
      <c r="N1053" t="s">
        <v>9407</v>
      </c>
      <c r="O1053" t="s">
        <v>11135</v>
      </c>
      <c r="P1053" t="s">
        <v>11168</v>
      </c>
      <c r="R1053" t="s">
        <v>11180</v>
      </c>
      <c r="S1053" t="s">
        <v>9094</v>
      </c>
      <c r="T1053" t="s">
        <v>11183</v>
      </c>
      <c r="V1053" t="s">
        <v>638</v>
      </c>
      <c r="W1053">
        <v>668.39</v>
      </c>
      <c r="X1053" t="s">
        <v>11333</v>
      </c>
      <c r="Y1053" t="s">
        <v>11340</v>
      </c>
      <c r="Z1053" t="s">
        <v>12115</v>
      </c>
      <c r="AB1053" t="s">
        <v>16553</v>
      </c>
      <c r="AC1053">
        <v>70</v>
      </c>
      <c r="AD1053" t="s">
        <v>19566</v>
      </c>
      <c r="AE1053" t="s">
        <v>9144</v>
      </c>
      <c r="AF1053">
        <v>38</v>
      </c>
      <c r="AG1053">
        <v>2</v>
      </c>
      <c r="AH1053">
        <v>0</v>
      </c>
      <c r="AI1053">
        <v>42.65</v>
      </c>
      <c r="AL1053" t="s">
        <v>19614</v>
      </c>
      <c r="AM1053">
        <v>7020</v>
      </c>
      <c r="AN1053" t="s">
        <v>19757</v>
      </c>
      <c r="AS1053">
        <v>17.6</v>
      </c>
      <c r="AT1053" t="s">
        <v>585</v>
      </c>
      <c r="AU1053" t="s">
        <v>20642</v>
      </c>
    </row>
    <row r="1054" spans="1:48">
      <c r="A1054" s="1">
        <f>HYPERLINK("https://lsnyc.legalserver.org/matter/dynamic-profile/view/1872189","18-1872189")</f>
        <v>0</v>
      </c>
      <c r="B1054" t="s">
        <v>111</v>
      </c>
      <c r="C1054" t="s">
        <v>256</v>
      </c>
      <c r="D1054" t="s">
        <v>675</v>
      </c>
      <c r="F1054" t="s">
        <v>1212</v>
      </c>
      <c r="G1054" t="s">
        <v>3908</v>
      </c>
      <c r="H1054" t="s">
        <v>6104</v>
      </c>
      <c r="I1054" t="s">
        <v>8137</v>
      </c>
      <c r="J1054" t="s">
        <v>9065</v>
      </c>
      <c r="K1054">
        <v>10452</v>
      </c>
      <c r="L1054" t="s">
        <v>9094</v>
      </c>
      <c r="M1054" t="s">
        <v>9095</v>
      </c>
      <c r="O1054" t="s">
        <v>11135</v>
      </c>
      <c r="P1054" t="s">
        <v>11168</v>
      </c>
      <c r="R1054" t="s">
        <v>11180</v>
      </c>
      <c r="S1054" t="s">
        <v>9094</v>
      </c>
      <c r="T1054" t="s">
        <v>11183</v>
      </c>
      <c r="V1054" t="s">
        <v>675</v>
      </c>
      <c r="W1054">
        <v>668.39</v>
      </c>
      <c r="X1054" t="s">
        <v>11333</v>
      </c>
      <c r="Y1054" t="s">
        <v>11340</v>
      </c>
      <c r="Z1054" t="s">
        <v>12115</v>
      </c>
      <c r="AB1054" t="s">
        <v>16553</v>
      </c>
      <c r="AC1054">
        <v>70</v>
      </c>
      <c r="AF1054">
        <v>38</v>
      </c>
      <c r="AG1054">
        <v>2</v>
      </c>
      <c r="AH1054">
        <v>0</v>
      </c>
      <c r="AI1054">
        <v>42.65</v>
      </c>
      <c r="AL1054" t="s">
        <v>19614</v>
      </c>
      <c r="AM1054">
        <v>7020</v>
      </c>
      <c r="AN1054" t="s">
        <v>19758</v>
      </c>
      <c r="AS1054">
        <v>0</v>
      </c>
      <c r="AU1054" t="s">
        <v>20642</v>
      </c>
    </row>
    <row r="1055" spans="1:48">
      <c r="A1055" s="1">
        <f>HYPERLINK("https://lsnyc.legalserver.org/matter/dynamic-profile/view/1837471","17-1837471")</f>
        <v>0</v>
      </c>
      <c r="B1055" t="s">
        <v>86</v>
      </c>
      <c r="C1055" t="s">
        <v>257</v>
      </c>
      <c r="D1055" t="s">
        <v>709</v>
      </c>
      <c r="E1055" t="s">
        <v>282</v>
      </c>
      <c r="F1055" t="s">
        <v>1197</v>
      </c>
      <c r="G1055" t="s">
        <v>3909</v>
      </c>
      <c r="H1055" t="s">
        <v>6329</v>
      </c>
      <c r="I1055" t="s">
        <v>8117</v>
      </c>
      <c r="J1055" t="s">
        <v>9059</v>
      </c>
      <c r="K1055">
        <v>11209</v>
      </c>
      <c r="L1055" t="s">
        <v>9094</v>
      </c>
      <c r="M1055" t="s">
        <v>9095</v>
      </c>
      <c r="N1055" t="s">
        <v>9596</v>
      </c>
      <c r="O1055" t="s">
        <v>11130</v>
      </c>
      <c r="P1055" t="s">
        <v>11165</v>
      </c>
      <c r="Q1055" t="s">
        <v>11174</v>
      </c>
      <c r="R1055" t="s">
        <v>11180</v>
      </c>
      <c r="T1055" t="s">
        <v>11183</v>
      </c>
      <c r="V1055" t="s">
        <v>11212</v>
      </c>
      <c r="W1055">
        <v>0</v>
      </c>
      <c r="X1055" t="s">
        <v>11332</v>
      </c>
      <c r="Z1055" t="s">
        <v>12116</v>
      </c>
      <c r="AB1055" t="s">
        <v>16554</v>
      </c>
      <c r="AC1055">
        <v>0</v>
      </c>
      <c r="AF1055">
        <v>0</v>
      </c>
      <c r="AG1055">
        <v>1</v>
      </c>
      <c r="AH1055">
        <v>0</v>
      </c>
      <c r="AI1055">
        <v>42.79</v>
      </c>
      <c r="AL1055" t="s">
        <v>19614</v>
      </c>
      <c r="AM1055">
        <v>5160</v>
      </c>
      <c r="AS1055">
        <v>48.65</v>
      </c>
      <c r="AT1055" t="s">
        <v>282</v>
      </c>
      <c r="AU1055" t="s">
        <v>20637</v>
      </c>
      <c r="AV1055" t="s">
        <v>20733</v>
      </c>
    </row>
    <row r="1056" spans="1:48">
      <c r="A1056" s="1">
        <f>HYPERLINK("https://lsnyc.legalserver.org/matter/dynamic-profile/view/0822906","16-0822906")</f>
        <v>0</v>
      </c>
      <c r="B1056" t="s">
        <v>70</v>
      </c>
      <c r="C1056" t="s">
        <v>256</v>
      </c>
      <c r="D1056" t="s">
        <v>710</v>
      </c>
      <c r="F1056" t="s">
        <v>1323</v>
      </c>
      <c r="G1056" t="s">
        <v>3894</v>
      </c>
      <c r="H1056" t="s">
        <v>6312</v>
      </c>
      <c r="I1056" t="s">
        <v>8128</v>
      </c>
      <c r="J1056" t="s">
        <v>9059</v>
      </c>
      <c r="K1056">
        <v>11207</v>
      </c>
      <c r="L1056" t="s">
        <v>9094</v>
      </c>
      <c r="M1056" t="s">
        <v>9095</v>
      </c>
      <c r="N1056" t="s">
        <v>9597</v>
      </c>
      <c r="O1056" t="s">
        <v>11130</v>
      </c>
      <c r="P1056" t="s">
        <v>11165</v>
      </c>
      <c r="R1056" t="s">
        <v>11180</v>
      </c>
      <c r="S1056" t="s">
        <v>9094</v>
      </c>
      <c r="T1056" t="s">
        <v>11183</v>
      </c>
      <c r="V1056" t="s">
        <v>11215</v>
      </c>
      <c r="W1056">
        <v>1200</v>
      </c>
      <c r="X1056" t="s">
        <v>11332</v>
      </c>
      <c r="Y1056" t="s">
        <v>11340</v>
      </c>
      <c r="Z1056" t="s">
        <v>12092</v>
      </c>
      <c r="AA1056" t="s">
        <v>15290</v>
      </c>
      <c r="AC1056">
        <v>6</v>
      </c>
      <c r="AD1056" t="s">
        <v>19566</v>
      </c>
      <c r="AE1056" t="s">
        <v>9144</v>
      </c>
      <c r="AF1056">
        <v>7</v>
      </c>
      <c r="AG1056">
        <v>1</v>
      </c>
      <c r="AH1056">
        <v>3</v>
      </c>
      <c r="AI1056">
        <v>42.8</v>
      </c>
      <c r="AL1056" t="s">
        <v>19614</v>
      </c>
      <c r="AM1056">
        <v>10400</v>
      </c>
      <c r="AS1056">
        <v>1.45</v>
      </c>
      <c r="AT1056" t="s">
        <v>1111</v>
      </c>
      <c r="AU1056" t="s">
        <v>59</v>
      </c>
      <c r="AV1056" t="s">
        <v>20733</v>
      </c>
    </row>
    <row r="1057" spans="1:48">
      <c r="A1057" s="1">
        <f>HYPERLINK("https://lsnyc.legalserver.org/matter/dynamic-profile/view/1881736","18-1881736")</f>
        <v>0</v>
      </c>
      <c r="B1057" t="s">
        <v>73</v>
      </c>
      <c r="C1057" t="s">
        <v>256</v>
      </c>
      <c r="D1057" t="s">
        <v>711</v>
      </c>
      <c r="F1057" t="s">
        <v>1730</v>
      </c>
      <c r="G1057" t="s">
        <v>3416</v>
      </c>
      <c r="H1057" t="s">
        <v>6150</v>
      </c>
      <c r="I1057">
        <v>21</v>
      </c>
      <c r="J1057" t="s">
        <v>9059</v>
      </c>
      <c r="K1057">
        <v>11212</v>
      </c>
      <c r="L1057" t="s">
        <v>9096</v>
      </c>
      <c r="M1057" t="s">
        <v>9096</v>
      </c>
      <c r="N1057" t="s">
        <v>9598</v>
      </c>
      <c r="O1057" t="s">
        <v>11129</v>
      </c>
      <c r="P1057" t="s">
        <v>11165</v>
      </c>
      <c r="R1057" t="s">
        <v>11180</v>
      </c>
      <c r="S1057" t="s">
        <v>9096</v>
      </c>
      <c r="T1057" t="s">
        <v>11183</v>
      </c>
      <c r="U1057" t="s">
        <v>11200</v>
      </c>
      <c r="V1057" t="s">
        <v>493</v>
      </c>
      <c r="W1057">
        <v>1200</v>
      </c>
      <c r="X1057" t="s">
        <v>11332</v>
      </c>
      <c r="Y1057" t="s">
        <v>11350</v>
      </c>
      <c r="Z1057" t="s">
        <v>12117</v>
      </c>
      <c r="AA1057" t="s">
        <v>15486</v>
      </c>
      <c r="AB1057" t="s">
        <v>16555</v>
      </c>
      <c r="AC1057">
        <v>23</v>
      </c>
      <c r="AD1057" t="s">
        <v>19566</v>
      </c>
      <c r="AE1057" t="s">
        <v>19588</v>
      </c>
      <c r="AF1057">
        <v>3</v>
      </c>
      <c r="AG1057">
        <v>1</v>
      </c>
      <c r="AH1057">
        <v>0</v>
      </c>
      <c r="AI1057">
        <v>42.83</v>
      </c>
      <c r="AL1057" t="s">
        <v>19614</v>
      </c>
      <c r="AM1057">
        <v>5200</v>
      </c>
      <c r="AS1057">
        <v>37.4</v>
      </c>
      <c r="AT1057" t="s">
        <v>617</v>
      </c>
      <c r="AU1057" t="s">
        <v>95</v>
      </c>
      <c r="AV1057" t="s">
        <v>20734</v>
      </c>
    </row>
    <row r="1058" spans="1:48">
      <c r="A1058" s="1">
        <f>HYPERLINK("https://lsnyc.legalserver.org/matter/dynamic-profile/view/1890532","19-1890532")</f>
        <v>0</v>
      </c>
      <c r="B1058" t="s">
        <v>70</v>
      </c>
      <c r="C1058" t="s">
        <v>256</v>
      </c>
      <c r="D1058" t="s">
        <v>695</v>
      </c>
      <c r="F1058" t="s">
        <v>1365</v>
      </c>
      <c r="G1058" t="s">
        <v>3910</v>
      </c>
      <c r="H1058" t="s">
        <v>5748</v>
      </c>
      <c r="I1058" t="s">
        <v>8157</v>
      </c>
      <c r="J1058" t="s">
        <v>9059</v>
      </c>
      <c r="K1058">
        <v>11233</v>
      </c>
      <c r="L1058" t="s">
        <v>9094</v>
      </c>
      <c r="M1058" t="s">
        <v>9096</v>
      </c>
      <c r="N1058" t="s">
        <v>9145</v>
      </c>
      <c r="O1058" t="s">
        <v>11134</v>
      </c>
      <c r="P1058" t="s">
        <v>11168</v>
      </c>
      <c r="R1058" t="s">
        <v>11180</v>
      </c>
      <c r="S1058" t="s">
        <v>9094</v>
      </c>
      <c r="T1058" t="s">
        <v>11183</v>
      </c>
      <c r="U1058" t="s">
        <v>11201</v>
      </c>
      <c r="V1058" t="s">
        <v>482</v>
      </c>
      <c r="W1058">
        <v>923</v>
      </c>
      <c r="X1058" t="s">
        <v>11332</v>
      </c>
      <c r="Z1058" t="s">
        <v>12118</v>
      </c>
      <c r="AC1058">
        <v>359</v>
      </c>
      <c r="AD1058" t="s">
        <v>19566</v>
      </c>
      <c r="AE1058" t="s">
        <v>19580</v>
      </c>
      <c r="AF1058">
        <v>0</v>
      </c>
      <c r="AG1058">
        <v>2</v>
      </c>
      <c r="AH1058">
        <v>2</v>
      </c>
      <c r="AI1058">
        <v>43.01</v>
      </c>
      <c r="AL1058" t="s">
        <v>19614</v>
      </c>
      <c r="AM1058">
        <v>11076</v>
      </c>
      <c r="AN1058" t="s">
        <v>19759</v>
      </c>
      <c r="AS1058">
        <v>0</v>
      </c>
      <c r="AU1058" t="s">
        <v>95</v>
      </c>
    </row>
    <row r="1059" spans="1:48">
      <c r="A1059" s="1">
        <f>HYPERLINK("https://lsnyc.legalserver.org/matter/dynamic-profile/view/1891856","19-1891856")</f>
        <v>0</v>
      </c>
      <c r="B1059" t="s">
        <v>70</v>
      </c>
      <c r="C1059" t="s">
        <v>256</v>
      </c>
      <c r="D1059" t="s">
        <v>383</v>
      </c>
      <c r="F1059" t="s">
        <v>1365</v>
      </c>
      <c r="G1059" t="s">
        <v>3910</v>
      </c>
      <c r="H1059" t="s">
        <v>5748</v>
      </c>
      <c r="I1059" t="s">
        <v>8157</v>
      </c>
      <c r="J1059" t="s">
        <v>9059</v>
      </c>
      <c r="K1059">
        <v>11233</v>
      </c>
      <c r="L1059" t="s">
        <v>9094</v>
      </c>
      <c r="M1059" t="s">
        <v>9096</v>
      </c>
      <c r="N1059" t="s">
        <v>9144</v>
      </c>
      <c r="O1059" t="s">
        <v>11137</v>
      </c>
      <c r="P1059" t="s">
        <v>11167</v>
      </c>
      <c r="R1059" t="s">
        <v>11180</v>
      </c>
      <c r="S1059" t="s">
        <v>9094</v>
      </c>
      <c r="T1059" t="s">
        <v>11183</v>
      </c>
      <c r="U1059" t="s">
        <v>11201</v>
      </c>
      <c r="V1059" t="s">
        <v>749</v>
      </c>
      <c r="W1059">
        <v>923</v>
      </c>
      <c r="X1059" t="s">
        <v>11332</v>
      </c>
      <c r="Z1059" t="s">
        <v>12118</v>
      </c>
      <c r="AC1059">
        <v>359</v>
      </c>
      <c r="AD1059" t="s">
        <v>19566</v>
      </c>
      <c r="AE1059" t="s">
        <v>19580</v>
      </c>
      <c r="AF1059">
        <v>0</v>
      </c>
      <c r="AG1059">
        <v>2</v>
      </c>
      <c r="AH1059">
        <v>2</v>
      </c>
      <c r="AI1059">
        <v>43.01</v>
      </c>
      <c r="AL1059" t="s">
        <v>19614</v>
      </c>
      <c r="AM1059">
        <v>11076</v>
      </c>
      <c r="AN1059" t="s">
        <v>19760</v>
      </c>
      <c r="AS1059">
        <v>0</v>
      </c>
      <c r="AU1059" t="s">
        <v>95</v>
      </c>
    </row>
    <row r="1060" spans="1:48">
      <c r="A1060" s="1">
        <f>HYPERLINK("https://lsnyc.legalserver.org/matter/dynamic-profile/view/1872780","18-1872780")</f>
        <v>0</v>
      </c>
      <c r="B1060" t="s">
        <v>111</v>
      </c>
      <c r="C1060" t="s">
        <v>256</v>
      </c>
      <c r="D1060" t="s">
        <v>638</v>
      </c>
      <c r="F1060" t="s">
        <v>1387</v>
      </c>
      <c r="G1060" t="s">
        <v>3588</v>
      </c>
      <c r="H1060" t="s">
        <v>6104</v>
      </c>
      <c r="I1060" t="s">
        <v>8381</v>
      </c>
      <c r="J1060" t="s">
        <v>9065</v>
      </c>
      <c r="K1060">
        <v>10452</v>
      </c>
      <c r="L1060" t="s">
        <v>9094</v>
      </c>
      <c r="M1060" t="s">
        <v>9095</v>
      </c>
      <c r="N1060" t="s">
        <v>9407</v>
      </c>
      <c r="O1060" t="s">
        <v>11135</v>
      </c>
      <c r="P1060" t="s">
        <v>11168</v>
      </c>
      <c r="R1060" t="s">
        <v>11180</v>
      </c>
      <c r="S1060" t="s">
        <v>9094</v>
      </c>
      <c r="T1060" t="s">
        <v>11183</v>
      </c>
      <c r="V1060" t="s">
        <v>638</v>
      </c>
      <c r="W1060">
        <v>1714.94</v>
      </c>
      <c r="X1060" t="s">
        <v>11333</v>
      </c>
      <c r="Y1060" t="s">
        <v>11346</v>
      </c>
      <c r="Z1060" t="s">
        <v>12119</v>
      </c>
      <c r="AB1060" t="s">
        <v>16556</v>
      </c>
      <c r="AC1060">
        <v>0</v>
      </c>
      <c r="AD1060" t="s">
        <v>19566</v>
      </c>
      <c r="AE1060" t="s">
        <v>9144</v>
      </c>
      <c r="AF1060">
        <v>8</v>
      </c>
      <c r="AG1060">
        <v>1</v>
      </c>
      <c r="AH1060">
        <v>5</v>
      </c>
      <c r="AI1060">
        <v>43.15</v>
      </c>
      <c r="AL1060" t="s">
        <v>19614</v>
      </c>
      <c r="AM1060">
        <v>14560</v>
      </c>
      <c r="AS1060">
        <v>0.25</v>
      </c>
      <c r="AT1060" t="s">
        <v>869</v>
      </c>
      <c r="AU1060" t="s">
        <v>20642</v>
      </c>
    </row>
    <row r="1061" spans="1:48">
      <c r="A1061" s="1">
        <f>HYPERLINK("https://lsnyc.legalserver.org/matter/dynamic-profile/view/1872785","18-1872785")</f>
        <v>0</v>
      </c>
      <c r="B1061" t="s">
        <v>111</v>
      </c>
      <c r="C1061" t="s">
        <v>256</v>
      </c>
      <c r="D1061" t="s">
        <v>675</v>
      </c>
      <c r="F1061" t="s">
        <v>1387</v>
      </c>
      <c r="G1061" t="s">
        <v>3588</v>
      </c>
      <c r="H1061" t="s">
        <v>6104</v>
      </c>
      <c r="I1061" t="s">
        <v>8381</v>
      </c>
      <c r="J1061" t="s">
        <v>9065</v>
      </c>
      <c r="K1061">
        <v>10452</v>
      </c>
      <c r="L1061" t="s">
        <v>9094</v>
      </c>
      <c r="M1061" t="s">
        <v>9095</v>
      </c>
      <c r="O1061" t="s">
        <v>11135</v>
      </c>
      <c r="P1061" t="s">
        <v>11168</v>
      </c>
      <c r="R1061" t="s">
        <v>11180</v>
      </c>
      <c r="S1061" t="s">
        <v>9094</v>
      </c>
      <c r="T1061" t="s">
        <v>11183</v>
      </c>
      <c r="V1061" t="s">
        <v>675</v>
      </c>
      <c r="W1061">
        <v>1714.94</v>
      </c>
      <c r="X1061" t="s">
        <v>11333</v>
      </c>
      <c r="Y1061" t="s">
        <v>11346</v>
      </c>
      <c r="Z1061" t="s">
        <v>12119</v>
      </c>
      <c r="AB1061" t="s">
        <v>16556</v>
      </c>
      <c r="AC1061">
        <v>0</v>
      </c>
      <c r="AD1061" t="s">
        <v>19566</v>
      </c>
      <c r="AE1061" t="s">
        <v>9144</v>
      </c>
      <c r="AF1061">
        <v>8</v>
      </c>
      <c r="AG1061">
        <v>1</v>
      </c>
      <c r="AH1061">
        <v>5</v>
      </c>
      <c r="AI1061">
        <v>43.15</v>
      </c>
      <c r="AL1061" t="s">
        <v>19614</v>
      </c>
      <c r="AM1061">
        <v>14560</v>
      </c>
      <c r="AS1061">
        <v>0.5</v>
      </c>
      <c r="AT1061" t="s">
        <v>869</v>
      </c>
      <c r="AU1061" t="s">
        <v>20642</v>
      </c>
    </row>
    <row r="1062" spans="1:48">
      <c r="A1062" s="1">
        <f>HYPERLINK("https://lsnyc.legalserver.org/matter/dynamic-profile/view/1908250","19-1908250")</f>
        <v>0</v>
      </c>
      <c r="B1062" t="s">
        <v>49</v>
      </c>
      <c r="C1062" t="s">
        <v>256</v>
      </c>
      <c r="D1062" t="s">
        <v>335</v>
      </c>
      <c r="F1062" t="s">
        <v>1731</v>
      </c>
      <c r="G1062" t="s">
        <v>3580</v>
      </c>
      <c r="H1062" t="s">
        <v>6330</v>
      </c>
      <c r="I1062" t="s">
        <v>8218</v>
      </c>
      <c r="J1062" t="s">
        <v>9050</v>
      </c>
      <c r="K1062">
        <v>11377</v>
      </c>
      <c r="L1062" t="s">
        <v>9094</v>
      </c>
      <c r="M1062" t="s">
        <v>9095</v>
      </c>
      <c r="N1062" t="s">
        <v>9599</v>
      </c>
      <c r="O1062" t="s">
        <v>11128</v>
      </c>
      <c r="P1062" t="s">
        <v>11165</v>
      </c>
      <c r="R1062" t="s">
        <v>11180</v>
      </c>
      <c r="S1062" t="s">
        <v>9096</v>
      </c>
      <c r="T1062" t="s">
        <v>11183</v>
      </c>
      <c r="U1062" t="s">
        <v>11201</v>
      </c>
      <c r="V1062" t="s">
        <v>335</v>
      </c>
      <c r="W1062">
        <v>1850</v>
      </c>
      <c r="X1062" t="s">
        <v>11331</v>
      </c>
      <c r="Y1062" t="s">
        <v>11336</v>
      </c>
      <c r="Z1062" t="s">
        <v>12120</v>
      </c>
      <c r="AB1062" t="s">
        <v>16557</v>
      </c>
      <c r="AC1062">
        <v>2</v>
      </c>
      <c r="AD1062" t="s">
        <v>19565</v>
      </c>
      <c r="AE1062" t="s">
        <v>9144</v>
      </c>
      <c r="AF1062">
        <v>-1</v>
      </c>
      <c r="AG1062">
        <v>1</v>
      </c>
      <c r="AH1062">
        <v>0</v>
      </c>
      <c r="AI1062">
        <v>43.23</v>
      </c>
      <c r="AL1062" t="s">
        <v>19614</v>
      </c>
      <c r="AM1062">
        <v>5400</v>
      </c>
      <c r="AP1062" t="s">
        <v>11157</v>
      </c>
      <c r="AS1062">
        <v>15.95</v>
      </c>
      <c r="AT1062" t="s">
        <v>321</v>
      </c>
      <c r="AU1062" t="s">
        <v>20620</v>
      </c>
      <c r="AV1062" t="s">
        <v>20733</v>
      </c>
    </row>
    <row r="1063" spans="1:48">
      <c r="A1063" s="1">
        <f>HYPERLINK("https://lsnyc.legalserver.org/matter/dynamic-profile/view/1912722","19-1912722")</f>
        <v>0</v>
      </c>
      <c r="B1063" t="s">
        <v>70</v>
      </c>
      <c r="C1063" t="s">
        <v>256</v>
      </c>
      <c r="D1063" t="s">
        <v>488</v>
      </c>
      <c r="F1063" t="s">
        <v>1553</v>
      </c>
      <c r="G1063" t="s">
        <v>3911</v>
      </c>
      <c r="H1063" t="s">
        <v>6312</v>
      </c>
      <c r="I1063" t="s">
        <v>8117</v>
      </c>
      <c r="J1063" t="s">
        <v>9059</v>
      </c>
      <c r="K1063">
        <v>11207</v>
      </c>
      <c r="L1063" t="s">
        <v>9094</v>
      </c>
      <c r="M1063" t="s">
        <v>9095</v>
      </c>
      <c r="O1063" t="s">
        <v>11137</v>
      </c>
      <c r="P1063" t="s">
        <v>11167</v>
      </c>
      <c r="R1063" t="s">
        <v>11180</v>
      </c>
      <c r="S1063" t="s">
        <v>9094</v>
      </c>
      <c r="T1063" t="s">
        <v>11183</v>
      </c>
      <c r="V1063" t="s">
        <v>488</v>
      </c>
      <c r="W1063">
        <v>640</v>
      </c>
      <c r="X1063" t="s">
        <v>11332</v>
      </c>
      <c r="Y1063" t="s">
        <v>11340</v>
      </c>
      <c r="Z1063" t="s">
        <v>12121</v>
      </c>
      <c r="AB1063" t="s">
        <v>16558</v>
      </c>
      <c r="AC1063">
        <v>6</v>
      </c>
      <c r="AD1063" t="s">
        <v>19566</v>
      </c>
      <c r="AF1063">
        <v>5</v>
      </c>
      <c r="AG1063">
        <v>1</v>
      </c>
      <c r="AH1063">
        <v>0</v>
      </c>
      <c r="AI1063">
        <v>43.3</v>
      </c>
      <c r="AL1063" t="s">
        <v>19614</v>
      </c>
      <c r="AM1063">
        <v>5408</v>
      </c>
      <c r="AS1063">
        <v>0.1</v>
      </c>
      <c r="AT1063" t="s">
        <v>294</v>
      </c>
      <c r="AU1063" t="s">
        <v>70</v>
      </c>
      <c r="AV1063" t="s">
        <v>20733</v>
      </c>
    </row>
    <row r="1064" spans="1:48">
      <c r="A1064" s="1">
        <f>HYPERLINK("https://lsnyc.legalserver.org/matter/dynamic-profile/view/1842875","17-1842875")</f>
        <v>0</v>
      </c>
      <c r="B1064" t="s">
        <v>122</v>
      </c>
      <c r="C1064" t="s">
        <v>257</v>
      </c>
      <c r="D1064" t="s">
        <v>712</v>
      </c>
      <c r="E1064" t="s">
        <v>414</v>
      </c>
      <c r="F1064" t="s">
        <v>1324</v>
      </c>
      <c r="G1064" t="s">
        <v>3895</v>
      </c>
      <c r="H1064" t="s">
        <v>5911</v>
      </c>
      <c r="I1064" t="s">
        <v>8378</v>
      </c>
      <c r="J1064" t="s">
        <v>9066</v>
      </c>
      <c r="K1064">
        <v>10314</v>
      </c>
      <c r="L1064" t="s">
        <v>9094</v>
      </c>
      <c r="M1064" t="s">
        <v>9095</v>
      </c>
      <c r="N1064" t="s">
        <v>9260</v>
      </c>
      <c r="O1064" t="s">
        <v>11135</v>
      </c>
      <c r="P1064" t="s">
        <v>11168</v>
      </c>
      <c r="Q1064" t="s">
        <v>11177</v>
      </c>
      <c r="R1064" t="s">
        <v>11180</v>
      </c>
      <c r="S1064" t="s">
        <v>9094</v>
      </c>
      <c r="T1064" t="s">
        <v>11183</v>
      </c>
      <c r="U1064" t="s">
        <v>11201</v>
      </c>
      <c r="V1064" t="s">
        <v>712</v>
      </c>
      <c r="W1064">
        <v>1788</v>
      </c>
      <c r="X1064" t="s">
        <v>11334</v>
      </c>
      <c r="Y1064" t="s">
        <v>11340</v>
      </c>
      <c r="Z1064" t="s">
        <v>12093</v>
      </c>
      <c r="AB1064" t="s">
        <v>16532</v>
      </c>
      <c r="AC1064">
        <v>96</v>
      </c>
      <c r="AD1064" t="s">
        <v>19566</v>
      </c>
      <c r="AE1064" t="s">
        <v>19587</v>
      </c>
      <c r="AF1064">
        <v>8</v>
      </c>
      <c r="AG1064">
        <v>2</v>
      </c>
      <c r="AH1064">
        <v>0</v>
      </c>
      <c r="AI1064">
        <v>43.3</v>
      </c>
      <c r="AJ1064" t="s">
        <v>19594</v>
      </c>
      <c r="AL1064" t="s">
        <v>19614</v>
      </c>
      <c r="AM1064">
        <v>7032</v>
      </c>
      <c r="AO1064" t="s">
        <v>20293</v>
      </c>
      <c r="AP1064" t="s">
        <v>20316</v>
      </c>
      <c r="AQ1064" t="s">
        <v>20369</v>
      </c>
      <c r="AR1064" t="s">
        <v>20385</v>
      </c>
      <c r="AS1064">
        <v>0.8</v>
      </c>
      <c r="AT1064" t="s">
        <v>414</v>
      </c>
      <c r="AU1064" t="s">
        <v>128</v>
      </c>
      <c r="AV1064" t="s">
        <v>20733</v>
      </c>
    </row>
    <row r="1065" spans="1:48">
      <c r="A1065" s="1">
        <f>HYPERLINK("https://lsnyc.legalserver.org/matter/dynamic-profile/view/1911754","19-1911754")</f>
        <v>0</v>
      </c>
      <c r="B1065" t="s">
        <v>64</v>
      </c>
      <c r="C1065" t="s">
        <v>256</v>
      </c>
      <c r="D1065" t="s">
        <v>284</v>
      </c>
      <c r="F1065" t="s">
        <v>1193</v>
      </c>
      <c r="G1065" t="s">
        <v>3912</v>
      </c>
      <c r="H1065" t="s">
        <v>6331</v>
      </c>
      <c r="I1065">
        <v>3</v>
      </c>
      <c r="J1065" t="s">
        <v>9059</v>
      </c>
      <c r="K1065">
        <v>11233</v>
      </c>
      <c r="L1065" t="s">
        <v>9096</v>
      </c>
      <c r="M1065" t="s">
        <v>9095</v>
      </c>
      <c r="N1065" t="s">
        <v>9600</v>
      </c>
      <c r="O1065" t="s">
        <v>11130</v>
      </c>
      <c r="R1065" t="s">
        <v>11180</v>
      </c>
      <c r="S1065" t="s">
        <v>9096</v>
      </c>
      <c r="T1065" t="s">
        <v>11183</v>
      </c>
      <c r="W1065">
        <v>1700</v>
      </c>
      <c r="X1065" t="s">
        <v>11332</v>
      </c>
      <c r="Y1065" t="s">
        <v>11345</v>
      </c>
      <c r="Z1065" t="s">
        <v>12122</v>
      </c>
      <c r="AA1065" t="s">
        <v>15487</v>
      </c>
      <c r="AB1065" t="s">
        <v>16559</v>
      </c>
      <c r="AC1065">
        <v>0</v>
      </c>
      <c r="AD1065" t="s">
        <v>19565</v>
      </c>
      <c r="AE1065" t="s">
        <v>19585</v>
      </c>
      <c r="AF1065">
        <v>1</v>
      </c>
      <c r="AG1065">
        <v>3</v>
      </c>
      <c r="AH1065">
        <v>0</v>
      </c>
      <c r="AI1065">
        <v>43.32</v>
      </c>
      <c r="AL1065" t="s">
        <v>19614</v>
      </c>
      <c r="AM1065">
        <v>9240</v>
      </c>
      <c r="AS1065">
        <v>2.7</v>
      </c>
      <c r="AT1065" t="s">
        <v>321</v>
      </c>
      <c r="AU1065" t="s">
        <v>95</v>
      </c>
      <c r="AV1065" t="s">
        <v>9144</v>
      </c>
    </row>
    <row r="1066" spans="1:48">
      <c r="A1066" s="1">
        <f>HYPERLINK("https://lsnyc.legalserver.org/matter/dynamic-profile/view/1872934","18-1872934")</f>
        <v>0</v>
      </c>
      <c r="B1066" t="s">
        <v>167</v>
      </c>
      <c r="C1066" t="s">
        <v>256</v>
      </c>
      <c r="D1066" t="s">
        <v>713</v>
      </c>
      <c r="F1066" t="s">
        <v>1231</v>
      </c>
      <c r="G1066" t="s">
        <v>3776</v>
      </c>
      <c r="H1066" t="s">
        <v>6332</v>
      </c>
      <c r="I1066" t="s">
        <v>8161</v>
      </c>
      <c r="J1066" t="s">
        <v>9059</v>
      </c>
      <c r="K1066">
        <v>11215</v>
      </c>
      <c r="L1066" t="s">
        <v>9094</v>
      </c>
      <c r="M1066" t="s">
        <v>9095</v>
      </c>
      <c r="N1066" t="s">
        <v>9601</v>
      </c>
      <c r="P1066" t="s">
        <v>11166</v>
      </c>
      <c r="R1066" t="s">
        <v>11180</v>
      </c>
      <c r="T1066" t="s">
        <v>11184</v>
      </c>
      <c r="V1066" t="s">
        <v>614</v>
      </c>
      <c r="W1066">
        <v>884</v>
      </c>
      <c r="X1066" t="s">
        <v>11332</v>
      </c>
      <c r="Y1066" t="s">
        <v>11344</v>
      </c>
      <c r="Z1066" t="s">
        <v>12123</v>
      </c>
      <c r="AB1066" t="s">
        <v>16560</v>
      </c>
      <c r="AC1066">
        <v>6</v>
      </c>
      <c r="AF1066">
        <v>37</v>
      </c>
      <c r="AG1066">
        <v>3</v>
      </c>
      <c r="AH1066">
        <v>0</v>
      </c>
      <c r="AI1066">
        <v>43.32</v>
      </c>
      <c r="AL1066" t="s">
        <v>19614</v>
      </c>
      <c r="AM1066">
        <v>9002.4</v>
      </c>
      <c r="AS1066">
        <v>3.3</v>
      </c>
      <c r="AT1066" t="s">
        <v>602</v>
      </c>
      <c r="AU1066" t="s">
        <v>20633</v>
      </c>
      <c r="AV1066" t="s">
        <v>20733</v>
      </c>
    </row>
    <row r="1067" spans="1:48">
      <c r="A1067" s="1">
        <f>HYPERLINK("https://lsnyc.legalserver.org/matter/dynamic-profile/view/1915267","19-1915267")</f>
        <v>0</v>
      </c>
      <c r="B1067" t="s">
        <v>134</v>
      </c>
      <c r="C1067" t="s">
        <v>256</v>
      </c>
      <c r="D1067" t="s">
        <v>321</v>
      </c>
      <c r="F1067" t="s">
        <v>1732</v>
      </c>
      <c r="G1067" t="s">
        <v>2681</v>
      </c>
      <c r="H1067" t="s">
        <v>6333</v>
      </c>
      <c r="I1067" t="s">
        <v>8176</v>
      </c>
      <c r="J1067" t="s">
        <v>9067</v>
      </c>
      <c r="K1067">
        <v>10002</v>
      </c>
      <c r="L1067" t="s">
        <v>9094</v>
      </c>
      <c r="M1067" t="s">
        <v>9095</v>
      </c>
      <c r="P1067" t="s">
        <v>11169</v>
      </c>
      <c r="R1067" t="s">
        <v>11180</v>
      </c>
      <c r="S1067" t="s">
        <v>9096</v>
      </c>
      <c r="T1067" t="s">
        <v>11183</v>
      </c>
      <c r="V1067" t="s">
        <v>321</v>
      </c>
      <c r="W1067">
        <v>205</v>
      </c>
      <c r="X1067" t="s">
        <v>11335</v>
      </c>
      <c r="Y1067" t="s">
        <v>11346</v>
      </c>
      <c r="Z1067" t="s">
        <v>12124</v>
      </c>
      <c r="AB1067" t="s">
        <v>16561</v>
      </c>
      <c r="AC1067">
        <v>0</v>
      </c>
      <c r="AD1067" t="s">
        <v>19566</v>
      </c>
      <c r="AE1067" t="s">
        <v>9144</v>
      </c>
      <c r="AF1067">
        <v>15</v>
      </c>
      <c r="AG1067">
        <v>1</v>
      </c>
      <c r="AH1067">
        <v>2</v>
      </c>
      <c r="AI1067">
        <v>43.32</v>
      </c>
      <c r="AL1067" t="s">
        <v>19614</v>
      </c>
      <c r="AM1067">
        <v>9240</v>
      </c>
      <c r="AS1067">
        <v>0</v>
      </c>
      <c r="AU1067" t="s">
        <v>130</v>
      </c>
      <c r="AV1067" t="s">
        <v>20733</v>
      </c>
    </row>
    <row r="1068" spans="1:48">
      <c r="A1068" s="1">
        <f>HYPERLINK("https://lsnyc.legalserver.org/matter/dynamic-profile/view/1904898","19-1904898")</f>
        <v>0</v>
      </c>
      <c r="B1068" t="s">
        <v>57</v>
      </c>
      <c r="C1068" t="s">
        <v>256</v>
      </c>
      <c r="D1068" t="s">
        <v>660</v>
      </c>
      <c r="F1068" t="s">
        <v>1395</v>
      </c>
      <c r="G1068" t="s">
        <v>3010</v>
      </c>
      <c r="H1068" t="s">
        <v>6334</v>
      </c>
      <c r="I1068" t="s">
        <v>8108</v>
      </c>
      <c r="J1068" t="s">
        <v>9047</v>
      </c>
      <c r="K1068">
        <v>11412</v>
      </c>
      <c r="L1068" t="s">
        <v>9094</v>
      </c>
      <c r="M1068" t="s">
        <v>9095</v>
      </c>
      <c r="N1068" t="s">
        <v>9602</v>
      </c>
      <c r="O1068" t="s">
        <v>11128</v>
      </c>
      <c r="P1068" t="s">
        <v>11165</v>
      </c>
      <c r="R1068" t="s">
        <v>11181</v>
      </c>
      <c r="S1068" t="s">
        <v>9096</v>
      </c>
      <c r="T1068" t="s">
        <v>11183</v>
      </c>
      <c r="U1068" t="s">
        <v>11200</v>
      </c>
      <c r="V1068" t="s">
        <v>660</v>
      </c>
      <c r="W1068">
        <v>1488.5</v>
      </c>
      <c r="X1068" t="s">
        <v>11331</v>
      </c>
      <c r="Y1068" t="s">
        <v>11337</v>
      </c>
      <c r="Z1068" t="s">
        <v>12125</v>
      </c>
      <c r="AA1068" t="s">
        <v>15488</v>
      </c>
      <c r="AC1068">
        <v>3</v>
      </c>
      <c r="AD1068" t="s">
        <v>19576</v>
      </c>
      <c r="AE1068" t="s">
        <v>19582</v>
      </c>
      <c r="AF1068">
        <v>2</v>
      </c>
      <c r="AG1068">
        <v>1</v>
      </c>
      <c r="AH1068">
        <v>2</v>
      </c>
      <c r="AI1068">
        <v>43.38</v>
      </c>
      <c r="AJ1068" t="s">
        <v>19591</v>
      </c>
      <c r="AK1068" t="s">
        <v>19608</v>
      </c>
      <c r="AL1068" t="s">
        <v>19614</v>
      </c>
      <c r="AM1068">
        <v>9252</v>
      </c>
      <c r="AP1068" t="s">
        <v>11157</v>
      </c>
      <c r="AS1068">
        <v>14.16</v>
      </c>
      <c r="AT1068" t="s">
        <v>295</v>
      </c>
      <c r="AU1068" t="s">
        <v>57</v>
      </c>
      <c r="AV1068" t="s">
        <v>20733</v>
      </c>
    </row>
    <row r="1069" spans="1:48">
      <c r="A1069" s="1">
        <f>HYPERLINK("https://lsnyc.legalserver.org/matter/dynamic-profile/view/1902776","19-1902776")</f>
        <v>0</v>
      </c>
      <c r="B1069" t="s">
        <v>72</v>
      </c>
      <c r="C1069" t="s">
        <v>256</v>
      </c>
      <c r="D1069" t="s">
        <v>279</v>
      </c>
      <c r="F1069" t="s">
        <v>1733</v>
      </c>
      <c r="G1069" t="s">
        <v>3578</v>
      </c>
      <c r="H1069" t="s">
        <v>6335</v>
      </c>
      <c r="I1069" t="s">
        <v>8382</v>
      </c>
      <c r="J1069" t="s">
        <v>9059</v>
      </c>
      <c r="K1069">
        <v>11239</v>
      </c>
      <c r="L1069" t="s">
        <v>9094</v>
      </c>
      <c r="M1069" t="s">
        <v>9095</v>
      </c>
      <c r="N1069" t="s">
        <v>9603</v>
      </c>
      <c r="O1069" t="s">
        <v>11128</v>
      </c>
      <c r="P1069" t="s">
        <v>11169</v>
      </c>
      <c r="R1069" t="s">
        <v>11180</v>
      </c>
      <c r="S1069" t="s">
        <v>9096</v>
      </c>
      <c r="T1069" t="s">
        <v>11183</v>
      </c>
      <c r="U1069" t="s">
        <v>11201</v>
      </c>
      <c r="V1069" t="s">
        <v>268</v>
      </c>
      <c r="W1069">
        <v>254</v>
      </c>
      <c r="X1069" t="s">
        <v>11332</v>
      </c>
      <c r="Y1069" t="s">
        <v>11336</v>
      </c>
      <c r="Z1069" t="s">
        <v>12126</v>
      </c>
      <c r="AA1069" t="s">
        <v>15441</v>
      </c>
      <c r="AC1069">
        <v>1463</v>
      </c>
      <c r="AD1069" t="s">
        <v>19567</v>
      </c>
      <c r="AE1069" t="s">
        <v>19584</v>
      </c>
      <c r="AF1069">
        <v>0</v>
      </c>
      <c r="AG1069">
        <v>3</v>
      </c>
      <c r="AH1069">
        <v>0</v>
      </c>
      <c r="AI1069">
        <v>43.38</v>
      </c>
      <c r="AL1069" t="s">
        <v>19614</v>
      </c>
      <c r="AM1069">
        <v>9252</v>
      </c>
      <c r="AS1069">
        <v>6</v>
      </c>
      <c r="AT1069" t="s">
        <v>330</v>
      </c>
      <c r="AU1069" t="s">
        <v>95</v>
      </c>
      <c r="AV1069" t="s">
        <v>20733</v>
      </c>
    </row>
    <row r="1070" spans="1:48">
      <c r="A1070" s="1">
        <f>HYPERLINK("https://lsnyc.legalserver.org/matter/dynamic-profile/view/1904754","19-1904754")</f>
        <v>0</v>
      </c>
      <c r="B1070" t="s">
        <v>119</v>
      </c>
      <c r="C1070" t="s">
        <v>256</v>
      </c>
      <c r="D1070" t="s">
        <v>497</v>
      </c>
      <c r="F1070" t="s">
        <v>1358</v>
      </c>
      <c r="G1070" t="s">
        <v>3418</v>
      </c>
      <c r="H1070" t="s">
        <v>5880</v>
      </c>
      <c r="I1070" t="s">
        <v>8197</v>
      </c>
      <c r="J1070" t="s">
        <v>9065</v>
      </c>
      <c r="K1070">
        <v>10456</v>
      </c>
      <c r="L1070" t="s">
        <v>9094</v>
      </c>
      <c r="M1070" t="s">
        <v>9095</v>
      </c>
      <c r="O1070" t="s">
        <v>11134</v>
      </c>
      <c r="P1070" t="s">
        <v>11168</v>
      </c>
      <c r="R1070" t="s">
        <v>11180</v>
      </c>
      <c r="S1070" t="s">
        <v>9094</v>
      </c>
      <c r="T1070" t="s">
        <v>11183</v>
      </c>
      <c r="W1070">
        <v>380.89</v>
      </c>
      <c r="X1070" t="s">
        <v>11333</v>
      </c>
      <c r="Y1070" t="s">
        <v>11347</v>
      </c>
      <c r="Z1070" t="s">
        <v>12127</v>
      </c>
      <c r="AB1070" t="s">
        <v>16562</v>
      </c>
      <c r="AC1070">
        <v>17</v>
      </c>
      <c r="AD1070" t="s">
        <v>19569</v>
      </c>
      <c r="AE1070" t="s">
        <v>19587</v>
      </c>
      <c r="AF1070">
        <v>50</v>
      </c>
      <c r="AG1070">
        <v>3</v>
      </c>
      <c r="AH1070">
        <v>0</v>
      </c>
      <c r="AI1070">
        <v>43.38</v>
      </c>
      <c r="AL1070" t="s">
        <v>19615</v>
      </c>
      <c r="AM1070">
        <v>9252</v>
      </c>
      <c r="AS1070">
        <v>0.5</v>
      </c>
      <c r="AT1070" t="s">
        <v>497</v>
      </c>
      <c r="AU1070" t="s">
        <v>174</v>
      </c>
      <c r="AV1070" t="s">
        <v>20733</v>
      </c>
    </row>
    <row r="1071" spans="1:48">
      <c r="A1071" s="1">
        <f>HYPERLINK("https://lsnyc.legalserver.org/matter/dynamic-profile/view/1912717","19-1912717")</f>
        <v>0</v>
      </c>
      <c r="B1071" t="s">
        <v>142</v>
      </c>
      <c r="C1071" t="s">
        <v>256</v>
      </c>
      <c r="D1071" t="s">
        <v>488</v>
      </c>
      <c r="F1071" t="s">
        <v>1734</v>
      </c>
      <c r="G1071" t="s">
        <v>3411</v>
      </c>
      <c r="H1071" t="s">
        <v>6326</v>
      </c>
      <c r="I1071" t="s">
        <v>8214</v>
      </c>
      <c r="J1071" t="s">
        <v>9067</v>
      </c>
      <c r="K1071">
        <v>10035</v>
      </c>
      <c r="L1071" t="s">
        <v>9094</v>
      </c>
      <c r="M1071" t="s">
        <v>9095</v>
      </c>
      <c r="O1071" t="s">
        <v>11130</v>
      </c>
      <c r="P1071" t="s">
        <v>11165</v>
      </c>
      <c r="R1071" t="s">
        <v>11180</v>
      </c>
      <c r="S1071" t="s">
        <v>9094</v>
      </c>
      <c r="T1071" t="s">
        <v>11183</v>
      </c>
      <c r="U1071" t="s">
        <v>11201</v>
      </c>
      <c r="V1071" t="s">
        <v>488</v>
      </c>
      <c r="W1071">
        <v>1962.89</v>
      </c>
      <c r="X1071" t="s">
        <v>11335</v>
      </c>
      <c r="Y1071" t="s">
        <v>11157</v>
      </c>
      <c r="Z1071" t="s">
        <v>12128</v>
      </c>
      <c r="AA1071" t="s">
        <v>15489</v>
      </c>
      <c r="AB1071" t="s">
        <v>16563</v>
      </c>
      <c r="AC1071">
        <v>72</v>
      </c>
      <c r="AD1071" t="s">
        <v>19566</v>
      </c>
      <c r="AE1071" t="s">
        <v>19580</v>
      </c>
      <c r="AF1071">
        <v>39</v>
      </c>
      <c r="AG1071">
        <v>3</v>
      </c>
      <c r="AH1071">
        <v>0</v>
      </c>
      <c r="AI1071">
        <v>43.38</v>
      </c>
      <c r="AL1071" t="s">
        <v>19614</v>
      </c>
      <c r="AM1071">
        <v>9252</v>
      </c>
      <c r="AS1071">
        <v>0</v>
      </c>
      <c r="AU1071" t="s">
        <v>142</v>
      </c>
      <c r="AV1071" t="s">
        <v>20733</v>
      </c>
    </row>
    <row r="1072" spans="1:48">
      <c r="A1072" s="1">
        <f>HYPERLINK("https://lsnyc.legalserver.org/matter/dynamic-profile/view/1908588","19-1908588")</f>
        <v>0</v>
      </c>
      <c r="B1072" t="s">
        <v>142</v>
      </c>
      <c r="C1072" t="s">
        <v>256</v>
      </c>
      <c r="D1072" t="s">
        <v>574</v>
      </c>
      <c r="F1072" t="s">
        <v>1734</v>
      </c>
      <c r="G1072" t="s">
        <v>3411</v>
      </c>
      <c r="H1072" t="s">
        <v>6326</v>
      </c>
      <c r="I1072" t="s">
        <v>8214</v>
      </c>
      <c r="J1072" t="s">
        <v>9067</v>
      </c>
      <c r="K1072">
        <v>10035</v>
      </c>
      <c r="L1072" t="s">
        <v>9094</v>
      </c>
      <c r="M1072" t="s">
        <v>9095</v>
      </c>
      <c r="O1072" t="s">
        <v>11137</v>
      </c>
      <c r="P1072" t="s">
        <v>11167</v>
      </c>
      <c r="R1072" t="s">
        <v>11180</v>
      </c>
      <c r="S1072" t="s">
        <v>9094</v>
      </c>
      <c r="T1072" t="s">
        <v>11183</v>
      </c>
      <c r="U1072" t="s">
        <v>11201</v>
      </c>
      <c r="V1072" t="s">
        <v>779</v>
      </c>
      <c r="W1072">
        <v>1967.89</v>
      </c>
      <c r="X1072" t="s">
        <v>11335</v>
      </c>
      <c r="Y1072" t="s">
        <v>11339</v>
      </c>
      <c r="Z1072" t="s">
        <v>12128</v>
      </c>
      <c r="AA1072" t="s">
        <v>15489</v>
      </c>
      <c r="AB1072" t="s">
        <v>16563</v>
      </c>
      <c r="AC1072">
        <v>72</v>
      </c>
      <c r="AD1072" t="s">
        <v>19566</v>
      </c>
      <c r="AE1072" t="s">
        <v>19580</v>
      </c>
      <c r="AF1072">
        <v>39</v>
      </c>
      <c r="AG1072">
        <v>3</v>
      </c>
      <c r="AH1072">
        <v>0</v>
      </c>
      <c r="AI1072">
        <v>43.38</v>
      </c>
      <c r="AL1072" t="s">
        <v>19614</v>
      </c>
      <c r="AM1072">
        <v>9252</v>
      </c>
      <c r="AS1072">
        <v>0</v>
      </c>
      <c r="AU1072" t="s">
        <v>20657</v>
      </c>
      <c r="AV1072" t="s">
        <v>20733</v>
      </c>
    </row>
    <row r="1073" spans="1:48">
      <c r="A1073" s="1">
        <f>HYPERLINK("https://lsnyc.legalserver.org/matter/dynamic-profile/view/1912711","19-1912711")</f>
        <v>0</v>
      </c>
      <c r="B1073" t="s">
        <v>142</v>
      </c>
      <c r="C1073" t="s">
        <v>256</v>
      </c>
      <c r="D1073" t="s">
        <v>488</v>
      </c>
      <c r="F1073" t="s">
        <v>1734</v>
      </c>
      <c r="G1073" t="s">
        <v>3411</v>
      </c>
      <c r="H1073" t="s">
        <v>6326</v>
      </c>
      <c r="I1073" t="s">
        <v>8214</v>
      </c>
      <c r="J1073" t="s">
        <v>9067</v>
      </c>
      <c r="K1073">
        <v>10035</v>
      </c>
      <c r="L1073" t="s">
        <v>9094</v>
      </c>
      <c r="M1073" t="s">
        <v>9095</v>
      </c>
      <c r="O1073" t="s">
        <v>11137</v>
      </c>
      <c r="P1073" t="s">
        <v>11167</v>
      </c>
      <c r="R1073" t="s">
        <v>11180</v>
      </c>
      <c r="S1073" t="s">
        <v>9096</v>
      </c>
      <c r="T1073" t="s">
        <v>11183</v>
      </c>
      <c r="U1073" t="s">
        <v>11201</v>
      </c>
      <c r="V1073" t="s">
        <v>488</v>
      </c>
      <c r="W1073">
        <v>1962.89</v>
      </c>
      <c r="X1073" t="s">
        <v>11335</v>
      </c>
      <c r="Y1073" t="s">
        <v>11157</v>
      </c>
      <c r="Z1073" t="s">
        <v>12128</v>
      </c>
      <c r="AA1073" t="s">
        <v>15490</v>
      </c>
      <c r="AB1073" t="s">
        <v>16563</v>
      </c>
      <c r="AC1073">
        <v>72</v>
      </c>
      <c r="AD1073" t="s">
        <v>19566</v>
      </c>
      <c r="AE1073" t="s">
        <v>19580</v>
      </c>
      <c r="AF1073">
        <v>39</v>
      </c>
      <c r="AG1073">
        <v>3</v>
      </c>
      <c r="AH1073">
        <v>0</v>
      </c>
      <c r="AI1073">
        <v>43.38</v>
      </c>
      <c r="AL1073" t="s">
        <v>19614</v>
      </c>
      <c r="AM1073">
        <v>9252</v>
      </c>
      <c r="AS1073">
        <v>0</v>
      </c>
      <c r="AU1073" t="s">
        <v>142</v>
      </c>
      <c r="AV1073" t="s">
        <v>20733</v>
      </c>
    </row>
    <row r="1074" spans="1:48">
      <c r="A1074" s="1">
        <f>HYPERLINK("https://lsnyc.legalserver.org/matter/dynamic-profile/view/1906357","19-1906357")</f>
        <v>0</v>
      </c>
      <c r="B1074" t="s">
        <v>136</v>
      </c>
      <c r="C1074" t="s">
        <v>256</v>
      </c>
      <c r="D1074" t="s">
        <v>493</v>
      </c>
      <c r="F1074" t="s">
        <v>1735</v>
      </c>
      <c r="G1074" t="s">
        <v>3913</v>
      </c>
      <c r="H1074" t="s">
        <v>5961</v>
      </c>
      <c r="I1074">
        <v>809</v>
      </c>
      <c r="J1074" t="s">
        <v>9067</v>
      </c>
      <c r="K1074">
        <v>10029</v>
      </c>
      <c r="L1074" t="s">
        <v>9094</v>
      </c>
      <c r="M1074" t="s">
        <v>9095</v>
      </c>
      <c r="O1074" t="s">
        <v>11130</v>
      </c>
      <c r="P1074" t="s">
        <v>11165</v>
      </c>
      <c r="R1074" t="s">
        <v>11180</v>
      </c>
      <c r="S1074" t="s">
        <v>9094</v>
      </c>
      <c r="T1074" t="s">
        <v>11183</v>
      </c>
      <c r="U1074" t="s">
        <v>11201</v>
      </c>
      <c r="V1074" t="s">
        <v>760</v>
      </c>
      <c r="W1074">
        <v>0</v>
      </c>
      <c r="X1074" t="s">
        <v>11335</v>
      </c>
      <c r="Y1074" t="s">
        <v>11339</v>
      </c>
      <c r="Z1074" t="s">
        <v>12129</v>
      </c>
      <c r="AC1074">
        <v>108</v>
      </c>
      <c r="AD1074" t="s">
        <v>19567</v>
      </c>
      <c r="AE1074" t="s">
        <v>19580</v>
      </c>
      <c r="AF1074">
        <v>32</v>
      </c>
      <c r="AG1074">
        <v>2</v>
      </c>
      <c r="AH1074">
        <v>1</v>
      </c>
      <c r="AI1074">
        <v>43.38</v>
      </c>
      <c r="AL1074" t="s">
        <v>19614</v>
      </c>
      <c r="AM1074">
        <v>9252</v>
      </c>
      <c r="AS1074">
        <v>0</v>
      </c>
      <c r="AU1074" t="s">
        <v>20657</v>
      </c>
      <c r="AV1074" t="s">
        <v>20733</v>
      </c>
    </row>
    <row r="1075" spans="1:48">
      <c r="A1075" s="1">
        <f>HYPERLINK("https://lsnyc.legalserver.org/matter/dynamic-profile/view/1914053","19-1914053")</f>
        <v>0</v>
      </c>
      <c r="B1075" t="s">
        <v>136</v>
      </c>
      <c r="C1075" t="s">
        <v>256</v>
      </c>
      <c r="D1075" t="s">
        <v>395</v>
      </c>
      <c r="F1075" t="s">
        <v>1450</v>
      </c>
      <c r="G1075" t="s">
        <v>3914</v>
      </c>
      <c r="H1075" t="s">
        <v>5961</v>
      </c>
      <c r="I1075">
        <v>213</v>
      </c>
      <c r="J1075" t="s">
        <v>9067</v>
      </c>
      <c r="K1075">
        <v>10029</v>
      </c>
      <c r="L1075" t="s">
        <v>9094</v>
      </c>
      <c r="M1075" t="s">
        <v>9095</v>
      </c>
      <c r="O1075" t="s">
        <v>11130</v>
      </c>
      <c r="P1075" t="s">
        <v>11169</v>
      </c>
      <c r="R1075" t="s">
        <v>11180</v>
      </c>
      <c r="S1075" t="s">
        <v>9094</v>
      </c>
      <c r="T1075" t="s">
        <v>11183</v>
      </c>
      <c r="U1075" t="s">
        <v>11201</v>
      </c>
      <c r="V1075" t="s">
        <v>395</v>
      </c>
      <c r="W1075">
        <v>62</v>
      </c>
      <c r="X1075" t="s">
        <v>11335</v>
      </c>
      <c r="Y1075" t="s">
        <v>11157</v>
      </c>
      <c r="Z1075" t="s">
        <v>12130</v>
      </c>
      <c r="AB1075" t="s">
        <v>16564</v>
      </c>
      <c r="AC1075">
        <v>108</v>
      </c>
      <c r="AD1075" t="s">
        <v>19566</v>
      </c>
      <c r="AE1075" t="s">
        <v>19580</v>
      </c>
      <c r="AF1075">
        <v>23</v>
      </c>
      <c r="AG1075">
        <v>1</v>
      </c>
      <c r="AH1075">
        <v>2</v>
      </c>
      <c r="AI1075">
        <v>43.38</v>
      </c>
      <c r="AL1075" t="s">
        <v>19615</v>
      </c>
      <c r="AM1075">
        <v>9252</v>
      </c>
      <c r="AS1075">
        <v>0</v>
      </c>
      <c r="AU1075" t="s">
        <v>20657</v>
      </c>
      <c r="AV1075" t="s">
        <v>20733</v>
      </c>
    </row>
    <row r="1076" spans="1:48">
      <c r="A1076" s="1">
        <f>HYPERLINK("https://lsnyc.legalserver.org/matter/dynamic-profile/view/1895541","19-1895541")</f>
        <v>0</v>
      </c>
      <c r="B1076" t="s">
        <v>165</v>
      </c>
      <c r="C1076" t="s">
        <v>257</v>
      </c>
      <c r="D1076" t="s">
        <v>512</v>
      </c>
      <c r="E1076" t="s">
        <v>265</v>
      </c>
      <c r="F1076" t="s">
        <v>1260</v>
      </c>
      <c r="G1076" t="s">
        <v>3874</v>
      </c>
      <c r="H1076" t="s">
        <v>6336</v>
      </c>
      <c r="I1076">
        <v>2</v>
      </c>
      <c r="J1076" t="s">
        <v>9059</v>
      </c>
      <c r="K1076">
        <v>11233</v>
      </c>
      <c r="L1076" t="s">
        <v>9094</v>
      </c>
      <c r="M1076" t="s">
        <v>9094</v>
      </c>
      <c r="N1076" t="s">
        <v>9604</v>
      </c>
      <c r="O1076" t="s">
        <v>11128</v>
      </c>
      <c r="P1076" t="s">
        <v>11167</v>
      </c>
      <c r="Q1076" t="s">
        <v>11173</v>
      </c>
      <c r="R1076" t="s">
        <v>11180</v>
      </c>
      <c r="T1076" t="s">
        <v>11183</v>
      </c>
      <c r="U1076" t="s">
        <v>11201</v>
      </c>
      <c r="V1076" t="s">
        <v>598</v>
      </c>
      <c r="W1076">
        <v>530</v>
      </c>
      <c r="X1076" t="s">
        <v>11332</v>
      </c>
      <c r="Y1076" t="s">
        <v>11341</v>
      </c>
      <c r="Z1076" t="s">
        <v>12131</v>
      </c>
      <c r="AB1076" t="s">
        <v>16565</v>
      </c>
      <c r="AC1076">
        <v>3</v>
      </c>
      <c r="AD1076" t="s">
        <v>15441</v>
      </c>
      <c r="AE1076" t="s">
        <v>9144</v>
      </c>
      <c r="AF1076">
        <v>16</v>
      </c>
      <c r="AG1076">
        <v>2</v>
      </c>
      <c r="AH1076">
        <v>0</v>
      </c>
      <c r="AI1076">
        <v>43.57</v>
      </c>
      <c r="AL1076" t="s">
        <v>19614</v>
      </c>
      <c r="AM1076">
        <v>7368</v>
      </c>
      <c r="AS1076">
        <v>4.7</v>
      </c>
      <c r="AT1076" t="s">
        <v>744</v>
      </c>
      <c r="AU1076" t="s">
        <v>20632</v>
      </c>
    </row>
    <row r="1077" spans="1:48">
      <c r="A1077" s="1">
        <f>HYPERLINK("https://lsnyc.legalserver.org/matter/dynamic-profile/view/0822954","16-0822954")</f>
        <v>0</v>
      </c>
      <c r="B1077" t="s">
        <v>58</v>
      </c>
      <c r="C1077" t="s">
        <v>256</v>
      </c>
      <c r="D1077" t="s">
        <v>714</v>
      </c>
      <c r="F1077" t="s">
        <v>1736</v>
      </c>
      <c r="G1077" t="s">
        <v>3915</v>
      </c>
      <c r="H1077" t="s">
        <v>6337</v>
      </c>
      <c r="I1077">
        <v>2</v>
      </c>
      <c r="J1077" t="s">
        <v>9059</v>
      </c>
      <c r="K1077">
        <v>11225</v>
      </c>
      <c r="L1077" t="s">
        <v>9094</v>
      </c>
      <c r="M1077" t="s">
        <v>9094</v>
      </c>
      <c r="P1077" t="s">
        <v>11165</v>
      </c>
      <c r="R1077" t="s">
        <v>11180</v>
      </c>
      <c r="S1077" t="s">
        <v>9094</v>
      </c>
      <c r="T1077" t="s">
        <v>11183</v>
      </c>
      <c r="V1077" t="s">
        <v>747</v>
      </c>
      <c r="W1077">
        <v>468.21</v>
      </c>
      <c r="X1077" t="s">
        <v>11332</v>
      </c>
      <c r="Y1077" t="s">
        <v>11342</v>
      </c>
      <c r="Z1077" t="s">
        <v>12132</v>
      </c>
      <c r="AA1077" t="s">
        <v>15491</v>
      </c>
      <c r="AB1077" t="s">
        <v>16566</v>
      </c>
      <c r="AC1077">
        <v>2</v>
      </c>
      <c r="AD1077" t="s">
        <v>19572</v>
      </c>
      <c r="AF1077">
        <v>19</v>
      </c>
      <c r="AG1077">
        <v>2</v>
      </c>
      <c r="AH1077">
        <v>1</v>
      </c>
      <c r="AI1077">
        <v>43.63</v>
      </c>
      <c r="AJ1077" t="s">
        <v>19596</v>
      </c>
      <c r="AL1077" t="s">
        <v>19614</v>
      </c>
      <c r="AM1077">
        <v>8796</v>
      </c>
      <c r="AS1077">
        <v>21.58</v>
      </c>
      <c r="AT1077" t="s">
        <v>419</v>
      </c>
      <c r="AU1077" t="s">
        <v>20636</v>
      </c>
    </row>
    <row r="1078" spans="1:48">
      <c r="A1078" s="1">
        <f>HYPERLINK("https://lsnyc.legalserver.org/matter/dynamic-profile/view/0822900","16-0822900")</f>
        <v>0</v>
      </c>
      <c r="B1078" t="s">
        <v>70</v>
      </c>
      <c r="C1078" t="s">
        <v>256</v>
      </c>
      <c r="D1078" t="s">
        <v>710</v>
      </c>
      <c r="F1078" t="s">
        <v>1310</v>
      </c>
      <c r="G1078" t="s">
        <v>3916</v>
      </c>
      <c r="H1078" t="s">
        <v>6312</v>
      </c>
      <c r="I1078" t="s">
        <v>8154</v>
      </c>
      <c r="J1078" t="s">
        <v>9059</v>
      </c>
      <c r="K1078">
        <v>11207</v>
      </c>
      <c r="L1078" t="s">
        <v>9094</v>
      </c>
      <c r="M1078" t="s">
        <v>9095</v>
      </c>
      <c r="N1078" t="s">
        <v>9605</v>
      </c>
      <c r="O1078" t="s">
        <v>11130</v>
      </c>
      <c r="P1078" t="s">
        <v>11165</v>
      </c>
      <c r="R1078" t="s">
        <v>11180</v>
      </c>
      <c r="S1078" t="s">
        <v>9094</v>
      </c>
      <c r="T1078" t="s">
        <v>11183</v>
      </c>
      <c r="V1078" t="s">
        <v>277</v>
      </c>
      <c r="W1078">
        <v>1450</v>
      </c>
      <c r="X1078" t="s">
        <v>11332</v>
      </c>
      <c r="Y1078" t="s">
        <v>11340</v>
      </c>
      <c r="Z1078" t="s">
        <v>12133</v>
      </c>
      <c r="AA1078" t="s">
        <v>15492</v>
      </c>
      <c r="AB1078" t="s">
        <v>16567</v>
      </c>
      <c r="AC1078">
        <v>6</v>
      </c>
      <c r="AD1078" t="s">
        <v>19566</v>
      </c>
      <c r="AE1078" t="s">
        <v>11157</v>
      </c>
      <c r="AF1078">
        <v>5</v>
      </c>
      <c r="AG1078">
        <v>1</v>
      </c>
      <c r="AH1078">
        <v>2</v>
      </c>
      <c r="AI1078">
        <v>43.63</v>
      </c>
      <c r="AL1078" t="s">
        <v>19614</v>
      </c>
      <c r="AM1078">
        <v>8796</v>
      </c>
      <c r="AS1078">
        <v>385.82</v>
      </c>
      <c r="AT1078" t="s">
        <v>292</v>
      </c>
      <c r="AU1078" t="s">
        <v>59</v>
      </c>
    </row>
    <row r="1079" spans="1:48">
      <c r="A1079" s="1">
        <f>HYPERLINK("https://lsnyc.legalserver.org/matter/dynamic-profile/view/1890266","19-1890266")</f>
        <v>0</v>
      </c>
      <c r="B1079" t="s">
        <v>111</v>
      </c>
      <c r="C1079" t="s">
        <v>256</v>
      </c>
      <c r="D1079" t="s">
        <v>633</v>
      </c>
      <c r="F1079" t="s">
        <v>1450</v>
      </c>
      <c r="G1079" t="s">
        <v>3720</v>
      </c>
      <c r="H1079" t="s">
        <v>6311</v>
      </c>
      <c r="I1079" t="s">
        <v>8149</v>
      </c>
      <c r="J1079" t="s">
        <v>9065</v>
      </c>
      <c r="K1079">
        <v>10452</v>
      </c>
      <c r="L1079" t="s">
        <v>9094</v>
      </c>
      <c r="M1079" t="s">
        <v>9094</v>
      </c>
      <c r="N1079" t="s">
        <v>9589</v>
      </c>
      <c r="O1079" t="s">
        <v>11129</v>
      </c>
      <c r="P1079" t="s">
        <v>11165</v>
      </c>
      <c r="R1079" t="s">
        <v>11180</v>
      </c>
      <c r="S1079" t="s">
        <v>9096</v>
      </c>
      <c r="T1079" t="s">
        <v>11183</v>
      </c>
      <c r="V1079" t="s">
        <v>694</v>
      </c>
      <c r="W1079">
        <v>811.24</v>
      </c>
      <c r="X1079" t="s">
        <v>11333</v>
      </c>
      <c r="Y1079" t="s">
        <v>11346</v>
      </c>
      <c r="Z1079" t="s">
        <v>12091</v>
      </c>
      <c r="AA1079" t="s">
        <v>15493</v>
      </c>
      <c r="AB1079" t="s">
        <v>16568</v>
      </c>
      <c r="AC1079">
        <v>53</v>
      </c>
      <c r="AD1079" t="s">
        <v>19566</v>
      </c>
      <c r="AE1079" t="s">
        <v>19582</v>
      </c>
      <c r="AF1079">
        <v>34</v>
      </c>
      <c r="AG1079">
        <v>1</v>
      </c>
      <c r="AH1079">
        <v>2</v>
      </c>
      <c r="AI1079">
        <v>43.65</v>
      </c>
      <c r="AL1079" t="s">
        <v>19615</v>
      </c>
      <c r="AM1079">
        <v>9310.799999999999</v>
      </c>
      <c r="AS1079">
        <v>9.6</v>
      </c>
      <c r="AT1079" t="s">
        <v>296</v>
      </c>
      <c r="AU1079" t="s">
        <v>20642</v>
      </c>
    </row>
    <row r="1080" spans="1:48">
      <c r="A1080" s="1">
        <f>HYPERLINK("https://lsnyc.legalserver.org/matter/dynamic-profile/view/1911035","19-1911035")</f>
        <v>0</v>
      </c>
      <c r="B1080" t="s">
        <v>73</v>
      </c>
      <c r="C1080" t="s">
        <v>256</v>
      </c>
      <c r="D1080" t="s">
        <v>648</v>
      </c>
      <c r="F1080" t="s">
        <v>1406</v>
      </c>
      <c r="G1080" t="s">
        <v>3503</v>
      </c>
      <c r="H1080" t="s">
        <v>6338</v>
      </c>
      <c r="I1080" t="s">
        <v>8132</v>
      </c>
      <c r="J1080" t="s">
        <v>9059</v>
      </c>
      <c r="K1080">
        <v>11207</v>
      </c>
      <c r="L1080" t="s">
        <v>9094</v>
      </c>
      <c r="M1080" t="s">
        <v>9095</v>
      </c>
      <c r="N1080" t="s">
        <v>9606</v>
      </c>
      <c r="O1080" t="s">
        <v>11128</v>
      </c>
      <c r="P1080" t="s">
        <v>11165</v>
      </c>
      <c r="R1080" t="s">
        <v>11180</v>
      </c>
      <c r="S1080" t="s">
        <v>9096</v>
      </c>
      <c r="T1080" t="s">
        <v>11183</v>
      </c>
      <c r="U1080" t="s">
        <v>11201</v>
      </c>
      <c r="V1080" t="s">
        <v>556</v>
      </c>
      <c r="W1080">
        <v>600</v>
      </c>
      <c r="X1080" t="s">
        <v>11332</v>
      </c>
      <c r="Z1080" t="s">
        <v>12134</v>
      </c>
      <c r="AC1080">
        <v>2</v>
      </c>
      <c r="AD1080" t="s">
        <v>19570</v>
      </c>
      <c r="AF1080">
        <v>25</v>
      </c>
      <c r="AG1080">
        <v>1</v>
      </c>
      <c r="AH1080">
        <v>0</v>
      </c>
      <c r="AI1080">
        <v>43.71</v>
      </c>
      <c r="AL1080" t="s">
        <v>19615</v>
      </c>
      <c r="AM1080">
        <v>5460</v>
      </c>
      <c r="AS1080">
        <v>9.1</v>
      </c>
      <c r="AT1080" t="s">
        <v>556</v>
      </c>
      <c r="AU1080" t="s">
        <v>157</v>
      </c>
      <c r="AV1080" t="s">
        <v>20733</v>
      </c>
    </row>
    <row r="1081" spans="1:48">
      <c r="A1081" s="1">
        <f>HYPERLINK("https://lsnyc.legalserver.org/matter/dynamic-profile/view/1868961","18-1868961")</f>
        <v>0</v>
      </c>
      <c r="B1081" t="s">
        <v>76</v>
      </c>
      <c r="C1081" t="s">
        <v>256</v>
      </c>
      <c r="D1081" t="s">
        <v>380</v>
      </c>
      <c r="F1081" t="s">
        <v>1200</v>
      </c>
      <c r="G1081" t="s">
        <v>3917</v>
      </c>
      <c r="H1081" t="s">
        <v>6339</v>
      </c>
      <c r="I1081" t="s">
        <v>8141</v>
      </c>
      <c r="J1081" t="s">
        <v>9059</v>
      </c>
      <c r="K1081">
        <v>11208</v>
      </c>
      <c r="L1081" t="s">
        <v>9094</v>
      </c>
      <c r="M1081" t="s">
        <v>9095</v>
      </c>
      <c r="N1081" t="s">
        <v>9607</v>
      </c>
      <c r="O1081" t="s">
        <v>11146</v>
      </c>
      <c r="P1081" t="s">
        <v>11168</v>
      </c>
      <c r="R1081" t="s">
        <v>11180</v>
      </c>
      <c r="S1081" t="s">
        <v>9096</v>
      </c>
      <c r="T1081" t="s">
        <v>11184</v>
      </c>
      <c r="V1081" t="s">
        <v>380</v>
      </c>
      <c r="W1081">
        <v>1166.88</v>
      </c>
      <c r="X1081" t="s">
        <v>11332</v>
      </c>
      <c r="Y1081" t="s">
        <v>11340</v>
      </c>
      <c r="Z1081" t="s">
        <v>12135</v>
      </c>
      <c r="AA1081" t="s">
        <v>15494</v>
      </c>
      <c r="AB1081" t="s">
        <v>16569</v>
      </c>
      <c r="AC1081">
        <v>6</v>
      </c>
      <c r="AD1081" t="s">
        <v>19566</v>
      </c>
      <c r="AF1081">
        <v>11</v>
      </c>
      <c r="AG1081">
        <v>1</v>
      </c>
      <c r="AH1081">
        <v>1</v>
      </c>
      <c r="AI1081">
        <v>43.74</v>
      </c>
      <c r="AK1081" t="s">
        <v>19609</v>
      </c>
      <c r="AL1081" t="s">
        <v>19614</v>
      </c>
      <c r="AM1081">
        <v>7200</v>
      </c>
      <c r="AS1081">
        <v>19.25</v>
      </c>
      <c r="AT1081" t="s">
        <v>940</v>
      </c>
      <c r="AU1081" t="s">
        <v>76</v>
      </c>
    </row>
    <row r="1082" spans="1:48">
      <c r="A1082" s="1">
        <f>HYPERLINK("https://lsnyc.legalserver.org/matter/dynamic-profile/view/1880450","18-1880450")</f>
        <v>0</v>
      </c>
      <c r="B1082" t="s">
        <v>101</v>
      </c>
      <c r="C1082" t="s">
        <v>256</v>
      </c>
      <c r="D1082" t="s">
        <v>355</v>
      </c>
      <c r="F1082" t="s">
        <v>1737</v>
      </c>
      <c r="G1082" t="s">
        <v>3918</v>
      </c>
      <c r="H1082" t="s">
        <v>6100</v>
      </c>
      <c r="I1082" t="s">
        <v>8109</v>
      </c>
      <c r="J1082" t="s">
        <v>9065</v>
      </c>
      <c r="K1082">
        <v>10452</v>
      </c>
      <c r="L1082" t="s">
        <v>9094</v>
      </c>
      <c r="M1082" t="s">
        <v>9094</v>
      </c>
      <c r="O1082" t="s">
        <v>11136</v>
      </c>
      <c r="P1082" t="s">
        <v>11164</v>
      </c>
      <c r="R1082" t="s">
        <v>11180</v>
      </c>
      <c r="S1082" t="s">
        <v>9094</v>
      </c>
      <c r="T1082" t="s">
        <v>11183</v>
      </c>
      <c r="V1082" t="s">
        <v>738</v>
      </c>
      <c r="W1082">
        <v>1268</v>
      </c>
      <c r="X1082" t="s">
        <v>11333</v>
      </c>
      <c r="Y1082" t="s">
        <v>11346</v>
      </c>
      <c r="Z1082" t="s">
        <v>12136</v>
      </c>
      <c r="AB1082" t="s">
        <v>16570</v>
      </c>
      <c r="AC1082">
        <v>53</v>
      </c>
      <c r="AD1082" t="s">
        <v>19566</v>
      </c>
      <c r="AE1082" t="s">
        <v>19582</v>
      </c>
      <c r="AF1082">
        <v>3</v>
      </c>
      <c r="AG1082">
        <v>1</v>
      </c>
      <c r="AH1082">
        <v>1</v>
      </c>
      <c r="AI1082">
        <v>43.74</v>
      </c>
      <c r="AL1082" t="s">
        <v>19614</v>
      </c>
      <c r="AM1082">
        <v>7200</v>
      </c>
      <c r="AS1082">
        <v>0</v>
      </c>
      <c r="AU1082" t="s">
        <v>20647</v>
      </c>
    </row>
    <row r="1083" spans="1:48">
      <c r="A1083" s="1">
        <f>HYPERLINK("https://lsnyc.legalserver.org/matter/dynamic-profile/view/1884535","18-1884535")</f>
        <v>0</v>
      </c>
      <c r="B1083" t="s">
        <v>114</v>
      </c>
      <c r="C1083" t="s">
        <v>257</v>
      </c>
      <c r="D1083" t="s">
        <v>605</v>
      </c>
      <c r="E1083" t="s">
        <v>263</v>
      </c>
      <c r="F1083" t="s">
        <v>1146</v>
      </c>
      <c r="G1083" t="s">
        <v>3756</v>
      </c>
      <c r="H1083" t="s">
        <v>5907</v>
      </c>
      <c r="I1083" t="s">
        <v>8383</v>
      </c>
      <c r="J1083" t="s">
        <v>9065</v>
      </c>
      <c r="K1083">
        <v>10451</v>
      </c>
      <c r="L1083" t="s">
        <v>9094</v>
      </c>
      <c r="M1083" t="s">
        <v>9094</v>
      </c>
      <c r="N1083" t="s">
        <v>9259</v>
      </c>
      <c r="O1083" t="s">
        <v>11130</v>
      </c>
      <c r="P1083" t="s">
        <v>11165</v>
      </c>
      <c r="Q1083" t="s">
        <v>11174</v>
      </c>
      <c r="R1083" t="s">
        <v>11180</v>
      </c>
      <c r="S1083" t="s">
        <v>9094</v>
      </c>
      <c r="T1083" t="s">
        <v>11183</v>
      </c>
      <c r="V1083" t="s">
        <v>738</v>
      </c>
      <c r="W1083">
        <v>1100</v>
      </c>
      <c r="X1083" t="s">
        <v>11333</v>
      </c>
      <c r="Y1083" t="s">
        <v>11346</v>
      </c>
      <c r="Z1083" t="s">
        <v>12137</v>
      </c>
      <c r="AB1083" t="s">
        <v>16571</v>
      </c>
      <c r="AC1083">
        <v>100</v>
      </c>
      <c r="AD1083" t="s">
        <v>19569</v>
      </c>
      <c r="AE1083" t="s">
        <v>19582</v>
      </c>
      <c r="AF1083">
        <v>16</v>
      </c>
      <c r="AG1083">
        <v>2</v>
      </c>
      <c r="AH1083">
        <v>0</v>
      </c>
      <c r="AI1083">
        <v>43.74</v>
      </c>
      <c r="AL1083" t="s">
        <v>19615</v>
      </c>
      <c r="AM1083">
        <v>7200</v>
      </c>
      <c r="AS1083">
        <v>0.25</v>
      </c>
      <c r="AT1083" t="s">
        <v>263</v>
      </c>
      <c r="AU1083" t="s">
        <v>163</v>
      </c>
    </row>
    <row r="1084" spans="1:48">
      <c r="A1084" s="1">
        <f>HYPERLINK("https://lsnyc.legalserver.org/matter/dynamic-profile/view/1870983","18-1870983")</f>
        <v>0</v>
      </c>
      <c r="B1084" t="s">
        <v>135</v>
      </c>
      <c r="C1084" t="s">
        <v>257</v>
      </c>
      <c r="D1084" t="s">
        <v>715</v>
      </c>
      <c r="E1084" t="s">
        <v>408</v>
      </c>
      <c r="F1084" t="s">
        <v>1727</v>
      </c>
      <c r="G1084" t="s">
        <v>3736</v>
      </c>
      <c r="H1084" t="s">
        <v>6326</v>
      </c>
      <c r="I1084" t="s">
        <v>8264</v>
      </c>
      <c r="J1084" t="s">
        <v>9067</v>
      </c>
      <c r="K1084">
        <v>10035</v>
      </c>
      <c r="L1084" t="s">
        <v>9094</v>
      </c>
      <c r="M1084" t="s">
        <v>9094</v>
      </c>
      <c r="O1084" t="s">
        <v>9121</v>
      </c>
      <c r="P1084" t="s">
        <v>11165</v>
      </c>
      <c r="Q1084" t="s">
        <v>11174</v>
      </c>
      <c r="R1084" t="s">
        <v>11180</v>
      </c>
      <c r="S1084" t="s">
        <v>9096</v>
      </c>
      <c r="T1084" t="s">
        <v>11183</v>
      </c>
      <c r="U1084" t="s">
        <v>11201</v>
      </c>
      <c r="V1084" t="s">
        <v>715</v>
      </c>
      <c r="W1084">
        <v>1590.27</v>
      </c>
      <c r="X1084" t="s">
        <v>11335</v>
      </c>
      <c r="Y1084" t="s">
        <v>11338</v>
      </c>
      <c r="Z1084" t="s">
        <v>12111</v>
      </c>
      <c r="AB1084" t="s">
        <v>16549</v>
      </c>
      <c r="AC1084">
        <v>72</v>
      </c>
      <c r="AD1084" t="s">
        <v>19567</v>
      </c>
      <c r="AE1084" t="s">
        <v>19580</v>
      </c>
      <c r="AF1084">
        <v>20</v>
      </c>
      <c r="AG1084">
        <v>2</v>
      </c>
      <c r="AH1084">
        <v>0</v>
      </c>
      <c r="AI1084">
        <v>43.74</v>
      </c>
      <c r="AL1084" t="s">
        <v>19615</v>
      </c>
      <c r="AM1084">
        <v>7200</v>
      </c>
      <c r="AP1084" t="s">
        <v>20329</v>
      </c>
      <c r="AQ1084" t="s">
        <v>20369</v>
      </c>
      <c r="AR1084" t="s">
        <v>20425</v>
      </c>
      <c r="AS1084">
        <v>65.40000000000001</v>
      </c>
      <c r="AT1084" t="s">
        <v>339</v>
      </c>
      <c r="AU1084" t="s">
        <v>20657</v>
      </c>
      <c r="AV1084" t="s">
        <v>20733</v>
      </c>
    </row>
    <row r="1085" spans="1:48">
      <c r="A1085" s="1">
        <f>HYPERLINK("https://lsnyc.legalserver.org/matter/dynamic-profile/view/1863486","18-1863486")</f>
        <v>0</v>
      </c>
      <c r="B1085" t="s">
        <v>86</v>
      </c>
      <c r="C1085" t="s">
        <v>256</v>
      </c>
      <c r="D1085" t="s">
        <v>356</v>
      </c>
      <c r="F1085" t="s">
        <v>1738</v>
      </c>
      <c r="G1085" t="s">
        <v>3760</v>
      </c>
      <c r="H1085" t="s">
        <v>5778</v>
      </c>
      <c r="I1085" t="s">
        <v>8384</v>
      </c>
      <c r="J1085" t="s">
        <v>9059</v>
      </c>
      <c r="K1085">
        <v>11226</v>
      </c>
      <c r="L1085" t="s">
        <v>9094</v>
      </c>
      <c r="M1085" t="s">
        <v>9094</v>
      </c>
      <c r="O1085" t="s">
        <v>11136</v>
      </c>
      <c r="P1085" t="s">
        <v>11166</v>
      </c>
      <c r="R1085" t="s">
        <v>11180</v>
      </c>
      <c r="S1085" t="s">
        <v>9094</v>
      </c>
      <c r="T1085" t="s">
        <v>11183</v>
      </c>
      <c r="V1085" t="s">
        <v>723</v>
      </c>
      <c r="W1085">
        <v>1324</v>
      </c>
      <c r="X1085" t="s">
        <v>11332</v>
      </c>
      <c r="Y1085" t="s">
        <v>11340</v>
      </c>
      <c r="Z1085" t="s">
        <v>12138</v>
      </c>
      <c r="AA1085" t="s">
        <v>15495</v>
      </c>
      <c r="AB1085" t="s">
        <v>16572</v>
      </c>
      <c r="AC1085">
        <v>65</v>
      </c>
      <c r="AE1085" t="s">
        <v>19582</v>
      </c>
      <c r="AF1085">
        <v>12</v>
      </c>
      <c r="AG1085">
        <v>2</v>
      </c>
      <c r="AH1085">
        <v>3</v>
      </c>
      <c r="AI1085">
        <v>43.81</v>
      </c>
      <c r="AL1085" t="s">
        <v>19614</v>
      </c>
      <c r="AM1085">
        <v>13357.44</v>
      </c>
      <c r="AS1085">
        <v>0.5</v>
      </c>
      <c r="AT1085" t="s">
        <v>356</v>
      </c>
      <c r="AU1085" t="s">
        <v>20630</v>
      </c>
    </row>
    <row r="1086" spans="1:48">
      <c r="A1086" s="1">
        <f>HYPERLINK("https://lsnyc.legalserver.org/matter/dynamic-profile/view/1833344","17-1833344")</f>
        <v>0</v>
      </c>
      <c r="B1086" t="s">
        <v>92</v>
      </c>
      <c r="C1086" t="s">
        <v>256</v>
      </c>
      <c r="D1086" t="s">
        <v>716</v>
      </c>
      <c r="F1086" t="s">
        <v>1739</v>
      </c>
      <c r="G1086" t="s">
        <v>3919</v>
      </c>
      <c r="H1086" t="s">
        <v>5829</v>
      </c>
      <c r="I1086">
        <v>4</v>
      </c>
      <c r="J1086" t="s">
        <v>9059</v>
      </c>
      <c r="K1086">
        <v>11207</v>
      </c>
      <c r="L1086" t="s">
        <v>9094</v>
      </c>
      <c r="M1086" t="s">
        <v>9095</v>
      </c>
      <c r="P1086" t="s">
        <v>11165</v>
      </c>
      <c r="R1086" t="s">
        <v>11180</v>
      </c>
      <c r="S1086" t="s">
        <v>9094</v>
      </c>
      <c r="T1086" t="s">
        <v>11183</v>
      </c>
      <c r="V1086" t="s">
        <v>837</v>
      </c>
      <c r="W1086">
        <v>1100</v>
      </c>
      <c r="X1086" t="s">
        <v>11332</v>
      </c>
      <c r="Y1086" t="s">
        <v>11339</v>
      </c>
      <c r="Z1086" t="s">
        <v>12139</v>
      </c>
      <c r="AB1086" t="s">
        <v>16573</v>
      </c>
      <c r="AC1086">
        <v>7</v>
      </c>
      <c r="AD1086" t="s">
        <v>19565</v>
      </c>
      <c r="AF1086">
        <v>3</v>
      </c>
      <c r="AG1086">
        <v>3</v>
      </c>
      <c r="AH1086">
        <v>1</v>
      </c>
      <c r="AI1086">
        <v>43.9</v>
      </c>
      <c r="AL1086" t="s">
        <v>19614</v>
      </c>
      <c r="AM1086">
        <v>10800</v>
      </c>
      <c r="AS1086">
        <v>2.2</v>
      </c>
      <c r="AT1086" t="s">
        <v>270</v>
      </c>
      <c r="AU1086" t="s">
        <v>202</v>
      </c>
    </row>
    <row r="1087" spans="1:48">
      <c r="A1087" s="1">
        <f>HYPERLINK("https://lsnyc.legalserver.org/matter/dynamic-profile/view/1904532","19-1904532")</f>
        <v>0</v>
      </c>
      <c r="B1087" t="s">
        <v>114</v>
      </c>
      <c r="C1087" t="s">
        <v>257</v>
      </c>
      <c r="D1087" t="s">
        <v>280</v>
      </c>
      <c r="E1087" t="s">
        <v>476</v>
      </c>
      <c r="F1087" t="s">
        <v>1740</v>
      </c>
      <c r="G1087" t="s">
        <v>3520</v>
      </c>
      <c r="H1087" t="s">
        <v>6340</v>
      </c>
      <c r="I1087" t="s">
        <v>8132</v>
      </c>
      <c r="J1087" t="s">
        <v>9065</v>
      </c>
      <c r="K1087">
        <v>10470</v>
      </c>
      <c r="L1087" t="s">
        <v>9094</v>
      </c>
      <c r="M1087" t="s">
        <v>9095</v>
      </c>
      <c r="N1087" t="s">
        <v>9426</v>
      </c>
      <c r="O1087" t="s">
        <v>11130</v>
      </c>
      <c r="P1087" t="s">
        <v>11165</v>
      </c>
      <c r="Q1087" t="s">
        <v>11174</v>
      </c>
      <c r="R1087" t="s">
        <v>11180</v>
      </c>
      <c r="S1087" t="s">
        <v>9094</v>
      </c>
      <c r="T1087" t="s">
        <v>11183</v>
      </c>
      <c r="W1087">
        <v>961</v>
      </c>
      <c r="X1087" t="s">
        <v>11333</v>
      </c>
      <c r="Y1087" t="s">
        <v>11346</v>
      </c>
      <c r="Z1087" t="s">
        <v>12140</v>
      </c>
      <c r="AB1087" t="s">
        <v>16574</v>
      </c>
      <c r="AC1087">
        <v>63</v>
      </c>
      <c r="AD1087" t="s">
        <v>19576</v>
      </c>
      <c r="AE1087" t="s">
        <v>19588</v>
      </c>
      <c r="AF1087">
        <v>24</v>
      </c>
      <c r="AG1087">
        <v>3</v>
      </c>
      <c r="AH1087">
        <v>1</v>
      </c>
      <c r="AI1087">
        <v>44.04</v>
      </c>
      <c r="AL1087" t="s">
        <v>19614</v>
      </c>
      <c r="AM1087">
        <v>11340</v>
      </c>
      <c r="AS1087">
        <v>0.25</v>
      </c>
      <c r="AT1087" t="s">
        <v>476</v>
      </c>
      <c r="AU1087" t="s">
        <v>163</v>
      </c>
      <c r="AV1087" t="s">
        <v>20733</v>
      </c>
    </row>
    <row r="1088" spans="1:48">
      <c r="A1088" s="1">
        <f>HYPERLINK("https://lsnyc.legalserver.org/matter/dynamic-profile/view/1913401","19-1913401")</f>
        <v>0</v>
      </c>
      <c r="B1088" t="s">
        <v>129</v>
      </c>
      <c r="C1088" t="s">
        <v>256</v>
      </c>
      <c r="D1088" t="s">
        <v>717</v>
      </c>
      <c r="F1088" t="s">
        <v>1741</v>
      </c>
      <c r="G1088" t="s">
        <v>3220</v>
      </c>
      <c r="H1088" t="s">
        <v>6341</v>
      </c>
      <c r="I1088" t="s">
        <v>8385</v>
      </c>
      <c r="J1088" t="s">
        <v>9066</v>
      </c>
      <c r="K1088">
        <v>10301</v>
      </c>
      <c r="L1088" t="s">
        <v>9095</v>
      </c>
      <c r="M1088" t="s">
        <v>9095</v>
      </c>
      <c r="N1088" t="s">
        <v>9154</v>
      </c>
      <c r="O1088" t="s">
        <v>9121</v>
      </c>
      <c r="R1088" t="s">
        <v>11180</v>
      </c>
      <c r="S1088" t="s">
        <v>9096</v>
      </c>
      <c r="T1088" t="s">
        <v>11183</v>
      </c>
      <c r="W1088">
        <v>1350</v>
      </c>
      <c r="X1088" t="s">
        <v>11334</v>
      </c>
      <c r="Y1088" t="s">
        <v>11340</v>
      </c>
      <c r="Z1088" t="s">
        <v>12141</v>
      </c>
      <c r="AB1088" t="s">
        <v>16575</v>
      </c>
      <c r="AC1088">
        <v>4</v>
      </c>
      <c r="AD1088" t="s">
        <v>19565</v>
      </c>
      <c r="AE1088" t="s">
        <v>19581</v>
      </c>
      <c r="AF1088">
        <v>5</v>
      </c>
      <c r="AG1088">
        <v>1</v>
      </c>
      <c r="AH1088">
        <v>4</v>
      </c>
      <c r="AI1088">
        <v>44.27</v>
      </c>
      <c r="AL1088" t="s">
        <v>19615</v>
      </c>
      <c r="AM1088">
        <v>13356</v>
      </c>
      <c r="AS1088">
        <v>1.7</v>
      </c>
      <c r="AT1088" t="s">
        <v>1130</v>
      </c>
      <c r="AU1088" t="s">
        <v>20653</v>
      </c>
    </row>
    <row r="1089" spans="1:48">
      <c r="A1089" s="1">
        <f>HYPERLINK("https://lsnyc.legalserver.org/matter/dynamic-profile/view/1914812","19-1914812")</f>
        <v>0</v>
      </c>
      <c r="B1089" t="s">
        <v>181</v>
      </c>
      <c r="C1089" t="s">
        <v>256</v>
      </c>
      <c r="D1089" t="s">
        <v>632</v>
      </c>
      <c r="F1089" t="s">
        <v>1282</v>
      </c>
      <c r="G1089" t="s">
        <v>3331</v>
      </c>
      <c r="H1089" t="s">
        <v>6342</v>
      </c>
      <c r="I1089" t="s">
        <v>8193</v>
      </c>
      <c r="J1089" t="s">
        <v>9065</v>
      </c>
      <c r="K1089">
        <v>10468</v>
      </c>
      <c r="L1089" t="s">
        <v>9095</v>
      </c>
      <c r="M1089" t="s">
        <v>9095</v>
      </c>
      <c r="O1089" t="s">
        <v>11133</v>
      </c>
      <c r="P1089" t="s">
        <v>11167</v>
      </c>
      <c r="R1089" t="s">
        <v>11180</v>
      </c>
      <c r="T1089" t="s">
        <v>11189</v>
      </c>
      <c r="W1089">
        <v>0</v>
      </c>
      <c r="X1089" t="s">
        <v>11333</v>
      </c>
      <c r="Z1089" t="s">
        <v>12142</v>
      </c>
      <c r="AB1089" t="s">
        <v>16576</v>
      </c>
      <c r="AC1089">
        <v>0</v>
      </c>
      <c r="AF1089">
        <v>0</v>
      </c>
      <c r="AG1089">
        <v>2</v>
      </c>
      <c r="AH1089">
        <v>1</v>
      </c>
      <c r="AI1089">
        <v>44.39</v>
      </c>
      <c r="AL1089" t="s">
        <v>19614</v>
      </c>
      <c r="AM1089">
        <v>9468</v>
      </c>
      <c r="AS1089">
        <v>1.75</v>
      </c>
      <c r="AT1089" t="s">
        <v>377</v>
      </c>
      <c r="AU1089" t="s">
        <v>181</v>
      </c>
    </row>
    <row r="1090" spans="1:48">
      <c r="A1090" s="1">
        <f>HYPERLINK("https://lsnyc.legalserver.org/matter/dynamic-profile/view/1894362","19-1894362")</f>
        <v>0</v>
      </c>
      <c r="B1090" t="s">
        <v>127</v>
      </c>
      <c r="C1090" t="s">
        <v>257</v>
      </c>
      <c r="D1090" t="s">
        <v>718</v>
      </c>
      <c r="E1090" t="s">
        <v>446</v>
      </c>
      <c r="F1090" t="s">
        <v>1742</v>
      </c>
      <c r="G1090" t="s">
        <v>3498</v>
      </c>
      <c r="H1090" t="s">
        <v>6343</v>
      </c>
      <c r="I1090" t="s">
        <v>8248</v>
      </c>
      <c r="J1090" t="s">
        <v>9066</v>
      </c>
      <c r="K1090">
        <v>10301</v>
      </c>
      <c r="L1090" t="s">
        <v>9094</v>
      </c>
      <c r="M1090" t="s">
        <v>9095</v>
      </c>
      <c r="N1090" t="s">
        <v>9608</v>
      </c>
      <c r="O1090" t="s">
        <v>11129</v>
      </c>
      <c r="P1090" t="s">
        <v>11165</v>
      </c>
      <c r="Q1090" t="s">
        <v>11174</v>
      </c>
      <c r="R1090" t="s">
        <v>11180</v>
      </c>
      <c r="S1090" t="s">
        <v>9096</v>
      </c>
      <c r="T1090" t="s">
        <v>11183</v>
      </c>
      <c r="U1090" t="s">
        <v>11201</v>
      </c>
      <c r="V1090" t="s">
        <v>11207</v>
      </c>
      <c r="W1090">
        <v>1515</v>
      </c>
      <c r="X1090" t="s">
        <v>11334</v>
      </c>
      <c r="Y1090" t="s">
        <v>11345</v>
      </c>
      <c r="Z1090" t="s">
        <v>12143</v>
      </c>
      <c r="AB1090" t="s">
        <v>16577</v>
      </c>
      <c r="AC1090">
        <v>2</v>
      </c>
      <c r="AD1090" t="s">
        <v>19565</v>
      </c>
      <c r="AE1090" t="s">
        <v>19581</v>
      </c>
      <c r="AF1090">
        <v>-1</v>
      </c>
      <c r="AG1090">
        <v>1</v>
      </c>
      <c r="AH1090">
        <v>2</v>
      </c>
      <c r="AI1090">
        <v>44.44</v>
      </c>
      <c r="AL1090" t="s">
        <v>19614</v>
      </c>
      <c r="AM1090">
        <v>9480</v>
      </c>
      <c r="AO1090" t="s">
        <v>20290</v>
      </c>
      <c r="AP1090" t="s">
        <v>20309</v>
      </c>
      <c r="AQ1090" t="s">
        <v>20369</v>
      </c>
      <c r="AR1090" t="s">
        <v>20439</v>
      </c>
      <c r="AS1090">
        <v>13.1</v>
      </c>
      <c r="AT1090" t="s">
        <v>446</v>
      </c>
      <c r="AU1090" t="s">
        <v>20653</v>
      </c>
      <c r="AV1090" t="s">
        <v>20733</v>
      </c>
    </row>
    <row r="1091" spans="1:48">
      <c r="A1091" s="1">
        <f>HYPERLINK("https://lsnyc.legalserver.org/matter/dynamic-profile/view/1915151","19-1915151")</f>
        <v>0</v>
      </c>
      <c r="B1091" t="s">
        <v>174</v>
      </c>
      <c r="C1091" t="s">
        <v>256</v>
      </c>
      <c r="D1091" t="s">
        <v>270</v>
      </c>
      <c r="F1091" t="s">
        <v>1743</v>
      </c>
      <c r="G1091" t="s">
        <v>3808</v>
      </c>
      <c r="H1091" t="s">
        <v>6344</v>
      </c>
      <c r="I1091" t="s">
        <v>8386</v>
      </c>
      <c r="J1091" t="s">
        <v>9065</v>
      </c>
      <c r="K1091">
        <v>10452</v>
      </c>
      <c r="L1091" t="s">
        <v>9094</v>
      </c>
      <c r="M1091" t="s">
        <v>9095</v>
      </c>
      <c r="O1091" t="s">
        <v>9121</v>
      </c>
      <c r="P1091" t="s">
        <v>11164</v>
      </c>
      <c r="R1091" t="s">
        <v>11180</v>
      </c>
      <c r="S1091" t="s">
        <v>9096</v>
      </c>
      <c r="T1091" t="s">
        <v>11183</v>
      </c>
      <c r="W1091">
        <v>410</v>
      </c>
      <c r="X1091" t="s">
        <v>11333</v>
      </c>
      <c r="Y1091" t="s">
        <v>11346</v>
      </c>
      <c r="Z1091" t="s">
        <v>12144</v>
      </c>
      <c r="AB1091" t="s">
        <v>16578</v>
      </c>
      <c r="AC1091">
        <v>0</v>
      </c>
      <c r="AD1091" t="s">
        <v>19572</v>
      </c>
      <c r="AE1091" t="s">
        <v>19580</v>
      </c>
      <c r="AF1091">
        <v>19</v>
      </c>
      <c r="AG1091">
        <v>2</v>
      </c>
      <c r="AH1091">
        <v>0</v>
      </c>
      <c r="AI1091">
        <v>44.49</v>
      </c>
      <c r="AL1091" t="s">
        <v>19615</v>
      </c>
      <c r="AM1091">
        <v>7524</v>
      </c>
      <c r="AS1091">
        <v>0.5</v>
      </c>
      <c r="AT1091" t="s">
        <v>377</v>
      </c>
      <c r="AU1091" t="s">
        <v>174</v>
      </c>
      <c r="AV1091" t="s">
        <v>20733</v>
      </c>
    </row>
    <row r="1092" spans="1:48">
      <c r="A1092" s="1">
        <f>HYPERLINK("https://lsnyc.legalserver.org/matter/dynamic-profile/view/1914621","19-1914621")</f>
        <v>0</v>
      </c>
      <c r="B1092" t="s">
        <v>100</v>
      </c>
      <c r="C1092" t="s">
        <v>256</v>
      </c>
      <c r="D1092" t="s">
        <v>476</v>
      </c>
      <c r="F1092" t="s">
        <v>1744</v>
      </c>
      <c r="G1092" t="s">
        <v>3503</v>
      </c>
      <c r="H1092" t="s">
        <v>6345</v>
      </c>
      <c r="I1092" t="s">
        <v>8387</v>
      </c>
      <c r="J1092" t="s">
        <v>9065</v>
      </c>
      <c r="K1092">
        <v>10459</v>
      </c>
      <c r="L1092" t="s">
        <v>9094</v>
      </c>
      <c r="M1092" t="s">
        <v>9095</v>
      </c>
      <c r="O1092" t="s">
        <v>9121</v>
      </c>
      <c r="P1092" t="s">
        <v>11164</v>
      </c>
      <c r="R1092" t="s">
        <v>11180</v>
      </c>
      <c r="S1092" t="s">
        <v>9096</v>
      </c>
      <c r="T1092" t="s">
        <v>11183</v>
      </c>
      <c r="W1092">
        <v>1798.8</v>
      </c>
      <c r="X1092" t="s">
        <v>11333</v>
      </c>
      <c r="Z1092" t="s">
        <v>12145</v>
      </c>
      <c r="AA1092" t="s">
        <v>15496</v>
      </c>
      <c r="AB1092" t="s">
        <v>16579</v>
      </c>
      <c r="AC1092">
        <v>0</v>
      </c>
      <c r="AD1092" t="s">
        <v>19566</v>
      </c>
      <c r="AE1092" t="s">
        <v>19582</v>
      </c>
      <c r="AF1092">
        <v>3</v>
      </c>
      <c r="AG1092">
        <v>1</v>
      </c>
      <c r="AH1092">
        <v>2</v>
      </c>
      <c r="AI1092">
        <v>44.56</v>
      </c>
      <c r="AL1092" t="s">
        <v>19614</v>
      </c>
      <c r="AM1092">
        <v>9504</v>
      </c>
      <c r="AS1092">
        <v>1.8</v>
      </c>
      <c r="AT1092" t="s">
        <v>377</v>
      </c>
      <c r="AU1092" t="s">
        <v>20638</v>
      </c>
      <c r="AV1092" t="s">
        <v>20733</v>
      </c>
    </row>
    <row r="1093" spans="1:48">
      <c r="A1093" s="1">
        <f>HYPERLINK("https://lsnyc.legalserver.org/matter/dynamic-profile/view/1914409","19-1914409")</f>
        <v>0</v>
      </c>
      <c r="B1093" t="s">
        <v>178</v>
      </c>
      <c r="C1093" t="s">
        <v>256</v>
      </c>
      <c r="D1093" t="s">
        <v>703</v>
      </c>
      <c r="F1093" t="s">
        <v>1209</v>
      </c>
      <c r="G1093" t="s">
        <v>3825</v>
      </c>
      <c r="H1093" t="s">
        <v>6346</v>
      </c>
      <c r="I1093" t="s">
        <v>8375</v>
      </c>
      <c r="J1093" t="s">
        <v>9065</v>
      </c>
      <c r="K1093">
        <v>10457</v>
      </c>
      <c r="L1093" t="s">
        <v>9094</v>
      </c>
      <c r="M1093" t="s">
        <v>9095</v>
      </c>
      <c r="P1093" t="s">
        <v>11164</v>
      </c>
      <c r="R1093" t="s">
        <v>11180</v>
      </c>
      <c r="T1093" t="s">
        <v>11183</v>
      </c>
      <c r="W1093">
        <v>0</v>
      </c>
      <c r="X1093" t="s">
        <v>11333</v>
      </c>
      <c r="Z1093" t="s">
        <v>12146</v>
      </c>
      <c r="AA1093" t="s">
        <v>15497</v>
      </c>
      <c r="AB1093" t="s">
        <v>16580</v>
      </c>
      <c r="AC1093">
        <v>0</v>
      </c>
      <c r="AF1093">
        <v>0</v>
      </c>
      <c r="AG1093">
        <v>2</v>
      </c>
      <c r="AH1093">
        <v>3</v>
      </c>
      <c r="AI1093">
        <v>44.59</v>
      </c>
      <c r="AL1093" t="s">
        <v>19614</v>
      </c>
      <c r="AM1093">
        <v>13452</v>
      </c>
      <c r="AS1093">
        <v>0.75</v>
      </c>
      <c r="AT1093" t="s">
        <v>703</v>
      </c>
      <c r="AU1093" t="s">
        <v>178</v>
      </c>
      <c r="AV1093" t="s">
        <v>20733</v>
      </c>
    </row>
    <row r="1094" spans="1:48">
      <c r="A1094" s="1">
        <f>HYPERLINK("https://lsnyc.legalserver.org/matter/dynamic-profile/view/1863837","18-1863837")</f>
        <v>0</v>
      </c>
      <c r="B1094" t="s">
        <v>136</v>
      </c>
      <c r="C1094" t="s">
        <v>256</v>
      </c>
      <c r="D1094" t="s">
        <v>504</v>
      </c>
      <c r="F1094" t="s">
        <v>1735</v>
      </c>
      <c r="G1094" t="s">
        <v>3913</v>
      </c>
      <c r="H1094" t="s">
        <v>5961</v>
      </c>
      <c r="I1094">
        <v>809</v>
      </c>
      <c r="J1094" t="s">
        <v>9067</v>
      </c>
      <c r="K1094">
        <v>10029</v>
      </c>
      <c r="L1094" t="s">
        <v>9094</v>
      </c>
      <c r="M1094" t="s">
        <v>9094</v>
      </c>
      <c r="N1094" t="s">
        <v>9287</v>
      </c>
      <c r="O1094" t="s">
        <v>11130</v>
      </c>
      <c r="P1094" t="s">
        <v>11165</v>
      </c>
      <c r="R1094" t="s">
        <v>11180</v>
      </c>
      <c r="S1094" t="s">
        <v>9094</v>
      </c>
      <c r="T1094" t="s">
        <v>11183</v>
      </c>
      <c r="U1094" t="s">
        <v>11201</v>
      </c>
      <c r="V1094" t="s">
        <v>651</v>
      </c>
      <c r="W1094">
        <v>0</v>
      </c>
      <c r="X1094" t="s">
        <v>11335</v>
      </c>
      <c r="Y1094" t="s">
        <v>11339</v>
      </c>
      <c r="Z1094" t="s">
        <v>12129</v>
      </c>
      <c r="AC1094">
        <v>108</v>
      </c>
      <c r="AD1094" t="s">
        <v>19567</v>
      </c>
      <c r="AE1094" t="s">
        <v>19580</v>
      </c>
      <c r="AF1094">
        <v>32</v>
      </c>
      <c r="AG1094">
        <v>2</v>
      </c>
      <c r="AH1094">
        <v>1</v>
      </c>
      <c r="AI1094">
        <v>44.64</v>
      </c>
      <c r="AL1094" t="s">
        <v>19614</v>
      </c>
      <c r="AM1094">
        <v>9276</v>
      </c>
      <c r="AS1094">
        <v>1</v>
      </c>
      <c r="AT1094" t="s">
        <v>748</v>
      </c>
      <c r="AU1094" t="s">
        <v>20657</v>
      </c>
      <c r="AV1094" t="s">
        <v>20733</v>
      </c>
    </row>
    <row r="1095" spans="1:48">
      <c r="A1095" s="1">
        <f>HYPERLINK("https://lsnyc.legalserver.org/matter/dynamic-profile/view/1901369","19-1901369")</f>
        <v>0</v>
      </c>
      <c r="B1095" t="s">
        <v>110</v>
      </c>
      <c r="C1095" t="s">
        <v>257</v>
      </c>
      <c r="D1095" t="s">
        <v>471</v>
      </c>
      <c r="E1095" t="s">
        <v>632</v>
      </c>
      <c r="F1095" t="s">
        <v>1678</v>
      </c>
      <c r="G1095" t="s">
        <v>1538</v>
      </c>
      <c r="H1095" t="s">
        <v>6347</v>
      </c>
      <c r="I1095" t="s">
        <v>8209</v>
      </c>
      <c r="J1095" t="s">
        <v>9065</v>
      </c>
      <c r="K1095">
        <v>10472</v>
      </c>
      <c r="L1095" t="s">
        <v>9094</v>
      </c>
      <c r="M1095" t="s">
        <v>9095</v>
      </c>
      <c r="O1095" t="s">
        <v>9121</v>
      </c>
      <c r="P1095" t="s">
        <v>11164</v>
      </c>
      <c r="Q1095" t="s">
        <v>11172</v>
      </c>
      <c r="R1095" t="s">
        <v>11180</v>
      </c>
      <c r="S1095" t="s">
        <v>9096</v>
      </c>
      <c r="T1095" t="s">
        <v>11183</v>
      </c>
      <c r="V1095" t="s">
        <v>11218</v>
      </c>
      <c r="W1095">
        <v>1303</v>
      </c>
      <c r="X1095" t="s">
        <v>11333</v>
      </c>
      <c r="Y1095" t="s">
        <v>11346</v>
      </c>
      <c r="Z1095" t="s">
        <v>12147</v>
      </c>
      <c r="AB1095" t="s">
        <v>15274</v>
      </c>
      <c r="AC1095">
        <v>0</v>
      </c>
      <c r="AD1095" t="s">
        <v>19566</v>
      </c>
      <c r="AE1095" t="s">
        <v>19581</v>
      </c>
      <c r="AF1095">
        <v>0</v>
      </c>
      <c r="AG1095">
        <v>1</v>
      </c>
      <c r="AH1095">
        <v>1</v>
      </c>
      <c r="AI1095">
        <v>44.74</v>
      </c>
      <c r="AL1095" t="s">
        <v>19614</v>
      </c>
      <c r="AM1095">
        <v>7566</v>
      </c>
      <c r="AS1095">
        <v>5</v>
      </c>
      <c r="AT1095" t="s">
        <v>750</v>
      </c>
      <c r="AU1095" t="s">
        <v>110</v>
      </c>
      <c r="AV1095" t="s">
        <v>20733</v>
      </c>
    </row>
    <row r="1096" spans="1:48">
      <c r="A1096" s="1">
        <f>HYPERLINK("https://lsnyc.legalserver.org/matter/dynamic-profile/view/1893217","19-1893217")</f>
        <v>0</v>
      </c>
      <c r="B1096" t="s">
        <v>137</v>
      </c>
      <c r="C1096" t="s">
        <v>256</v>
      </c>
      <c r="D1096" t="s">
        <v>719</v>
      </c>
      <c r="F1096" t="s">
        <v>1745</v>
      </c>
      <c r="G1096" t="s">
        <v>3920</v>
      </c>
      <c r="H1096" t="s">
        <v>6348</v>
      </c>
      <c r="I1096" t="s">
        <v>8124</v>
      </c>
      <c r="J1096" t="s">
        <v>9067</v>
      </c>
      <c r="K1096">
        <v>10033</v>
      </c>
      <c r="L1096" t="s">
        <v>9094</v>
      </c>
      <c r="M1096" t="s">
        <v>9094</v>
      </c>
      <c r="P1096" t="s">
        <v>11165</v>
      </c>
      <c r="R1096" t="s">
        <v>11180</v>
      </c>
      <c r="S1096" t="s">
        <v>9096</v>
      </c>
      <c r="T1096" t="s">
        <v>11183</v>
      </c>
      <c r="V1096" t="s">
        <v>719</v>
      </c>
      <c r="W1096">
        <v>990</v>
      </c>
      <c r="X1096" t="s">
        <v>11335</v>
      </c>
      <c r="Y1096" t="s">
        <v>11338</v>
      </c>
      <c r="Z1096" t="s">
        <v>12148</v>
      </c>
      <c r="AB1096" t="s">
        <v>16581</v>
      </c>
      <c r="AC1096">
        <v>47</v>
      </c>
      <c r="AD1096" t="s">
        <v>19566</v>
      </c>
      <c r="AE1096" t="s">
        <v>9144</v>
      </c>
      <c r="AF1096">
        <v>40</v>
      </c>
      <c r="AG1096">
        <v>1</v>
      </c>
      <c r="AH1096">
        <v>0</v>
      </c>
      <c r="AI1096">
        <v>44.76</v>
      </c>
      <c r="AL1096" t="s">
        <v>19614</v>
      </c>
      <c r="AM1096">
        <v>5590</v>
      </c>
      <c r="AS1096">
        <v>72.05</v>
      </c>
      <c r="AT1096" t="s">
        <v>270</v>
      </c>
      <c r="AU1096" t="s">
        <v>130</v>
      </c>
      <c r="AV1096" t="s">
        <v>20733</v>
      </c>
    </row>
    <row r="1097" spans="1:48">
      <c r="A1097" s="1">
        <f>HYPERLINK("https://lsnyc.legalserver.org/matter/dynamic-profile/view/0822230","16-0822230")</f>
        <v>0</v>
      </c>
      <c r="B1097" t="s">
        <v>156</v>
      </c>
      <c r="C1097" t="s">
        <v>256</v>
      </c>
      <c r="D1097" t="s">
        <v>720</v>
      </c>
      <c r="F1097" t="s">
        <v>1746</v>
      </c>
      <c r="G1097" t="s">
        <v>3921</v>
      </c>
      <c r="H1097" t="s">
        <v>5855</v>
      </c>
      <c r="I1097" t="s">
        <v>8140</v>
      </c>
      <c r="J1097" t="s">
        <v>9065</v>
      </c>
      <c r="K1097">
        <v>10467</v>
      </c>
      <c r="L1097" t="s">
        <v>9094</v>
      </c>
      <c r="M1097" t="s">
        <v>9095</v>
      </c>
      <c r="N1097" t="s">
        <v>9220</v>
      </c>
      <c r="O1097" t="s">
        <v>11143</v>
      </c>
      <c r="P1097" t="s">
        <v>11165</v>
      </c>
      <c r="R1097" t="s">
        <v>11180</v>
      </c>
      <c r="S1097" t="s">
        <v>9094</v>
      </c>
      <c r="T1097" t="s">
        <v>11183</v>
      </c>
      <c r="V1097" t="s">
        <v>11245</v>
      </c>
      <c r="W1097">
        <v>1530.48</v>
      </c>
      <c r="X1097" t="s">
        <v>11333</v>
      </c>
      <c r="Y1097" t="s">
        <v>11338</v>
      </c>
      <c r="Z1097" t="s">
        <v>11574</v>
      </c>
      <c r="AC1097">
        <v>30</v>
      </c>
      <c r="AD1097" t="s">
        <v>19572</v>
      </c>
      <c r="AE1097" t="s">
        <v>19580</v>
      </c>
      <c r="AF1097">
        <v>4</v>
      </c>
      <c r="AG1097">
        <v>1</v>
      </c>
      <c r="AH1097">
        <v>1</v>
      </c>
      <c r="AI1097">
        <v>44.94</v>
      </c>
      <c r="AJ1097" t="s">
        <v>865</v>
      </c>
      <c r="AL1097" t="s">
        <v>19614</v>
      </c>
      <c r="AM1097">
        <v>7200</v>
      </c>
      <c r="AS1097">
        <v>0</v>
      </c>
      <c r="AU1097" t="s">
        <v>20645</v>
      </c>
    </row>
    <row r="1098" spans="1:48">
      <c r="A1098" s="1">
        <f>HYPERLINK("https://lsnyc.legalserver.org/matter/dynamic-profile/view/1866109","18-1866109")</f>
        <v>0</v>
      </c>
      <c r="B1098" t="s">
        <v>136</v>
      </c>
      <c r="C1098" t="s">
        <v>256</v>
      </c>
      <c r="D1098" t="s">
        <v>673</v>
      </c>
      <c r="F1098" t="s">
        <v>1747</v>
      </c>
      <c r="G1098" t="s">
        <v>3802</v>
      </c>
      <c r="H1098" t="s">
        <v>6119</v>
      </c>
      <c r="I1098" t="s">
        <v>8388</v>
      </c>
      <c r="J1098" t="s">
        <v>9067</v>
      </c>
      <c r="K1098">
        <v>10031</v>
      </c>
      <c r="L1098" t="s">
        <v>9094</v>
      </c>
      <c r="M1098" t="s">
        <v>9094</v>
      </c>
      <c r="O1098" t="s">
        <v>11130</v>
      </c>
      <c r="P1098" t="s">
        <v>11167</v>
      </c>
      <c r="R1098" t="s">
        <v>11180</v>
      </c>
      <c r="S1098" t="s">
        <v>9094</v>
      </c>
      <c r="T1098" t="s">
        <v>11183</v>
      </c>
      <c r="U1098" t="s">
        <v>11201</v>
      </c>
      <c r="V1098" t="s">
        <v>673</v>
      </c>
      <c r="W1098">
        <v>1712</v>
      </c>
      <c r="X1098" t="s">
        <v>11335</v>
      </c>
      <c r="Y1098" t="s">
        <v>11339</v>
      </c>
      <c r="Z1098" t="s">
        <v>12149</v>
      </c>
      <c r="AB1098" t="s">
        <v>16582</v>
      </c>
      <c r="AC1098">
        <v>44</v>
      </c>
      <c r="AD1098" t="s">
        <v>19567</v>
      </c>
      <c r="AE1098" t="s">
        <v>19580</v>
      </c>
      <c r="AF1098">
        <v>7</v>
      </c>
      <c r="AG1098">
        <v>1</v>
      </c>
      <c r="AH1098">
        <v>0</v>
      </c>
      <c r="AI1098">
        <v>44.98</v>
      </c>
      <c r="AL1098" t="s">
        <v>19615</v>
      </c>
      <c r="AM1098">
        <v>5460</v>
      </c>
      <c r="AS1098">
        <v>0.3</v>
      </c>
      <c r="AT1098" t="s">
        <v>487</v>
      </c>
      <c r="AU1098" t="s">
        <v>20657</v>
      </c>
    </row>
    <row r="1099" spans="1:48">
      <c r="A1099" s="1">
        <f>HYPERLINK("https://lsnyc.legalserver.org/matter/dynamic-profile/view/1913913","19-1913913")</f>
        <v>0</v>
      </c>
      <c r="B1099" t="s">
        <v>117</v>
      </c>
      <c r="C1099" t="s">
        <v>256</v>
      </c>
      <c r="D1099" t="s">
        <v>301</v>
      </c>
      <c r="F1099" t="s">
        <v>1748</v>
      </c>
      <c r="G1099" t="s">
        <v>3922</v>
      </c>
      <c r="H1099" t="s">
        <v>6349</v>
      </c>
      <c r="I1099" t="s">
        <v>8124</v>
      </c>
      <c r="J1099" t="s">
        <v>9065</v>
      </c>
      <c r="K1099">
        <v>10451</v>
      </c>
      <c r="L1099" t="s">
        <v>9095</v>
      </c>
      <c r="M1099" t="s">
        <v>9095</v>
      </c>
      <c r="P1099" t="s">
        <v>11164</v>
      </c>
      <c r="R1099" t="s">
        <v>11180</v>
      </c>
      <c r="T1099" t="s">
        <v>11183</v>
      </c>
      <c r="W1099">
        <v>0</v>
      </c>
      <c r="X1099" t="s">
        <v>11333</v>
      </c>
      <c r="Z1099" t="s">
        <v>11944</v>
      </c>
      <c r="AB1099" t="s">
        <v>16583</v>
      </c>
      <c r="AC1099">
        <v>0</v>
      </c>
      <c r="AF1099">
        <v>0</v>
      </c>
      <c r="AG1099">
        <v>2</v>
      </c>
      <c r="AH1099">
        <v>1</v>
      </c>
      <c r="AI1099">
        <v>45.01</v>
      </c>
      <c r="AL1099" t="s">
        <v>19614</v>
      </c>
      <c r="AM1099">
        <v>9600</v>
      </c>
      <c r="AS1099">
        <v>0</v>
      </c>
      <c r="AU1099" t="s">
        <v>117</v>
      </c>
    </row>
    <row r="1100" spans="1:48">
      <c r="A1100" s="1">
        <f>HYPERLINK("https://lsnyc.legalserver.org/matter/dynamic-profile/view/1868446","18-1868446")</f>
        <v>0</v>
      </c>
      <c r="B1100" t="s">
        <v>134</v>
      </c>
      <c r="C1100" t="s">
        <v>256</v>
      </c>
      <c r="D1100" t="s">
        <v>618</v>
      </c>
      <c r="F1100" t="s">
        <v>1749</v>
      </c>
      <c r="G1100" t="s">
        <v>3923</v>
      </c>
      <c r="H1100" t="s">
        <v>6350</v>
      </c>
      <c r="I1100" t="s">
        <v>8171</v>
      </c>
      <c r="J1100" t="s">
        <v>9067</v>
      </c>
      <c r="K1100">
        <v>10034</v>
      </c>
      <c r="L1100" t="s">
        <v>9094</v>
      </c>
      <c r="M1100" t="s">
        <v>9094</v>
      </c>
      <c r="N1100" t="s">
        <v>9609</v>
      </c>
      <c r="O1100" t="s">
        <v>11129</v>
      </c>
      <c r="P1100" t="s">
        <v>11165</v>
      </c>
      <c r="R1100" t="s">
        <v>11180</v>
      </c>
      <c r="S1100" t="s">
        <v>9096</v>
      </c>
      <c r="T1100" t="s">
        <v>11183</v>
      </c>
      <c r="V1100" t="s">
        <v>618</v>
      </c>
      <c r="W1100">
        <v>1098.91</v>
      </c>
      <c r="X1100" t="s">
        <v>11335</v>
      </c>
      <c r="Y1100" t="s">
        <v>11338</v>
      </c>
      <c r="Z1100" t="s">
        <v>12150</v>
      </c>
      <c r="AA1100" t="s">
        <v>15498</v>
      </c>
      <c r="AB1100" t="s">
        <v>16584</v>
      </c>
      <c r="AC1100">
        <v>52</v>
      </c>
      <c r="AD1100" t="s">
        <v>19566</v>
      </c>
      <c r="AE1100" t="s">
        <v>9144</v>
      </c>
      <c r="AF1100">
        <v>18</v>
      </c>
      <c r="AG1100">
        <v>1</v>
      </c>
      <c r="AH1100">
        <v>0</v>
      </c>
      <c r="AI1100">
        <v>45.3</v>
      </c>
      <c r="AL1100" t="s">
        <v>19614</v>
      </c>
      <c r="AM1100">
        <v>5500</v>
      </c>
      <c r="AS1100">
        <v>70.40000000000001</v>
      </c>
      <c r="AT1100" t="s">
        <v>426</v>
      </c>
      <c r="AU1100" t="s">
        <v>130</v>
      </c>
    </row>
    <row r="1101" spans="1:48">
      <c r="A1101" s="1">
        <f>HYPERLINK("https://lsnyc.legalserver.org/matter/dynamic-profile/view/1904987","19-1904987")</f>
        <v>0</v>
      </c>
      <c r="B1101" t="s">
        <v>134</v>
      </c>
      <c r="C1101" t="s">
        <v>257</v>
      </c>
      <c r="D1101" t="s">
        <v>660</v>
      </c>
      <c r="E1101" t="s">
        <v>425</v>
      </c>
      <c r="F1101" t="s">
        <v>1750</v>
      </c>
      <c r="G1101" t="s">
        <v>3341</v>
      </c>
      <c r="H1101" t="s">
        <v>6351</v>
      </c>
      <c r="I1101" t="s">
        <v>8124</v>
      </c>
      <c r="J1101" t="s">
        <v>9067</v>
      </c>
      <c r="K1101">
        <v>10034</v>
      </c>
      <c r="L1101" t="s">
        <v>9094</v>
      </c>
      <c r="M1101" t="s">
        <v>9095</v>
      </c>
      <c r="O1101" t="s">
        <v>11136</v>
      </c>
      <c r="P1101" t="s">
        <v>11164</v>
      </c>
      <c r="Q1101" t="s">
        <v>11172</v>
      </c>
      <c r="R1101" t="s">
        <v>11180</v>
      </c>
      <c r="S1101" t="s">
        <v>9096</v>
      </c>
      <c r="T1101" t="s">
        <v>11183</v>
      </c>
      <c r="V1101" t="s">
        <v>660</v>
      </c>
      <c r="W1101">
        <v>980.67</v>
      </c>
      <c r="X1101" t="s">
        <v>11335</v>
      </c>
      <c r="Y1101" t="s">
        <v>11340</v>
      </c>
      <c r="Z1101" t="s">
        <v>12151</v>
      </c>
      <c r="AB1101" t="s">
        <v>16585</v>
      </c>
      <c r="AC1101">
        <v>26</v>
      </c>
      <c r="AD1101" t="s">
        <v>19566</v>
      </c>
      <c r="AE1101" t="s">
        <v>19587</v>
      </c>
      <c r="AF1101">
        <v>9</v>
      </c>
      <c r="AG1101">
        <v>2</v>
      </c>
      <c r="AH1101">
        <v>1</v>
      </c>
      <c r="AI1101">
        <v>45.34</v>
      </c>
      <c r="AL1101" t="s">
        <v>19615</v>
      </c>
      <c r="AM1101">
        <v>9672</v>
      </c>
      <c r="AS1101">
        <v>1</v>
      </c>
      <c r="AT1101" t="s">
        <v>414</v>
      </c>
      <c r="AU1101" t="s">
        <v>130</v>
      </c>
      <c r="AV1101" t="s">
        <v>20733</v>
      </c>
    </row>
    <row r="1102" spans="1:48">
      <c r="A1102" s="1">
        <f>HYPERLINK("https://lsnyc.legalserver.org/matter/dynamic-profile/view/1860954","18-1860954")</f>
        <v>0</v>
      </c>
      <c r="B1102" t="s">
        <v>150</v>
      </c>
      <c r="C1102" t="s">
        <v>256</v>
      </c>
      <c r="D1102" t="s">
        <v>721</v>
      </c>
      <c r="F1102" t="s">
        <v>1751</v>
      </c>
      <c r="G1102" t="s">
        <v>3370</v>
      </c>
      <c r="H1102" t="s">
        <v>6352</v>
      </c>
      <c r="I1102" t="s">
        <v>8193</v>
      </c>
      <c r="J1102" t="s">
        <v>9059</v>
      </c>
      <c r="K1102">
        <v>11220</v>
      </c>
      <c r="L1102" t="s">
        <v>9094</v>
      </c>
      <c r="M1102" t="s">
        <v>9094</v>
      </c>
      <c r="N1102" t="s">
        <v>9610</v>
      </c>
      <c r="O1102" t="s">
        <v>11129</v>
      </c>
      <c r="P1102" t="s">
        <v>11165</v>
      </c>
      <c r="R1102" t="s">
        <v>11180</v>
      </c>
      <c r="S1102" t="s">
        <v>9096</v>
      </c>
      <c r="T1102" t="s">
        <v>11183</v>
      </c>
      <c r="V1102" t="s">
        <v>450</v>
      </c>
      <c r="W1102">
        <v>1224</v>
      </c>
      <c r="X1102" t="s">
        <v>11332</v>
      </c>
      <c r="Y1102" t="s">
        <v>11349</v>
      </c>
      <c r="Z1102" t="s">
        <v>12152</v>
      </c>
      <c r="AB1102" t="s">
        <v>16586</v>
      </c>
      <c r="AC1102">
        <v>30</v>
      </c>
      <c r="AD1102" t="s">
        <v>19566</v>
      </c>
      <c r="AE1102" t="s">
        <v>9144</v>
      </c>
      <c r="AF1102">
        <v>7</v>
      </c>
      <c r="AG1102">
        <v>2</v>
      </c>
      <c r="AH1102">
        <v>1</v>
      </c>
      <c r="AI1102">
        <v>45.39</v>
      </c>
      <c r="AL1102" t="s">
        <v>19614</v>
      </c>
      <c r="AM1102">
        <v>9432</v>
      </c>
      <c r="AS1102">
        <v>10.3</v>
      </c>
      <c r="AT1102" t="s">
        <v>411</v>
      </c>
      <c r="AU1102" t="s">
        <v>20683</v>
      </c>
    </row>
    <row r="1103" spans="1:48">
      <c r="A1103" s="1">
        <f>HYPERLINK("https://lsnyc.legalserver.org/matter/dynamic-profile/view/0828485","17-0828485")</f>
        <v>0</v>
      </c>
      <c r="B1103" t="s">
        <v>106</v>
      </c>
      <c r="C1103" t="s">
        <v>257</v>
      </c>
      <c r="D1103" t="s">
        <v>722</v>
      </c>
      <c r="E1103" t="s">
        <v>395</v>
      </c>
      <c r="F1103" t="s">
        <v>1655</v>
      </c>
      <c r="G1103" t="s">
        <v>3924</v>
      </c>
      <c r="H1103" t="s">
        <v>6353</v>
      </c>
      <c r="I1103" t="s">
        <v>8160</v>
      </c>
      <c r="J1103" t="s">
        <v>9065</v>
      </c>
      <c r="K1103">
        <v>10453</v>
      </c>
      <c r="L1103" t="s">
        <v>9094</v>
      </c>
      <c r="M1103" t="s">
        <v>9094</v>
      </c>
      <c r="N1103" t="s">
        <v>9611</v>
      </c>
      <c r="O1103" t="s">
        <v>11128</v>
      </c>
      <c r="P1103" t="s">
        <v>11165</v>
      </c>
      <c r="Q1103" t="s">
        <v>11174</v>
      </c>
      <c r="R1103" t="s">
        <v>11180</v>
      </c>
      <c r="S1103" t="s">
        <v>9096</v>
      </c>
      <c r="T1103" t="s">
        <v>11183</v>
      </c>
      <c r="U1103" t="s">
        <v>11201</v>
      </c>
      <c r="V1103" t="s">
        <v>1070</v>
      </c>
      <c r="W1103">
        <v>851</v>
      </c>
      <c r="X1103" t="s">
        <v>11333</v>
      </c>
      <c r="Y1103" t="s">
        <v>11346</v>
      </c>
      <c r="Z1103" t="s">
        <v>11579</v>
      </c>
      <c r="AA1103" t="s">
        <v>15499</v>
      </c>
      <c r="AB1103" t="s">
        <v>16587</v>
      </c>
      <c r="AC1103">
        <v>16</v>
      </c>
      <c r="AD1103" t="s">
        <v>19566</v>
      </c>
      <c r="AE1103" t="s">
        <v>19581</v>
      </c>
      <c r="AF1103">
        <v>28</v>
      </c>
      <c r="AG1103">
        <v>4</v>
      </c>
      <c r="AH1103">
        <v>0</v>
      </c>
      <c r="AI1103">
        <v>45.43</v>
      </c>
      <c r="AL1103" t="s">
        <v>19614</v>
      </c>
      <c r="AM1103">
        <v>11176</v>
      </c>
      <c r="AO1103" t="s">
        <v>20300</v>
      </c>
      <c r="AP1103" t="s">
        <v>20313</v>
      </c>
      <c r="AQ1103" t="s">
        <v>20369</v>
      </c>
      <c r="AR1103" t="s">
        <v>20440</v>
      </c>
      <c r="AS1103">
        <v>138.9</v>
      </c>
      <c r="AT1103" t="s">
        <v>497</v>
      </c>
      <c r="AU1103" t="s">
        <v>20647</v>
      </c>
    </row>
    <row r="1104" spans="1:48">
      <c r="A1104" s="1">
        <f>HYPERLINK("https://lsnyc.legalserver.org/matter/dynamic-profile/view/1880858","18-1880858")</f>
        <v>0</v>
      </c>
      <c r="B1104" t="s">
        <v>103</v>
      </c>
      <c r="C1104" t="s">
        <v>256</v>
      </c>
      <c r="D1104" t="s">
        <v>723</v>
      </c>
      <c r="F1104" t="s">
        <v>1752</v>
      </c>
      <c r="G1104" t="s">
        <v>3586</v>
      </c>
      <c r="H1104" t="s">
        <v>6354</v>
      </c>
      <c r="I1104" t="s">
        <v>8140</v>
      </c>
      <c r="J1104" t="s">
        <v>9065</v>
      </c>
      <c r="K1104">
        <v>10468</v>
      </c>
      <c r="L1104" t="s">
        <v>9094</v>
      </c>
      <c r="M1104" t="s">
        <v>9094</v>
      </c>
      <c r="O1104" t="s">
        <v>11129</v>
      </c>
      <c r="P1104" t="s">
        <v>11164</v>
      </c>
      <c r="R1104" t="s">
        <v>11180</v>
      </c>
      <c r="T1104" t="s">
        <v>11183</v>
      </c>
      <c r="V1104" t="s">
        <v>723</v>
      </c>
      <c r="W1104">
        <v>0</v>
      </c>
      <c r="X1104" t="s">
        <v>11333</v>
      </c>
      <c r="Z1104" t="s">
        <v>12153</v>
      </c>
      <c r="AB1104" t="s">
        <v>16588</v>
      </c>
      <c r="AC1104">
        <v>0</v>
      </c>
      <c r="AF1104">
        <v>0</v>
      </c>
      <c r="AG1104">
        <v>1</v>
      </c>
      <c r="AH1104">
        <v>2</v>
      </c>
      <c r="AI1104">
        <v>45.51</v>
      </c>
      <c r="AL1104" t="s">
        <v>19614</v>
      </c>
      <c r="AM1104">
        <v>9456</v>
      </c>
      <c r="AS1104">
        <v>0.5</v>
      </c>
      <c r="AT1104" t="s">
        <v>723</v>
      </c>
      <c r="AU1104" t="s">
        <v>178</v>
      </c>
    </row>
    <row r="1105" spans="1:48">
      <c r="A1105" s="1">
        <f>HYPERLINK("https://lsnyc.legalserver.org/matter/dynamic-profile/view/1879912","18-1879912")</f>
        <v>0</v>
      </c>
      <c r="B1105" t="s">
        <v>76</v>
      </c>
      <c r="C1105" t="s">
        <v>257</v>
      </c>
      <c r="D1105" t="s">
        <v>313</v>
      </c>
      <c r="E1105" t="s">
        <v>328</v>
      </c>
      <c r="F1105" t="s">
        <v>1753</v>
      </c>
      <c r="G1105" t="s">
        <v>2903</v>
      </c>
      <c r="H1105" t="s">
        <v>6312</v>
      </c>
      <c r="I1105" t="s">
        <v>8142</v>
      </c>
      <c r="J1105" t="s">
        <v>9059</v>
      </c>
      <c r="K1105">
        <v>11207</v>
      </c>
      <c r="L1105" t="s">
        <v>9094</v>
      </c>
      <c r="M1105" t="s">
        <v>9094</v>
      </c>
      <c r="N1105" t="s">
        <v>9121</v>
      </c>
      <c r="O1105" t="s">
        <v>11143</v>
      </c>
      <c r="P1105" t="s">
        <v>11167</v>
      </c>
      <c r="Q1105" t="s">
        <v>11172</v>
      </c>
      <c r="R1105" t="s">
        <v>11180</v>
      </c>
      <c r="S1105" t="s">
        <v>9094</v>
      </c>
      <c r="T1105" t="s">
        <v>11183</v>
      </c>
      <c r="U1105" t="s">
        <v>11201</v>
      </c>
      <c r="V1105" t="s">
        <v>697</v>
      </c>
      <c r="W1105">
        <v>1250</v>
      </c>
      <c r="X1105" t="s">
        <v>11332</v>
      </c>
      <c r="Y1105" t="s">
        <v>11339</v>
      </c>
      <c r="Z1105" t="s">
        <v>12154</v>
      </c>
      <c r="AA1105" t="s">
        <v>15290</v>
      </c>
      <c r="AB1105" t="s">
        <v>16589</v>
      </c>
      <c r="AC1105">
        <v>6</v>
      </c>
      <c r="AD1105" t="s">
        <v>19566</v>
      </c>
      <c r="AE1105" t="s">
        <v>19585</v>
      </c>
      <c r="AF1105">
        <v>7</v>
      </c>
      <c r="AG1105">
        <v>1</v>
      </c>
      <c r="AH1105">
        <v>1</v>
      </c>
      <c r="AI1105">
        <v>45.52</v>
      </c>
      <c r="AL1105" t="s">
        <v>19614</v>
      </c>
      <c r="AM1105">
        <v>7492</v>
      </c>
      <c r="AN1105" t="s">
        <v>19761</v>
      </c>
      <c r="AS1105">
        <v>0.25</v>
      </c>
      <c r="AT1105" t="s">
        <v>746</v>
      </c>
      <c r="AU1105" t="s">
        <v>95</v>
      </c>
    </row>
    <row r="1106" spans="1:48">
      <c r="A1106" s="1">
        <f>HYPERLINK("https://lsnyc.legalserver.org/matter/dynamic-profile/view/1879917","18-1879917")</f>
        <v>0</v>
      </c>
      <c r="B1106" t="s">
        <v>76</v>
      </c>
      <c r="C1106" t="s">
        <v>256</v>
      </c>
      <c r="D1106" t="s">
        <v>313</v>
      </c>
      <c r="F1106" t="s">
        <v>1753</v>
      </c>
      <c r="G1106" t="s">
        <v>2903</v>
      </c>
      <c r="H1106" t="s">
        <v>6312</v>
      </c>
      <c r="I1106" t="s">
        <v>8142</v>
      </c>
      <c r="J1106" t="s">
        <v>9059</v>
      </c>
      <c r="K1106">
        <v>11207</v>
      </c>
      <c r="L1106" t="s">
        <v>9094</v>
      </c>
      <c r="M1106" t="s">
        <v>9094</v>
      </c>
      <c r="N1106" t="s">
        <v>9121</v>
      </c>
      <c r="O1106" t="s">
        <v>11132</v>
      </c>
      <c r="P1106" t="s">
        <v>11167</v>
      </c>
      <c r="R1106" t="s">
        <v>11180</v>
      </c>
      <c r="S1106" t="s">
        <v>9094</v>
      </c>
      <c r="T1106" t="s">
        <v>11183</v>
      </c>
      <c r="U1106" t="s">
        <v>11201</v>
      </c>
      <c r="V1106" t="s">
        <v>11236</v>
      </c>
      <c r="W1106">
        <v>1250</v>
      </c>
      <c r="X1106" t="s">
        <v>11332</v>
      </c>
      <c r="Y1106" t="s">
        <v>11339</v>
      </c>
      <c r="Z1106" t="s">
        <v>12154</v>
      </c>
      <c r="AA1106" t="s">
        <v>15290</v>
      </c>
      <c r="AB1106" t="s">
        <v>16589</v>
      </c>
      <c r="AC1106">
        <v>6</v>
      </c>
      <c r="AD1106" t="s">
        <v>19566</v>
      </c>
      <c r="AE1106" t="s">
        <v>19585</v>
      </c>
      <c r="AF1106">
        <v>7</v>
      </c>
      <c r="AG1106">
        <v>1</v>
      </c>
      <c r="AH1106">
        <v>1</v>
      </c>
      <c r="AI1106">
        <v>45.52</v>
      </c>
      <c r="AL1106" t="s">
        <v>19614</v>
      </c>
      <c r="AM1106">
        <v>7492</v>
      </c>
      <c r="AN1106" t="s">
        <v>19761</v>
      </c>
      <c r="AS1106">
        <v>0.12</v>
      </c>
      <c r="AT1106" t="s">
        <v>746</v>
      </c>
      <c r="AU1106" t="s">
        <v>95</v>
      </c>
    </row>
    <row r="1107" spans="1:48">
      <c r="A1107" s="1">
        <f>HYPERLINK("https://lsnyc.legalserver.org/matter/dynamic-profile/view/1879900","18-1879900")</f>
        <v>0</v>
      </c>
      <c r="B1107" t="s">
        <v>76</v>
      </c>
      <c r="C1107" t="s">
        <v>256</v>
      </c>
      <c r="D1107" t="s">
        <v>313</v>
      </c>
      <c r="F1107" t="s">
        <v>1753</v>
      </c>
      <c r="G1107" t="s">
        <v>2903</v>
      </c>
      <c r="H1107" t="s">
        <v>6312</v>
      </c>
      <c r="I1107" t="s">
        <v>8142</v>
      </c>
      <c r="J1107" t="s">
        <v>9059</v>
      </c>
      <c r="K1107">
        <v>11207</v>
      </c>
      <c r="L1107" t="s">
        <v>9094</v>
      </c>
      <c r="M1107" t="s">
        <v>9094</v>
      </c>
      <c r="N1107" t="s">
        <v>9612</v>
      </c>
      <c r="O1107" t="s">
        <v>11134</v>
      </c>
      <c r="P1107" t="s">
        <v>11168</v>
      </c>
      <c r="R1107" t="s">
        <v>11180</v>
      </c>
      <c r="S1107" t="s">
        <v>9094</v>
      </c>
      <c r="T1107" t="s">
        <v>11183</v>
      </c>
      <c r="U1107" t="s">
        <v>11201</v>
      </c>
      <c r="V1107" t="s">
        <v>11229</v>
      </c>
      <c r="W1107">
        <v>1250</v>
      </c>
      <c r="X1107" t="s">
        <v>11332</v>
      </c>
      <c r="Y1107" t="s">
        <v>11339</v>
      </c>
      <c r="Z1107" t="s">
        <v>12154</v>
      </c>
      <c r="AA1107" t="s">
        <v>15290</v>
      </c>
      <c r="AB1107" t="s">
        <v>16589</v>
      </c>
      <c r="AC1107">
        <v>6</v>
      </c>
      <c r="AD1107" t="s">
        <v>19566</v>
      </c>
      <c r="AE1107" t="s">
        <v>19585</v>
      </c>
      <c r="AF1107">
        <v>7</v>
      </c>
      <c r="AG1107">
        <v>1</v>
      </c>
      <c r="AH1107">
        <v>1</v>
      </c>
      <c r="AI1107">
        <v>45.52</v>
      </c>
      <c r="AL1107" t="s">
        <v>19614</v>
      </c>
      <c r="AM1107">
        <v>7492</v>
      </c>
      <c r="AN1107" t="s">
        <v>19761</v>
      </c>
      <c r="AS1107">
        <v>0.35</v>
      </c>
      <c r="AT1107" t="s">
        <v>426</v>
      </c>
      <c r="AU1107" t="s">
        <v>95</v>
      </c>
    </row>
    <row r="1108" spans="1:48">
      <c r="A1108" s="1">
        <f>HYPERLINK("https://lsnyc.legalserver.org/matter/dynamic-profile/view/1879904","18-1879904")</f>
        <v>0</v>
      </c>
      <c r="B1108" t="s">
        <v>76</v>
      </c>
      <c r="C1108" t="s">
        <v>256</v>
      </c>
      <c r="D1108" t="s">
        <v>313</v>
      </c>
      <c r="F1108" t="s">
        <v>1753</v>
      </c>
      <c r="G1108" t="s">
        <v>2903</v>
      </c>
      <c r="H1108" t="s">
        <v>6312</v>
      </c>
      <c r="I1108" t="s">
        <v>8142</v>
      </c>
      <c r="J1108" t="s">
        <v>9059</v>
      </c>
      <c r="K1108">
        <v>11207</v>
      </c>
      <c r="L1108" t="s">
        <v>9094</v>
      </c>
      <c r="M1108" t="s">
        <v>9094</v>
      </c>
      <c r="N1108" t="s">
        <v>9579</v>
      </c>
      <c r="O1108" t="s">
        <v>11134</v>
      </c>
      <c r="P1108" t="s">
        <v>11168</v>
      </c>
      <c r="R1108" t="s">
        <v>11180</v>
      </c>
      <c r="S1108" t="s">
        <v>9094</v>
      </c>
      <c r="T1108" t="s">
        <v>11183</v>
      </c>
      <c r="U1108" t="s">
        <v>11201</v>
      </c>
      <c r="V1108" t="s">
        <v>697</v>
      </c>
      <c r="W1108">
        <v>1250</v>
      </c>
      <c r="X1108" t="s">
        <v>11332</v>
      </c>
      <c r="Y1108" t="s">
        <v>11339</v>
      </c>
      <c r="Z1108" t="s">
        <v>12154</v>
      </c>
      <c r="AA1108" t="s">
        <v>15290</v>
      </c>
      <c r="AB1108" t="s">
        <v>16589</v>
      </c>
      <c r="AC1108">
        <v>6</v>
      </c>
      <c r="AD1108" t="s">
        <v>19566</v>
      </c>
      <c r="AE1108" t="s">
        <v>19585</v>
      </c>
      <c r="AF1108">
        <v>7</v>
      </c>
      <c r="AG1108">
        <v>1</v>
      </c>
      <c r="AH1108">
        <v>1</v>
      </c>
      <c r="AI1108">
        <v>45.52</v>
      </c>
      <c r="AL1108" t="s">
        <v>19614</v>
      </c>
      <c r="AM1108">
        <v>7492</v>
      </c>
      <c r="AN1108" t="s">
        <v>19761</v>
      </c>
      <c r="AS1108">
        <v>0.25</v>
      </c>
      <c r="AT1108" t="s">
        <v>746</v>
      </c>
      <c r="AU1108" t="s">
        <v>95</v>
      </c>
    </row>
    <row r="1109" spans="1:48">
      <c r="A1109" s="1">
        <f>HYPERLINK("https://lsnyc.legalserver.org/matter/dynamic-profile/view/1879893","18-1879893")</f>
        <v>0</v>
      </c>
      <c r="B1109" t="s">
        <v>76</v>
      </c>
      <c r="C1109" t="s">
        <v>256</v>
      </c>
      <c r="D1109" t="s">
        <v>313</v>
      </c>
      <c r="F1109" t="s">
        <v>1753</v>
      </c>
      <c r="G1109" t="s">
        <v>2903</v>
      </c>
      <c r="H1109" t="s">
        <v>6312</v>
      </c>
      <c r="I1109" t="s">
        <v>8142</v>
      </c>
      <c r="J1109" t="s">
        <v>9059</v>
      </c>
      <c r="K1109">
        <v>11207</v>
      </c>
      <c r="L1109" t="s">
        <v>9094</v>
      </c>
      <c r="M1109" t="s">
        <v>9094</v>
      </c>
      <c r="N1109" t="s">
        <v>9121</v>
      </c>
      <c r="O1109" t="s">
        <v>9121</v>
      </c>
      <c r="P1109" t="s">
        <v>11167</v>
      </c>
      <c r="R1109" t="s">
        <v>11180</v>
      </c>
      <c r="S1109" t="s">
        <v>9094</v>
      </c>
      <c r="T1109" t="s">
        <v>11183</v>
      </c>
      <c r="U1109" t="s">
        <v>11201</v>
      </c>
      <c r="V1109" t="s">
        <v>572</v>
      </c>
      <c r="W1109">
        <v>1250</v>
      </c>
      <c r="X1109" t="s">
        <v>11332</v>
      </c>
      <c r="Y1109" t="s">
        <v>11339</v>
      </c>
      <c r="Z1109" t="s">
        <v>12154</v>
      </c>
      <c r="AA1109" t="s">
        <v>15290</v>
      </c>
      <c r="AB1109" t="s">
        <v>16589</v>
      </c>
      <c r="AC1109">
        <v>6</v>
      </c>
      <c r="AD1109" t="s">
        <v>19566</v>
      </c>
      <c r="AE1109" t="s">
        <v>19585</v>
      </c>
      <c r="AF1109">
        <v>7</v>
      </c>
      <c r="AG1109">
        <v>1</v>
      </c>
      <c r="AH1109">
        <v>1</v>
      </c>
      <c r="AI1109">
        <v>45.52</v>
      </c>
      <c r="AL1109" t="s">
        <v>19614</v>
      </c>
      <c r="AM1109">
        <v>7492</v>
      </c>
      <c r="AN1109" t="s">
        <v>19761</v>
      </c>
      <c r="AS1109">
        <v>0.38</v>
      </c>
      <c r="AT1109" t="s">
        <v>426</v>
      </c>
      <c r="AU1109" t="s">
        <v>95</v>
      </c>
    </row>
    <row r="1110" spans="1:48">
      <c r="A1110" s="1">
        <f>HYPERLINK("https://lsnyc.legalserver.org/matter/dynamic-profile/view/1911119","19-1911119")</f>
        <v>0</v>
      </c>
      <c r="B1110" t="s">
        <v>107</v>
      </c>
      <c r="C1110" t="s">
        <v>256</v>
      </c>
      <c r="D1110" t="s">
        <v>336</v>
      </c>
      <c r="F1110" t="s">
        <v>1754</v>
      </c>
      <c r="G1110" t="s">
        <v>3925</v>
      </c>
      <c r="H1110" t="s">
        <v>6355</v>
      </c>
      <c r="I1110" t="s">
        <v>8389</v>
      </c>
      <c r="J1110" t="s">
        <v>9065</v>
      </c>
      <c r="K1110">
        <v>10455</v>
      </c>
      <c r="L1110" t="s">
        <v>9095</v>
      </c>
      <c r="M1110" t="s">
        <v>9095</v>
      </c>
      <c r="R1110" t="s">
        <v>11180</v>
      </c>
      <c r="T1110" t="s">
        <v>11189</v>
      </c>
      <c r="W1110">
        <v>0</v>
      </c>
      <c r="X1110" t="s">
        <v>11333</v>
      </c>
      <c r="Z1110" t="s">
        <v>12155</v>
      </c>
      <c r="AB1110" t="s">
        <v>16590</v>
      </c>
      <c r="AC1110">
        <v>0</v>
      </c>
      <c r="AF1110">
        <v>0</v>
      </c>
      <c r="AG1110">
        <v>2</v>
      </c>
      <c r="AH1110">
        <v>4</v>
      </c>
      <c r="AI1110">
        <v>45.7</v>
      </c>
      <c r="AL1110" t="s">
        <v>19614</v>
      </c>
      <c r="AM1110">
        <v>15808</v>
      </c>
      <c r="AS1110">
        <v>4</v>
      </c>
      <c r="AT1110" t="s">
        <v>284</v>
      </c>
      <c r="AU1110" t="s">
        <v>20684</v>
      </c>
    </row>
    <row r="1111" spans="1:48">
      <c r="A1111" s="1">
        <f>HYPERLINK("https://lsnyc.legalserver.org/matter/dynamic-profile/view/1894473","19-1894473")</f>
        <v>0</v>
      </c>
      <c r="B1111" t="s">
        <v>114</v>
      </c>
      <c r="C1111" t="s">
        <v>256</v>
      </c>
      <c r="D1111" t="s">
        <v>421</v>
      </c>
      <c r="F1111" t="s">
        <v>1693</v>
      </c>
      <c r="G1111" t="s">
        <v>3926</v>
      </c>
      <c r="H1111" t="s">
        <v>6356</v>
      </c>
      <c r="I1111">
        <v>612</v>
      </c>
      <c r="J1111" t="s">
        <v>9065</v>
      </c>
      <c r="K1111">
        <v>10453</v>
      </c>
      <c r="L1111" t="s">
        <v>9094</v>
      </c>
      <c r="M1111" t="s">
        <v>9094</v>
      </c>
      <c r="P1111" t="s">
        <v>11167</v>
      </c>
      <c r="R1111" t="s">
        <v>11180</v>
      </c>
      <c r="S1111" t="s">
        <v>9096</v>
      </c>
      <c r="T1111" t="s">
        <v>11183</v>
      </c>
      <c r="V1111" t="s">
        <v>11218</v>
      </c>
      <c r="W1111">
        <v>948</v>
      </c>
      <c r="X1111" t="s">
        <v>11333</v>
      </c>
      <c r="Y1111" t="s">
        <v>11346</v>
      </c>
      <c r="Z1111" t="s">
        <v>12156</v>
      </c>
      <c r="AB1111" t="s">
        <v>16591</v>
      </c>
      <c r="AC1111">
        <v>146</v>
      </c>
      <c r="AD1111" t="s">
        <v>19566</v>
      </c>
      <c r="AE1111" t="s">
        <v>19587</v>
      </c>
      <c r="AF1111">
        <v>12</v>
      </c>
      <c r="AG1111">
        <v>1</v>
      </c>
      <c r="AH1111">
        <v>2</v>
      </c>
      <c r="AI1111">
        <v>45.74</v>
      </c>
      <c r="AL1111" t="s">
        <v>19614</v>
      </c>
      <c r="AM1111">
        <v>9756</v>
      </c>
      <c r="AS1111">
        <v>2.6</v>
      </c>
      <c r="AT1111" t="s">
        <v>736</v>
      </c>
      <c r="AU1111" t="s">
        <v>163</v>
      </c>
      <c r="AV1111" t="s">
        <v>20733</v>
      </c>
    </row>
    <row r="1112" spans="1:48">
      <c r="A1112" s="1">
        <f>HYPERLINK("https://lsnyc.legalserver.org/matter/dynamic-profile/view/1915112","19-1915112")</f>
        <v>0</v>
      </c>
      <c r="B1112" t="s">
        <v>176</v>
      </c>
      <c r="C1112" t="s">
        <v>256</v>
      </c>
      <c r="D1112" t="s">
        <v>270</v>
      </c>
      <c r="F1112" t="s">
        <v>1146</v>
      </c>
      <c r="G1112" t="s">
        <v>3592</v>
      </c>
      <c r="H1112" t="s">
        <v>6357</v>
      </c>
      <c r="I1112" t="s">
        <v>8390</v>
      </c>
      <c r="J1112" t="s">
        <v>9065</v>
      </c>
      <c r="K1112">
        <v>10457</v>
      </c>
      <c r="L1112" t="s">
        <v>9096</v>
      </c>
      <c r="M1112" t="s">
        <v>9095</v>
      </c>
      <c r="O1112" t="s">
        <v>11137</v>
      </c>
      <c r="P1112" t="s">
        <v>11166</v>
      </c>
      <c r="R1112" t="s">
        <v>11180</v>
      </c>
      <c r="S1112" t="s">
        <v>9094</v>
      </c>
      <c r="T1112" t="s">
        <v>11183</v>
      </c>
      <c r="W1112">
        <v>1255.98</v>
      </c>
      <c r="X1112" t="s">
        <v>11333</v>
      </c>
      <c r="Z1112" t="s">
        <v>12157</v>
      </c>
      <c r="AB1112" t="s">
        <v>16592</v>
      </c>
      <c r="AC1112">
        <v>0</v>
      </c>
      <c r="AD1112" t="s">
        <v>19566</v>
      </c>
      <c r="AE1112" t="s">
        <v>9144</v>
      </c>
      <c r="AF1112">
        <v>17</v>
      </c>
      <c r="AG1112">
        <v>2</v>
      </c>
      <c r="AH1112">
        <v>1</v>
      </c>
      <c r="AI1112">
        <v>45.79</v>
      </c>
      <c r="AL1112" t="s">
        <v>19615</v>
      </c>
      <c r="AM1112">
        <v>9768</v>
      </c>
      <c r="AS1112">
        <v>3.1</v>
      </c>
      <c r="AT1112" t="s">
        <v>487</v>
      </c>
      <c r="AU1112" t="s">
        <v>20647</v>
      </c>
      <c r="AV1112" t="s">
        <v>20733</v>
      </c>
    </row>
    <row r="1113" spans="1:48">
      <c r="A1113" s="1">
        <f>HYPERLINK("https://lsnyc.legalserver.org/matter/dynamic-profile/view/1880865","18-1880865")</f>
        <v>0</v>
      </c>
      <c r="B1113" t="s">
        <v>103</v>
      </c>
      <c r="C1113" t="s">
        <v>256</v>
      </c>
      <c r="D1113" t="s">
        <v>723</v>
      </c>
      <c r="F1113" t="s">
        <v>1755</v>
      </c>
      <c r="G1113" t="s">
        <v>3540</v>
      </c>
      <c r="H1113" t="s">
        <v>6358</v>
      </c>
      <c r="I1113" t="s">
        <v>8283</v>
      </c>
      <c r="J1113" t="s">
        <v>9065</v>
      </c>
      <c r="K1113">
        <v>10463</v>
      </c>
      <c r="L1113" t="s">
        <v>9094</v>
      </c>
      <c r="M1113" t="s">
        <v>9094</v>
      </c>
      <c r="O1113" t="s">
        <v>11134</v>
      </c>
      <c r="P1113" t="s">
        <v>11167</v>
      </c>
      <c r="R1113" t="s">
        <v>11180</v>
      </c>
      <c r="T1113" t="s">
        <v>11183</v>
      </c>
      <c r="V1113" t="s">
        <v>723</v>
      </c>
      <c r="W1113">
        <v>0</v>
      </c>
      <c r="X1113" t="s">
        <v>11333</v>
      </c>
      <c r="Z1113" t="s">
        <v>12158</v>
      </c>
      <c r="AB1113" t="s">
        <v>16593</v>
      </c>
      <c r="AC1113">
        <v>0</v>
      </c>
      <c r="AF1113">
        <v>0</v>
      </c>
      <c r="AG1113">
        <v>2</v>
      </c>
      <c r="AH1113">
        <v>0</v>
      </c>
      <c r="AI1113">
        <v>45.86</v>
      </c>
      <c r="AL1113" t="s">
        <v>19614</v>
      </c>
      <c r="AM1113">
        <v>7548</v>
      </c>
      <c r="AS1113">
        <v>1</v>
      </c>
      <c r="AT1113" t="s">
        <v>723</v>
      </c>
      <c r="AU1113" t="s">
        <v>178</v>
      </c>
    </row>
    <row r="1114" spans="1:48">
      <c r="A1114" s="1">
        <f>HYPERLINK("https://lsnyc.legalserver.org/matter/dynamic-profile/view/1905799","19-1905799")</f>
        <v>0</v>
      </c>
      <c r="B1114" t="s">
        <v>92</v>
      </c>
      <c r="C1114" t="s">
        <v>256</v>
      </c>
      <c r="D1114" t="s">
        <v>426</v>
      </c>
      <c r="F1114" t="s">
        <v>1374</v>
      </c>
      <c r="G1114" t="s">
        <v>3927</v>
      </c>
      <c r="H1114" t="s">
        <v>6059</v>
      </c>
      <c r="I1114" t="s">
        <v>8171</v>
      </c>
      <c r="J1114" t="s">
        <v>9059</v>
      </c>
      <c r="K1114">
        <v>11212</v>
      </c>
      <c r="L1114" t="s">
        <v>9094</v>
      </c>
      <c r="M1114" t="s">
        <v>9095</v>
      </c>
      <c r="N1114" t="s">
        <v>9184</v>
      </c>
      <c r="O1114" t="s">
        <v>11132</v>
      </c>
      <c r="P1114" t="s">
        <v>11167</v>
      </c>
      <c r="R1114" t="s">
        <v>11180</v>
      </c>
      <c r="S1114" t="s">
        <v>9094</v>
      </c>
      <c r="T1114" t="s">
        <v>11186</v>
      </c>
      <c r="U1114" t="s">
        <v>11201</v>
      </c>
      <c r="V1114" t="s">
        <v>324</v>
      </c>
      <c r="W1114">
        <v>1300</v>
      </c>
      <c r="X1114" t="s">
        <v>11332</v>
      </c>
      <c r="Y1114" t="s">
        <v>11340</v>
      </c>
      <c r="Z1114" t="s">
        <v>12159</v>
      </c>
      <c r="AA1114" t="s">
        <v>15441</v>
      </c>
      <c r="AB1114" t="s">
        <v>16594</v>
      </c>
      <c r="AC1114">
        <v>19</v>
      </c>
      <c r="AD1114" t="s">
        <v>19566</v>
      </c>
      <c r="AE1114" t="s">
        <v>19580</v>
      </c>
      <c r="AF1114">
        <v>15</v>
      </c>
      <c r="AG1114">
        <v>2</v>
      </c>
      <c r="AH1114">
        <v>0</v>
      </c>
      <c r="AI1114">
        <v>45.98</v>
      </c>
      <c r="AL1114" t="s">
        <v>19614</v>
      </c>
      <c r="AM1114">
        <v>7776</v>
      </c>
      <c r="AN1114" t="s">
        <v>19762</v>
      </c>
      <c r="AS1114">
        <v>0</v>
      </c>
      <c r="AU1114" t="s">
        <v>95</v>
      </c>
      <c r="AV1114" t="s">
        <v>20733</v>
      </c>
    </row>
    <row r="1115" spans="1:48">
      <c r="A1115" s="1">
        <f>HYPERLINK("https://lsnyc.legalserver.org/matter/dynamic-profile/view/1905803","19-1905803")</f>
        <v>0</v>
      </c>
      <c r="B1115" t="s">
        <v>92</v>
      </c>
      <c r="C1115" t="s">
        <v>256</v>
      </c>
      <c r="D1115" t="s">
        <v>426</v>
      </c>
      <c r="F1115" t="s">
        <v>1374</v>
      </c>
      <c r="G1115" t="s">
        <v>3927</v>
      </c>
      <c r="H1115" t="s">
        <v>6059</v>
      </c>
      <c r="I1115" t="s">
        <v>8171</v>
      </c>
      <c r="J1115" t="s">
        <v>9059</v>
      </c>
      <c r="K1115">
        <v>11212</v>
      </c>
      <c r="L1115" t="s">
        <v>9094</v>
      </c>
      <c r="M1115" t="s">
        <v>9095</v>
      </c>
      <c r="N1115" t="s">
        <v>9171</v>
      </c>
      <c r="O1115" t="s">
        <v>9121</v>
      </c>
      <c r="P1115" t="s">
        <v>11167</v>
      </c>
      <c r="R1115" t="s">
        <v>11180</v>
      </c>
      <c r="S1115" t="s">
        <v>9094</v>
      </c>
      <c r="T1115" t="s">
        <v>11183</v>
      </c>
      <c r="U1115" t="s">
        <v>11201</v>
      </c>
      <c r="V1115" t="s">
        <v>512</v>
      </c>
      <c r="W1115">
        <v>1300</v>
      </c>
      <c r="X1115" t="s">
        <v>11332</v>
      </c>
      <c r="Y1115" t="s">
        <v>11340</v>
      </c>
      <c r="Z1115" t="s">
        <v>12159</v>
      </c>
      <c r="AA1115" t="s">
        <v>15290</v>
      </c>
      <c r="AB1115" t="s">
        <v>16594</v>
      </c>
      <c r="AC1115">
        <v>19</v>
      </c>
      <c r="AD1115" t="s">
        <v>19566</v>
      </c>
      <c r="AE1115" t="s">
        <v>19580</v>
      </c>
      <c r="AF1115">
        <v>15</v>
      </c>
      <c r="AG1115">
        <v>2</v>
      </c>
      <c r="AH1115">
        <v>0</v>
      </c>
      <c r="AI1115">
        <v>45.98</v>
      </c>
      <c r="AL1115" t="s">
        <v>19614</v>
      </c>
      <c r="AM1115">
        <v>7776</v>
      </c>
      <c r="AN1115" t="s">
        <v>19762</v>
      </c>
      <c r="AS1115">
        <v>0</v>
      </c>
      <c r="AU1115" t="s">
        <v>95</v>
      </c>
      <c r="AV1115" t="s">
        <v>20733</v>
      </c>
    </row>
    <row r="1116" spans="1:48">
      <c r="A1116" s="1">
        <f>HYPERLINK("https://lsnyc.legalserver.org/matter/dynamic-profile/view/1905807","19-1905807")</f>
        <v>0</v>
      </c>
      <c r="B1116" t="s">
        <v>92</v>
      </c>
      <c r="C1116" t="s">
        <v>256</v>
      </c>
      <c r="D1116" t="s">
        <v>426</v>
      </c>
      <c r="F1116" t="s">
        <v>1374</v>
      </c>
      <c r="G1116" t="s">
        <v>3927</v>
      </c>
      <c r="H1116" t="s">
        <v>6059</v>
      </c>
      <c r="I1116" t="s">
        <v>8171</v>
      </c>
      <c r="J1116" t="s">
        <v>9059</v>
      </c>
      <c r="K1116">
        <v>11212</v>
      </c>
      <c r="L1116" t="s">
        <v>9094</v>
      </c>
      <c r="M1116" t="s">
        <v>9095</v>
      </c>
      <c r="N1116" t="s">
        <v>9171</v>
      </c>
      <c r="O1116" t="s">
        <v>9121</v>
      </c>
      <c r="P1116" t="s">
        <v>11167</v>
      </c>
      <c r="R1116" t="s">
        <v>11180</v>
      </c>
      <c r="S1116" t="s">
        <v>9096</v>
      </c>
      <c r="T1116" t="s">
        <v>11190</v>
      </c>
      <c r="U1116" t="s">
        <v>11201</v>
      </c>
      <c r="V1116" t="s">
        <v>697</v>
      </c>
      <c r="W1116">
        <v>1300</v>
      </c>
      <c r="X1116" t="s">
        <v>11332</v>
      </c>
      <c r="Y1116" t="s">
        <v>11340</v>
      </c>
      <c r="Z1116" t="s">
        <v>12159</v>
      </c>
      <c r="AA1116" t="s">
        <v>15290</v>
      </c>
      <c r="AB1116" t="s">
        <v>16594</v>
      </c>
      <c r="AC1116">
        <v>19</v>
      </c>
      <c r="AD1116" t="s">
        <v>19566</v>
      </c>
      <c r="AE1116" t="s">
        <v>19580</v>
      </c>
      <c r="AF1116">
        <v>15</v>
      </c>
      <c r="AG1116">
        <v>2</v>
      </c>
      <c r="AH1116">
        <v>0</v>
      </c>
      <c r="AI1116">
        <v>45.98</v>
      </c>
      <c r="AL1116" t="s">
        <v>19614</v>
      </c>
      <c r="AM1116">
        <v>7776</v>
      </c>
      <c r="AN1116" t="s">
        <v>19763</v>
      </c>
      <c r="AS1116">
        <v>0</v>
      </c>
      <c r="AU1116" t="s">
        <v>95</v>
      </c>
      <c r="AV1116" t="s">
        <v>20733</v>
      </c>
    </row>
    <row r="1117" spans="1:48">
      <c r="A1117" s="1">
        <f>HYPERLINK("https://lsnyc.legalserver.org/matter/dynamic-profile/view/1853915","17-1853915")</f>
        <v>0</v>
      </c>
      <c r="B1117" t="s">
        <v>70</v>
      </c>
      <c r="C1117" t="s">
        <v>256</v>
      </c>
      <c r="D1117" t="s">
        <v>724</v>
      </c>
      <c r="F1117" t="s">
        <v>1753</v>
      </c>
      <c r="G1117" t="s">
        <v>2903</v>
      </c>
      <c r="H1117" t="s">
        <v>6312</v>
      </c>
      <c r="I1117" t="s">
        <v>8142</v>
      </c>
      <c r="J1117" t="s">
        <v>9059</v>
      </c>
      <c r="K1117">
        <v>11207</v>
      </c>
      <c r="L1117" t="s">
        <v>9094</v>
      </c>
      <c r="M1117" t="s">
        <v>9094</v>
      </c>
      <c r="N1117" t="s">
        <v>9597</v>
      </c>
      <c r="O1117" t="s">
        <v>11130</v>
      </c>
      <c r="P1117" t="s">
        <v>11165</v>
      </c>
      <c r="R1117" t="s">
        <v>11180</v>
      </c>
      <c r="S1117" t="s">
        <v>9094</v>
      </c>
      <c r="T1117" t="s">
        <v>11183</v>
      </c>
      <c r="V1117" t="s">
        <v>560</v>
      </c>
      <c r="W1117">
        <v>1250</v>
      </c>
      <c r="X1117" t="s">
        <v>11332</v>
      </c>
      <c r="Y1117" t="s">
        <v>11339</v>
      </c>
      <c r="Z1117" t="s">
        <v>12154</v>
      </c>
      <c r="AB1117" t="s">
        <v>16589</v>
      </c>
      <c r="AC1117">
        <v>6</v>
      </c>
      <c r="AD1117" t="s">
        <v>19566</v>
      </c>
      <c r="AE1117" t="s">
        <v>19585</v>
      </c>
      <c r="AF1117">
        <v>7</v>
      </c>
      <c r="AG1117">
        <v>1</v>
      </c>
      <c r="AH1117">
        <v>1</v>
      </c>
      <c r="AI1117">
        <v>46.13</v>
      </c>
      <c r="AK1117" t="s">
        <v>19609</v>
      </c>
      <c r="AL1117" t="s">
        <v>19614</v>
      </c>
      <c r="AM1117">
        <v>7492</v>
      </c>
      <c r="AN1117" t="s">
        <v>19665</v>
      </c>
      <c r="AS1117">
        <v>3.85</v>
      </c>
      <c r="AT1117" t="s">
        <v>295</v>
      </c>
      <c r="AU1117" t="s">
        <v>20685</v>
      </c>
    </row>
    <row r="1118" spans="1:48">
      <c r="A1118" s="1">
        <f>HYPERLINK("https://lsnyc.legalserver.org/matter/dynamic-profile/view/1907720","19-1907720")</f>
        <v>0</v>
      </c>
      <c r="B1118" t="s">
        <v>117</v>
      </c>
      <c r="C1118" t="s">
        <v>257</v>
      </c>
      <c r="D1118" t="s">
        <v>429</v>
      </c>
      <c r="E1118" t="s">
        <v>339</v>
      </c>
      <c r="F1118" t="s">
        <v>1756</v>
      </c>
      <c r="G1118" t="s">
        <v>3928</v>
      </c>
      <c r="H1118" t="s">
        <v>6359</v>
      </c>
      <c r="I1118" t="s">
        <v>8131</v>
      </c>
      <c r="J1118" t="s">
        <v>9065</v>
      </c>
      <c r="K1118">
        <v>10468</v>
      </c>
      <c r="L1118" t="s">
        <v>9094</v>
      </c>
      <c r="M1118" t="s">
        <v>9095</v>
      </c>
      <c r="P1118" t="s">
        <v>11164</v>
      </c>
      <c r="Q1118" t="s">
        <v>11172</v>
      </c>
      <c r="R1118" t="s">
        <v>11180</v>
      </c>
      <c r="S1118" t="s">
        <v>9096</v>
      </c>
      <c r="T1118" t="s">
        <v>11183</v>
      </c>
      <c r="W1118">
        <v>1211.26</v>
      </c>
      <c r="X1118" t="s">
        <v>11333</v>
      </c>
      <c r="Y1118" t="s">
        <v>11346</v>
      </c>
      <c r="Z1118" t="s">
        <v>12160</v>
      </c>
      <c r="AC1118">
        <v>90</v>
      </c>
      <c r="AD1118" t="s">
        <v>19566</v>
      </c>
      <c r="AE1118" t="s">
        <v>9144</v>
      </c>
      <c r="AF1118">
        <v>18</v>
      </c>
      <c r="AG1118">
        <v>2</v>
      </c>
      <c r="AH1118">
        <v>0</v>
      </c>
      <c r="AI1118">
        <v>46.13</v>
      </c>
      <c r="AL1118" t="s">
        <v>19615</v>
      </c>
      <c r="AM1118">
        <v>7800</v>
      </c>
      <c r="AS1118">
        <v>0.5</v>
      </c>
      <c r="AT1118" t="s">
        <v>339</v>
      </c>
      <c r="AU1118" t="s">
        <v>20642</v>
      </c>
      <c r="AV1118" t="s">
        <v>20733</v>
      </c>
    </row>
    <row r="1119" spans="1:48">
      <c r="A1119" s="1">
        <f>HYPERLINK("https://lsnyc.legalserver.org/matter/dynamic-profile/view/1890420","19-1890420")</f>
        <v>0</v>
      </c>
      <c r="B1119" t="s">
        <v>117</v>
      </c>
      <c r="C1119" t="s">
        <v>256</v>
      </c>
      <c r="D1119" t="s">
        <v>397</v>
      </c>
      <c r="F1119" t="s">
        <v>1757</v>
      </c>
      <c r="G1119" t="s">
        <v>3929</v>
      </c>
      <c r="H1119" t="s">
        <v>5888</v>
      </c>
      <c r="I1119" t="s">
        <v>8233</v>
      </c>
      <c r="J1119" t="s">
        <v>9065</v>
      </c>
      <c r="K1119">
        <v>10453</v>
      </c>
      <c r="L1119" t="s">
        <v>9094</v>
      </c>
      <c r="M1119" t="s">
        <v>9094</v>
      </c>
      <c r="N1119" t="s">
        <v>9243</v>
      </c>
      <c r="O1119" t="s">
        <v>11130</v>
      </c>
      <c r="P1119" t="s">
        <v>11165</v>
      </c>
      <c r="R1119" t="s">
        <v>11180</v>
      </c>
      <c r="S1119" t="s">
        <v>9094</v>
      </c>
      <c r="T1119" t="s">
        <v>11183</v>
      </c>
      <c r="V1119" t="s">
        <v>512</v>
      </c>
      <c r="W1119">
        <v>713.8</v>
      </c>
      <c r="X1119" t="s">
        <v>11333</v>
      </c>
      <c r="Y1119" t="s">
        <v>11346</v>
      </c>
      <c r="Z1119" t="s">
        <v>12161</v>
      </c>
      <c r="AB1119" t="s">
        <v>16595</v>
      </c>
      <c r="AC1119">
        <v>44</v>
      </c>
      <c r="AD1119" t="s">
        <v>19566</v>
      </c>
      <c r="AE1119" t="s">
        <v>9144</v>
      </c>
      <c r="AF1119">
        <v>28</v>
      </c>
      <c r="AG1119">
        <v>2</v>
      </c>
      <c r="AH1119">
        <v>0</v>
      </c>
      <c r="AI1119">
        <v>46.13</v>
      </c>
      <c r="AL1119" t="s">
        <v>19615</v>
      </c>
      <c r="AM1119">
        <v>7800</v>
      </c>
      <c r="AS1119">
        <v>0</v>
      </c>
      <c r="AU1119" t="s">
        <v>163</v>
      </c>
    </row>
    <row r="1120" spans="1:48">
      <c r="A1120" s="1">
        <f>HYPERLINK("https://lsnyc.legalserver.org/matter/dynamic-profile/view/1890415","19-1890415")</f>
        <v>0</v>
      </c>
      <c r="B1120" t="s">
        <v>117</v>
      </c>
      <c r="C1120" t="s">
        <v>256</v>
      </c>
      <c r="D1120" t="s">
        <v>397</v>
      </c>
      <c r="F1120" t="s">
        <v>1757</v>
      </c>
      <c r="G1120" t="s">
        <v>3929</v>
      </c>
      <c r="H1120" t="s">
        <v>5888</v>
      </c>
      <c r="I1120" t="s">
        <v>8233</v>
      </c>
      <c r="J1120" t="s">
        <v>9065</v>
      </c>
      <c r="K1120">
        <v>10453</v>
      </c>
      <c r="L1120" t="s">
        <v>9094</v>
      </c>
      <c r="M1120" t="s">
        <v>9094</v>
      </c>
      <c r="O1120" t="s">
        <v>9121</v>
      </c>
      <c r="P1120" t="s">
        <v>11166</v>
      </c>
      <c r="R1120" t="s">
        <v>11180</v>
      </c>
      <c r="S1120" t="s">
        <v>9094</v>
      </c>
      <c r="T1120" t="s">
        <v>11183</v>
      </c>
      <c r="V1120" t="s">
        <v>397</v>
      </c>
      <c r="W1120">
        <v>713.8</v>
      </c>
      <c r="X1120" t="s">
        <v>11333</v>
      </c>
      <c r="Y1120" t="s">
        <v>11346</v>
      </c>
      <c r="Z1120" t="s">
        <v>12161</v>
      </c>
      <c r="AB1120" t="s">
        <v>16595</v>
      </c>
      <c r="AC1120">
        <v>44</v>
      </c>
      <c r="AD1120" t="s">
        <v>19566</v>
      </c>
      <c r="AE1120" t="s">
        <v>9144</v>
      </c>
      <c r="AF1120">
        <v>28</v>
      </c>
      <c r="AG1120">
        <v>2</v>
      </c>
      <c r="AH1120">
        <v>0</v>
      </c>
      <c r="AI1120">
        <v>46.13</v>
      </c>
      <c r="AL1120" t="s">
        <v>19615</v>
      </c>
      <c r="AM1120">
        <v>7800</v>
      </c>
      <c r="AS1120">
        <v>0</v>
      </c>
      <c r="AU1120" t="s">
        <v>163</v>
      </c>
    </row>
    <row r="1121" spans="1:48">
      <c r="A1121" s="1">
        <f>HYPERLINK("https://lsnyc.legalserver.org/matter/dynamic-profile/view/1895214","19-1895214")</f>
        <v>0</v>
      </c>
      <c r="B1121" t="s">
        <v>69</v>
      </c>
      <c r="C1121" t="s">
        <v>256</v>
      </c>
      <c r="D1121" t="s">
        <v>278</v>
      </c>
      <c r="F1121" t="s">
        <v>1758</v>
      </c>
      <c r="G1121" t="s">
        <v>3930</v>
      </c>
      <c r="H1121" t="s">
        <v>6360</v>
      </c>
      <c r="I1121" t="s">
        <v>8218</v>
      </c>
      <c r="J1121" t="s">
        <v>9059</v>
      </c>
      <c r="K1121">
        <v>11233</v>
      </c>
      <c r="L1121" t="s">
        <v>9094</v>
      </c>
      <c r="M1121" t="s">
        <v>9094</v>
      </c>
      <c r="N1121" t="s">
        <v>9144</v>
      </c>
      <c r="O1121" t="s">
        <v>11138</v>
      </c>
      <c r="P1121" t="s">
        <v>11166</v>
      </c>
      <c r="R1121" t="s">
        <v>11180</v>
      </c>
      <c r="S1121" t="s">
        <v>9096</v>
      </c>
      <c r="T1121" t="s">
        <v>11184</v>
      </c>
      <c r="U1121" t="s">
        <v>11201</v>
      </c>
      <c r="V1121" t="s">
        <v>545</v>
      </c>
      <c r="W1121">
        <v>1113</v>
      </c>
      <c r="X1121" t="s">
        <v>11332</v>
      </c>
      <c r="Y1121" t="s">
        <v>11340</v>
      </c>
      <c r="Z1121" t="s">
        <v>12162</v>
      </c>
      <c r="AA1121" t="s">
        <v>15500</v>
      </c>
      <c r="AB1121" t="s">
        <v>16596</v>
      </c>
      <c r="AC1121">
        <v>66</v>
      </c>
      <c r="AD1121" t="s">
        <v>19570</v>
      </c>
      <c r="AE1121" t="s">
        <v>19581</v>
      </c>
      <c r="AF1121">
        <v>1</v>
      </c>
      <c r="AG1121">
        <v>1</v>
      </c>
      <c r="AH1121">
        <v>2</v>
      </c>
      <c r="AI1121">
        <v>46.21</v>
      </c>
      <c r="AL1121" t="s">
        <v>19614</v>
      </c>
      <c r="AM1121">
        <v>9857</v>
      </c>
      <c r="AS1121">
        <v>23.5</v>
      </c>
      <c r="AT1121" t="s">
        <v>336</v>
      </c>
      <c r="AU1121" t="s">
        <v>95</v>
      </c>
    </row>
    <row r="1122" spans="1:48">
      <c r="A1122" s="1">
        <f>HYPERLINK("https://lsnyc.legalserver.org/matter/dynamic-profile/view/1884676","18-1884676")</f>
        <v>0</v>
      </c>
      <c r="B1122" t="s">
        <v>127</v>
      </c>
      <c r="C1122" t="s">
        <v>256</v>
      </c>
      <c r="D1122" t="s">
        <v>616</v>
      </c>
      <c r="F1122" t="s">
        <v>1180</v>
      </c>
      <c r="G1122" t="s">
        <v>3931</v>
      </c>
      <c r="H1122" t="s">
        <v>6361</v>
      </c>
      <c r="I1122" t="s">
        <v>8134</v>
      </c>
      <c r="J1122" t="s">
        <v>9066</v>
      </c>
      <c r="K1122">
        <v>10304</v>
      </c>
      <c r="L1122" t="s">
        <v>9094</v>
      </c>
      <c r="M1122" t="s">
        <v>9094</v>
      </c>
      <c r="N1122" t="s">
        <v>9613</v>
      </c>
      <c r="O1122" t="s">
        <v>11129</v>
      </c>
      <c r="P1122" t="s">
        <v>11165</v>
      </c>
      <c r="R1122" t="s">
        <v>11180</v>
      </c>
      <c r="S1122" t="s">
        <v>9096</v>
      </c>
      <c r="T1122" t="s">
        <v>11190</v>
      </c>
      <c r="U1122" t="s">
        <v>11199</v>
      </c>
      <c r="V1122" t="s">
        <v>616</v>
      </c>
      <c r="W1122">
        <v>1300</v>
      </c>
      <c r="X1122" t="s">
        <v>11334</v>
      </c>
      <c r="Y1122" t="s">
        <v>11345</v>
      </c>
      <c r="Z1122" t="s">
        <v>12163</v>
      </c>
      <c r="AB1122" t="s">
        <v>16597</v>
      </c>
      <c r="AC1122">
        <v>115</v>
      </c>
      <c r="AD1122" t="s">
        <v>19567</v>
      </c>
      <c r="AE1122" t="s">
        <v>19580</v>
      </c>
      <c r="AF1122">
        <v>18</v>
      </c>
      <c r="AG1122">
        <v>2</v>
      </c>
      <c r="AH1122">
        <v>0</v>
      </c>
      <c r="AI1122">
        <v>46.29</v>
      </c>
      <c r="AL1122" t="s">
        <v>19614</v>
      </c>
      <c r="AM1122">
        <v>7620</v>
      </c>
      <c r="AS1122">
        <v>4.75</v>
      </c>
      <c r="AT1122" t="s">
        <v>269</v>
      </c>
      <c r="AU1122" t="s">
        <v>20651</v>
      </c>
    </row>
    <row r="1123" spans="1:48">
      <c r="A1123" s="1">
        <f>HYPERLINK("https://lsnyc.legalserver.org/matter/dynamic-profile/view/1914413","19-1914413")</f>
        <v>0</v>
      </c>
      <c r="B1123" t="s">
        <v>134</v>
      </c>
      <c r="C1123" t="s">
        <v>256</v>
      </c>
      <c r="D1123" t="s">
        <v>703</v>
      </c>
      <c r="F1123" t="s">
        <v>1759</v>
      </c>
      <c r="G1123" t="s">
        <v>2681</v>
      </c>
      <c r="H1123" t="s">
        <v>6362</v>
      </c>
      <c r="I1123" t="s">
        <v>8215</v>
      </c>
      <c r="J1123" t="s">
        <v>9067</v>
      </c>
      <c r="K1123">
        <v>10034</v>
      </c>
      <c r="L1123" t="s">
        <v>9094</v>
      </c>
      <c r="M1123" t="s">
        <v>9095</v>
      </c>
      <c r="N1123" t="s">
        <v>9614</v>
      </c>
      <c r="O1123" t="s">
        <v>11129</v>
      </c>
      <c r="P1123" t="s">
        <v>11169</v>
      </c>
      <c r="R1123" t="s">
        <v>11180</v>
      </c>
      <c r="S1123" t="s">
        <v>9096</v>
      </c>
      <c r="T1123" t="s">
        <v>11183</v>
      </c>
      <c r="V1123" t="s">
        <v>1135</v>
      </c>
      <c r="W1123">
        <v>1750</v>
      </c>
      <c r="X1123" t="s">
        <v>11335</v>
      </c>
      <c r="Y1123" t="s">
        <v>11352</v>
      </c>
      <c r="Z1123" t="s">
        <v>12164</v>
      </c>
      <c r="AB1123" t="s">
        <v>16598</v>
      </c>
      <c r="AC1123">
        <v>40</v>
      </c>
      <c r="AD1123" t="s">
        <v>19566</v>
      </c>
      <c r="AE1123" t="s">
        <v>19582</v>
      </c>
      <c r="AF1123">
        <v>2</v>
      </c>
      <c r="AG1123">
        <v>1</v>
      </c>
      <c r="AH1123">
        <v>2</v>
      </c>
      <c r="AI1123">
        <v>46.32</v>
      </c>
      <c r="AL1123" t="s">
        <v>19615</v>
      </c>
      <c r="AM1123">
        <v>9880</v>
      </c>
      <c r="AS1123">
        <v>1.6</v>
      </c>
      <c r="AT1123" t="s">
        <v>487</v>
      </c>
      <c r="AU1123" t="s">
        <v>20640</v>
      </c>
      <c r="AV1123" t="s">
        <v>20733</v>
      </c>
    </row>
    <row r="1124" spans="1:48">
      <c r="A1124" s="1">
        <f>HYPERLINK("https://lsnyc.legalserver.org/matter/dynamic-profile/view/1878934","18-1878934")</f>
        <v>0</v>
      </c>
      <c r="B1124" t="s">
        <v>139</v>
      </c>
      <c r="C1124" t="s">
        <v>256</v>
      </c>
      <c r="D1124" t="s">
        <v>725</v>
      </c>
      <c r="F1124" t="s">
        <v>1146</v>
      </c>
      <c r="G1124" t="s">
        <v>3536</v>
      </c>
      <c r="H1124" t="s">
        <v>6363</v>
      </c>
      <c r="I1124" t="s">
        <v>8250</v>
      </c>
      <c r="J1124" t="s">
        <v>9067</v>
      </c>
      <c r="K1124">
        <v>10040</v>
      </c>
      <c r="L1124" t="s">
        <v>9094</v>
      </c>
      <c r="M1124" t="s">
        <v>9094</v>
      </c>
      <c r="O1124" t="s">
        <v>11134</v>
      </c>
      <c r="P1124" t="s">
        <v>11168</v>
      </c>
      <c r="R1124" t="s">
        <v>11180</v>
      </c>
      <c r="S1124" t="s">
        <v>9094</v>
      </c>
      <c r="T1124" t="s">
        <v>11183</v>
      </c>
      <c r="V1124" t="s">
        <v>725</v>
      </c>
      <c r="W1124">
        <v>102536</v>
      </c>
      <c r="X1124" t="s">
        <v>11335</v>
      </c>
      <c r="Y1124" t="s">
        <v>11339</v>
      </c>
      <c r="Z1124" t="s">
        <v>12165</v>
      </c>
      <c r="AB1124" t="s">
        <v>16599</v>
      </c>
      <c r="AC1124">
        <v>88</v>
      </c>
      <c r="AD1124" t="s">
        <v>19566</v>
      </c>
      <c r="AE1124" t="s">
        <v>19587</v>
      </c>
      <c r="AF1124">
        <v>26</v>
      </c>
      <c r="AG1124">
        <v>1</v>
      </c>
      <c r="AH1124">
        <v>0</v>
      </c>
      <c r="AI1124">
        <v>46.46</v>
      </c>
      <c r="AL1124" t="s">
        <v>19615</v>
      </c>
      <c r="AM1124">
        <v>5640</v>
      </c>
      <c r="AS1124">
        <v>0</v>
      </c>
      <c r="AU1124" t="s">
        <v>130</v>
      </c>
      <c r="AV1124" t="s">
        <v>20733</v>
      </c>
    </row>
    <row r="1125" spans="1:48">
      <c r="A1125" s="1">
        <f>HYPERLINK("https://lsnyc.legalserver.org/matter/dynamic-profile/view/1889042","19-1889042")</f>
        <v>0</v>
      </c>
      <c r="B1125" t="s">
        <v>139</v>
      </c>
      <c r="C1125" t="s">
        <v>257</v>
      </c>
      <c r="D1125" t="s">
        <v>503</v>
      </c>
      <c r="E1125" t="s">
        <v>703</v>
      </c>
      <c r="F1125" t="s">
        <v>1760</v>
      </c>
      <c r="G1125" t="s">
        <v>3825</v>
      </c>
      <c r="H1125" t="s">
        <v>5959</v>
      </c>
      <c r="I1125">
        <v>63</v>
      </c>
      <c r="J1125" t="s">
        <v>9067</v>
      </c>
      <c r="K1125">
        <v>10032</v>
      </c>
      <c r="L1125" t="s">
        <v>9094</v>
      </c>
      <c r="M1125" t="s">
        <v>9094</v>
      </c>
      <c r="N1125" t="s">
        <v>9615</v>
      </c>
      <c r="O1125" t="s">
        <v>11129</v>
      </c>
      <c r="P1125" t="s">
        <v>11165</v>
      </c>
      <c r="Q1125" t="s">
        <v>11174</v>
      </c>
      <c r="R1125" t="s">
        <v>11180</v>
      </c>
      <c r="S1125" t="s">
        <v>9096</v>
      </c>
      <c r="T1125" t="s">
        <v>11183</v>
      </c>
      <c r="U1125" t="s">
        <v>11201</v>
      </c>
      <c r="V1125" t="s">
        <v>616</v>
      </c>
      <c r="W1125">
        <v>481</v>
      </c>
      <c r="X1125" t="s">
        <v>11335</v>
      </c>
      <c r="Y1125" t="s">
        <v>11338</v>
      </c>
      <c r="Z1125" t="s">
        <v>12166</v>
      </c>
      <c r="AB1125" t="s">
        <v>16600</v>
      </c>
      <c r="AC1125">
        <v>35</v>
      </c>
      <c r="AD1125" t="s">
        <v>19569</v>
      </c>
      <c r="AF1125">
        <v>50</v>
      </c>
      <c r="AG1125">
        <v>2</v>
      </c>
      <c r="AH1125">
        <v>0</v>
      </c>
      <c r="AI1125">
        <v>46.49</v>
      </c>
      <c r="AL1125" t="s">
        <v>19614</v>
      </c>
      <c r="AM1125">
        <v>7860.96</v>
      </c>
      <c r="AS1125">
        <v>13.9</v>
      </c>
      <c r="AT1125" t="s">
        <v>318</v>
      </c>
      <c r="AU1125" t="s">
        <v>139</v>
      </c>
    </row>
    <row r="1126" spans="1:48">
      <c r="A1126" s="1">
        <f>HYPERLINK("https://lsnyc.legalserver.org/matter/dynamic-profile/view/1859387","18-1859387")</f>
        <v>0</v>
      </c>
      <c r="B1126" t="s">
        <v>69</v>
      </c>
      <c r="C1126" t="s">
        <v>257</v>
      </c>
      <c r="D1126" t="s">
        <v>607</v>
      </c>
      <c r="E1126" t="s">
        <v>1130</v>
      </c>
      <c r="F1126" t="s">
        <v>1750</v>
      </c>
      <c r="G1126" t="s">
        <v>3341</v>
      </c>
      <c r="H1126" t="s">
        <v>6351</v>
      </c>
      <c r="I1126" t="s">
        <v>8124</v>
      </c>
      <c r="J1126" t="s">
        <v>9067</v>
      </c>
      <c r="K1126">
        <v>10034</v>
      </c>
      <c r="L1126" t="s">
        <v>9094</v>
      </c>
      <c r="M1126" t="s">
        <v>9095</v>
      </c>
      <c r="O1126" t="s">
        <v>11131</v>
      </c>
      <c r="P1126" t="s">
        <v>11166</v>
      </c>
      <c r="Q1126" t="s">
        <v>11176</v>
      </c>
      <c r="R1126" t="s">
        <v>11180</v>
      </c>
      <c r="S1126" t="s">
        <v>9096</v>
      </c>
      <c r="T1126" t="s">
        <v>11191</v>
      </c>
      <c r="V1126" t="s">
        <v>607</v>
      </c>
      <c r="W1126">
        <v>980.67</v>
      </c>
      <c r="X1126" t="s">
        <v>11335</v>
      </c>
      <c r="Y1126" t="s">
        <v>11347</v>
      </c>
      <c r="Z1126" t="s">
        <v>12151</v>
      </c>
      <c r="AB1126" t="s">
        <v>16585</v>
      </c>
      <c r="AC1126">
        <v>26</v>
      </c>
      <c r="AD1126" t="s">
        <v>19566</v>
      </c>
      <c r="AE1126" t="s">
        <v>19587</v>
      </c>
      <c r="AF1126">
        <v>8</v>
      </c>
      <c r="AG1126">
        <v>2</v>
      </c>
      <c r="AH1126">
        <v>1</v>
      </c>
      <c r="AI1126">
        <v>46.54</v>
      </c>
      <c r="AL1126" t="s">
        <v>19615</v>
      </c>
      <c r="AM1126">
        <v>9672</v>
      </c>
      <c r="AS1126">
        <v>26.5</v>
      </c>
      <c r="AT1126" t="s">
        <v>581</v>
      </c>
      <c r="AU1126" t="s">
        <v>20657</v>
      </c>
    </row>
    <row r="1127" spans="1:48">
      <c r="A1127" s="1">
        <f>HYPERLINK("https://lsnyc.legalserver.org/matter/dynamic-profile/view/1847633","17-1847633")</f>
        <v>0</v>
      </c>
      <c r="B1127" t="s">
        <v>139</v>
      </c>
      <c r="C1127" t="s">
        <v>256</v>
      </c>
      <c r="D1127" t="s">
        <v>587</v>
      </c>
      <c r="F1127" t="s">
        <v>1404</v>
      </c>
      <c r="G1127" t="s">
        <v>3499</v>
      </c>
      <c r="H1127" t="s">
        <v>6364</v>
      </c>
      <c r="I1127" t="s">
        <v>8364</v>
      </c>
      <c r="J1127" t="s">
        <v>9067</v>
      </c>
      <c r="K1127">
        <v>10034</v>
      </c>
      <c r="L1127" t="s">
        <v>9094</v>
      </c>
      <c r="M1127" t="s">
        <v>9095</v>
      </c>
      <c r="O1127" t="s">
        <v>11130</v>
      </c>
      <c r="P1127" t="s">
        <v>11165</v>
      </c>
      <c r="R1127" t="s">
        <v>11180</v>
      </c>
      <c r="S1127" t="s">
        <v>9094</v>
      </c>
      <c r="T1127" t="s">
        <v>11183</v>
      </c>
      <c r="V1127" t="s">
        <v>1057</v>
      </c>
      <c r="W1127">
        <v>822.01</v>
      </c>
      <c r="X1127" t="s">
        <v>11335</v>
      </c>
      <c r="Y1127" t="s">
        <v>11338</v>
      </c>
      <c r="Z1127" t="s">
        <v>12167</v>
      </c>
      <c r="AB1127" t="s">
        <v>16601</v>
      </c>
      <c r="AC1127">
        <v>50</v>
      </c>
      <c r="AD1127" t="s">
        <v>19566</v>
      </c>
      <c r="AE1127" t="s">
        <v>9144</v>
      </c>
      <c r="AF1127">
        <v>40</v>
      </c>
      <c r="AG1127">
        <v>2</v>
      </c>
      <c r="AH1127">
        <v>0</v>
      </c>
      <c r="AI1127">
        <v>46.55</v>
      </c>
      <c r="AL1127" t="s">
        <v>19615</v>
      </c>
      <c r="AM1127">
        <v>7560</v>
      </c>
      <c r="AS1127">
        <v>0</v>
      </c>
      <c r="AU1127" t="s">
        <v>130</v>
      </c>
    </row>
    <row r="1128" spans="1:48">
      <c r="A1128" s="1">
        <f>HYPERLINK("https://lsnyc.legalserver.org/matter/dynamic-profile/view/1872107","18-1872107")</f>
        <v>0</v>
      </c>
      <c r="B1128" t="s">
        <v>56</v>
      </c>
      <c r="C1128" t="s">
        <v>256</v>
      </c>
      <c r="D1128" t="s">
        <v>352</v>
      </c>
      <c r="F1128" t="s">
        <v>1209</v>
      </c>
      <c r="G1128" t="s">
        <v>3932</v>
      </c>
      <c r="H1128" t="s">
        <v>6365</v>
      </c>
      <c r="I1128" t="s">
        <v>8391</v>
      </c>
      <c r="J1128" t="s">
        <v>9055</v>
      </c>
      <c r="K1128">
        <v>11358</v>
      </c>
      <c r="L1128" t="s">
        <v>9094</v>
      </c>
      <c r="M1128" t="s">
        <v>9094</v>
      </c>
      <c r="N1128" t="s">
        <v>9616</v>
      </c>
      <c r="O1128" t="s">
        <v>11128</v>
      </c>
      <c r="P1128" t="s">
        <v>11165</v>
      </c>
      <c r="R1128" t="s">
        <v>11180</v>
      </c>
      <c r="S1128" t="s">
        <v>9096</v>
      </c>
      <c r="T1128" t="s">
        <v>11183</v>
      </c>
      <c r="U1128" t="s">
        <v>11201</v>
      </c>
      <c r="V1128" t="s">
        <v>515</v>
      </c>
      <c r="W1128">
        <v>2000</v>
      </c>
      <c r="X1128" t="s">
        <v>11331</v>
      </c>
      <c r="Y1128" t="s">
        <v>11336</v>
      </c>
      <c r="Z1128" t="s">
        <v>12168</v>
      </c>
      <c r="AA1128" t="s">
        <v>15501</v>
      </c>
      <c r="AB1128" t="s">
        <v>16602</v>
      </c>
      <c r="AC1128">
        <v>2</v>
      </c>
      <c r="AD1128" t="s">
        <v>19565</v>
      </c>
      <c r="AE1128" t="s">
        <v>9144</v>
      </c>
      <c r="AF1128">
        <v>13</v>
      </c>
      <c r="AG1128">
        <v>2</v>
      </c>
      <c r="AH1128">
        <v>0</v>
      </c>
      <c r="AI1128">
        <v>46.59</v>
      </c>
      <c r="AL1128" t="s">
        <v>19615</v>
      </c>
      <c r="AM1128">
        <v>7668</v>
      </c>
      <c r="AO1128" t="s">
        <v>20290</v>
      </c>
      <c r="AP1128" t="s">
        <v>11157</v>
      </c>
      <c r="AQ1128" t="s">
        <v>20368</v>
      </c>
      <c r="AR1128" t="s">
        <v>20441</v>
      </c>
      <c r="AS1128">
        <v>2.57</v>
      </c>
      <c r="AT1128" t="s">
        <v>1135</v>
      </c>
      <c r="AU1128" t="s">
        <v>20620</v>
      </c>
    </row>
    <row r="1129" spans="1:48">
      <c r="A1129" s="1">
        <f>HYPERLINK("https://lsnyc.legalserver.org/matter/dynamic-profile/view/1891183","19-1891183")</f>
        <v>0</v>
      </c>
      <c r="B1129" t="s">
        <v>50</v>
      </c>
      <c r="C1129" t="s">
        <v>256</v>
      </c>
      <c r="D1129" t="s">
        <v>491</v>
      </c>
      <c r="F1129" t="s">
        <v>1761</v>
      </c>
      <c r="G1129" t="s">
        <v>3540</v>
      </c>
      <c r="H1129" t="s">
        <v>6366</v>
      </c>
      <c r="J1129" t="s">
        <v>9054</v>
      </c>
      <c r="K1129">
        <v>11368</v>
      </c>
      <c r="L1129" t="s">
        <v>9094</v>
      </c>
      <c r="M1129" t="s">
        <v>9094</v>
      </c>
      <c r="N1129" t="s">
        <v>9617</v>
      </c>
      <c r="O1129" t="s">
        <v>11128</v>
      </c>
      <c r="P1129" t="s">
        <v>11167</v>
      </c>
      <c r="R1129" t="s">
        <v>11180</v>
      </c>
      <c r="S1129" t="s">
        <v>9096</v>
      </c>
      <c r="T1129" t="s">
        <v>11183</v>
      </c>
      <c r="U1129" t="s">
        <v>11201</v>
      </c>
      <c r="V1129" t="s">
        <v>426</v>
      </c>
      <c r="W1129">
        <v>1400</v>
      </c>
      <c r="X1129" t="s">
        <v>11331</v>
      </c>
      <c r="Y1129" t="s">
        <v>11336</v>
      </c>
      <c r="Z1129" t="s">
        <v>12169</v>
      </c>
      <c r="AA1129" t="s">
        <v>15502</v>
      </c>
      <c r="AB1129" t="s">
        <v>16603</v>
      </c>
      <c r="AC1129">
        <v>25</v>
      </c>
      <c r="AD1129" t="s">
        <v>19565</v>
      </c>
      <c r="AE1129" t="s">
        <v>19582</v>
      </c>
      <c r="AF1129">
        <v>6</v>
      </c>
      <c r="AG1129">
        <v>1</v>
      </c>
      <c r="AH1129">
        <v>3</v>
      </c>
      <c r="AI1129">
        <v>46.6</v>
      </c>
      <c r="AL1129" t="s">
        <v>19615</v>
      </c>
      <c r="AM1129">
        <v>12000</v>
      </c>
      <c r="AS1129">
        <v>1.55</v>
      </c>
      <c r="AT1129" t="s">
        <v>328</v>
      </c>
      <c r="AU1129" t="s">
        <v>50</v>
      </c>
      <c r="AV1129" t="s">
        <v>20734</v>
      </c>
    </row>
    <row r="1130" spans="1:48">
      <c r="A1130" s="1">
        <f>HYPERLINK("https://lsnyc.legalserver.org/matter/dynamic-profile/view/1903789","19-1903789")</f>
        <v>0</v>
      </c>
      <c r="B1130" t="s">
        <v>59</v>
      </c>
      <c r="C1130" t="s">
        <v>256</v>
      </c>
      <c r="D1130" t="s">
        <v>706</v>
      </c>
      <c r="F1130" t="s">
        <v>1337</v>
      </c>
      <c r="G1130" t="s">
        <v>3419</v>
      </c>
      <c r="H1130" t="s">
        <v>6367</v>
      </c>
      <c r="I1130" t="s">
        <v>8392</v>
      </c>
      <c r="J1130" t="s">
        <v>9055</v>
      </c>
      <c r="K1130">
        <v>11354</v>
      </c>
      <c r="L1130" t="s">
        <v>9094</v>
      </c>
      <c r="M1130" t="s">
        <v>9095</v>
      </c>
      <c r="N1130" t="s">
        <v>9135</v>
      </c>
      <c r="O1130" t="s">
        <v>11134</v>
      </c>
      <c r="P1130" t="s">
        <v>11168</v>
      </c>
      <c r="R1130" t="s">
        <v>11180</v>
      </c>
      <c r="S1130" t="s">
        <v>9094</v>
      </c>
      <c r="T1130" t="s">
        <v>11183</v>
      </c>
      <c r="U1130" t="s">
        <v>11201</v>
      </c>
      <c r="V1130" t="s">
        <v>302</v>
      </c>
      <c r="W1130">
        <v>817.99</v>
      </c>
      <c r="X1130" t="s">
        <v>11331</v>
      </c>
      <c r="Y1130" t="s">
        <v>11341</v>
      </c>
      <c r="Z1130" t="s">
        <v>12170</v>
      </c>
      <c r="AA1130" t="s">
        <v>15274</v>
      </c>
      <c r="AB1130" t="s">
        <v>15274</v>
      </c>
      <c r="AC1130">
        <v>91</v>
      </c>
      <c r="AD1130" t="s">
        <v>19566</v>
      </c>
      <c r="AE1130" t="s">
        <v>9144</v>
      </c>
      <c r="AF1130">
        <v>40</v>
      </c>
      <c r="AG1130">
        <v>4</v>
      </c>
      <c r="AH1130">
        <v>0</v>
      </c>
      <c r="AI1130">
        <v>46.6</v>
      </c>
      <c r="AL1130" t="s">
        <v>19615</v>
      </c>
      <c r="AM1130">
        <v>12000</v>
      </c>
      <c r="AS1130">
        <v>0.15</v>
      </c>
      <c r="AT1130" t="s">
        <v>706</v>
      </c>
      <c r="AU1130" t="s">
        <v>59</v>
      </c>
      <c r="AV1130" t="s">
        <v>20733</v>
      </c>
    </row>
    <row r="1131" spans="1:48">
      <c r="A1131" s="1">
        <f>HYPERLINK("https://lsnyc.legalserver.org/matter/dynamic-profile/view/1890555","19-1890555")</f>
        <v>0</v>
      </c>
      <c r="B1131" t="s">
        <v>70</v>
      </c>
      <c r="C1131" t="s">
        <v>256</v>
      </c>
      <c r="D1131" t="s">
        <v>695</v>
      </c>
      <c r="F1131" t="s">
        <v>1762</v>
      </c>
      <c r="G1131" t="s">
        <v>3933</v>
      </c>
      <c r="H1131" t="s">
        <v>5748</v>
      </c>
      <c r="I1131" t="s">
        <v>8393</v>
      </c>
      <c r="J1131" t="s">
        <v>9059</v>
      </c>
      <c r="K1131">
        <v>11233</v>
      </c>
      <c r="L1131" t="s">
        <v>9094</v>
      </c>
      <c r="M1131" t="s">
        <v>9096</v>
      </c>
      <c r="N1131" t="s">
        <v>9145</v>
      </c>
      <c r="O1131" t="s">
        <v>11134</v>
      </c>
      <c r="P1131" t="s">
        <v>11168</v>
      </c>
      <c r="R1131" t="s">
        <v>11180</v>
      </c>
      <c r="S1131" t="s">
        <v>9094</v>
      </c>
      <c r="T1131" t="s">
        <v>11183</v>
      </c>
      <c r="U1131" t="s">
        <v>11201</v>
      </c>
      <c r="V1131" t="s">
        <v>482</v>
      </c>
      <c r="W1131">
        <v>915</v>
      </c>
      <c r="X1131" t="s">
        <v>11332</v>
      </c>
      <c r="Y1131" t="s">
        <v>11157</v>
      </c>
      <c r="Z1131" t="s">
        <v>12171</v>
      </c>
      <c r="AC1131">
        <v>359</v>
      </c>
      <c r="AD1131" t="s">
        <v>19566</v>
      </c>
      <c r="AE1131" t="s">
        <v>9144</v>
      </c>
      <c r="AF1131">
        <v>6</v>
      </c>
      <c r="AG1131">
        <v>2</v>
      </c>
      <c r="AH1131">
        <v>2</v>
      </c>
      <c r="AI1131">
        <v>46.6</v>
      </c>
      <c r="AL1131" t="s">
        <v>19614</v>
      </c>
      <c r="AM1131">
        <v>12000</v>
      </c>
      <c r="AN1131" t="s">
        <v>19764</v>
      </c>
      <c r="AS1131">
        <v>0</v>
      </c>
      <c r="AU1131" t="s">
        <v>79</v>
      </c>
    </row>
    <row r="1132" spans="1:48">
      <c r="A1132" s="1">
        <f>HYPERLINK("https://lsnyc.legalserver.org/matter/dynamic-profile/view/1902317","19-1902317")</f>
        <v>0</v>
      </c>
      <c r="B1132" t="s">
        <v>99</v>
      </c>
      <c r="C1132" t="s">
        <v>257</v>
      </c>
      <c r="D1132" t="s">
        <v>268</v>
      </c>
      <c r="E1132" t="s">
        <v>362</v>
      </c>
      <c r="F1132" t="s">
        <v>1763</v>
      </c>
      <c r="G1132" t="s">
        <v>1154</v>
      </c>
      <c r="H1132" t="s">
        <v>6368</v>
      </c>
      <c r="I1132" t="s">
        <v>8394</v>
      </c>
      <c r="J1132" t="s">
        <v>9065</v>
      </c>
      <c r="K1132">
        <v>10453</v>
      </c>
      <c r="L1132" t="s">
        <v>9094</v>
      </c>
      <c r="M1132" t="s">
        <v>9095</v>
      </c>
      <c r="O1132" t="s">
        <v>9121</v>
      </c>
      <c r="P1132" t="s">
        <v>11164</v>
      </c>
      <c r="Q1132" t="s">
        <v>11172</v>
      </c>
      <c r="R1132" t="s">
        <v>11180</v>
      </c>
      <c r="S1132" t="s">
        <v>9096</v>
      </c>
      <c r="T1132" t="s">
        <v>11183</v>
      </c>
      <c r="V1132" t="s">
        <v>11218</v>
      </c>
      <c r="W1132">
        <v>942.33</v>
      </c>
      <c r="X1132" t="s">
        <v>11333</v>
      </c>
      <c r="Y1132" t="s">
        <v>11346</v>
      </c>
      <c r="Z1132" t="s">
        <v>12172</v>
      </c>
      <c r="AB1132" t="s">
        <v>16604</v>
      </c>
      <c r="AC1132">
        <v>37</v>
      </c>
      <c r="AD1132" t="s">
        <v>19566</v>
      </c>
      <c r="AE1132" t="s">
        <v>9144</v>
      </c>
      <c r="AF1132">
        <v>4</v>
      </c>
      <c r="AG1132">
        <v>2</v>
      </c>
      <c r="AH1132">
        <v>2</v>
      </c>
      <c r="AI1132">
        <v>46.6</v>
      </c>
      <c r="AL1132" t="s">
        <v>11157</v>
      </c>
      <c r="AM1132">
        <v>12000</v>
      </c>
      <c r="AS1132">
        <v>1.4</v>
      </c>
      <c r="AT1132" t="s">
        <v>362</v>
      </c>
      <c r="AU1132" t="s">
        <v>99</v>
      </c>
      <c r="AV1132" t="s">
        <v>20733</v>
      </c>
    </row>
    <row r="1133" spans="1:48">
      <c r="A1133" s="1">
        <f>HYPERLINK("https://lsnyc.legalserver.org/matter/dynamic-profile/view/1895048","19-1895048")</f>
        <v>0</v>
      </c>
      <c r="B1133" t="s">
        <v>127</v>
      </c>
      <c r="C1133" t="s">
        <v>257</v>
      </c>
      <c r="D1133" t="s">
        <v>350</v>
      </c>
      <c r="E1133" t="s">
        <v>833</v>
      </c>
      <c r="F1133" t="s">
        <v>1764</v>
      </c>
      <c r="G1133" t="s">
        <v>3934</v>
      </c>
      <c r="H1133" t="s">
        <v>6369</v>
      </c>
      <c r="I1133">
        <v>1</v>
      </c>
      <c r="J1133" t="s">
        <v>9066</v>
      </c>
      <c r="K1133">
        <v>10304</v>
      </c>
      <c r="L1133" t="s">
        <v>9094</v>
      </c>
      <c r="M1133" t="s">
        <v>9095</v>
      </c>
      <c r="N1133" t="s">
        <v>9618</v>
      </c>
      <c r="O1133" t="s">
        <v>11128</v>
      </c>
      <c r="P1133" t="s">
        <v>11165</v>
      </c>
      <c r="Q1133" t="s">
        <v>11174</v>
      </c>
      <c r="R1133" t="s">
        <v>11180</v>
      </c>
      <c r="S1133" t="s">
        <v>9096</v>
      </c>
      <c r="T1133" t="s">
        <v>11183</v>
      </c>
      <c r="U1133" t="s">
        <v>11201</v>
      </c>
      <c r="V1133" t="s">
        <v>350</v>
      </c>
      <c r="W1133">
        <v>2200</v>
      </c>
      <c r="X1133" t="s">
        <v>11334</v>
      </c>
      <c r="Y1133" t="s">
        <v>11345</v>
      </c>
      <c r="Z1133" t="s">
        <v>12173</v>
      </c>
      <c r="AB1133" t="s">
        <v>16605</v>
      </c>
      <c r="AC1133">
        <v>3</v>
      </c>
      <c r="AD1133" t="s">
        <v>19565</v>
      </c>
      <c r="AE1133" t="s">
        <v>19580</v>
      </c>
      <c r="AF1133">
        <v>4</v>
      </c>
      <c r="AG1133">
        <v>4</v>
      </c>
      <c r="AH1133">
        <v>0</v>
      </c>
      <c r="AI1133">
        <v>46.6</v>
      </c>
      <c r="AL1133" t="s">
        <v>19614</v>
      </c>
      <c r="AM1133">
        <v>12000</v>
      </c>
      <c r="AO1133" t="s">
        <v>20290</v>
      </c>
      <c r="AS1133">
        <v>20.25</v>
      </c>
      <c r="AT1133" t="s">
        <v>404</v>
      </c>
      <c r="AU1133" t="s">
        <v>20653</v>
      </c>
      <c r="AV1133" t="s">
        <v>20733</v>
      </c>
    </row>
    <row r="1134" spans="1:48">
      <c r="A1134" s="1">
        <f>HYPERLINK("https://lsnyc.legalserver.org/matter/dynamic-profile/view/1885321","18-1885321")</f>
        <v>0</v>
      </c>
      <c r="B1134" t="s">
        <v>111</v>
      </c>
      <c r="C1134" t="s">
        <v>256</v>
      </c>
      <c r="D1134" t="s">
        <v>448</v>
      </c>
      <c r="F1134" t="s">
        <v>1765</v>
      </c>
      <c r="G1134" t="s">
        <v>3418</v>
      </c>
      <c r="H1134" t="s">
        <v>6370</v>
      </c>
      <c r="I1134" t="s">
        <v>8279</v>
      </c>
      <c r="J1134" t="s">
        <v>9065</v>
      </c>
      <c r="K1134">
        <v>10463</v>
      </c>
      <c r="L1134" t="s">
        <v>9094</v>
      </c>
      <c r="M1134" t="s">
        <v>9094</v>
      </c>
      <c r="N1134" t="s">
        <v>9619</v>
      </c>
      <c r="O1134" t="s">
        <v>11130</v>
      </c>
      <c r="P1134" t="s">
        <v>11165</v>
      </c>
      <c r="R1134" t="s">
        <v>11180</v>
      </c>
      <c r="S1134" t="s">
        <v>9094</v>
      </c>
      <c r="T1134" t="s">
        <v>11183</v>
      </c>
      <c r="V1134" t="s">
        <v>738</v>
      </c>
      <c r="W1134">
        <v>958.35</v>
      </c>
      <c r="X1134" t="s">
        <v>11333</v>
      </c>
      <c r="Y1134" t="s">
        <v>11346</v>
      </c>
      <c r="Z1134" t="s">
        <v>12174</v>
      </c>
      <c r="AB1134" t="s">
        <v>16606</v>
      </c>
      <c r="AC1134">
        <v>55</v>
      </c>
      <c r="AD1134" t="s">
        <v>19566</v>
      </c>
      <c r="AE1134" t="s">
        <v>9144</v>
      </c>
      <c r="AF1134">
        <v>14</v>
      </c>
      <c r="AG1134">
        <v>2</v>
      </c>
      <c r="AH1134">
        <v>2</v>
      </c>
      <c r="AI1134">
        <v>46.61</v>
      </c>
      <c r="AL1134" t="s">
        <v>19615</v>
      </c>
      <c r="AM1134">
        <v>11700</v>
      </c>
      <c r="AS1134">
        <v>0.5</v>
      </c>
      <c r="AT1134" t="s">
        <v>408</v>
      </c>
      <c r="AU1134" t="s">
        <v>20647</v>
      </c>
    </row>
    <row r="1135" spans="1:48">
      <c r="A1135" s="1">
        <f>HYPERLINK("https://lsnyc.legalserver.org/matter/dynamic-profile/view/1914587","19-1914587")</f>
        <v>0</v>
      </c>
      <c r="B1135" t="s">
        <v>117</v>
      </c>
      <c r="C1135" t="s">
        <v>256</v>
      </c>
      <c r="D1135" t="s">
        <v>301</v>
      </c>
      <c r="F1135" t="s">
        <v>1766</v>
      </c>
      <c r="G1135" t="s">
        <v>3448</v>
      </c>
      <c r="H1135" t="s">
        <v>5899</v>
      </c>
      <c r="I1135" t="s">
        <v>8225</v>
      </c>
      <c r="J1135" t="s">
        <v>9065</v>
      </c>
      <c r="K1135">
        <v>10452</v>
      </c>
      <c r="L1135" t="s">
        <v>9094</v>
      </c>
      <c r="M1135" t="s">
        <v>9095</v>
      </c>
      <c r="P1135" t="s">
        <v>11164</v>
      </c>
      <c r="R1135" t="s">
        <v>11180</v>
      </c>
      <c r="S1135" t="s">
        <v>9094</v>
      </c>
      <c r="T1135" t="s">
        <v>11183</v>
      </c>
      <c r="W1135">
        <v>980</v>
      </c>
      <c r="X1135" t="s">
        <v>11333</v>
      </c>
      <c r="Y1135" t="s">
        <v>11346</v>
      </c>
      <c r="Z1135" t="s">
        <v>12175</v>
      </c>
      <c r="AC1135">
        <v>63</v>
      </c>
      <c r="AD1135" t="s">
        <v>19566</v>
      </c>
      <c r="AE1135" t="s">
        <v>11157</v>
      </c>
      <c r="AF1135">
        <v>16</v>
      </c>
      <c r="AG1135">
        <v>2</v>
      </c>
      <c r="AH1135">
        <v>1</v>
      </c>
      <c r="AI1135">
        <v>46.81</v>
      </c>
      <c r="AL1135" t="s">
        <v>19615</v>
      </c>
      <c r="AM1135">
        <v>9984</v>
      </c>
      <c r="AS1135">
        <v>0</v>
      </c>
      <c r="AU1135" t="s">
        <v>163</v>
      </c>
      <c r="AV1135" t="s">
        <v>20733</v>
      </c>
    </row>
    <row r="1136" spans="1:48">
      <c r="A1136" s="1">
        <f>HYPERLINK("https://lsnyc.legalserver.org/matter/dynamic-profile/view/1914836","19-1914836")</f>
        <v>0</v>
      </c>
      <c r="B1136" t="s">
        <v>117</v>
      </c>
      <c r="C1136" t="s">
        <v>256</v>
      </c>
      <c r="D1136" t="s">
        <v>331</v>
      </c>
      <c r="F1136" t="s">
        <v>1766</v>
      </c>
      <c r="G1136" t="s">
        <v>3448</v>
      </c>
      <c r="H1136" t="s">
        <v>5899</v>
      </c>
      <c r="I1136" t="s">
        <v>8225</v>
      </c>
      <c r="J1136" t="s">
        <v>9065</v>
      </c>
      <c r="K1136">
        <v>10452</v>
      </c>
      <c r="L1136" t="s">
        <v>9096</v>
      </c>
      <c r="M1136" t="s">
        <v>9095</v>
      </c>
      <c r="P1136" t="s">
        <v>11169</v>
      </c>
      <c r="R1136" t="s">
        <v>11180</v>
      </c>
      <c r="S1136" t="s">
        <v>9094</v>
      </c>
      <c r="T1136" t="s">
        <v>11183</v>
      </c>
      <c r="W1136">
        <v>980</v>
      </c>
      <c r="X1136" t="s">
        <v>11333</v>
      </c>
      <c r="Y1136" t="s">
        <v>11346</v>
      </c>
      <c r="Z1136" t="s">
        <v>12175</v>
      </c>
      <c r="AC1136">
        <v>63</v>
      </c>
      <c r="AD1136" t="s">
        <v>19566</v>
      </c>
      <c r="AE1136" t="s">
        <v>11157</v>
      </c>
      <c r="AF1136">
        <v>16</v>
      </c>
      <c r="AG1136">
        <v>2</v>
      </c>
      <c r="AH1136">
        <v>1</v>
      </c>
      <c r="AI1136">
        <v>46.81</v>
      </c>
      <c r="AL1136" t="s">
        <v>19615</v>
      </c>
      <c r="AM1136">
        <v>9984</v>
      </c>
      <c r="AS1136">
        <v>0</v>
      </c>
      <c r="AU1136" t="s">
        <v>220</v>
      </c>
    </row>
    <row r="1137" spans="1:48">
      <c r="A1137" s="1">
        <f>HYPERLINK("https://lsnyc.legalserver.org/matter/dynamic-profile/view/1875830","18-1875830")</f>
        <v>0</v>
      </c>
      <c r="B1137" t="s">
        <v>107</v>
      </c>
      <c r="C1137" t="s">
        <v>256</v>
      </c>
      <c r="D1137" t="s">
        <v>689</v>
      </c>
      <c r="F1137" t="s">
        <v>1754</v>
      </c>
      <c r="G1137" t="s">
        <v>3925</v>
      </c>
      <c r="H1137" t="s">
        <v>6355</v>
      </c>
      <c r="I1137" t="s">
        <v>8389</v>
      </c>
      <c r="J1137" t="s">
        <v>9065</v>
      </c>
      <c r="K1137">
        <v>10455</v>
      </c>
      <c r="L1137" t="s">
        <v>9094</v>
      </c>
      <c r="M1137" t="s">
        <v>9094</v>
      </c>
      <c r="O1137" t="s">
        <v>11133</v>
      </c>
      <c r="P1137" t="s">
        <v>11166</v>
      </c>
      <c r="R1137" t="s">
        <v>11180</v>
      </c>
      <c r="S1137" t="s">
        <v>9096</v>
      </c>
      <c r="T1137" t="s">
        <v>11189</v>
      </c>
      <c r="V1137" t="s">
        <v>689</v>
      </c>
      <c r="W1137">
        <v>1172.53</v>
      </c>
      <c r="X1137" t="s">
        <v>11333</v>
      </c>
      <c r="Y1137" t="s">
        <v>11340</v>
      </c>
      <c r="Z1137" t="s">
        <v>12155</v>
      </c>
      <c r="AA1137" t="s">
        <v>15503</v>
      </c>
      <c r="AB1137" t="s">
        <v>16590</v>
      </c>
      <c r="AC1137">
        <v>44</v>
      </c>
      <c r="AD1137" t="s">
        <v>19566</v>
      </c>
      <c r="AE1137" t="s">
        <v>9144</v>
      </c>
      <c r="AF1137">
        <v>18</v>
      </c>
      <c r="AG1137">
        <v>2</v>
      </c>
      <c r="AH1137">
        <v>4</v>
      </c>
      <c r="AI1137">
        <v>46.85</v>
      </c>
      <c r="AL1137" t="s">
        <v>19614</v>
      </c>
      <c r="AM1137">
        <v>15808</v>
      </c>
      <c r="AS1137">
        <v>7</v>
      </c>
      <c r="AT1137" t="s">
        <v>331</v>
      </c>
      <c r="AU1137" t="s">
        <v>20642</v>
      </c>
    </row>
    <row r="1138" spans="1:48">
      <c r="A1138" s="1">
        <f>HYPERLINK("https://lsnyc.legalserver.org/matter/dynamic-profile/view/1876048","18-1876048")</f>
        <v>0</v>
      </c>
      <c r="B1138" t="s">
        <v>182</v>
      </c>
      <c r="C1138" t="s">
        <v>256</v>
      </c>
      <c r="D1138" t="s">
        <v>366</v>
      </c>
      <c r="F1138" t="s">
        <v>1767</v>
      </c>
      <c r="G1138" t="s">
        <v>3572</v>
      </c>
      <c r="H1138" t="s">
        <v>6371</v>
      </c>
      <c r="J1138" t="s">
        <v>9059</v>
      </c>
      <c r="K1138">
        <v>11224</v>
      </c>
      <c r="L1138" t="s">
        <v>9095</v>
      </c>
      <c r="M1138" t="s">
        <v>9095</v>
      </c>
      <c r="N1138" t="s">
        <v>9620</v>
      </c>
      <c r="O1138" t="s">
        <v>11128</v>
      </c>
      <c r="P1138" t="s">
        <v>11165</v>
      </c>
      <c r="R1138" t="s">
        <v>11180</v>
      </c>
      <c r="T1138" t="s">
        <v>11183</v>
      </c>
      <c r="W1138">
        <v>2135</v>
      </c>
      <c r="X1138" t="s">
        <v>11332</v>
      </c>
      <c r="Y1138" t="s">
        <v>11336</v>
      </c>
      <c r="Z1138" t="s">
        <v>12176</v>
      </c>
      <c r="AC1138">
        <v>0</v>
      </c>
      <c r="AE1138" t="s">
        <v>19580</v>
      </c>
      <c r="AF1138">
        <v>30</v>
      </c>
      <c r="AG1138">
        <v>3</v>
      </c>
      <c r="AH1138">
        <v>0</v>
      </c>
      <c r="AI1138">
        <v>46.87</v>
      </c>
      <c r="AL1138" t="s">
        <v>19614</v>
      </c>
      <c r="AM1138">
        <v>9740.4</v>
      </c>
      <c r="AS1138">
        <v>56.45</v>
      </c>
      <c r="AT1138" t="s">
        <v>308</v>
      </c>
      <c r="AU1138" t="s">
        <v>20633</v>
      </c>
    </row>
    <row r="1139" spans="1:48">
      <c r="A1139" s="1">
        <f>HYPERLINK("https://lsnyc.legalserver.org/matter/dynamic-profile/view/1895229","19-1895229")</f>
        <v>0</v>
      </c>
      <c r="B1139" t="s">
        <v>57</v>
      </c>
      <c r="C1139" t="s">
        <v>256</v>
      </c>
      <c r="D1139" t="s">
        <v>278</v>
      </c>
      <c r="F1139" t="s">
        <v>1148</v>
      </c>
      <c r="G1139" t="s">
        <v>3430</v>
      </c>
      <c r="H1139" t="s">
        <v>6372</v>
      </c>
      <c r="J1139" t="s">
        <v>9070</v>
      </c>
      <c r="K1139">
        <v>11421</v>
      </c>
      <c r="L1139" t="s">
        <v>9094</v>
      </c>
      <c r="M1139" t="s">
        <v>9094</v>
      </c>
      <c r="N1139" t="s">
        <v>9621</v>
      </c>
      <c r="O1139" t="s">
        <v>11129</v>
      </c>
      <c r="P1139" t="s">
        <v>11165</v>
      </c>
      <c r="R1139" t="s">
        <v>11180</v>
      </c>
      <c r="S1139" t="s">
        <v>9096</v>
      </c>
      <c r="T1139" t="s">
        <v>11183</v>
      </c>
      <c r="U1139" t="s">
        <v>11201</v>
      </c>
      <c r="V1139" t="s">
        <v>278</v>
      </c>
      <c r="W1139">
        <v>1600</v>
      </c>
      <c r="X1139" t="s">
        <v>11331</v>
      </c>
      <c r="Y1139" t="s">
        <v>11336</v>
      </c>
      <c r="Z1139" t="s">
        <v>12177</v>
      </c>
      <c r="AA1139" t="s">
        <v>15504</v>
      </c>
      <c r="AB1139" t="s">
        <v>16607</v>
      </c>
      <c r="AC1139">
        <v>2</v>
      </c>
      <c r="AD1139" t="s">
        <v>19565</v>
      </c>
      <c r="AE1139" t="s">
        <v>9144</v>
      </c>
      <c r="AF1139">
        <v>1</v>
      </c>
      <c r="AG1139">
        <v>2</v>
      </c>
      <c r="AH1139">
        <v>1</v>
      </c>
      <c r="AI1139">
        <v>46.88</v>
      </c>
      <c r="AL1139" t="s">
        <v>19614</v>
      </c>
      <c r="AM1139">
        <v>10000</v>
      </c>
      <c r="AO1139" t="s">
        <v>20293</v>
      </c>
      <c r="AP1139" t="s">
        <v>20330</v>
      </c>
      <c r="AQ1139" t="s">
        <v>20368</v>
      </c>
      <c r="AR1139" t="s">
        <v>20442</v>
      </c>
      <c r="AS1139">
        <v>23.7</v>
      </c>
      <c r="AT1139" t="s">
        <v>307</v>
      </c>
      <c r="AU1139" t="s">
        <v>20622</v>
      </c>
      <c r="AV1139" t="s">
        <v>20734</v>
      </c>
    </row>
    <row r="1140" spans="1:48">
      <c r="A1140" s="1">
        <f>HYPERLINK("https://lsnyc.legalserver.org/matter/dynamic-profile/view/1906457","19-1906457")</f>
        <v>0</v>
      </c>
      <c r="B1140" t="s">
        <v>109</v>
      </c>
      <c r="C1140" t="s">
        <v>257</v>
      </c>
      <c r="D1140" t="s">
        <v>335</v>
      </c>
      <c r="E1140" t="s">
        <v>335</v>
      </c>
      <c r="F1140" t="s">
        <v>1768</v>
      </c>
      <c r="G1140" t="s">
        <v>1406</v>
      </c>
      <c r="H1140" t="s">
        <v>6095</v>
      </c>
      <c r="J1140" t="s">
        <v>9065</v>
      </c>
      <c r="K1140">
        <v>10456</v>
      </c>
      <c r="L1140" t="s">
        <v>9094</v>
      </c>
      <c r="M1140" t="s">
        <v>9095</v>
      </c>
      <c r="P1140" t="s">
        <v>11167</v>
      </c>
      <c r="Q1140" t="s">
        <v>11173</v>
      </c>
      <c r="R1140" t="s">
        <v>11180</v>
      </c>
      <c r="T1140" t="s">
        <v>11183</v>
      </c>
      <c r="W1140">
        <v>1477.82</v>
      </c>
      <c r="X1140" t="s">
        <v>11333</v>
      </c>
      <c r="Z1140" t="s">
        <v>12178</v>
      </c>
      <c r="AB1140" t="s">
        <v>16608</v>
      </c>
      <c r="AC1140">
        <v>0</v>
      </c>
      <c r="AE1140" t="s">
        <v>19580</v>
      </c>
      <c r="AF1140">
        <v>14</v>
      </c>
      <c r="AG1140">
        <v>1</v>
      </c>
      <c r="AH1140">
        <v>2</v>
      </c>
      <c r="AI1140">
        <v>46.88</v>
      </c>
      <c r="AL1140" t="s">
        <v>19614</v>
      </c>
      <c r="AM1140">
        <v>10000</v>
      </c>
      <c r="AS1140">
        <v>1.65</v>
      </c>
      <c r="AT1140" t="s">
        <v>335</v>
      </c>
      <c r="AU1140" t="s">
        <v>109</v>
      </c>
      <c r="AV1140" t="s">
        <v>20733</v>
      </c>
    </row>
    <row r="1141" spans="1:48">
      <c r="A1141" s="1">
        <f>HYPERLINK("https://lsnyc.legalserver.org/matter/dynamic-profile/view/1894728","19-1894728")</f>
        <v>0</v>
      </c>
      <c r="B1141" t="s">
        <v>82</v>
      </c>
      <c r="C1141" t="s">
        <v>256</v>
      </c>
      <c r="D1141" t="s">
        <v>502</v>
      </c>
      <c r="F1141" t="s">
        <v>1147</v>
      </c>
      <c r="G1141" t="s">
        <v>3452</v>
      </c>
      <c r="H1141" t="s">
        <v>5796</v>
      </c>
      <c r="J1141" t="s">
        <v>9059</v>
      </c>
      <c r="K1141">
        <v>11217</v>
      </c>
      <c r="L1141" t="s">
        <v>9094</v>
      </c>
      <c r="M1141" t="s">
        <v>9094</v>
      </c>
      <c r="P1141" t="s">
        <v>11166</v>
      </c>
      <c r="R1141" t="s">
        <v>11180</v>
      </c>
      <c r="T1141" t="s">
        <v>11183</v>
      </c>
      <c r="V1141" t="s">
        <v>421</v>
      </c>
      <c r="W1141">
        <v>1104</v>
      </c>
      <c r="X1141" t="s">
        <v>11332</v>
      </c>
      <c r="Z1141" t="s">
        <v>11492</v>
      </c>
      <c r="AA1141">
        <v>9122791</v>
      </c>
      <c r="AB1141" t="s">
        <v>16609</v>
      </c>
      <c r="AC1141">
        <v>0</v>
      </c>
      <c r="AF1141">
        <v>-1</v>
      </c>
      <c r="AG1141">
        <v>2</v>
      </c>
      <c r="AH1141">
        <v>1</v>
      </c>
      <c r="AI1141">
        <v>46.98</v>
      </c>
      <c r="AL1141" t="s">
        <v>19614</v>
      </c>
      <c r="AM1141">
        <v>10020</v>
      </c>
      <c r="AS1141">
        <v>1.6</v>
      </c>
      <c r="AT1141" t="s">
        <v>556</v>
      </c>
      <c r="AU1141" t="s">
        <v>215</v>
      </c>
    </row>
    <row r="1142" spans="1:48">
      <c r="A1142" s="1">
        <f>HYPERLINK("https://lsnyc.legalserver.org/matter/dynamic-profile/view/1882796","18-1882796")</f>
        <v>0</v>
      </c>
      <c r="B1142" t="s">
        <v>183</v>
      </c>
      <c r="C1142" t="s">
        <v>257</v>
      </c>
      <c r="D1142" t="s">
        <v>323</v>
      </c>
      <c r="E1142" t="s">
        <v>483</v>
      </c>
      <c r="F1142" t="s">
        <v>1769</v>
      </c>
      <c r="G1142" t="s">
        <v>3398</v>
      </c>
      <c r="H1142" t="s">
        <v>6373</v>
      </c>
      <c r="I1142" t="s">
        <v>8168</v>
      </c>
      <c r="J1142" t="s">
        <v>9067</v>
      </c>
      <c r="K1142">
        <v>10034</v>
      </c>
      <c r="L1142" t="s">
        <v>9094</v>
      </c>
      <c r="M1142" t="s">
        <v>9095</v>
      </c>
      <c r="N1142" t="s">
        <v>9622</v>
      </c>
      <c r="O1142" t="s">
        <v>11141</v>
      </c>
      <c r="P1142" t="s">
        <v>11165</v>
      </c>
      <c r="Q1142" t="s">
        <v>11174</v>
      </c>
      <c r="R1142" t="s">
        <v>11180</v>
      </c>
      <c r="S1142" t="s">
        <v>9096</v>
      </c>
      <c r="T1142" t="s">
        <v>11193</v>
      </c>
      <c r="V1142" t="s">
        <v>323</v>
      </c>
      <c r="W1142">
        <v>1200</v>
      </c>
      <c r="X1142" t="s">
        <v>11335</v>
      </c>
      <c r="Z1142" t="s">
        <v>12179</v>
      </c>
      <c r="AB1142" t="s">
        <v>16610</v>
      </c>
      <c r="AC1142">
        <v>0</v>
      </c>
      <c r="AD1142" t="s">
        <v>19566</v>
      </c>
      <c r="AE1142" t="s">
        <v>19585</v>
      </c>
      <c r="AF1142">
        <v>5</v>
      </c>
      <c r="AG1142">
        <v>1</v>
      </c>
      <c r="AH1142">
        <v>0</v>
      </c>
      <c r="AI1142">
        <v>47.12</v>
      </c>
      <c r="AL1142" t="s">
        <v>19614</v>
      </c>
      <c r="AM1142">
        <v>5720</v>
      </c>
      <c r="AR1142" t="s">
        <v>20415</v>
      </c>
      <c r="AS1142">
        <v>75.05</v>
      </c>
      <c r="AT1142" t="s">
        <v>284</v>
      </c>
      <c r="AU1142" t="s">
        <v>20658</v>
      </c>
      <c r="AV1142" t="s">
        <v>20733</v>
      </c>
    </row>
    <row r="1143" spans="1:48">
      <c r="A1143" s="1">
        <f>HYPERLINK("https://lsnyc.legalserver.org/matter/dynamic-profile/view/1901977","19-1901977")</f>
        <v>0</v>
      </c>
      <c r="B1143" t="s">
        <v>70</v>
      </c>
      <c r="C1143" t="s">
        <v>256</v>
      </c>
      <c r="D1143" t="s">
        <v>319</v>
      </c>
      <c r="F1143" t="s">
        <v>1559</v>
      </c>
      <c r="G1143" t="s">
        <v>3935</v>
      </c>
      <c r="H1143" t="s">
        <v>5749</v>
      </c>
      <c r="I1143" t="s">
        <v>8395</v>
      </c>
      <c r="J1143" t="s">
        <v>9059</v>
      </c>
      <c r="K1143">
        <v>11233</v>
      </c>
      <c r="L1143" t="s">
        <v>9094</v>
      </c>
      <c r="M1143" t="s">
        <v>9095</v>
      </c>
      <c r="N1143" t="s">
        <v>9146</v>
      </c>
      <c r="O1143" t="s">
        <v>11134</v>
      </c>
      <c r="P1143" t="s">
        <v>11168</v>
      </c>
      <c r="R1143" t="s">
        <v>11180</v>
      </c>
      <c r="S1143" t="s">
        <v>9094</v>
      </c>
      <c r="T1143" t="s">
        <v>11183</v>
      </c>
      <c r="U1143" t="s">
        <v>11201</v>
      </c>
      <c r="V1143" t="s">
        <v>482</v>
      </c>
      <c r="W1143">
        <v>1375</v>
      </c>
      <c r="X1143" t="s">
        <v>11332</v>
      </c>
      <c r="Y1143" t="s">
        <v>11157</v>
      </c>
      <c r="Z1143" t="s">
        <v>12180</v>
      </c>
      <c r="AC1143">
        <v>359</v>
      </c>
      <c r="AD1143" t="s">
        <v>19566</v>
      </c>
      <c r="AF1143">
        <v>10</v>
      </c>
      <c r="AG1143">
        <v>2</v>
      </c>
      <c r="AH1143">
        <v>0</v>
      </c>
      <c r="AI1143">
        <v>47.31</v>
      </c>
      <c r="AL1143" t="s">
        <v>19614</v>
      </c>
      <c r="AM1143">
        <v>8000</v>
      </c>
      <c r="AN1143" t="s">
        <v>19642</v>
      </c>
      <c r="AS1143">
        <v>0</v>
      </c>
      <c r="AU1143" t="s">
        <v>79</v>
      </c>
      <c r="AV1143" t="s">
        <v>9144</v>
      </c>
    </row>
    <row r="1144" spans="1:48">
      <c r="A1144" s="1">
        <f>HYPERLINK("https://lsnyc.legalserver.org/matter/dynamic-profile/view/1912381","19-1912381")</f>
        <v>0</v>
      </c>
      <c r="B1144" t="s">
        <v>76</v>
      </c>
      <c r="C1144" t="s">
        <v>256</v>
      </c>
      <c r="D1144" t="s">
        <v>309</v>
      </c>
      <c r="F1144" t="s">
        <v>1559</v>
      </c>
      <c r="G1144" t="s">
        <v>3935</v>
      </c>
      <c r="H1144" t="s">
        <v>5749</v>
      </c>
      <c r="I1144" t="s">
        <v>8395</v>
      </c>
      <c r="J1144" t="s">
        <v>9059</v>
      </c>
      <c r="K1144">
        <v>11233</v>
      </c>
      <c r="L1144" t="s">
        <v>9095</v>
      </c>
      <c r="M1144" t="s">
        <v>9095</v>
      </c>
      <c r="N1144" t="s">
        <v>9154</v>
      </c>
      <c r="O1144" t="s">
        <v>9121</v>
      </c>
      <c r="R1144" t="s">
        <v>11180</v>
      </c>
      <c r="S1144" t="s">
        <v>9094</v>
      </c>
      <c r="T1144" t="s">
        <v>11183</v>
      </c>
      <c r="W1144">
        <v>1375</v>
      </c>
      <c r="X1144" t="s">
        <v>11332</v>
      </c>
      <c r="Y1144" t="s">
        <v>11340</v>
      </c>
      <c r="Z1144" t="s">
        <v>12180</v>
      </c>
      <c r="AC1144">
        <v>359</v>
      </c>
      <c r="AD1144" t="s">
        <v>19566</v>
      </c>
      <c r="AE1144" t="s">
        <v>9144</v>
      </c>
      <c r="AF1144">
        <v>10</v>
      </c>
      <c r="AG1144">
        <v>2</v>
      </c>
      <c r="AH1144">
        <v>0</v>
      </c>
      <c r="AI1144">
        <v>47.31</v>
      </c>
      <c r="AL1144" t="s">
        <v>19614</v>
      </c>
      <c r="AM1144">
        <v>8000</v>
      </c>
      <c r="AS1144">
        <v>0</v>
      </c>
      <c r="AU1144" t="s">
        <v>79</v>
      </c>
    </row>
    <row r="1145" spans="1:48">
      <c r="A1145" s="1">
        <f>HYPERLINK("https://lsnyc.legalserver.org/matter/dynamic-profile/view/1901980","19-1901980")</f>
        <v>0</v>
      </c>
      <c r="B1145" t="s">
        <v>70</v>
      </c>
      <c r="C1145" t="s">
        <v>256</v>
      </c>
      <c r="D1145" t="s">
        <v>319</v>
      </c>
      <c r="F1145" t="s">
        <v>1559</v>
      </c>
      <c r="G1145" t="s">
        <v>3935</v>
      </c>
      <c r="H1145" t="s">
        <v>5749</v>
      </c>
      <c r="I1145" t="s">
        <v>8395</v>
      </c>
      <c r="J1145" t="s">
        <v>9059</v>
      </c>
      <c r="K1145">
        <v>11233</v>
      </c>
      <c r="L1145" t="s">
        <v>9094</v>
      </c>
      <c r="M1145" t="s">
        <v>9095</v>
      </c>
      <c r="N1145" t="s">
        <v>9154</v>
      </c>
      <c r="O1145" t="s">
        <v>11137</v>
      </c>
      <c r="P1145" t="s">
        <v>11167</v>
      </c>
      <c r="R1145" t="s">
        <v>11180</v>
      </c>
      <c r="S1145" t="s">
        <v>9094</v>
      </c>
      <c r="T1145" t="s">
        <v>11183</v>
      </c>
      <c r="U1145" t="s">
        <v>11201</v>
      </c>
      <c r="V1145" t="s">
        <v>749</v>
      </c>
      <c r="W1145">
        <v>1375</v>
      </c>
      <c r="X1145" t="s">
        <v>11332</v>
      </c>
      <c r="Y1145" t="s">
        <v>11157</v>
      </c>
      <c r="Z1145" t="s">
        <v>12180</v>
      </c>
      <c r="AC1145">
        <v>359</v>
      </c>
      <c r="AD1145" t="s">
        <v>19566</v>
      </c>
      <c r="AF1145">
        <v>10</v>
      </c>
      <c r="AG1145">
        <v>2</v>
      </c>
      <c r="AH1145">
        <v>0</v>
      </c>
      <c r="AI1145">
        <v>47.31</v>
      </c>
      <c r="AL1145" t="s">
        <v>19614</v>
      </c>
      <c r="AM1145">
        <v>8000</v>
      </c>
      <c r="AN1145" t="s">
        <v>19765</v>
      </c>
      <c r="AS1145">
        <v>0</v>
      </c>
      <c r="AU1145" t="s">
        <v>79</v>
      </c>
      <c r="AV1145" t="s">
        <v>9144</v>
      </c>
    </row>
    <row r="1146" spans="1:48">
      <c r="A1146" s="1">
        <f>HYPERLINK("https://lsnyc.legalserver.org/matter/dynamic-profile/view/1899724","19-1899724")</f>
        <v>0</v>
      </c>
      <c r="B1146" t="s">
        <v>134</v>
      </c>
      <c r="C1146" t="s">
        <v>256</v>
      </c>
      <c r="D1146" t="s">
        <v>261</v>
      </c>
      <c r="F1146" t="s">
        <v>1770</v>
      </c>
      <c r="G1146" t="s">
        <v>3936</v>
      </c>
      <c r="H1146" t="s">
        <v>6374</v>
      </c>
      <c r="I1146" t="s">
        <v>8109</v>
      </c>
      <c r="J1146" t="s">
        <v>9067</v>
      </c>
      <c r="K1146">
        <v>10034</v>
      </c>
      <c r="L1146" t="s">
        <v>9094</v>
      </c>
      <c r="M1146" t="s">
        <v>9095</v>
      </c>
      <c r="P1146" t="s">
        <v>11167</v>
      </c>
      <c r="R1146" t="s">
        <v>11180</v>
      </c>
      <c r="S1146" t="s">
        <v>9096</v>
      </c>
      <c r="T1146" t="s">
        <v>11183</v>
      </c>
      <c r="V1146" t="s">
        <v>261</v>
      </c>
      <c r="W1146">
        <v>149</v>
      </c>
      <c r="X1146" t="s">
        <v>11335</v>
      </c>
      <c r="Y1146" t="s">
        <v>11340</v>
      </c>
      <c r="Z1146" t="s">
        <v>12181</v>
      </c>
      <c r="AB1146" t="s">
        <v>16611</v>
      </c>
      <c r="AC1146">
        <v>95</v>
      </c>
      <c r="AD1146" t="s">
        <v>19566</v>
      </c>
      <c r="AE1146" t="s">
        <v>9144</v>
      </c>
      <c r="AF1146">
        <v>5</v>
      </c>
      <c r="AG1146">
        <v>2</v>
      </c>
      <c r="AH1146">
        <v>0</v>
      </c>
      <c r="AI1146">
        <v>47.31</v>
      </c>
      <c r="AL1146" t="s">
        <v>19615</v>
      </c>
      <c r="AM1146">
        <v>8000</v>
      </c>
      <c r="AS1146">
        <v>2.3</v>
      </c>
      <c r="AT1146" t="s">
        <v>298</v>
      </c>
      <c r="AU1146" t="s">
        <v>130</v>
      </c>
      <c r="AV1146" t="s">
        <v>20733</v>
      </c>
    </row>
    <row r="1147" spans="1:48">
      <c r="A1147" s="1">
        <f>HYPERLINK("https://lsnyc.legalserver.org/matter/dynamic-profile/view/1890408","18-1890408")</f>
        <v>0</v>
      </c>
      <c r="B1147" t="s">
        <v>117</v>
      </c>
      <c r="C1147" t="s">
        <v>256</v>
      </c>
      <c r="D1147" t="s">
        <v>397</v>
      </c>
      <c r="F1147" t="s">
        <v>1757</v>
      </c>
      <c r="G1147" t="s">
        <v>3929</v>
      </c>
      <c r="H1147" t="s">
        <v>5888</v>
      </c>
      <c r="I1147" t="s">
        <v>8233</v>
      </c>
      <c r="J1147" t="s">
        <v>9065</v>
      </c>
      <c r="K1147">
        <v>10453</v>
      </c>
      <c r="L1147" t="s">
        <v>9094</v>
      </c>
      <c r="M1147" t="s">
        <v>9094</v>
      </c>
      <c r="O1147" t="s">
        <v>11134</v>
      </c>
      <c r="P1147" t="s">
        <v>11168</v>
      </c>
      <c r="R1147" t="s">
        <v>11180</v>
      </c>
      <c r="S1147" t="s">
        <v>9094</v>
      </c>
      <c r="T1147" t="s">
        <v>11183</v>
      </c>
      <c r="V1147" t="s">
        <v>512</v>
      </c>
      <c r="W1147">
        <v>713.8</v>
      </c>
      <c r="X1147" t="s">
        <v>11333</v>
      </c>
      <c r="Y1147" t="s">
        <v>11346</v>
      </c>
      <c r="Z1147" t="s">
        <v>12161</v>
      </c>
      <c r="AB1147" t="s">
        <v>16595</v>
      </c>
      <c r="AC1147">
        <v>44</v>
      </c>
      <c r="AD1147" t="s">
        <v>19566</v>
      </c>
      <c r="AE1147" t="s">
        <v>9144</v>
      </c>
      <c r="AF1147">
        <v>28</v>
      </c>
      <c r="AG1147">
        <v>2</v>
      </c>
      <c r="AH1147">
        <v>0</v>
      </c>
      <c r="AI1147">
        <v>47.39</v>
      </c>
      <c r="AL1147" t="s">
        <v>19615</v>
      </c>
      <c r="AM1147">
        <v>7800</v>
      </c>
      <c r="AS1147">
        <v>0</v>
      </c>
      <c r="AU1147" t="s">
        <v>163</v>
      </c>
    </row>
    <row r="1148" spans="1:48">
      <c r="A1148" s="1">
        <f>HYPERLINK("https://lsnyc.legalserver.org/matter/dynamic-profile/view/1888263","19-1888263")</f>
        <v>0</v>
      </c>
      <c r="B1148" t="s">
        <v>113</v>
      </c>
      <c r="C1148" t="s">
        <v>256</v>
      </c>
      <c r="D1148" t="s">
        <v>510</v>
      </c>
      <c r="F1148" t="s">
        <v>1146</v>
      </c>
      <c r="G1148" t="s">
        <v>3530</v>
      </c>
      <c r="H1148" t="s">
        <v>5892</v>
      </c>
      <c r="I1148" t="s">
        <v>8262</v>
      </c>
      <c r="J1148" t="s">
        <v>9065</v>
      </c>
      <c r="K1148">
        <v>10453</v>
      </c>
      <c r="L1148" t="s">
        <v>9094</v>
      </c>
      <c r="M1148" t="s">
        <v>9094</v>
      </c>
      <c r="O1148" t="s">
        <v>9121</v>
      </c>
      <c r="P1148" t="s">
        <v>11167</v>
      </c>
      <c r="R1148" t="s">
        <v>11180</v>
      </c>
      <c r="S1148" t="s">
        <v>9094</v>
      </c>
      <c r="T1148" t="s">
        <v>11183</v>
      </c>
      <c r="V1148" t="s">
        <v>11218</v>
      </c>
      <c r="W1148">
        <v>800</v>
      </c>
      <c r="X1148" t="s">
        <v>11333</v>
      </c>
      <c r="Y1148" t="s">
        <v>11346</v>
      </c>
      <c r="Z1148" t="s">
        <v>12182</v>
      </c>
      <c r="AC1148">
        <v>99</v>
      </c>
      <c r="AD1148" t="s">
        <v>19566</v>
      </c>
      <c r="AE1148" t="s">
        <v>19580</v>
      </c>
      <c r="AF1148">
        <v>10</v>
      </c>
      <c r="AG1148">
        <v>2</v>
      </c>
      <c r="AH1148">
        <v>0</v>
      </c>
      <c r="AI1148">
        <v>47.39</v>
      </c>
      <c r="AL1148" t="s">
        <v>19615</v>
      </c>
      <c r="AM1148">
        <v>7800</v>
      </c>
      <c r="AS1148">
        <v>0.2</v>
      </c>
      <c r="AT1148" t="s">
        <v>444</v>
      </c>
      <c r="AU1148" t="s">
        <v>20647</v>
      </c>
      <c r="AV1148" t="s">
        <v>20733</v>
      </c>
    </row>
    <row r="1149" spans="1:48">
      <c r="A1149" s="1">
        <f>HYPERLINK("https://lsnyc.legalserver.org/matter/dynamic-profile/view/1895185","19-1895185")</f>
        <v>0</v>
      </c>
      <c r="B1149" t="s">
        <v>49</v>
      </c>
      <c r="C1149" t="s">
        <v>257</v>
      </c>
      <c r="D1149" t="s">
        <v>512</v>
      </c>
      <c r="E1149" t="s">
        <v>1129</v>
      </c>
      <c r="F1149" t="s">
        <v>1245</v>
      </c>
      <c r="G1149" t="s">
        <v>3448</v>
      </c>
      <c r="H1149" t="s">
        <v>6375</v>
      </c>
      <c r="I1149" t="s">
        <v>8374</v>
      </c>
      <c r="J1149" t="s">
        <v>9038</v>
      </c>
      <c r="K1149">
        <v>11691</v>
      </c>
      <c r="L1149" t="s">
        <v>9094</v>
      </c>
      <c r="M1149" t="s">
        <v>9094</v>
      </c>
      <c r="N1149" t="s">
        <v>9623</v>
      </c>
      <c r="O1149" t="s">
        <v>11129</v>
      </c>
      <c r="P1149" t="s">
        <v>11165</v>
      </c>
      <c r="Q1149" t="s">
        <v>11174</v>
      </c>
      <c r="R1149" t="s">
        <v>11180</v>
      </c>
      <c r="S1149" t="s">
        <v>9096</v>
      </c>
      <c r="T1149" t="s">
        <v>11183</v>
      </c>
      <c r="U1149" t="s">
        <v>11201</v>
      </c>
      <c r="V1149" t="s">
        <v>350</v>
      </c>
      <c r="W1149">
        <v>906</v>
      </c>
      <c r="X1149" t="s">
        <v>11331</v>
      </c>
      <c r="Y1149" t="s">
        <v>11336</v>
      </c>
      <c r="Z1149" t="s">
        <v>12183</v>
      </c>
      <c r="AA1149" t="s">
        <v>15505</v>
      </c>
      <c r="AB1149" t="s">
        <v>16612</v>
      </c>
      <c r="AC1149">
        <v>107</v>
      </c>
      <c r="AD1149" t="s">
        <v>19566</v>
      </c>
      <c r="AE1149" t="s">
        <v>19582</v>
      </c>
      <c r="AF1149">
        <v>26</v>
      </c>
      <c r="AG1149">
        <v>1</v>
      </c>
      <c r="AH1149">
        <v>1</v>
      </c>
      <c r="AI1149">
        <v>47.47</v>
      </c>
      <c r="AL1149" t="s">
        <v>19614</v>
      </c>
      <c r="AM1149">
        <v>8028</v>
      </c>
      <c r="AO1149" t="s">
        <v>20292</v>
      </c>
      <c r="AP1149" t="s">
        <v>20328</v>
      </c>
      <c r="AQ1149" t="s">
        <v>20369</v>
      </c>
      <c r="AR1149" t="s">
        <v>20443</v>
      </c>
      <c r="AS1149">
        <v>24.45</v>
      </c>
      <c r="AT1149" t="s">
        <v>570</v>
      </c>
      <c r="AU1149" t="s">
        <v>20686</v>
      </c>
      <c r="AV1149" t="s">
        <v>20733</v>
      </c>
    </row>
    <row r="1150" spans="1:48">
      <c r="A1150" s="1">
        <f>HYPERLINK("https://lsnyc.legalserver.org/matter/dynamic-profile/view/1873802","18-1873802")</f>
        <v>0</v>
      </c>
      <c r="B1150" t="s">
        <v>132</v>
      </c>
      <c r="C1150" t="s">
        <v>257</v>
      </c>
      <c r="D1150" t="s">
        <v>555</v>
      </c>
      <c r="E1150" t="s">
        <v>331</v>
      </c>
      <c r="F1150" t="s">
        <v>1771</v>
      </c>
      <c r="G1150" t="s">
        <v>3937</v>
      </c>
      <c r="H1150" t="s">
        <v>5953</v>
      </c>
      <c r="I1150" t="s">
        <v>8396</v>
      </c>
      <c r="J1150" t="s">
        <v>9067</v>
      </c>
      <c r="K1150">
        <v>10033</v>
      </c>
      <c r="L1150" t="s">
        <v>9094</v>
      </c>
      <c r="M1150" t="s">
        <v>9094</v>
      </c>
      <c r="O1150" t="s">
        <v>11130</v>
      </c>
      <c r="P1150" t="s">
        <v>11165</v>
      </c>
      <c r="Q1150" t="s">
        <v>11178</v>
      </c>
      <c r="R1150" t="s">
        <v>11180</v>
      </c>
      <c r="S1150" t="s">
        <v>9094</v>
      </c>
      <c r="T1150" t="s">
        <v>11183</v>
      </c>
      <c r="V1150" t="s">
        <v>555</v>
      </c>
      <c r="W1150">
        <v>0</v>
      </c>
      <c r="X1150" t="s">
        <v>11335</v>
      </c>
      <c r="Y1150" t="s">
        <v>11339</v>
      </c>
      <c r="Z1150" t="s">
        <v>12184</v>
      </c>
      <c r="AC1150">
        <v>232</v>
      </c>
      <c r="AD1150" t="s">
        <v>19566</v>
      </c>
      <c r="AE1150" t="s">
        <v>9144</v>
      </c>
      <c r="AF1150">
        <v>15</v>
      </c>
      <c r="AG1150">
        <v>3</v>
      </c>
      <c r="AH1150">
        <v>2</v>
      </c>
      <c r="AI1150">
        <v>47.59</v>
      </c>
      <c r="AL1150" t="s">
        <v>19615</v>
      </c>
      <c r="AM1150">
        <v>14000</v>
      </c>
      <c r="AS1150">
        <v>0.2</v>
      </c>
      <c r="AT1150" t="s">
        <v>521</v>
      </c>
      <c r="AU1150" t="s">
        <v>130</v>
      </c>
    </row>
    <row r="1151" spans="1:48">
      <c r="A1151" s="1">
        <f>HYPERLINK("https://lsnyc.legalserver.org/matter/dynamic-profile/view/0804346","16-0804346")</f>
        <v>0</v>
      </c>
      <c r="B1151" t="s">
        <v>93</v>
      </c>
      <c r="C1151" t="s">
        <v>256</v>
      </c>
      <c r="D1151" t="s">
        <v>726</v>
      </c>
      <c r="F1151" t="s">
        <v>1199</v>
      </c>
      <c r="G1151" t="s">
        <v>3938</v>
      </c>
      <c r="H1151" t="s">
        <v>6376</v>
      </c>
      <c r="I1151" t="s">
        <v>8154</v>
      </c>
      <c r="J1151" t="s">
        <v>9059</v>
      </c>
      <c r="K1151">
        <v>11213</v>
      </c>
      <c r="L1151" t="s">
        <v>9094</v>
      </c>
      <c r="M1151" t="s">
        <v>9095</v>
      </c>
      <c r="N1151" t="s">
        <v>9624</v>
      </c>
      <c r="O1151" t="s">
        <v>11129</v>
      </c>
      <c r="P1151" t="s">
        <v>11165</v>
      </c>
      <c r="R1151" t="s">
        <v>11180</v>
      </c>
      <c r="S1151" t="s">
        <v>9094</v>
      </c>
      <c r="T1151" t="s">
        <v>11183</v>
      </c>
      <c r="V1151" t="s">
        <v>726</v>
      </c>
      <c r="W1151">
        <v>1300</v>
      </c>
      <c r="X1151" t="s">
        <v>11332</v>
      </c>
      <c r="Y1151" t="s">
        <v>11347</v>
      </c>
      <c r="Z1151" t="s">
        <v>12185</v>
      </c>
      <c r="AB1151" t="s">
        <v>16613</v>
      </c>
      <c r="AC1151">
        <v>5</v>
      </c>
      <c r="AD1151" t="s">
        <v>19565</v>
      </c>
      <c r="AE1151" t="s">
        <v>9144</v>
      </c>
      <c r="AF1151">
        <v>1</v>
      </c>
      <c r="AG1151">
        <v>1</v>
      </c>
      <c r="AH1151">
        <v>2</v>
      </c>
      <c r="AI1151">
        <v>47.62</v>
      </c>
      <c r="AJ1151" t="s">
        <v>11307</v>
      </c>
      <c r="AL1151" t="s">
        <v>19614</v>
      </c>
      <c r="AM1151">
        <v>9600</v>
      </c>
      <c r="AS1151">
        <v>121.45</v>
      </c>
      <c r="AT1151" t="s">
        <v>331</v>
      </c>
      <c r="AU1151" t="s">
        <v>150</v>
      </c>
    </row>
    <row r="1152" spans="1:48">
      <c r="A1152" s="1">
        <f>HYPERLINK("https://lsnyc.legalserver.org/matter/dynamic-profile/view/1913349","19-1913349")</f>
        <v>0</v>
      </c>
      <c r="B1152" t="s">
        <v>184</v>
      </c>
      <c r="C1152" t="s">
        <v>257</v>
      </c>
      <c r="D1152" t="s">
        <v>286</v>
      </c>
      <c r="E1152" t="s">
        <v>496</v>
      </c>
      <c r="F1152" t="s">
        <v>1772</v>
      </c>
      <c r="G1152" t="s">
        <v>3551</v>
      </c>
      <c r="H1152" t="s">
        <v>6377</v>
      </c>
      <c r="I1152" t="s">
        <v>8397</v>
      </c>
      <c r="J1152" t="s">
        <v>9065</v>
      </c>
      <c r="K1152">
        <v>10467</v>
      </c>
      <c r="L1152" t="s">
        <v>9096</v>
      </c>
      <c r="M1152" t="s">
        <v>9095</v>
      </c>
      <c r="N1152" t="s">
        <v>9625</v>
      </c>
      <c r="O1152" t="s">
        <v>9121</v>
      </c>
      <c r="P1152" t="s">
        <v>11164</v>
      </c>
      <c r="Q1152" t="s">
        <v>11172</v>
      </c>
      <c r="R1152" t="s">
        <v>11180</v>
      </c>
      <c r="S1152" t="s">
        <v>9096</v>
      </c>
      <c r="T1152" t="s">
        <v>11183</v>
      </c>
      <c r="W1152">
        <v>0</v>
      </c>
      <c r="X1152" t="s">
        <v>11333</v>
      </c>
      <c r="Y1152" t="s">
        <v>11347</v>
      </c>
      <c r="Z1152" t="s">
        <v>12186</v>
      </c>
      <c r="AB1152" t="s">
        <v>16614</v>
      </c>
      <c r="AC1152">
        <v>4</v>
      </c>
      <c r="AD1152" t="s">
        <v>19565</v>
      </c>
      <c r="AF1152">
        <v>0</v>
      </c>
      <c r="AG1152">
        <v>2</v>
      </c>
      <c r="AH1152">
        <v>0</v>
      </c>
      <c r="AI1152">
        <v>47.66</v>
      </c>
      <c r="AL1152" t="s">
        <v>19614</v>
      </c>
      <c r="AM1152">
        <v>8060.04</v>
      </c>
      <c r="AN1152" t="s">
        <v>19766</v>
      </c>
      <c r="AS1152">
        <v>0.5</v>
      </c>
      <c r="AT1152" t="s">
        <v>496</v>
      </c>
      <c r="AU1152" t="s">
        <v>20649</v>
      </c>
      <c r="AV1152" t="s">
        <v>9144</v>
      </c>
    </row>
    <row r="1153" spans="1:48">
      <c r="A1153" s="1">
        <f>HYPERLINK("https://lsnyc.legalserver.org/matter/dynamic-profile/view/1878835","18-1878835")</f>
        <v>0</v>
      </c>
      <c r="B1153" t="s">
        <v>71</v>
      </c>
      <c r="C1153" t="s">
        <v>257</v>
      </c>
      <c r="D1153" t="s">
        <v>701</v>
      </c>
      <c r="E1153" t="s">
        <v>483</v>
      </c>
      <c r="F1153" t="s">
        <v>1773</v>
      </c>
      <c r="G1153" t="s">
        <v>3939</v>
      </c>
      <c r="H1153" t="s">
        <v>6378</v>
      </c>
      <c r="I1153" t="s">
        <v>8108</v>
      </c>
      <c r="J1153" t="s">
        <v>9059</v>
      </c>
      <c r="K1153">
        <v>11208</v>
      </c>
      <c r="L1153" t="s">
        <v>9094</v>
      </c>
      <c r="M1153" t="s">
        <v>9094</v>
      </c>
      <c r="N1153" t="s">
        <v>9626</v>
      </c>
      <c r="O1153" t="s">
        <v>11128</v>
      </c>
      <c r="P1153" t="s">
        <v>11165</v>
      </c>
      <c r="Q1153" t="s">
        <v>11174</v>
      </c>
      <c r="R1153" t="s">
        <v>11180</v>
      </c>
      <c r="S1153" t="s">
        <v>9096</v>
      </c>
      <c r="T1153" t="s">
        <v>11183</v>
      </c>
      <c r="U1153" t="s">
        <v>11201</v>
      </c>
      <c r="V1153" t="s">
        <v>701</v>
      </c>
      <c r="W1153">
        <v>1956</v>
      </c>
      <c r="X1153" t="s">
        <v>11332</v>
      </c>
      <c r="Y1153" t="s">
        <v>11347</v>
      </c>
      <c r="Z1153" t="s">
        <v>12187</v>
      </c>
      <c r="AA1153" t="s">
        <v>15506</v>
      </c>
      <c r="AB1153" t="s">
        <v>16615</v>
      </c>
      <c r="AC1153">
        <v>3</v>
      </c>
      <c r="AD1153" t="s">
        <v>19565</v>
      </c>
      <c r="AE1153" t="s">
        <v>19581</v>
      </c>
      <c r="AF1153">
        <v>1</v>
      </c>
      <c r="AG1153">
        <v>1</v>
      </c>
      <c r="AH1153">
        <v>4</v>
      </c>
      <c r="AI1153">
        <v>47.76</v>
      </c>
      <c r="AL1153" t="s">
        <v>19614</v>
      </c>
      <c r="AM1153">
        <v>14050</v>
      </c>
      <c r="AN1153" t="s">
        <v>19665</v>
      </c>
      <c r="AS1153">
        <v>66.75</v>
      </c>
      <c r="AT1153" t="s">
        <v>854</v>
      </c>
      <c r="AU1153" t="s">
        <v>20628</v>
      </c>
    </row>
    <row r="1154" spans="1:48">
      <c r="A1154" s="1">
        <f>HYPERLINK("https://lsnyc.legalserver.org/matter/dynamic-profile/view/1866167","18-1866167")</f>
        <v>0</v>
      </c>
      <c r="B1154" t="s">
        <v>136</v>
      </c>
      <c r="C1154" t="s">
        <v>256</v>
      </c>
      <c r="D1154" t="s">
        <v>727</v>
      </c>
      <c r="F1154" t="s">
        <v>1774</v>
      </c>
      <c r="G1154" t="s">
        <v>3802</v>
      </c>
      <c r="H1154" t="s">
        <v>6379</v>
      </c>
      <c r="I1154" t="s">
        <v>8225</v>
      </c>
      <c r="J1154" t="s">
        <v>9075</v>
      </c>
      <c r="K1154">
        <v>10031</v>
      </c>
      <c r="L1154" t="s">
        <v>9094</v>
      </c>
      <c r="M1154" t="s">
        <v>9094</v>
      </c>
      <c r="O1154" t="s">
        <v>11130</v>
      </c>
      <c r="P1154" t="s">
        <v>11165</v>
      </c>
      <c r="R1154" t="s">
        <v>11180</v>
      </c>
      <c r="S1154" t="s">
        <v>9094</v>
      </c>
      <c r="T1154" t="s">
        <v>11183</v>
      </c>
      <c r="U1154" t="s">
        <v>11201</v>
      </c>
      <c r="V1154" t="s">
        <v>727</v>
      </c>
      <c r="W1154">
        <v>2126</v>
      </c>
      <c r="X1154" t="s">
        <v>11335</v>
      </c>
      <c r="Y1154" t="s">
        <v>11339</v>
      </c>
      <c r="Z1154" t="s">
        <v>12188</v>
      </c>
      <c r="AB1154" t="s">
        <v>16616</v>
      </c>
      <c r="AC1154">
        <v>42</v>
      </c>
      <c r="AD1154" t="s">
        <v>19567</v>
      </c>
      <c r="AE1154" t="s">
        <v>19580</v>
      </c>
      <c r="AF1154">
        <v>11</v>
      </c>
      <c r="AG1154">
        <v>3</v>
      </c>
      <c r="AH1154">
        <v>1</v>
      </c>
      <c r="AI1154">
        <v>47.81</v>
      </c>
      <c r="AL1154" t="s">
        <v>19615</v>
      </c>
      <c r="AM1154">
        <v>12000</v>
      </c>
      <c r="AS1154">
        <v>4.95</v>
      </c>
      <c r="AT1154" t="s">
        <v>663</v>
      </c>
      <c r="AU1154" t="s">
        <v>20657</v>
      </c>
    </row>
    <row r="1155" spans="1:48">
      <c r="A1155" s="1">
        <f>HYPERLINK("https://lsnyc.legalserver.org/matter/dynamic-profile/view/1899050","19-1899050")</f>
        <v>0</v>
      </c>
      <c r="B1155" t="s">
        <v>111</v>
      </c>
      <c r="C1155" t="s">
        <v>257</v>
      </c>
      <c r="D1155" t="s">
        <v>492</v>
      </c>
      <c r="E1155" t="s">
        <v>290</v>
      </c>
      <c r="F1155" t="s">
        <v>1187</v>
      </c>
      <c r="G1155" t="s">
        <v>3940</v>
      </c>
      <c r="H1155" t="s">
        <v>6380</v>
      </c>
      <c r="I1155" t="s">
        <v>8170</v>
      </c>
      <c r="J1155" t="s">
        <v>9065</v>
      </c>
      <c r="K1155">
        <v>10452</v>
      </c>
      <c r="L1155" t="s">
        <v>9094</v>
      </c>
      <c r="M1155" t="s">
        <v>9095</v>
      </c>
      <c r="O1155" t="s">
        <v>11128</v>
      </c>
      <c r="P1155" t="s">
        <v>11164</v>
      </c>
      <c r="Q1155" t="s">
        <v>11172</v>
      </c>
      <c r="R1155" t="s">
        <v>11180</v>
      </c>
      <c r="S1155" t="s">
        <v>9096</v>
      </c>
      <c r="T1155" t="s">
        <v>11183</v>
      </c>
      <c r="U1155" t="s">
        <v>11201</v>
      </c>
      <c r="V1155" t="s">
        <v>11218</v>
      </c>
      <c r="W1155">
        <v>1980</v>
      </c>
      <c r="X1155" t="s">
        <v>11333</v>
      </c>
      <c r="Y1155" t="s">
        <v>11346</v>
      </c>
      <c r="Z1155" t="s">
        <v>12189</v>
      </c>
      <c r="AB1155" t="s">
        <v>16617</v>
      </c>
      <c r="AC1155">
        <v>3</v>
      </c>
      <c r="AD1155" t="s">
        <v>15441</v>
      </c>
      <c r="AE1155" t="s">
        <v>19582</v>
      </c>
      <c r="AF1155">
        <v>4</v>
      </c>
      <c r="AG1155">
        <v>2</v>
      </c>
      <c r="AH1155">
        <v>3</v>
      </c>
      <c r="AI1155">
        <v>47.85</v>
      </c>
      <c r="AL1155" t="s">
        <v>19614</v>
      </c>
      <c r="AM1155">
        <v>14436</v>
      </c>
      <c r="AS1155">
        <v>0.01</v>
      </c>
      <c r="AT1155" t="s">
        <v>290</v>
      </c>
      <c r="AU1155" t="s">
        <v>20642</v>
      </c>
      <c r="AV1155" t="s">
        <v>20733</v>
      </c>
    </row>
    <row r="1156" spans="1:48">
      <c r="A1156" s="1">
        <f>HYPERLINK("https://lsnyc.legalserver.org/matter/dynamic-profile/view/0821517","16-0821517")</f>
        <v>0</v>
      </c>
      <c r="B1156" t="s">
        <v>185</v>
      </c>
      <c r="C1156" t="s">
        <v>256</v>
      </c>
      <c r="D1156" t="s">
        <v>420</v>
      </c>
      <c r="F1156" t="s">
        <v>1540</v>
      </c>
      <c r="G1156" t="s">
        <v>3941</v>
      </c>
      <c r="H1156" t="s">
        <v>5855</v>
      </c>
      <c r="I1156" t="s">
        <v>8171</v>
      </c>
      <c r="J1156" t="s">
        <v>9065</v>
      </c>
      <c r="K1156">
        <v>10467</v>
      </c>
      <c r="L1156" t="s">
        <v>9094</v>
      </c>
      <c r="M1156" t="s">
        <v>9095</v>
      </c>
      <c r="N1156" t="s">
        <v>9220</v>
      </c>
      <c r="O1156" t="s">
        <v>11143</v>
      </c>
      <c r="P1156" t="s">
        <v>11165</v>
      </c>
      <c r="R1156" t="s">
        <v>11180</v>
      </c>
      <c r="S1156" t="s">
        <v>9094</v>
      </c>
      <c r="T1156" t="s">
        <v>11183</v>
      </c>
      <c r="V1156" t="s">
        <v>926</v>
      </c>
      <c r="W1156">
        <v>0</v>
      </c>
      <c r="X1156" t="s">
        <v>11333</v>
      </c>
      <c r="Y1156" t="s">
        <v>11338</v>
      </c>
      <c r="Z1156" t="s">
        <v>12190</v>
      </c>
      <c r="AA1156" t="s">
        <v>15507</v>
      </c>
      <c r="AB1156" t="s">
        <v>16618</v>
      </c>
      <c r="AC1156">
        <v>30</v>
      </c>
      <c r="AD1156" t="s">
        <v>19566</v>
      </c>
      <c r="AF1156">
        <v>0</v>
      </c>
      <c r="AG1156">
        <v>3</v>
      </c>
      <c r="AH1156">
        <v>3</v>
      </c>
      <c r="AI1156">
        <v>47.88</v>
      </c>
      <c r="AJ1156" t="s">
        <v>865</v>
      </c>
      <c r="AM1156">
        <v>15600</v>
      </c>
      <c r="AN1156" t="s">
        <v>19767</v>
      </c>
      <c r="AS1156">
        <v>8</v>
      </c>
      <c r="AT1156" t="s">
        <v>626</v>
      </c>
      <c r="AU1156" t="s">
        <v>20648</v>
      </c>
    </row>
    <row r="1157" spans="1:48">
      <c r="A1157" s="1">
        <f>HYPERLINK("https://lsnyc.legalserver.org/matter/dynamic-profile/view/1911630","19-1911630")</f>
        <v>0</v>
      </c>
      <c r="B1157" t="s">
        <v>72</v>
      </c>
      <c r="C1157" t="s">
        <v>256</v>
      </c>
      <c r="D1157" t="s">
        <v>728</v>
      </c>
      <c r="F1157" t="s">
        <v>1775</v>
      </c>
      <c r="G1157" t="s">
        <v>3656</v>
      </c>
      <c r="H1157" t="s">
        <v>6381</v>
      </c>
      <c r="J1157" t="s">
        <v>9059</v>
      </c>
      <c r="K1157">
        <v>11207</v>
      </c>
      <c r="L1157" t="s">
        <v>9094</v>
      </c>
      <c r="M1157" t="s">
        <v>9095</v>
      </c>
      <c r="N1157" t="s">
        <v>9627</v>
      </c>
      <c r="O1157" t="s">
        <v>11129</v>
      </c>
      <c r="P1157" t="s">
        <v>11169</v>
      </c>
      <c r="R1157" t="s">
        <v>11180</v>
      </c>
      <c r="S1157" t="s">
        <v>9096</v>
      </c>
      <c r="T1157" t="s">
        <v>11183</v>
      </c>
      <c r="U1157" t="s">
        <v>11201</v>
      </c>
      <c r="W1157">
        <v>1441</v>
      </c>
      <c r="X1157" t="s">
        <v>11332</v>
      </c>
      <c r="Y1157" t="s">
        <v>11338</v>
      </c>
      <c r="Z1157" t="s">
        <v>12191</v>
      </c>
      <c r="AA1157" t="s">
        <v>15285</v>
      </c>
      <c r="AB1157" t="s">
        <v>16619</v>
      </c>
      <c r="AC1157">
        <v>-2</v>
      </c>
      <c r="AD1157" t="s">
        <v>19571</v>
      </c>
      <c r="AE1157" t="s">
        <v>19584</v>
      </c>
      <c r="AF1157">
        <v>0</v>
      </c>
      <c r="AG1157">
        <v>6</v>
      </c>
      <c r="AH1157">
        <v>2</v>
      </c>
      <c r="AI1157">
        <v>47.89</v>
      </c>
      <c r="AL1157" t="s">
        <v>19615</v>
      </c>
      <c r="AM1157">
        <v>20800</v>
      </c>
      <c r="AS1157">
        <v>4</v>
      </c>
      <c r="AT1157" t="s">
        <v>301</v>
      </c>
      <c r="AU1157" t="s">
        <v>95</v>
      </c>
      <c r="AV1157" t="s">
        <v>20733</v>
      </c>
    </row>
    <row r="1158" spans="1:48">
      <c r="A1158" s="1">
        <f>HYPERLINK("https://lsnyc.legalserver.org/matter/dynamic-profile/view/0806911","16-0806911")</f>
        <v>0</v>
      </c>
      <c r="B1158" t="s">
        <v>141</v>
      </c>
      <c r="C1158" t="s">
        <v>257</v>
      </c>
      <c r="D1158" t="s">
        <v>590</v>
      </c>
      <c r="E1158" t="s">
        <v>377</v>
      </c>
      <c r="F1158" t="s">
        <v>1776</v>
      </c>
      <c r="G1158" t="s">
        <v>3097</v>
      </c>
      <c r="H1158" t="s">
        <v>6382</v>
      </c>
      <c r="I1158" t="s">
        <v>8168</v>
      </c>
      <c r="J1158" t="s">
        <v>9067</v>
      </c>
      <c r="K1158">
        <v>10034</v>
      </c>
      <c r="L1158" t="s">
        <v>9094</v>
      </c>
      <c r="M1158" t="s">
        <v>9095</v>
      </c>
      <c r="N1158" t="s">
        <v>9628</v>
      </c>
      <c r="O1158" t="s">
        <v>11130</v>
      </c>
      <c r="P1158" t="s">
        <v>11165</v>
      </c>
      <c r="Q1158" t="s">
        <v>11172</v>
      </c>
      <c r="R1158" t="s">
        <v>11180</v>
      </c>
      <c r="S1158" t="s">
        <v>9094</v>
      </c>
      <c r="T1158" t="s">
        <v>11183</v>
      </c>
      <c r="V1158" t="s">
        <v>956</v>
      </c>
      <c r="W1158">
        <v>850.41</v>
      </c>
      <c r="X1158" t="s">
        <v>11335</v>
      </c>
      <c r="Y1158" t="s">
        <v>11346</v>
      </c>
      <c r="Z1158" t="s">
        <v>12192</v>
      </c>
      <c r="AA1158" t="s">
        <v>15508</v>
      </c>
      <c r="AC1158">
        <v>44</v>
      </c>
      <c r="AD1158" t="s">
        <v>19566</v>
      </c>
      <c r="AE1158" t="s">
        <v>9144</v>
      </c>
      <c r="AF1158">
        <v>23</v>
      </c>
      <c r="AG1158">
        <v>1</v>
      </c>
      <c r="AH1158">
        <v>3</v>
      </c>
      <c r="AI1158">
        <v>47.95</v>
      </c>
      <c r="AL1158" t="s">
        <v>19614</v>
      </c>
      <c r="AM1158">
        <v>11650.88</v>
      </c>
      <c r="AS1158">
        <v>1.2</v>
      </c>
      <c r="AT1158" t="s">
        <v>1106</v>
      </c>
      <c r="AU1158" t="s">
        <v>20657</v>
      </c>
    </row>
    <row r="1159" spans="1:48">
      <c r="A1159" s="1">
        <f>HYPERLINK("https://lsnyc.legalserver.org/matter/dynamic-profile/view/1898295","19-1898295")</f>
        <v>0</v>
      </c>
      <c r="B1159" t="s">
        <v>101</v>
      </c>
      <c r="C1159" t="s">
        <v>256</v>
      </c>
      <c r="D1159" t="s">
        <v>596</v>
      </c>
      <c r="F1159" t="s">
        <v>1777</v>
      </c>
      <c r="G1159" t="s">
        <v>3498</v>
      </c>
      <c r="H1159" t="s">
        <v>6383</v>
      </c>
      <c r="I1159" t="s">
        <v>8308</v>
      </c>
      <c r="J1159" t="s">
        <v>9065</v>
      </c>
      <c r="K1159">
        <v>10467</v>
      </c>
      <c r="L1159" t="s">
        <v>9094</v>
      </c>
      <c r="M1159" t="s">
        <v>9094</v>
      </c>
      <c r="O1159" t="s">
        <v>11134</v>
      </c>
      <c r="P1159" t="s">
        <v>11168</v>
      </c>
      <c r="R1159" t="s">
        <v>11180</v>
      </c>
      <c r="S1159" t="s">
        <v>9094</v>
      </c>
      <c r="T1159" t="s">
        <v>11183</v>
      </c>
      <c r="V1159" t="s">
        <v>11218</v>
      </c>
      <c r="W1159">
        <v>863</v>
      </c>
      <c r="X1159" t="s">
        <v>11333</v>
      </c>
      <c r="Y1159" t="s">
        <v>11346</v>
      </c>
      <c r="Z1159" t="s">
        <v>12193</v>
      </c>
      <c r="AB1159" t="s">
        <v>16620</v>
      </c>
      <c r="AC1159">
        <v>60</v>
      </c>
      <c r="AD1159" t="s">
        <v>19566</v>
      </c>
      <c r="AE1159" t="s">
        <v>9144</v>
      </c>
      <c r="AF1159">
        <v>1</v>
      </c>
      <c r="AG1159">
        <v>1</v>
      </c>
      <c r="AH1159">
        <v>0</v>
      </c>
      <c r="AI1159">
        <v>48.04</v>
      </c>
      <c r="AL1159" t="s">
        <v>19614</v>
      </c>
      <c r="AM1159">
        <v>6000</v>
      </c>
      <c r="AS1159">
        <v>0</v>
      </c>
      <c r="AU1159" t="s">
        <v>20642</v>
      </c>
      <c r="AV1159" t="s">
        <v>20733</v>
      </c>
    </row>
    <row r="1160" spans="1:48">
      <c r="A1160" s="1">
        <f>HYPERLINK("https://lsnyc.legalserver.org/matter/dynamic-profile/view/1907400","19-1907400")</f>
        <v>0</v>
      </c>
      <c r="B1160" t="s">
        <v>117</v>
      </c>
      <c r="C1160" t="s">
        <v>257</v>
      </c>
      <c r="D1160" t="s">
        <v>415</v>
      </c>
      <c r="E1160" t="s">
        <v>308</v>
      </c>
      <c r="F1160" t="s">
        <v>1390</v>
      </c>
      <c r="G1160" t="s">
        <v>3942</v>
      </c>
      <c r="H1160" t="s">
        <v>6384</v>
      </c>
      <c r="I1160" t="s">
        <v>8398</v>
      </c>
      <c r="J1160" t="s">
        <v>9065</v>
      </c>
      <c r="K1160">
        <v>10454</v>
      </c>
      <c r="L1160" t="s">
        <v>9094</v>
      </c>
      <c r="M1160" t="s">
        <v>9095</v>
      </c>
      <c r="P1160" t="s">
        <v>11165</v>
      </c>
      <c r="Q1160" t="s">
        <v>11174</v>
      </c>
      <c r="R1160" t="s">
        <v>11180</v>
      </c>
      <c r="S1160" t="s">
        <v>9096</v>
      </c>
      <c r="T1160" t="s">
        <v>11183</v>
      </c>
      <c r="U1160" t="s">
        <v>11201</v>
      </c>
      <c r="W1160">
        <v>970.58</v>
      </c>
      <c r="X1160" t="s">
        <v>11333</v>
      </c>
      <c r="Y1160" t="s">
        <v>11346</v>
      </c>
      <c r="Z1160" t="s">
        <v>12194</v>
      </c>
      <c r="AB1160" t="s">
        <v>16621</v>
      </c>
      <c r="AC1160">
        <v>419</v>
      </c>
      <c r="AD1160" t="s">
        <v>19566</v>
      </c>
      <c r="AE1160" t="s">
        <v>19585</v>
      </c>
      <c r="AF1160">
        <v>6</v>
      </c>
      <c r="AG1160">
        <v>1</v>
      </c>
      <c r="AH1160">
        <v>0</v>
      </c>
      <c r="AI1160">
        <v>48.04</v>
      </c>
      <c r="AL1160" t="s">
        <v>19614</v>
      </c>
      <c r="AM1160">
        <v>6000</v>
      </c>
      <c r="AS1160">
        <v>2.25</v>
      </c>
      <c r="AT1160" t="s">
        <v>308</v>
      </c>
      <c r="AU1160" t="s">
        <v>163</v>
      </c>
      <c r="AV1160" t="s">
        <v>20733</v>
      </c>
    </row>
    <row r="1161" spans="1:48">
      <c r="A1161" s="1">
        <f>HYPERLINK("https://lsnyc.legalserver.org/matter/dynamic-profile/view/1888652","19-1888652")</f>
        <v>0</v>
      </c>
      <c r="B1161" t="s">
        <v>124</v>
      </c>
      <c r="C1161" t="s">
        <v>256</v>
      </c>
      <c r="D1161" t="s">
        <v>325</v>
      </c>
      <c r="F1161" t="s">
        <v>1147</v>
      </c>
      <c r="G1161" t="s">
        <v>3943</v>
      </c>
      <c r="H1161" t="s">
        <v>6385</v>
      </c>
      <c r="I1161" t="s">
        <v>8399</v>
      </c>
      <c r="J1161" t="s">
        <v>9066</v>
      </c>
      <c r="K1161">
        <v>10301</v>
      </c>
      <c r="L1161" t="s">
        <v>9095</v>
      </c>
      <c r="M1161" t="s">
        <v>9095</v>
      </c>
      <c r="R1161" t="s">
        <v>11180</v>
      </c>
      <c r="T1161" t="s">
        <v>11183</v>
      </c>
      <c r="W1161">
        <v>0</v>
      </c>
      <c r="X1161" t="s">
        <v>11334</v>
      </c>
      <c r="Z1161" t="s">
        <v>12153</v>
      </c>
      <c r="AB1161" t="s">
        <v>16622</v>
      </c>
      <c r="AC1161">
        <v>0</v>
      </c>
      <c r="AF1161">
        <v>0</v>
      </c>
      <c r="AG1161">
        <v>2</v>
      </c>
      <c r="AH1161">
        <v>2</v>
      </c>
      <c r="AI1161">
        <v>48.22</v>
      </c>
      <c r="AL1161" t="s">
        <v>19614</v>
      </c>
      <c r="AM1161">
        <v>12416</v>
      </c>
      <c r="AS1161">
        <v>8.15</v>
      </c>
      <c r="AT1161" t="s">
        <v>454</v>
      </c>
      <c r="AU1161" t="s">
        <v>20652</v>
      </c>
    </row>
    <row r="1162" spans="1:48">
      <c r="A1162" s="1">
        <f>HYPERLINK("https://lsnyc.legalserver.org/matter/dynamic-profile/view/1861928","18-1861928")</f>
        <v>0</v>
      </c>
      <c r="B1162" t="s">
        <v>93</v>
      </c>
      <c r="C1162" t="s">
        <v>256</v>
      </c>
      <c r="D1162" t="s">
        <v>451</v>
      </c>
      <c r="F1162" t="s">
        <v>1690</v>
      </c>
      <c r="G1162" t="s">
        <v>3859</v>
      </c>
      <c r="H1162" t="s">
        <v>6277</v>
      </c>
      <c r="I1162" t="s">
        <v>8151</v>
      </c>
      <c r="J1162" t="s">
        <v>9059</v>
      </c>
      <c r="K1162">
        <v>11206</v>
      </c>
      <c r="L1162" t="s">
        <v>9094</v>
      </c>
      <c r="M1162" t="s">
        <v>9095</v>
      </c>
      <c r="N1162" t="s">
        <v>9629</v>
      </c>
      <c r="O1162" t="s">
        <v>11129</v>
      </c>
      <c r="P1162" t="s">
        <v>11165</v>
      </c>
      <c r="R1162" t="s">
        <v>11180</v>
      </c>
      <c r="T1162" t="s">
        <v>11183</v>
      </c>
      <c r="V1162" t="s">
        <v>662</v>
      </c>
      <c r="W1162">
        <v>1307.59</v>
      </c>
      <c r="X1162" t="s">
        <v>11332</v>
      </c>
      <c r="Z1162" t="s">
        <v>12045</v>
      </c>
      <c r="AB1162" t="s">
        <v>16491</v>
      </c>
      <c r="AC1162">
        <v>11</v>
      </c>
      <c r="AD1162" t="s">
        <v>19566</v>
      </c>
      <c r="AE1162" t="s">
        <v>19580</v>
      </c>
      <c r="AF1162">
        <v>23</v>
      </c>
      <c r="AG1162">
        <v>2</v>
      </c>
      <c r="AH1162">
        <v>0</v>
      </c>
      <c r="AI1162">
        <v>48.23</v>
      </c>
      <c r="AL1162" t="s">
        <v>19614</v>
      </c>
      <c r="AM1162">
        <v>7938</v>
      </c>
      <c r="AS1162">
        <v>12.15</v>
      </c>
      <c r="AT1162" t="s">
        <v>325</v>
      </c>
      <c r="AU1162" t="s">
        <v>78</v>
      </c>
    </row>
    <row r="1163" spans="1:48">
      <c r="A1163" s="1">
        <f>HYPERLINK("https://lsnyc.legalserver.org/matter/dynamic-profile/view/1851310","17-1851310")</f>
        <v>0</v>
      </c>
      <c r="B1163" t="s">
        <v>71</v>
      </c>
      <c r="C1163" t="s">
        <v>256</v>
      </c>
      <c r="D1163" t="s">
        <v>729</v>
      </c>
      <c r="F1163" t="s">
        <v>1758</v>
      </c>
      <c r="G1163" t="s">
        <v>3930</v>
      </c>
      <c r="H1163" t="s">
        <v>6360</v>
      </c>
      <c r="I1163" t="s">
        <v>8218</v>
      </c>
      <c r="J1163" t="s">
        <v>9059</v>
      </c>
      <c r="K1163">
        <v>11233</v>
      </c>
      <c r="L1163" t="s">
        <v>9094</v>
      </c>
      <c r="M1163" t="s">
        <v>9094</v>
      </c>
      <c r="N1163" t="s">
        <v>9630</v>
      </c>
      <c r="O1163" t="s">
        <v>11129</v>
      </c>
      <c r="P1163" t="s">
        <v>11165</v>
      </c>
      <c r="R1163" t="s">
        <v>11180</v>
      </c>
      <c r="S1163" t="s">
        <v>9096</v>
      </c>
      <c r="T1163" t="s">
        <v>11183</v>
      </c>
      <c r="V1163" t="s">
        <v>731</v>
      </c>
      <c r="W1163">
        <v>1113</v>
      </c>
      <c r="X1163" t="s">
        <v>11332</v>
      </c>
      <c r="Y1163" t="s">
        <v>11344</v>
      </c>
      <c r="Z1163" t="s">
        <v>12162</v>
      </c>
      <c r="AA1163" t="s">
        <v>15500</v>
      </c>
      <c r="AB1163" t="s">
        <v>16596</v>
      </c>
      <c r="AC1163">
        <v>66</v>
      </c>
      <c r="AD1163" t="s">
        <v>19570</v>
      </c>
      <c r="AE1163" t="s">
        <v>19581</v>
      </c>
      <c r="AF1163">
        <v>-1</v>
      </c>
      <c r="AG1163">
        <v>1</v>
      </c>
      <c r="AH1163">
        <v>2</v>
      </c>
      <c r="AI1163">
        <v>48.27</v>
      </c>
      <c r="AL1163" t="s">
        <v>19614</v>
      </c>
      <c r="AM1163">
        <v>9857</v>
      </c>
      <c r="AS1163">
        <v>28.65</v>
      </c>
      <c r="AT1163" t="s">
        <v>377</v>
      </c>
      <c r="AU1163" t="s">
        <v>20633</v>
      </c>
    </row>
    <row r="1164" spans="1:48">
      <c r="A1164" s="1">
        <f>HYPERLINK("https://lsnyc.legalserver.org/matter/dynamic-profile/view/1840577","17-1840577")</f>
        <v>0</v>
      </c>
      <c r="B1164" t="s">
        <v>138</v>
      </c>
      <c r="C1164" t="s">
        <v>256</v>
      </c>
      <c r="D1164" t="s">
        <v>730</v>
      </c>
      <c r="F1164" t="s">
        <v>1778</v>
      </c>
      <c r="G1164" t="s">
        <v>3364</v>
      </c>
      <c r="H1164" t="s">
        <v>6386</v>
      </c>
      <c r="I1164">
        <v>35</v>
      </c>
      <c r="J1164" t="s">
        <v>9067</v>
      </c>
      <c r="K1164">
        <v>10034</v>
      </c>
      <c r="L1164" t="s">
        <v>9094</v>
      </c>
      <c r="M1164" t="s">
        <v>9095</v>
      </c>
      <c r="O1164" t="s">
        <v>11157</v>
      </c>
      <c r="P1164" t="s">
        <v>11166</v>
      </c>
      <c r="R1164" t="s">
        <v>11180</v>
      </c>
      <c r="S1164" t="s">
        <v>9096</v>
      </c>
      <c r="T1164" t="s">
        <v>11183</v>
      </c>
      <c r="V1164" t="s">
        <v>837</v>
      </c>
      <c r="W1164">
        <v>900</v>
      </c>
      <c r="X1164" t="s">
        <v>11335</v>
      </c>
      <c r="Y1164" t="s">
        <v>11157</v>
      </c>
      <c r="Z1164" t="s">
        <v>12036</v>
      </c>
      <c r="AB1164" t="s">
        <v>16623</v>
      </c>
      <c r="AC1164">
        <v>60</v>
      </c>
      <c r="AD1164" t="s">
        <v>15441</v>
      </c>
      <c r="AE1164" t="s">
        <v>9144</v>
      </c>
      <c r="AF1164">
        <v>23</v>
      </c>
      <c r="AG1164">
        <v>2</v>
      </c>
      <c r="AH1164">
        <v>2</v>
      </c>
      <c r="AI1164">
        <v>48.29</v>
      </c>
      <c r="AL1164" t="s">
        <v>19614</v>
      </c>
      <c r="AM1164">
        <v>11880</v>
      </c>
      <c r="AS1164">
        <v>33.5</v>
      </c>
      <c r="AT1164" t="s">
        <v>864</v>
      </c>
      <c r="AU1164" t="s">
        <v>20632</v>
      </c>
    </row>
    <row r="1165" spans="1:48">
      <c r="A1165" s="1">
        <f>HYPERLINK("https://lsnyc.legalserver.org/matter/dynamic-profile/view/0798640","16-0798640")</f>
        <v>0</v>
      </c>
      <c r="B1165" t="s">
        <v>127</v>
      </c>
      <c r="C1165" t="s">
        <v>256</v>
      </c>
      <c r="D1165" t="s">
        <v>641</v>
      </c>
      <c r="F1165" t="s">
        <v>1639</v>
      </c>
      <c r="G1165" t="s">
        <v>3944</v>
      </c>
      <c r="H1165" t="s">
        <v>6387</v>
      </c>
      <c r="I1165" t="s">
        <v>8400</v>
      </c>
      <c r="J1165" t="s">
        <v>9066</v>
      </c>
      <c r="K1165">
        <v>10304</v>
      </c>
      <c r="L1165" t="s">
        <v>9095</v>
      </c>
      <c r="M1165" t="s">
        <v>9095</v>
      </c>
      <c r="N1165" t="s">
        <v>9631</v>
      </c>
      <c r="O1165" t="s">
        <v>11128</v>
      </c>
      <c r="P1165" t="s">
        <v>11165</v>
      </c>
      <c r="R1165" t="s">
        <v>11180</v>
      </c>
      <c r="T1165" t="s">
        <v>11190</v>
      </c>
      <c r="V1165" t="s">
        <v>641</v>
      </c>
      <c r="W1165">
        <v>1640</v>
      </c>
      <c r="X1165" t="s">
        <v>11334</v>
      </c>
      <c r="Y1165" t="s">
        <v>11340</v>
      </c>
      <c r="Z1165" t="s">
        <v>12195</v>
      </c>
      <c r="AB1165" t="s">
        <v>16624</v>
      </c>
      <c r="AC1165">
        <v>132</v>
      </c>
      <c r="AD1165" t="s">
        <v>19567</v>
      </c>
      <c r="AE1165" t="s">
        <v>19580</v>
      </c>
      <c r="AF1165">
        <v>30</v>
      </c>
      <c r="AG1165">
        <v>3</v>
      </c>
      <c r="AH1165">
        <v>0</v>
      </c>
      <c r="AI1165">
        <v>48.36</v>
      </c>
      <c r="AL1165" t="s">
        <v>19614</v>
      </c>
      <c r="AM1165">
        <v>9750</v>
      </c>
      <c r="AS1165">
        <v>47</v>
      </c>
      <c r="AT1165" t="s">
        <v>615</v>
      </c>
      <c r="AU1165" t="s">
        <v>20652</v>
      </c>
    </row>
    <row r="1166" spans="1:48">
      <c r="A1166" s="1">
        <f>HYPERLINK("https://lsnyc.legalserver.org/matter/dynamic-profile/view/1906016","19-1906016")</f>
        <v>0</v>
      </c>
      <c r="B1166" t="s">
        <v>57</v>
      </c>
      <c r="C1166" t="s">
        <v>256</v>
      </c>
      <c r="D1166" t="s">
        <v>329</v>
      </c>
      <c r="F1166" t="s">
        <v>1450</v>
      </c>
      <c r="G1166" t="s">
        <v>3945</v>
      </c>
      <c r="H1166" t="s">
        <v>5735</v>
      </c>
      <c r="I1166" t="s">
        <v>8401</v>
      </c>
      <c r="J1166" t="s">
        <v>9055</v>
      </c>
      <c r="K1166">
        <v>11354</v>
      </c>
      <c r="L1166" t="s">
        <v>9095</v>
      </c>
      <c r="M1166" t="s">
        <v>9095</v>
      </c>
      <c r="N1166" t="s">
        <v>9135</v>
      </c>
      <c r="O1166" t="s">
        <v>11134</v>
      </c>
      <c r="P1166" t="s">
        <v>11168</v>
      </c>
      <c r="R1166" t="s">
        <v>11180</v>
      </c>
      <c r="S1166" t="s">
        <v>9094</v>
      </c>
      <c r="T1166" t="s">
        <v>11183</v>
      </c>
      <c r="U1166" t="s">
        <v>11201</v>
      </c>
      <c r="W1166">
        <v>1025</v>
      </c>
      <c r="X1166" t="s">
        <v>11331</v>
      </c>
      <c r="Y1166" t="s">
        <v>11348</v>
      </c>
      <c r="Z1166" t="s">
        <v>12196</v>
      </c>
      <c r="AB1166" t="s">
        <v>15274</v>
      </c>
      <c r="AC1166">
        <v>91</v>
      </c>
      <c r="AD1166" t="s">
        <v>19566</v>
      </c>
      <c r="AE1166" t="s">
        <v>9144</v>
      </c>
      <c r="AF1166">
        <v>34</v>
      </c>
      <c r="AG1166">
        <v>3</v>
      </c>
      <c r="AH1166">
        <v>0</v>
      </c>
      <c r="AI1166">
        <v>48.38</v>
      </c>
      <c r="AL1166" t="s">
        <v>19615</v>
      </c>
      <c r="AM1166">
        <v>10320</v>
      </c>
      <c r="AS1166">
        <v>0.4</v>
      </c>
      <c r="AT1166" t="s">
        <v>11311</v>
      </c>
      <c r="AU1166" t="s">
        <v>20620</v>
      </c>
    </row>
    <row r="1167" spans="1:48">
      <c r="A1167" s="1">
        <f>HYPERLINK("https://lsnyc.legalserver.org/matter/dynamic-profile/view/1895562","19-1895562")</f>
        <v>0</v>
      </c>
      <c r="B1167" t="s">
        <v>72</v>
      </c>
      <c r="C1167" t="s">
        <v>256</v>
      </c>
      <c r="D1167" t="s">
        <v>512</v>
      </c>
      <c r="F1167" t="s">
        <v>1779</v>
      </c>
      <c r="G1167" t="s">
        <v>3946</v>
      </c>
      <c r="H1167" t="s">
        <v>6388</v>
      </c>
      <c r="I1167" t="s">
        <v>8142</v>
      </c>
      <c r="J1167" t="s">
        <v>9059</v>
      </c>
      <c r="K1167">
        <v>11206</v>
      </c>
      <c r="L1167" t="s">
        <v>9094</v>
      </c>
      <c r="M1167" t="s">
        <v>9096</v>
      </c>
      <c r="N1167" t="s">
        <v>9632</v>
      </c>
      <c r="O1167" t="s">
        <v>11129</v>
      </c>
      <c r="P1167" t="s">
        <v>11165</v>
      </c>
      <c r="R1167" t="s">
        <v>11180</v>
      </c>
      <c r="S1167" t="s">
        <v>9096</v>
      </c>
      <c r="T1167" t="s">
        <v>11183</v>
      </c>
      <c r="U1167" t="s">
        <v>11201</v>
      </c>
      <c r="V1167" t="s">
        <v>384</v>
      </c>
      <c r="W1167">
        <v>96</v>
      </c>
      <c r="X1167" t="s">
        <v>11332</v>
      </c>
      <c r="Y1167" t="s">
        <v>11342</v>
      </c>
      <c r="Z1167" t="s">
        <v>12197</v>
      </c>
      <c r="AB1167" t="s">
        <v>16625</v>
      </c>
      <c r="AC1167">
        <v>0</v>
      </c>
      <c r="AD1167" t="s">
        <v>19566</v>
      </c>
      <c r="AE1167" t="s">
        <v>11157</v>
      </c>
      <c r="AF1167">
        <v>40</v>
      </c>
      <c r="AG1167">
        <v>1</v>
      </c>
      <c r="AH1167">
        <v>0</v>
      </c>
      <c r="AI1167">
        <v>48.49</v>
      </c>
      <c r="AL1167" t="s">
        <v>19614</v>
      </c>
      <c r="AM1167">
        <v>6056</v>
      </c>
      <c r="AS1167">
        <v>22.3</v>
      </c>
      <c r="AT1167" t="s">
        <v>308</v>
      </c>
      <c r="AU1167" t="s">
        <v>79</v>
      </c>
      <c r="AV1167" t="s">
        <v>20733</v>
      </c>
    </row>
    <row r="1168" spans="1:48">
      <c r="A1168" s="1">
        <f>HYPERLINK("https://lsnyc.legalserver.org/matter/dynamic-profile/view/1887977","19-1887977")</f>
        <v>0</v>
      </c>
      <c r="B1168" t="s">
        <v>119</v>
      </c>
      <c r="C1168" t="s">
        <v>256</v>
      </c>
      <c r="D1168" t="s">
        <v>443</v>
      </c>
      <c r="F1168" t="s">
        <v>1780</v>
      </c>
      <c r="G1168" t="s">
        <v>3947</v>
      </c>
      <c r="H1168" t="s">
        <v>5880</v>
      </c>
      <c r="I1168" t="s">
        <v>8134</v>
      </c>
      <c r="J1168" t="s">
        <v>9065</v>
      </c>
      <c r="K1168">
        <v>10456</v>
      </c>
      <c r="L1168" t="s">
        <v>9094</v>
      </c>
      <c r="M1168" t="s">
        <v>9094</v>
      </c>
      <c r="N1168" t="s">
        <v>9234</v>
      </c>
      <c r="O1168" t="s">
        <v>11130</v>
      </c>
      <c r="P1168" t="s">
        <v>11165</v>
      </c>
      <c r="R1168" t="s">
        <v>11180</v>
      </c>
      <c r="S1168" t="s">
        <v>9094</v>
      </c>
      <c r="T1168" t="s">
        <v>11183</v>
      </c>
      <c r="V1168" t="s">
        <v>11218</v>
      </c>
      <c r="W1168">
        <v>1147.68</v>
      </c>
      <c r="X1168" t="s">
        <v>11333</v>
      </c>
      <c r="Y1168" t="s">
        <v>11347</v>
      </c>
      <c r="Z1168" t="s">
        <v>12198</v>
      </c>
      <c r="AB1168" t="s">
        <v>16626</v>
      </c>
      <c r="AC1168">
        <v>17</v>
      </c>
      <c r="AD1168" t="s">
        <v>19566</v>
      </c>
      <c r="AE1168" t="s">
        <v>9144</v>
      </c>
      <c r="AF1168">
        <v>19</v>
      </c>
      <c r="AG1168">
        <v>3</v>
      </c>
      <c r="AH1168">
        <v>0</v>
      </c>
      <c r="AI1168">
        <v>48.51</v>
      </c>
      <c r="AL1168" t="s">
        <v>19615</v>
      </c>
      <c r="AM1168">
        <v>10080</v>
      </c>
      <c r="AS1168">
        <v>1</v>
      </c>
      <c r="AT1168" t="s">
        <v>443</v>
      </c>
      <c r="AU1168" t="s">
        <v>174</v>
      </c>
      <c r="AV1168" t="s">
        <v>20733</v>
      </c>
    </row>
    <row r="1169" spans="1:48">
      <c r="A1169" s="1">
        <f>HYPERLINK("https://lsnyc.legalserver.org/matter/dynamic-profile/view/1911183","19-1911183")</f>
        <v>0</v>
      </c>
      <c r="B1169" t="s">
        <v>74</v>
      </c>
      <c r="C1169" t="s">
        <v>256</v>
      </c>
      <c r="D1169" t="s">
        <v>336</v>
      </c>
      <c r="F1169" t="s">
        <v>1405</v>
      </c>
      <c r="G1169" t="s">
        <v>3948</v>
      </c>
      <c r="H1169" t="s">
        <v>6389</v>
      </c>
      <c r="J1169" t="s">
        <v>9059</v>
      </c>
      <c r="K1169">
        <v>11212</v>
      </c>
      <c r="L1169" t="s">
        <v>9094</v>
      </c>
      <c r="M1169" t="s">
        <v>9095</v>
      </c>
      <c r="N1169" t="s">
        <v>9495</v>
      </c>
      <c r="R1169" t="s">
        <v>11180</v>
      </c>
      <c r="T1169" t="s">
        <v>11183</v>
      </c>
      <c r="W1169">
        <v>0</v>
      </c>
      <c r="X1169" t="s">
        <v>11332</v>
      </c>
      <c r="Y1169" t="s">
        <v>11347</v>
      </c>
      <c r="Z1169" t="s">
        <v>12079</v>
      </c>
      <c r="AB1169" t="s">
        <v>16627</v>
      </c>
      <c r="AC1169">
        <v>0</v>
      </c>
      <c r="AF1169">
        <v>3</v>
      </c>
      <c r="AG1169">
        <v>3</v>
      </c>
      <c r="AH1169">
        <v>2</v>
      </c>
      <c r="AI1169">
        <v>48.54</v>
      </c>
      <c r="AL1169" t="s">
        <v>19615</v>
      </c>
      <c r="AM1169">
        <v>14644</v>
      </c>
      <c r="AS1169">
        <v>0</v>
      </c>
      <c r="AU1169" t="s">
        <v>20626</v>
      </c>
      <c r="AV1169" t="s">
        <v>20733</v>
      </c>
    </row>
    <row r="1170" spans="1:48">
      <c r="A1170" s="1">
        <f>HYPERLINK("https://lsnyc.legalserver.org/matter/dynamic-profile/view/1871476","18-1871476")</f>
        <v>0</v>
      </c>
      <c r="B1170" t="s">
        <v>131</v>
      </c>
      <c r="C1170" t="s">
        <v>256</v>
      </c>
      <c r="D1170" t="s">
        <v>731</v>
      </c>
      <c r="F1170" t="s">
        <v>1274</v>
      </c>
      <c r="G1170" t="s">
        <v>3624</v>
      </c>
      <c r="H1170" t="s">
        <v>6390</v>
      </c>
      <c r="I1170">
        <v>10037</v>
      </c>
      <c r="J1170" t="s">
        <v>9067</v>
      </c>
      <c r="K1170">
        <v>10037</v>
      </c>
      <c r="L1170" t="s">
        <v>9095</v>
      </c>
      <c r="M1170" t="s">
        <v>9095</v>
      </c>
      <c r="P1170" t="s">
        <v>11165</v>
      </c>
      <c r="R1170" t="s">
        <v>11180</v>
      </c>
      <c r="T1170" t="s">
        <v>11183</v>
      </c>
      <c r="W1170">
        <v>0</v>
      </c>
      <c r="X1170" t="s">
        <v>11335</v>
      </c>
      <c r="Z1170" t="s">
        <v>12199</v>
      </c>
      <c r="AB1170" t="s">
        <v>16628</v>
      </c>
      <c r="AC1170">
        <v>0</v>
      </c>
      <c r="AF1170">
        <v>0</v>
      </c>
      <c r="AG1170">
        <v>3</v>
      </c>
      <c r="AH1170">
        <v>0</v>
      </c>
      <c r="AI1170">
        <v>48.66</v>
      </c>
      <c r="AL1170" t="s">
        <v>19614</v>
      </c>
      <c r="AM1170">
        <v>9936</v>
      </c>
      <c r="AS1170">
        <v>31.3</v>
      </c>
      <c r="AT1170" t="s">
        <v>570</v>
      </c>
      <c r="AU1170" t="s">
        <v>131</v>
      </c>
    </row>
    <row r="1171" spans="1:48">
      <c r="A1171" s="1">
        <f>HYPERLINK("https://lsnyc.legalserver.org/matter/dynamic-profile/view/1909794","19-1909794")</f>
        <v>0</v>
      </c>
      <c r="B1171" t="s">
        <v>113</v>
      </c>
      <c r="C1171" t="s">
        <v>257</v>
      </c>
      <c r="D1171" t="s">
        <v>425</v>
      </c>
      <c r="E1171" t="s">
        <v>594</v>
      </c>
      <c r="F1171" t="s">
        <v>1247</v>
      </c>
      <c r="G1171" t="s">
        <v>3949</v>
      </c>
      <c r="H1171" t="s">
        <v>6391</v>
      </c>
      <c r="J1171" t="s">
        <v>9065</v>
      </c>
      <c r="K1171">
        <v>10468</v>
      </c>
      <c r="L1171" t="s">
        <v>9094</v>
      </c>
      <c r="M1171" t="s">
        <v>9095</v>
      </c>
      <c r="O1171" t="s">
        <v>9121</v>
      </c>
      <c r="P1171" t="s">
        <v>11164</v>
      </c>
      <c r="Q1171" t="s">
        <v>11172</v>
      </c>
      <c r="R1171" t="s">
        <v>11180</v>
      </c>
      <c r="S1171" t="s">
        <v>9096</v>
      </c>
      <c r="T1171" t="s">
        <v>11183</v>
      </c>
      <c r="W1171">
        <v>1090</v>
      </c>
      <c r="X1171" t="s">
        <v>11333</v>
      </c>
      <c r="Y1171" t="s">
        <v>11346</v>
      </c>
      <c r="Z1171" t="s">
        <v>12200</v>
      </c>
      <c r="AA1171" t="s">
        <v>15509</v>
      </c>
      <c r="AB1171" t="s">
        <v>16629</v>
      </c>
      <c r="AC1171">
        <v>50</v>
      </c>
      <c r="AD1171" t="s">
        <v>19566</v>
      </c>
      <c r="AE1171" t="s">
        <v>11157</v>
      </c>
      <c r="AF1171">
        <v>5</v>
      </c>
      <c r="AG1171">
        <v>2</v>
      </c>
      <c r="AH1171">
        <v>0</v>
      </c>
      <c r="AI1171">
        <v>48.68</v>
      </c>
      <c r="AM1171">
        <v>8232</v>
      </c>
      <c r="AS1171">
        <v>0.5</v>
      </c>
      <c r="AT1171" t="s">
        <v>594</v>
      </c>
      <c r="AU1171" t="s">
        <v>113</v>
      </c>
      <c r="AV1171" t="s">
        <v>20733</v>
      </c>
    </row>
    <row r="1172" spans="1:48">
      <c r="A1172" s="1">
        <f>HYPERLINK("https://lsnyc.legalserver.org/matter/dynamic-profile/view/1836319","17-1836319")</f>
        <v>0</v>
      </c>
      <c r="B1172" t="s">
        <v>148</v>
      </c>
      <c r="C1172" t="s">
        <v>256</v>
      </c>
      <c r="D1172" t="s">
        <v>732</v>
      </c>
      <c r="F1172" t="s">
        <v>1781</v>
      </c>
      <c r="G1172" t="s">
        <v>3356</v>
      </c>
      <c r="H1172" t="s">
        <v>6392</v>
      </c>
      <c r="I1172" t="s">
        <v>8229</v>
      </c>
      <c r="J1172" t="s">
        <v>9067</v>
      </c>
      <c r="K1172">
        <v>10029</v>
      </c>
      <c r="L1172" t="s">
        <v>9096</v>
      </c>
      <c r="M1172" t="s">
        <v>9095</v>
      </c>
      <c r="N1172" t="s">
        <v>9633</v>
      </c>
      <c r="O1172" t="s">
        <v>11129</v>
      </c>
      <c r="P1172" t="s">
        <v>11166</v>
      </c>
      <c r="R1172" t="s">
        <v>11180</v>
      </c>
      <c r="S1172" t="s">
        <v>9094</v>
      </c>
      <c r="T1172" t="s">
        <v>11183</v>
      </c>
      <c r="V1172" t="s">
        <v>732</v>
      </c>
      <c r="W1172">
        <v>465</v>
      </c>
      <c r="X1172" t="s">
        <v>11335</v>
      </c>
      <c r="Y1172" t="s">
        <v>11339</v>
      </c>
      <c r="Z1172" t="s">
        <v>12201</v>
      </c>
      <c r="AB1172" t="s">
        <v>16630</v>
      </c>
      <c r="AC1172">
        <v>20</v>
      </c>
      <c r="AD1172" t="s">
        <v>19566</v>
      </c>
      <c r="AE1172" t="s">
        <v>11157</v>
      </c>
      <c r="AF1172">
        <v>22</v>
      </c>
      <c r="AG1172">
        <v>3</v>
      </c>
      <c r="AH1172">
        <v>2</v>
      </c>
      <c r="AI1172">
        <v>48.7</v>
      </c>
      <c r="AL1172" t="s">
        <v>19614</v>
      </c>
      <c r="AM1172">
        <v>14016</v>
      </c>
      <c r="AS1172">
        <v>0</v>
      </c>
      <c r="AU1172" t="s">
        <v>20687</v>
      </c>
    </row>
    <row r="1173" spans="1:48">
      <c r="A1173" s="1">
        <f>HYPERLINK("https://lsnyc.legalserver.org/matter/dynamic-profile/view/1907666","19-1907666")</f>
        <v>0</v>
      </c>
      <c r="B1173" t="s">
        <v>82</v>
      </c>
      <c r="C1173" t="s">
        <v>256</v>
      </c>
      <c r="D1173" t="s">
        <v>429</v>
      </c>
      <c r="F1173" t="s">
        <v>1782</v>
      </c>
      <c r="G1173" t="s">
        <v>3950</v>
      </c>
      <c r="H1173" t="s">
        <v>6393</v>
      </c>
      <c r="I1173" t="s">
        <v>8121</v>
      </c>
      <c r="J1173" t="s">
        <v>9059</v>
      </c>
      <c r="K1173">
        <v>11226</v>
      </c>
      <c r="L1173" t="s">
        <v>9094</v>
      </c>
      <c r="M1173" t="s">
        <v>9095</v>
      </c>
      <c r="O1173" t="s">
        <v>11134</v>
      </c>
      <c r="P1173" t="s">
        <v>11168</v>
      </c>
      <c r="R1173" t="s">
        <v>11180</v>
      </c>
      <c r="S1173" t="s">
        <v>9094</v>
      </c>
      <c r="T1173" t="s">
        <v>11183</v>
      </c>
      <c r="V1173" t="s">
        <v>429</v>
      </c>
      <c r="W1173">
        <v>0</v>
      </c>
      <c r="X1173" t="s">
        <v>11332</v>
      </c>
      <c r="Z1173" t="s">
        <v>12202</v>
      </c>
      <c r="AC1173">
        <v>36</v>
      </c>
      <c r="AD1173" t="s">
        <v>19566</v>
      </c>
      <c r="AF1173">
        <v>0</v>
      </c>
      <c r="AG1173">
        <v>2</v>
      </c>
      <c r="AH1173">
        <v>1</v>
      </c>
      <c r="AI1173">
        <v>48.76</v>
      </c>
      <c r="AL1173" t="s">
        <v>19615</v>
      </c>
      <c r="AM1173">
        <v>10400</v>
      </c>
      <c r="AN1173" t="s">
        <v>19768</v>
      </c>
      <c r="AS1173">
        <v>0.2</v>
      </c>
      <c r="AT1173" t="s">
        <v>429</v>
      </c>
      <c r="AU1173" t="s">
        <v>67</v>
      </c>
      <c r="AV1173" t="s">
        <v>20733</v>
      </c>
    </row>
    <row r="1174" spans="1:48">
      <c r="A1174" s="1">
        <f>HYPERLINK("https://lsnyc.legalserver.org/matter/dynamic-profile/view/1900448","19-1900448")</f>
        <v>0</v>
      </c>
      <c r="B1174" t="s">
        <v>82</v>
      </c>
      <c r="C1174" t="s">
        <v>256</v>
      </c>
      <c r="D1174" t="s">
        <v>262</v>
      </c>
      <c r="F1174" t="s">
        <v>1782</v>
      </c>
      <c r="G1174" t="s">
        <v>3950</v>
      </c>
      <c r="H1174" t="s">
        <v>6393</v>
      </c>
      <c r="I1174" t="s">
        <v>8121</v>
      </c>
      <c r="J1174" t="s">
        <v>9059</v>
      </c>
      <c r="K1174">
        <v>11226</v>
      </c>
      <c r="L1174" t="s">
        <v>9094</v>
      </c>
      <c r="M1174" t="s">
        <v>9095</v>
      </c>
      <c r="N1174" t="s">
        <v>9634</v>
      </c>
      <c r="O1174" t="s">
        <v>11130</v>
      </c>
      <c r="P1174" t="s">
        <v>11165</v>
      </c>
      <c r="R1174" t="s">
        <v>11180</v>
      </c>
      <c r="S1174" t="s">
        <v>9094</v>
      </c>
      <c r="T1174" t="s">
        <v>11183</v>
      </c>
      <c r="U1174" t="s">
        <v>11201</v>
      </c>
      <c r="V1174" t="s">
        <v>11212</v>
      </c>
      <c r="W1174">
        <v>1050.15</v>
      </c>
      <c r="X1174" t="s">
        <v>11332</v>
      </c>
      <c r="Y1174" t="s">
        <v>11339</v>
      </c>
      <c r="Z1174" t="s">
        <v>12202</v>
      </c>
      <c r="AC1174">
        <v>36</v>
      </c>
      <c r="AD1174" t="s">
        <v>19566</v>
      </c>
      <c r="AF1174">
        <v>21</v>
      </c>
      <c r="AG1174">
        <v>2</v>
      </c>
      <c r="AH1174">
        <v>1</v>
      </c>
      <c r="AI1174">
        <v>48.76</v>
      </c>
      <c r="AL1174" t="s">
        <v>19615</v>
      </c>
      <c r="AM1174">
        <v>10400</v>
      </c>
      <c r="AS1174">
        <v>0.2</v>
      </c>
      <c r="AT1174" t="s">
        <v>262</v>
      </c>
      <c r="AU1174" t="s">
        <v>67</v>
      </c>
      <c r="AV1174" t="s">
        <v>20733</v>
      </c>
    </row>
    <row r="1175" spans="1:48">
      <c r="A1175" s="1">
        <f>HYPERLINK("https://lsnyc.legalserver.org/matter/dynamic-profile/view/1904004","19-1904004")</f>
        <v>0</v>
      </c>
      <c r="B1175" t="s">
        <v>78</v>
      </c>
      <c r="C1175" t="s">
        <v>256</v>
      </c>
      <c r="D1175" t="s">
        <v>663</v>
      </c>
      <c r="F1175" t="s">
        <v>1267</v>
      </c>
      <c r="G1175" t="s">
        <v>3374</v>
      </c>
      <c r="H1175" t="s">
        <v>5805</v>
      </c>
      <c r="I1175" t="s">
        <v>8193</v>
      </c>
      <c r="J1175" t="s">
        <v>9059</v>
      </c>
      <c r="K1175">
        <v>11213</v>
      </c>
      <c r="L1175" t="s">
        <v>9094</v>
      </c>
      <c r="M1175" t="s">
        <v>9095</v>
      </c>
      <c r="N1175" t="s">
        <v>9144</v>
      </c>
      <c r="O1175" t="s">
        <v>11137</v>
      </c>
      <c r="P1175" t="s">
        <v>11167</v>
      </c>
      <c r="R1175" t="s">
        <v>11180</v>
      </c>
      <c r="S1175" t="s">
        <v>9094</v>
      </c>
      <c r="T1175" t="s">
        <v>11186</v>
      </c>
      <c r="U1175" t="s">
        <v>11201</v>
      </c>
      <c r="V1175" t="s">
        <v>635</v>
      </c>
      <c r="W1175">
        <v>412</v>
      </c>
      <c r="X1175" t="s">
        <v>11332</v>
      </c>
      <c r="Y1175" t="s">
        <v>11348</v>
      </c>
      <c r="Z1175" t="s">
        <v>11503</v>
      </c>
      <c r="AB1175" t="s">
        <v>16004</v>
      </c>
      <c r="AC1175">
        <v>19</v>
      </c>
      <c r="AD1175" t="s">
        <v>19566</v>
      </c>
      <c r="AE1175" t="s">
        <v>9144</v>
      </c>
      <c r="AF1175">
        <v>12</v>
      </c>
      <c r="AG1175">
        <v>3</v>
      </c>
      <c r="AH1175">
        <v>0</v>
      </c>
      <c r="AI1175">
        <v>48.76</v>
      </c>
      <c r="AL1175" t="s">
        <v>19614</v>
      </c>
      <c r="AM1175">
        <v>10400</v>
      </c>
      <c r="AN1175" t="s">
        <v>19769</v>
      </c>
      <c r="AS1175">
        <v>0</v>
      </c>
      <c r="AU1175" t="s">
        <v>79</v>
      </c>
      <c r="AV1175" t="s">
        <v>20733</v>
      </c>
    </row>
    <row r="1176" spans="1:48">
      <c r="A1176" s="1">
        <f>HYPERLINK("https://lsnyc.legalserver.org/matter/dynamic-profile/view/1893224","19-1893224")</f>
        <v>0</v>
      </c>
      <c r="B1176" t="s">
        <v>127</v>
      </c>
      <c r="C1176" t="s">
        <v>256</v>
      </c>
      <c r="D1176" t="s">
        <v>573</v>
      </c>
      <c r="F1176" t="s">
        <v>1783</v>
      </c>
      <c r="G1176" t="s">
        <v>3951</v>
      </c>
      <c r="H1176" t="s">
        <v>6394</v>
      </c>
      <c r="I1176">
        <v>2</v>
      </c>
      <c r="J1176" t="s">
        <v>9066</v>
      </c>
      <c r="K1176">
        <v>10301</v>
      </c>
      <c r="L1176" t="s">
        <v>9094</v>
      </c>
      <c r="M1176" t="s">
        <v>9094</v>
      </c>
      <c r="N1176" t="s">
        <v>9635</v>
      </c>
      <c r="O1176" t="s">
        <v>11129</v>
      </c>
      <c r="P1176" t="s">
        <v>11165</v>
      </c>
      <c r="R1176" t="s">
        <v>11180</v>
      </c>
      <c r="S1176" t="s">
        <v>9096</v>
      </c>
      <c r="T1176" t="s">
        <v>11183</v>
      </c>
      <c r="U1176" t="s">
        <v>11201</v>
      </c>
      <c r="V1176" t="s">
        <v>573</v>
      </c>
      <c r="W1176">
        <v>1515</v>
      </c>
      <c r="X1176" t="s">
        <v>11334</v>
      </c>
      <c r="Y1176" t="s">
        <v>11346</v>
      </c>
      <c r="Z1176" t="s">
        <v>12203</v>
      </c>
      <c r="AB1176" t="s">
        <v>16631</v>
      </c>
      <c r="AC1176">
        <v>4</v>
      </c>
      <c r="AD1176" t="s">
        <v>19565</v>
      </c>
      <c r="AE1176" t="s">
        <v>19581</v>
      </c>
      <c r="AF1176">
        <v>1</v>
      </c>
      <c r="AG1176">
        <v>2</v>
      </c>
      <c r="AH1176">
        <v>1</v>
      </c>
      <c r="AI1176">
        <v>48.76</v>
      </c>
      <c r="AL1176" t="s">
        <v>19614</v>
      </c>
      <c r="AM1176">
        <v>10400</v>
      </c>
      <c r="AO1176" t="s">
        <v>20294</v>
      </c>
      <c r="AP1176" t="s">
        <v>11157</v>
      </c>
      <c r="AS1176">
        <v>21.6</v>
      </c>
      <c r="AT1176" t="s">
        <v>487</v>
      </c>
      <c r="AU1176" t="s">
        <v>20652</v>
      </c>
      <c r="AV1176" t="s">
        <v>20733</v>
      </c>
    </row>
    <row r="1177" spans="1:48">
      <c r="A1177" s="1">
        <f>HYPERLINK("https://lsnyc.legalserver.org/matter/dynamic-profile/view/1884304","18-1884304")</f>
        <v>0</v>
      </c>
      <c r="B1177" t="s">
        <v>64</v>
      </c>
      <c r="C1177" t="s">
        <v>256</v>
      </c>
      <c r="D1177" t="s">
        <v>343</v>
      </c>
      <c r="F1177" t="s">
        <v>1784</v>
      </c>
      <c r="G1177" t="s">
        <v>3497</v>
      </c>
      <c r="H1177" t="s">
        <v>6395</v>
      </c>
      <c r="I1177" t="s">
        <v>8402</v>
      </c>
      <c r="J1177" t="s">
        <v>9059</v>
      </c>
      <c r="K1177">
        <v>11212</v>
      </c>
      <c r="L1177" t="s">
        <v>9094</v>
      </c>
      <c r="M1177" t="s">
        <v>9094</v>
      </c>
      <c r="N1177" t="s">
        <v>9121</v>
      </c>
      <c r="O1177" t="s">
        <v>11136</v>
      </c>
      <c r="P1177" t="s">
        <v>11165</v>
      </c>
      <c r="R1177" t="s">
        <v>11180</v>
      </c>
      <c r="S1177" t="s">
        <v>9096</v>
      </c>
      <c r="T1177" t="s">
        <v>11183</v>
      </c>
      <c r="U1177" t="s">
        <v>11201</v>
      </c>
      <c r="V1177" t="s">
        <v>394</v>
      </c>
      <c r="W1177">
        <v>254</v>
      </c>
      <c r="X1177" t="s">
        <v>11332</v>
      </c>
      <c r="Y1177" t="s">
        <v>11351</v>
      </c>
      <c r="Z1177" t="s">
        <v>12204</v>
      </c>
      <c r="AA1177" t="s">
        <v>15510</v>
      </c>
      <c r="AB1177" t="s">
        <v>16632</v>
      </c>
      <c r="AC1177">
        <v>162</v>
      </c>
      <c r="AD1177" t="s">
        <v>19570</v>
      </c>
      <c r="AE1177" t="s">
        <v>19584</v>
      </c>
      <c r="AF1177">
        <v>32</v>
      </c>
      <c r="AG1177">
        <v>1</v>
      </c>
      <c r="AH1177">
        <v>2</v>
      </c>
      <c r="AI1177">
        <v>49.03</v>
      </c>
      <c r="AL1177" t="s">
        <v>19614</v>
      </c>
      <c r="AM1177">
        <v>10188</v>
      </c>
      <c r="AS1177">
        <v>73.7</v>
      </c>
      <c r="AT1177" t="s">
        <v>1135</v>
      </c>
      <c r="AU1177" t="s">
        <v>95</v>
      </c>
      <c r="AV1177" t="s">
        <v>20733</v>
      </c>
    </row>
    <row r="1178" spans="1:48">
      <c r="A1178" s="1">
        <f>HYPERLINK("https://lsnyc.legalserver.org/matter/dynamic-profile/view/1861859","18-1861859")</f>
        <v>0</v>
      </c>
      <c r="B1178" t="s">
        <v>64</v>
      </c>
      <c r="C1178" t="s">
        <v>256</v>
      </c>
      <c r="D1178" t="s">
        <v>733</v>
      </c>
      <c r="F1178" t="s">
        <v>1785</v>
      </c>
      <c r="G1178" t="s">
        <v>3952</v>
      </c>
      <c r="H1178" t="s">
        <v>6396</v>
      </c>
      <c r="J1178" t="s">
        <v>9059</v>
      </c>
      <c r="K1178">
        <v>11237</v>
      </c>
      <c r="L1178" t="s">
        <v>9096</v>
      </c>
      <c r="M1178" t="s">
        <v>9095</v>
      </c>
      <c r="N1178" t="s">
        <v>9636</v>
      </c>
      <c r="O1178" t="s">
        <v>11128</v>
      </c>
      <c r="P1178" t="s">
        <v>11165</v>
      </c>
      <c r="R1178" t="s">
        <v>11180</v>
      </c>
      <c r="T1178" t="s">
        <v>11183</v>
      </c>
      <c r="V1178" t="s">
        <v>364</v>
      </c>
      <c r="W1178">
        <v>1421.06</v>
      </c>
      <c r="X1178" t="s">
        <v>11332</v>
      </c>
      <c r="Y1178" t="s">
        <v>11346</v>
      </c>
      <c r="Z1178" t="s">
        <v>12205</v>
      </c>
      <c r="AC1178">
        <v>6</v>
      </c>
      <c r="AE1178" t="s">
        <v>19580</v>
      </c>
      <c r="AF1178">
        <v>0</v>
      </c>
      <c r="AG1178">
        <v>2</v>
      </c>
      <c r="AH1178">
        <v>5</v>
      </c>
      <c r="AI1178">
        <v>49.08</v>
      </c>
      <c r="AL1178" t="s">
        <v>19615</v>
      </c>
      <c r="AM1178">
        <v>18680</v>
      </c>
      <c r="AS1178">
        <v>57.1</v>
      </c>
      <c r="AT1178" t="s">
        <v>291</v>
      </c>
      <c r="AU1178" t="s">
        <v>20636</v>
      </c>
    </row>
    <row r="1179" spans="1:48">
      <c r="A1179" s="1">
        <f>HYPERLINK("https://lsnyc.legalserver.org/matter/dynamic-profile/view/1890691","19-1890691")</f>
        <v>0</v>
      </c>
      <c r="B1179" t="s">
        <v>106</v>
      </c>
      <c r="C1179" t="s">
        <v>256</v>
      </c>
      <c r="D1179" t="s">
        <v>381</v>
      </c>
      <c r="F1179" t="s">
        <v>1397</v>
      </c>
      <c r="G1179" t="s">
        <v>3953</v>
      </c>
      <c r="H1179" t="s">
        <v>6397</v>
      </c>
      <c r="I1179" t="s">
        <v>8330</v>
      </c>
      <c r="J1179" t="s">
        <v>9065</v>
      </c>
      <c r="K1179">
        <v>10459</v>
      </c>
      <c r="L1179" t="s">
        <v>9094</v>
      </c>
      <c r="M1179" t="s">
        <v>9094</v>
      </c>
      <c r="N1179" t="s">
        <v>9637</v>
      </c>
      <c r="O1179" t="s">
        <v>11128</v>
      </c>
      <c r="P1179" t="s">
        <v>11165</v>
      </c>
      <c r="R1179" t="s">
        <v>11180</v>
      </c>
      <c r="S1179" t="s">
        <v>9096</v>
      </c>
      <c r="T1179" t="s">
        <v>11183</v>
      </c>
      <c r="U1179" t="s">
        <v>11202</v>
      </c>
      <c r="V1179" t="s">
        <v>381</v>
      </c>
      <c r="W1179">
        <v>915</v>
      </c>
      <c r="X1179" t="s">
        <v>11333</v>
      </c>
      <c r="Y1179" t="s">
        <v>11354</v>
      </c>
      <c r="Z1179" t="s">
        <v>12206</v>
      </c>
      <c r="AC1179">
        <v>20</v>
      </c>
      <c r="AD1179" t="s">
        <v>19566</v>
      </c>
      <c r="AE1179" t="s">
        <v>9144</v>
      </c>
      <c r="AF1179">
        <v>23</v>
      </c>
      <c r="AG1179">
        <v>2</v>
      </c>
      <c r="AH1179">
        <v>0</v>
      </c>
      <c r="AI1179">
        <v>49.08</v>
      </c>
      <c r="AL1179" t="s">
        <v>19615</v>
      </c>
      <c r="AM1179">
        <v>8300</v>
      </c>
      <c r="AS1179">
        <v>33.25</v>
      </c>
      <c r="AT1179" t="s">
        <v>1130</v>
      </c>
      <c r="AU1179" t="s">
        <v>20635</v>
      </c>
      <c r="AV1179" t="s">
        <v>20733</v>
      </c>
    </row>
    <row r="1180" spans="1:48">
      <c r="A1180" s="1">
        <f>HYPERLINK("https://lsnyc.legalserver.org/matter/dynamic-profile/view/1909560","19-1909560")</f>
        <v>0</v>
      </c>
      <c r="B1180" t="s">
        <v>73</v>
      </c>
      <c r="C1180" t="s">
        <v>256</v>
      </c>
      <c r="D1180" t="s">
        <v>273</v>
      </c>
      <c r="F1180" t="s">
        <v>1780</v>
      </c>
      <c r="G1180" t="s">
        <v>3954</v>
      </c>
      <c r="H1180" t="s">
        <v>6398</v>
      </c>
      <c r="I1180" t="s">
        <v>8273</v>
      </c>
      <c r="J1180" t="s">
        <v>9059</v>
      </c>
      <c r="K1180">
        <v>11212</v>
      </c>
      <c r="L1180" t="s">
        <v>9094</v>
      </c>
      <c r="M1180" t="s">
        <v>9095</v>
      </c>
      <c r="N1180" t="s">
        <v>9638</v>
      </c>
      <c r="O1180" t="s">
        <v>11128</v>
      </c>
      <c r="P1180" t="s">
        <v>11165</v>
      </c>
      <c r="R1180" t="s">
        <v>11180</v>
      </c>
      <c r="S1180" t="s">
        <v>9096</v>
      </c>
      <c r="T1180" t="s">
        <v>11183</v>
      </c>
      <c r="U1180" t="s">
        <v>11201</v>
      </c>
      <c r="V1180" t="s">
        <v>295</v>
      </c>
      <c r="W1180">
        <v>693</v>
      </c>
      <c r="X1180" t="s">
        <v>11332</v>
      </c>
      <c r="Y1180" t="s">
        <v>11338</v>
      </c>
      <c r="Z1180" t="s">
        <v>11890</v>
      </c>
      <c r="AA1180" t="s">
        <v>15511</v>
      </c>
      <c r="AB1180" t="s">
        <v>16633</v>
      </c>
      <c r="AC1180">
        <v>80</v>
      </c>
      <c r="AD1180" t="s">
        <v>15441</v>
      </c>
      <c r="AE1180" t="s">
        <v>19581</v>
      </c>
      <c r="AF1180">
        <v>10</v>
      </c>
      <c r="AG1180">
        <v>1</v>
      </c>
      <c r="AH1180">
        <v>4</v>
      </c>
      <c r="AI1180">
        <v>49.11</v>
      </c>
      <c r="AL1180" t="s">
        <v>19614</v>
      </c>
      <c r="AM1180">
        <v>14816</v>
      </c>
      <c r="AS1180">
        <v>11.5</v>
      </c>
      <c r="AT1180" t="s">
        <v>521</v>
      </c>
      <c r="AU1180" t="s">
        <v>95</v>
      </c>
      <c r="AV1180" t="s">
        <v>20733</v>
      </c>
    </row>
    <row r="1181" spans="1:48">
      <c r="A1181" s="1">
        <f>HYPERLINK("https://lsnyc.legalserver.org/matter/dynamic-profile/view/1909512","19-1909512")</f>
        <v>0</v>
      </c>
      <c r="B1181" t="s">
        <v>173</v>
      </c>
      <c r="C1181" t="s">
        <v>256</v>
      </c>
      <c r="D1181" t="s">
        <v>273</v>
      </c>
      <c r="F1181" t="s">
        <v>1786</v>
      </c>
      <c r="G1181" t="s">
        <v>3507</v>
      </c>
      <c r="H1181" t="s">
        <v>6399</v>
      </c>
      <c r="I1181" t="s">
        <v>8120</v>
      </c>
      <c r="J1181" t="s">
        <v>9039</v>
      </c>
      <c r="K1181">
        <v>11435</v>
      </c>
      <c r="L1181" t="s">
        <v>9094</v>
      </c>
      <c r="M1181" t="s">
        <v>9095</v>
      </c>
      <c r="N1181" t="s">
        <v>9639</v>
      </c>
      <c r="O1181" t="s">
        <v>11128</v>
      </c>
      <c r="P1181" t="s">
        <v>11165</v>
      </c>
      <c r="R1181" t="s">
        <v>11180</v>
      </c>
      <c r="S1181" t="s">
        <v>9096</v>
      </c>
      <c r="T1181" t="s">
        <v>11183</v>
      </c>
      <c r="U1181" t="s">
        <v>11201</v>
      </c>
      <c r="V1181" t="s">
        <v>273</v>
      </c>
      <c r="W1181">
        <v>1533</v>
      </c>
      <c r="X1181" t="s">
        <v>11331</v>
      </c>
      <c r="Y1181" t="s">
        <v>11336</v>
      </c>
      <c r="Z1181" t="s">
        <v>11801</v>
      </c>
      <c r="AA1181" t="s">
        <v>15512</v>
      </c>
      <c r="AB1181" t="s">
        <v>16634</v>
      </c>
      <c r="AC1181">
        <v>2</v>
      </c>
      <c r="AD1181" t="s">
        <v>15441</v>
      </c>
      <c r="AE1181" t="s">
        <v>19580</v>
      </c>
      <c r="AF1181">
        <v>6</v>
      </c>
      <c r="AG1181">
        <v>2</v>
      </c>
      <c r="AH1181">
        <v>0</v>
      </c>
      <c r="AI1181">
        <v>49.2</v>
      </c>
      <c r="AL1181" t="s">
        <v>19614</v>
      </c>
      <c r="AM1181">
        <v>8320</v>
      </c>
      <c r="AS1181">
        <v>21.25</v>
      </c>
      <c r="AT1181" t="s">
        <v>331</v>
      </c>
      <c r="AU1181" t="s">
        <v>20620</v>
      </c>
      <c r="AV1181" t="s">
        <v>20733</v>
      </c>
    </row>
    <row r="1182" spans="1:48">
      <c r="A1182" s="1">
        <f>HYPERLINK("https://lsnyc.legalserver.org/matter/dynamic-profile/view/1863818","18-1863818")</f>
        <v>0</v>
      </c>
      <c r="B1182" t="s">
        <v>136</v>
      </c>
      <c r="C1182" t="s">
        <v>256</v>
      </c>
      <c r="D1182" t="s">
        <v>504</v>
      </c>
      <c r="F1182" t="s">
        <v>1146</v>
      </c>
      <c r="G1182" t="s">
        <v>3955</v>
      </c>
      <c r="H1182" t="s">
        <v>5961</v>
      </c>
      <c r="I1182">
        <v>804</v>
      </c>
      <c r="J1182" t="s">
        <v>9067</v>
      </c>
      <c r="K1182">
        <v>10029</v>
      </c>
      <c r="L1182" t="s">
        <v>9094</v>
      </c>
      <c r="M1182" t="s">
        <v>9094</v>
      </c>
      <c r="N1182" t="s">
        <v>9287</v>
      </c>
      <c r="O1182" t="s">
        <v>11130</v>
      </c>
      <c r="P1182" t="s">
        <v>11165</v>
      </c>
      <c r="R1182" t="s">
        <v>11180</v>
      </c>
      <c r="S1182" t="s">
        <v>9094</v>
      </c>
      <c r="T1182" t="s">
        <v>11183</v>
      </c>
      <c r="U1182" t="s">
        <v>11201</v>
      </c>
      <c r="V1182" t="s">
        <v>651</v>
      </c>
      <c r="W1182">
        <v>0</v>
      </c>
      <c r="X1182" t="s">
        <v>11335</v>
      </c>
      <c r="Y1182" t="s">
        <v>11339</v>
      </c>
      <c r="Z1182" t="s">
        <v>12207</v>
      </c>
      <c r="AA1182" t="s">
        <v>15513</v>
      </c>
      <c r="AC1182">
        <v>108</v>
      </c>
      <c r="AD1182" t="s">
        <v>19567</v>
      </c>
      <c r="AE1182" t="s">
        <v>19580</v>
      </c>
      <c r="AF1182">
        <v>30</v>
      </c>
      <c r="AG1182">
        <v>1</v>
      </c>
      <c r="AH1182">
        <v>1</v>
      </c>
      <c r="AI1182">
        <v>49.21</v>
      </c>
      <c r="AL1182" t="s">
        <v>19614</v>
      </c>
      <c r="AM1182">
        <v>8100</v>
      </c>
      <c r="AS1182">
        <v>0.85</v>
      </c>
      <c r="AT1182" t="s">
        <v>319</v>
      </c>
      <c r="AU1182" t="s">
        <v>20657</v>
      </c>
    </row>
    <row r="1183" spans="1:48">
      <c r="A1183" s="1">
        <f>HYPERLINK("https://lsnyc.legalserver.org/matter/dynamic-profile/view/1864378","18-1864378")</f>
        <v>0</v>
      </c>
      <c r="B1183" t="s">
        <v>136</v>
      </c>
      <c r="C1183" t="s">
        <v>256</v>
      </c>
      <c r="D1183" t="s">
        <v>506</v>
      </c>
      <c r="F1183" t="s">
        <v>1450</v>
      </c>
      <c r="G1183" t="s">
        <v>3498</v>
      </c>
      <c r="H1183" t="s">
        <v>5961</v>
      </c>
      <c r="I1183">
        <v>103</v>
      </c>
      <c r="J1183" t="s">
        <v>9067</v>
      </c>
      <c r="K1183">
        <v>10029</v>
      </c>
      <c r="L1183" t="s">
        <v>9094</v>
      </c>
      <c r="M1183" t="s">
        <v>9095</v>
      </c>
      <c r="N1183" t="s">
        <v>9287</v>
      </c>
      <c r="O1183" t="s">
        <v>11130</v>
      </c>
      <c r="P1183" t="s">
        <v>11165</v>
      </c>
      <c r="R1183" t="s">
        <v>11180</v>
      </c>
      <c r="S1183" t="s">
        <v>9094</v>
      </c>
      <c r="T1183" t="s">
        <v>11183</v>
      </c>
      <c r="U1183" t="s">
        <v>11201</v>
      </c>
      <c r="V1183" t="s">
        <v>506</v>
      </c>
      <c r="W1183">
        <v>0</v>
      </c>
      <c r="X1183" t="s">
        <v>11335</v>
      </c>
      <c r="Y1183" t="s">
        <v>11339</v>
      </c>
      <c r="Z1183" t="s">
        <v>12208</v>
      </c>
      <c r="AB1183" t="s">
        <v>16635</v>
      </c>
      <c r="AC1183">
        <v>108</v>
      </c>
      <c r="AD1183" t="s">
        <v>19567</v>
      </c>
      <c r="AE1183" t="s">
        <v>19580</v>
      </c>
      <c r="AF1183">
        <v>20</v>
      </c>
      <c r="AG1183">
        <v>1</v>
      </c>
      <c r="AH1183">
        <v>1</v>
      </c>
      <c r="AI1183">
        <v>49.21</v>
      </c>
      <c r="AL1183" t="s">
        <v>19615</v>
      </c>
      <c r="AM1183">
        <v>8100</v>
      </c>
      <c r="AS1183">
        <v>0.5</v>
      </c>
      <c r="AT1183" t="s">
        <v>289</v>
      </c>
      <c r="AU1183" t="s">
        <v>20657</v>
      </c>
      <c r="AV1183" t="s">
        <v>20733</v>
      </c>
    </row>
    <row r="1184" spans="1:48">
      <c r="A1184" s="1">
        <f>HYPERLINK("https://lsnyc.legalserver.org/matter/dynamic-profile/view/1902788","19-1902788")</f>
        <v>0</v>
      </c>
      <c r="B1184" t="s">
        <v>186</v>
      </c>
      <c r="C1184" t="s">
        <v>257</v>
      </c>
      <c r="D1184" t="s">
        <v>279</v>
      </c>
      <c r="E1184" t="s">
        <v>556</v>
      </c>
      <c r="F1184" t="s">
        <v>1173</v>
      </c>
      <c r="G1184" t="s">
        <v>3956</v>
      </c>
      <c r="H1184" t="s">
        <v>6400</v>
      </c>
      <c r="I1184" t="s">
        <v>8153</v>
      </c>
      <c r="J1184" t="s">
        <v>9065</v>
      </c>
      <c r="K1184">
        <v>10460</v>
      </c>
      <c r="L1184" t="s">
        <v>9094</v>
      </c>
      <c r="M1184" t="s">
        <v>9095</v>
      </c>
      <c r="O1184" t="s">
        <v>11155</v>
      </c>
      <c r="P1184" t="s">
        <v>11166</v>
      </c>
      <c r="Q1184" t="s">
        <v>11176</v>
      </c>
      <c r="R1184" t="s">
        <v>11180</v>
      </c>
      <c r="S1184" t="s">
        <v>9096</v>
      </c>
      <c r="T1184" t="s">
        <v>11192</v>
      </c>
      <c r="V1184" t="s">
        <v>11218</v>
      </c>
      <c r="W1184">
        <v>187</v>
      </c>
      <c r="X1184" t="s">
        <v>11333</v>
      </c>
      <c r="Y1184" t="s">
        <v>11340</v>
      </c>
      <c r="Z1184" t="s">
        <v>12209</v>
      </c>
      <c r="AB1184" t="s">
        <v>16636</v>
      </c>
      <c r="AC1184">
        <v>23</v>
      </c>
      <c r="AD1184" t="s">
        <v>19566</v>
      </c>
      <c r="AE1184" t="s">
        <v>19584</v>
      </c>
      <c r="AF1184">
        <v>6</v>
      </c>
      <c r="AG1184">
        <v>2</v>
      </c>
      <c r="AH1184">
        <v>0</v>
      </c>
      <c r="AI1184">
        <v>49.24</v>
      </c>
      <c r="AL1184" t="s">
        <v>19614</v>
      </c>
      <c r="AM1184">
        <v>8326.799999999999</v>
      </c>
      <c r="AS1184">
        <v>1.1</v>
      </c>
      <c r="AT1184" t="s">
        <v>556</v>
      </c>
      <c r="AU1184" t="s">
        <v>186</v>
      </c>
      <c r="AV1184" t="s">
        <v>20733</v>
      </c>
    </row>
    <row r="1185" spans="1:48">
      <c r="A1185" s="1">
        <f>HYPERLINK("https://lsnyc.legalserver.org/matter/dynamic-profile/view/1852394","17-1852394")</f>
        <v>0</v>
      </c>
      <c r="B1185" t="s">
        <v>153</v>
      </c>
      <c r="C1185" t="s">
        <v>256</v>
      </c>
      <c r="D1185" t="s">
        <v>734</v>
      </c>
      <c r="F1185" t="s">
        <v>1465</v>
      </c>
      <c r="G1185" t="s">
        <v>3957</v>
      </c>
      <c r="H1185" t="s">
        <v>6401</v>
      </c>
      <c r="J1185" t="s">
        <v>9055</v>
      </c>
      <c r="K1185">
        <v>11355</v>
      </c>
      <c r="L1185" t="s">
        <v>9094</v>
      </c>
      <c r="M1185" t="s">
        <v>9095</v>
      </c>
      <c r="N1185" t="s">
        <v>9171</v>
      </c>
      <c r="O1185" t="s">
        <v>11157</v>
      </c>
      <c r="P1185" t="s">
        <v>11164</v>
      </c>
      <c r="R1185" t="s">
        <v>11180</v>
      </c>
      <c r="S1185" t="s">
        <v>9096</v>
      </c>
      <c r="T1185" t="s">
        <v>11183</v>
      </c>
      <c r="V1185" t="s">
        <v>734</v>
      </c>
      <c r="W1185">
        <v>2100</v>
      </c>
      <c r="X1185" t="s">
        <v>11331</v>
      </c>
      <c r="Y1185" t="s">
        <v>11351</v>
      </c>
      <c r="Z1185" t="s">
        <v>12210</v>
      </c>
      <c r="AB1185" t="s">
        <v>16637</v>
      </c>
      <c r="AC1185">
        <v>1</v>
      </c>
      <c r="AD1185" t="s">
        <v>19565</v>
      </c>
      <c r="AE1185" t="s">
        <v>9144</v>
      </c>
      <c r="AF1185">
        <v>7</v>
      </c>
      <c r="AG1185">
        <v>2</v>
      </c>
      <c r="AH1185">
        <v>0</v>
      </c>
      <c r="AI1185">
        <v>49.26</v>
      </c>
      <c r="AL1185" t="s">
        <v>19619</v>
      </c>
      <c r="AM1185">
        <v>8000</v>
      </c>
      <c r="AS1185">
        <v>1.85</v>
      </c>
      <c r="AT1185" t="s">
        <v>532</v>
      </c>
      <c r="AU1185" t="s">
        <v>20676</v>
      </c>
    </row>
    <row r="1186" spans="1:48">
      <c r="A1186" s="1">
        <f>HYPERLINK("https://lsnyc.legalserver.org/matter/dynamic-profile/view/1851670","17-1851670")</f>
        <v>0</v>
      </c>
      <c r="B1186" t="s">
        <v>139</v>
      </c>
      <c r="C1186" t="s">
        <v>256</v>
      </c>
      <c r="D1186" t="s">
        <v>735</v>
      </c>
      <c r="F1186" t="s">
        <v>1787</v>
      </c>
      <c r="G1186" t="s">
        <v>2161</v>
      </c>
      <c r="H1186" t="s">
        <v>5948</v>
      </c>
      <c r="I1186" t="s">
        <v>8403</v>
      </c>
      <c r="J1186" t="s">
        <v>9067</v>
      </c>
      <c r="K1186">
        <v>10034</v>
      </c>
      <c r="L1186" t="s">
        <v>9094</v>
      </c>
      <c r="M1186" t="s">
        <v>9095</v>
      </c>
      <c r="O1186" t="s">
        <v>11130</v>
      </c>
      <c r="P1186" t="s">
        <v>11165</v>
      </c>
      <c r="R1186" t="s">
        <v>11180</v>
      </c>
      <c r="S1186" t="s">
        <v>9094</v>
      </c>
      <c r="T1186" t="s">
        <v>11183</v>
      </c>
      <c r="V1186" t="s">
        <v>735</v>
      </c>
      <c r="W1186">
        <v>715.64</v>
      </c>
      <c r="X1186" t="s">
        <v>11335</v>
      </c>
      <c r="Y1186" t="s">
        <v>11338</v>
      </c>
      <c r="Z1186" t="s">
        <v>12211</v>
      </c>
      <c r="AB1186" t="s">
        <v>16638</v>
      </c>
      <c r="AC1186">
        <v>49</v>
      </c>
      <c r="AD1186" t="s">
        <v>19566</v>
      </c>
      <c r="AE1186" t="s">
        <v>9144</v>
      </c>
      <c r="AF1186">
        <v>20</v>
      </c>
      <c r="AG1186">
        <v>2</v>
      </c>
      <c r="AH1186">
        <v>0</v>
      </c>
      <c r="AI1186">
        <v>49.26</v>
      </c>
      <c r="AL1186" t="s">
        <v>19615</v>
      </c>
      <c r="AM1186">
        <v>8000</v>
      </c>
      <c r="AS1186">
        <v>0.65</v>
      </c>
      <c r="AT1186" t="s">
        <v>746</v>
      </c>
      <c r="AU1186" t="s">
        <v>130</v>
      </c>
    </row>
    <row r="1187" spans="1:48">
      <c r="A1187" s="1">
        <f>HYPERLINK("https://lsnyc.legalserver.org/matter/dynamic-profile/view/1883059","18-1883059")</f>
        <v>0</v>
      </c>
      <c r="B1187" t="s">
        <v>111</v>
      </c>
      <c r="C1187" t="s">
        <v>256</v>
      </c>
      <c r="D1187" t="s">
        <v>589</v>
      </c>
      <c r="F1187" t="s">
        <v>1788</v>
      </c>
      <c r="G1187" t="s">
        <v>2884</v>
      </c>
      <c r="H1187" t="s">
        <v>6402</v>
      </c>
      <c r="I1187">
        <v>2</v>
      </c>
      <c r="J1187" t="s">
        <v>9065</v>
      </c>
      <c r="K1187">
        <v>10462</v>
      </c>
      <c r="L1187" t="s">
        <v>9094</v>
      </c>
      <c r="M1187" t="s">
        <v>9094</v>
      </c>
      <c r="O1187" t="s">
        <v>9121</v>
      </c>
      <c r="P1187" t="s">
        <v>11168</v>
      </c>
      <c r="R1187" t="s">
        <v>11180</v>
      </c>
      <c r="S1187" t="s">
        <v>9096</v>
      </c>
      <c r="T1187" t="s">
        <v>11190</v>
      </c>
      <c r="V1187" t="s">
        <v>540</v>
      </c>
      <c r="W1187">
        <v>2000</v>
      </c>
      <c r="X1187" t="s">
        <v>11333</v>
      </c>
      <c r="Z1187" t="s">
        <v>12212</v>
      </c>
      <c r="AB1187" t="s">
        <v>16639</v>
      </c>
      <c r="AC1187">
        <v>3</v>
      </c>
      <c r="AD1187" t="s">
        <v>19565</v>
      </c>
      <c r="AE1187" t="s">
        <v>19580</v>
      </c>
      <c r="AF1187">
        <v>0</v>
      </c>
      <c r="AG1187">
        <v>1</v>
      </c>
      <c r="AH1187">
        <v>3</v>
      </c>
      <c r="AI1187">
        <v>49.4</v>
      </c>
      <c r="AL1187" t="s">
        <v>19614</v>
      </c>
      <c r="AM1187">
        <v>12400</v>
      </c>
      <c r="AS1187">
        <v>10</v>
      </c>
      <c r="AT1187" t="s">
        <v>470</v>
      </c>
      <c r="AU1187" t="s">
        <v>20642</v>
      </c>
    </row>
    <row r="1188" spans="1:48">
      <c r="A1188" s="1">
        <f>HYPERLINK("https://lsnyc.legalserver.org/matter/dynamic-profile/view/1904449","19-1904449")</f>
        <v>0</v>
      </c>
      <c r="B1188" t="s">
        <v>119</v>
      </c>
      <c r="C1188" t="s">
        <v>257</v>
      </c>
      <c r="D1188" t="s">
        <v>736</v>
      </c>
      <c r="E1188" t="s">
        <v>664</v>
      </c>
      <c r="F1188" t="s">
        <v>1789</v>
      </c>
      <c r="G1188" t="s">
        <v>3958</v>
      </c>
      <c r="H1188" t="s">
        <v>6403</v>
      </c>
      <c r="I1188" t="s">
        <v>8279</v>
      </c>
      <c r="J1188" t="s">
        <v>9065</v>
      </c>
      <c r="K1188">
        <v>10452</v>
      </c>
      <c r="L1188" t="s">
        <v>9094</v>
      </c>
      <c r="M1188" t="s">
        <v>9095</v>
      </c>
      <c r="N1188" t="s">
        <v>9171</v>
      </c>
      <c r="O1188" t="s">
        <v>9121</v>
      </c>
      <c r="P1188" t="s">
        <v>11164</v>
      </c>
      <c r="Q1188" t="s">
        <v>11172</v>
      </c>
      <c r="R1188" t="s">
        <v>11180</v>
      </c>
      <c r="S1188" t="s">
        <v>9096</v>
      </c>
      <c r="T1188" t="s">
        <v>11183</v>
      </c>
      <c r="V1188" t="s">
        <v>372</v>
      </c>
      <c r="W1188">
        <v>702.21</v>
      </c>
      <c r="X1188" t="s">
        <v>11333</v>
      </c>
      <c r="Z1188" t="s">
        <v>12213</v>
      </c>
      <c r="AB1188" t="s">
        <v>16640</v>
      </c>
      <c r="AC1188">
        <v>42</v>
      </c>
      <c r="AD1188" t="s">
        <v>19565</v>
      </c>
      <c r="AE1188" t="s">
        <v>9144</v>
      </c>
      <c r="AF1188">
        <v>4</v>
      </c>
      <c r="AG1188">
        <v>1</v>
      </c>
      <c r="AH1188">
        <v>2</v>
      </c>
      <c r="AI1188">
        <v>49.4</v>
      </c>
      <c r="AL1188" t="s">
        <v>19615</v>
      </c>
      <c r="AM1188">
        <v>10536</v>
      </c>
      <c r="AS1188">
        <v>1.5</v>
      </c>
      <c r="AT1188" t="s">
        <v>372</v>
      </c>
      <c r="AU1188" t="s">
        <v>20635</v>
      </c>
      <c r="AV1188" t="s">
        <v>20733</v>
      </c>
    </row>
    <row r="1189" spans="1:48">
      <c r="A1189" s="1">
        <f>HYPERLINK("https://lsnyc.legalserver.org/matter/dynamic-profile/view/1860830","18-1860830")</f>
        <v>0</v>
      </c>
      <c r="B1189" t="s">
        <v>187</v>
      </c>
      <c r="C1189" t="s">
        <v>256</v>
      </c>
      <c r="D1189" t="s">
        <v>737</v>
      </c>
      <c r="F1189" t="s">
        <v>1790</v>
      </c>
      <c r="G1189" t="s">
        <v>3959</v>
      </c>
      <c r="H1189" t="s">
        <v>6404</v>
      </c>
      <c r="I1189" t="s">
        <v>8218</v>
      </c>
      <c r="J1189" t="s">
        <v>9055</v>
      </c>
      <c r="K1189">
        <v>11354</v>
      </c>
      <c r="L1189" t="s">
        <v>9094</v>
      </c>
      <c r="M1189" t="s">
        <v>9095</v>
      </c>
      <c r="N1189" t="s">
        <v>9640</v>
      </c>
      <c r="O1189" t="s">
        <v>11135</v>
      </c>
      <c r="P1189" t="s">
        <v>11168</v>
      </c>
      <c r="R1189" t="s">
        <v>11180</v>
      </c>
      <c r="S1189" t="s">
        <v>9096</v>
      </c>
      <c r="T1189" t="s">
        <v>11189</v>
      </c>
      <c r="V1189" t="s">
        <v>737</v>
      </c>
      <c r="W1189">
        <v>1500</v>
      </c>
      <c r="X1189" t="s">
        <v>11331</v>
      </c>
      <c r="Y1189" t="s">
        <v>11351</v>
      </c>
      <c r="Z1189" t="s">
        <v>12214</v>
      </c>
      <c r="AA1189" t="s">
        <v>9171</v>
      </c>
      <c r="AB1189" t="s">
        <v>16641</v>
      </c>
      <c r="AC1189">
        <v>16</v>
      </c>
      <c r="AD1189" t="s">
        <v>19566</v>
      </c>
      <c r="AE1189" t="s">
        <v>9144</v>
      </c>
      <c r="AF1189">
        <v>2</v>
      </c>
      <c r="AG1189">
        <v>1</v>
      </c>
      <c r="AH1189">
        <v>0</v>
      </c>
      <c r="AI1189">
        <v>49.42</v>
      </c>
      <c r="AL1189" t="s">
        <v>19619</v>
      </c>
      <c r="AM1189">
        <v>6000</v>
      </c>
      <c r="AS1189">
        <v>10.9</v>
      </c>
      <c r="AT1189" t="s">
        <v>488</v>
      </c>
      <c r="AU1189" t="s">
        <v>20620</v>
      </c>
    </row>
    <row r="1190" spans="1:48">
      <c r="A1190" s="1">
        <f>HYPERLINK("https://lsnyc.legalserver.org/matter/dynamic-profile/view/1863243","18-1863243")</f>
        <v>0</v>
      </c>
      <c r="B1190" t="s">
        <v>64</v>
      </c>
      <c r="C1190" t="s">
        <v>256</v>
      </c>
      <c r="D1190" t="s">
        <v>693</v>
      </c>
      <c r="F1190" t="s">
        <v>1314</v>
      </c>
      <c r="G1190" t="s">
        <v>3937</v>
      </c>
      <c r="H1190" t="s">
        <v>6405</v>
      </c>
      <c r="I1190">
        <v>1</v>
      </c>
      <c r="J1190" t="s">
        <v>9059</v>
      </c>
      <c r="K1190">
        <v>11237</v>
      </c>
      <c r="L1190" t="s">
        <v>9094</v>
      </c>
      <c r="M1190" t="s">
        <v>9095</v>
      </c>
      <c r="N1190" t="s">
        <v>9641</v>
      </c>
      <c r="P1190" t="s">
        <v>11164</v>
      </c>
      <c r="R1190" t="s">
        <v>11180</v>
      </c>
      <c r="S1190" t="s">
        <v>9096</v>
      </c>
      <c r="T1190" t="s">
        <v>11183</v>
      </c>
      <c r="V1190" t="s">
        <v>673</v>
      </c>
      <c r="W1190">
        <v>900</v>
      </c>
      <c r="X1190" t="s">
        <v>11332</v>
      </c>
      <c r="Y1190" t="s">
        <v>11344</v>
      </c>
      <c r="Z1190" t="s">
        <v>12215</v>
      </c>
      <c r="AB1190" t="s">
        <v>16642</v>
      </c>
      <c r="AC1190">
        <v>6</v>
      </c>
      <c r="AF1190">
        <v>40</v>
      </c>
      <c r="AG1190">
        <v>1</v>
      </c>
      <c r="AH1190">
        <v>0</v>
      </c>
      <c r="AI1190">
        <v>49.42</v>
      </c>
      <c r="AL1190" t="s">
        <v>19615</v>
      </c>
      <c r="AM1190">
        <v>6000</v>
      </c>
      <c r="AS1190">
        <v>50.2</v>
      </c>
      <c r="AT1190" t="s">
        <v>1130</v>
      </c>
      <c r="AU1190" t="s">
        <v>20633</v>
      </c>
    </row>
    <row r="1191" spans="1:48">
      <c r="A1191" s="1">
        <f>HYPERLINK("https://lsnyc.legalserver.org/matter/dynamic-profile/view/1886769","18-1886769")</f>
        <v>0</v>
      </c>
      <c r="B1191" t="s">
        <v>101</v>
      </c>
      <c r="C1191" t="s">
        <v>256</v>
      </c>
      <c r="D1191" t="s">
        <v>738</v>
      </c>
      <c r="F1191" t="s">
        <v>1777</v>
      </c>
      <c r="G1191" t="s">
        <v>3498</v>
      </c>
      <c r="H1191" t="s">
        <v>6383</v>
      </c>
      <c r="I1191" t="s">
        <v>8308</v>
      </c>
      <c r="J1191" t="s">
        <v>9065</v>
      </c>
      <c r="K1191">
        <v>10467</v>
      </c>
      <c r="L1191" t="s">
        <v>9094</v>
      </c>
      <c r="M1191" t="s">
        <v>9094</v>
      </c>
      <c r="N1191" t="s">
        <v>9642</v>
      </c>
      <c r="O1191" t="s">
        <v>11130</v>
      </c>
      <c r="P1191" t="s">
        <v>11165</v>
      </c>
      <c r="R1191" t="s">
        <v>11180</v>
      </c>
      <c r="S1191" t="s">
        <v>9094</v>
      </c>
      <c r="T1191" t="s">
        <v>11183</v>
      </c>
      <c r="V1191" t="s">
        <v>11218</v>
      </c>
      <c r="W1191">
        <v>863</v>
      </c>
      <c r="X1191" t="s">
        <v>11333</v>
      </c>
      <c r="Y1191" t="s">
        <v>11346</v>
      </c>
      <c r="Z1191" t="s">
        <v>12193</v>
      </c>
      <c r="AB1191" t="s">
        <v>16620</v>
      </c>
      <c r="AC1191">
        <v>59</v>
      </c>
      <c r="AD1191" t="s">
        <v>19566</v>
      </c>
      <c r="AE1191" t="s">
        <v>9144</v>
      </c>
      <c r="AF1191">
        <v>1</v>
      </c>
      <c r="AG1191">
        <v>1</v>
      </c>
      <c r="AH1191">
        <v>0</v>
      </c>
      <c r="AI1191">
        <v>49.42</v>
      </c>
      <c r="AL1191" t="s">
        <v>19614</v>
      </c>
      <c r="AM1191">
        <v>6000</v>
      </c>
      <c r="AS1191">
        <v>0</v>
      </c>
      <c r="AU1191" t="s">
        <v>20647</v>
      </c>
      <c r="AV1191" t="s">
        <v>20733</v>
      </c>
    </row>
    <row r="1192" spans="1:48">
      <c r="A1192" s="1">
        <f>HYPERLINK("https://lsnyc.legalserver.org/matter/dynamic-profile/view/1878942","18-1878942")</f>
        <v>0</v>
      </c>
      <c r="B1192" t="s">
        <v>139</v>
      </c>
      <c r="C1192" t="s">
        <v>256</v>
      </c>
      <c r="D1192" t="s">
        <v>725</v>
      </c>
      <c r="F1192" t="s">
        <v>1723</v>
      </c>
      <c r="G1192" t="s">
        <v>3960</v>
      </c>
      <c r="H1192" t="s">
        <v>6363</v>
      </c>
      <c r="I1192" t="s">
        <v>8264</v>
      </c>
      <c r="J1192" t="s">
        <v>9067</v>
      </c>
      <c r="K1192">
        <v>10040</v>
      </c>
      <c r="L1192" t="s">
        <v>9094</v>
      </c>
      <c r="M1192" t="s">
        <v>9094</v>
      </c>
      <c r="O1192" t="s">
        <v>11134</v>
      </c>
      <c r="P1192" t="s">
        <v>11168</v>
      </c>
      <c r="R1192" t="s">
        <v>11180</v>
      </c>
      <c r="S1192" t="s">
        <v>9094</v>
      </c>
      <c r="T1192" t="s">
        <v>11183</v>
      </c>
      <c r="V1192" t="s">
        <v>725</v>
      </c>
      <c r="W1192">
        <v>1155</v>
      </c>
      <c r="X1192" t="s">
        <v>11335</v>
      </c>
      <c r="Y1192" t="s">
        <v>11339</v>
      </c>
      <c r="Z1192" t="s">
        <v>12216</v>
      </c>
      <c r="AA1192" t="s">
        <v>15514</v>
      </c>
      <c r="AB1192" t="s">
        <v>16643</v>
      </c>
      <c r="AC1192">
        <v>88</v>
      </c>
      <c r="AD1192" t="s">
        <v>19566</v>
      </c>
      <c r="AE1192" t="s">
        <v>9144</v>
      </c>
      <c r="AF1192">
        <v>8</v>
      </c>
      <c r="AG1192">
        <v>1</v>
      </c>
      <c r="AH1192">
        <v>0</v>
      </c>
      <c r="AI1192">
        <v>49.42</v>
      </c>
      <c r="AL1192" t="s">
        <v>19614</v>
      </c>
      <c r="AM1192">
        <v>6000</v>
      </c>
      <c r="AS1192">
        <v>0</v>
      </c>
      <c r="AU1192" t="s">
        <v>130</v>
      </c>
      <c r="AV1192" t="s">
        <v>20733</v>
      </c>
    </row>
    <row r="1193" spans="1:48">
      <c r="A1193" s="1">
        <f>HYPERLINK("https://lsnyc.legalserver.org/matter/dynamic-profile/view/1900546","19-1900546")</f>
        <v>0</v>
      </c>
      <c r="B1193" t="s">
        <v>144</v>
      </c>
      <c r="C1193" t="s">
        <v>256</v>
      </c>
      <c r="D1193" t="s">
        <v>283</v>
      </c>
      <c r="F1193" t="s">
        <v>1791</v>
      </c>
      <c r="G1193" t="s">
        <v>3961</v>
      </c>
      <c r="H1193" t="s">
        <v>6406</v>
      </c>
      <c r="J1193" t="s">
        <v>9059</v>
      </c>
      <c r="K1193">
        <v>11229</v>
      </c>
      <c r="L1193" t="s">
        <v>9094</v>
      </c>
      <c r="M1193" t="s">
        <v>9095</v>
      </c>
      <c r="O1193" t="s">
        <v>9121</v>
      </c>
      <c r="P1193" t="s">
        <v>11167</v>
      </c>
      <c r="R1193" t="s">
        <v>11180</v>
      </c>
      <c r="S1193" t="s">
        <v>9096</v>
      </c>
      <c r="T1193" t="s">
        <v>11183</v>
      </c>
      <c r="V1193" t="s">
        <v>283</v>
      </c>
      <c r="W1193">
        <v>0</v>
      </c>
      <c r="X1193" t="s">
        <v>11335</v>
      </c>
      <c r="Y1193" t="s">
        <v>11339</v>
      </c>
      <c r="Z1193" t="s">
        <v>12217</v>
      </c>
      <c r="AC1193">
        <v>0</v>
      </c>
      <c r="AD1193" t="s">
        <v>15441</v>
      </c>
      <c r="AE1193" t="s">
        <v>9144</v>
      </c>
      <c r="AF1193">
        <v>0</v>
      </c>
      <c r="AG1193">
        <v>2</v>
      </c>
      <c r="AH1193">
        <v>0</v>
      </c>
      <c r="AI1193">
        <v>49.67</v>
      </c>
      <c r="AL1193" t="s">
        <v>19628</v>
      </c>
      <c r="AM1193">
        <v>8400</v>
      </c>
      <c r="AS1193">
        <v>0</v>
      </c>
      <c r="AU1193" t="s">
        <v>20655</v>
      </c>
      <c r="AV1193" t="s">
        <v>20733</v>
      </c>
    </row>
    <row r="1194" spans="1:48">
      <c r="A1194" s="1">
        <f>HYPERLINK("https://lsnyc.legalserver.org/matter/dynamic-profile/view/1896744","19-1896744")</f>
        <v>0</v>
      </c>
      <c r="B1194" t="s">
        <v>78</v>
      </c>
      <c r="C1194" t="s">
        <v>256</v>
      </c>
      <c r="D1194" t="s">
        <v>546</v>
      </c>
      <c r="F1194" t="s">
        <v>1792</v>
      </c>
      <c r="G1194" t="s">
        <v>3962</v>
      </c>
      <c r="H1194" t="s">
        <v>6407</v>
      </c>
      <c r="I1194" t="s">
        <v>8161</v>
      </c>
      <c r="J1194" t="s">
        <v>9059</v>
      </c>
      <c r="K1194">
        <v>11213</v>
      </c>
      <c r="L1194" t="s">
        <v>9094</v>
      </c>
      <c r="M1194" t="s">
        <v>9094</v>
      </c>
      <c r="N1194" t="s">
        <v>9643</v>
      </c>
      <c r="O1194" t="s">
        <v>11134</v>
      </c>
      <c r="P1194" t="s">
        <v>11168</v>
      </c>
      <c r="R1194" t="s">
        <v>11180</v>
      </c>
      <c r="S1194" t="s">
        <v>9094</v>
      </c>
      <c r="T1194" t="s">
        <v>11183</v>
      </c>
      <c r="V1194" t="s">
        <v>473</v>
      </c>
      <c r="W1194">
        <v>551</v>
      </c>
      <c r="X1194" t="s">
        <v>11332</v>
      </c>
      <c r="Y1194" t="s">
        <v>11346</v>
      </c>
      <c r="Z1194" t="s">
        <v>12218</v>
      </c>
      <c r="AB1194" t="s">
        <v>16644</v>
      </c>
      <c r="AC1194">
        <v>6</v>
      </c>
      <c r="AD1194" t="s">
        <v>19566</v>
      </c>
      <c r="AE1194" t="s">
        <v>9144</v>
      </c>
      <c r="AF1194">
        <v>15</v>
      </c>
      <c r="AG1194">
        <v>2</v>
      </c>
      <c r="AH1194">
        <v>0</v>
      </c>
      <c r="AI1194">
        <v>49.67</v>
      </c>
      <c r="AL1194" t="s">
        <v>19614</v>
      </c>
      <c r="AM1194">
        <v>8400</v>
      </c>
      <c r="AN1194" t="s">
        <v>19770</v>
      </c>
      <c r="AS1194">
        <v>2</v>
      </c>
      <c r="AT1194" t="s">
        <v>570</v>
      </c>
      <c r="AU1194" t="s">
        <v>79</v>
      </c>
      <c r="AV1194" t="s">
        <v>20733</v>
      </c>
    </row>
    <row r="1195" spans="1:48">
      <c r="A1195" s="1">
        <f>HYPERLINK("https://lsnyc.legalserver.org/matter/dynamic-profile/view/1896749","19-1896749")</f>
        <v>0</v>
      </c>
      <c r="B1195" t="s">
        <v>78</v>
      </c>
      <c r="C1195" t="s">
        <v>256</v>
      </c>
      <c r="D1195" t="s">
        <v>546</v>
      </c>
      <c r="F1195" t="s">
        <v>1792</v>
      </c>
      <c r="G1195" t="s">
        <v>3962</v>
      </c>
      <c r="H1195" t="s">
        <v>6407</v>
      </c>
      <c r="I1195" t="s">
        <v>8161</v>
      </c>
      <c r="J1195" t="s">
        <v>9059</v>
      </c>
      <c r="K1195">
        <v>11213</v>
      </c>
      <c r="L1195" t="s">
        <v>9094</v>
      </c>
      <c r="M1195" t="s">
        <v>9094</v>
      </c>
      <c r="N1195" t="s">
        <v>9144</v>
      </c>
      <c r="O1195" t="s">
        <v>11134</v>
      </c>
      <c r="P1195" t="s">
        <v>11168</v>
      </c>
      <c r="R1195" t="s">
        <v>11180</v>
      </c>
      <c r="S1195" t="s">
        <v>9094</v>
      </c>
      <c r="T1195" t="s">
        <v>11183</v>
      </c>
      <c r="V1195" t="s">
        <v>11218</v>
      </c>
      <c r="W1195">
        <v>551</v>
      </c>
      <c r="X1195" t="s">
        <v>11332</v>
      </c>
      <c r="Y1195" t="s">
        <v>11346</v>
      </c>
      <c r="Z1195" t="s">
        <v>12218</v>
      </c>
      <c r="AB1195" t="s">
        <v>16644</v>
      </c>
      <c r="AC1195">
        <v>6</v>
      </c>
      <c r="AD1195" t="s">
        <v>19566</v>
      </c>
      <c r="AE1195" t="s">
        <v>9144</v>
      </c>
      <c r="AF1195">
        <v>15</v>
      </c>
      <c r="AG1195">
        <v>2</v>
      </c>
      <c r="AH1195">
        <v>0</v>
      </c>
      <c r="AI1195">
        <v>49.67</v>
      </c>
      <c r="AL1195" t="s">
        <v>19614</v>
      </c>
      <c r="AM1195">
        <v>8400</v>
      </c>
      <c r="AN1195" t="s">
        <v>19771</v>
      </c>
      <c r="AS1195">
        <v>2</v>
      </c>
      <c r="AT1195" t="s">
        <v>899</v>
      </c>
      <c r="AU1195" t="s">
        <v>79</v>
      </c>
      <c r="AV1195" t="s">
        <v>20733</v>
      </c>
    </row>
    <row r="1196" spans="1:48">
      <c r="A1196" s="1">
        <f>HYPERLINK("https://lsnyc.legalserver.org/matter/dynamic-profile/view/1896748","19-1896748")</f>
        <v>0</v>
      </c>
      <c r="B1196" t="s">
        <v>78</v>
      </c>
      <c r="C1196" t="s">
        <v>256</v>
      </c>
      <c r="D1196" t="s">
        <v>546</v>
      </c>
      <c r="F1196" t="s">
        <v>1792</v>
      </c>
      <c r="G1196" t="s">
        <v>3962</v>
      </c>
      <c r="H1196" t="s">
        <v>6407</v>
      </c>
      <c r="I1196" t="s">
        <v>8161</v>
      </c>
      <c r="J1196" t="s">
        <v>9059</v>
      </c>
      <c r="K1196">
        <v>11213</v>
      </c>
      <c r="L1196" t="s">
        <v>9094</v>
      </c>
      <c r="M1196" t="s">
        <v>9094</v>
      </c>
      <c r="N1196" t="s">
        <v>9644</v>
      </c>
      <c r="O1196" t="s">
        <v>11130</v>
      </c>
      <c r="P1196" t="s">
        <v>11165</v>
      </c>
      <c r="R1196" t="s">
        <v>11180</v>
      </c>
      <c r="S1196" t="s">
        <v>9094</v>
      </c>
      <c r="T1196" t="s">
        <v>11183</v>
      </c>
      <c r="V1196" t="s">
        <v>635</v>
      </c>
      <c r="W1196">
        <v>551</v>
      </c>
      <c r="X1196" t="s">
        <v>11332</v>
      </c>
      <c r="Y1196" t="s">
        <v>11346</v>
      </c>
      <c r="Z1196" t="s">
        <v>12218</v>
      </c>
      <c r="AB1196" t="s">
        <v>16644</v>
      </c>
      <c r="AC1196">
        <v>6</v>
      </c>
      <c r="AD1196" t="s">
        <v>19566</v>
      </c>
      <c r="AE1196" t="s">
        <v>9144</v>
      </c>
      <c r="AF1196">
        <v>15</v>
      </c>
      <c r="AG1196">
        <v>2</v>
      </c>
      <c r="AH1196">
        <v>0</v>
      </c>
      <c r="AI1196">
        <v>49.67</v>
      </c>
      <c r="AL1196" t="s">
        <v>19614</v>
      </c>
      <c r="AM1196">
        <v>8400</v>
      </c>
      <c r="AN1196" t="s">
        <v>19770</v>
      </c>
      <c r="AS1196">
        <v>21</v>
      </c>
      <c r="AT1196" t="s">
        <v>570</v>
      </c>
      <c r="AU1196" t="s">
        <v>79</v>
      </c>
      <c r="AV1196" t="s">
        <v>20733</v>
      </c>
    </row>
    <row r="1197" spans="1:48">
      <c r="A1197" s="1">
        <f>HYPERLINK("https://lsnyc.legalserver.org/matter/dynamic-profile/view/1896739","19-1896739")</f>
        <v>0</v>
      </c>
      <c r="B1197" t="s">
        <v>78</v>
      </c>
      <c r="C1197" t="s">
        <v>256</v>
      </c>
      <c r="D1197" t="s">
        <v>546</v>
      </c>
      <c r="F1197" t="s">
        <v>1792</v>
      </c>
      <c r="G1197" t="s">
        <v>3962</v>
      </c>
      <c r="H1197" t="s">
        <v>6407</v>
      </c>
      <c r="I1197" t="s">
        <v>8161</v>
      </c>
      <c r="J1197" t="s">
        <v>9059</v>
      </c>
      <c r="K1197">
        <v>11213</v>
      </c>
      <c r="L1197" t="s">
        <v>9094</v>
      </c>
      <c r="M1197" t="s">
        <v>9094</v>
      </c>
      <c r="N1197" t="s">
        <v>9121</v>
      </c>
      <c r="O1197" t="s">
        <v>11137</v>
      </c>
      <c r="P1197" t="s">
        <v>11167</v>
      </c>
      <c r="R1197" t="s">
        <v>11180</v>
      </c>
      <c r="S1197" t="s">
        <v>9094</v>
      </c>
      <c r="T1197" t="s">
        <v>11183</v>
      </c>
      <c r="V1197" t="s">
        <v>353</v>
      </c>
      <c r="W1197">
        <v>551</v>
      </c>
      <c r="X1197" t="s">
        <v>11332</v>
      </c>
      <c r="Y1197" t="s">
        <v>11346</v>
      </c>
      <c r="Z1197" t="s">
        <v>12218</v>
      </c>
      <c r="AB1197" t="s">
        <v>16644</v>
      </c>
      <c r="AC1197">
        <v>6</v>
      </c>
      <c r="AD1197" t="s">
        <v>19566</v>
      </c>
      <c r="AE1197" t="s">
        <v>9144</v>
      </c>
      <c r="AF1197">
        <v>15</v>
      </c>
      <c r="AG1197">
        <v>2</v>
      </c>
      <c r="AH1197">
        <v>0</v>
      </c>
      <c r="AI1197">
        <v>49.67</v>
      </c>
      <c r="AL1197" t="s">
        <v>19614</v>
      </c>
      <c r="AM1197">
        <v>8400</v>
      </c>
      <c r="AS1197">
        <v>0</v>
      </c>
      <c r="AU1197" t="s">
        <v>79</v>
      </c>
      <c r="AV1197" t="s">
        <v>20733</v>
      </c>
    </row>
    <row r="1198" spans="1:48">
      <c r="A1198" s="1">
        <f>HYPERLINK("https://lsnyc.legalserver.org/matter/dynamic-profile/view/1896742","19-1896742")</f>
        <v>0</v>
      </c>
      <c r="B1198" t="s">
        <v>78</v>
      </c>
      <c r="C1198" t="s">
        <v>256</v>
      </c>
      <c r="D1198" t="s">
        <v>546</v>
      </c>
      <c r="F1198" t="s">
        <v>1792</v>
      </c>
      <c r="G1198" t="s">
        <v>3962</v>
      </c>
      <c r="H1198" t="s">
        <v>6407</v>
      </c>
      <c r="I1198" t="s">
        <v>8161</v>
      </c>
      <c r="J1198" t="s">
        <v>9059</v>
      </c>
      <c r="K1198">
        <v>11213</v>
      </c>
      <c r="L1198" t="s">
        <v>9094</v>
      </c>
      <c r="M1198" t="s">
        <v>9094</v>
      </c>
      <c r="N1198" t="s">
        <v>9154</v>
      </c>
      <c r="O1198" t="s">
        <v>11137</v>
      </c>
      <c r="P1198" t="s">
        <v>11167</v>
      </c>
      <c r="R1198" t="s">
        <v>11180</v>
      </c>
      <c r="S1198" t="s">
        <v>9094</v>
      </c>
      <c r="T1198" t="s">
        <v>11183</v>
      </c>
      <c r="V1198" t="s">
        <v>278</v>
      </c>
      <c r="W1198">
        <v>551</v>
      </c>
      <c r="X1198" t="s">
        <v>11332</v>
      </c>
      <c r="Y1198" t="s">
        <v>11346</v>
      </c>
      <c r="Z1198" t="s">
        <v>12218</v>
      </c>
      <c r="AB1198" t="s">
        <v>16644</v>
      </c>
      <c r="AC1198">
        <v>6</v>
      </c>
      <c r="AD1198" t="s">
        <v>19566</v>
      </c>
      <c r="AE1198" t="s">
        <v>9144</v>
      </c>
      <c r="AF1198">
        <v>15</v>
      </c>
      <c r="AG1198">
        <v>2</v>
      </c>
      <c r="AH1198">
        <v>0</v>
      </c>
      <c r="AI1198">
        <v>49.67</v>
      </c>
      <c r="AL1198" t="s">
        <v>19614</v>
      </c>
      <c r="AM1198">
        <v>8400</v>
      </c>
      <c r="AN1198" t="s">
        <v>19770</v>
      </c>
      <c r="AS1198">
        <v>1.5</v>
      </c>
      <c r="AT1198" t="s">
        <v>11217</v>
      </c>
      <c r="AU1198" t="s">
        <v>79</v>
      </c>
      <c r="AV1198" t="s">
        <v>20733</v>
      </c>
    </row>
    <row r="1199" spans="1:48">
      <c r="A1199" s="1">
        <f>HYPERLINK("https://lsnyc.legalserver.org/matter/dynamic-profile/view/1905891","19-1905891")</f>
        <v>0</v>
      </c>
      <c r="B1199" t="s">
        <v>78</v>
      </c>
      <c r="C1199" t="s">
        <v>256</v>
      </c>
      <c r="D1199" t="s">
        <v>426</v>
      </c>
      <c r="F1199" t="s">
        <v>1792</v>
      </c>
      <c r="G1199" t="s">
        <v>3962</v>
      </c>
      <c r="H1199" t="s">
        <v>6407</v>
      </c>
      <c r="I1199" t="s">
        <v>8161</v>
      </c>
      <c r="J1199" t="s">
        <v>9059</v>
      </c>
      <c r="K1199">
        <v>11213</v>
      </c>
      <c r="L1199" t="s">
        <v>9094</v>
      </c>
      <c r="M1199" t="s">
        <v>9095</v>
      </c>
      <c r="N1199" t="s">
        <v>9131</v>
      </c>
      <c r="O1199" t="s">
        <v>11137</v>
      </c>
      <c r="P1199" t="s">
        <v>11167</v>
      </c>
      <c r="R1199" t="s">
        <v>11180</v>
      </c>
      <c r="S1199" t="s">
        <v>9094</v>
      </c>
      <c r="T1199" t="s">
        <v>11183</v>
      </c>
      <c r="U1199" t="s">
        <v>11201</v>
      </c>
      <c r="V1199" t="s">
        <v>512</v>
      </c>
      <c r="W1199">
        <v>551</v>
      </c>
      <c r="X1199" t="s">
        <v>11332</v>
      </c>
      <c r="Y1199" t="s">
        <v>11340</v>
      </c>
      <c r="Z1199" t="s">
        <v>12218</v>
      </c>
      <c r="AA1199" t="s">
        <v>9144</v>
      </c>
      <c r="AB1199" t="s">
        <v>16644</v>
      </c>
      <c r="AC1199">
        <v>6</v>
      </c>
      <c r="AD1199" t="s">
        <v>19566</v>
      </c>
      <c r="AE1199" t="s">
        <v>9144</v>
      </c>
      <c r="AF1199">
        <v>15</v>
      </c>
      <c r="AG1199">
        <v>2</v>
      </c>
      <c r="AH1199">
        <v>0</v>
      </c>
      <c r="AI1199">
        <v>49.67</v>
      </c>
      <c r="AL1199" t="s">
        <v>19614</v>
      </c>
      <c r="AM1199">
        <v>8400</v>
      </c>
      <c r="AN1199" t="s">
        <v>19772</v>
      </c>
      <c r="AS1199">
        <v>0</v>
      </c>
      <c r="AU1199" t="s">
        <v>95</v>
      </c>
      <c r="AV1199" t="s">
        <v>20733</v>
      </c>
    </row>
    <row r="1200" spans="1:48">
      <c r="A1200" s="1">
        <f>HYPERLINK("https://lsnyc.legalserver.org/matter/dynamic-profile/view/1900468","19-1900468")</f>
        <v>0</v>
      </c>
      <c r="B1200" t="s">
        <v>73</v>
      </c>
      <c r="C1200" t="s">
        <v>256</v>
      </c>
      <c r="D1200" t="s">
        <v>262</v>
      </c>
      <c r="F1200" t="s">
        <v>1792</v>
      </c>
      <c r="G1200" t="s">
        <v>3962</v>
      </c>
      <c r="H1200" t="s">
        <v>6407</v>
      </c>
      <c r="I1200" t="s">
        <v>8161</v>
      </c>
      <c r="J1200" t="s">
        <v>9059</v>
      </c>
      <c r="K1200">
        <v>11213</v>
      </c>
      <c r="L1200" t="s">
        <v>9094</v>
      </c>
      <c r="M1200" t="s">
        <v>9095</v>
      </c>
      <c r="N1200" t="s">
        <v>9645</v>
      </c>
      <c r="O1200" t="s">
        <v>11129</v>
      </c>
      <c r="P1200" t="s">
        <v>11165</v>
      </c>
      <c r="R1200" t="s">
        <v>11180</v>
      </c>
      <c r="S1200" t="s">
        <v>9096</v>
      </c>
      <c r="T1200" t="s">
        <v>11183</v>
      </c>
      <c r="U1200" t="s">
        <v>11201</v>
      </c>
      <c r="V1200" t="s">
        <v>777</v>
      </c>
      <c r="W1200">
        <v>551</v>
      </c>
      <c r="X1200" t="s">
        <v>11332</v>
      </c>
      <c r="Y1200" t="s">
        <v>11340</v>
      </c>
      <c r="Z1200" t="s">
        <v>12218</v>
      </c>
      <c r="AA1200" t="s">
        <v>9171</v>
      </c>
      <c r="AB1200" t="s">
        <v>16644</v>
      </c>
      <c r="AC1200">
        <v>6</v>
      </c>
      <c r="AD1200" t="s">
        <v>19566</v>
      </c>
      <c r="AE1200" t="s">
        <v>9144</v>
      </c>
      <c r="AF1200">
        <v>15</v>
      </c>
      <c r="AG1200">
        <v>2</v>
      </c>
      <c r="AH1200">
        <v>0</v>
      </c>
      <c r="AI1200">
        <v>49.67</v>
      </c>
      <c r="AL1200" t="s">
        <v>19614</v>
      </c>
      <c r="AM1200">
        <v>8400</v>
      </c>
      <c r="AN1200" t="s">
        <v>19770</v>
      </c>
      <c r="AS1200">
        <v>21.3</v>
      </c>
      <c r="AT1200" t="s">
        <v>621</v>
      </c>
      <c r="AU1200" t="s">
        <v>95</v>
      </c>
      <c r="AV1200" t="s">
        <v>20733</v>
      </c>
    </row>
    <row r="1201" spans="1:48">
      <c r="A1201" s="1">
        <f>HYPERLINK("https://lsnyc.legalserver.org/matter/dynamic-profile/view/1901300","19-1901300")</f>
        <v>0</v>
      </c>
      <c r="B1201" t="s">
        <v>90</v>
      </c>
      <c r="C1201" t="s">
        <v>256</v>
      </c>
      <c r="D1201" t="s">
        <v>471</v>
      </c>
      <c r="F1201" t="s">
        <v>1639</v>
      </c>
      <c r="G1201" t="s">
        <v>3963</v>
      </c>
      <c r="H1201" t="s">
        <v>6408</v>
      </c>
      <c r="I1201" t="s">
        <v>8209</v>
      </c>
      <c r="J1201" t="s">
        <v>9059</v>
      </c>
      <c r="K1201">
        <v>11212</v>
      </c>
      <c r="L1201" t="s">
        <v>9094</v>
      </c>
      <c r="M1201" t="s">
        <v>9095</v>
      </c>
      <c r="N1201" t="s">
        <v>9646</v>
      </c>
      <c r="O1201" t="s">
        <v>11132</v>
      </c>
      <c r="P1201" t="s">
        <v>11165</v>
      </c>
      <c r="R1201" t="s">
        <v>11180</v>
      </c>
      <c r="S1201" t="s">
        <v>9094</v>
      </c>
      <c r="T1201" t="s">
        <v>11183</v>
      </c>
      <c r="U1201" t="s">
        <v>11201</v>
      </c>
      <c r="V1201" t="s">
        <v>11231</v>
      </c>
      <c r="W1201">
        <v>1253</v>
      </c>
      <c r="X1201" t="s">
        <v>11332</v>
      </c>
      <c r="Y1201" t="s">
        <v>11340</v>
      </c>
      <c r="Z1201" t="s">
        <v>12219</v>
      </c>
      <c r="AB1201" t="s">
        <v>16645</v>
      </c>
      <c r="AC1201">
        <v>6</v>
      </c>
      <c r="AD1201" t="s">
        <v>15441</v>
      </c>
      <c r="AE1201" t="s">
        <v>19580</v>
      </c>
      <c r="AF1201">
        <v>3</v>
      </c>
      <c r="AG1201">
        <v>2</v>
      </c>
      <c r="AH1201">
        <v>0</v>
      </c>
      <c r="AI1201">
        <v>49.67</v>
      </c>
      <c r="AL1201" t="s">
        <v>19614</v>
      </c>
      <c r="AM1201">
        <v>8400</v>
      </c>
      <c r="AS1201">
        <v>0.5</v>
      </c>
      <c r="AT1201" t="s">
        <v>988</v>
      </c>
      <c r="AU1201" t="s">
        <v>95</v>
      </c>
      <c r="AV1201" t="s">
        <v>20733</v>
      </c>
    </row>
    <row r="1202" spans="1:48">
      <c r="A1202" s="1">
        <f>HYPERLINK("https://lsnyc.legalserver.org/matter/dynamic-profile/view/1910363","19-1910363")</f>
        <v>0</v>
      </c>
      <c r="B1202" t="s">
        <v>90</v>
      </c>
      <c r="C1202" t="s">
        <v>256</v>
      </c>
      <c r="D1202" t="s">
        <v>446</v>
      </c>
      <c r="F1202" t="s">
        <v>1639</v>
      </c>
      <c r="G1202" t="s">
        <v>3963</v>
      </c>
      <c r="H1202" t="s">
        <v>6408</v>
      </c>
      <c r="I1202" t="s">
        <v>8209</v>
      </c>
      <c r="J1202" t="s">
        <v>9059</v>
      </c>
      <c r="K1202">
        <v>11212</v>
      </c>
      <c r="L1202" t="s">
        <v>9094</v>
      </c>
      <c r="M1202" t="s">
        <v>9095</v>
      </c>
      <c r="N1202" t="s">
        <v>9102</v>
      </c>
      <c r="O1202" t="s">
        <v>11137</v>
      </c>
      <c r="P1202" t="s">
        <v>11167</v>
      </c>
      <c r="R1202" t="s">
        <v>11180</v>
      </c>
      <c r="S1202" t="s">
        <v>9094</v>
      </c>
      <c r="T1202" t="s">
        <v>11183</v>
      </c>
      <c r="U1202" t="s">
        <v>11201</v>
      </c>
      <c r="V1202" t="s">
        <v>334</v>
      </c>
      <c r="W1202">
        <v>1253</v>
      </c>
      <c r="X1202" t="s">
        <v>11332</v>
      </c>
      <c r="Y1202" t="s">
        <v>11340</v>
      </c>
      <c r="Z1202" t="s">
        <v>12219</v>
      </c>
      <c r="AA1202" t="s">
        <v>15290</v>
      </c>
      <c r="AB1202" t="s">
        <v>16645</v>
      </c>
      <c r="AC1202">
        <v>6</v>
      </c>
      <c r="AD1202" t="s">
        <v>15441</v>
      </c>
      <c r="AE1202" t="s">
        <v>19580</v>
      </c>
      <c r="AF1202">
        <v>3</v>
      </c>
      <c r="AG1202">
        <v>2</v>
      </c>
      <c r="AH1202">
        <v>0</v>
      </c>
      <c r="AI1202">
        <v>49.67</v>
      </c>
      <c r="AL1202" t="s">
        <v>19614</v>
      </c>
      <c r="AM1202">
        <v>8400</v>
      </c>
      <c r="AS1202">
        <v>0.1</v>
      </c>
      <c r="AT1202" t="s">
        <v>362</v>
      </c>
      <c r="AU1202" t="s">
        <v>95</v>
      </c>
      <c r="AV1202" t="s">
        <v>20733</v>
      </c>
    </row>
    <row r="1203" spans="1:48">
      <c r="A1203" s="1">
        <f>HYPERLINK("https://lsnyc.legalserver.org/matter/dynamic-profile/view/1893686","19-1893686")</f>
        <v>0</v>
      </c>
      <c r="B1203" t="s">
        <v>74</v>
      </c>
      <c r="C1203" t="s">
        <v>256</v>
      </c>
      <c r="D1203" t="s">
        <v>739</v>
      </c>
      <c r="F1203" t="s">
        <v>1793</v>
      </c>
      <c r="G1203" t="s">
        <v>3964</v>
      </c>
      <c r="H1203" t="s">
        <v>6409</v>
      </c>
      <c r="I1203" t="s">
        <v>8151</v>
      </c>
      <c r="J1203" t="s">
        <v>9059</v>
      </c>
      <c r="K1203">
        <v>11221</v>
      </c>
      <c r="L1203" t="s">
        <v>9094</v>
      </c>
      <c r="M1203" t="s">
        <v>9094</v>
      </c>
      <c r="N1203" t="s">
        <v>9647</v>
      </c>
      <c r="O1203" t="s">
        <v>11129</v>
      </c>
      <c r="P1203" t="s">
        <v>11165</v>
      </c>
      <c r="R1203" t="s">
        <v>11180</v>
      </c>
      <c r="S1203" t="s">
        <v>9096</v>
      </c>
      <c r="T1203" t="s">
        <v>11183</v>
      </c>
      <c r="U1203" t="s">
        <v>11201</v>
      </c>
      <c r="V1203" t="s">
        <v>635</v>
      </c>
      <c r="W1203">
        <v>1050</v>
      </c>
      <c r="X1203" t="s">
        <v>11332</v>
      </c>
      <c r="Z1203" t="s">
        <v>12220</v>
      </c>
      <c r="AA1203" t="s">
        <v>15290</v>
      </c>
      <c r="AB1203" t="s">
        <v>16646</v>
      </c>
      <c r="AC1203">
        <v>0</v>
      </c>
      <c r="AD1203" t="s">
        <v>19566</v>
      </c>
      <c r="AE1203" t="s">
        <v>19580</v>
      </c>
      <c r="AF1203">
        <v>15</v>
      </c>
      <c r="AG1203">
        <v>2</v>
      </c>
      <c r="AH1203">
        <v>0</v>
      </c>
      <c r="AI1203">
        <v>49.75</v>
      </c>
      <c r="AM1203">
        <v>8412</v>
      </c>
      <c r="AS1203">
        <v>16.5</v>
      </c>
      <c r="AT1203" t="s">
        <v>293</v>
      </c>
      <c r="AU1203" t="s">
        <v>95</v>
      </c>
    </row>
    <row r="1204" spans="1:48">
      <c r="A1204" s="1">
        <f>HYPERLINK("https://lsnyc.legalserver.org/matter/dynamic-profile/view/1836815","17-1836815")</f>
        <v>0</v>
      </c>
      <c r="B1204" t="s">
        <v>108</v>
      </c>
      <c r="C1204" t="s">
        <v>256</v>
      </c>
      <c r="D1204" t="s">
        <v>740</v>
      </c>
      <c r="F1204" t="s">
        <v>1145</v>
      </c>
      <c r="G1204" t="s">
        <v>3965</v>
      </c>
      <c r="H1204" t="s">
        <v>6410</v>
      </c>
      <c r="I1204" t="s">
        <v>8171</v>
      </c>
      <c r="J1204" t="s">
        <v>9065</v>
      </c>
      <c r="K1204">
        <v>10463</v>
      </c>
      <c r="L1204" t="s">
        <v>9094</v>
      </c>
      <c r="M1204" t="s">
        <v>9095</v>
      </c>
      <c r="O1204" t="s">
        <v>11130</v>
      </c>
      <c r="P1204" t="s">
        <v>11166</v>
      </c>
      <c r="R1204" t="s">
        <v>11180</v>
      </c>
      <c r="S1204" t="s">
        <v>9094</v>
      </c>
      <c r="T1204" t="s">
        <v>11183</v>
      </c>
      <c r="V1204" t="s">
        <v>770</v>
      </c>
      <c r="W1204">
        <v>853</v>
      </c>
      <c r="X1204" t="s">
        <v>11333</v>
      </c>
      <c r="Y1204" t="s">
        <v>11351</v>
      </c>
      <c r="Z1204" t="s">
        <v>12221</v>
      </c>
      <c r="AB1204" t="s">
        <v>16647</v>
      </c>
      <c r="AC1204">
        <v>0</v>
      </c>
      <c r="AE1204" t="s">
        <v>11157</v>
      </c>
      <c r="AF1204">
        <v>24</v>
      </c>
      <c r="AG1204">
        <v>1</v>
      </c>
      <c r="AH1204">
        <v>0</v>
      </c>
      <c r="AI1204">
        <v>49.75</v>
      </c>
      <c r="AJ1204" t="s">
        <v>438</v>
      </c>
      <c r="AL1204" t="s">
        <v>19614</v>
      </c>
      <c r="AM1204">
        <v>6000</v>
      </c>
      <c r="AS1204">
        <v>0.1</v>
      </c>
      <c r="AT1204" t="s">
        <v>869</v>
      </c>
      <c r="AU1204" t="s">
        <v>20643</v>
      </c>
    </row>
    <row r="1205" spans="1:48">
      <c r="A1205" s="1">
        <f>HYPERLINK("https://lsnyc.legalserver.org/matter/dynamic-profile/view/1912019","19-1912019")</f>
        <v>0</v>
      </c>
      <c r="B1205" t="s">
        <v>188</v>
      </c>
      <c r="C1205" t="s">
        <v>256</v>
      </c>
      <c r="D1205" t="s">
        <v>292</v>
      </c>
      <c r="F1205" t="s">
        <v>1794</v>
      </c>
      <c r="G1205" t="s">
        <v>3966</v>
      </c>
      <c r="H1205" t="s">
        <v>6411</v>
      </c>
      <c r="I1205" t="s">
        <v>8216</v>
      </c>
      <c r="J1205" t="s">
        <v>9067</v>
      </c>
      <c r="K1205">
        <v>10030</v>
      </c>
      <c r="L1205" t="s">
        <v>9095</v>
      </c>
      <c r="M1205" t="s">
        <v>9095</v>
      </c>
      <c r="R1205" t="s">
        <v>11180</v>
      </c>
      <c r="T1205" t="s">
        <v>11183</v>
      </c>
      <c r="W1205">
        <v>0</v>
      </c>
      <c r="X1205" t="s">
        <v>11335</v>
      </c>
      <c r="Z1205" t="s">
        <v>12222</v>
      </c>
      <c r="AB1205" t="s">
        <v>16648</v>
      </c>
      <c r="AC1205">
        <v>0</v>
      </c>
      <c r="AF1205">
        <v>0</v>
      </c>
      <c r="AG1205">
        <v>1</v>
      </c>
      <c r="AH1205">
        <v>1</v>
      </c>
      <c r="AI1205">
        <v>49.8</v>
      </c>
      <c r="AL1205" t="s">
        <v>19614</v>
      </c>
      <c r="AM1205">
        <v>8422</v>
      </c>
      <c r="AS1205">
        <v>1.5</v>
      </c>
      <c r="AT1205" t="s">
        <v>632</v>
      </c>
      <c r="AU1205" t="s">
        <v>20663</v>
      </c>
    </row>
    <row r="1206" spans="1:48">
      <c r="A1206" s="1">
        <f>HYPERLINK("https://lsnyc.legalserver.org/matter/dynamic-profile/view/1898212","19-1898212")</f>
        <v>0</v>
      </c>
      <c r="B1206" t="s">
        <v>65</v>
      </c>
      <c r="C1206" t="s">
        <v>256</v>
      </c>
      <c r="D1206" t="s">
        <v>596</v>
      </c>
      <c r="F1206" t="s">
        <v>1616</v>
      </c>
      <c r="G1206" t="s">
        <v>3967</v>
      </c>
      <c r="H1206" t="s">
        <v>5773</v>
      </c>
      <c r="I1206" t="s">
        <v>8167</v>
      </c>
      <c r="J1206" t="s">
        <v>9059</v>
      </c>
      <c r="K1206">
        <v>11226</v>
      </c>
      <c r="L1206" t="s">
        <v>9094</v>
      </c>
      <c r="M1206" t="s">
        <v>9094</v>
      </c>
      <c r="O1206" t="s">
        <v>11134</v>
      </c>
      <c r="P1206" t="s">
        <v>11166</v>
      </c>
      <c r="R1206" t="s">
        <v>11180</v>
      </c>
      <c r="S1206" t="s">
        <v>9094</v>
      </c>
      <c r="T1206" t="s">
        <v>11183</v>
      </c>
      <c r="U1206" t="s">
        <v>11201</v>
      </c>
      <c r="V1206" t="s">
        <v>291</v>
      </c>
      <c r="W1206">
        <v>1031.15</v>
      </c>
      <c r="X1206" t="s">
        <v>11332</v>
      </c>
      <c r="Y1206" t="s">
        <v>11347</v>
      </c>
      <c r="Z1206" t="s">
        <v>12223</v>
      </c>
      <c r="AB1206" t="s">
        <v>16649</v>
      </c>
      <c r="AC1206">
        <v>55</v>
      </c>
      <c r="AD1206" t="s">
        <v>19566</v>
      </c>
      <c r="AE1206" t="s">
        <v>19587</v>
      </c>
      <c r="AF1206">
        <v>40</v>
      </c>
      <c r="AG1206">
        <v>2</v>
      </c>
      <c r="AH1206">
        <v>2</v>
      </c>
      <c r="AI1206">
        <v>49.82</v>
      </c>
      <c r="AL1206" t="s">
        <v>5133</v>
      </c>
      <c r="AM1206">
        <v>12828</v>
      </c>
      <c r="AS1206">
        <v>0.85</v>
      </c>
      <c r="AT1206" t="s">
        <v>418</v>
      </c>
      <c r="AU1206" t="s">
        <v>65</v>
      </c>
      <c r="AV1206" t="s">
        <v>20733</v>
      </c>
    </row>
    <row r="1207" spans="1:48">
      <c r="A1207" s="1">
        <f>HYPERLINK("https://lsnyc.legalserver.org/matter/dynamic-profile/view/1889478","19-1889478")</f>
        <v>0</v>
      </c>
      <c r="B1207" t="s">
        <v>154</v>
      </c>
      <c r="C1207" t="s">
        <v>257</v>
      </c>
      <c r="D1207" t="s">
        <v>543</v>
      </c>
      <c r="E1207" t="s">
        <v>663</v>
      </c>
      <c r="F1207" t="s">
        <v>1795</v>
      </c>
      <c r="G1207" t="s">
        <v>3968</v>
      </c>
      <c r="H1207" t="s">
        <v>5918</v>
      </c>
      <c r="I1207" t="s">
        <v>8404</v>
      </c>
      <c r="J1207" t="s">
        <v>9066</v>
      </c>
      <c r="K1207">
        <v>10304</v>
      </c>
      <c r="L1207" t="s">
        <v>9096</v>
      </c>
      <c r="M1207" t="s">
        <v>9096</v>
      </c>
      <c r="N1207" t="s">
        <v>9102</v>
      </c>
      <c r="O1207" t="s">
        <v>9121</v>
      </c>
      <c r="P1207" t="s">
        <v>11167</v>
      </c>
      <c r="Q1207" t="s">
        <v>11173</v>
      </c>
      <c r="R1207" t="s">
        <v>11180</v>
      </c>
      <c r="S1207" t="s">
        <v>9096</v>
      </c>
      <c r="T1207" t="s">
        <v>11190</v>
      </c>
      <c r="U1207" t="s">
        <v>11201</v>
      </c>
      <c r="V1207" t="s">
        <v>543</v>
      </c>
      <c r="W1207">
        <v>320</v>
      </c>
      <c r="X1207" t="s">
        <v>11334</v>
      </c>
      <c r="Y1207" t="s">
        <v>11347</v>
      </c>
      <c r="Z1207" t="s">
        <v>12224</v>
      </c>
      <c r="AB1207" t="s">
        <v>16650</v>
      </c>
      <c r="AC1207">
        <v>0</v>
      </c>
      <c r="AD1207" t="s">
        <v>19567</v>
      </c>
      <c r="AE1207" t="s">
        <v>19580</v>
      </c>
      <c r="AF1207">
        <v>4</v>
      </c>
      <c r="AG1207">
        <v>1</v>
      </c>
      <c r="AH1207">
        <v>6</v>
      </c>
      <c r="AI1207">
        <v>49.84</v>
      </c>
      <c r="AL1207" t="s">
        <v>19619</v>
      </c>
      <c r="AM1207">
        <v>19442</v>
      </c>
      <c r="AS1207">
        <v>1.3</v>
      </c>
      <c r="AT1207" t="s">
        <v>543</v>
      </c>
      <c r="AU1207" t="s">
        <v>154</v>
      </c>
      <c r="AV1207" t="s">
        <v>20734</v>
      </c>
    </row>
    <row r="1208" spans="1:48">
      <c r="A1208" s="1">
        <f>HYPERLINK("https://lsnyc.legalserver.org/matter/dynamic-profile/view/1840635","17-1840635")</f>
        <v>0</v>
      </c>
      <c r="B1208" t="s">
        <v>189</v>
      </c>
      <c r="C1208" t="s">
        <v>257</v>
      </c>
      <c r="D1208" t="s">
        <v>741</v>
      </c>
      <c r="E1208" t="s">
        <v>321</v>
      </c>
      <c r="F1208" t="s">
        <v>1406</v>
      </c>
      <c r="G1208" t="s">
        <v>3370</v>
      </c>
      <c r="H1208" t="s">
        <v>6412</v>
      </c>
      <c r="I1208" t="s">
        <v>8266</v>
      </c>
      <c r="J1208" t="s">
        <v>9065</v>
      </c>
      <c r="K1208">
        <v>10463</v>
      </c>
      <c r="L1208" t="s">
        <v>9094</v>
      </c>
      <c r="M1208" t="s">
        <v>9095</v>
      </c>
      <c r="N1208" t="s">
        <v>9171</v>
      </c>
      <c r="O1208" t="s">
        <v>11133</v>
      </c>
      <c r="P1208" t="s">
        <v>11167</v>
      </c>
      <c r="Q1208" t="s">
        <v>11173</v>
      </c>
      <c r="R1208" t="s">
        <v>11180</v>
      </c>
      <c r="T1208" t="s">
        <v>11184</v>
      </c>
      <c r="V1208" t="s">
        <v>675</v>
      </c>
      <c r="W1208">
        <v>0</v>
      </c>
      <c r="X1208" t="s">
        <v>11333</v>
      </c>
      <c r="Z1208" t="s">
        <v>12225</v>
      </c>
      <c r="AB1208" t="s">
        <v>16651</v>
      </c>
      <c r="AC1208">
        <v>0</v>
      </c>
      <c r="AF1208">
        <v>0</v>
      </c>
      <c r="AG1208">
        <v>2</v>
      </c>
      <c r="AH1208">
        <v>2</v>
      </c>
      <c r="AI1208">
        <v>49.85</v>
      </c>
      <c r="AL1208" t="s">
        <v>19615</v>
      </c>
      <c r="AM1208">
        <v>12264</v>
      </c>
      <c r="AN1208" t="s">
        <v>19773</v>
      </c>
      <c r="AS1208">
        <v>10.2</v>
      </c>
      <c r="AT1208" t="s">
        <v>321</v>
      </c>
      <c r="AU1208" t="s">
        <v>20645</v>
      </c>
      <c r="AV1208" t="s">
        <v>20733</v>
      </c>
    </row>
    <row r="1209" spans="1:48">
      <c r="A1209" s="1">
        <f>HYPERLINK("https://lsnyc.legalserver.org/matter/dynamic-profile/view/1885048","18-1885048")</f>
        <v>0</v>
      </c>
      <c r="B1209" t="s">
        <v>78</v>
      </c>
      <c r="C1209" t="s">
        <v>256</v>
      </c>
      <c r="D1209" t="s">
        <v>375</v>
      </c>
      <c r="F1209" t="s">
        <v>1267</v>
      </c>
      <c r="G1209" t="s">
        <v>3374</v>
      </c>
      <c r="H1209" t="s">
        <v>5805</v>
      </c>
      <c r="I1209" t="s">
        <v>8193</v>
      </c>
      <c r="J1209" t="s">
        <v>9059</v>
      </c>
      <c r="K1209">
        <v>11213</v>
      </c>
      <c r="L1209" t="s">
        <v>9094</v>
      </c>
      <c r="M1209" t="s">
        <v>9094</v>
      </c>
      <c r="N1209" t="s">
        <v>9144</v>
      </c>
      <c r="O1209" t="s">
        <v>11134</v>
      </c>
      <c r="P1209" t="s">
        <v>11168</v>
      </c>
      <c r="R1209" t="s">
        <v>11180</v>
      </c>
      <c r="S1209" t="s">
        <v>9094</v>
      </c>
      <c r="T1209" t="s">
        <v>11183</v>
      </c>
      <c r="V1209" t="s">
        <v>11236</v>
      </c>
      <c r="W1209">
        <v>412</v>
      </c>
      <c r="X1209" t="s">
        <v>11332</v>
      </c>
      <c r="Y1209" t="s">
        <v>11348</v>
      </c>
      <c r="Z1209" t="s">
        <v>11503</v>
      </c>
      <c r="AB1209" t="s">
        <v>16004</v>
      </c>
      <c r="AC1209">
        <v>19</v>
      </c>
      <c r="AD1209" t="s">
        <v>19566</v>
      </c>
      <c r="AF1209">
        <v>12</v>
      </c>
      <c r="AG1209">
        <v>3</v>
      </c>
      <c r="AH1209">
        <v>0</v>
      </c>
      <c r="AI1209">
        <v>50.05</v>
      </c>
      <c r="AL1209" t="s">
        <v>19614</v>
      </c>
      <c r="AM1209">
        <v>10400</v>
      </c>
      <c r="AS1209">
        <v>0</v>
      </c>
      <c r="AU1209" t="s">
        <v>79</v>
      </c>
    </row>
    <row r="1210" spans="1:48">
      <c r="A1210" s="1">
        <f>HYPERLINK("https://lsnyc.legalserver.org/matter/dynamic-profile/view/1885024","18-1885024")</f>
        <v>0</v>
      </c>
      <c r="B1210" t="s">
        <v>78</v>
      </c>
      <c r="C1210" t="s">
        <v>256</v>
      </c>
      <c r="D1210" t="s">
        <v>359</v>
      </c>
      <c r="F1210" t="s">
        <v>1267</v>
      </c>
      <c r="G1210" t="s">
        <v>3374</v>
      </c>
      <c r="H1210" t="s">
        <v>5805</v>
      </c>
      <c r="I1210" t="s">
        <v>8193</v>
      </c>
      <c r="J1210" t="s">
        <v>9059</v>
      </c>
      <c r="K1210">
        <v>11213</v>
      </c>
      <c r="L1210" t="s">
        <v>9094</v>
      </c>
      <c r="M1210" t="s">
        <v>9094</v>
      </c>
      <c r="N1210" t="s">
        <v>9575</v>
      </c>
      <c r="O1210" t="s">
        <v>11130</v>
      </c>
      <c r="P1210" t="s">
        <v>11165</v>
      </c>
      <c r="R1210" t="s">
        <v>11180</v>
      </c>
      <c r="S1210" t="s">
        <v>9094</v>
      </c>
      <c r="T1210" t="s">
        <v>11183</v>
      </c>
      <c r="V1210" t="s">
        <v>697</v>
      </c>
      <c r="W1210">
        <v>412</v>
      </c>
      <c r="X1210" t="s">
        <v>11332</v>
      </c>
      <c r="Y1210" t="s">
        <v>11348</v>
      </c>
      <c r="Z1210" t="s">
        <v>11503</v>
      </c>
      <c r="AB1210" t="s">
        <v>16004</v>
      </c>
      <c r="AC1210">
        <v>19</v>
      </c>
      <c r="AD1210" t="s">
        <v>19566</v>
      </c>
      <c r="AF1210">
        <v>12</v>
      </c>
      <c r="AG1210">
        <v>3</v>
      </c>
      <c r="AH1210">
        <v>0</v>
      </c>
      <c r="AI1210">
        <v>50.05</v>
      </c>
      <c r="AL1210" t="s">
        <v>19614</v>
      </c>
      <c r="AM1210">
        <v>10400</v>
      </c>
      <c r="AS1210">
        <v>0.5</v>
      </c>
      <c r="AT1210" t="s">
        <v>444</v>
      </c>
      <c r="AU1210" t="s">
        <v>79</v>
      </c>
    </row>
    <row r="1211" spans="1:48">
      <c r="A1211" s="1">
        <f>HYPERLINK("https://lsnyc.legalserver.org/matter/dynamic-profile/view/1875780","18-1875780")</f>
        <v>0</v>
      </c>
      <c r="B1211" t="s">
        <v>103</v>
      </c>
      <c r="C1211" t="s">
        <v>256</v>
      </c>
      <c r="D1211" t="s">
        <v>742</v>
      </c>
      <c r="F1211" t="s">
        <v>1554</v>
      </c>
      <c r="G1211" t="s">
        <v>3818</v>
      </c>
      <c r="H1211" t="s">
        <v>6413</v>
      </c>
      <c r="I1211" t="s">
        <v>8264</v>
      </c>
      <c r="J1211" t="s">
        <v>9065</v>
      </c>
      <c r="K1211">
        <v>10456</v>
      </c>
      <c r="L1211" t="s">
        <v>9094</v>
      </c>
      <c r="M1211" t="s">
        <v>9094</v>
      </c>
      <c r="N1211" t="s">
        <v>9648</v>
      </c>
      <c r="O1211" t="s">
        <v>11134</v>
      </c>
      <c r="P1211" t="s">
        <v>11168</v>
      </c>
      <c r="R1211" t="s">
        <v>11180</v>
      </c>
      <c r="S1211" t="s">
        <v>9094</v>
      </c>
      <c r="T1211" t="s">
        <v>11183</v>
      </c>
      <c r="V1211" t="s">
        <v>945</v>
      </c>
      <c r="W1211">
        <v>1380</v>
      </c>
      <c r="X1211" t="s">
        <v>11333</v>
      </c>
      <c r="Y1211" t="s">
        <v>11346</v>
      </c>
      <c r="Z1211" t="s">
        <v>12226</v>
      </c>
      <c r="AB1211" t="s">
        <v>16652</v>
      </c>
      <c r="AC1211">
        <v>61</v>
      </c>
      <c r="AD1211" t="s">
        <v>19566</v>
      </c>
      <c r="AE1211" t="s">
        <v>19580</v>
      </c>
      <c r="AF1211">
        <v>17</v>
      </c>
      <c r="AG1211">
        <v>3</v>
      </c>
      <c r="AH1211">
        <v>0</v>
      </c>
      <c r="AI1211">
        <v>50.05</v>
      </c>
      <c r="AL1211" t="s">
        <v>19615</v>
      </c>
      <c r="AM1211">
        <v>10400</v>
      </c>
      <c r="AS1211">
        <v>0</v>
      </c>
      <c r="AU1211" t="s">
        <v>163</v>
      </c>
    </row>
    <row r="1212" spans="1:48">
      <c r="A1212" s="1">
        <f>HYPERLINK("https://lsnyc.legalserver.org/matter/dynamic-profile/view/1870265","18-1870265")</f>
        <v>0</v>
      </c>
      <c r="B1212" t="s">
        <v>119</v>
      </c>
      <c r="C1212" t="s">
        <v>256</v>
      </c>
      <c r="D1212" t="s">
        <v>743</v>
      </c>
      <c r="F1212" t="s">
        <v>1796</v>
      </c>
      <c r="G1212" t="s">
        <v>3811</v>
      </c>
      <c r="H1212" t="s">
        <v>6414</v>
      </c>
      <c r="I1212" t="s">
        <v>8405</v>
      </c>
      <c r="J1212" t="s">
        <v>9065</v>
      </c>
      <c r="K1212">
        <v>10453</v>
      </c>
      <c r="L1212" t="s">
        <v>9094</v>
      </c>
      <c r="M1212" t="s">
        <v>9095</v>
      </c>
      <c r="N1212" t="s">
        <v>9649</v>
      </c>
      <c r="O1212" t="s">
        <v>11129</v>
      </c>
      <c r="P1212" t="s">
        <v>11165</v>
      </c>
      <c r="R1212" t="s">
        <v>11180</v>
      </c>
      <c r="S1212" t="s">
        <v>9096</v>
      </c>
      <c r="T1212" t="s">
        <v>11183</v>
      </c>
      <c r="V1212" t="s">
        <v>675</v>
      </c>
      <c r="W1212">
        <v>1449.16</v>
      </c>
      <c r="X1212" t="s">
        <v>11333</v>
      </c>
      <c r="Y1212" t="s">
        <v>11344</v>
      </c>
      <c r="Z1212" t="s">
        <v>12227</v>
      </c>
      <c r="AA1212" t="s">
        <v>15515</v>
      </c>
      <c r="AB1212" t="s">
        <v>16653</v>
      </c>
      <c r="AC1212">
        <v>16</v>
      </c>
      <c r="AD1212" t="s">
        <v>19566</v>
      </c>
      <c r="AE1212" t="s">
        <v>9144</v>
      </c>
      <c r="AF1212">
        <v>7</v>
      </c>
      <c r="AG1212">
        <v>1</v>
      </c>
      <c r="AH1212">
        <v>2</v>
      </c>
      <c r="AI1212">
        <v>50.05</v>
      </c>
      <c r="AL1212" t="s">
        <v>19615</v>
      </c>
      <c r="AM1212">
        <v>10400</v>
      </c>
      <c r="AS1212">
        <v>28.82</v>
      </c>
      <c r="AT1212" t="s">
        <v>503</v>
      </c>
      <c r="AU1212" t="s">
        <v>20647</v>
      </c>
    </row>
    <row r="1213" spans="1:48">
      <c r="A1213" s="1">
        <f>HYPERLINK("https://lsnyc.legalserver.org/matter/dynamic-profile/view/0822113","16-0822113")</f>
        <v>0</v>
      </c>
      <c r="B1213" t="s">
        <v>103</v>
      </c>
      <c r="C1213" t="s">
        <v>256</v>
      </c>
      <c r="D1213" t="s">
        <v>720</v>
      </c>
      <c r="F1213" t="s">
        <v>1439</v>
      </c>
      <c r="G1213" t="s">
        <v>3621</v>
      </c>
      <c r="H1213" t="s">
        <v>5899</v>
      </c>
      <c r="I1213" t="s">
        <v>8124</v>
      </c>
      <c r="J1213" t="s">
        <v>9065</v>
      </c>
      <c r="K1213">
        <v>10452</v>
      </c>
      <c r="L1213" t="s">
        <v>9094</v>
      </c>
      <c r="M1213" t="s">
        <v>9095</v>
      </c>
      <c r="O1213" t="s">
        <v>11135</v>
      </c>
      <c r="P1213" t="s">
        <v>11168</v>
      </c>
      <c r="R1213" t="s">
        <v>11180</v>
      </c>
      <c r="S1213" t="s">
        <v>9094</v>
      </c>
      <c r="T1213" t="s">
        <v>11183</v>
      </c>
      <c r="V1213" t="s">
        <v>720</v>
      </c>
      <c r="W1213">
        <v>0</v>
      </c>
      <c r="X1213" t="s">
        <v>11333</v>
      </c>
      <c r="Y1213" t="s">
        <v>11346</v>
      </c>
      <c r="Z1213" t="s">
        <v>11439</v>
      </c>
      <c r="AB1213" t="s">
        <v>16173</v>
      </c>
      <c r="AC1213">
        <v>63</v>
      </c>
      <c r="AD1213" t="s">
        <v>19566</v>
      </c>
      <c r="AE1213" t="s">
        <v>19580</v>
      </c>
      <c r="AF1213">
        <v>0</v>
      </c>
      <c r="AG1213">
        <v>2</v>
      </c>
      <c r="AH1213">
        <v>0</v>
      </c>
      <c r="AI1213">
        <v>50.26</v>
      </c>
      <c r="AL1213" t="s">
        <v>19615</v>
      </c>
      <c r="AM1213">
        <v>8052</v>
      </c>
      <c r="AS1213">
        <v>0</v>
      </c>
      <c r="AU1213" t="s">
        <v>20643</v>
      </c>
    </row>
    <row r="1214" spans="1:48">
      <c r="A1214" s="1">
        <f>HYPERLINK("https://lsnyc.legalserver.org/matter/dynamic-profile/view/1879757","18-1879757")</f>
        <v>0</v>
      </c>
      <c r="B1214" t="s">
        <v>136</v>
      </c>
      <c r="C1214" t="s">
        <v>256</v>
      </c>
      <c r="D1214" t="s">
        <v>627</v>
      </c>
      <c r="F1214" t="s">
        <v>1220</v>
      </c>
      <c r="G1214" t="s">
        <v>3827</v>
      </c>
      <c r="H1214" t="s">
        <v>6415</v>
      </c>
      <c r="I1214">
        <v>805</v>
      </c>
      <c r="J1214" t="s">
        <v>9067</v>
      </c>
      <c r="K1214">
        <v>10029</v>
      </c>
      <c r="L1214" t="s">
        <v>9094</v>
      </c>
      <c r="M1214" t="s">
        <v>9094</v>
      </c>
      <c r="N1214" t="s">
        <v>9650</v>
      </c>
      <c r="O1214" t="s">
        <v>11128</v>
      </c>
      <c r="P1214" t="s">
        <v>11165</v>
      </c>
      <c r="R1214" t="s">
        <v>11180</v>
      </c>
      <c r="S1214" t="s">
        <v>9096</v>
      </c>
      <c r="T1214" t="s">
        <v>11183</v>
      </c>
      <c r="U1214" t="s">
        <v>11201</v>
      </c>
      <c r="V1214" t="s">
        <v>285</v>
      </c>
      <c r="W1214">
        <v>1600</v>
      </c>
      <c r="X1214" t="s">
        <v>11335</v>
      </c>
      <c r="Y1214" t="s">
        <v>11354</v>
      </c>
      <c r="Z1214" t="s">
        <v>12228</v>
      </c>
      <c r="AB1214" t="s">
        <v>16654</v>
      </c>
      <c r="AC1214">
        <v>259</v>
      </c>
      <c r="AD1214" t="s">
        <v>19566</v>
      </c>
      <c r="AE1214" t="s">
        <v>19580</v>
      </c>
      <c r="AF1214">
        <v>5</v>
      </c>
      <c r="AG1214">
        <v>2</v>
      </c>
      <c r="AH1214">
        <v>0</v>
      </c>
      <c r="AI1214">
        <v>50.35</v>
      </c>
      <c r="AL1214" t="s">
        <v>19614</v>
      </c>
      <c r="AM1214">
        <v>8288</v>
      </c>
      <c r="AN1214" t="s">
        <v>19722</v>
      </c>
      <c r="AS1214">
        <v>34.58</v>
      </c>
      <c r="AT1214" t="s">
        <v>408</v>
      </c>
      <c r="AU1214" t="s">
        <v>20638</v>
      </c>
      <c r="AV1214" t="s">
        <v>20733</v>
      </c>
    </row>
    <row r="1215" spans="1:48">
      <c r="A1215" s="1">
        <f>HYPERLINK("https://lsnyc.legalserver.org/matter/dynamic-profile/view/1903681","19-1903681")</f>
        <v>0</v>
      </c>
      <c r="B1215" t="s">
        <v>57</v>
      </c>
      <c r="C1215" t="s">
        <v>257</v>
      </c>
      <c r="D1215" t="s">
        <v>700</v>
      </c>
      <c r="E1215" t="s">
        <v>290</v>
      </c>
      <c r="F1215" t="s">
        <v>1797</v>
      </c>
      <c r="G1215" t="s">
        <v>3969</v>
      </c>
      <c r="H1215" t="s">
        <v>6416</v>
      </c>
      <c r="J1215" t="s">
        <v>9076</v>
      </c>
      <c r="K1215">
        <v>11418</v>
      </c>
      <c r="L1215" t="s">
        <v>9094</v>
      </c>
      <c r="M1215" t="s">
        <v>9095</v>
      </c>
      <c r="N1215" t="s">
        <v>9651</v>
      </c>
      <c r="O1215" t="s">
        <v>9121</v>
      </c>
      <c r="P1215" t="s">
        <v>11164</v>
      </c>
      <c r="Q1215" t="s">
        <v>11172</v>
      </c>
      <c r="R1215" t="s">
        <v>11181</v>
      </c>
      <c r="S1215" t="s">
        <v>9096</v>
      </c>
      <c r="T1215" t="s">
        <v>11183</v>
      </c>
      <c r="V1215" t="s">
        <v>280</v>
      </c>
      <c r="W1215">
        <v>1100</v>
      </c>
      <c r="X1215" t="s">
        <v>11331</v>
      </c>
      <c r="Y1215" t="s">
        <v>11337</v>
      </c>
      <c r="Z1215" t="s">
        <v>12229</v>
      </c>
      <c r="AA1215" t="s">
        <v>15274</v>
      </c>
      <c r="AB1215" t="s">
        <v>15274</v>
      </c>
      <c r="AC1215">
        <v>4</v>
      </c>
      <c r="AD1215" t="s">
        <v>19565</v>
      </c>
      <c r="AE1215" t="s">
        <v>9144</v>
      </c>
      <c r="AF1215">
        <v>11</v>
      </c>
      <c r="AG1215">
        <v>1</v>
      </c>
      <c r="AH1215">
        <v>3</v>
      </c>
      <c r="AI1215">
        <v>50.49</v>
      </c>
      <c r="AJ1215" t="s">
        <v>19591</v>
      </c>
      <c r="AK1215" t="s">
        <v>19608</v>
      </c>
      <c r="AL1215" t="s">
        <v>19614</v>
      </c>
      <c r="AM1215">
        <v>13000</v>
      </c>
      <c r="AS1215">
        <v>0.95</v>
      </c>
      <c r="AT1215" t="s">
        <v>295</v>
      </c>
      <c r="AU1215" t="s">
        <v>57</v>
      </c>
      <c r="AV1215" t="s">
        <v>20733</v>
      </c>
    </row>
    <row r="1216" spans="1:48">
      <c r="A1216" s="1">
        <f>HYPERLINK("https://lsnyc.legalserver.org/matter/dynamic-profile/view/1908074","19-1908074")</f>
        <v>0</v>
      </c>
      <c r="B1216" t="s">
        <v>110</v>
      </c>
      <c r="C1216" t="s">
        <v>257</v>
      </c>
      <c r="D1216" t="s">
        <v>288</v>
      </c>
      <c r="E1216" t="s">
        <v>377</v>
      </c>
      <c r="F1216" t="s">
        <v>1370</v>
      </c>
      <c r="G1216" t="s">
        <v>3970</v>
      </c>
      <c r="H1216" t="s">
        <v>6417</v>
      </c>
      <c r="I1216" t="s">
        <v>8406</v>
      </c>
      <c r="J1216" t="s">
        <v>9065</v>
      </c>
      <c r="K1216">
        <v>10452</v>
      </c>
      <c r="L1216" t="s">
        <v>9094</v>
      </c>
      <c r="M1216" t="s">
        <v>9095</v>
      </c>
      <c r="P1216" t="s">
        <v>11164</v>
      </c>
      <c r="Q1216" t="s">
        <v>11172</v>
      </c>
      <c r="R1216" t="s">
        <v>11180</v>
      </c>
      <c r="S1216" t="s">
        <v>9096</v>
      </c>
      <c r="T1216" t="s">
        <v>11183</v>
      </c>
      <c r="W1216">
        <v>1750</v>
      </c>
      <c r="X1216" t="s">
        <v>11333</v>
      </c>
      <c r="Y1216" t="s">
        <v>11340</v>
      </c>
      <c r="Z1216" t="s">
        <v>12230</v>
      </c>
      <c r="AB1216" t="s">
        <v>16655</v>
      </c>
      <c r="AC1216">
        <v>0</v>
      </c>
      <c r="AD1216" t="s">
        <v>19566</v>
      </c>
      <c r="AE1216" t="s">
        <v>19581</v>
      </c>
      <c r="AF1216">
        <v>7</v>
      </c>
      <c r="AG1216">
        <v>1</v>
      </c>
      <c r="AH1216">
        <v>3</v>
      </c>
      <c r="AI1216">
        <v>50.49</v>
      </c>
      <c r="AL1216" t="s">
        <v>19614</v>
      </c>
      <c r="AM1216">
        <v>13000</v>
      </c>
      <c r="AS1216">
        <v>6.1</v>
      </c>
      <c r="AT1216" t="s">
        <v>648</v>
      </c>
      <c r="AU1216" t="s">
        <v>110</v>
      </c>
      <c r="AV1216" t="s">
        <v>20733</v>
      </c>
    </row>
    <row r="1217" spans="1:48">
      <c r="A1217" s="1">
        <f>HYPERLINK("https://lsnyc.legalserver.org/matter/dynamic-profile/view/1911513","19-1911513")</f>
        <v>0</v>
      </c>
      <c r="B1217" t="s">
        <v>141</v>
      </c>
      <c r="C1217" t="s">
        <v>256</v>
      </c>
      <c r="D1217" t="s">
        <v>362</v>
      </c>
      <c r="F1217" t="s">
        <v>1798</v>
      </c>
      <c r="G1217" t="s">
        <v>3220</v>
      </c>
      <c r="H1217" t="s">
        <v>6418</v>
      </c>
      <c r="I1217" t="s">
        <v>8407</v>
      </c>
      <c r="J1217" t="s">
        <v>9067</v>
      </c>
      <c r="K1217">
        <v>10040</v>
      </c>
      <c r="L1217" t="s">
        <v>9094</v>
      </c>
      <c r="M1217" t="s">
        <v>9095</v>
      </c>
      <c r="O1217" t="s">
        <v>11132</v>
      </c>
      <c r="P1217" t="s">
        <v>11169</v>
      </c>
      <c r="R1217" t="s">
        <v>11180</v>
      </c>
      <c r="S1217" t="s">
        <v>9094</v>
      </c>
      <c r="T1217" t="s">
        <v>11183</v>
      </c>
      <c r="V1217" t="s">
        <v>362</v>
      </c>
      <c r="W1217">
        <v>995.92</v>
      </c>
      <c r="X1217" t="s">
        <v>11335</v>
      </c>
      <c r="Y1217" t="s">
        <v>11340</v>
      </c>
      <c r="Z1217" t="s">
        <v>12231</v>
      </c>
      <c r="AA1217" t="s">
        <v>15516</v>
      </c>
      <c r="AB1217" t="s">
        <v>16656</v>
      </c>
      <c r="AC1217">
        <v>44</v>
      </c>
      <c r="AD1217" t="s">
        <v>19566</v>
      </c>
      <c r="AE1217" t="s">
        <v>9144</v>
      </c>
      <c r="AF1217">
        <v>15</v>
      </c>
      <c r="AG1217">
        <v>2</v>
      </c>
      <c r="AH1217">
        <v>2</v>
      </c>
      <c r="AI1217">
        <v>50.49</v>
      </c>
      <c r="AL1217" t="s">
        <v>19615</v>
      </c>
      <c r="AM1217">
        <v>13000</v>
      </c>
      <c r="AS1217">
        <v>0.1</v>
      </c>
      <c r="AT1217" t="s">
        <v>292</v>
      </c>
      <c r="AU1217" t="s">
        <v>130</v>
      </c>
      <c r="AV1217" t="s">
        <v>20733</v>
      </c>
    </row>
    <row r="1218" spans="1:48">
      <c r="A1218" s="1">
        <f>HYPERLINK("https://lsnyc.legalserver.org/matter/dynamic-profile/view/1912409","19-1912409")</f>
        <v>0</v>
      </c>
      <c r="B1218" t="s">
        <v>141</v>
      </c>
      <c r="C1218" t="s">
        <v>256</v>
      </c>
      <c r="D1218" t="s">
        <v>744</v>
      </c>
      <c r="F1218" t="s">
        <v>1798</v>
      </c>
      <c r="G1218" t="s">
        <v>3220</v>
      </c>
      <c r="H1218" t="s">
        <v>6419</v>
      </c>
      <c r="I1218" t="s">
        <v>8407</v>
      </c>
      <c r="J1218" t="s">
        <v>9067</v>
      </c>
      <c r="K1218">
        <v>10040</v>
      </c>
      <c r="L1218" t="s">
        <v>9094</v>
      </c>
      <c r="M1218" t="s">
        <v>9095</v>
      </c>
      <c r="O1218" t="s">
        <v>11134</v>
      </c>
      <c r="P1218" t="s">
        <v>11165</v>
      </c>
      <c r="R1218" t="s">
        <v>11180</v>
      </c>
      <c r="S1218" t="s">
        <v>9094</v>
      </c>
      <c r="T1218" t="s">
        <v>11183</v>
      </c>
      <c r="V1218" t="s">
        <v>744</v>
      </c>
      <c r="W1218">
        <v>995.92</v>
      </c>
      <c r="X1218" t="s">
        <v>11335</v>
      </c>
      <c r="Y1218" t="s">
        <v>11340</v>
      </c>
      <c r="Z1218" t="s">
        <v>12231</v>
      </c>
      <c r="AA1218" t="s">
        <v>15516</v>
      </c>
      <c r="AB1218" t="s">
        <v>16656</v>
      </c>
      <c r="AC1218">
        <v>44</v>
      </c>
      <c r="AD1218" t="s">
        <v>19566</v>
      </c>
      <c r="AE1218" t="s">
        <v>9144</v>
      </c>
      <c r="AF1218">
        <v>15</v>
      </c>
      <c r="AG1218">
        <v>2</v>
      </c>
      <c r="AH1218">
        <v>2</v>
      </c>
      <c r="AI1218">
        <v>50.49</v>
      </c>
      <c r="AL1218" t="s">
        <v>19615</v>
      </c>
      <c r="AM1218">
        <v>13000</v>
      </c>
      <c r="AS1218">
        <v>0</v>
      </c>
      <c r="AU1218" t="s">
        <v>130</v>
      </c>
      <c r="AV1218" t="s">
        <v>20733</v>
      </c>
    </row>
    <row r="1219" spans="1:48">
      <c r="A1219" s="1">
        <f>HYPERLINK("https://lsnyc.legalserver.org/matter/dynamic-profile/view/1912418","19-1912418")</f>
        <v>0</v>
      </c>
      <c r="B1219" t="s">
        <v>141</v>
      </c>
      <c r="C1219" t="s">
        <v>257</v>
      </c>
      <c r="D1219" t="s">
        <v>744</v>
      </c>
      <c r="E1219" t="s">
        <v>594</v>
      </c>
      <c r="F1219" t="s">
        <v>1798</v>
      </c>
      <c r="G1219" t="s">
        <v>3220</v>
      </c>
      <c r="H1219" t="s">
        <v>6419</v>
      </c>
      <c r="I1219" t="s">
        <v>8407</v>
      </c>
      <c r="J1219" t="s">
        <v>9067</v>
      </c>
      <c r="K1219">
        <v>10040</v>
      </c>
      <c r="L1219" t="s">
        <v>9094</v>
      </c>
      <c r="M1219" t="s">
        <v>9095</v>
      </c>
      <c r="N1219" t="s">
        <v>9652</v>
      </c>
      <c r="O1219" t="s">
        <v>11134</v>
      </c>
      <c r="P1219" t="s">
        <v>11168</v>
      </c>
      <c r="Q1219" t="s">
        <v>11177</v>
      </c>
      <c r="R1219" t="s">
        <v>11180</v>
      </c>
      <c r="S1219" t="s">
        <v>9094</v>
      </c>
      <c r="T1219" t="s">
        <v>11183</v>
      </c>
      <c r="V1219" t="s">
        <v>744</v>
      </c>
      <c r="W1219">
        <v>995.92</v>
      </c>
      <c r="X1219" t="s">
        <v>11335</v>
      </c>
      <c r="Y1219" t="s">
        <v>11340</v>
      </c>
      <c r="Z1219" t="s">
        <v>12231</v>
      </c>
      <c r="AA1219" t="s">
        <v>15516</v>
      </c>
      <c r="AB1219" t="s">
        <v>16656</v>
      </c>
      <c r="AC1219">
        <v>44</v>
      </c>
      <c r="AD1219" t="s">
        <v>19566</v>
      </c>
      <c r="AE1219" t="s">
        <v>9144</v>
      </c>
      <c r="AF1219">
        <v>15</v>
      </c>
      <c r="AG1219">
        <v>2</v>
      </c>
      <c r="AH1219">
        <v>2</v>
      </c>
      <c r="AI1219">
        <v>50.49</v>
      </c>
      <c r="AL1219" t="s">
        <v>19615</v>
      </c>
      <c r="AM1219">
        <v>13000</v>
      </c>
      <c r="AS1219">
        <v>20.6</v>
      </c>
      <c r="AT1219" t="s">
        <v>594</v>
      </c>
      <c r="AU1219" t="s">
        <v>130</v>
      </c>
      <c r="AV1219" t="s">
        <v>20733</v>
      </c>
    </row>
    <row r="1220" spans="1:48">
      <c r="A1220" s="1">
        <f>HYPERLINK("https://lsnyc.legalserver.org/matter/dynamic-profile/view/1907955","19-1907955")</f>
        <v>0</v>
      </c>
      <c r="B1220" t="s">
        <v>141</v>
      </c>
      <c r="C1220" t="s">
        <v>256</v>
      </c>
      <c r="D1220" t="s">
        <v>297</v>
      </c>
      <c r="F1220" t="s">
        <v>1798</v>
      </c>
      <c r="G1220" t="s">
        <v>3220</v>
      </c>
      <c r="H1220" t="s">
        <v>6418</v>
      </c>
      <c r="I1220" t="s">
        <v>8407</v>
      </c>
      <c r="J1220" t="s">
        <v>9067</v>
      </c>
      <c r="K1220">
        <v>10040</v>
      </c>
      <c r="L1220" t="s">
        <v>9094</v>
      </c>
      <c r="M1220" t="s">
        <v>9095</v>
      </c>
      <c r="N1220" t="s">
        <v>9653</v>
      </c>
      <c r="O1220" t="s">
        <v>11129</v>
      </c>
      <c r="P1220" t="s">
        <v>11165</v>
      </c>
      <c r="R1220" t="s">
        <v>11180</v>
      </c>
      <c r="S1220" t="s">
        <v>9096</v>
      </c>
      <c r="T1220" t="s">
        <v>11183</v>
      </c>
      <c r="U1220" t="s">
        <v>11201</v>
      </c>
      <c r="V1220" t="s">
        <v>297</v>
      </c>
      <c r="W1220">
        <v>995.92</v>
      </c>
      <c r="X1220" t="s">
        <v>11335</v>
      </c>
      <c r="Y1220" t="s">
        <v>11347</v>
      </c>
      <c r="Z1220" t="s">
        <v>12231</v>
      </c>
      <c r="AA1220" t="s">
        <v>15516</v>
      </c>
      <c r="AB1220" t="s">
        <v>16656</v>
      </c>
      <c r="AC1220">
        <v>44</v>
      </c>
      <c r="AD1220" t="s">
        <v>19566</v>
      </c>
      <c r="AE1220" t="s">
        <v>9144</v>
      </c>
      <c r="AF1220">
        <v>15</v>
      </c>
      <c r="AG1220">
        <v>2</v>
      </c>
      <c r="AH1220">
        <v>2</v>
      </c>
      <c r="AI1220">
        <v>50.49</v>
      </c>
      <c r="AL1220" t="s">
        <v>19615</v>
      </c>
      <c r="AM1220">
        <v>13000</v>
      </c>
      <c r="AS1220">
        <v>11.5</v>
      </c>
      <c r="AT1220" t="s">
        <v>549</v>
      </c>
      <c r="AU1220" t="s">
        <v>20688</v>
      </c>
      <c r="AV1220" t="s">
        <v>20733</v>
      </c>
    </row>
    <row r="1221" spans="1:48">
      <c r="A1221" s="1">
        <f>HYPERLINK("https://lsnyc.legalserver.org/matter/dynamic-profile/view/1865906","18-1865906")</f>
        <v>0</v>
      </c>
      <c r="B1221" t="s">
        <v>119</v>
      </c>
      <c r="C1221" t="s">
        <v>256</v>
      </c>
      <c r="D1221" t="s">
        <v>745</v>
      </c>
      <c r="F1221" t="s">
        <v>1740</v>
      </c>
      <c r="G1221" t="s">
        <v>3971</v>
      </c>
      <c r="H1221" t="s">
        <v>6420</v>
      </c>
      <c r="I1221" t="s">
        <v>8254</v>
      </c>
      <c r="J1221" t="s">
        <v>9065</v>
      </c>
      <c r="K1221">
        <v>10453</v>
      </c>
      <c r="L1221" t="s">
        <v>9094</v>
      </c>
      <c r="M1221" t="s">
        <v>9094</v>
      </c>
      <c r="N1221" t="s">
        <v>9654</v>
      </c>
      <c r="O1221" t="s">
        <v>11129</v>
      </c>
      <c r="P1221" t="s">
        <v>11165</v>
      </c>
      <c r="R1221" t="s">
        <v>11180</v>
      </c>
      <c r="S1221" t="s">
        <v>9096</v>
      </c>
      <c r="T1221" t="s">
        <v>11183</v>
      </c>
      <c r="V1221" t="s">
        <v>11219</v>
      </c>
      <c r="W1221">
        <v>1570.13</v>
      </c>
      <c r="X1221" t="s">
        <v>11333</v>
      </c>
      <c r="Y1221" t="s">
        <v>11340</v>
      </c>
      <c r="Z1221" t="s">
        <v>12232</v>
      </c>
      <c r="AA1221" t="s">
        <v>15517</v>
      </c>
      <c r="AB1221" t="s">
        <v>16657</v>
      </c>
      <c r="AC1221">
        <v>255</v>
      </c>
      <c r="AD1221" t="s">
        <v>19566</v>
      </c>
      <c r="AE1221" t="s">
        <v>19580</v>
      </c>
      <c r="AF1221">
        <v>2</v>
      </c>
      <c r="AG1221">
        <v>1</v>
      </c>
      <c r="AH1221">
        <v>2</v>
      </c>
      <c r="AI1221">
        <v>50.53</v>
      </c>
      <c r="AL1221" t="s">
        <v>19614</v>
      </c>
      <c r="AM1221">
        <v>10500</v>
      </c>
      <c r="AS1221">
        <v>29.55</v>
      </c>
      <c r="AT1221" t="s">
        <v>784</v>
      </c>
      <c r="AU1221" t="s">
        <v>163</v>
      </c>
    </row>
    <row r="1222" spans="1:48">
      <c r="A1222" s="1">
        <f>HYPERLINK("https://lsnyc.legalserver.org/matter/dynamic-profile/view/1914594","19-1914594")</f>
        <v>0</v>
      </c>
      <c r="B1222" t="s">
        <v>117</v>
      </c>
      <c r="C1222" t="s">
        <v>256</v>
      </c>
      <c r="D1222" t="s">
        <v>301</v>
      </c>
      <c r="F1222" t="s">
        <v>1799</v>
      </c>
      <c r="G1222" t="s">
        <v>3341</v>
      </c>
      <c r="H1222" t="s">
        <v>6421</v>
      </c>
      <c r="I1222" t="s">
        <v>8238</v>
      </c>
      <c r="J1222" t="s">
        <v>9077</v>
      </c>
      <c r="K1222">
        <v>10542</v>
      </c>
      <c r="L1222" t="s">
        <v>9094</v>
      </c>
      <c r="M1222" t="s">
        <v>9095</v>
      </c>
      <c r="P1222" t="s">
        <v>11164</v>
      </c>
      <c r="R1222" t="s">
        <v>11180</v>
      </c>
      <c r="S1222" t="s">
        <v>9094</v>
      </c>
      <c r="T1222" t="s">
        <v>11183</v>
      </c>
      <c r="W1222">
        <v>0</v>
      </c>
      <c r="X1222" t="s">
        <v>11333</v>
      </c>
      <c r="Y1222" t="s">
        <v>11346</v>
      </c>
      <c r="Z1222" t="s">
        <v>11611</v>
      </c>
      <c r="AB1222" t="s">
        <v>16094</v>
      </c>
      <c r="AC1222">
        <v>63</v>
      </c>
      <c r="AE1222" t="s">
        <v>19587</v>
      </c>
      <c r="AF1222">
        <v>43</v>
      </c>
      <c r="AG1222">
        <v>2</v>
      </c>
      <c r="AH1222">
        <v>0</v>
      </c>
      <c r="AI1222">
        <v>50.6</v>
      </c>
      <c r="AL1222" t="s">
        <v>19615</v>
      </c>
      <c r="AM1222">
        <v>8556</v>
      </c>
      <c r="AS1222">
        <v>0</v>
      </c>
      <c r="AU1222" t="s">
        <v>163</v>
      </c>
      <c r="AV1222" t="s">
        <v>20733</v>
      </c>
    </row>
    <row r="1223" spans="1:48">
      <c r="A1223" s="1">
        <f>HYPERLINK("https://lsnyc.legalserver.org/matter/dynamic-profile/view/1914798","19-1914798")</f>
        <v>0</v>
      </c>
      <c r="B1223" t="s">
        <v>117</v>
      </c>
      <c r="C1223" t="s">
        <v>256</v>
      </c>
      <c r="D1223" t="s">
        <v>632</v>
      </c>
      <c r="F1223" t="s">
        <v>1799</v>
      </c>
      <c r="G1223" t="s">
        <v>3341</v>
      </c>
      <c r="H1223" t="s">
        <v>6421</v>
      </c>
      <c r="I1223" t="s">
        <v>8238</v>
      </c>
      <c r="J1223" t="s">
        <v>9077</v>
      </c>
      <c r="K1223">
        <v>10542</v>
      </c>
      <c r="L1223" t="s">
        <v>9094</v>
      </c>
      <c r="M1223" t="s">
        <v>9095</v>
      </c>
      <c r="R1223" t="s">
        <v>11180</v>
      </c>
      <c r="S1223" t="s">
        <v>9094</v>
      </c>
      <c r="T1223" t="s">
        <v>11183</v>
      </c>
      <c r="W1223">
        <v>0</v>
      </c>
      <c r="X1223" t="s">
        <v>11333</v>
      </c>
      <c r="Y1223" t="s">
        <v>11346</v>
      </c>
      <c r="Z1223" t="s">
        <v>11611</v>
      </c>
      <c r="AB1223" t="s">
        <v>16094</v>
      </c>
      <c r="AC1223">
        <v>63</v>
      </c>
      <c r="AD1223" t="s">
        <v>15441</v>
      </c>
      <c r="AE1223" t="s">
        <v>19587</v>
      </c>
      <c r="AF1223">
        <v>43</v>
      </c>
      <c r="AG1223">
        <v>2</v>
      </c>
      <c r="AH1223">
        <v>0</v>
      </c>
      <c r="AI1223">
        <v>50.6</v>
      </c>
      <c r="AL1223" t="s">
        <v>19615</v>
      </c>
      <c r="AM1223">
        <v>8556</v>
      </c>
      <c r="AS1223">
        <v>0</v>
      </c>
      <c r="AU1223" t="s">
        <v>163</v>
      </c>
      <c r="AV1223" t="s">
        <v>20733</v>
      </c>
    </row>
    <row r="1224" spans="1:48">
      <c r="A1224" s="1">
        <f>HYPERLINK("https://lsnyc.legalserver.org/matter/dynamic-profile/view/1879487","18-1879487")</f>
        <v>0</v>
      </c>
      <c r="B1224" t="s">
        <v>49</v>
      </c>
      <c r="C1224" t="s">
        <v>256</v>
      </c>
      <c r="D1224" t="s">
        <v>452</v>
      </c>
      <c r="F1224" t="s">
        <v>1800</v>
      </c>
      <c r="G1224" t="s">
        <v>3972</v>
      </c>
      <c r="H1224" t="s">
        <v>6422</v>
      </c>
      <c r="I1224">
        <v>711</v>
      </c>
      <c r="J1224" t="s">
        <v>9037</v>
      </c>
      <c r="K1224">
        <v>11692</v>
      </c>
      <c r="L1224" t="s">
        <v>9094</v>
      </c>
      <c r="M1224" t="s">
        <v>9094</v>
      </c>
      <c r="N1224" t="s">
        <v>9655</v>
      </c>
      <c r="O1224" t="s">
        <v>11129</v>
      </c>
      <c r="P1224" t="s">
        <v>11165</v>
      </c>
      <c r="R1224" t="s">
        <v>11180</v>
      </c>
      <c r="S1224" t="s">
        <v>9096</v>
      </c>
      <c r="T1224" t="s">
        <v>11183</v>
      </c>
      <c r="U1224" t="s">
        <v>11201</v>
      </c>
      <c r="V1224" t="s">
        <v>452</v>
      </c>
      <c r="W1224">
        <v>1657</v>
      </c>
      <c r="X1224" t="s">
        <v>11331</v>
      </c>
      <c r="Y1224" t="s">
        <v>11336</v>
      </c>
      <c r="Z1224" t="s">
        <v>12233</v>
      </c>
      <c r="AA1224" t="s">
        <v>15518</v>
      </c>
      <c r="AB1224" t="s">
        <v>16658</v>
      </c>
      <c r="AC1224">
        <v>103</v>
      </c>
      <c r="AD1224" t="s">
        <v>19568</v>
      </c>
      <c r="AE1224" t="s">
        <v>19582</v>
      </c>
      <c r="AF1224">
        <v>5</v>
      </c>
      <c r="AG1224">
        <v>1</v>
      </c>
      <c r="AH1224">
        <v>4</v>
      </c>
      <c r="AI1224">
        <v>50.99</v>
      </c>
      <c r="AL1224" t="s">
        <v>19614</v>
      </c>
      <c r="AM1224">
        <v>15000</v>
      </c>
      <c r="AS1224">
        <v>83.55</v>
      </c>
      <c r="AT1224" t="s">
        <v>1130</v>
      </c>
      <c r="AU1224" t="s">
        <v>81</v>
      </c>
      <c r="AV1224" t="s">
        <v>20733</v>
      </c>
    </row>
    <row r="1225" spans="1:48">
      <c r="A1225" s="1">
        <f>HYPERLINK("https://lsnyc.legalserver.org/matter/dynamic-profile/view/1886032","18-1886032")</f>
        <v>0</v>
      </c>
      <c r="B1225" t="s">
        <v>73</v>
      </c>
      <c r="C1225" t="s">
        <v>256</v>
      </c>
      <c r="D1225" t="s">
        <v>746</v>
      </c>
      <c r="F1225" t="s">
        <v>1792</v>
      </c>
      <c r="G1225" t="s">
        <v>3962</v>
      </c>
      <c r="H1225" t="s">
        <v>6407</v>
      </c>
      <c r="J1225" t="s">
        <v>9059</v>
      </c>
      <c r="K1225">
        <v>11213</v>
      </c>
      <c r="L1225" t="s">
        <v>9094</v>
      </c>
      <c r="M1225" t="s">
        <v>9094</v>
      </c>
      <c r="O1225" t="s">
        <v>11130</v>
      </c>
      <c r="P1225" t="s">
        <v>11165</v>
      </c>
      <c r="R1225" t="s">
        <v>11180</v>
      </c>
      <c r="S1225" t="s">
        <v>9096</v>
      </c>
      <c r="T1225" t="s">
        <v>11183</v>
      </c>
      <c r="V1225" t="s">
        <v>784</v>
      </c>
      <c r="W1225">
        <v>551</v>
      </c>
      <c r="X1225" t="s">
        <v>11332</v>
      </c>
      <c r="Z1225" t="s">
        <v>12218</v>
      </c>
      <c r="AB1225" t="s">
        <v>16644</v>
      </c>
      <c r="AC1225">
        <v>6</v>
      </c>
      <c r="AD1225" t="s">
        <v>19566</v>
      </c>
      <c r="AE1225" t="s">
        <v>9144</v>
      </c>
      <c r="AF1225">
        <v>15</v>
      </c>
      <c r="AG1225">
        <v>2</v>
      </c>
      <c r="AH1225">
        <v>0</v>
      </c>
      <c r="AI1225">
        <v>51.03</v>
      </c>
      <c r="AL1225" t="s">
        <v>19614</v>
      </c>
      <c r="AM1225">
        <v>8400</v>
      </c>
      <c r="AS1225">
        <v>123.05</v>
      </c>
      <c r="AT1225" t="s">
        <v>1092</v>
      </c>
      <c r="AU1225" t="s">
        <v>79</v>
      </c>
    </row>
    <row r="1226" spans="1:48">
      <c r="A1226" s="1">
        <f>HYPERLINK("https://lsnyc.legalserver.org/matter/dynamic-profile/view/1890432","19-1890432")</f>
        <v>0</v>
      </c>
      <c r="B1226" t="s">
        <v>126</v>
      </c>
      <c r="C1226" t="s">
        <v>257</v>
      </c>
      <c r="D1226" t="s">
        <v>316</v>
      </c>
      <c r="E1226" t="s">
        <v>669</v>
      </c>
      <c r="F1226" t="s">
        <v>1358</v>
      </c>
      <c r="G1226" t="s">
        <v>3973</v>
      </c>
      <c r="H1226" t="s">
        <v>6423</v>
      </c>
      <c r="I1226" t="s">
        <v>8293</v>
      </c>
      <c r="J1226" t="s">
        <v>9066</v>
      </c>
      <c r="K1226">
        <v>10304</v>
      </c>
      <c r="L1226" t="s">
        <v>9094</v>
      </c>
      <c r="M1226" t="s">
        <v>9094</v>
      </c>
      <c r="N1226" t="s">
        <v>9656</v>
      </c>
      <c r="O1226" t="s">
        <v>11128</v>
      </c>
      <c r="P1226" t="s">
        <v>11165</v>
      </c>
      <c r="Q1226" t="s">
        <v>11174</v>
      </c>
      <c r="R1226" t="s">
        <v>11180</v>
      </c>
      <c r="S1226" t="s">
        <v>9096</v>
      </c>
      <c r="T1226" t="s">
        <v>11183</v>
      </c>
      <c r="U1226" t="s">
        <v>11201</v>
      </c>
      <c r="V1226" t="s">
        <v>316</v>
      </c>
      <c r="W1226">
        <v>2257</v>
      </c>
      <c r="X1226" t="s">
        <v>11334</v>
      </c>
      <c r="Y1226" t="s">
        <v>11340</v>
      </c>
      <c r="Z1226" t="s">
        <v>12234</v>
      </c>
      <c r="AB1226" t="s">
        <v>16659</v>
      </c>
      <c r="AC1226">
        <v>2</v>
      </c>
      <c r="AD1226" t="s">
        <v>19571</v>
      </c>
      <c r="AE1226" t="s">
        <v>19580</v>
      </c>
      <c r="AF1226">
        <v>1</v>
      </c>
      <c r="AG1226">
        <v>3</v>
      </c>
      <c r="AH1226">
        <v>2</v>
      </c>
      <c r="AI1226">
        <v>51.03</v>
      </c>
      <c r="AL1226" t="s">
        <v>19615</v>
      </c>
      <c r="AM1226">
        <v>15396</v>
      </c>
      <c r="AS1226">
        <v>23.3</v>
      </c>
      <c r="AT1226" t="s">
        <v>574</v>
      </c>
      <c r="AU1226" t="s">
        <v>20652</v>
      </c>
      <c r="AV1226" t="s">
        <v>20733</v>
      </c>
    </row>
    <row r="1227" spans="1:48">
      <c r="A1227" s="1">
        <f>HYPERLINK("https://lsnyc.legalserver.org/matter/dynamic-profile/view/1893630","19-1893630")</f>
        <v>0</v>
      </c>
      <c r="B1227" t="s">
        <v>114</v>
      </c>
      <c r="C1227" t="s">
        <v>256</v>
      </c>
      <c r="D1227" t="s">
        <v>739</v>
      </c>
      <c r="F1227" t="s">
        <v>1801</v>
      </c>
      <c r="G1227" t="s">
        <v>3677</v>
      </c>
      <c r="H1227" t="s">
        <v>5864</v>
      </c>
      <c r="I1227" t="s">
        <v>8264</v>
      </c>
      <c r="J1227" t="s">
        <v>9065</v>
      </c>
      <c r="K1227">
        <v>10460</v>
      </c>
      <c r="L1227" t="s">
        <v>9094</v>
      </c>
      <c r="M1227" t="s">
        <v>9094</v>
      </c>
      <c r="N1227" t="s">
        <v>9657</v>
      </c>
      <c r="O1227" t="s">
        <v>11129</v>
      </c>
      <c r="P1227" t="s">
        <v>11165</v>
      </c>
      <c r="R1227" t="s">
        <v>11180</v>
      </c>
      <c r="S1227" t="s">
        <v>9096</v>
      </c>
      <c r="T1227" t="s">
        <v>11183</v>
      </c>
      <c r="V1227" t="s">
        <v>11218</v>
      </c>
      <c r="W1227">
        <v>1621</v>
      </c>
      <c r="X1227" t="s">
        <v>11333</v>
      </c>
      <c r="Y1227" t="s">
        <v>11346</v>
      </c>
      <c r="Z1227" t="s">
        <v>12235</v>
      </c>
      <c r="AC1227">
        <v>168</v>
      </c>
      <c r="AD1227" t="s">
        <v>15441</v>
      </c>
      <c r="AE1227" t="s">
        <v>19580</v>
      </c>
      <c r="AF1227">
        <v>2</v>
      </c>
      <c r="AG1227">
        <v>2</v>
      </c>
      <c r="AH1227">
        <v>0</v>
      </c>
      <c r="AI1227">
        <v>51.09</v>
      </c>
      <c r="AL1227" t="s">
        <v>19614</v>
      </c>
      <c r="AM1227">
        <v>8640</v>
      </c>
      <c r="AN1227" t="s">
        <v>19774</v>
      </c>
      <c r="AS1227">
        <v>16.8</v>
      </c>
      <c r="AT1227" t="s">
        <v>362</v>
      </c>
      <c r="AU1227" t="s">
        <v>163</v>
      </c>
      <c r="AV1227" t="s">
        <v>20733</v>
      </c>
    </row>
    <row r="1228" spans="1:48">
      <c r="A1228" s="1">
        <f>HYPERLINK("https://lsnyc.legalserver.org/matter/dynamic-profile/view/1913939","19-1913939")</f>
        <v>0</v>
      </c>
      <c r="B1228" t="s">
        <v>90</v>
      </c>
      <c r="C1228" t="s">
        <v>256</v>
      </c>
      <c r="D1228" t="s">
        <v>556</v>
      </c>
      <c r="F1228" t="s">
        <v>1802</v>
      </c>
      <c r="G1228" t="s">
        <v>3974</v>
      </c>
      <c r="H1228" t="s">
        <v>6424</v>
      </c>
      <c r="J1228" t="s">
        <v>9059</v>
      </c>
      <c r="K1228">
        <v>11233</v>
      </c>
      <c r="L1228" t="s">
        <v>9095</v>
      </c>
      <c r="M1228" t="s">
        <v>9095</v>
      </c>
      <c r="N1228" t="s">
        <v>9658</v>
      </c>
      <c r="O1228" t="s">
        <v>11128</v>
      </c>
      <c r="P1228" t="s">
        <v>11169</v>
      </c>
      <c r="R1228" t="s">
        <v>11180</v>
      </c>
      <c r="S1228" t="s">
        <v>9096</v>
      </c>
      <c r="T1228" t="s">
        <v>11183</v>
      </c>
      <c r="W1228">
        <v>0</v>
      </c>
      <c r="X1228" t="s">
        <v>11332</v>
      </c>
      <c r="Y1228" t="s">
        <v>11345</v>
      </c>
      <c r="Z1228" t="s">
        <v>12236</v>
      </c>
      <c r="AA1228" t="s">
        <v>9144</v>
      </c>
      <c r="AB1228" t="s">
        <v>16660</v>
      </c>
      <c r="AC1228">
        <v>2</v>
      </c>
      <c r="AD1228" t="s">
        <v>19565</v>
      </c>
      <c r="AE1228" t="s">
        <v>9144</v>
      </c>
      <c r="AF1228">
        <v>4</v>
      </c>
      <c r="AG1228">
        <v>1</v>
      </c>
      <c r="AH1228">
        <v>0</v>
      </c>
      <c r="AI1228">
        <v>51.21</v>
      </c>
      <c r="AL1228" t="s">
        <v>19614</v>
      </c>
      <c r="AM1228">
        <v>6396</v>
      </c>
      <c r="AS1228">
        <v>4.5</v>
      </c>
      <c r="AT1228" t="s">
        <v>377</v>
      </c>
      <c r="AU1228" t="s">
        <v>20639</v>
      </c>
    </row>
    <row r="1229" spans="1:48">
      <c r="A1229" s="1">
        <f>HYPERLINK("https://lsnyc.legalserver.org/matter/dynamic-profile/view/0828029","17-0828029")</f>
        <v>0</v>
      </c>
      <c r="B1229" t="s">
        <v>139</v>
      </c>
      <c r="C1229" t="s">
        <v>256</v>
      </c>
      <c r="D1229" t="s">
        <v>747</v>
      </c>
      <c r="F1229" t="s">
        <v>1358</v>
      </c>
      <c r="G1229" t="s">
        <v>3762</v>
      </c>
      <c r="H1229" t="s">
        <v>6425</v>
      </c>
      <c r="I1229">
        <v>53</v>
      </c>
      <c r="J1229" t="s">
        <v>9067</v>
      </c>
      <c r="K1229">
        <v>10034</v>
      </c>
      <c r="L1229" t="s">
        <v>9096</v>
      </c>
      <c r="M1229" t="s">
        <v>9095</v>
      </c>
      <c r="O1229" t="s">
        <v>9121</v>
      </c>
      <c r="P1229" t="s">
        <v>11165</v>
      </c>
      <c r="R1229" t="s">
        <v>11180</v>
      </c>
      <c r="S1229" t="s">
        <v>9094</v>
      </c>
      <c r="T1229" t="s">
        <v>11183</v>
      </c>
      <c r="V1229" t="s">
        <v>927</v>
      </c>
      <c r="W1229">
        <v>816.66</v>
      </c>
      <c r="X1229" t="s">
        <v>11335</v>
      </c>
      <c r="Y1229" t="s">
        <v>11339</v>
      </c>
      <c r="Z1229" t="s">
        <v>12237</v>
      </c>
      <c r="AB1229" t="s">
        <v>16661</v>
      </c>
      <c r="AC1229">
        <v>25</v>
      </c>
      <c r="AD1229" t="s">
        <v>19566</v>
      </c>
      <c r="AE1229" t="s">
        <v>9144</v>
      </c>
      <c r="AF1229">
        <v>34</v>
      </c>
      <c r="AG1229">
        <v>1</v>
      </c>
      <c r="AH1229">
        <v>0</v>
      </c>
      <c r="AI1229">
        <v>51.24</v>
      </c>
      <c r="AL1229" t="s">
        <v>19615</v>
      </c>
      <c r="AM1229">
        <v>6180</v>
      </c>
      <c r="AS1229">
        <v>0.7</v>
      </c>
      <c r="AT1229" t="s">
        <v>853</v>
      </c>
      <c r="AU1229" t="s">
        <v>20657</v>
      </c>
    </row>
    <row r="1230" spans="1:48">
      <c r="A1230" s="1">
        <f>HYPERLINK("https://lsnyc.legalserver.org/matter/dynamic-profile/view/1904906","19-1904906")</f>
        <v>0</v>
      </c>
      <c r="B1230" t="s">
        <v>103</v>
      </c>
      <c r="C1230" t="s">
        <v>256</v>
      </c>
      <c r="D1230" t="s">
        <v>660</v>
      </c>
      <c r="F1230" t="s">
        <v>1803</v>
      </c>
      <c r="G1230" t="s">
        <v>3975</v>
      </c>
      <c r="H1230" t="s">
        <v>5887</v>
      </c>
      <c r="I1230" t="s">
        <v>8337</v>
      </c>
      <c r="J1230" t="s">
        <v>9065</v>
      </c>
      <c r="K1230">
        <v>10453</v>
      </c>
      <c r="L1230" t="s">
        <v>9094</v>
      </c>
      <c r="M1230" t="s">
        <v>9095</v>
      </c>
      <c r="N1230" t="s">
        <v>9239</v>
      </c>
      <c r="O1230" t="s">
        <v>11134</v>
      </c>
      <c r="P1230" t="s">
        <v>11168</v>
      </c>
      <c r="R1230" t="s">
        <v>11180</v>
      </c>
      <c r="S1230" t="s">
        <v>9094</v>
      </c>
      <c r="T1230" t="s">
        <v>11183</v>
      </c>
      <c r="V1230" t="s">
        <v>11244</v>
      </c>
      <c r="W1230">
        <v>1172</v>
      </c>
      <c r="X1230" t="s">
        <v>11333</v>
      </c>
      <c r="Y1230" t="s">
        <v>11346</v>
      </c>
      <c r="Z1230" t="s">
        <v>12238</v>
      </c>
      <c r="AB1230" t="s">
        <v>16662</v>
      </c>
      <c r="AC1230">
        <v>170</v>
      </c>
      <c r="AD1230" t="s">
        <v>19566</v>
      </c>
      <c r="AE1230" t="s">
        <v>19582</v>
      </c>
      <c r="AF1230">
        <v>16</v>
      </c>
      <c r="AG1230">
        <v>2</v>
      </c>
      <c r="AH1230">
        <v>3</v>
      </c>
      <c r="AI1230">
        <v>51.26</v>
      </c>
      <c r="AL1230" t="s">
        <v>19615</v>
      </c>
      <c r="AM1230">
        <v>15080</v>
      </c>
      <c r="AS1230">
        <v>0</v>
      </c>
      <c r="AU1230" t="s">
        <v>220</v>
      </c>
      <c r="AV1230" t="s">
        <v>20733</v>
      </c>
    </row>
    <row r="1231" spans="1:48">
      <c r="A1231" s="1">
        <f>HYPERLINK("https://lsnyc.legalserver.org/matter/dynamic-profile/view/1904910","19-1904910")</f>
        <v>0</v>
      </c>
      <c r="B1231" t="s">
        <v>103</v>
      </c>
      <c r="C1231" t="s">
        <v>256</v>
      </c>
      <c r="D1231" t="s">
        <v>660</v>
      </c>
      <c r="F1231" t="s">
        <v>1803</v>
      </c>
      <c r="G1231" t="s">
        <v>3975</v>
      </c>
      <c r="H1231" t="s">
        <v>5887</v>
      </c>
      <c r="I1231" t="s">
        <v>8337</v>
      </c>
      <c r="J1231" t="s">
        <v>9065</v>
      </c>
      <c r="K1231">
        <v>10453</v>
      </c>
      <c r="L1231" t="s">
        <v>9094</v>
      </c>
      <c r="M1231" t="s">
        <v>9095</v>
      </c>
      <c r="N1231" t="s">
        <v>9240</v>
      </c>
      <c r="O1231" t="s">
        <v>11134</v>
      </c>
      <c r="P1231" t="s">
        <v>11168</v>
      </c>
      <c r="R1231" t="s">
        <v>11180</v>
      </c>
      <c r="S1231" t="s">
        <v>9094</v>
      </c>
      <c r="T1231" t="s">
        <v>11183</v>
      </c>
      <c r="V1231" t="s">
        <v>422</v>
      </c>
      <c r="W1231">
        <v>1172</v>
      </c>
      <c r="X1231" t="s">
        <v>11333</v>
      </c>
      <c r="Y1231" t="s">
        <v>11346</v>
      </c>
      <c r="Z1231" t="s">
        <v>12238</v>
      </c>
      <c r="AB1231" t="s">
        <v>16662</v>
      </c>
      <c r="AC1231">
        <v>167</v>
      </c>
      <c r="AD1231" t="s">
        <v>19566</v>
      </c>
      <c r="AE1231" t="s">
        <v>19582</v>
      </c>
      <c r="AF1231">
        <v>16</v>
      </c>
      <c r="AG1231">
        <v>2</v>
      </c>
      <c r="AH1231">
        <v>3</v>
      </c>
      <c r="AI1231">
        <v>51.26</v>
      </c>
      <c r="AL1231" t="s">
        <v>19615</v>
      </c>
      <c r="AM1231">
        <v>15080</v>
      </c>
      <c r="AS1231">
        <v>0</v>
      </c>
      <c r="AU1231" t="s">
        <v>220</v>
      </c>
      <c r="AV1231" t="s">
        <v>20733</v>
      </c>
    </row>
    <row r="1232" spans="1:48">
      <c r="A1232" s="1">
        <f>HYPERLINK("https://lsnyc.legalserver.org/matter/dynamic-profile/view/1903412","19-1903412")</f>
        <v>0</v>
      </c>
      <c r="B1232" t="s">
        <v>55</v>
      </c>
      <c r="C1232" t="s">
        <v>256</v>
      </c>
      <c r="D1232" t="s">
        <v>302</v>
      </c>
      <c r="F1232" t="s">
        <v>1158</v>
      </c>
      <c r="G1232" t="s">
        <v>3630</v>
      </c>
      <c r="H1232" t="s">
        <v>6426</v>
      </c>
      <c r="I1232" t="s">
        <v>8266</v>
      </c>
      <c r="J1232" t="s">
        <v>9051</v>
      </c>
      <c r="K1232">
        <v>11374</v>
      </c>
      <c r="L1232" t="s">
        <v>9094</v>
      </c>
      <c r="M1232" t="s">
        <v>9095</v>
      </c>
      <c r="N1232" t="s">
        <v>9659</v>
      </c>
      <c r="O1232" t="s">
        <v>11128</v>
      </c>
      <c r="P1232" t="s">
        <v>11165</v>
      </c>
      <c r="R1232" t="s">
        <v>11180</v>
      </c>
      <c r="S1232" t="s">
        <v>9096</v>
      </c>
      <c r="T1232" t="s">
        <v>11183</v>
      </c>
      <c r="U1232" t="s">
        <v>11201</v>
      </c>
      <c r="V1232" t="s">
        <v>302</v>
      </c>
      <c r="W1232">
        <v>1900</v>
      </c>
      <c r="X1232" t="s">
        <v>11331</v>
      </c>
      <c r="Y1232" t="s">
        <v>11336</v>
      </c>
      <c r="Z1232" t="s">
        <v>12239</v>
      </c>
      <c r="AB1232" t="s">
        <v>16663</v>
      </c>
      <c r="AC1232">
        <v>54</v>
      </c>
      <c r="AD1232" t="s">
        <v>19566</v>
      </c>
      <c r="AE1232" t="s">
        <v>9144</v>
      </c>
      <c r="AF1232">
        <v>4</v>
      </c>
      <c r="AG1232">
        <v>2</v>
      </c>
      <c r="AH1232">
        <v>1</v>
      </c>
      <c r="AI1232">
        <v>51.57</v>
      </c>
      <c r="AL1232" t="s">
        <v>19614</v>
      </c>
      <c r="AM1232">
        <v>11000</v>
      </c>
      <c r="AS1232">
        <v>9.609999999999999</v>
      </c>
      <c r="AT1232" t="s">
        <v>612</v>
      </c>
      <c r="AU1232" t="s">
        <v>20620</v>
      </c>
      <c r="AV1232" t="s">
        <v>20733</v>
      </c>
    </row>
    <row r="1233" spans="1:48">
      <c r="A1233" s="1">
        <f>HYPERLINK("https://lsnyc.legalserver.org/matter/dynamic-profile/view/1895483","19-1895483")</f>
        <v>0</v>
      </c>
      <c r="B1233" t="s">
        <v>55</v>
      </c>
      <c r="C1233" t="s">
        <v>256</v>
      </c>
      <c r="D1233" t="s">
        <v>512</v>
      </c>
      <c r="F1233" t="s">
        <v>1804</v>
      </c>
      <c r="G1233" t="s">
        <v>3976</v>
      </c>
      <c r="H1233" t="s">
        <v>6427</v>
      </c>
      <c r="I1233" t="s">
        <v>8133</v>
      </c>
      <c r="J1233" t="s">
        <v>9055</v>
      </c>
      <c r="K1233">
        <v>11354</v>
      </c>
      <c r="L1233" t="s">
        <v>9094</v>
      </c>
      <c r="M1233" t="s">
        <v>9095</v>
      </c>
      <c r="N1233" t="s">
        <v>9660</v>
      </c>
      <c r="O1233" t="s">
        <v>11129</v>
      </c>
      <c r="P1233" t="s">
        <v>11165</v>
      </c>
      <c r="R1233" t="s">
        <v>11180</v>
      </c>
      <c r="S1233" t="s">
        <v>9096</v>
      </c>
      <c r="T1233" t="s">
        <v>11183</v>
      </c>
      <c r="U1233" t="s">
        <v>11201</v>
      </c>
      <c r="V1233" t="s">
        <v>598</v>
      </c>
      <c r="W1233">
        <v>1439</v>
      </c>
      <c r="X1233" t="s">
        <v>11331</v>
      </c>
      <c r="Y1233" t="s">
        <v>11157</v>
      </c>
      <c r="Z1233" t="s">
        <v>12240</v>
      </c>
      <c r="AA1233" t="s">
        <v>15274</v>
      </c>
      <c r="AB1233" t="s">
        <v>16664</v>
      </c>
      <c r="AC1233">
        <v>61</v>
      </c>
      <c r="AD1233" t="s">
        <v>19566</v>
      </c>
      <c r="AE1233" t="s">
        <v>9144</v>
      </c>
      <c r="AF1233">
        <v>25</v>
      </c>
      <c r="AG1233">
        <v>2</v>
      </c>
      <c r="AH1233">
        <v>1</v>
      </c>
      <c r="AI1233">
        <v>51.57</v>
      </c>
      <c r="AL1233" t="s">
        <v>19614</v>
      </c>
      <c r="AM1233">
        <v>11000</v>
      </c>
      <c r="AS1233">
        <v>13.21</v>
      </c>
      <c r="AT1233" t="s">
        <v>282</v>
      </c>
      <c r="AU1233" t="s">
        <v>20672</v>
      </c>
      <c r="AV1233" t="s">
        <v>20733</v>
      </c>
    </row>
    <row r="1234" spans="1:48">
      <c r="A1234" s="1">
        <f>HYPERLINK("https://lsnyc.legalserver.org/matter/dynamic-profile/view/1869788","18-1869788")</f>
        <v>0</v>
      </c>
      <c r="B1234" t="s">
        <v>63</v>
      </c>
      <c r="C1234" t="s">
        <v>256</v>
      </c>
      <c r="D1234" t="s">
        <v>588</v>
      </c>
      <c r="F1234" t="s">
        <v>1146</v>
      </c>
      <c r="G1234" t="s">
        <v>3977</v>
      </c>
      <c r="H1234" t="s">
        <v>6428</v>
      </c>
      <c r="I1234" t="s">
        <v>8170</v>
      </c>
      <c r="J1234" t="s">
        <v>9058</v>
      </c>
      <c r="K1234">
        <v>11356</v>
      </c>
      <c r="L1234" t="s">
        <v>9094</v>
      </c>
      <c r="M1234" t="s">
        <v>9095</v>
      </c>
      <c r="N1234" t="s">
        <v>9171</v>
      </c>
      <c r="O1234" t="s">
        <v>11133</v>
      </c>
      <c r="P1234" t="s">
        <v>11164</v>
      </c>
      <c r="R1234" t="s">
        <v>11180</v>
      </c>
      <c r="S1234" t="s">
        <v>9096</v>
      </c>
      <c r="T1234" t="s">
        <v>11189</v>
      </c>
      <c r="V1234" t="s">
        <v>588</v>
      </c>
      <c r="W1234">
        <v>1232.12</v>
      </c>
      <c r="X1234" t="s">
        <v>11331</v>
      </c>
      <c r="Y1234" t="s">
        <v>11344</v>
      </c>
      <c r="Z1234" t="s">
        <v>12241</v>
      </c>
      <c r="AA1234" t="s">
        <v>15519</v>
      </c>
      <c r="AB1234" t="s">
        <v>16665</v>
      </c>
      <c r="AC1234">
        <v>0</v>
      </c>
      <c r="AD1234" t="s">
        <v>19566</v>
      </c>
      <c r="AE1234" t="s">
        <v>19589</v>
      </c>
      <c r="AF1234">
        <v>8</v>
      </c>
      <c r="AG1234">
        <v>1</v>
      </c>
      <c r="AH1234">
        <v>0</v>
      </c>
      <c r="AI1234">
        <v>51.7</v>
      </c>
      <c r="AL1234" t="s">
        <v>19615</v>
      </c>
      <c r="AM1234">
        <v>6276</v>
      </c>
      <c r="AS1234">
        <v>2.95</v>
      </c>
      <c r="AT1234" t="s">
        <v>278</v>
      </c>
      <c r="AU1234" t="s">
        <v>20620</v>
      </c>
    </row>
    <row r="1235" spans="1:48">
      <c r="A1235" s="1">
        <f>HYPERLINK("https://lsnyc.legalserver.org/matter/dynamic-profile/view/1912639","19-1912639")</f>
        <v>0</v>
      </c>
      <c r="B1235" t="s">
        <v>52</v>
      </c>
      <c r="C1235" t="s">
        <v>256</v>
      </c>
      <c r="D1235" t="s">
        <v>263</v>
      </c>
      <c r="F1235" t="s">
        <v>1805</v>
      </c>
      <c r="G1235" t="s">
        <v>3978</v>
      </c>
      <c r="H1235" t="s">
        <v>5692</v>
      </c>
      <c r="I1235" t="s">
        <v>8302</v>
      </c>
      <c r="J1235" t="s">
        <v>9038</v>
      </c>
      <c r="K1235">
        <v>11691</v>
      </c>
      <c r="L1235" t="s">
        <v>9094</v>
      </c>
      <c r="M1235" t="s">
        <v>9095</v>
      </c>
      <c r="O1235" t="s">
        <v>11130</v>
      </c>
      <c r="P1235" t="s">
        <v>11166</v>
      </c>
      <c r="R1235" t="s">
        <v>11180</v>
      </c>
      <c r="S1235" t="s">
        <v>9096</v>
      </c>
      <c r="T1235" t="s">
        <v>11183</v>
      </c>
      <c r="V1235" t="s">
        <v>263</v>
      </c>
      <c r="W1235">
        <v>819</v>
      </c>
      <c r="X1235" t="s">
        <v>11331</v>
      </c>
      <c r="Y1235" t="s">
        <v>11339</v>
      </c>
      <c r="Z1235" t="s">
        <v>12242</v>
      </c>
      <c r="AB1235" t="s">
        <v>16666</v>
      </c>
      <c r="AC1235">
        <v>43</v>
      </c>
      <c r="AD1235" t="s">
        <v>19566</v>
      </c>
      <c r="AE1235" t="s">
        <v>9144</v>
      </c>
      <c r="AF1235">
        <v>15</v>
      </c>
      <c r="AG1235">
        <v>2</v>
      </c>
      <c r="AH1235">
        <v>3</v>
      </c>
      <c r="AI1235">
        <v>51.71</v>
      </c>
      <c r="AL1235" t="s">
        <v>19615</v>
      </c>
      <c r="AM1235">
        <v>15600</v>
      </c>
      <c r="AS1235">
        <v>0.3</v>
      </c>
      <c r="AT1235" t="s">
        <v>263</v>
      </c>
      <c r="AU1235" t="s">
        <v>20620</v>
      </c>
      <c r="AV1235" t="s">
        <v>20733</v>
      </c>
    </row>
    <row r="1236" spans="1:48">
      <c r="A1236" s="1">
        <f>HYPERLINK("https://lsnyc.legalserver.org/matter/dynamic-profile/view/1857039","18-1857039")</f>
        <v>0</v>
      </c>
      <c r="B1236" t="s">
        <v>108</v>
      </c>
      <c r="C1236" t="s">
        <v>256</v>
      </c>
      <c r="D1236" t="s">
        <v>465</v>
      </c>
      <c r="F1236" t="s">
        <v>1806</v>
      </c>
      <c r="G1236" t="s">
        <v>3366</v>
      </c>
      <c r="H1236" t="s">
        <v>5897</v>
      </c>
      <c r="I1236" t="s">
        <v>8408</v>
      </c>
      <c r="J1236" t="s">
        <v>9065</v>
      </c>
      <c r="K1236">
        <v>10452</v>
      </c>
      <c r="L1236" t="s">
        <v>9094</v>
      </c>
      <c r="M1236" t="s">
        <v>9095</v>
      </c>
      <c r="N1236" t="s">
        <v>9252</v>
      </c>
      <c r="O1236" t="s">
        <v>11135</v>
      </c>
      <c r="P1236" t="s">
        <v>11168</v>
      </c>
      <c r="R1236" t="s">
        <v>11180</v>
      </c>
      <c r="S1236" t="s">
        <v>9094</v>
      </c>
      <c r="T1236" t="s">
        <v>11183</v>
      </c>
      <c r="V1236" t="s">
        <v>945</v>
      </c>
      <c r="W1236">
        <v>993</v>
      </c>
      <c r="X1236" t="s">
        <v>11333</v>
      </c>
      <c r="Y1236" t="s">
        <v>11346</v>
      </c>
      <c r="Z1236" t="s">
        <v>12243</v>
      </c>
      <c r="AA1236" t="s">
        <v>15520</v>
      </c>
      <c r="AB1236" t="s">
        <v>16667</v>
      </c>
      <c r="AC1236">
        <v>122</v>
      </c>
      <c r="AD1236" t="s">
        <v>19566</v>
      </c>
      <c r="AE1236" t="s">
        <v>19587</v>
      </c>
      <c r="AF1236">
        <v>25</v>
      </c>
      <c r="AG1236">
        <v>2</v>
      </c>
      <c r="AH1236">
        <v>0</v>
      </c>
      <c r="AI1236">
        <v>51.72</v>
      </c>
      <c r="AL1236" t="s">
        <v>19615</v>
      </c>
      <c r="AM1236">
        <v>16800</v>
      </c>
      <c r="AS1236">
        <v>0</v>
      </c>
      <c r="AU1236" t="s">
        <v>20647</v>
      </c>
    </row>
    <row r="1237" spans="1:48">
      <c r="A1237" s="1">
        <f>HYPERLINK("https://lsnyc.legalserver.org/matter/dynamic-profile/view/1872098","18-1872098")</f>
        <v>0</v>
      </c>
      <c r="B1237" t="s">
        <v>56</v>
      </c>
      <c r="C1237" t="s">
        <v>256</v>
      </c>
      <c r="D1237" t="s">
        <v>352</v>
      </c>
      <c r="F1237" t="s">
        <v>1512</v>
      </c>
      <c r="G1237" t="s">
        <v>3681</v>
      </c>
      <c r="H1237" t="s">
        <v>6057</v>
      </c>
      <c r="I1237" t="s">
        <v>8270</v>
      </c>
      <c r="J1237" t="s">
        <v>9061</v>
      </c>
      <c r="K1237">
        <v>11106</v>
      </c>
      <c r="L1237" t="s">
        <v>9094</v>
      </c>
      <c r="M1237" t="s">
        <v>9094</v>
      </c>
      <c r="N1237" t="s">
        <v>9372</v>
      </c>
      <c r="O1237" t="s">
        <v>11129</v>
      </c>
      <c r="P1237" t="s">
        <v>11165</v>
      </c>
      <c r="R1237" t="s">
        <v>11181</v>
      </c>
      <c r="S1237" t="s">
        <v>9096</v>
      </c>
      <c r="T1237" t="s">
        <v>11183</v>
      </c>
      <c r="U1237" t="s">
        <v>11200</v>
      </c>
      <c r="V1237" t="s">
        <v>11246</v>
      </c>
      <c r="W1237">
        <v>1100</v>
      </c>
      <c r="X1237" t="s">
        <v>11331</v>
      </c>
      <c r="Y1237" t="s">
        <v>11337</v>
      </c>
      <c r="Z1237" t="s">
        <v>11789</v>
      </c>
      <c r="AB1237" t="s">
        <v>16253</v>
      </c>
      <c r="AC1237">
        <v>40</v>
      </c>
      <c r="AD1237" t="s">
        <v>19566</v>
      </c>
      <c r="AE1237" t="s">
        <v>9144</v>
      </c>
      <c r="AF1237">
        <v>25</v>
      </c>
      <c r="AG1237">
        <v>6</v>
      </c>
      <c r="AH1237">
        <v>4</v>
      </c>
      <c r="AI1237">
        <v>51.78</v>
      </c>
      <c r="AJ1237" t="s">
        <v>19591</v>
      </c>
      <c r="AK1237" t="s">
        <v>19608</v>
      </c>
      <c r="AL1237" t="s">
        <v>19618</v>
      </c>
      <c r="AM1237">
        <v>26420</v>
      </c>
      <c r="AO1237" t="s">
        <v>20294</v>
      </c>
      <c r="AP1237" t="s">
        <v>11157</v>
      </c>
      <c r="AQ1237" t="s">
        <v>20369</v>
      </c>
      <c r="AR1237" t="s">
        <v>20444</v>
      </c>
      <c r="AS1237">
        <v>9.25</v>
      </c>
      <c r="AT1237" t="s">
        <v>701</v>
      </c>
      <c r="AU1237" t="s">
        <v>81</v>
      </c>
    </row>
    <row r="1238" spans="1:48">
      <c r="A1238" s="1">
        <f>HYPERLINK("https://lsnyc.legalserver.org/matter/dynamic-profile/view/1912797","19-1912797")</f>
        <v>0</v>
      </c>
      <c r="B1238" t="s">
        <v>190</v>
      </c>
      <c r="C1238" t="s">
        <v>256</v>
      </c>
      <c r="D1238" t="s">
        <v>563</v>
      </c>
      <c r="F1238" t="s">
        <v>1181</v>
      </c>
      <c r="G1238" t="s">
        <v>3979</v>
      </c>
      <c r="H1238" t="s">
        <v>6429</v>
      </c>
      <c r="I1238" t="s">
        <v>8409</v>
      </c>
      <c r="J1238" t="s">
        <v>9059</v>
      </c>
      <c r="K1238">
        <v>11217</v>
      </c>
      <c r="L1238" t="s">
        <v>9094</v>
      </c>
      <c r="M1238" t="s">
        <v>9095</v>
      </c>
      <c r="N1238" t="s">
        <v>9661</v>
      </c>
      <c r="O1238" t="s">
        <v>11129</v>
      </c>
      <c r="P1238" t="s">
        <v>11169</v>
      </c>
      <c r="R1238" t="s">
        <v>11180</v>
      </c>
      <c r="S1238" t="s">
        <v>9096</v>
      </c>
      <c r="T1238" t="s">
        <v>11183</v>
      </c>
      <c r="V1238" t="s">
        <v>570</v>
      </c>
      <c r="W1238">
        <v>580</v>
      </c>
      <c r="X1238" t="s">
        <v>11332</v>
      </c>
      <c r="Y1238" t="s">
        <v>11345</v>
      </c>
      <c r="Z1238" t="s">
        <v>12244</v>
      </c>
      <c r="AB1238" t="s">
        <v>16668</v>
      </c>
      <c r="AC1238">
        <v>9</v>
      </c>
      <c r="AD1238" t="s">
        <v>19574</v>
      </c>
      <c r="AF1238">
        <v>15</v>
      </c>
      <c r="AG1238">
        <v>2</v>
      </c>
      <c r="AH1238">
        <v>0</v>
      </c>
      <c r="AI1238">
        <v>51.8</v>
      </c>
      <c r="AL1238" t="s">
        <v>19614</v>
      </c>
      <c r="AM1238">
        <v>8760</v>
      </c>
      <c r="AS1238">
        <v>3.5</v>
      </c>
      <c r="AT1238" t="s">
        <v>321</v>
      </c>
      <c r="AU1238" t="s">
        <v>79</v>
      </c>
      <c r="AV1238" t="s">
        <v>20733</v>
      </c>
    </row>
    <row r="1239" spans="1:48">
      <c r="A1239" s="1">
        <f>HYPERLINK("https://lsnyc.legalserver.org/matter/dynamic-profile/view/1904815","19-1904815")</f>
        <v>0</v>
      </c>
      <c r="B1239" t="s">
        <v>110</v>
      </c>
      <c r="C1239" t="s">
        <v>257</v>
      </c>
      <c r="D1239" t="s">
        <v>748</v>
      </c>
      <c r="E1239" t="s">
        <v>410</v>
      </c>
      <c r="F1239" t="s">
        <v>1807</v>
      </c>
      <c r="G1239" t="s">
        <v>3498</v>
      </c>
      <c r="H1239" t="s">
        <v>6430</v>
      </c>
      <c r="I1239">
        <v>225</v>
      </c>
      <c r="J1239" t="s">
        <v>9065</v>
      </c>
      <c r="K1239">
        <v>10457</v>
      </c>
      <c r="L1239" t="s">
        <v>9094</v>
      </c>
      <c r="M1239" t="s">
        <v>9095</v>
      </c>
      <c r="N1239" t="s">
        <v>9171</v>
      </c>
      <c r="O1239" t="s">
        <v>9121</v>
      </c>
      <c r="P1239" t="s">
        <v>11167</v>
      </c>
      <c r="Q1239" t="s">
        <v>11172</v>
      </c>
      <c r="R1239" t="s">
        <v>11180</v>
      </c>
      <c r="S1239" t="s">
        <v>9096</v>
      </c>
      <c r="T1239" t="s">
        <v>11183</v>
      </c>
      <c r="V1239" t="s">
        <v>11247</v>
      </c>
      <c r="W1239">
        <v>222</v>
      </c>
      <c r="X1239" t="s">
        <v>11333</v>
      </c>
      <c r="Z1239" t="s">
        <v>12245</v>
      </c>
      <c r="AB1239" t="s">
        <v>16669</v>
      </c>
      <c r="AC1239">
        <v>75</v>
      </c>
      <c r="AD1239" t="s">
        <v>19567</v>
      </c>
      <c r="AE1239" t="s">
        <v>19580</v>
      </c>
      <c r="AF1239">
        <v>40</v>
      </c>
      <c r="AG1239">
        <v>2</v>
      </c>
      <c r="AH1239">
        <v>0</v>
      </c>
      <c r="AI1239">
        <v>51.8</v>
      </c>
      <c r="AL1239" t="s">
        <v>19615</v>
      </c>
      <c r="AM1239">
        <v>8760</v>
      </c>
      <c r="AS1239">
        <v>1.75</v>
      </c>
      <c r="AT1239" t="s">
        <v>426</v>
      </c>
      <c r="AU1239" t="s">
        <v>20635</v>
      </c>
      <c r="AV1239" t="s">
        <v>20733</v>
      </c>
    </row>
    <row r="1240" spans="1:48">
      <c r="A1240" s="1">
        <f>HYPERLINK("https://lsnyc.legalserver.org/matter/dynamic-profile/view/1891396","19-1891396")</f>
        <v>0</v>
      </c>
      <c r="B1240" t="s">
        <v>86</v>
      </c>
      <c r="C1240" t="s">
        <v>256</v>
      </c>
      <c r="D1240" t="s">
        <v>749</v>
      </c>
      <c r="F1240" t="s">
        <v>1808</v>
      </c>
      <c r="G1240" t="s">
        <v>1665</v>
      </c>
      <c r="H1240" t="s">
        <v>5778</v>
      </c>
      <c r="I1240" t="s">
        <v>8410</v>
      </c>
      <c r="J1240" t="s">
        <v>9059</v>
      </c>
      <c r="K1240">
        <v>11226</v>
      </c>
      <c r="L1240" t="s">
        <v>9094</v>
      </c>
      <c r="M1240" t="s">
        <v>9094</v>
      </c>
      <c r="P1240" t="s">
        <v>11166</v>
      </c>
      <c r="R1240" t="s">
        <v>11180</v>
      </c>
      <c r="T1240" t="s">
        <v>11183</v>
      </c>
      <c r="V1240" t="s">
        <v>784</v>
      </c>
      <c r="W1240">
        <v>0</v>
      </c>
      <c r="X1240" t="s">
        <v>11332</v>
      </c>
      <c r="Z1240" t="s">
        <v>12246</v>
      </c>
      <c r="AB1240" t="s">
        <v>16670</v>
      </c>
      <c r="AC1240">
        <v>0</v>
      </c>
      <c r="AF1240">
        <v>0</v>
      </c>
      <c r="AG1240">
        <v>1</v>
      </c>
      <c r="AH1240">
        <v>0</v>
      </c>
      <c r="AI1240">
        <v>51.88</v>
      </c>
      <c r="AL1240" t="s">
        <v>19614</v>
      </c>
      <c r="AM1240">
        <v>6480</v>
      </c>
      <c r="AS1240">
        <v>253.5</v>
      </c>
      <c r="AT1240" t="s">
        <v>1130</v>
      </c>
      <c r="AU1240" t="s">
        <v>215</v>
      </c>
    </row>
    <row r="1241" spans="1:48">
      <c r="A1241" s="1">
        <f>HYPERLINK("https://lsnyc.legalserver.org/matter/dynamic-profile/view/1903528","19-1903528")</f>
        <v>0</v>
      </c>
      <c r="B1241" t="s">
        <v>57</v>
      </c>
      <c r="C1241" t="s">
        <v>256</v>
      </c>
      <c r="D1241" t="s">
        <v>750</v>
      </c>
      <c r="F1241" t="s">
        <v>1221</v>
      </c>
      <c r="G1241" t="s">
        <v>3980</v>
      </c>
      <c r="H1241" t="s">
        <v>6431</v>
      </c>
      <c r="I1241" t="s">
        <v>8411</v>
      </c>
      <c r="J1241" t="s">
        <v>9039</v>
      </c>
      <c r="K1241">
        <v>11436</v>
      </c>
      <c r="L1241" t="s">
        <v>9094</v>
      </c>
      <c r="M1241" t="s">
        <v>9095</v>
      </c>
      <c r="N1241" t="s">
        <v>9662</v>
      </c>
      <c r="O1241" t="s">
        <v>11128</v>
      </c>
      <c r="P1241" t="s">
        <v>11165</v>
      </c>
      <c r="R1241" t="s">
        <v>11180</v>
      </c>
      <c r="S1241" t="s">
        <v>9096</v>
      </c>
      <c r="T1241" t="s">
        <v>11183</v>
      </c>
      <c r="U1241" t="s">
        <v>11201</v>
      </c>
      <c r="V1241" t="s">
        <v>750</v>
      </c>
      <c r="W1241">
        <v>1700</v>
      </c>
      <c r="X1241" t="s">
        <v>11331</v>
      </c>
      <c r="Y1241" t="s">
        <v>11336</v>
      </c>
      <c r="Z1241" t="s">
        <v>12247</v>
      </c>
      <c r="AA1241" t="s">
        <v>15521</v>
      </c>
      <c r="AB1241" t="s">
        <v>16671</v>
      </c>
      <c r="AC1241">
        <v>2</v>
      </c>
      <c r="AD1241" t="s">
        <v>19567</v>
      </c>
      <c r="AE1241" t="s">
        <v>19580</v>
      </c>
      <c r="AF1241">
        <v>3</v>
      </c>
      <c r="AG1241">
        <v>5</v>
      </c>
      <c r="AH1241">
        <v>1</v>
      </c>
      <c r="AI1241">
        <v>52.04</v>
      </c>
      <c r="AL1241" t="s">
        <v>19614</v>
      </c>
      <c r="AM1241">
        <v>18000</v>
      </c>
      <c r="AS1241">
        <v>22.1</v>
      </c>
      <c r="AT1241" t="s">
        <v>1135</v>
      </c>
      <c r="AU1241" t="s">
        <v>20619</v>
      </c>
      <c r="AV1241" t="s">
        <v>20733</v>
      </c>
    </row>
    <row r="1242" spans="1:48">
      <c r="A1242" s="1">
        <f>HYPERLINK("https://lsnyc.legalserver.org/matter/dynamic-profile/view/1895855","19-1895855")</f>
        <v>0</v>
      </c>
      <c r="B1242" t="s">
        <v>50</v>
      </c>
      <c r="C1242" t="s">
        <v>256</v>
      </c>
      <c r="D1242" t="s">
        <v>376</v>
      </c>
      <c r="F1242" t="s">
        <v>1193</v>
      </c>
      <c r="G1242" t="s">
        <v>3981</v>
      </c>
      <c r="H1242" t="s">
        <v>6432</v>
      </c>
      <c r="I1242" t="s">
        <v>8164</v>
      </c>
      <c r="J1242" t="s">
        <v>9050</v>
      </c>
      <c r="K1242">
        <v>11377</v>
      </c>
      <c r="L1242" t="s">
        <v>9094</v>
      </c>
      <c r="M1242" t="s">
        <v>9094</v>
      </c>
      <c r="N1242" t="s">
        <v>9663</v>
      </c>
      <c r="O1242" t="s">
        <v>11129</v>
      </c>
      <c r="P1242" t="s">
        <v>11164</v>
      </c>
      <c r="R1242" t="s">
        <v>11180</v>
      </c>
      <c r="S1242" t="s">
        <v>9096</v>
      </c>
      <c r="T1242" t="s">
        <v>11183</v>
      </c>
      <c r="U1242" t="s">
        <v>11200</v>
      </c>
      <c r="V1242" t="s">
        <v>376</v>
      </c>
      <c r="W1242">
        <v>1300</v>
      </c>
      <c r="X1242" t="s">
        <v>11331</v>
      </c>
      <c r="Y1242" t="s">
        <v>11336</v>
      </c>
      <c r="Z1242" t="s">
        <v>12148</v>
      </c>
      <c r="AB1242" t="s">
        <v>16672</v>
      </c>
      <c r="AC1242">
        <v>22</v>
      </c>
      <c r="AD1242" t="s">
        <v>19566</v>
      </c>
      <c r="AE1242" t="s">
        <v>9144</v>
      </c>
      <c r="AF1242">
        <v>5</v>
      </c>
      <c r="AG1242">
        <v>1</v>
      </c>
      <c r="AH1242">
        <v>0</v>
      </c>
      <c r="AI1242">
        <v>52.04</v>
      </c>
      <c r="AL1242" t="s">
        <v>19614</v>
      </c>
      <c r="AM1242">
        <v>6500</v>
      </c>
      <c r="AS1242">
        <v>1.6</v>
      </c>
      <c r="AT1242" t="s">
        <v>328</v>
      </c>
      <c r="AU1242" t="s">
        <v>153</v>
      </c>
      <c r="AV1242" t="s">
        <v>20733</v>
      </c>
    </row>
    <row r="1243" spans="1:48">
      <c r="A1243" s="1">
        <f>HYPERLINK("https://lsnyc.legalserver.org/matter/dynamic-profile/view/1860642","18-1860642")</f>
        <v>0</v>
      </c>
      <c r="B1243" t="s">
        <v>136</v>
      </c>
      <c r="C1243" t="s">
        <v>256</v>
      </c>
      <c r="D1243" t="s">
        <v>683</v>
      </c>
      <c r="F1243" t="s">
        <v>1809</v>
      </c>
      <c r="G1243" t="s">
        <v>3982</v>
      </c>
      <c r="H1243" t="s">
        <v>6119</v>
      </c>
      <c r="I1243" t="s">
        <v>8270</v>
      </c>
      <c r="J1243" t="s">
        <v>9067</v>
      </c>
      <c r="K1243">
        <v>10031</v>
      </c>
      <c r="L1243" t="s">
        <v>9094</v>
      </c>
      <c r="M1243" t="s">
        <v>9095</v>
      </c>
      <c r="O1243" t="s">
        <v>11130</v>
      </c>
      <c r="P1243" t="s">
        <v>11167</v>
      </c>
      <c r="R1243" t="s">
        <v>11180</v>
      </c>
      <c r="S1243" t="s">
        <v>9094</v>
      </c>
      <c r="T1243" t="s">
        <v>11183</v>
      </c>
      <c r="U1243" t="s">
        <v>11201</v>
      </c>
      <c r="V1243" t="s">
        <v>1044</v>
      </c>
      <c r="W1243">
        <v>2697</v>
      </c>
      <c r="X1243" t="s">
        <v>11335</v>
      </c>
      <c r="Y1243" t="s">
        <v>11339</v>
      </c>
      <c r="Z1243" t="s">
        <v>12248</v>
      </c>
      <c r="AB1243" t="s">
        <v>16673</v>
      </c>
      <c r="AC1243">
        <v>44</v>
      </c>
      <c r="AD1243" t="s">
        <v>19567</v>
      </c>
      <c r="AE1243" t="s">
        <v>19580</v>
      </c>
      <c r="AF1243">
        <v>13</v>
      </c>
      <c r="AG1243">
        <v>1</v>
      </c>
      <c r="AH1243">
        <v>1</v>
      </c>
      <c r="AI1243">
        <v>52.13</v>
      </c>
      <c r="AL1243" t="s">
        <v>19614</v>
      </c>
      <c r="AM1243">
        <v>8580</v>
      </c>
      <c r="AS1243">
        <v>1.5</v>
      </c>
      <c r="AT1243" t="s">
        <v>271</v>
      </c>
      <c r="AU1243" t="s">
        <v>20657</v>
      </c>
    </row>
    <row r="1244" spans="1:48">
      <c r="A1244" s="1">
        <f>HYPERLINK("https://lsnyc.legalserver.org/matter/dynamic-profile/view/1864750","18-1864750")</f>
        <v>0</v>
      </c>
      <c r="B1244" t="s">
        <v>136</v>
      </c>
      <c r="C1244" t="s">
        <v>256</v>
      </c>
      <c r="D1244" t="s">
        <v>518</v>
      </c>
      <c r="F1244" t="s">
        <v>1810</v>
      </c>
      <c r="G1244" t="s">
        <v>3756</v>
      </c>
      <c r="H1244" t="s">
        <v>5961</v>
      </c>
      <c r="I1244">
        <v>602</v>
      </c>
      <c r="J1244" t="s">
        <v>9067</v>
      </c>
      <c r="K1244">
        <v>10029</v>
      </c>
      <c r="L1244" t="s">
        <v>9094</v>
      </c>
      <c r="M1244" t="s">
        <v>9094</v>
      </c>
      <c r="N1244" t="s">
        <v>9287</v>
      </c>
      <c r="O1244" t="s">
        <v>11130</v>
      </c>
      <c r="P1244" t="s">
        <v>11165</v>
      </c>
      <c r="R1244" t="s">
        <v>11180</v>
      </c>
      <c r="S1244" t="s">
        <v>9094</v>
      </c>
      <c r="T1244" t="s">
        <v>11183</v>
      </c>
      <c r="U1244" t="s">
        <v>11201</v>
      </c>
      <c r="V1244" t="s">
        <v>518</v>
      </c>
      <c r="W1244">
        <v>0</v>
      </c>
      <c r="X1244" t="s">
        <v>11335</v>
      </c>
      <c r="Y1244" t="s">
        <v>11339</v>
      </c>
      <c r="Z1244" t="s">
        <v>11694</v>
      </c>
      <c r="AB1244" t="s">
        <v>16674</v>
      </c>
      <c r="AC1244">
        <v>108</v>
      </c>
      <c r="AD1244" t="s">
        <v>19567</v>
      </c>
      <c r="AE1244" t="s">
        <v>19580</v>
      </c>
      <c r="AF1244">
        <v>4</v>
      </c>
      <c r="AG1244">
        <v>2</v>
      </c>
      <c r="AH1244">
        <v>1</v>
      </c>
      <c r="AI1244">
        <v>52.15</v>
      </c>
      <c r="AL1244" t="s">
        <v>19615</v>
      </c>
      <c r="AM1244">
        <v>10836</v>
      </c>
      <c r="AS1244">
        <v>0.25</v>
      </c>
      <c r="AT1244" t="s">
        <v>289</v>
      </c>
      <c r="AU1244" t="s">
        <v>20657</v>
      </c>
    </row>
    <row r="1245" spans="1:48">
      <c r="A1245" s="1">
        <f>HYPERLINK("https://lsnyc.legalserver.org/matter/dynamic-profile/view/1888975","19-1888975")</f>
        <v>0</v>
      </c>
      <c r="B1245" t="s">
        <v>72</v>
      </c>
      <c r="C1245" t="s">
        <v>256</v>
      </c>
      <c r="D1245" t="s">
        <v>616</v>
      </c>
      <c r="F1245" t="s">
        <v>1207</v>
      </c>
      <c r="G1245" t="s">
        <v>3983</v>
      </c>
      <c r="H1245" t="s">
        <v>6433</v>
      </c>
      <c r="I1245">
        <v>1</v>
      </c>
      <c r="J1245" t="s">
        <v>9059</v>
      </c>
      <c r="K1245">
        <v>11233</v>
      </c>
      <c r="L1245" t="s">
        <v>9094</v>
      </c>
      <c r="M1245" t="s">
        <v>9095</v>
      </c>
      <c r="N1245" t="s">
        <v>9151</v>
      </c>
      <c r="O1245" t="s">
        <v>11128</v>
      </c>
      <c r="P1245" t="s">
        <v>11169</v>
      </c>
      <c r="R1245" t="s">
        <v>11180</v>
      </c>
      <c r="S1245" t="s">
        <v>9096</v>
      </c>
      <c r="T1245" t="s">
        <v>11183</v>
      </c>
      <c r="V1245" t="s">
        <v>616</v>
      </c>
      <c r="W1245">
        <v>230</v>
      </c>
      <c r="X1245" t="s">
        <v>11332</v>
      </c>
      <c r="Y1245" t="s">
        <v>11341</v>
      </c>
      <c r="Z1245" t="s">
        <v>12249</v>
      </c>
      <c r="AA1245" t="s">
        <v>15286</v>
      </c>
      <c r="AB1245" t="s">
        <v>16675</v>
      </c>
      <c r="AC1245">
        <v>3</v>
      </c>
      <c r="AD1245" t="s">
        <v>19567</v>
      </c>
      <c r="AE1245" t="s">
        <v>19580</v>
      </c>
      <c r="AF1245">
        <v>4</v>
      </c>
      <c r="AG1245">
        <v>1</v>
      </c>
      <c r="AH1245">
        <v>4</v>
      </c>
      <c r="AI1245">
        <v>52.17</v>
      </c>
      <c r="AL1245" t="s">
        <v>19614</v>
      </c>
      <c r="AM1245">
        <v>15740</v>
      </c>
      <c r="AS1245">
        <v>0</v>
      </c>
      <c r="AU1245" t="s">
        <v>20628</v>
      </c>
    </row>
    <row r="1246" spans="1:48">
      <c r="A1246" s="1">
        <f>HYPERLINK("https://lsnyc.legalserver.org/matter/dynamic-profile/view/1908348","19-1908348")</f>
        <v>0</v>
      </c>
      <c r="B1246" t="s">
        <v>126</v>
      </c>
      <c r="C1246" t="s">
        <v>256</v>
      </c>
      <c r="D1246" t="s">
        <v>326</v>
      </c>
      <c r="F1246" t="s">
        <v>1811</v>
      </c>
      <c r="G1246" t="s">
        <v>3984</v>
      </c>
      <c r="H1246" t="s">
        <v>6434</v>
      </c>
      <c r="I1246" t="s">
        <v>8412</v>
      </c>
      <c r="J1246" t="s">
        <v>9066</v>
      </c>
      <c r="K1246">
        <v>10301</v>
      </c>
      <c r="L1246" t="s">
        <v>9094</v>
      </c>
      <c r="M1246" t="s">
        <v>9095</v>
      </c>
      <c r="O1246" t="s">
        <v>11128</v>
      </c>
      <c r="P1246" t="s">
        <v>11169</v>
      </c>
      <c r="R1246" t="s">
        <v>11181</v>
      </c>
      <c r="S1246" t="s">
        <v>9096</v>
      </c>
      <c r="T1246" t="s">
        <v>11183</v>
      </c>
      <c r="U1246" t="s">
        <v>11201</v>
      </c>
      <c r="V1246" t="s">
        <v>314</v>
      </c>
      <c r="W1246">
        <v>1348</v>
      </c>
      <c r="X1246" t="s">
        <v>11334</v>
      </c>
      <c r="Y1246" t="s">
        <v>11337</v>
      </c>
      <c r="Z1246" t="s">
        <v>12250</v>
      </c>
      <c r="AB1246" t="s">
        <v>16676</v>
      </c>
      <c r="AC1246">
        <v>4</v>
      </c>
      <c r="AE1246" t="s">
        <v>19581</v>
      </c>
      <c r="AF1246">
        <v>4</v>
      </c>
      <c r="AG1246">
        <v>1</v>
      </c>
      <c r="AH1246">
        <v>2</v>
      </c>
      <c r="AI1246">
        <v>52.21</v>
      </c>
      <c r="AJ1246" t="s">
        <v>19591</v>
      </c>
      <c r="AK1246" t="s">
        <v>19608</v>
      </c>
      <c r="AL1246" t="s">
        <v>19614</v>
      </c>
      <c r="AM1246">
        <v>11136</v>
      </c>
      <c r="AN1246" t="s">
        <v>19775</v>
      </c>
      <c r="AS1246">
        <v>6.45</v>
      </c>
      <c r="AT1246" t="s">
        <v>292</v>
      </c>
      <c r="AU1246" t="s">
        <v>126</v>
      </c>
      <c r="AV1246" t="s">
        <v>20733</v>
      </c>
    </row>
    <row r="1247" spans="1:48">
      <c r="A1247" s="1">
        <f>HYPERLINK("https://lsnyc.legalserver.org/matter/dynamic-profile/view/1913372","19-1913372")</f>
        <v>0</v>
      </c>
      <c r="B1247" t="s">
        <v>136</v>
      </c>
      <c r="C1247" t="s">
        <v>256</v>
      </c>
      <c r="D1247" t="s">
        <v>286</v>
      </c>
      <c r="F1247" t="s">
        <v>1812</v>
      </c>
      <c r="G1247" t="s">
        <v>3338</v>
      </c>
      <c r="H1247" t="s">
        <v>5961</v>
      </c>
      <c r="I1247">
        <v>412</v>
      </c>
      <c r="J1247" t="s">
        <v>9067</v>
      </c>
      <c r="K1247">
        <v>10029</v>
      </c>
      <c r="L1247" t="s">
        <v>9094</v>
      </c>
      <c r="M1247" t="s">
        <v>9095</v>
      </c>
      <c r="O1247" t="s">
        <v>11130</v>
      </c>
      <c r="P1247" t="s">
        <v>11164</v>
      </c>
      <c r="R1247" t="s">
        <v>11180</v>
      </c>
      <c r="S1247" t="s">
        <v>9094</v>
      </c>
      <c r="T1247" t="s">
        <v>11183</v>
      </c>
      <c r="U1247" t="s">
        <v>11201</v>
      </c>
      <c r="V1247" t="s">
        <v>1063</v>
      </c>
      <c r="W1247">
        <v>0</v>
      </c>
      <c r="X1247" t="s">
        <v>11335</v>
      </c>
      <c r="Y1247" t="s">
        <v>11340</v>
      </c>
      <c r="Z1247" t="s">
        <v>12251</v>
      </c>
      <c r="AB1247" t="s">
        <v>16677</v>
      </c>
      <c r="AC1247">
        <v>108</v>
      </c>
      <c r="AD1247" t="s">
        <v>19567</v>
      </c>
      <c r="AE1247" t="s">
        <v>19580</v>
      </c>
      <c r="AF1247">
        <v>4</v>
      </c>
      <c r="AG1247">
        <v>2</v>
      </c>
      <c r="AH1247">
        <v>1</v>
      </c>
      <c r="AI1247">
        <v>52.26</v>
      </c>
      <c r="AL1247" t="s">
        <v>19614</v>
      </c>
      <c r="AM1247">
        <v>11148</v>
      </c>
      <c r="AS1247">
        <v>0</v>
      </c>
      <c r="AU1247" t="s">
        <v>20657</v>
      </c>
      <c r="AV1247" t="s">
        <v>20733</v>
      </c>
    </row>
    <row r="1248" spans="1:48">
      <c r="A1248" s="1">
        <f>HYPERLINK("https://lsnyc.legalserver.org/matter/dynamic-profile/view/1912536","19-1912536")</f>
        <v>0</v>
      </c>
      <c r="B1248" t="s">
        <v>52</v>
      </c>
      <c r="C1248" t="s">
        <v>256</v>
      </c>
      <c r="D1248" t="s">
        <v>263</v>
      </c>
      <c r="F1248" t="s">
        <v>1813</v>
      </c>
      <c r="G1248" t="s">
        <v>3497</v>
      </c>
      <c r="H1248" t="s">
        <v>5692</v>
      </c>
      <c r="I1248" t="s">
        <v>8189</v>
      </c>
      <c r="J1248" t="s">
        <v>9038</v>
      </c>
      <c r="K1248">
        <v>11691</v>
      </c>
      <c r="L1248" t="s">
        <v>9094</v>
      </c>
      <c r="M1248" t="s">
        <v>9095</v>
      </c>
      <c r="N1248" t="s">
        <v>9664</v>
      </c>
      <c r="O1248" t="s">
        <v>11130</v>
      </c>
      <c r="P1248" t="s">
        <v>11165</v>
      </c>
      <c r="R1248" t="s">
        <v>11180</v>
      </c>
      <c r="S1248" t="s">
        <v>9094</v>
      </c>
      <c r="T1248" t="s">
        <v>11183</v>
      </c>
      <c r="U1248" t="s">
        <v>11201</v>
      </c>
      <c r="V1248" t="s">
        <v>263</v>
      </c>
      <c r="W1248">
        <v>819</v>
      </c>
      <c r="X1248" t="s">
        <v>11331</v>
      </c>
      <c r="Y1248" t="s">
        <v>11339</v>
      </c>
      <c r="Z1248" t="s">
        <v>12252</v>
      </c>
      <c r="AB1248" t="s">
        <v>16678</v>
      </c>
      <c r="AC1248">
        <v>43</v>
      </c>
      <c r="AD1248" t="s">
        <v>19566</v>
      </c>
      <c r="AE1248" t="s">
        <v>9144</v>
      </c>
      <c r="AF1248">
        <v>11</v>
      </c>
      <c r="AG1248">
        <v>2</v>
      </c>
      <c r="AH1248">
        <v>1</v>
      </c>
      <c r="AI1248">
        <v>52.41</v>
      </c>
      <c r="AL1248" t="s">
        <v>19614</v>
      </c>
      <c r="AM1248">
        <v>11180</v>
      </c>
      <c r="AP1248" t="s">
        <v>11157</v>
      </c>
      <c r="AS1248">
        <v>0.3</v>
      </c>
      <c r="AT1248" t="s">
        <v>263</v>
      </c>
      <c r="AU1248" t="s">
        <v>20620</v>
      </c>
      <c r="AV1248" t="s">
        <v>20733</v>
      </c>
    </row>
    <row r="1249" spans="1:48">
      <c r="A1249" s="1">
        <f>HYPERLINK("https://lsnyc.legalserver.org/matter/dynamic-profile/view/1912637","19-1912637")</f>
        <v>0</v>
      </c>
      <c r="B1249" t="s">
        <v>52</v>
      </c>
      <c r="C1249" t="s">
        <v>256</v>
      </c>
      <c r="D1249" t="s">
        <v>263</v>
      </c>
      <c r="F1249" t="s">
        <v>1813</v>
      </c>
      <c r="G1249" t="s">
        <v>3497</v>
      </c>
      <c r="H1249" t="s">
        <v>5692</v>
      </c>
      <c r="I1249" t="s">
        <v>8189</v>
      </c>
      <c r="J1249" t="s">
        <v>9038</v>
      </c>
      <c r="K1249">
        <v>11691</v>
      </c>
      <c r="L1249" t="s">
        <v>9094</v>
      </c>
      <c r="M1249" t="s">
        <v>9095</v>
      </c>
      <c r="N1249" t="s">
        <v>9665</v>
      </c>
      <c r="O1249" t="s">
        <v>11129</v>
      </c>
      <c r="P1249" t="s">
        <v>11165</v>
      </c>
      <c r="R1249" t="s">
        <v>11180</v>
      </c>
      <c r="S1249" t="s">
        <v>9094</v>
      </c>
      <c r="T1249" t="s">
        <v>11183</v>
      </c>
      <c r="U1249" t="s">
        <v>11201</v>
      </c>
      <c r="V1249" t="s">
        <v>263</v>
      </c>
      <c r="W1249">
        <v>819</v>
      </c>
      <c r="X1249" t="s">
        <v>11331</v>
      </c>
      <c r="Y1249" t="s">
        <v>11339</v>
      </c>
      <c r="Z1249" t="s">
        <v>12252</v>
      </c>
      <c r="AB1249" t="s">
        <v>16678</v>
      </c>
      <c r="AC1249">
        <v>43</v>
      </c>
      <c r="AD1249" t="s">
        <v>19566</v>
      </c>
      <c r="AE1249" t="s">
        <v>9144</v>
      </c>
      <c r="AF1249">
        <v>11</v>
      </c>
      <c r="AG1249">
        <v>2</v>
      </c>
      <c r="AH1249">
        <v>1</v>
      </c>
      <c r="AI1249">
        <v>52.41</v>
      </c>
      <c r="AL1249" t="s">
        <v>19614</v>
      </c>
      <c r="AM1249">
        <v>11180</v>
      </c>
      <c r="AP1249" t="s">
        <v>11157</v>
      </c>
      <c r="AS1249">
        <v>0.3</v>
      </c>
      <c r="AT1249" t="s">
        <v>263</v>
      </c>
      <c r="AU1249" t="s">
        <v>20620</v>
      </c>
      <c r="AV1249" t="s">
        <v>20733</v>
      </c>
    </row>
    <row r="1250" spans="1:48">
      <c r="A1250" s="1">
        <f>HYPERLINK("https://lsnyc.legalserver.org/matter/dynamic-profile/view/1915236","19-1915236")</f>
        <v>0</v>
      </c>
      <c r="B1250" t="s">
        <v>52</v>
      </c>
      <c r="C1250" t="s">
        <v>256</v>
      </c>
      <c r="D1250" t="s">
        <v>321</v>
      </c>
      <c r="F1250" t="s">
        <v>1813</v>
      </c>
      <c r="G1250" t="s">
        <v>3497</v>
      </c>
      <c r="H1250" t="s">
        <v>5692</v>
      </c>
      <c r="I1250" t="s">
        <v>8189</v>
      </c>
      <c r="J1250" t="s">
        <v>9038</v>
      </c>
      <c r="K1250">
        <v>11691</v>
      </c>
      <c r="L1250" t="s">
        <v>9094</v>
      </c>
      <c r="M1250" t="s">
        <v>9095</v>
      </c>
      <c r="O1250" t="s">
        <v>11129</v>
      </c>
      <c r="P1250" t="s">
        <v>11165</v>
      </c>
      <c r="R1250" t="s">
        <v>11180</v>
      </c>
      <c r="S1250" t="s">
        <v>9096</v>
      </c>
      <c r="T1250" t="s">
        <v>11183</v>
      </c>
      <c r="V1250" t="s">
        <v>321</v>
      </c>
      <c r="W1250">
        <v>819</v>
      </c>
      <c r="X1250" t="s">
        <v>11331</v>
      </c>
      <c r="Y1250" t="s">
        <v>11339</v>
      </c>
      <c r="Z1250" t="s">
        <v>12252</v>
      </c>
      <c r="AB1250" t="s">
        <v>16678</v>
      </c>
      <c r="AC1250">
        <v>43</v>
      </c>
      <c r="AD1250" t="s">
        <v>19566</v>
      </c>
      <c r="AE1250" t="s">
        <v>9144</v>
      </c>
      <c r="AF1250">
        <v>11</v>
      </c>
      <c r="AG1250">
        <v>2</v>
      </c>
      <c r="AH1250">
        <v>1</v>
      </c>
      <c r="AI1250">
        <v>52.41</v>
      </c>
      <c r="AL1250" t="s">
        <v>19614</v>
      </c>
      <c r="AM1250">
        <v>11180</v>
      </c>
      <c r="AS1250">
        <v>0.5</v>
      </c>
      <c r="AT1250" t="s">
        <v>321</v>
      </c>
      <c r="AU1250" t="s">
        <v>20620</v>
      </c>
      <c r="AV1250" t="s">
        <v>20733</v>
      </c>
    </row>
    <row r="1251" spans="1:48">
      <c r="A1251" s="1">
        <f>HYPERLINK("https://lsnyc.legalserver.org/matter/dynamic-profile/view/1901408","19-1901408")</f>
        <v>0</v>
      </c>
      <c r="B1251" t="s">
        <v>108</v>
      </c>
      <c r="C1251" t="s">
        <v>256</v>
      </c>
      <c r="D1251" t="s">
        <v>471</v>
      </c>
      <c r="F1251" t="s">
        <v>1384</v>
      </c>
      <c r="G1251" t="s">
        <v>3688</v>
      </c>
      <c r="H1251" t="s">
        <v>6435</v>
      </c>
      <c r="I1251">
        <v>205</v>
      </c>
      <c r="J1251" t="s">
        <v>9065</v>
      </c>
      <c r="K1251">
        <v>10457</v>
      </c>
      <c r="L1251" t="s">
        <v>9094</v>
      </c>
      <c r="M1251" t="s">
        <v>9095</v>
      </c>
      <c r="O1251" t="s">
        <v>9121</v>
      </c>
      <c r="P1251" t="s">
        <v>11164</v>
      </c>
      <c r="R1251" t="s">
        <v>11180</v>
      </c>
      <c r="S1251" t="s">
        <v>9096</v>
      </c>
      <c r="T1251" t="s">
        <v>11183</v>
      </c>
      <c r="V1251" t="s">
        <v>11218</v>
      </c>
      <c r="W1251">
        <v>574</v>
      </c>
      <c r="X1251" t="s">
        <v>11333</v>
      </c>
      <c r="Y1251" t="s">
        <v>11346</v>
      </c>
      <c r="Z1251" t="s">
        <v>12253</v>
      </c>
      <c r="AB1251" t="s">
        <v>16679</v>
      </c>
      <c r="AC1251">
        <v>0</v>
      </c>
      <c r="AD1251" t="s">
        <v>15441</v>
      </c>
      <c r="AE1251" t="s">
        <v>19580</v>
      </c>
      <c r="AF1251">
        <v>5</v>
      </c>
      <c r="AG1251">
        <v>2</v>
      </c>
      <c r="AH1251">
        <v>0</v>
      </c>
      <c r="AI1251">
        <v>52.55</v>
      </c>
      <c r="AL1251" t="s">
        <v>19634</v>
      </c>
      <c r="AM1251">
        <v>8887</v>
      </c>
      <c r="AS1251">
        <v>7.5</v>
      </c>
      <c r="AT1251" t="s">
        <v>415</v>
      </c>
      <c r="AU1251" t="s">
        <v>110</v>
      </c>
      <c r="AV1251" t="s">
        <v>20733</v>
      </c>
    </row>
    <row r="1252" spans="1:48">
      <c r="A1252" s="1">
        <f>HYPERLINK("https://lsnyc.legalserver.org/matter/dynamic-profile/view/1907544","19-1907544")</f>
        <v>0</v>
      </c>
      <c r="B1252" t="s">
        <v>126</v>
      </c>
      <c r="C1252" t="s">
        <v>256</v>
      </c>
      <c r="D1252" t="s">
        <v>326</v>
      </c>
      <c r="F1252" t="s">
        <v>1814</v>
      </c>
      <c r="G1252" t="s">
        <v>3985</v>
      </c>
      <c r="H1252" t="s">
        <v>6436</v>
      </c>
      <c r="I1252" t="s">
        <v>8330</v>
      </c>
      <c r="J1252" t="s">
        <v>9066</v>
      </c>
      <c r="K1252">
        <v>10312</v>
      </c>
      <c r="L1252" t="s">
        <v>9094</v>
      </c>
      <c r="M1252" t="s">
        <v>9095</v>
      </c>
      <c r="N1252" t="s">
        <v>9666</v>
      </c>
      <c r="O1252" t="s">
        <v>11128</v>
      </c>
      <c r="R1252" t="s">
        <v>11180</v>
      </c>
      <c r="S1252" t="s">
        <v>9096</v>
      </c>
      <c r="T1252" t="s">
        <v>11183</v>
      </c>
      <c r="U1252" t="s">
        <v>11201</v>
      </c>
      <c r="W1252">
        <v>1534</v>
      </c>
      <c r="X1252" t="s">
        <v>11334</v>
      </c>
      <c r="Y1252" t="s">
        <v>11345</v>
      </c>
      <c r="Z1252" t="s">
        <v>12254</v>
      </c>
      <c r="AB1252" t="s">
        <v>16680</v>
      </c>
      <c r="AC1252">
        <v>2</v>
      </c>
      <c r="AD1252" t="s">
        <v>19565</v>
      </c>
      <c r="AE1252" t="s">
        <v>19581</v>
      </c>
      <c r="AF1252">
        <v>1</v>
      </c>
      <c r="AG1252">
        <v>1</v>
      </c>
      <c r="AH1252">
        <v>2</v>
      </c>
      <c r="AI1252">
        <v>52.55</v>
      </c>
      <c r="AL1252" t="s">
        <v>19618</v>
      </c>
      <c r="AM1252">
        <v>11208</v>
      </c>
      <c r="AS1252">
        <v>8.5</v>
      </c>
      <c r="AT1252" t="s">
        <v>321</v>
      </c>
      <c r="AU1252" t="s">
        <v>20653</v>
      </c>
      <c r="AV1252" t="s">
        <v>20733</v>
      </c>
    </row>
    <row r="1253" spans="1:48">
      <c r="A1253" s="1">
        <f>HYPERLINK("https://lsnyc.legalserver.org/matter/dynamic-profile/view/1896793","19-1896793")</f>
        <v>0</v>
      </c>
      <c r="B1253" t="s">
        <v>78</v>
      </c>
      <c r="C1253" t="s">
        <v>256</v>
      </c>
      <c r="D1253" t="s">
        <v>546</v>
      </c>
      <c r="F1253" t="s">
        <v>1815</v>
      </c>
      <c r="G1253" t="s">
        <v>3986</v>
      </c>
      <c r="H1253" t="s">
        <v>6407</v>
      </c>
      <c r="I1253" t="s">
        <v>8117</v>
      </c>
      <c r="J1253" t="s">
        <v>9059</v>
      </c>
      <c r="K1253">
        <v>11213</v>
      </c>
      <c r="L1253" t="s">
        <v>9094</v>
      </c>
      <c r="M1253" t="s">
        <v>9094</v>
      </c>
      <c r="N1253" t="s">
        <v>9667</v>
      </c>
      <c r="O1253" t="s">
        <v>11134</v>
      </c>
      <c r="P1253" t="s">
        <v>11168</v>
      </c>
      <c r="R1253" t="s">
        <v>11180</v>
      </c>
      <c r="S1253" t="s">
        <v>9094</v>
      </c>
      <c r="T1253" t="s">
        <v>11183</v>
      </c>
      <c r="V1253" t="s">
        <v>473</v>
      </c>
      <c r="W1253">
        <v>855.86</v>
      </c>
      <c r="X1253" t="s">
        <v>11332</v>
      </c>
      <c r="Y1253" t="s">
        <v>11346</v>
      </c>
      <c r="Z1253" t="s">
        <v>12255</v>
      </c>
      <c r="AC1253">
        <v>6</v>
      </c>
      <c r="AD1253" t="s">
        <v>19566</v>
      </c>
      <c r="AE1253" t="s">
        <v>9144</v>
      </c>
      <c r="AF1253">
        <v>26</v>
      </c>
      <c r="AG1253">
        <v>1</v>
      </c>
      <c r="AH1253">
        <v>1</v>
      </c>
      <c r="AI1253">
        <v>52.58</v>
      </c>
      <c r="AL1253" t="s">
        <v>19614</v>
      </c>
      <c r="AM1253">
        <v>8892</v>
      </c>
      <c r="AN1253" t="s">
        <v>19776</v>
      </c>
      <c r="AS1253">
        <v>4</v>
      </c>
      <c r="AT1253" t="s">
        <v>806</v>
      </c>
      <c r="AU1253" t="s">
        <v>79</v>
      </c>
      <c r="AV1253" t="s">
        <v>20733</v>
      </c>
    </row>
    <row r="1254" spans="1:48">
      <c r="A1254" s="1">
        <f>HYPERLINK("https://lsnyc.legalserver.org/matter/dynamic-profile/view/1896798","19-1896798")</f>
        <v>0</v>
      </c>
      <c r="B1254" t="s">
        <v>78</v>
      </c>
      <c r="C1254" t="s">
        <v>256</v>
      </c>
      <c r="D1254" t="s">
        <v>546</v>
      </c>
      <c r="F1254" t="s">
        <v>1815</v>
      </c>
      <c r="G1254" t="s">
        <v>3986</v>
      </c>
      <c r="H1254" t="s">
        <v>6407</v>
      </c>
      <c r="I1254" t="s">
        <v>8117</v>
      </c>
      <c r="J1254" t="s">
        <v>9059</v>
      </c>
      <c r="K1254">
        <v>11213</v>
      </c>
      <c r="L1254" t="s">
        <v>9094</v>
      </c>
      <c r="M1254" t="s">
        <v>9094</v>
      </c>
      <c r="O1254" t="s">
        <v>11134</v>
      </c>
      <c r="P1254" t="s">
        <v>11164</v>
      </c>
      <c r="R1254" t="s">
        <v>11180</v>
      </c>
      <c r="S1254" t="s">
        <v>9094</v>
      </c>
      <c r="T1254" t="s">
        <v>11183</v>
      </c>
      <c r="V1254" t="s">
        <v>597</v>
      </c>
      <c r="W1254">
        <v>855.86</v>
      </c>
      <c r="X1254" t="s">
        <v>11332</v>
      </c>
      <c r="Y1254" t="s">
        <v>11346</v>
      </c>
      <c r="Z1254" t="s">
        <v>12255</v>
      </c>
      <c r="AA1254" t="s">
        <v>9144</v>
      </c>
      <c r="AC1254">
        <v>6</v>
      </c>
      <c r="AD1254" t="s">
        <v>19566</v>
      </c>
      <c r="AE1254" t="s">
        <v>9144</v>
      </c>
      <c r="AF1254">
        <v>26</v>
      </c>
      <c r="AG1254">
        <v>1</v>
      </c>
      <c r="AH1254">
        <v>1</v>
      </c>
      <c r="AI1254">
        <v>52.58</v>
      </c>
      <c r="AL1254" t="s">
        <v>19614</v>
      </c>
      <c r="AM1254">
        <v>8892</v>
      </c>
      <c r="AN1254" t="s">
        <v>19777</v>
      </c>
      <c r="AS1254">
        <v>0.08</v>
      </c>
      <c r="AT1254" t="s">
        <v>664</v>
      </c>
      <c r="AU1254" t="s">
        <v>79</v>
      </c>
      <c r="AV1254" t="s">
        <v>20733</v>
      </c>
    </row>
    <row r="1255" spans="1:48">
      <c r="A1255" s="1">
        <f>HYPERLINK("https://lsnyc.legalserver.org/matter/dynamic-profile/view/1896797","19-1896797")</f>
        <v>0</v>
      </c>
      <c r="B1255" t="s">
        <v>78</v>
      </c>
      <c r="C1255" t="s">
        <v>256</v>
      </c>
      <c r="D1255" t="s">
        <v>546</v>
      </c>
      <c r="F1255" t="s">
        <v>1815</v>
      </c>
      <c r="G1255" t="s">
        <v>3986</v>
      </c>
      <c r="H1255" t="s">
        <v>6407</v>
      </c>
      <c r="I1255" t="s">
        <v>8117</v>
      </c>
      <c r="J1255" t="s">
        <v>9059</v>
      </c>
      <c r="K1255">
        <v>11213</v>
      </c>
      <c r="L1255" t="s">
        <v>9094</v>
      </c>
      <c r="M1255" t="s">
        <v>9094</v>
      </c>
      <c r="N1255" t="s">
        <v>9644</v>
      </c>
      <c r="O1255" t="s">
        <v>11130</v>
      </c>
      <c r="P1255" t="s">
        <v>11165</v>
      </c>
      <c r="R1255" t="s">
        <v>11180</v>
      </c>
      <c r="S1255" t="s">
        <v>9094</v>
      </c>
      <c r="T1255" t="s">
        <v>11183</v>
      </c>
      <c r="V1255" t="s">
        <v>635</v>
      </c>
      <c r="W1255">
        <v>855.86</v>
      </c>
      <c r="X1255" t="s">
        <v>11332</v>
      </c>
      <c r="Y1255" t="s">
        <v>11346</v>
      </c>
      <c r="Z1255" t="s">
        <v>12255</v>
      </c>
      <c r="AC1255">
        <v>6</v>
      </c>
      <c r="AD1255" t="s">
        <v>19566</v>
      </c>
      <c r="AE1255" t="s">
        <v>9144</v>
      </c>
      <c r="AF1255">
        <v>26</v>
      </c>
      <c r="AG1255">
        <v>1</v>
      </c>
      <c r="AH1255">
        <v>1</v>
      </c>
      <c r="AI1255">
        <v>52.58</v>
      </c>
      <c r="AL1255" t="s">
        <v>19614</v>
      </c>
      <c r="AM1255">
        <v>8892</v>
      </c>
      <c r="AN1255" t="s">
        <v>19776</v>
      </c>
      <c r="AS1255">
        <v>5</v>
      </c>
      <c r="AT1255" t="s">
        <v>339</v>
      </c>
      <c r="AU1255" t="s">
        <v>79</v>
      </c>
      <c r="AV1255" t="s">
        <v>20733</v>
      </c>
    </row>
    <row r="1256" spans="1:48">
      <c r="A1256" s="1">
        <f>HYPERLINK("https://lsnyc.legalserver.org/matter/dynamic-profile/view/1896778","19-1896778")</f>
        <v>0</v>
      </c>
      <c r="B1256" t="s">
        <v>78</v>
      </c>
      <c r="C1256" t="s">
        <v>256</v>
      </c>
      <c r="D1256" t="s">
        <v>546</v>
      </c>
      <c r="F1256" t="s">
        <v>1815</v>
      </c>
      <c r="G1256" t="s">
        <v>3986</v>
      </c>
      <c r="H1256" t="s">
        <v>6407</v>
      </c>
      <c r="I1256" t="s">
        <v>8117</v>
      </c>
      <c r="J1256" t="s">
        <v>9059</v>
      </c>
      <c r="K1256">
        <v>11213</v>
      </c>
      <c r="L1256" t="s">
        <v>9094</v>
      </c>
      <c r="M1256" t="s">
        <v>9094</v>
      </c>
      <c r="N1256" t="s">
        <v>9121</v>
      </c>
      <c r="O1256" t="s">
        <v>11137</v>
      </c>
      <c r="P1256" t="s">
        <v>11167</v>
      </c>
      <c r="R1256" t="s">
        <v>11180</v>
      </c>
      <c r="S1256" t="s">
        <v>9094</v>
      </c>
      <c r="T1256" t="s">
        <v>11183</v>
      </c>
      <c r="V1256" t="s">
        <v>353</v>
      </c>
      <c r="W1256">
        <v>855.86</v>
      </c>
      <c r="X1256" t="s">
        <v>11332</v>
      </c>
      <c r="Y1256" t="s">
        <v>11346</v>
      </c>
      <c r="Z1256" t="s">
        <v>12255</v>
      </c>
      <c r="AC1256">
        <v>6</v>
      </c>
      <c r="AD1256" t="s">
        <v>19566</v>
      </c>
      <c r="AE1256" t="s">
        <v>9144</v>
      </c>
      <c r="AF1256">
        <v>26</v>
      </c>
      <c r="AG1256">
        <v>1</v>
      </c>
      <c r="AH1256">
        <v>1</v>
      </c>
      <c r="AI1256">
        <v>52.58</v>
      </c>
      <c r="AL1256" t="s">
        <v>19614</v>
      </c>
      <c r="AM1256">
        <v>8892</v>
      </c>
      <c r="AS1256">
        <v>0</v>
      </c>
      <c r="AU1256" t="s">
        <v>79</v>
      </c>
      <c r="AV1256" t="s">
        <v>20733</v>
      </c>
    </row>
    <row r="1257" spans="1:48">
      <c r="A1257" s="1">
        <f>HYPERLINK("https://lsnyc.legalserver.org/matter/dynamic-profile/view/1896791","19-1896791")</f>
        <v>0</v>
      </c>
      <c r="B1257" t="s">
        <v>78</v>
      </c>
      <c r="C1257" t="s">
        <v>256</v>
      </c>
      <c r="D1257" t="s">
        <v>546</v>
      </c>
      <c r="F1257" t="s">
        <v>1815</v>
      </c>
      <c r="G1257" t="s">
        <v>3986</v>
      </c>
      <c r="H1257" t="s">
        <v>6407</v>
      </c>
      <c r="I1257" t="s">
        <v>8117</v>
      </c>
      <c r="J1257" t="s">
        <v>9059</v>
      </c>
      <c r="K1257">
        <v>11213</v>
      </c>
      <c r="L1257" t="s">
        <v>9094</v>
      </c>
      <c r="M1257" t="s">
        <v>9094</v>
      </c>
      <c r="N1257" t="s">
        <v>9121</v>
      </c>
      <c r="O1257" t="s">
        <v>11137</v>
      </c>
      <c r="P1257" t="s">
        <v>11167</v>
      </c>
      <c r="R1257" t="s">
        <v>11180</v>
      </c>
      <c r="S1257" t="s">
        <v>9094</v>
      </c>
      <c r="T1257" t="s">
        <v>11183</v>
      </c>
      <c r="V1257" t="s">
        <v>278</v>
      </c>
      <c r="W1257">
        <v>855.86</v>
      </c>
      <c r="X1257" t="s">
        <v>11332</v>
      </c>
      <c r="Y1257" t="s">
        <v>11346</v>
      </c>
      <c r="Z1257" t="s">
        <v>12255</v>
      </c>
      <c r="AC1257">
        <v>6</v>
      </c>
      <c r="AD1257" t="s">
        <v>19566</v>
      </c>
      <c r="AE1257" t="s">
        <v>9144</v>
      </c>
      <c r="AF1257">
        <v>26</v>
      </c>
      <c r="AG1257">
        <v>1</v>
      </c>
      <c r="AH1257">
        <v>1</v>
      </c>
      <c r="AI1257">
        <v>52.58</v>
      </c>
      <c r="AL1257" t="s">
        <v>19614</v>
      </c>
      <c r="AM1257">
        <v>8892</v>
      </c>
      <c r="AN1257" t="s">
        <v>19777</v>
      </c>
      <c r="AS1257">
        <v>0</v>
      </c>
      <c r="AU1257" t="s">
        <v>79</v>
      </c>
      <c r="AV1257" t="s">
        <v>20733</v>
      </c>
    </row>
    <row r="1258" spans="1:48">
      <c r="A1258" s="1">
        <f>HYPERLINK("https://lsnyc.legalserver.org/matter/dynamic-profile/view/1905871","19-1905871")</f>
        <v>0</v>
      </c>
      <c r="B1258" t="s">
        <v>78</v>
      </c>
      <c r="C1258" t="s">
        <v>256</v>
      </c>
      <c r="D1258" t="s">
        <v>426</v>
      </c>
      <c r="F1258" t="s">
        <v>1815</v>
      </c>
      <c r="G1258" t="s">
        <v>3986</v>
      </c>
      <c r="H1258" t="s">
        <v>6407</v>
      </c>
      <c r="I1258" t="s">
        <v>8117</v>
      </c>
      <c r="J1258" t="s">
        <v>9059</v>
      </c>
      <c r="K1258">
        <v>11213</v>
      </c>
      <c r="L1258" t="s">
        <v>9094</v>
      </c>
      <c r="M1258" t="s">
        <v>9095</v>
      </c>
      <c r="N1258" t="s">
        <v>9171</v>
      </c>
      <c r="O1258" t="s">
        <v>11137</v>
      </c>
      <c r="P1258" t="s">
        <v>11167</v>
      </c>
      <c r="R1258" t="s">
        <v>11180</v>
      </c>
      <c r="S1258" t="s">
        <v>9094</v>
      </c>
      <c r="T1258" t="s">
        <v>11183</v>
      </c>
      <c r="U1258" t="s">
        <v>11201</v>
      </c>
      <c r="V1258" t="s">
        <v>512</v>
      </c>
      <c r="W1258">
        <v>855.86</v>
      </c>
      <c r="X1258" t="s">
        <v>11332</v>
      </c>
      <c r="Y1258" t="s">
        <v>11340</v>
      </c>
      <c r="Z1258" t="s">
        <v>12255</v>
      </c>
      <c r="AA1258" t="s">
        <v>9144</v>
      </c>
      <c r="AC1258">
        <v>6</v>
      </c>
      <c r="AD1258" t="s">
        <v>19566</v>
      </c>
      <c r="AE1258" t="s">
        <v>9144</v>
      </c>
      <c r="AF1258">
        <v>26</v>
      </c>
      <c r="AG1258">
        <v>1</v>
      </c>
      <c r="AH1258">
        <v>1</v>
      </c>
      <c r="AI1258">
        <v>52.58</v>
      </c>
      <c r="AL1258" t="s">
        <v>19614</v>
      </c>
      <c r="AM1258">
        <v>8892</v>
      </c>
      <c r="AS1258">
        <v>0</v>
      </c>
      <c r="AU1258" t="s">
        <v>95</v>
      </c>
      <c r="AV1258" t="s">
        <v>20733</v>
      </c>
    </row>
    <row r="1259" spans="1:48">
      <c r="A1259" s="1">
        <f>HYPERLINK("https://lsnyc.legalserver.org/matter/dynamic-profile/view/1900458","19-1900458")</f>
        <v>0</v>
      </c>
      <c r="B1259" t="s">
        <v>73</v>
      </c>
      <c r="C1259" t="s">
        <v>256</v>
      </c>
      <c r="D1259" t="s">
        <v>262</v>
      </c>
      <c r="F1259" t="s">
        <v>1815</v>
      </c>
      <c r="G1259" t="s">
        <v>3986</v>
      </c>
      <c r="H1259" t="s">
        <v>6407</v>
      </c>
      <c r="I1259" t="s">
        <v>8117</v>
      </c>
      <c r="J1259" t="s">
        <v>9059</v>
      </c>
      <c r="K1259">
        <v>11213</v>
      </c>
      <c r="L1259" t="s">
        <v>9094</v>
      </c>
      <c r="M1259" t="s">
        <v>9095</v>
      </c>
      <c r="N1259" t="s">
        <v>9668</v>
      </c>
      <c r="O1259" t="s">
        <v>11129</v>
      </c>
      <c r="P1259" t="s">
        <v>11165</v>
      </c>
      <c r="R1259" t="s">
        <v>11180</v>
      </c>
      <c r="S1259" t="s">
        <v>9096</v>
      </c>
      <c r="T1259" t="s">
        <v>11183</v>
      </c>
      <c r="U1259" t="s">
        <v>11201</v>
      </c>
      <c r="V1259" t="s">
        <v>777</v>
      </c>
      <c r="W1259">
        <v>855.86</v>
      </c>
      <c r="X1259" t="s">
        <v>11332</v>
      </c>
      <c r="Y1259" t="s">
        <v>11340</v>
      </c>
      <c r="Z1259" t="s">
        <v>12255</v>
      </c>
      <c r="AA1259" t="s">
        <v>9144</v>
      </c>
      <c r="AC1259">
        <v>6</v>
      </c>
      <c r="AD1259" t="s">
        <v>19566</v>
      </c>
      <c r="AE1259" t="s">
        <v>9144</v>
      </c>
      <c r="AF1259">
        <v>26</v>
      </c>
      <c r="AG1259">
        <v>1</v>
      </c>
      <c r="AH1259">
        <v>1</v>
      </c>
      <c r="AI1259">
        <v>52.58</v>
      </c>
      <c r="AL1259" t="s">
        <v>19614</v>
      </c>
      <c r="AM1259">
        <v>8892</v>
      </c>
      <c r="AN1259" t="s">
        <v>19778</v>
      </c>
      <c r="AS1259">
        <v>0.2</v>
      </c>
      <c r="AT1259" t="s">
        <v>610</v>
      </c>
      <c r="AU1259" t="s">
        <v>95</v>
      </c>
      <c r="AV1259" t="s">
        <v>20733</v>
      </c>
    </row>
    <row r="1260" spans="1:48">
      <c r="A1260" s="1">
        <f>HYPERLINK("https://lsnyc.legalserver.org/matter/dynamic-profile/view/1903997","19-1903997")</f>
        <v>0</v>
      </c>
      <c r="B1260" t="s">
        <v>78</v>
      </c>
      <c r="C1260" t="s">
        <v>256</v>
      </c>
      <c r="D1260" t="s">
        <v>663</v>
      </c>
      <c r="F1260" t="s">
        <v>1141</v>
      </c>
      <c r="G1260" t="s">
        <v>3987</v>
      </c>
      <c r="H1260" t="s">
        <v>5805</v>
      </c>
      <c r="I1260" t="s">
        <v>8212</v>
      </c>
      <c r="J1260" t="s">
        <v>9059</v>
      </c>
      <c r="K1260">
        <v>11213</v>
      </c>
      <c r="L1260" t="s">
        <v>9094</v>
      </c>
      <c r="M1260" t="s">
        <v>9095</v>
      </c>
      <c r="N1260" t="s">
        <v>9144</v>
      </c>
      <c r="O1260" t="s">
        <v>11137</v>
      </c>
      <c r="P1260" t="s">
        <v>11167</v>
      </c>
      <c r="R1260" t="s">
        <v>11180</v>
      </c>
      <c r="S1260" t="s">
        <v>9094</v>
      </c>
      <c r="T1260" t="s">
        <v>11186</v>
      </c>
      <c r="U1260" t="s">
        <v>11201</v>
      </c>
      <c r="V1260" t="s">
        <v>635</v>
      </c>
      <c r="W1260">
        <v>951</v>
      </c>
      <c r="X1260" t="s">
        <v>11332</v>
      </c>
      <c r="Y1260" t="s">
        <v>11348</v>
      </c>
      <c r="Z1260" t="s">
        <v>12256</v>
      </c>
      <c r="AA1260" t="s">
        <v>9144</v>
      </c>
      <c r="AB1260" t="s">
        <v>16681</v>
      </c>
      <c r="AC1260">
        <v>19</v>
      </c>
      <c r="AD1260" t="s">
        <v>19566</v>
      </c>
      <c r="AE1260" t="s">
        <v>19587</v>
      </c>
      <c r="AF1260">
        <v>16</v>
      </c>
      <c r="AG1260">
        <v>3</v>
      </c>
      <c r="AH1260">
        <v>3</v>
      </c>
      <c r="AI1260">
        <v>52.62</v>
      </c>
      <c r="AL1260" t="s">
        <v>19614</v>
      </c>
      <c r="AM1260">
        <v>18200</v>
      </c>
      <c r="AS1260">
        <v>0</v>
      </c>
      <c r="AU1260" t="s">
        <v>95</v>
      </c>
      <c r="AV1260" t="s">
        <v>20733</v>
      </c>
    </row>
    <row r="1261" spans="1:48">
      <c r="A1261" s="1">
        <f>HYPERLINK("https://lsnyc.legalserver.org/matter/dynamic-profile/view/1900651","19-1900651")</f>
        <v>0</v>
      </c>
      <c r="B1261" t="s">
        <v>151</v>
      </c>
      <c r="C1261" t="s">
        <v>256</v>
      </c>
      <c r="D1261" t="s">
        <v>283</v>
      </c>
      <c r="F1261" t="s">
        <v>1141</v>
      </c>
      <c r="G1261" t="s">
        <v>3987</v>
      </c>
      <c r="H1261" t="s">
        <v>5805</v>
      </c>
      <c r="I1261" t="s">
        <v>8212</v>
      </c>
      <c r="J1261" t="s">
        <v>9059</v>
      </c>
      <c r="K1261">
        <v>11213</v>
      </c>
      <c r="L1261" t="s">
        <v>9094</v>
      </c>
      <c r="M1261" t="s">
        <v>9095</v>
      </c>
      <c r="N1261" t="s">
        <v>9669</v>
      </c>
      <c r="O1261" t="s">
        <v>11129</v>
      </c>
      <c r="P1261" t="s">
        <v>11165</v>
      </c>
      <c r="R1261" t="s">
        <v>11180</v>
      </c>
      <c r="S1261" t="s">
        <v>9094</v>
      </c>
      <c r="T1261" t="s">
        <v>11183</v>
      </c>
      <c r="U1261" t="s">
        <v>11201</v>
      </c>
      <c r="V1261" t="s">
        <v>614</v>
      </c>
      <c r="W1261">
        <v>951</v>
      </c>
      <c r="X1261" t="s">
        <v>11332</v>
      </c>
      <c r="Y1261" t="s">
        <v>11348</v>
      </c>
      <c r="Z1261" t="s">
        <v>12256</v>
      </c>
      <c r="AB1261" t="s">
        <v>16681</v>
      </c>
      <c r="AC1261">
        <v>19</v>
      </c>
      <c r="AD1261" t="s">
        <v>19566</v>
      </c>
      <c r="AE1261" t="s">
        <v>19587</v>
      </c>
      <c r="AF1261">
        <v>16</v>
      </c>
      <c r="AG1261">
        <v>3</v>
      </c>
      <c r="AH1261">
        <v>3</v>
      </c>
      <c r="AI1261">
        <v>52.62</v>
      </c>
      <c r="AL1261" t="s">
        <v>19614</v>
      </c>
      <c r="AM1261">
        <v>18200</v>
      </c>
      <c r="AN1261" t="s">
        <v>19779</v>
      </c>
      <c r="AS1261">
        <v>13</v>
      </c>
      <c r="AT1261" t="s">
        <v>414</v>
      </c>
      <c r="AU1261" t="s">
        <v>95</v>
      </c>
      <c r="AV1261" t="s">
        <v>20733</v>
      </c>
    </row>
    <row r="1262" spans="1:48">
      <c r="A1262" s="1">
        <f>HYPERLINK("https://lsnyc.legalserver.org/matter/dynamic-profile/view/1895307","19-1895307")</f>
        <v>0</v>
      </c>
      <c r="B1262" t="s">
        <v>102</v>
      </c>
      <c r="C1262" t="s">
        <v>256</v>
      </c>
      <c r="D1262" t="s">
        <v>264</v>
      </c>
      <c r="F1262" t="s">
        <v>1141</v>
      </c>
      <c r="G1262" t="s">
        <v>3987</v>
      </c>
      <c r="H1262" t="s">
        <v>5805</v>
      </c>
      <c r="I1262" t="s">
        <v>8212</v>
      </c>
      <c r="J1262" t="s">
        <v>9059</v>
      </c>
      <c r="K1262">
        <v>11213</v>
      </c>
      <c r="L1262" t="s">
        <v>9094</v>
      </c>
      <c r="M1262" t="s">
        <v>9094</v>
      </c>
      <c r="N1262" t="s">
        <v>9182</v>
      </c>
      <c r="O1262" t="s">
        <v>11141</v>
      </c>
      <c r="P1262" t="s">
        <v>11170</v>
      </c>
      <c r="R1262" t="s">
        <v>11180</v>
      </c>
      <c r="S1262" t="s">
        <v>9094</v>
      </c>
      <c r="T1262" t="s">
        <v>11185</v>
      </c>
      <c r="V1262" t="s">
        <v>264</v>
      </c>
      <c r="W1262">
        <v>951</v>
      </c>
      <c r="X1262" t="s">
        <v>11332</v>
      </c>
      <c r="Y1262" t="s">
        <v>11348</v>
      </c>
      <c r="Z1262" t="s">
        <v>12256</v>
      </c>
      <c r="AB1262" t="s">
        <v>16681</v>
      </c>
      <c r="AC1262">
        <v>19</v>
      </c>
      <c r="AD1262" t="s">
        <v>19566</v>
      </c>
      <c r="AE1262" t="s">
        <v>19587</v>
      </c>
      <c r="AF1262">
        <v>16</v>
      </c>
      <c r="AG1262">
        <v>3</v>
      </c>
      <c r="AH1262">
        <v>3</v>
      </c>
      <c r="AI1262">
        <v>52.62</v>
      </c>
      <c r="AL1262" t="s">
        <v>19614</v>
      </c>
      <c r="AM1262">
        <v>18200</v>
      </c>
      <c r="AS1262">
        <v>1.6</v>
      </c>
      <c r="AT1262" t="s">
        <v>334</v>
      </c>
      <c r="AU1262" t="s">
        <v>79</v>
      </c>
    </row>
    <row r="1263" spans="1:48">
      <c r="A1263" s="1">
        <f>HYPERLINK("https://lsnyc.legalserver.org/matter/dynamic-profile/view/1906715","19-1906715")</f>
        <v>0</v>
      </c>
      <c r="B1263" t="s">
        <v>134</v>
      </c>
      <c r="C1263" t="s">
        <v>256</v>
      </c>
      <c r="D1263" t="s">
        <v>474</v>
      </c>
      <c r="F1263" t="s">
        <v>1816</v>
      </c>
      <c r="G1263" t="s">
        <v>3728</v>
      </c>
      <c r="H1263" t="s">
        <v>6437</v>
      </c>
      <c r="I1263">
        <v>64</v>
      </c>
      <c r="J1263" t="s">
        <v>9067</v>
      </c>
      <c r="K1263">
        <v>10031</v>
      </c>
      <c r="L1263" t="s">
        <v>9096</v>
      </c>
      <c r="M1263" t="s">
        <v>9095</v>
      </c>
      <c r="P1263" t="s">
        <v>11166</v>
      </c>
      <c r="R1263" t="s">
        <v>11180</v>
      </c>
      <c r="S1263" t="s">
        <v>9096</v>
      </c>
      <c r="T1263" t="s">
        <v>11183</v>
      </c>
      <c r="W1263">
        <v>0</v>
      </c>
      <c r="X1263" t="s">
        <v>11335</v>
      </c>
      <c r="Z1263" t="s">
        <v>12257</v>
      </c>
      <c r="AC1263">
        <v>0</v>
      </c>
      <c r="AD1263" t="s">
        <v>19566</v>
      </c>
      <c r="AE1263" t="s">
        <v>9144</v>
      </c>
      <c r="AF1263">
        <v>0</v>
      </c>
      <c r="AG1263">
        <v>5</v>
      </c>
      <c r="AH1263">
        <v>1</v>
      </c>
      <c r="AI1263">
        <v>52.62</v>
      </c>
      <c r="AM1263">
        <v>18200</v>
      </c>
      <c r="AS1263">
        <v>7.2</v>
      </c>
      <c r="AT1263" t="s">
        <v>728</v>
      </c>
      <c r="AU1263" t="s">
        <v>130</v>
      </c>
    </row>
    <row r="1264" spans="1:48">
      <c r="A1264" s="1">
        <f>HYPERLINK("https://lsnyc.legalserver.org/matter/dynamic-profile/view/1875217","18-1875217")</f>
        <v>0</v>
      </c>
      <c r="B1264" t="s">
        <v>111</v>
      </c>
      <c r="C1264" t="s">
        <v>256</v>
      </c>
      <c r="D1264" t="s">
        <v>624</v>
      </c>
      <c r="F1264" t="s">
        <v>1641</v>
      </c>
      <c r="G1264" t="s">
        <v>1193</v>
      </c>
      <c r="H1264" t="s">
        <v>6438</v>
      </c>
      <c r="I1264" t="s">
        <v>8308</v>
      </c>
      <c r="J1264" t="s">
        <v>9065</v>
      </c>
      <c r="K1264">
        <v>10460</v>
      </c>
      <c r="L1264" t="s">
        <v>9094</v>
      </c>
      <c r="M1264" t="s">
        <v>9094</v>
      </c>
      <c r="N1264" t="s">
        <v>9670</v>
      </c>
      <c r="O1264" t="s">
        <v>11129</v>
      </c>
      <c r="P1264" t="s">
        <v>11165</v>
      </c>
      <c r="R1264" t="s">
        <v>11180</v>
      </c>
      <c r="S1264" t="s">
        <v>9096</v>
      </c>
      <c r="T1264" t="s">
        <v>11183</v>
      </c>
      <c r="U1264" t="s">
        <v>11199</v>
      </c>
      <c r="V1264" t="s">
        <v>605</v>
      </c>
      <c r="W1264">
        <v>1042</v>
      </c>
      <c r="X1264" t="s">
        <v>11333</v>
      </c>
      <c r="Y1264" t="s">
        <v>11345</v>
      </c>
      <c r="Z1264" t="s">
        <v>12258</v>
      </c>
      <c r="AA1264" t="s">
        <v>15522</v>
      </c>
      <c r="AB1264" t="s">
        <v>16682</v>
      </c>
      <c r="AC1264">
        <v>84</v>
      </c>
      <c r="AD1264" t="s">
        <v>19566</v>
      </c>
      <c r="AE1264" t="s">
        <v>9144</v>
      </c>
      <c r="AF1264">
        <v>3</v>
      </c>
      <c r="AG1264">
        <v>1</v>
      </c>
      <c r="AH1264">
        <v>4</v>
      </c>
      <c r="AI1264">
        <v>52.66</v>
      </c>
      <c r="AL1264" t="s">
        <v>19614</v>
      </c>
      <c r="AM1264">
        <v>15492</v>
      </c>
      <c r="AS1264">
        <v>48.1</v>
      </c>
      <c r="AT1264" t="s">
        <v>486</v>
      </c>
      <c r="AU1264" t="s">
        <v>20647</v>
      </c>
    </row>
    <row r="1265" spans="1:48">
      <c r="A1265" s="1">
        <f>HYPERLINK("https://lsnyc.legalserver.org/matter/dynamic-profile/view/1904129","19-1904129")</f>
        <v>0</v>
      </c>
      <c r="B1265" t="s">
        <v>106</v>
      </c>
      <c r="C1265" t="s">
        <v>257</v>
      </c>
      <c r="D1265" t="s">
        <v>312</v>
      </c>
      <c r="E1265" t="s">
        <v>312</v>
      </c>
      <c r="F1265" t="s">
        <v>1817</v>
      </c>
      <c r="G1265" t="s">
        <v>2232</v>
      </c>
      <c r="H1265" t="s">
        <v>6439</v>
      </c>
      <c r="I1265">
        <v>614</v>
      </c>
      <c r="J1265" t="s">
        <v>9065</v>
      </c>
      <c r="K1265">
        <v>10457</v>
      </c>
      <c r="L1265" t="s">
        <v>9094</v>
      </c>
      <c r="M1265" t="s">
        <v>9095</v>
      </c>
      <c r="N1265" t="s">
        <v>9671</v>
      </c>
      <c r="O1265" t="s">
        <v>11129</v>
      </c>
      <c r="P1265" t="s">
        <v>11167</v>
      </c>
      <c r="Q1265" t="s">
        <v>11173</v>
      </c>
      <c r="R1265" t="s">
        <v>11180</v>
      </c>
      <c r="S1265" t="s">
        <v>9096</v>
      </c>
      <c r="T1265" t="s">
        <v>11183</v>
      </c>
      <c r="U1265" t="s">
        <v>11201</v>
      </c>
      <c r="V1265" t="s">
        <v>706</v>
      </c>
      <c r="W1265">
        <v>1268</v>
      </c>
      <c r="X1265" t="s">
        <v>11333</v>
      </c>
      <c r="Y1265" t="s">
        <v>11340</v>
      </c>
      <c r="Z1265" t="s">
        <v>12259</v>
      </c>
      <c r="AA1265" t="s">
        <v>15523</v>
      </c>
      <c r="AB1265" t="s">
        <v>16683</v>
      </c>
      <c r="AC1265">
        <v>99</v>
      </c>
      <c r="AD1265" t="s">
        <v>19572</v>
      </c>
      <c r="AE1265" t="s">
        <v>19582</v>
      </c>
      <c r="AF1265">
        <v>1</v>
      </c>
      <c r="AG1265">
        <v>1</v>
      </c>
      <c r="AH1265">
        <v>1</v>
      </c>
      <c r="AI1265">
        <v>52.66</v>
      </c>
      <c r="AL1265" t="s">
        <v>19614</v>
      </c>
      <c r="AM1265">
        <v>8904</v>
      </c>
      <c r="AS1265">
        <v>0.5</v>
      </c>
      <c r="AT1265" t="s">
        <v>312</v>
      </c>
      <c r="AU1265" t="s">
        <v>220</v>
      </c>
      <c r="AV1265" t="s">
        <v>20733</v>
      </c>
    </row>
    <row r="1266" spans="1:48">
      <c r="A1266" s="1">
        <f>HYPERLINK("https://lsnyc.legalserver.org/matter/dynamic-profile/view/1905725","19-1905725")</f>
        <v>0</v>
      </c>
      <c r="B1266" t="s">
        <v>102</v>
      </c>
      <c r="C1266" t="s">
        <v>256</v>
      </c>
      <c r="D1266" t="s">
        <v>328</v>
      </c>
      <c r="F1266" t="s">
        <v>1164</v>
      </c>
      <c r="G1266" t="s">
        <v>3988</v>
      </c>
      <c r="H1266" t="s">
        <v>5976</v>
      </c>
      <c r="I1266" t="s">
        <v>8128</v>
      </c>
      <c r="J1266" t="s">
        <v>9059</v>
      </c>
      <c r="K1266">
        <v>11233</v>
      </c>
      <c r="L1266" t="s">
        <v>9094</v>
      </c>
      <c r="M1266" t="s">
        <v>9095</v>
      </c>
      <c r="N1266" t="s">
        <v>9672</v>
      </c>
      <c r="O1266" t="s">
        <v>11130</v>
      </c>
      <c r="P1266" t="s">
        <v>11165</v>
      </c>
      <c r="R1266" t="s">
        <v>11180</v>
      </c>
      <c r="S1266" t="s">
        <v>9094</v>
      </c>
      <c r="T1266" t="s">
        <v>11183</v>
      </c>
      <c r="U1266" t="s">
        <v>11201</v>
      </c>
      <c r="V1266" t="s">
        <v>512</v>
      </c>
      <c r="W1266">
        <v>867</v>
      </c>
      <c r="X1266" t="s">
        <v>11332</v>
      </c>
      <c r="Y1266" t="s">
        <v>11340</v>
      </c>
      <c r="Z1266" t="s">
        <v>12260</v>
      </c>
      <c r="AA1266" t="s">
        <v>15290</v>
      </c>
      <c r="AB1266" t="s">
        <v>16684</v>
      </c>
      <c r="AC1266">
        <v>6</v>
      </c>
      <c r="AD1266" t="s">
        <v>19566</v>
      </c>
      <c r="AE1266" t="s">
        <v>9144</v>
      </c>
      <c r="AF1266">
        <v>16</v>
      </c>
      <c r="AG1266">
        <v>2</v>
      </c>
      <c r="AH1266">
        <v>1</v>
      </c>
      <c r="AI1266">
        <v>52.77</v>
      </c>
      <c r="AL1266" t="s">
        <v>19614</v>
      </c>
      <c r="AM1266">
        <v>11256</v>
      </c>
      <c r="AS1266">
        <v>7.3</v>
      </c>
      <c r="AT1266" t="s">
        <v>594</v>
      </c>
      <c r="AU1266" t="s">
        <v>95</v>
      </c>
      <c r="AV1266" t="s">
        <v>20733</v>
      </c>
    </row>
    <row r="1267" spans="1:48">
      <c r="A1267" s="1">
        <f>HYPERLINK("https://lsnyc.legalserver.org/matter/dynamic-profile/view/1905713","19-1905713")</f>
        <v>0</v>
      </c>
      <c r="B1267" t="s">
        <v>93</v>
      </c>
      <c r="C1267" t="s">
        <v>256</v>
      </c>
      <c r="D1267" t="s">
        <v>328</v>
      </c>
      <c r="F1267" t="s">
        <v>1164</v>
      </c>
      <c r="G1267" t="s">
        <v>3988</v>
      </c>
      <c r="H1267" t="s">
        <v>5976</v>
      </c>
      <c r="I1267" t="s">
        <v>8128</v>
      </c>
      <c r="J1267" t="s">
        <v>9059</v>
      </c>
      <c r="K1267">
        <v>11233</v>
      </c>
      <c r="L1267" t="s">
        <v>9094</v>
      </c>
      <c r="M1267" t="s">
        <v>9095</v>
      </c>
      <c r="N1267" t="s">
        <v>9121</v>
      </c>
      <c r="O1267" t="s">
        <v>11137</v>
      </c>
      <c r="P1267" t="s">
        <v>11167</v>
      </c>
      <c r="R1267" t="s">
        <v>11180</v>
      </c>
      <c r="S1267" t="s">
        <v>9094</v>
      </c>
      <c r="T1267" t="s">
        <v>11183</v>
      </c>
      <c r="U1267" t="s">
        <v>11201</v>
      </c>
      <c r="V1267" t="s">
        <v>11229</v>
      </c>
      <c r="W1267">
        <v>867</v>
      </c>
      <c r="X1267" t="s">
        <v>11332</v>
      </c>
      <c r="Y1267" t="s">
        <v>11340</v>
      </c>
      <c r="Z1267" t="s">
        <v>12260</v>
      </c>
      <c r="AA1267" t="s">
        <v>15287</v>
      </c>
      <c r="AB1267" t="s">
        <v>16684</v>
      </c>
      <c r="AC1267">
        <v>6</v>
      </c>
      <c r="AD1267" t="s">
        <v>19566</v>
      </c>
      <c r="AE1267" t="s">
        <v>9144</v>
      </c>
      <c r="AF1267">
        <v>16</v>
      </c>
      <c r="AG1267">
        <v>2</v>
      </c>
      <c r="AH1267">
        <v>1</v>
      </c>
      <c r="AI1267">
        <v>52.77</v>
      </c>
      <c r="AL1267" t="s">
        <v>19614</v>
      </c>
      <c r="AM1267">
        <v>11256</v>
      </c>
      <c r="AS1267">
        <v>0</v>
      </c>
      <c r="AU1267" t="s">
        <v>95</v>
      </c>
      <c r="AV1267" t="s">
        <v>20733</v>
      </c>
    </row>
    <row r="1268" spans="1:48">
      <c r="A1268" s="1">
        <f>HYPERLINK("https://lsnyc.legalserver.org/matter/dynamic-profile/view/1905717","19-1905717")</f>
        <v>0</v>
      </c>
      <c r="B1268" t="s">
        <v>93</v>
      </c>
      <c r="C1268" t="s">
        <v>256</v>
      </c>
      <c r="D1268" t="s">
        <v>328</v>
      </c>
      <c r="F1268" t="s">
        <v>1164</v>
      </c>
      <c r="G1268" t="s">
        <v>3988</v>
      </c>
      <c r="H1268" t="s">
        <v>5976</v>
      </c>
      <c r="I1268" t="s">
        <v>8128</v>
      </c>
      <c r="J1268" t="s">
        <v>9059</v>
      </c>
      <c r="K1268">
        <v>11233</v>
      </c>
      <c r="L1268" t="s">
        <v>9094</v>
      </c>
      <c r="M1268" t="s">
        <v>9095</v>
      </c>
      <c r="N1268" t="s">
        <v>9154</v>
      </c>
      <c r="O1268" t="s">
        <v>11137</v>
      </c>
      <c r="P1268" t="s">
        <v>11167</v>
      </c>
      <c r="R1268" t="s">
        <v>11180</v>
      </c>
      <c r="S1268" t="s">
        <v>9094</v>
      </c>
      <c r="T1268" t="s">
        <v>11183</v>
      </c>
      <c r="U1268" t="s">
        <v>11201</v>
      </c>
      <c r="V1268" t="s">
        <v>697</v>
      </c>
      <c r="W1268">
        <v>867</v>
      </c>
      <c r="X1268" t="s">
        <v>11332</v>
      </c>
      <c r="Y1268" t="s">
        <v>11340</v>
      </c>
      <c r="Z1268" t="s">
        <v>12260</v>
      </c>
      <c r="AA1268" t="s">
        <v>15290</v>
      </c>
      <c r="AB1268" t="s">
        <v>16684</v>
      </c>
      <c r="AC1268">
        <v>6</v>
      </c>
      <c r="AD1268" t="s">
        <v>19566</v>
      </c>
      <c r="AE1268" t="s">
        <v>9144</v>
      </c>
      <c r="AF1268">
        <v>16</v>
      </c>
      <c r="AG1268">
        <v>2</v>
      </c>
      <c r="AH1268">
        <v>1</v>
      </c>
      <c r="AI1268">
        <v>52.77</v>
      </c>
      <c r="AL1268" t="s">
        <v>19614</v>
      </c>
      <c r="AM1268">
        <v>11256</v>
      </c>
      <c r="AS1268">
        <v>0</v>
      </c>
      <c r="AU1268" t="s">
        <v>95</v>
      </c>
      <c r="AV1268" t="s">
        <v>20733</v>
      </c>
    </row>
    <row r="1269" spans="1:48">
      <c r="A1269" s="1">
        <f>HYPERLINK("https://lsnyc.legalserver.org/matter/dynamic-profile/view/1905723","19-1905723")</f>
        <v>0</v>
      </c>
      <c r="B1269" t="s">
        <v>93</v>
      </c>
      <c r="C1269" t="s">
        <v>256</v>
      </c>
      <c r="D1269" t="s">
        <v>328</v>
      </c>
      <c r="F1269" t="s">
        <v>1164</v>
      </c>
      <c r="G1269" t="s">
        <v>3988</v>
      </c>
      <c r="H1269" t="s">
        <v>5976</v>
      </c>
      <c r="I1269" t="s">
        <v>8128</v>
      </c>
      <c r="J1269" t="s">
        <v>9059</v>
      </c>
      <c r="K1269">
        <v>11233</v>
      </c>
      <c r="L1269" t="s">
        <v>9094</v>
      </c>
      <c r="M1269" t="s">
        <v>9095</v>
      </c>
      <c r="N1269" t="s">
        <v>9121</v>
      </c>
      <c r="O1269" t="s">
        <v>11137</v>
      </c>
      <c r="P1269" t="s">
        <v>11167</v>
      </c>
      <c r="R1269" t="s">
        <v>11180</v>
      </c>
      <c r="S1269" t="s">
        <v>9094</v>
      </c>
      <c r="T1269" t="s">
        <v>11183</v>
      </c>
      <c r="U1269" t="s">
        <v>11201</v>
      </c>
      <c r="V1269" t="s">
        <v>635</v>
      </c>
      <c r="W1269">
        <v>867</v>
      </c>
      <c r="X1269" t="s">
        <v>11332</v>
      </c>
      <c r="Y1269" t="s">
        <v>11340</v>
      </c>
      <c r="Z1269" t="s">
        <v>12260</v>
      </c>
      <c r="AA1269" t="s">
        <v>15290</v>
      </c>
      <c r="AB1269" t="s">
        <v>16684</v>
      </c>
      <c r="AC1269">
        <v>6</v>
      </c>
      <c r="AD1269" t="s">
        <v>19566</v>
      </c>
      <c r="AE1269" t="s">
        <v>9144</v>
      </c>
      <c r="AF1269">
        <v>16</v>
      </c>
      <c r="AG1269">
        <v>2</v>
      </c>
      <c r="AH1269">
        <v>1</v>
      </c>
      <c r="AI1269">
        <v>52.77</v>
      </c>
      <c r="AL1269" t="s">
        <v>19614</v>
      </c>
      <c r="AM1269">
        <v>11256</v>
      </c>
      <c r="AS1269">
        <v>0</v>
      </c>
      <c r="AU1269" t="s">
        <v>95</v>
      </c>
      <c r="AV1269" t="s">
        <v>20733</v>
      </c>
    </row>
    <row r="1270" spans="1:48">
      <c r="A1270" s="1">
        <f>HYPERLINK("https://lsnyc.legalserver.org/matter/dynamic-profile/view/1899475","19-1899475")</f>
        <v>0</v>
      </c>
      <c r="B1270" t="s">
        <v>119</v>
      </c>
      <c r="C1270" t="s">
        <v>257</v>
      </c>
      <c r="D1270" t="s">
        <v>454</v>
      </c>
      <c r="E1270" t="s">
        <v>612</v>
      </c>
      <c r="F1270" t="s">
        <v>1358</v>
      </c>
      <c r="G1270" t="s">
        <v>3989</v>
      </c>
      <c r="H1270" t="s">
        <v>6440</v>
      </c>
      <c r="I1270" t="s">
        <v>8170</v>
      </c>
      <c r="J1270" t="s">
        <v>9065</v>
      </c>
      <c r="K1270">
        <v>10458</v>
      </c>
      <c r="L1270" t="s">
        <v>9094</v>
      </c>
      <c r="M1270" t="s">
        <v>9095</v>
      </c>
      <c r="P1270" t="s">
        <v>11164</v>
      </c>
      <c r="Q1270" t="s">
        <v>11172</v>
      </c>
      <c r="R1270" t="s">
        <v>11180</v>
      </c>
      <c r="S1270" t="s">
        <v>9096</v>
      </c>
      <c r="T1270" t="s">
        <v>11183</v>
      </c>
      <c r="V1270" t="s">
        <v>760</v>
      </c>
      <c r="W1270">
        <v>1360</v>
      </c>
      <c r="X1270" t="s">
        <v>11333</v>
      </c>
      <c r="Y1270" t="s">
        <v>11346</v>
      </c>
      <c r="Z1270" t="s">
        <v>12261</v>
      </c>
      <c r="AB1270" t="s">
        <v>16685</v>
      </c>
      <c r="AC1270">
        <v>43</v>
      </c>
      <c r="AD1270" t="s">
        <v>15441</v>
      </c>
      <c r="AE1270" t="s">
        <v>9144</v>
      </c>
      <c r="AF1270">
        <v>6</v>
      </c>
      <c r="AG1270">
        <v>1</v>
      </c>
      <c r="AH1270">
        <v>0</v>
      </c>
      <c r="AI1270">
        <v>52.84</v>
      </c>
      <c r="AL1270" t="s">
        <v>19615</v>
      </c>
      <c r="AM1270">
        <v>6600</v>
      </c>
      <c r="AS1270">
        <v>0.5</v>
      </c>
      <c r="AT1270" t="s">
        <v>279</v>
      </c>
      <c r="AU1270" t="s">
        <v>163</v>
      </c>
      <c r="AV1270" t="s">
        <v>20733</v>
      </c>
    </row>
    <row r="1271" spans="1:48">
      <c r="A1271" s="1">
        <f>HYPERLINK("https://lsnyc.legalserver.org/matter/dynamic-profile/view/1857132","18-1857132")</f>
        <v>0</v>
      </c>
      <c r="B1271" t="s">
        <v>119</v>
      </c>
      <c r="C1271" t="s">
        <v>256</v>
      </c>
      <c r="D1271" t="s">
        <v>751</v>
      </c>
      <c r="F1271" t="s">
        <v>1303</v>
      </c>
      <c r="G1271" t="s">
        <v>3990</v>
      </c>
      <c r="H1271" t="s">
        <v>5897</v>
      </c>
      <c r="I1271" t="s">
        <v>8413</v>
      </c>
      <c r="J1271" t="s">
        <v>9065</v>
      </c>
      <c r="K1271">
        <v>10452</v>
      </c>
      <c r="L1271" t="s">
        <v>9094</v>
      </c>
      <c r="M1271" t="s">
        <v>9095</v>
      </c>
      <c r="N1271" t="s">
        <v>9253</v>
      </c>
      <c r="O1271" t="s">
        <v>11135</v>
      </c>
      <c r="P1271" t="s">
        <v>11168</v>
      </c>
      <c r="R1271" t="s">
        <v>11180</v>
      </c>
      <c r="S1271" t="s">
        <v>9094</v>
      </c>
      <c r="T1271" t="s">
        <v>11183</v>
      </c>
      <c r="V1271" t="s">
        <v>11233</v>
      </c>
      <c r="W1271">
        <v>706.95</v>
      </c>
      <c r="X1271" t="s">
        <v>11333</v>
      </c>
      <c r="Y1271" t="s">
        <v>11346</v>
      </c>
      <c r="Z1271" t="s">
        <v>12262</v>
      </c>
      <c r="AB1271" t="s">
        <v>16686</v>
      </c>
      <c r="AC1271">
        <v>122</v>
      </c>
      <c r="AD1271" t="s">
        <v>19566</v>
      </c>
      <c r="AE1271" t="s">
        <v>9144</v>
      </c>
      <c r="AF1271">
        <v>26</v>
      </c>
      <c r="AG1271">
        <v>3</v>
      </c>
      <c r="AH1271">
        <v>0</v>
      </c>
      <c r="AI1271">
        <v>52.89</v>
      </c>
      <c r="AL1271" t="s">
        <v>19614</v>
      </c>
      <c r="AM1271">
        <v>10800</v>
      </c>
      <c r="AS1271">
        <v>71.75</v>
      </c>
      <c r="AT1271" t="s">
        <v>1017</v>
      </c>
      <c r="AU1271" t="s">
        <v>20647</v>
      </c>
    </row>
    <row r="1272" spans="1:48">
      <c r="A1272" s="1">
        <f>HYPERLINK("https://lsnyc.legalserver.org/matter/dynamic-profile/view/1885967","18-1885967")</f>
        <v>0</v>
      </c>
      <c r="B1272" t="s">
        <v>111</v>
      </c>
      <c r="C1272" t="s">
        <v>256</v>
      </c>
      <c r="D1272" t="s">
        <v>629</v>
      </c>
      <c r="F1272" t="s">
        <v>1818</v>
      </c>
      <c r="G1272" t="s">
        <v>3550</v>
      </c>
      <c r="H1272" t="s">
        <v>6370</v>
      </c>
      <c r="I1272" t="s">
        <v>8151</v>
      </c>
      <c r="J1272" t="s">
        <v>9065</v>
      </c>
      <c r="K1272">
        <v>10463</v>
      </c>
      <c r="L1272" t="s">
        <v>9094</v>
      </c>
      <c r="M1272" t="s">
        <v>9094</v>
      </c>
      <c r="N1272" t="s">
        <v>9673</v>
      </c>
      <c r="O1272" t="s">
        <v>11130</v>
      </c>
      <c r="P1272" t="s">
        <v>11165</v>
      </c>
      <c r="R1272" t="s">
        <v>11180</v>
      </c>
      <c r="S1272" t="s">
        <v>9094</v>
      </c>
      <c r="T1272" t="s">
        <v>11183</v>
      </c>
      <c r="V1272" t="s">
        <v>302</v>
      </c>
      <c r="W1272">
        <v>1428</v>
      </c>
      <c r="X1272" t="s">
        <v>11333</v>
      </c>
      <c r="Y1272" t="s">
        <v>11346</v>
      </c>
      <c r="Z1272" t="s">
        <v>12263</v>
      </c>
      <c r="AB1272" t="s">
        <v>16687</v>
      </c>
      <c r="AC1272">
        <v>0</v>
      </c>
      <c r="AD1272" t="s">
        <v>19566</v>
      </c>
      <c r="AE1272" t="s">
        <v>19582</v>
      </c>
      <c r="AF1272">
        <v>3</v>
      </c>
      <c r="AG1272">
        <v>2</v>
      </c>
      <c r="AH1272">
        <v>1</v>
      </c>
      <c r="AI1272">
        <v>52.94</v>
      </c>
      <c r="AL1272" t="s">
        <v>19615</v>
      </c>
      <c r="AM1272">
        <v>11000</v>
      </c>
      <c r="AS1272">
        <v>4.4</v>
      </c>
      <c r="AT1272" t="s">
        <v>988</v>
      </c>
      <c r="AU1272" t="s">
        <v>20647</v>
      </c>
    </row>
    <row r="1273" spans="1:48">
      <c r="A1273" s="1">
        <f>HYPERLINK("https://lsnyc.legalserver.org/matter/dynamic-profile/view/1887380","19-1887380")</f>
        <v>0</v>
      </c>
      <c r="B1273" t="s">
        <v>103</v>
      </c>
      <c r="C1273" t="s">
        <v>256</v>
      </c>
      <c r="D1273" t="s">
        <v>402</v>
      </c>
      <c r="F1273" t="s">
        <v>1819</v>
      </c>
      <c r="G1273" t="s">
        <v>3674</v>
      </c>
      <c r="H1273" t="s">
        <v>5886</v>
      </c>
      <c r="I1273">
        <v>47</v>
      </c>
      <c r="J1273" t="s">
        <v>9065</v>
      </c>
      <c r="K1273">
        <v>10453</v>
      </c>
      <c r="L1273" t="s">
        <v>9094</v>
      </c>
      <c r="M1273" t="s">
        <v>9094</v>
      </c>
      <c r="N1273" t="s">
        <v>9238</v>
      </c>
      <c r="O1273" t="s">
        <v>11134</v>
      </c>
      <c r="P1273" t="s">
        <v>11168</v>
      </c>
      <c r="R1273" t="s">
        <v>11180</v>
      </c>
      <c r="S1273" t="s">
        <v>9094</v>
      </c>
      <c r="T1273" t="s">
        <v>11183</v>
      </c>
      <c r="V1273" t="s">
        <v>512</v>
      </c>
      <c r="W1273">
        <v>1345</v>
      </c>
      <c r="X1273" t="s">
        <v>11333</v>
      </c>
      <c r="Y1273" t="s">
        <v>11339</v>
      </c>
      <c r="Z1273" t="s">
        <v>12264</v>
      </c>
      <c r="AB1273" t="s">
        <v>16688</v>
      </c>
      <c r="AC1273">
        <v>43</v>
      </c>
      <c r="AD1273" t="s">
        <v>19566</v>
      </c>
      <c r="AE1273" t="s">
        <v>19580</v>
      </c>
      <c r="AF1273">
        <v>18</v>
      </c>
      <c r="AG1273">
        <v>2</v>
      </c>
      <c r="AH1273">
        <v>1</v>
      </c>
      <c r="AI1273">
        <v>52.94</v>
      </c>
      <c r="AL1273" t="s">
        <v>19615</v>
      </c>
      <c r="AM1273">
        <v>11000.04</v>
      </c>
      <c r="AS1273">
        <v>0</v>
      </c>
      <c r="AU1273" t="s">
        <v>20647</v>
      </c>
    </row>
    <row r="1274" spans="1:48">
      <c r="A1274" s="1">
        <f>HYPERLINK("https://lsnyc.legalserver.org/matter/dynamic-profile/view/1861493","18-1861493")</f>
        <v>0</v>
      </c>
      <c r="B1274" t="s">
        <v>93</v>
      </c>
      <c r="C1274" t="s">
        <v>256</v>
      </c>
      <c r="D1274" t="s">
        <v>752</v>
      </c>
      <c r="F1274" t="s">
        <v>1164</v>
      </c>
      <c r="G1274" t="s">
        <v>3988</v>
      </c>
      <c r="H1274" t="s">
        <v>5976</v>
      </c>
      <c r="I1274" t="s">
        <v>8128</v>
      </c>
      <c r="J1274" t="s">
        <v>9059</v>
      </c>
      <c r="K1274">
        <v>11233</v>
      </c>
      <c r="L1274" t="s">
        <v>9094</v>
      </c>
      <c r="M1274" t="s">
        <v>9095</v>
      </c>
      <c r="O1274" t="s">
        <v>11129</v>
      </c>
      <c r="P1274" t="s">
        <v>11165</v>
      </c>
      <c r="R1274" t="s">
        <v>11180</v>
      </c>
      <c r="S1274" t="s">
        <v>9096</v>
      </c>
      <c r="T1274" t="s">
        <v>11183</v>
      </c>
      <c r="V1274" t="s">
        <v>683</v>
      </c>
      <c r="W1274">
        <v>867</v>
      </c>
      <c r="X1274" t="s">
        <v>11332</v>
      </c>
      <c r="Y1274" t="s">
        <v>11340</v>
      </c>
      <c r="Z1274" t="s">
        <v>12260</v>
      </c>
      <c r="AB1274" t="s">
        <v>16684</v>
      </c>
      <c r="AC1274">
        <v>6</v>
      </c>
      <c r="AD1274" t="s">
        <v>19566</v>
      </c>
      <c r="AE1274" t="s">
        <v>9144</v>
      </c>
      <c r="AF1274">
        <v>16</v>
      </c>
      <c r="AG1274">
        <v>2</v>
      </c>
      <c r="AH1274">
        <v>1</v>
      </c>
      <c r="AI1274">
        <v>52.95</v>
      </c>
      <c r="AL1274" t="s">
        <v>19614</v>
      </c>
      <c r="AM1274">
        <v>11004</v>
      </c>
      <c r="AS1274">
        <v>51.9</v>
      </c>
      <c r="AT1274" t="s">
        <v>676</v>
      </c>
      <c r="AU1274" t="s">
        <v>150</v>
      </c>
      <c r="AV1274" t="s">
        <v>20733</v>
      </c>
    </row>
    <row r="1275" spans="1:48">
      <c r="A1275" s="1">
        <f>HYPERLINK("https://lsnyc.legalserver.org/matter/dynamic-profile/view/1886661","18-1886661")</f>
        <v>0</v>
      </c>
      <c r="B1275" t="s">
        <v>72</v>
      </c>
      <c r="C1275" t="s">
        <v>257</v>
      </c>
      <c r="D1275" t="s">
        <v>753</v>
      </c>
      <c r="E1275" t="s">
        <v>457</v>
      </c>
      <c r="F1275" t="s">
        <v>1820</v>
      </c>
      <c r="G1275" t="s">
        <v>3991</v>
      </c>
      <c r="H1275" t="s">
        <v>6441</v>
      </c>
      <c r="I1275">
        <v>2</v>
      </c>
      <c r="J1275" t="s">
        <v>9059</v>
      </c>
      <c r="K1275">
        <v>11207</v>
      </c>
      <c r="L1275" t="s">
        <v>9094</v>
      </c>
      <c r="M1275" t="s">
        <v>9094</v>
      </c>
      <c r="N1275" t="s">
        <v>9674</v>
      </c>
      <c r="O1275" t="s">
        <v>11129</v>
      </c>
      <c r="P1275" t="s">
        <v>11164</v>
      </c>
      <c r="Q1275" t="s">
        <v>11172</v>
      </c>
      <c r="R1275" t="s">
        <v>11180</v>
      </c>
      <c r="S1275" t="s">
        <v>9096</v>
      </c>
      <c r="T1275" t="s">
        <v>11183</v>
      </c>
      <c r="V1275" t="s">
        <v>427</v>
      </c>
      <c r="W1275">
        <v>850</v>
      </c>
      <c r="X1275" t="s">
        <v>11332</v>
      </c>
      <c r="Y1275" t="s">
        <v>11345</v>
      </c>
      <c r="Z1275" t="s">
        <v>12265</v>
      </c>
      <c r="AB1275" t="s">
        <v>16689</v>
      </c>
      <c r="AC1275">
        <v>8</v>
      </c>
      <c r="AD1275" t="s">
        <v>19566</v>
      </c>
      <c r="AE1275" t="s">
        <v>9144</v>
      </c>
      <c r="AF1275">
        <v>0</v>
      </c>
      <c r="AG1275">
        <v>4</v>
      </c>
      <c r="AH1275">
        <v>0</v>
      </c>
      <c r="AI1275">
        <v>53.04</v>
      </c>
      <c r="AL1275" t="s">
        <v>19614</v>
      </c>
      <c r="AM1275">
        <v>13312</v>
      </c>
      <c r="AS1275">
        <v>1.5</v>
      </c>
      <c r="AT1275" t="s">
        <v>402</v>
      </c>
      <c r="AU1275" t="s">
        <v>79</v>
      </c>
      <c r="AV1275" t="s">
        <v>20733</v>
      </c>
    </row>
    <row r="1276" spans="1:48">
      <c r="A1276" s="1">
        <f>HYPERLINK("https://lsnyc.legalserver.org/matter/dynamic-profile/view/1874940","18-1874940")</f>
        <v>0</v>
      </c>
      <c r="B1276" t="s">
        <v>107</v>
      </c>
      <c r="C1276" t="s">
        <v>257</v>
      </c>
      <c r="D1276" t="s">
        <v>754</v>
      </c>
      <c r="E1276" t="s">
        <v>282</v>
      </c>
      <c r="F1276" t="s">
        <v>1821</v>
      </c>
      <c r="G1276" t="s">
        <v>3992</v>
      </c>
      <c r="H1276" t="s">
        <v>6442</v>
      </c>
      <c r="I1276" t="s">
        <v>8414</v>
      </c>
      <c r="J1276" t="s">
        <v>9065</v>
      </c>
      <c r="K1276">
        <v>10474</v>
      </c>
      <c r="L1276" t="s">
        <v>9094</v>
      </c>
      <c r="M1276" t="s">
        <v>9094</v>
      </c>
      <c r="O1276" t="s">
        <v>11133</v>
      </c>
      <c r="P1276" t="s">
        <v>11166</v>
      </c>
      <c r="Q1276" t="s">
        <v>11177</v>
      </c>
      <c r="R1276" t="s">
        <v>11180</v>
      </c>
      <c r="S1276" t="s">
        <v>9096</v>
      </c>
      <c r="T1276" t="s">
        <v>11189</v>
      </c>
      <c r="V1276" t="s">
        <v>725</v>
      </c>
      <c r="W1276">
        <v>1084</v>
      </c>
      <c r="X1276" t="s">
        <v>11333</v>
      </c>
      <c r="Y1276" t="s">
        <v>11336</v>
      </c>
      <c r="Z1276" t="s">
        <v>12266</v>
      </c>
      <c r="AA1276" t="s">
        <v>15524</v>
      </c>
      <c r="AB1276" t="s">
        <v>16690</v>
      </c>
      <c r="AC1276">
        <v>27</v>
      </c>
      <c r="AD1276" t="s">
        <v>19566</v>
      </c>
      <c r="AF1276">
        <v>28</v>
      </c>
      <c r="AG1276">
        <v>1</v>
      </c>
      <c r="AH1276">
        <v>1</v>
      </c>
      <c r="AI1276">
        <v>53.15</v>
      </c>
      <c r="AL1276" t="s">
        <v>19615</v>
      </c>
      <c r="AM1276">
        <v>8748</v>
      </c>
      <c r="AS1276">
        <v>6.1</v>
      </c>
      <c r="AT1276" t="s">
        <v>282</v>
      </c>
      <c r="AU1276" t="s">
        <v>20689</v>
      </c>
    </row>
    <row r="1277" spans="1:48">
      <c r="A1277" s="1">
        <f>HYPERLINK("https://lsnyc.legalserver.org/matter/dynamic-profile/view/1910768","19-1910768")</f>
        <v>0</v>
      </c>
      <c r="B1277" t="s">
        <v>191</v>
      </c>
      <c r="C1277" t="s">
        <v>256</v>
      </c>
      <c r="D1277" t="s">
        <v>307</v>
      </c>
      <c r="F1277" t="s">
        <v>1264</v>
      </c>
      <c r="G1277" t="s">
        <v>3503</v>
      </c>
      <c r="H1277" t="s">
        <v>6443</v>
      </c>
      <c r="I1277" t="s">
        <v>8415</v>
      </c>
      <c r="J1277" t="s">
        <v>9065</v>
      </c>
      <c r="K1277">
        <v>10462</v>
      </c>
      <c r="L1277" t="s">
        <v>9094</v>
      </c>
      <c r="M1277" t="s">
        <v>9095</v>
      </c>
      <c r="N1277" t="s">
        <v>9675</v>
      </c>
      <c r="O1277" t="s">
        <v>11140</v>
      </c>
      <c r="P1277" t="s">
        <v>11166</v>
      </c>
      <c r="R1277" t="s">
        <v>11180</v>
      </c>
      <c r="S1277" t="s">
        <v>9096</v>
      </c>
      <c r="T1277" t="s">
        <v>11189</v>
      </c>
      <c r="U1277" t="s">
        <v>11201</v>
      </c>
      <c r="W1277">
        <v>0</v>
      </c>
      <c r="X1277" t="s">
        <v>11333</v>
      </c>
      <c r="Y1277" t="s">
        <v>11347</v>
      </c>
      <c r="Z1277" t="s">
        <v>12267</v>
      </c>
      <c r="AA1277" t="s">
        <v>15525</v>
      </c>
      <c r="AB1277" t="s">
        <v>16691</v>
      </c>
      <c r="AC1277">
        <v>0</v>
      </c>
      <c r="AD1277" t="s">
        <v>19571</v>
      </c>
      <c r="AE1277" t="s">
        <v>19580</v>
      </c>
      <c r="AF1277">
        <v>0</v>
      </c>
      <c r="AG1277">
        <v>1</v>
      </c>
      <c r="AH1277">
        <v>1</v>
      </c>
      <c r="AI1277">
        <v>53.15</v>
      </c>
      <c r="AL1277" t="s">
        <v>19614</v>
      </c>
      <c r="AM1277">
        <v>8988</v>
      </c>
      <c r="AS1277">
        <v>22.5</v>
      </c>
      <c r="AT1277" t="s">
        <v>1135</v>
      </c>
      <c r="AU1277" t="s">
        <v>20649</v>
      </c>
      <c r="AV1277" t="s">
        <v>20734</v>
      </c>
    </row>
    <row r="1278" spans="1:48">
      <c r="A1278" s="1">
        <f>HYPERLINK("https://lsnyc.legalserver.org/matter/dynamic-profile/view/1857641","18-1857641")</f>
        <v>0</v>
      </c>
      <c r="B1278" t="s">
        <v>122</v>
      </c>
      <c r="C1278" t="s">
        <v>257</v>
      </c>
      <c r="D1278" t="s">
        <v>755</v>
      </c>
      <c r="E1278" t="s">
        <v>416</v>
      </c>
      <c r="F1278" t="s">
        <v>1282</v>
      </c>
      <c r="G1278" t="s">
        <v>3993</v>
      </c>
      <c r="H1278" t="s">
        <v>6444</v>
      </c>
      <c r="I1278" t="s">
        <v>8283</v>
      </c>
      <c r="J1278" t="s">
        <v>9066</v>
      </c>
      <c r="K1278">
        <v>10304</v>
      </c>
      <c r="L1278" t="s">
        <v>9094</v>
      </c>
      <c r="M1278" t="s">
        <v>9095</v>
      </c>
      <c r="N1278" t="s">
        <v>9102</v>
      </c>
      <c r="O1278" t="s">
        <v>11137</v>
      </c>
      <c r="P1278" t="s">
        <v>11166</v>
      </c>
      <c r="Q1278" t="s">
        <v>11176</v>
      </c>
      <c r="R1278" t="s">
        <v>11180</v>
      </c>
      <c r="S1278" t="s">
        <v>9094</v>
      </c>
      <c r="T1278" t="s">
        <v>11183</v>
      </c>
      <c r="U1278" t="s">
        <v>11201</v>
      </c>
      <c r="V1278" t="s">
        <v>755</v>
      </c>
      <c r="W1278">
        <v>0</v>
      </c>
      <c r="X1278" t="s">
        <v>11334</v>
      </c>
      <c r="Y1278" t="s">
        <v>11339</v>
      </c>
      <c r="Z1278" t="s">
        <v>12268</v>
      </c>
      <c r="AC1278">
        <v>86</v>
      </c>
      <c r="AD1278" t="s">
        <v>19566</v>
      </c>
      <c r="AE1278" t="s">
        <v>19586</v>
      </c>
      <c r="AF1278">
        <v>1</v>
      </c>
      <c r="AG1278">
        <v>2</v>
      </c>
      <c r="AH1278">
        <v>0</v>
      </c>
      <c r="AI1278">
        <v>53.2</v>
      </c>
      <c r="AM1278">
        <v>8640</v>
      </c>
      <c r="AS1278">
        <v>0.6</v>
      </c>
      <c r="AT1278" t="s">
        <v>416</v>
      </c>
      <c r="AU1278" t="s">
        <v>128</v>
      </c>
      <c r="AV1278" t="s">
        <v>20733</v>
      </c>
    </row>
    <row r="1279" spans="1:48">
      <c r="A1279" s="1">
        <f>HYPERLINK("https://lsnyc.legalserver.org/matter/dynamic-profile/view/1907662","19-1907662")</f>
        <v>0</v>
      </c>
      <c r="B1279" t="s">
        <v>65</v>
      </c>
      <c r="C1279" t="s">
        <v>256</v>
      </c>
      <c r="D1279" t="s">
        <v>429</v>
      </c>
      <c r="F1279" t="s">
        <v>1186</v>
      </c>
      <c r="G1279" t="s">
        <v>3382</v>
      </c>
      <c r="H1279" t="s">
        <v>5742</v>
      </c>
      <c r="I1279" t="s">
        <v>8136</v>
      </c>
      <c r="J1279" t="s">
        <v>9059</v>
      </c>
      <c r="K1279">
        <v>11238</v>
      </c>
      <c r="L1279" t="s">
        <v>9094</v>
      </c>
      <c r="M1279" t="s">
        <v>9095</v>
      </c>
      <c r="O1279" t="s">
        <v>11137</v>
      </c>
      <c r="P1279" t="s">
        <v>11166</v>
      </c>
      <c r="R1279" t="s">
        <v>11180</v>
      </c>
      <c r="S1279" t="s">
        <v>9096</v>
      </c>
      <c r="T1279" t="s">
        <v>11183</v>
      </c>
      <c r="V1279" t="s">
        <v>429</v>
      </c>
      <c r="W1279">
        <v>0</v>
      </c>
      <c r="X1279" t="s">
        <v>11332</v>
      </c>
      <c r="Z1279" t="s">
        <v>12269</v>
      </c>
      <c r="AB1279" t="s">
        <v>16692</v>
      </c>
      <c r="AC1279">
        <v>29</v>
      </c>
      <c r="AF1279">
        <v>0</v>
      </c>
      <c r="AG1279">
        <v>2</v>
      </c>
      <c r="AH1279">
        <v>0</v>
      </c>
      <c r="AI1279">
        <v>53.22</v>
      </c>
      <c r="AL1279" t="s">
        <v>19614</v>
      </c>
      <c r="AM1279">
        <v>9000</v>
      </c>
      <c r="AS1279">
        <v>9</v>
      </c>
      <c r="AT1279" t="s">
        <v>286</v>
      </c>
      <c r="AU1279" t="s">
        <v>67</v>
      </c>
      <c r="AV1279" t="s">
        <v>20733</v>
      </c>
    </row>
    <row r="1280" spans="1:48">
      <c r="A1280" s="1">
        <f>HYPERLINK("https://lsnyc.legalserver.org/matter/dynamic-profile/view/1890605","19-1890605")</f>
        <v>0</v>
      </c>
      <c r="B1280" t="s">
        <v>65</v>
      </c>
      <c r="C1280" t="s">
        <v>256</v>
      </c>
      <c r="D1280" t="s">
        <v>316</v>
      </c>
      <c r="F1280" t="s">
        <v>1186</v>
      </c>
      <c r="G1280" t="s">
        <v>3382</v>
      </c>
      <c r="H1280" t="s">
        <v>5742</v>
      </c>
      <c r="I1280" t="s">
        <v>8136</v>
      </c>
      <c r="J1280" t="s">
        <v>9059</v>
      </c>
      <c r="K1280">
        <v>11238</v>
      </c>
      <c r="L1280" t="s">
        <v>9094</v>
      </c>
      <c r="M1280" t="s">
        <v>9094</v>
      </c>
      <c r="O1280" t="s">
        <v>11133</v>
      </c>
      <c r="P1280" t="s">
        <v>11166</v>
      </c>
      <c r="R1280" t="s">
        <v>11180</v>
      </c>
      <c r="S1280" t="s">
        <v>9096</v>
      </c>
      <c r="T1280" t="s">
        <v>11183</v>
      </c>
      <c r="V1280" t="s">
        <v>482</v>
      </c>
      <c r="W1280">
        <v>650.39</v>
      </c>
      <c r="X1280" t="s">
        <v>11332</v>
      </c>
      <c r="Y1280" t="s">
        <v>11340</v>
      </c>
      <c r="Z1280" t="s">
        <v>12269</v>
      </c>
      <c r="AB1280" t="s">
        <v>16692</v>
      </c>
      <c r="AC1280">
        <v>29</v>
      </c>
      <c r="AD1280" t="s">
        <v>19566</v>
      </c>
      <c r="AF1280">
        <v>20</v>
      </c>
      <c r="AG1280">
        <v>2</v>
      </c>
      <c r="AH1280">
        <v>0</v>
      </c>
      <c r="AI1280">
        <v>53.22</v>
      </c>
      <c r="AL1280" t="s">
        <v>19614</v>
      </c>
      <c r="AM1280">
        <v>9000</v>
      </c>
      <c r="AS1280">
        <v>16.4</v>
      </c>
      <c r="AT1280" t="s">
        <v>334</v>
      </c>
      <c r="AU1280" t="s">
        <v>215</v>
      </c>
      <c r="AV1280" t="s">
        <v>20733</v>
      </c>
    </row>
    <row r="1281" spans="1:48">
      <c r="A1281" s="1">
        <f>HYPERLINK("https://lsnyc.legalserver.org/matter/dynamic-profile/view/1899841","19-1899841")</f>
        <v>0</v>
      </c>
      <c r="B1281" t="s">
        <v>113</v>
      </c>
      <c r="C1281" t="s">
        <v>256</v>
      </c>
      <c r="D1281" t="s">
        <v>411</v>
      </c>
      <c r="F1281" t="s">
        <v>1822</v>
      </c>
      <c r="G1281" t="s">
        <v>3994</v>
      </c>
      <c r="H1281" t="s">
        <v>5864</v>
      </c>
      <c r="I1281" t="s">
        <v>8416</v>
      </c>
      <c r="J1281" t="s">
        <v>9065</v>
      </c>
      <c r="K1281">
        <v>10460</v>
      </c>
      <c r="L1281" t="s">
        <v>9094</v>
      </c>
      <c r="M1281" t="s">
        <v>9095</v>
      </c>
      <c r="O1281" t="s">
        <v>9121</v>
      </c>
      <c r="P1281" t="s">
        <v>11166</v>
      </c>
      <c r="R1281" t="s">
        <v>11180</v>
      </c>
      <c r="S1281" t="s">
        <v>9094</v>
      </c>
      <c r="T1281" t="s">
        <v>11183</v>
      </c>
      <c r="V1281" t="s">
        <v>11218</v>
      </c>
      <c r="W1281">
        <v>1789</v>
      </c>
      <c r="X1281" t="s">
        <v>11333</v>
      </c>
      <c r="Y1281" t="s">
        <v>11346</v>
      </c>
      <c r="Z1281" t="s">
        <v>12270</v>
      </c>
      <c r="AB1281" t="s">
        <v>16693</v>
      </c>
      <c r="AC1281">
        <v>168</v>
      </c>
      <c r="AD1281" t="s">
        <v>19566</v>
      </c>
      <c r="AE1281" t="s">
        <v>19580</v>
      </c>
      <c r="AF1281">
        <v>12</v>
      </c>
      <c r="AG1281">
        <v>2</v>
      </c>
      <c r="AH1281">
        <v>0</v>
      </c>
      <c r="AI1281">
        <v>53.22</v>
      </c>
      <c r="AL1281" t="s">
        <v>19614</v>
      </c>
      <c r="AM1281">
        <v>9000</v>
      </c>
      <c r="AS1281">
        <v>0</v>
      </c>
      <c r="AU1281" t="s">
        <v>163</v>
      </c>
      <c r="AV1281" t="s">
        <v>20733</v>
      </c>
    </row>
    <row r="1282" spans="1:48">
      <c r="A1282" s="1">
        <f>HYPERLINK("https://lsnyc.legalserver.org/matter/dynamic-profile/view/1888062","19-1888062")</f>
        <v>0</v>
      </c>
      <c r="B1282" t="s">
        <v>134</v>
      </c>
      <c r="C1282" t="s">
        <v>256</v>
      </c>
      <c r="D1282" t="s">
        <v>756</v>
      </c>
      <c r="F1282" t="s">
        <v>1146</v>
      </c>
      <c r="G1282" t="s">
        <v>3520</v>
      </c>
      <c r="H1282" t="s">
        <v>5957</v>
      </c>
      <c r="I1282" t="s">
        <v>8197</v>
      </c>
      <c r="J1282" t="s">
        <v>9067</v>
      </c>
      <c r="K1282">
        <v>10032</v>
      </c>
      <c r="L1282" t="s">
        <v>9094</v>
      </c>
      <c r="M1282" t="s">
        <v>9094</v>
      </c>
      <c r="P1282" t="s">
        <v>11165</v>
      </c>
      <c r="R1282" t="s">
        <v>11180</v>
      </c>
      <c r="S1282" t="s">
        <v>9094</v>
      </c>
      <c r="T1282" t="s">
        <v>11183</v>
      </c>
      <c r="V1282" t="s">
        <v>756</v>
      </c>
      <c r="W1282">
        <v>550</v>
      </c>
      <c r="X1282" t="s">
        <v>11335</v>
      </c>
      <c r="Y1282" t="s">
        <v>11338</v>
      </c>
      <c r="Z1282" t="s">
        <v>12271</v>
      </c>
      <c r="AB1282" t="s">
        <v>16694</v>
      </c>
      <c r="AC1282">
        <v>42</v>
      </c>
      <c r="AD1282" t="s">
        <v>19566</v>
      </c>
      <c r="AE1282" t="s">
        <v>19587</v>
      </c>
      <c r="AF1282">
        <v>35</v>
      </c>
      <c r="AG1282">
        <v>2</v>
      </c>
      <c r="AH1282">
        <v>0</v>
      </c>
      <c r="AI1282">
        <v>53.22</v>
      </c>
      <c r="AL1282" t="s">
        <v>19615</v>
      </c>
      <c r="AM1282">
        <v>8760</v>
      </c>
      <c r="AS1282">
        <v>0</v>
      </c>
      <c r="AU1282" t="s">
        <v>130</v>
      </c>
      <c r="AV1282" t="s">
        <v>20733</v>
      </c>
    </row>
    <row r="1283" spans="1:48">
      <c r="A1283" s="1">
        <f>HYPERLINK("https://lsnyc.legalserver.org/matter/dynamic-profile/view/1913477","19-1913477")</f>
        <v>0</v>
      </c>
      <c r="B1283" t="s">
        <v>130</v>
      </c>
      <c r="C1283" t="s">
        <v>257</v>
      </c>
      <c r="D1283" t="s">
        <v>483</v>
      </c>
      <c r="E1283" t="s">
        <v>487</v>
      </c>
      <c r="F1283" t="s">
        <v>1212</v>
      </c>
      <c r="G1283" t="s">
        <v>3995</v>
      </c>
      <c r="H1283" t="s">
        <v>6445</v>
      </c>
      <c r="I1283">
        <v>11</v>
      </c>
      <c r="J1283" t="s">
        <v>9067</v>
      </c>
      <c r="K1283">
        <v>10029</v>
      </c>
      <c r="L1283" t="s">
        <v>9094</v>
      </c>
      <c r="M1283" t="s">
        <v>9095</v>
      </c>
      <c r="O1283" t="s">
        <v>11136</v>
      </c>
      <c r="P1283" t="s">
        <v>11164</v>
      </c>
      <c r="Q1283" t="s">
        <v>11172</v>
      </c>
      <c r="R1283" t="s">
        <v>11181</v>
      </c>
      <c r="S1283" t="s">
        <v>9096</v>
      </c>
      <c r="T1283" t="s">
        <v>11183</v>
      </c>
      <c r="V1283" t="s">
        <v>331</v>
      </c>
      <c r="W1283">
        <v>1008</v>
      </c>
      <c r="X1283" t="s">
        <v>11335</v>
      </c>
      <c r="Y1283" t="s">
        <v>11337</v>
      </c>
      <c r="Z1283" t="s">
        <v>11699</v>
      </c>
      <c r="AC1283">
        <v>36</v>
      </c>
      <c r="AD1283" t="s">
        <v>19566</v>
      </c>
      <c r="AE1283" t="s">
        <v>9144</v>
      </c>
      <c r="AF1283">
        <v>1</v>
      </c>
      <c r="AG1283">
        <v>1</v>
      </c>
      <c r="AH1283">
        <v>1</v>
      </c>
      <c r="AI1283">
        <v>53.22</v>
      </c>
      <c r="AJ1283" t="s">
        <v>19591</v>
      </c>
      <c r="AK1283" t="s">
        <v>19608</v>
      </c>
      <c r="AL1283" t="s">
        <v>19615</v>
      </c>
      <c r="AM1283">
        <v>9000</v>
      </c>
      <c r="AQ1283" t="s">
        <v>20369</v>
      </c>
      <c r="AR1283" t="s">
        <v>20445</v>
      </c>
      <c r="AS1283">
        <v>1.5</v>
      </c>
      <c r="AT1283" t="s">
        <v>487</v>
      </c>
      <c r="AU1283" t="s">
        <v>130</v>
      </c>
      <c r="AV1283" t="s">
        <v>20733</v>
      </c>
    </row>
    <row r="1284" spans="1:48">
      <c r="A1284" s="1">
        <f>HYPERLINK("https://lsnyc.legalserver.org/matter/dynamic-profile/view/1863305","18-1863305")</f>
        <v>0</v>
      </c>
      <c r="B1284" t="s">
        <v>86</v>
      </c>
      <c r="C1284" t="s">
        <v>256</v>
      </c>
      <c r="D1284" t="s">
        <v>693</v>
      </c>
      <c r="F1284" t="s">
        <v>1808</v>
      </c>
      <c r="G1284" t="s">
        <v>1665</v>
      </c>
      <c r="H1284" t="s">
        <v>5778</v>
      </c>
      <c r="I1284" t="s">
        <v>8410</v>
      </c>
      <c r="J1284" t="s">
        <v>9059</v>
      </c>
      <c r="K1284">
        <v>11226</v>
      </c>
      <c r="L1284" t="s">
        <v>9094</v>
      </c>
      <c r="M1284" t="s">
        <v>9094</v>
      </c>
      <c r="O1284" t="s">
        <v>11132</v>
      </c>
      <c r="P1284" t="s">
        <v>11165</v>
      </c>
      <c r="R1284" t="s">
        <v>11180</v>
      </c>
      <c r="S1284" t="s">
        <v>9094</v>
      </c>
      <c r="T1284" t="s">
        <v>11183</v>
      </c>
      <c r="V1284" t="s">
        <v>723</v>
      </c>
      <c r="W1284">
        <v>1275</v>
      </c>
      <c r="X1284" t="s">
        <v>11332</v>
      </c>
      <c r="Y1284" t="s">
        <v>11340</v>
      </c>
      <c r="Z1284" t="s">
        <v>12246</v>
      </c>
      <c r="AB1284" t="s">
        <v>16670</v>
      </c>
      <c r="AC1284">
        <v>65</v>
      </c>
      <c r="AD1284" t="s">
        <v>19566</v>
      </c>
      <c r="AE1284" t="s">
        <v>19580</v>
      </c>
      <c r="AF1284">
        <v>14</v>
      </c>
      <c r="AG1284">
        <v>1</v>
      </c>
      <c r="AH1284">
        <v>0</v>
      </c>
      <c r="AI1284">
        <v>53.38</v>
      </c>
      <c r="AL1284" t="s">
        <v>19614</v>
      </c>
      <c r="AM1284">
        <v>6480</v>
      </c>
      <c r="AS1284">
        <v>127.75</v>
      </c>
      <c r="AT1284" t="s">
        <v>20592</v>
      </c>
      <c r="AU1284" t="s">
        <v>20630</v>
      </c>
    </row>
    <row r="1285" spans="1:48">
      <c r="A1285" s="1">
        <f>HYPERLINK("https://lsnyc.legalserver.org/matter/dynamic-profile/view/1903504","19-1903504")</f>
        <v>0</v>
      </c>
      <c r="B1285" t="s">
        <v>106</v>
      </c>
      <c r="C1285" t="s">
        <v>256</v>
      </c>
      <c r="D1285" t="s">
        <v>750</v>
      </c>
      <c r="F1285" t="s">
        <v>1823</v>
      </c>
      <c r="G1285" t="s">
        <v>2884</v>
      </c>
      <c r="H1285" t="s">
        <v>6446</v>
      </c>
      <c r="I1285" t="s">
        <v>8169</v>
      </c>
      <c r="J1285" t="s">
        <v>9065</v>
      </c>
      <c r="K1285">
        <v>10453</v>
      </c>
      <c r="L1285" t="s">
        <v>9094</v>
      </c>
      <c r="M1285" t="s">
        <v>9095</v>
      </c>
      <c r="N1285" t="s">
        <v>9676</v>
      </c>
      <c r="O1285" t="s">
        <v>11129</v>
      </c>
      <c r="P1285" t="s">
        <v>11165</v>
      </c>
      <c r="R1285" t="s">
        <v>11180</v>
      </c>
      <c r="S1285" t="s">
        <v>9096</v>
      </c>
      <c r="T1285" t="s">
        <v>11183</v>
      </c>
      <c r="U1285" t="s">
        <v>11199</v>
      </c>
      <c r="V1285" t="s">
        <v>750</v>
      </c>
      <c r="W1285">
        <v>1268</v>
      </c>
      <c r="X1285" t="s">
        <v>11333</v>
      </c>
      <c r="Y1285" t="s">
        <v>11336</v>
      </c>
      <c r="Z1285" t="s">
        <v>12272</v>
      </c>
      <c r="AA1285" t="s">
        <v>15526</v>
      </c>
      <c r="AC1285">
        <v>70</v>
      </c>
      <c r="AD1285" t="s">
        <v>19566</v>
      </c>
      <c r="AE1285" t="s">
        <v>19586</v>
      </c>
      <c r="AF1285">
        <v>3</v>
      </c>
      <c r="AG1285">
        <v>2</v>
      </c>
      <c r="AH1285">
        <v>0</v>
      </c>
      <c r="AI1285">
        <v>53.44</v>
      </c>
      <c r="AL1285" t="s">
        <v>19614</v>
      </c>
      <c r="AM1285">
        <v>9036</v>
      </c>
      <c r="AS1285">
        <v>43.7</v>
      </c>
      <c r="AT1285" t="s">
        <v>1135</v>
      </c>
      <c r="AU1285" t="s">
        <v>220</v>
      </c>
      <c r="AV1285" t="s">
        <v>20734</v>
      </c>
    </row>
    <row r="1286" spans="1:48">
      <c r="A1286" s="1">
        <f>HYPERLINK("https://lsnyc.legalserver.org/matter/dynamic-profile/view/1915404","19-1915404")</f>
        <v>0</v>
      </c>
      <c r="B1286" t="s">
        <v>106</v>
      </c>
      <c r="C1286" t="s">
        <v>256</v>
      </c>
      <c r="D1286" t="s">
        <v>487</v>
      </c>
      <c r="F1286" t="s">
        <v>1173</v>
      </c>
      <c r="G1286" t="s">
        <v>3580</v>
      </c>
      <c r="H1286" t="s">
        <v>6446</v>
      </c>
      <c r="I1286" t="s">
        <v>8169</v>
      </c>
      <c r="J1286" t="s">
        <v>9065</v>
      </c>
      <c r="K1286">
        <v>10453</v>
      </c>
      <c r="L1286" t="s">
        <v>9094</v>
      </c>
      <c r="M1286" t="s">
        <v>9095</v>
      </c>
      <c r="N1286" t="s">
        <v>9676</v>
      </c>
      <c r="O1286" t="s">
        <v>11129</v>
      </c>
      <c r="P1286" t="s">
        <v>11165</v>
      </c>
      <c r="R1286" t="s">
        <v>11180</v>
      </c>
      <c r="S1286" t="s">
        <v>9096</v>
      </c>
      <c r="T1286" t="s">
        <v>11183</v>
      </c>
      <c r="U1286" t="s">
        <v>11199</v>
      </c>
      <c r="W1286">
        <v>1268</v>
      </c>
      <c r="X1286" t="s">
        <v>11333</v>
      </c>
      <c r="Y1286" t="s">
        <v>11336</v>
      </c>
      <c r="Z1286" t="s">
        <v>12273</v>
      </c>
      <c r="AA1286" t="s">
        <v>15526</v>
      </c>
      <c r="AC1286">
        <v>70</v>
      </c>
      <c r="AD1286" t="s">
        <v>19566</v>
      </c>
      <c r="AE1286" t="s">
        <v>19586</v>
      </c>
      <c r="AF1286">
        <v>3</v>
      </c>
      <c r="AG1286">
        <v>2</v>
      </c>
      <c r="AH1286">
        <v>0</v>
      </c>
      <c r="AI1286">
        <v>53.44</v>
      </c>
      <c r="AL1286" t="s">
        <v>19614</v>
      </c>
      <c r="AM1286">
        <v>9036</v>
      </c>
      <c r="AS1286">
        <v>0.4</v>
      </c>
      <c r="AT1286" t="s">
        <v>487</v>
      </c>
      <c r="AU1286" t="s">
        <v>220</v>
      </c>
    </row>
    <row r="1287" spans="1:48">
      <c r="A1287" s="1">
        <f>HYPERLINK("https://lsnyc.legalserver.org/matter/dynamic-profile/view/1847253","17-1847253")</f>
        <v>0</v>
      </c>
      <c r="B1287" t="s">
        <v>192</v>
      </c>
      <c r="C1287" t="s">
        <v>256</v>
      </c>
      <c r="D1287" t="s">
        <v>757</v>
      </c>
      <c r="F1287" t="s">
        <v>1146</v>
      </c>
      <c r="G1287" t="s">
        <v>3503</v>
      </c>
      <c r="H1287" t="s">
        <v>6235</v>
      </c>
      <c r="I1287" t="s">
        <v>8169</v>
      </c>
      <c r="J1287" t="s">
        <v>9065</v>
      </c>
      <c r="K1287">
        <v>10453</v>
      </c>
      <c r="L1287" t="s">
        <v>9094</v>
      </c>
      <c r="M1287" t="s">
        <v>9095</v>
      </c>
      <c r="N1287" t="s">
        <v>9677</v>
      </c>
      <c r="O1287" t="s">
        <v>11129</v>
      </c>
      <c r="P1287" t="s">
        <v>11165</v>
      </c>
      <c r="R1287" t="s">
        <v>11180</v>
      </c>
      <c r="T1287" t="s">
        <v>11183</v>
      </c>
      <c r="V1287" t="s">
        <v>705</v>
      </c>
      <c r="W1287">
        <v>959.5</v>
      </c>
      <c r="X1287" t="s">
        <v>11333</v>
      </c>
      <c r="Y1287" t="s">
        <v>11340</v>
      </c>
      <c r="Z1287" t="s">
        <v>12274</v>
      </c>
      <c r="AA1287" t="s">
        <v>15527</v>
      </c>
      <c r="AB1287" t="s">
        <v>16695</v>
      </c>
      <c r="AC1287">
        <v>46</v>
      </c>
      <c r="AD1287" t="s">
        <v>19566</v>
      </c>
      <c r="AE1287" t="s">
        <v>9144</v>
      </c>
      <c r="AF1287">
        <v>4</v>
      </c>
      <c r="AG1287">
        <v>2</v>
      </c>
      <c r="AH1287">
        <v>1</v>
      </c>
      <c r="AI1287">
        <v>53.48</v>
      </c>
      <c r="AL1287" t="s">
        <v>19615</v>
      </c>
      <c r="AM1287">
        <v>10920</v>
      </c>
      <c r="AR1287" t="s">
        <v>20405</v>
      </c>
      <c r="AS1287">
        <v>57.95</v>
      </c>
      <c r="AT1287" t="s">
        <v>593</v>
      </c>
      <c r="AU1287" t="s">
        <v>20645</v>
      </c>
    </row>
    <row r="1288" spans="1:48">
      <c r="A1288" s="1">
        <f>HYPERLINK("https://lsnyc.legalserver.org/matter/dynamic-profile/view/0821038","16-0821038")</f>
        <v>0</v>
      </c>
      <c r="B1288" t="s">
        <v>119</v>
      </c>
      <c r="C1288" t="s">
        <v>256</v>
      </c>
      <c r="D1288" t="s">
        <v>758</v>
      </c>
      <c r="F1288" t="s">
        <v>1303</v>
      </c>
      <c r="G1288" t="s">
        <v>3990</v>
      </c>
      <c r="H1288" t="s">
        <v>5897</v>
      </c>
      <c r="I1288" t="s">
        <v>8413</v>
      </c>
      <c r="J1288" t="s">
        <v>9065</v>
      </c>
      <c r="K1288">
        <v>10452</v>
      </c>
      <c r="L1288" t="s">
        <v>9094</v>
      </c>
      <c r="M1288" t="s">
        <v>9095</v>
      </c>
      <c r="N1288" t="s">
        <v>9252</v>
      </c>
      <c r="O1288" t="s">
        <v>11135</v>
      </c>
      <c r="P1288" t="s">
        <v>11165</v>
      </c>
      <c r="R1288" t="s">
        <v>11180</v>
      </c>
      <c r="S1288" t="s">
        <v>9094</v>
      </c>
      <c r="T1288" t="s">
        <v>11183</v>
      </c>
      <c r="V1288" t="s">
        <v>758</v>
      </c>
      <c r="W1288">
        <v>706.95</v>
      </c>
      <c r="X1288" t="s">
        <v>11333</v>
      </c>
      <c r="Y1288" t="s">
        <v>11340</v>
      </c>
      <c r="Z1288" t="s">
        <v>12262</v>
      </c>
      <c r="AB1288" t="s">
        <v>16686</v>
      </c>
      <c r="AC1288">
        <v>122</v>
      </c>
      <c r="AD1288" t="s">
        <v>19566</v>
      </c>
      <c r="AF1288">
        <v>25</v>
      </c>
      <c r="AG1288">
        <v>3</v>
      </c>
      <c r="AH1288">
        <v>0</v>
      </c>
      <c r="AI1288">
        <v>53.57</v>
      </c>
      <c r="AL1288" t="s">
        <v>19614</v>
      </c>
      <c r="AM1288">
        <v>10800</v>
      </c>
      <c r="AS1288">
        <v>102.85</v>
      </c>
      <c r="AT1288" t="s">
        <v>506</v>
      </c>
      <c r="AU1288" t="s">
        <v>20647</v>
      </c>
    </row>
    <row r="1289" spans="1:48">
      <c r="A1289" s="1">
        <f>HYPERLINK("https://lsnyc.legalserver.org/matter/dynamic-profile/view/1895346","19-1895346")</f>
        <v>0</v>
      </c>
      <c r="B1289" t="s">
        <v>92</v>
      </c>
      <c r="C1289" t="s">
        <v>256</v>
      </c>
      <c r="D1289" t="s">
        <v>264</v>
      </c>
      <c r="F1289" t="s">
        <v>1374</v>
      </c>
      <c r="G1289" t="s">
        <v>3927</v>
      </c>
      <c r="H1289" t="s">
        <v>6059</v>
      </c>
      <c r="I1289" t="s">
        <v>8171</v>
      </c>
      <c r="J1289" t="s">
        <v>9059</v>
      </c>
      <c r="K1289">
        <v>11212</v>
      </c>
      <c r="L1289" t="s">
        <v>9094</v>
      </c>
      <c r="M1289" t="s">
        <v>9094</v>
      </c>
      <c r="O1289" t="s">
        <v>11141</v>
      </c>
      <c r="P1289" t="s">
        <v>11170</v>
      </c>
      <c r="R1289" t="s">
        <v>11180</v>
      </c>
      <c r="S1289" t="s">
        <v>9094</v>
      </c>
      <c r="T1289" t="s">
        <v>11185</v>
      </c>
      <c r="V1289" t="s">
        <v>264</v>
      </c>
      <c r="W1289">
        <v>1300</v>
      </c>
      <c r="X1289" t="s">
        <v>11332</v>
      </c>
      <c r="Y1289" t="s">
        <v>11339</v>
      </c>
      <c r="Z1289" t="s">
        <v>12159</v>
      </c>
      <c r="AB1289" t="s">
        <v>16594</v>
      </c>
      <c r="AC1289">
        <v>19</v>
      </c>
      <c r="AD1289" t="s">
        <v>19566</v>
      </c>
      <c r="AE1289" t="s">
        <v>19580</v>
      </c>
      <c r="AF1289">
        <v>15</v>
      </c>
      <c r="AG1289">
        <v>2</v>
      </c>
      <c r="AH1289">
        <v>0</v>
      </c>
      <c r="AI1289">
        <v>53.65</v>
      </c>
      <c r="AL1289" t="s">
        <v>19614</v>
      </c>
      <c r="AM1289">
        <v>9072</v>
      </c>
      <c r="AN1289" t="s">
        <v>19762</v>
      </c>
      <c r="AS1289">
        <v>0.5</v>
      </c>
      <c r="AT1289" t="s">
        <v>632</v>
      </c>
      <c r="AU1289" t="s">
        <v>79</v>
      </c>
      <c r="AV1289" t="s">
        <v>20733</v>
      </c>
    </row>
    <row r="1290" spans="1:48">
      <c r="A1290" s="1">
        <f>HYPERLINK("https://lsnyc.legalserver.org/matter/dynamic-profile/view/1877662","18-1877662")</f>
        <v>0</v>
      </c>
      <c r="B1290" t="s">
        <v>101</v>
      </c>
      <c r="C1290" t="s">
        <v>256</v>
      </c>
      <c r="D1290" t="s">
        <v>759</v>
      </c>
      <c r="F1290" t="s">
        <v>1824</v>
      </c>
      <c r="G1290" t="s">
        <v>3996</v>
      </c>
      <c r="H1290" t="s">
        <v>6063</v>
      </c>
      <c r="I1290" t="s">
        <v>8417</v>
      </c>
      <c r="J1290" t="s">
        <v>9065</v>
      </c>
      <c r="K1290">
        <v>10452</v>
      </c>
      <c r="L1290" t="s">
        <v>9094</v>
      </c>
      <c r="M1290" t="s">
        <v>9094</v>
      </c>
      <c r="N1290" t="s">
        <v>9564</v>
      </c>
      <c r="O1290" t="s">
        <v>11130</v>
      </c>
      <c r="P1290" t="s">
        <v>11165</v>
      </c>
      <c r="R1290" t="s">
        <v>11180</v>
      </c>
      <c r="S1290" t="s">
        <v>9094</v>
      </c>
      <c r="T1290" t="s">
        <v>11183</v>
      </c>
      <c r="V1290" t="s">
        <v>738</v>
      </c>
      <c r="W1290">
        <v>230</v>
      </c>
      <c r="X1290" t="s">
        <v>11333</v>
      </c>
      <c r="Y1290" t="s">
        <v>11346</v>
      </c>
      <c r="Z1290" t="s">
        <v>12254</v>
      </c>
      <c r="AA1290" t="s">
        <v>15528</v>
      </c>
      <c r="AB1290" t="s">
        <v>16696</v>
      </c>
      <c r="AC1290">
        <v>149</v>
      </c>
      <c r="AD1290" t="s">
        <v>19566</v>
      </c>
      <c r="AE1290" t="s">
        <v>19585</v>
      </c>
      <c r="AF1290">
        <v>27</v>
      </c>
      <c r="AG1290">
        <v>1</v>
      </c>
      <c r="AH1290">
        <v>1</v>
      </c>
      <c r="AI1290">
        <v>53.66</v>
      </c>
      <c r="AL1290" t="s">
        <v>19615</v>
      </c>
      <c r="AM1290">
        <v>8832</v>
      </c>
      <c r="AS1290">
        <v>1.7</v>
      </c>
      <c r="AT1290" t="s">
        <v>636</v>
      </c>
      <c r="AU1290" t="s">
        <v>20647</v>
      </c>
    </row>
    <row r="1291" spans="1:48">
      <c r="A1291" s="1">
        <f>HYPERLINK("https://lsnyc.legalserver.org/matter/dynamic-profile/view/1877700","18-1877700")</f>
        <v>0</v>
      </c>
      <c r="B1291" t="s">
        <v>101</v>
      </c>
      <c r="C1291" t="s">
        <v>256</v>
      </c>
      <c r="D1291" t="s">
        <v>759</v>
      </c>
      <c r="F1291" t="s">
        <v>1824</v>
      </c>
      <c r="G1291" t="s">
        <v>3996</v>
      </c>
      <c r="H1291" t="s">
        <v>6063</v>
      </c>
      <c r="I1291" t="s">
        <v>8417</v>
      </c>
      <c r="J1291" t="s">
        <v>9065</v>
      </c>
      <c r="K1291">
        <v>10452</v>
      </c>
      <c r="L1291" t="s">
        <v>9094</v>
      </c>
      <c r="M1291" t="s">
        <v>9094</v>
      </c>
      <c r="O1291" t="s">
        <v>9121</v>
      </c>
      <c r="P1291" t="s">
        <v>11166</v>
      </c>
      <c r="R1291" t="s">
        <v>11180</v>
      </c>
      <c r="S1291" t="s">
        <v>9094</v>
      </c>
      <c r="T1291" t="s">
        <v>11183</v>
      </c>
      <c r="V1291" t="s">
        <v>738</v>
      </c>
      <c r="W1291">
        <v>230</v>
      </c>
      <c r="X1291" t="s">
        <v>11333</v>
      </c>
      <c r="Y1291" t="s">
        <v>11346</v>
      </c>
      <c r="Z1291" t="s">
        <v>12254</v>
      </c>
      <c r="AA1291" t="s">
        <v>15528</v>
      </c>
      <c r="AB1291" t="s">
        <v>16696</v>
      </c>
      <c r="AC1291">
        <v>149</v>
      </c>
      <c r="AD1291" t="s">
        <v>19566</v>
      </c>
      <c r="AE1291" t="s">
        <v>19585</v>
      </c>
      <c r="AF1291">
        <v>27</v>
      </c>
      <c r="AG1291">
        <v>1</v>
      </c>
      <c r="AH1291">
        <v>1</v>
      </c>
      <c r="AI1291">
        <v>53.66</v>
      </c>
      <c r="AL1291" t="s">
        <v>19615</v>
      </c>
      <c r="AM1291">
        <v>8832</v>
      </c>
      <c r="AS1291">
        <v>2.5</v>
      </c>
      <c r="AT1291" t="s">
        <v>832</v>
      </c>
      <c r="AU1291" t="s">
        <v>20647</v>
      </c>
    </row>
    <row r="1292" spans="1:48">
      <c r="A1292" s="1">
        <f>HYPERLINK("https://lsnyc.legalserver.org/matter/dynamic-profile/view/1902945","19-1902945")</f>
        <v>0</v>
      </c>
      <c r="B1292" t="s">
        <v>110</v>
      </c>
      <c r="C1292" t="s">
        <v>257</v>
      </c>
      <c r="D1292" t="s">
        <v>760</v>
      </c>
      <c r="E1292" t="s">
        <v>328</v>
      </c>
      <c r="F1292" t="s">
        <v>1350</v>
      </c>
      <c r="G1292" t="s">
        <v>3762</v>
      </c>
      <c r="H1292" t="s">
        <v>6447</v>
      </c>
      <c r="I1292">
        <v>67</v>
      </c>
      <c r="J1292" t="s">
        <v>9065</v>
      </c>
      <c r="K1292">
        <v>10452</v>
      </c>
      <c r="L1292" t="s">
        <v>9094</v>
      </c>
      <c r="M1292" t="s">
        <v>9095</v>
      </c>
      <c r="P1292" t="s">
        <v>11167</v>
      </c>
      <c r="Q1292" t="s">
        <v>11173</v>
      </c>
      <c r="R1292" t="s">
        <v>11180</v>
      </c>
      <c r="S1292" t="s">
        <v>9096</v>
      </c>
      <c r="T1292" t="s">
        <v>11183</v>
      </c>
      <c r="U1292" t="s">
        <v>11201</v>
      </c>
      <c r="V1292" t="s">
        <v>11218</v>
      </c>
      <c r="W1292">
        <v>834.85</v>
      </c>
      <c r="X1292" t="s">
        <v>11333</v>
      </c>
      <c r="Y1292" t="s">
        <v>11346</v>
      </c>
      <c r="Z1292" t="s">
        <v>12275</v>
      </c>
      <c r="AC1292">
        <v>0</v>
      </c>
      <c r="AD1292" t="s">
        <v>19566</v>
      </c>
      <c r="AE1292" t="s">
        <v>9144</v>
      </c>
      <c r="AF1292">
        <v>40</v>
      </c>
      <c r="AG1292">
        <v>1</v>
      </c>
      <c r="AH1292">
        <v>0</v>
      </c>
      <c r="AI1292">
        <v>53.72</v>
      </c>
      <c r="AL1292" t="s">
        <v>19615</v>
      </c>
      <c r="AM1292">
        <v>6709.2</v>
      </c>
      <c r="AS1292">
        <v>1.25</v>
      </c>
      <c r="AT1292" t="s">
        <v>760</v>
      </c>
      <c r="AU1292" t="s">
        <v>110</v>
      </c>
      <c r="AV1292" t="s">
        <v>20733</v>
      </c>
    </row>
    <row r="1293" spans="1:48">
      <c r="A1293" s="1">
        <f>HYPERLINK("https://lsnyc.legalserver.org/matter/dynamic-profile/view/1899732","19-1899732")</f>
        <v>0</v>
      </c>
      <c r="B1293" t="s">
        <v>64</v>
      </c>
      <c r="C1293" t="s">
        <v>257</v>
      </c>
      <c r="D1293" t="s">
        <v>261</v>
      </c>
      <c r="E1293" t="s">
        <v>1131</v>
      </c>
      <c r="F1293" t="s">
        <v>1825</v>
      </c>
      <c r="G1293" t="s">
        <v>3997</v>
      </c>
      <c r="H1293" t="s">
        <v>6448</v>
      </c>
      <c r="I1293" t="s">
        <v>8160</v>
      </c>
      <c r="J1293" t="s">
        <v>9059</v>
      </c>
      <c r="K1293">
        <v>11233</v>
      </c>
      <c r="L1293" t="s">
        <v>9094</v>
      </c>
      <c r="M1293" t="s">
        <v>9095</v>
      </c>
      <c r="N1293" t="s">
        <v>9678</v>
      </c>
      <c r="O1293" t="s">
        <v>11129</v>
      </c>
      <c r="P1293" t="s">
        <v>11165</v>
      </c>
      <c r="Q1293" t="s">
        <v>11174</v>
      </c>
      <c r="R1293" t="s">
        <v>11180</v>
      </c>
      <c r="S1293" t="s">
        <v>9096</v>
      </c>
      <c r="T1293" t="s">
        <v>11183</v>
      </c>
      <c r="U1293" t="s">
        <v>11200</v>
      </c>
      <c r="V1293" t="s">
        <v>394</v>
      </c>
      <c r="W1293">
        <v>1322</v>
      </c>
      <c r="X1293" t="s">
        <v>11332</v>
      </c>
      <c r="Y1293" t="s">
        <v>11350</v>
      </c>
      <c r="Z1293" t="s">
        <v>12276</v>
      </c>
      <c r="AA1293" t="s">
        <v>15529</v>
      </c>
      <c r="AB1293" t="s">
        <v>16697</v>
      </c>
      <c r="AC1293">
        <v>48</v>
      </c>
      <c r="AD1293" t="s">
        <v>19566</v>
      </c>
      <c r="AE1293" t="s">
        <v>19582</v>
      </c>
      <c r="AF1293">
        <v>3</v>
      </c>
      <c r="AG1293">
        <v>1</v>
      </c>
      <c r="AH1293">
        <v>0</v>
      </c>
      <c r="AI1293">
        <v>53.77</v>
      </c>
      <c r="AL1293" t="s">
        <v>19614</v>
      </c>
      <c r="AM1293">
        <v>6715.8</v>
      </c>
      <c r="AO1293" t="s">
        <v>20294</v>
      </c>
      <c r="AP1293" t="s">
        <v>20309</v>
      </c>
      <c r="AQ1293" t="s">
        <v>20369</v>
      </c>
      <c r="AR1293" t="s">
        <v>20380</v>
      </c>
      <c r="AS1293">
        <v>33.6</v>
      </c>
      <c r="AT1293" t="s">
        <v>992</v>
      </c>
      <c r="AU1293" t="s">
        <v>95</v>
      </c>
      <c r="AV1293" t="s">
        <v>20733</v>
      </c>
    </row>
    <row r="1294" spans="1:48">
      <c r="A1294" s="1">
        <f>HYPERLINK("https://lsnyc.legalserver.org/matter/dynamic-profile/view/1905343","19-1905343")</f>
        <v>0</v>
      </c>
      <c r="B1294" t="s">
        <v>69</v>
      </c>
      <c r="C1294" t="s">
        <v>257</v>
      </c>
      <c r="D1294" t="s">
        <v>621</v>
      </c>
      <c r="E1294" t="s">
        <v>297</v>
      </c>
      <c r="F1294" t="s">
        <v>1825</v>
      </c>
      <c r="G1294" t="s">
        <v>3997</v>
      </c>
      <c r="H1294" t="s">
        <v>6448</v>
      </c>
      <c r="I1294" t="s">
        <v>8160</v>
      </c>
      <c r="J1294" t="s">
        <v>9059</v>
      </c>
      <c r="K1294">
        <v>11233</v>
      </c>
      <c r="L1294" t="s">
        <v>9094</v>
      </c>
      <c r="M1294" t="s">
        <v>9095</v>
      </c>
      <c r="N1294" t="s">
        <v>9144</v>
      </c>
      <c r="O1294" t="s">
        <v>11146</v>
      </c>
      <c r="P1294" t="s">
        <v>11168</v>
      </c>
      <c r="Q1294" t="s">
        <v>11177</v>
      </c>
      <c r="R1294" t="s">
        <v>11180</v>
      </c>
      <c r="S1294" t="s">
        <v>9096</v>
      </c>
      <c r="T1294" t="s">
        <v>11184</v>
      </c>
      <c r="U1294" t="s">
        <v>11201</v>
      </c>
      <c r="V1294" t="s">
        <v>621</v>
      </c>
      <c r="W1294">
        <v>1322</v>
      </c>
      <c r="X1294" t="s">
        <v>11332</v>
      </c>
      <c r="Y1294" t="s">
        <v>11350</v>
      </c>
      <c r="Z1294" t="s">
        <v>12276</v>
      </c>
      <c r="AA1294" t="s">
        <v>15529</v>
      </c>
      <c r="AB1294" t="s">
        <v>16697</v>
      </c>
      <c r="AC1294">
        <v>48</v>
      </c>
      <c r="AD1294" t="s">
        <v>19566</v>
      </c>
      <c r="AE1294" t="s">
        <v>19582</v>
      </c>
      <c r="AF1294">
        <v>3</v>
      </c>
      <c r="AG1294">
        <v>1</v>
      </c>
      <c r="AH1294">
        <v>0</v>
      </c>
      <c r="AI1294">
        <v>53.77</v>
      </c>
      <c r="AL1294" t="s">
        <v>19614</v>
      </c>
      <c r="AM1294">
        <v>6715.8</v>
      </c>
      <c r="AS1294">
        <v>20</v>
      </c>
      <c r="AT1294" t="s">
        <v>297</v>
      </c>
      <c r="AU1294" t="s">
        <v>79</v>
      </c>
      <c r="AV1294" t="s">
        <v>20733</v>
      </c>
    </row>
    <row r="1295" spans="1:48">
      <c r="A1295" s="1">
        <f>HYPERLINK("https://lsnyc.legalserver.org/matter/dynamic-profile/view/1909049","19-1909049")</f>
        <v>0</v>
      </c>
      <c r="B1295" t="s">
        <v>134</v>
      </c>
      <c r="C1295" t="s">
        <v>256</v>
      </c>
      <c r="D1295" t="s">
        <v>669</v>
      </c>
      <c r="F1295" t="s">
        <v>1826</v>
      </c>
      <c r="G1295" t="s">
        <v>3998</v>
      </c>
      <c r="H1295" t="s">
        <v>6449</v>
      </c>
      <c r="I1295">
        <v>34</v>
      </c>
      <c r="J1295" t="s">
        <v>9067</v>
      </c>
      <c r="K1295">
        <v>10033</v>
      </c>
      <c r="L1295" t="s">
        <v>9094</v>
      </c>
      <c r="M1295" t="s">
        <v>9095</v>
      </c>
      <c r="O1295" t="s">
        <v>11130</v>
      </c>
      <c r="P1295" t="s">
        <v>11165</v>
      </c>
      <c r="R1295" t="s">
        <v>11180</v>
      </c>
      <c r="S1295" t="s">
        <v>9094</v>
      </c>
      <c r="T1295" t="s">
        <v>11183</v>
      </c>
      <c r="V1295" t="s">
        <v>669</v>
      </c>
      <c r="W1295">
        <v>1633.95</v>
      </c>
      <c r="X1295" t="s">
        <v>11335</v>
      </c>
      <c r="Y1295" t="s">
        <v>11338</v>
      </c>
      <c r="Z1295" t="s">
        <v>12277</v>
      </c>
      <c r="AB1295" t="s">
        <v>16698</v>
      </c>
      <c r="AC1295">
        <v>20</v>
      </c>
      <c r="AD1295" t="s">
        <v>19566</v>
      </c>
      <c r="AE1295" t="s">
        <v>19587</v>
      </c>
      <c r="AF1295">
        <v>17</v>
      </c>
      <c r="AG1295">
        <v>4</v>
      </c>
      <c r="AH1295">
        <v>1</v>
      </c>
      <c r="AI1295">
        <v>53.85</v>
      </c>
      <c r="AL1295" t="s">
        <v>19615</v>
      </c>
      <c r="AM1295">
        <v>16248</v>
      </c>
      <c r="AS1295">
        <v>0</v>
      </c>
      <c r="AU1295" t="s">
        <v>130</v>
      </c>
      <c r="AV1295" t="s">
        <v>20733</v>
      </c>
    </row>
    <row r="1296" spans="1:48">
      <c r="A1296" s="1">
        <f>HYPERLINK("https://lsnyc.legalserver.org/matter/dynamic-profile/view/1886210","18-1886210")</f>
        <v>0</v>
      </c>
      <c r="B1296" t="s">
        <v>113</v>
      </c>
      <c r="C1296" t="s">
        <v>256</v>
      </c>
      <c r="D1296" t="s">
        <v>516</v>
      </c>
      <c r="F1296" t="s">
        <v>1450</v>
      </c>
      <c r="G1296" t="s">
        <v>3720</v>
      </c>
      <c r="H1296" t="s">
        <v>6311</v>
      </c>
      <c r="I1296" t="s">
        <v>8149</v>
      </c>
      <c r="J1296" t="s">
        <v>9065</v>
      </c>
      <c r="K1296">
        <v>10452</v>
      </c>
      <c r="L1296" t="s">
        <v>9094</v>
      </c>
      <c r="M1296" t="s">
        <v>9094</v>
      </c>
      <c r="N1296" t="s">
        <v>9589</v>
      </c>
      <c r="O1296" t="s">
        <v>11129</v>
      </c>
      <c r="P1296" t="s">
        <v>11164</v>
      </c>
      <c r="R1296" t="s">
        <v>11180</v>
      </c>
      <c r="S1296" t="s">
        <v>9096</v>
      </c>
      <c r="T1296" t="s">
        <v>11183</v>
      </c>
      <c r="U1296" t="s">
        <v>11201</v>
      </c>
      <c r="V1296" t="s">
        <v>582</v>
      </c>
      <c r="W1296">
        <v>811.34</v>
      </c>
      <c r="X1296" t="s">
        <v>11333</v>
      </c>
      <c r="Y1296" t="s">
        <v>11340</v>
      </c>
      <c r="Z1296" t="s">
        <v>12091</v>
      </c>
      <c r="AA1296" t="s">
        <v>15493</v>
      </c>
      <c r="AB1296" t="s">
        <v>16568</v>
      </c>
      <c r="AC1296">
        <v>0</v>
      </c>
      <c r="AD1296" t="s">
        <v>19566</v>
      </c>
      <c r="AE1296" t="s">
        <v>19582</v>
      </c>
      <c r="AF1296">
        <v>33</v>
      </c>
      <c r="AG1296">
        <v>1</v>
      </c>
      <c r="AH1296">
        <v>2</v>
      </c>
      <c r="AI1296">
        <v>53.88</v>
      </c>
      <c r="AL1296" t="s">
        <v>19615</v>
      </c>
      <c r="AM1296">
        <v>11196</v>
      </c>
      <c r="AS1296">
        <v>1.7</v>
      </c>
      <c r="AT1296" t="s">
        <v>650</v>
      </c>
      <c r="AU1296" t="s">
        <v>20672</v>
      </c>
    </row>
    <row r="1297" spans="1:48">
      <c r="A1297" s="1">
        <f>HYPERLINK("https://lsnyc.legalserver.org/matter/dynamic-profile/view/1841830","17-1841830")</f>
        <v>0</v>
      </c>
      <c r="B1297" t="s">
        <v>141</v>
      </c>
      <c r="C1297" t="s">
        <v>256</v>
      </c>
      <c r="D1297" t="s">
        <v>644</v>
      </c>
      <c r="F1297" t="s">
        <v>1827</v>
      </c>
      <c r="G1297" t="s">
        <v>3999</v>
      </c>
      <c r="H1297" t="s">
        <v>6450</v>
      </c>
      <c r="I1297" t="s">
        <v>8223</v>
      </c>
      <c r="J1297" t="s">
        <v>9067</v>
      </c>
      <c r="K1297">
        <v>10034</v>
      </c>
      <c r="L1297" t="s">
        <v>9094</v>
      </c>
      <c r="M1297" t="s">
        <v>9095</v>
      </c>
      <c r="N1297" t="s">
        <v>9679</v>
      </c>
      <c r="O1297" t="s">
        <v>11128</v>
      </c>
      <c r="P1297" t="s">
        <v>11165</v>
      </c>
      <c r="R1297" t="s">
        <v>11180</v>
      </c>
      <c r="S1297" t="s">
        <v>9096</v>
      </c>
      <c r="T1297" t="s">
        <v>11183</v>
      </c>
      <c r="V1297" t="s">
        <v>837</v>
      </c>
      <c r="W1297">
        <v>1067.3</v>
      </c>
      <c r="X1297" t="s">
        <v>11335</v>
      </c>
      <c r="Y1297" t="s">
        <v>11338</v>
      </c>
      <c r="Z1297" t="s">
        <v>12278</v>
      </c>
      <c r="AB1297" t="s">
        <v>16699</v>
      </c>
      <c r="AC1297">
        <v>49</v>
      </c>
      <c r="AD1297" t="s">
        <v>19566</v>
      </c>
      <c r="AE1297" t="s">
        <v>9144</v>
      </c>
      <c r="AF1297">
        <v>14</v>
      </c>
      <c r="AG1297">
        <v>1</v>
      </c>
      <c r="AH1297">
        <v>0</v>
      </c>
      <c r="AI1297">
        <v>53.9</v>
      </c>
      <c r="AL1297" t="s">
        <v>19615</v>
      </c>
      <c r="AM1297">
        <v>6500</v>
      </c>
      <c r="AS1297">
        <v>0</v>
      </c>
      <c r="AU1297" t="s">
        <v>130</v>
      </c>
    </row>
    <row r="1298" spans="1:48">
      <c r="A1298" s="1">
        <f>HYPERLINK("https://lsnyc.legalserver.org/matter/dynamic-profile/view/1885176","18-1885176")</f>
        <v>0</v>
      </c>
      <c r="B1298" t="s">
        <v>78</v>
      </c>
      <c r="C1298" t="s">
        <v>256</v>
      </c>
      <c r="D1298" t="s">
        <v>375</v>
      </c>
      <c r="F1298" t="s">
        <v>1141</v>
      </c>
      <c r="G1298" t="s">
        <v>3987</v>
      </c>
      <c r="H1298" t="s">
        <v>5805</v>
      </c>
      <c r="I1298" t="s">
        <v>8212</v>
      </c>
      <c r="J1298" t="s">
        <v>9059</v>
      </c>
      <c r="K1298">
        <v>11213</v>
      </c>
      <c r="L1298" t="s">
        <v>9094</v>
      </c>
      <c r="M1298" t="s">
        <v>9094</v>
      </c>
      <c r="N1298" t="s">
        <v>9121</v>
      </c>
      <c r="O1298" t="s">
        <v>11134</v>
      </c>
      <c r="P1298" t="s">
        <v>11168</v>
      </c>
      <c r="R1298" t="s">
        <v>11180</v>
      </c>
      <c r="S1298" t="s">
        <v>9094</v>
      </c>
      <c r="T1298" t="s">
        <v>11183</v>
      </c>
      <c r="U1298" t="s">
        <v>11201</v>
      </c>
      <c r="V1298" t="s">
        <v>611</v>
      </c>
      <c r="W1298">
        <v>951</v>
      </c>
      <c r="X1298" t="s">
        <v>11332</v>
      </c>
      <c r="Y1298" t="s">
        <v>11348</v>
      </c>
      <c r="Z1298" t="s">
        <v>12256</v>
      </c>
      <c r="AA1298" t="s">
        <v>9144</v>
      </c>
      <c r="AB1298" t="s">
        <v>16681</v>
      </c>
      <c r="AC1298">
        <v>19</v>
      </c>
      <c r="AD1298" t="s">
        <v>19566</v>
      </c>
      <c r="AE1298" t="s">
        <v>19587</v>
      </c>
      <c r="AF1298">
        <v>16</v>
      </c>
      <c r="AG1298">
        <v>3</v>
      </c>
      <c r="AH1298">
        <v>3</v>
      </c>
      <c r="AI1298">
        <v>53.94</v>
      </c>
      <c r="AL1298" t="s">
        <v>19614</v>
      </c>
      <c r="AM1298">
        <v>18200</v>
      </c>
      <c r="AN1298" t="s">
        <v>19779</v>
      </c>
      <c r="AS1298">
        <v>0</v>
      </c>
      <c r="AU1298" t="s">
        <v>95</v>
      </c>
    </row>
    <row r="1299" spans="1:48">
      <c r="A1299" s="1">
        <f>HYPERLINK("https://lsnyc.legalserver.org/matter/dynamic-profile/view/1885174","18-1885174")</f>
        <v>0</v>
      </c>
      <c r="B1299" t="s">
        <v>78</v>
      </c>
      <c r="C1299" t="s">
        <v>256</v>
      </c>
      <c r="D1299" t="s">
        <v>375</v>
      </c>
      <c r="F1299" t="s">
        <v>1141</v>
      </c>
      <c r="G1299" t="s">
        <v>3987</v>
      </c>
      <c r="H1299" t="s">
        <v>5805</v>
      </c>
      <c r="I1299" t="s">
        <v>8212</v>
      </c>
      <c r="J1299" t="s">
        <v>9059</v>
      </c>
      <c r="K1299">
        <v>11213</v>
      </c>
      <c r="L1299" t="s">
        <v>9094</v>
      </c>
      <c r="M1299" t="s">
        <v>9094</v>
      </c>
      <c r="N1299" t="s">
        <v>9575</v>
      </c>
      <c r="O1299" t="s">
        <v>11130</v>
      </c>
      <c r="P1299" t="s">
        <v>11165</v>
      </c>
      <c r="R1299" t="s">
        <v>11180</v>
      </c>
      <c r="S1299" t="s">
        <v>9094</v>
      </c>
      <c r="T1299" t="s">
        <v>11183</v>
      </c>
      <c r="U1299" t="s">
        <v>11201</v>
      </c>
      <c r="V1299" t="s">
        <v>742</v>
      </c>
      <c r="W1299">
        <v>951</v>
      </c>
      <c r="X1299" t="s">
        <v>11332</v>
      </c>
      <c r="Y1299" t="s">
        <v>11348</v>
      </c>
      <c r="Z1299" t="s">
        <v>12256</v>
      </c>
      <c r="AA1299" t="s">
        <v>9144</v>
      </c>
      <c r="AB1299" t="s">
        <v>16681</v>
      </c>
      <c r="AC1299">
        <v>19</v>
      </c>
      <c r="AD1299" t="s">
        <v>19566</v>
      </c>
      <c r="AE1299" t="s">
        <v>19587</v>
      </c>
      <c r="AF1299">
        <v>16</v>
      </c>
      <c r="AG1299">
        <v>3</v>
      </c>
      <c r="AH1299">
        <v>3</v>
      </c>
      <c r="AI1299">
        <v>53.94</v>
      </c>
      <c r="AL1299" t="s">
        <v>19614</v>
      </c>
      <c r="AM1299">
        <v>18200</v>
      </c>
      <c r="AN1299" t="s">
        <v>19780</v>
      </c>
      <c r="AS1299">
        <v>0</v>
      </c>
      <c r="AU1299" t="s">
        <v>95</v>
      </c>
    </row>
    <row r="1300" spans="1:48">
      <c r="A1300" s="1">
        <f>HYPERLINK("https://lsnyc.legalserver.org/matter/dynamic-profile/view/1888028","19-1888028")</f>
        <v>0</v>
      </c>
      <c r="B1300" t="s">
        <v>134</v>
      </c>
      <c r="C1300" t="s">
        <v>256</v>
      </c>
      <c r="D1300" t="s">
        <v>756</v>
      </c>
      <c r="F1300" t="s">
        <v>1363</v>
      </c>
      <c r="G1300" t="s">
        <v>4000</v>
      </c>
      <c r="H1300" t="s">
        <v>5957</v>
      </c>
      <c r="I1300" t="s">
        <v>8191</v>
      </c>
      <c r="J1300" t="s">
        <v>9067</v>
      </c>
      <c r="K1300">
        <v>10032</v>
      </c>
      <c r="L1300" t="s">
        <v>9094</v>
      </c>
      <c r="M1300" t="s">
        <v>9094</v>
      </c>
      <c r="P1300" t="s">
        <v>11165</v>
      </c>
      <c r="R1300" t="s">
        <v>11180</v>
      </c>
      <c r="S1300" t="s">
        <v>9094</v>
      </c>
      <c r="T1300" t="s">
        <v>11183</v>
      </c>
      <c r="V1300" t="s">
        <v>756</v>
      </c>
      <c r="W1300">
        <v>689</v>
      </c>
      <c r="X1300" t="s">
        <v>11335</v>
      </c>
      <c r="Y1300" t="s">
        <v>11338</v>
      </c>
      <c r="Z1300" t="s">
        <v>12279</v>
      </c>
      <c r="AB1300" t="s">
        <v>16700</v>
      </c>
      <c r="AC1300">
        <v>42</v>
      </c>
      <c r="AD1300" t="s">
        <v>19566</v>
      </c>
      <c r="AE1300" t="s">
        <v>9144</v>
      </c>
      <c r="AF1300">
        <v>50</v>
      </c>
      <c r="AG1300">
        <v>3</v>
      </c>
      <c r="AH1300">
        <v>2</v>
      </c>
      <c r="AI1300">
        <v>53.96</v>
      </c>
      <c r="AL1300" t="s">
        <v>19615</v>
      </c>
      <c r="AM1300">
        <v>15876</v>
      </c>
      <c r="AS1300">
        <v>0</v>
      </c>
      <c r="AU1300" t="s">
        <v>130</v>
      </c>
      <c r="AV1300" t="s">
        <v>20733</v>
      </c>
    </row>
    <row r="1301" spans="1:48">
      <c r="A1301" s="1">
        <f>HYPERLINK("https://lsnyc.legalserver.org/matter/dynamic-profile/view/1864398","18-1864398")</f>
        <v>0</v>
      </c>
      <c r="B1301" t="s">
        <v>136</v>
      </c>
      <c r="C1301" t="s">
        <v>256</v>
      </c>
      <c r="D1301" t="s">
        <v>506</v>
      </c>
      <c r="F1301" t="s">
        <v>1282</v>
      </c>
      <c r="G1301" t="s">
        <v>3999</v>
      </c>
      <c r="H1301" t="s">
        <v>5961</v>
      </c>
      <c r="I1301">
        <v>601</v>
      </c>
      <c r="J1301" t="s">
        <v>9067</v>
      </c>
      <c r="K1301">
        <v>10029</v>
      </c>
      <c r="L1301" t="s">
        <v>9094</v>
      </c>
      <c r="M1301" t="s">
        <v>9094</v>
      </c>
      <c r="N1301" t="s">
        <v>9287</v>
      </c>
      <c r="O1301" t="s">
        <v>11130</v>
      </c>
      <c r="P1301" t="s">
        <v>11165</v>
      </c>
      <c r="R1301" t="s">
        <v>11180</v>
      </c>
      <c r="S1301" t="s">
        <v>9094</v>
      </c>
      <c r="T1301" t="s">
        <v>11183</v>
      </c>
      <c r="U1301" t="s">
        <v>11201</v>
      </c>
      <c r="V1301" t="s">
        <v>506</v>
      </c>
      <c r="W1301">
        <v>0</v>
      </c>
      <c r="X1301" t="s">
        <v>11335</v>
      </c>
      <c r="Y1301" t="s">
        <v>11339</v>
      </c>
      <c r="Z1301" t="s">
        <v>12280</v>
      </c>
      <c r="AB1301" t="s">
        <v>16701</v>
      </c>
      <c r="AC1301">
        <v>108</v>
      </c>
      <c r="AD1301" t="s">
        <v>19567</v>
      </c>
      <c r="AE1301" t="s">
        <v>19580</v>
      </c>
      <c r="AF1301">
        <v>20</v>
      </c>
      <c r="AG1301">
        <v>1</v>
      </c>
      <c r="AH1301">
        <v>0</v>
      </c>
      <c r="AI1301">
        <v>53.97</v>
      </c>
      <c r="AL1301" t="s">
        <v>19615</v>
      </c>
      <c r="AM1301">
        <v>6552</v>
      </c>
      <c r="AS1301">
        <v>0.25</v>
      </c>
      <c r="AT1301" t="s">
        <v>289</v>
      </c>
      <c r="AU1301" t="s">
        <v>20657</v>
      </c>
      <c r="AV1301" t="s">
        <v>20733</v>
      </c>
    </row>
    <row r="1302" spans="1:48">
      <c r="A1302" s="1">
        <f>HYPERLINK("https://lsnyc.legalserver.org/matter/dynamic-profile/view/1888064","19-1888064")</f>
        <v>0</v>
      </c>
      <c r="B1302" t="s">
        <v>134</v>
      </c>
      <c r="C1302" t="s">
        <v>256</v>
      </c>
      <c r="D1302" t="s">
        <v>756</v>
      </c>
      <c r="F1302" t="s">
        <v>1146</v>
      </c>
      <c r="G1302" t="s">
        <v>4001</v>
      </c>
      <c r="H1302" t="s">
        <v>5957</v>
      </c>
      <c r="I1302" t="s">
        <v>8168</v>
      </c>
      <c r="J1302" t="s">
        <v>9067</v>
      </c>
      <c r="K1302">
        <v>10032</v>
      </c>
      <c r="L1302" t="s">
        <v>9094</v>
      </c>
      <c r="M1302" t="s">
        <v>9094</v>
      </c>
      <c r="P1302" t="s">
        <v>11165</v>
      </c>
      <c r="R1302" t="s">
        <v>11180</v>
      </c>
      <c r="S1302" t="s">
        <v>9094</v>
      </c>
      <c r="T1302" t="s">
        <v>11183</v>
      </c>
      <c r="V1302" t="s">
        <v>756</v>
      </c>
      <c r="W1302">
        <v>768.22</v>
      </c>
      <c r="X1302" t="s">
        <v>11335</v>
      </c>
      <c r="Y1302" t="s">
        <v>11338</v>
      </c>
      <c r="Z1302" t="s">
        <v>12281</v>
      </c>
      <c r="AC1302">
        <v>42</v>
      </c>
      <c r="AD1302" t="s">
        <v>19566</v>
      </c>
      <c r="AE1302" t="s">
        <v>9144</v>
      </c>
      <c r="AF1302">
        <v>39</v>
      </c>
      <c r="AG1302">
        <v>2</v>
      </c>
      <c r="AH1302">
        <v>0</v>
      </c>
      <c r="AI1302">
        <v>54.09</v>
      </c>
      <c r="AL1302" t="s">
        <v>19615</v>
      </c>
      <c r="AM1302">
        <v>8904</v>
      </c>
      <c r="AS1302">
        <v>0</v>
      </c>
      <c r="AU1302" t="s">
        <v>130</v>
      </c>
      <c r="AV1302" t="s">
        <v>20733</v>
      </c>
    </row>
    <row r="1303" spans="1:48">
      <c r="A1303" s="1">
        <f>HYPERLINK("https://lsnyc.legalserver.org/matter/dynamic-profile/view/1844065","17-1844065")</f>
        <v>0</v>
      </c>
      <c r="B1303" t="s">
        <v>56</v>
      </c>
      <c r="C1303" t="s">
        <v>256</v>
      </c>
      <c r="D1303" t="s">
        <v>690</v>
      </c>
      <c r="F1303" t="s">
        <v>1828</v>
      </c>
      <c r="G1303" t="s">
        <v>4002</v>
      </c>
      <c r="H1303" t="s">
        <v>6451</v>
      </c>
      <c r="I1303" t="s">
        <v>8283</v>
      </c>
      <c r="J1303" t="s">
        <v>9055</v>
      </c>
      <c r="K1303">
        <v>11367</v>
      </c>
      <c r="L1303" t="s">
        <v>9094</v>
      </c>
      <c r="M1303" t="s">
        <v>9095</v>
      </c>
      <c r="N1303" t="s">
        <v>9680</v>
      </c>
      <c r="O1303" t="s">
        <v>11129</v>
      </c>
      <c r="P1303" t="s">
        <v>11165</v>
      </c>
      <c r="R1303" t="s">
        <v>11180</v>
      </c>
      <c r="S1303" t="s">
        <v>9096</v>
      </c>
      <c r="T1303" t="s">
        <v>11183</v>
      </c>
      <c r="V1303" t="s">
        <v>1006</v>
      </c>
      <c r="W1303">
        <v>1029</v>
      </c>
      <c r="X1303" t="s">
        <v>11331</v>
      </c>
      <c r="Y1303" t="s">
        <v>11340</v>
      </c>
      <c r="Z1303" t="s">
        <v>11795</v>
      </c>
      <c r="AA1303" t="s">
        <v>15530</v>
      </c>
      <c r="AB1303" t="s">
        <v>16702</v>
      </c>
      <c r="AC1303">
        <v>144</v>
      </c>
      <c r="AD1303" t="s">
        <v>19566</v>
      </c>
      <c r="AE1303" t="s">
        <v>9144</v>
      </c>
      <c r="AF1303">
        <v>18</v>
      </c>
      <c r="AG1303">
        <v>2</v>
      </c>
      <c r="AH1303">
        <v>0</v>
      </c>
      <c r="AI1303">
        <v>54.16</v>
      </c>
      <c r="AK1303" t="s">
        <v>19611</v>
      </c>
      <c r="AL1303" t="s">
        <v>19617</v>
      </c>
      <c r="AM1303">
        <v>10236</v>
      </c>
      <c r="AS1303">
        <v>29.55</v>
      </c>
      <c r="AT1303" t="s">
        <v>792</v>
      </c>
      <c r="AU1303" t="s">
        <v>56</v>
      </c>
    </row>
    <row r="1304" spans="1:48">
      <c r="A1304" s="1">
        <f>HYPERLINK("https://lsnyc.legalserver.org/matter/dynamic-profile/view/1854759","17-1854759")</f>
        <v>0</v>
      </c>
      <c r="B1304" t="s">
        <v>64</v>
      </c>
      <c r="C1304" t="s">
        <v>257</v>
      </c>
      <c r="D1304" t="s">
        <v>520</v>
      </c>
      <c r="E1304" t="s">
        <v>273</v>
      </c>
      <c r="F1304" t="s">
        <v>1341</v>
      </c>
      <c r="G1304" t="s">
        <v>4003</v>
      </c>
      <c r="H1304" t="s">
        <v>6452</v>
      </c>
      <c r="I1304" t="s">
        <v>8151</v>
      </c>
      <c r="J1304" t="s">
        <v>9059</v>
      </c>
      <c r="K1304">
        <v>11206</v>
      </c>
      <c r="L1304" t="s">
        <v>9096</v>
      </c>
      <c r="M1304" t="s">
        <v>9096</v>
      </c>
      <c r="O1304" t="s">
        <v>11130</v>
      </c>
      <c r="P1304" t="s">
        <v>11164</v>
      </c>
      <c r="Q1304" t="s">
        <v>11172</v>
      </c>
      <c r="R1304" t="s">
        <v>11180</v>
      </c>
      <c r="S1304" t="s">
        <v>9096</v>
      </c>
      <c r="T1304" t="s">
        <v>11183</v>
      </c>
      <c r="W1304">
        <v>1415.48</v>
      </c>
      <c r="X1304" t="s">
        <v>11332</v>
      </c>
      <c r="Y1304" t="s">
        <v>11346</v>
      </c>
      <c r="Z1304" t="s">
        <v>12282</v>
      </c>
      <c r="AA1304" t="s">
        <v>15531</v>
      </c>
      <c r="AB1304" t="s">
        <v>16703</v>
      </c>
      <c r="AC1304">
        <v>14</v>
      </c>
      <c r="AD1304" t="s">
        <v>19577</v>
      </c>
      <c r="AF1304">
        <v>15</v>
      </c>
      <c r="AG1304">
        <v>2</v>
      </c>
      <c r="AH1304">
        <v>0</v>
      </c>
      <c r="AI1304">
        <v>54.16</v>
      </c>
      <c r="AL1304" t="s">
        <v>19614</v>
      </c>
      <c r="AM1304">
        <v>24916</v>
      </c>
      <c r="AS1304">
        <v>0.5</v>
      </c>
      <c r="AT1304" t="s">
        <v>20584</v>
      </c>
      <c r="AU1304" t="s">
        <v>20637</v>
      </c>
    </row>
    <row r="1305" spans="1:48">
      <c r="A1305" s="1">
        <f>HYPERLINK("https://lsnyc.legalserver.org/matter/dynamic-profile/view/1851832","17-1851832")</f>
        <v>0</v>
      </c>
      <c r="B1305" t="s">
        <v>78</v>
      </c>
      <c r="C1305" t="s">
        <v>256</v>
      </c>
      <c r="D1305" t="s">
        <v>761</v>
      </c>
      <c r="F1305" t="s">
        <v>1248</v>
      </c>
      <c r="G1305" t="s">
        <v>4004</v>
      </c>
      <c r="H1305" t="s">
        <v>6453</v>
      </c>
      <c r="I1305" t="s">
        <v>8153</v>
      </c>
      <c r="J1305" t="s">
        <v>9059</v>
      </c>
      <c r="K1305">
        <v>11206</v>
      </c>
      <c r="L1305" t="s">
        <v>9094</v>
      </c>
      <c r="M1305" t="s">
        <v>9095</v>
      </c>
      <c r="O1305" t="s">
        <v>11137</v>
      </c>
      <c r="P1305" t="s">
        <v>11167</v>
      </c>
      <c r="R1305" t="s">
        <v>11180</v>
      </c>
      <c r="S1305" t="s">
        <v>9094</v>
      </c>
      <c r="T1305" t="s">
        <v>11183</v>
      </c>
      <c r="V1305" t="s">
        <v>1006</v>
      </c>
      <c r="W1305">
        <v>1119</v>
      </c>
      <c r="X1305" t="s">
        <v>11332</v>
      </c>
      <c r="Z1305" t="s">
        <v>12283</v>
      </c>
      <c r="AB1305" t="s">
        <v>16704</v>
      </c>
      <c r="AC1305">
        <v>25</v>
      </c>
      <c r="AD1305" t="s">
        <v>19566</v>
      </c>
      <c r="AE1305" t="s">
        <v>19588</v>
      </c>
      <c r="AF1305">
        <v>-1</v>
      </c>
      <c r="AG1305">
        <v>2</v>
      </c>
      <c r="AH1305">
        <v>0</v>
      </c>
      <c r="AI1305">
        <v>54.16</v>
      </c>
      <c r="AL1305" t="s">
        <v>19614</v>
      </c>
      <c r="AM1305">
        <v>8796</v>
      </c>
      <c r="AS1305">
        <v>0</v>
      </c>
      <c r="AU1305" t="s">
        <v>20636</v>
      </c>
    </row>
    <row r="1306" spans="1:48">
      <c r="A1306" s="1">
        <f>HYPERLINK("https://lsnyc.legalserver.org/matter/dynamic-profile/view/1834795","17-1834795")</f>
        <v>0</v>
      </c>
      <c r="B1306" t="s">
        <v>119</v>
      </c>
      <c r="C1306" t="s">
        <v>256</v>
      </c>
      <c r="D1306" t="s">
        <v>762</v>
      </c>
      <c r="F1306" t="s">
        <v>1829</v>
      </c>
      <c r="G1306" t="s">
        <v>4005</v>
      </c>
      <c r="H1306" t="s">
        <v>6238</v>
      </c>
      <c r="I1306" t="s">
        <v>8181</v>
      </c>
      <c r="J1306" t="s">
        <v>9065</v>
      </c>
      <c r="K1306">
        <v>10468</v>
      </c>
      <c r="L1306" t="s">
        <v>9094</v>
      </c>
      <c r="M1306" t="s">
        <v>9095</v>
      </c>
      <c r="O1306" t="s">
        <v>11136</v>
      </c>
      <c r="P1306" t="s">
        <v>11166</v>
      </c>
      <c r="R1306" t="s">
        <v>11180</v>
      </c>
      <c r="S1306" t="s">
        <v>9094</v>
      </c>
      <c r="T1306" t="s">
        <v>11183</v>
      </c>
      <c r="V1306" t="s">
        <v>770</v>
      </c>
      <c r="W1306">
        <v>1100</v>
      </c>
      <c r="X1306" t="s">
        <v>11333</v>
      </c>
      <c r="Y1306" t="s">
        <v>11336</v>
      </c>
      <c r="Z1306" t="s">
        <v>12284</v>
      </c>
      <c r="AB1306" t="s">
        <v>16705</v>
      </c>
      <c r="AC1306">
        <v>0</v>
      </c>
      <c r="AD1306" t="s">
        <v>19566</v>
      </c>
      <c r="AE1306" t="s">
        <v>19580</v>
      </c>
      <c r="AF1306">
        <v>26</v>
      </c>
      <c r="AG1306">
        <v>2</v>
      </c>
      <c r="AH1306">
        <v>0</v>
      </c>
      <c r="AI1306">
        <v>54.16</v>
      </c>
      <c r="AJ1306" t="s">
        <v>529</v>
      </c>
      <c r="AL1306" t="s">
        <v>19614</v>
      </c>
      <c r="AM1306">
        <v>8796</v>
      </c>
      <c r="AS1306">
        <v>38</v>
      </c>
      <c r="AT1306" t="s">
        <v>855</v>
      </c>
      <c r="AU1306" t="s">
        <v>20690</v>
      </c>
    </row>
    <row r="1307" spans="1:48">
      <c r="A1307" s="1">
        <f>HYPERLINK("https://lsnyc.legalserver.org/matter/dynamic-profile/view/0800192","16-0800192")</f>
        <v>0</v>
      </c>
      <c r="B1307" t="s">
        <v>156</v>
      </c>
      <c r="C1307" t="s">
        <v>256</v>
      </c>
      <c r="D1307" t="s">
        <v>763</v>
      </c>
      <c r="F1307" t="s">
        <v>1146</v>
      </c>
      <c r="G1307" t="s">
        <v>3503</v>
      </c>
      <c r="H1307" t="s">
        <v>6235</v>
      </c>
      <c r="I1307" t="s">
        <v>8169</v>
      </c>
      <c r="J1307" t="s">
        <v>9065</v>
      </c>
      <c r="K1307">
        <v>10453</v>
      </c>
      <c r="L1307" t="s">
        <v>9094</v>
      </c>
      <c r="M1307" t="s">
        <v>9095</v>
      </c>
      <c r="N1307" t="s">
        <v>9681</v>
      </c>
      <c r="O1307" t="s">
        <v>11128</v>
      </c>
      <c r="P1307" t="s">
        <v>11165</v>
      </c>
      <c r="R1307" t="s">
        <v>11180</v>
      </c>
      <c r="T1307" t="s">
        <v>11183</v>
      </c>
      <c r="V1307" t="s">
        <v>763</v>
      </c>
      <c r="W1307">
        <v>1541.43</v>
      </c>
      <c r="X1307" t="s">
        <v>11333</v>
      </c>
      <c r="Y1307" t="s">
        <v>11349</v>
      </c>
      <c r="Z1307" t="s">
        <v>12274</v>
      </c>
      <c r="AB1307" t="s">
        <v>16695</v>
      </c>
      <c r="AC1307">
        <v>0</v>
      </c>
      <c r="AD1307" t="s">
        <v>19566</v>
      </c>
      <c r="AE1307" t="s">
        <v>9144</v>
      </c>
      <c r="AF1307">
        <v>2</v>
      </c>
      <c r="AG1307">
        <v>2</v>
      </c>
      <c r="AH1307">
        <v>1</v>
      </c>
      <c r="AI1307">
        <v>54.17</v>
      </c>
      <c r="AL1307" t="s">
        <v>19615</v>
      </c>
      <c r="AM1307">
        <v>10920</v>
      </c>
      <c r="AO1307" t="s">
        <v>20292</v>
      </c>
      <c r="AP1307" t="s">
        <v>20309</v>
      </c>
      <c r="AQ1307" t="s">
        <v>20369</v>
      </c>
      <c r="AR1307" t="s">
        <v>20405</v>
      </c>
      <c r="AS1307">
        <v>37.75</v>
      </c>
      <c r="AT1307" t="s">
        <v>1100</v>
      </c>
      <c r="AU1307" t="s">
        <v>20648</v>
      </c>
    </row>
    <row r="1308" spans="1:48">
      <c r="A1308" s="1">
        <f>HYPERLINK("https://lsnyc.legalserver.org/matter/dynamic-profile/view/1902289","19-1902289")</f>
        <v>0</v>
      </c>
      <c r="B1308" t="s">
        <v>55</v>
      </c>
      <c r="C1308" t="s">
        <v>256</v>
      </c>
      <c r="D1308" t="s">
        <v>268</v>
      </c>
      <c r="F1308" t="s">
        <v>1830</v>
      </c>
      <c r="G1308" t="s">
        <v>4006</v>
      </c>
      <c r="H1308" t="s">
        <v>6454</v>
      </c>
      <c r="I1308" t="s">
        <v>8192</v>
      </c>
      <c r="J1308" t="s">
        <v>9039</v>
      </c>
      <c r="K1308">
        <v>11435</v>
      </c>
      <c r="L1308" t="s">
        <v>9094</v>
      </c>
      <c r="M1308" t="s">
        <v>9095</v>
      </c>
      <c r="N1308" t="s">
        <v>9682</v>
      </c>
      <c r="O1308" t="s">
        <v>11129</v>
      </c>
      <c r="P1308" t="s">
        <v>11165</v>
      </c>
      <c r="R1308" t="s">
        <v>11180</v>
      </c>
      <c r="S1308" t="s">
        <v>9096</v>
      </c>
      <c r="T1308" t="s">
        <v>11183</v>
      </c>
      <c r="U1308" t="s">
        <v>11202</v>
      </c>
      <c r="V1308" t="s">
        <v>268</v>
      </c>
      <c r="W1308">
        <v>1145</v>
      </c>
      <c r="X1308" t="s">
        <v>11331</v>
      </c>
      <c r="Y1308" t="s">
        <v>11336</v>
      </c>
      <c r="Z1308" t="s">
        <v>12285</v>
      </c>
      <c r="AA1308" t="s">
        <v>15532</v>
      </c>
      <c r="AB1308" t="s">
        <v>16706</v>
      </c>
      <c r="AC1308">
        <v>36</v>
      </c>
      <c r="AD1308" t="s">
        <v>15441</v>
      </c>
      <c r="AE1308" t="s">
        <v>9144</v>
      </c>
      <c r="AF1308">
        <v>7</v>
      </c>
      <c r="AG1308">
        <v>1</v>
      </c>
      <c r="AH1308">
        <v>1</v>
      </c>
      <c r="AI1308">
        <v>54.29</v>
      </c>
      <c r="AL1308" t="s">
        <v>19614</v>
      </c>
      <c r="AM1308">
        <v>9180</v>
      </c>
      <c r="AS1308">
        <v>9.210000000000001</v>
      </c>
      <c r="AT1308" t="s">
        <v>612</v>
      </c>
      <c r="AU1308" t="s">
        <v>20620</v>
      </c>
      <c r="AV1308" t="s">
        <v>20733</v>
      </c>
    </row>
    <row r="1309" spans="1:48">
      <c r="A1309" s="1">
        <f>HYPERLINK("https://lsnyc.legalserver.org/matter/dynamic-profile/view/0827377","17-0827377")</f>
        <v>0</v>
      </c>
      <c r="B1309" t="s">
        <v>187</v>
      </c>
      <c r="C1309" t="s">
        <v>256</v>
      </c>
      <c r="D1309" t="s">
        <v>764</v>
      </c>
      <c r="F1309" t="s">
        <v>1689</v>
      </c>
      <c r="G1309" t="s">
        <v>3356</v>
      </c>
      <c r="H1309" t="s">
        <v>6455</v>
      </c>
      <c r="I1309" t="s">
        <v>8418</v>
      </c>
      <c r="J1309" t="s">
        <v>9052</v>
      </c>
      <c r="K1309">
        <v>11373</v>
      </c>
      <c r="L1309" t="s">
        <v>9094</v>
      </c>
      <c r="M1309" t="s">
        <v>9095</v>
      </c>
      <c r="N1309" t="s">
        <v>9683</v>
      </c>
      <c r="O1309" t="s">
        <v>11128</v>
      </c>
      <c r="P1309" t="s">
        <v>11165</v>
      </c>
      <c r="R1309" t="s">
        <v>11181</v>
      </c>
      <c r="S1309" t="s">
        <v>9096</v>
      </c>
      <c r="T1309" t="s">
        <v>11183</v>
      </c>
      <c r="V1309" t="s">
        <v>764</v>
      </c>
      <c r="W1309">
        <v>900</v>
      </c>
      <c r="X1309" t="s">
        <v>11331</v>
      </c>
      <c r="Y1309" t="s">
        <v>11337</v>
      </c>
      <c r="Z1309" t="s">
        <v>12286</v>
      </c>
      <c r="AB1309" t="s">
        <v>16707</v>
      </c>
      <c r="AC1309">
        <v>8</v>
      </c>
      <c r="AD1309" t="s">
        <v>19565</v>
      </c>
      <c r="AE1309" t="s">
        <v>9144</v>
      </c>
      <c r="AF1309">
        <v>1</v>
      </c>
      <c r="AG1309">
        <v>1</v>
      </c>
      <c r="AH1309">
        <v>1</v>
      </c>
      <c r="AI1309">
        <v>54.31</v>
      </c>
      <c r="AJ1309" t="s">
        <v>19591</v>
      </c>
      <c r="AK1309" t="s">
        <v>19608</v>
      </c>
      <c r="AL1309" t="s">
        <v>19614</v>
      </c>
      <c r="AM1309">
        <v>11760</v>
      </c>
      <c r="AS1309">
        <v>34.75</v>
      </c>
      <c r="AT1309" t="s">
        <v>292</v>
      </c>
      <c r="AU1309" t="s">
        <v>20691</v>
      </c>
    </row>
    <row r="1310" spans="1:48">
      <c r="A1310" s="1">
        <f>HYPERLINK("https://lsnyc.legalserver.org/matter/dynamic-profile/view/1909026","19-1909026")</f>
        <v>0</v>
      </c>
      <c r="B1310" t="s">
        <v>112</v>
      </c>
      <c r="C1310" t="s">
        <v>256</v>
      </c>
      <c r="D1310" t="s">
        <v>669</v>
      </c>
      <c r="F1310" t="s">
        <v>1831</v>
      </c>
      <c r="G1310" t="s">
        <v>4007</v>
      </c>
      <c r="H1310" t="s">
        <v>6456</v>
      </c>
      <c r="I1310" t="s">
        <v>8419</v>
      </c>
      <c r="J1310" t="s">
        <v>9065</v>
      </c>
      <c r="K1310">
        <v>10467</v>
      </c>
      <c r="L1310" t="s">
        <v>9094</v>
      </c>
      <c r="M1310" t="s">
        <v>9095</v>
      </c>
      <c r="O1310" t="s">
        <v>11133</v>
      </c>
      <c r="P1310" t="s">
        <v>11166</v>
      </c>
      <c r="R1310" t="s">
        <v>11180</v>
      </c>
      <c r="S1310" t="s">
        <v>9096</v>
      </c>
      <c r="T1310" t="s">
        <v>11189</v>
      </c>
      <c r="W1310">
        <v>1333.64</v>
      </c>
      <c r="X1310" t="s">
        <v>11333</v>
      </c>
      <c r="Y1310" t="s">
        <v>11340</v>
      </c>
      <c r="Z1310" t="s">
        <v>12287</v>
      </c>
      <c r="AB1310" t="s">
        <v>16708</v>
      </c>
      <c r="AC1310">
        <v>48</v>
      </c>
      <c r="AD1310" t="s">
        <v>19566</v>
      </c>
      <c r="AE1310" t="s">
        <v>9144</v>
      </c>
      <c r="AF1310">
        <v>0</v>
      </c>
      <c r="AG1310">
        <v>4</v>
      </c>
      <c r="AH1310">
        <v>0</v>
      </c>
      <c r="AI1310">
        <v>54.34</v>
      </c>
      <c r="AL1310" t="s">
        <v>19614</v>
      </c>
      <c r="AM1310">
        <v>13992</v>
      </c>
      <c r="AS1310">
        <v>1</v>
      </c>
      <c r="AT1310" t="s">
        <v>263</v>
      </c>
      <c r="AU1310" t="s">
        <v>20644</v>
      </c>
      <c r="AV1310" t="s">
        <v>20733</v>
      </c>
    </row>
    <row r="1311" spans="1:48">
      <c r="A1311" s="1">
        <f>HYPERLINK("https://lsnyc.legalserver.org/matter/dynamic-profile/view/1845030","17-1845030")</f>
        <v>0</v>
      </c>
      <c r="B1311" t="s">
        <v>114</v>
      </c>
      <c r="C1311" t="s">
        <v>256</v>
      </c>
      <c r="D1311" t="s">
        <v>765</v>
      </c>
      <c r="F1311" t="s">
        <v>1221</v>
      </c>
      <c r="G1311" t="s">
        <v>4008</v>
      </c>
      <c r="H1311" t="s">
        <v>6457</v>
      </c>
      <c r="I1311" t="s">
        <v>8132</v>
      </c>
      <c r="J1311" t="s">
        <v>9065</v>
      </c>
      <c r="K1311">
        <v>10458</v>
      </c>
      <c r="L1311" t="s">
        <v>9094</v>
      </c>
      <c r="M1311" t="s">
        <v>9095</v>
      </c>
      <c r="N1311" t="s">
        <v>9684</v>
      </c>
      <c r="O1311" t="s">
        <v>11129</v>
      </c>
      <c r="P1311" t="s">
        <v>11165</v>
      </c>
      <c r="R1311" t="s">
        <v>11181</v>
      </c>
      <c r="S1311" t="s">
        <v>9096</v>
      </c>
      <c r="T1311" t="s">
        <v>11183</v>
      </c>
      <c r="V1311" t="s">
        <v>765</v>
      </c>
      <c r="W1311">
        <v>15100</v>
      </c>
      <c r="X1311" t="s">
        <v>11333</v>
      </c>
      <c r="Y1311" t="s">
        <v>11337</v>
      </c>
      <c r="Z1311" t="s">
        <v>12288</v>
      </c>
      <c r="AA1311" t="s">
        <v>15533</v>
      </c>
      <c r="AB1311" t="s">
        <v>16709</v>
      </c>
      <c r="AC1311">
        <v>3</v>
      </c>
      <c r="AE1311" t="s">
        <v>19581</v>
      </c>
      <c r="AF1311">
        <v>1</v>
      </c>
      <c r="AG1311">
        <v>1</v>
      </c>
      <c r="AH1311">
        <v>2</v>
      </c>
      <c r="AI1311">
        <v>54.36</v>
      </c>
      <c r="AJ1311" t="s">
        <v>19591</v>
      </c>
      <c r="AK1311" t="s">
        <v>19608</v>
      </c>
      <c r="AL1311" t="s">
        <v>19614</v>
      </c>
      <c r="AM1311">
        <v>11100</v>
      </c>
      <c r="AS1311">
        <v>86.63</v>
      </c>
      <c r="AT1311" t="s">
        <v>373</v>
      </c>
      <c r="AU1311" t="s">
        <v>228</v>
      </c>
    </row>
    <row r="1312" spans="1:48">
      <c r="A1312" s="1">
        <f>HYPERLINK("https://lsnyc.legalserver.org/matter/dynamic-profile/view/1898175","19-1898175")</f>
        <v>0</v>
      </c>
      <c r="B1312" t="s">
        <v>66</v>
      </c>
      <c r="C1312" t="s">
        <v>256</v>
      </c>
      <c r="D1312" t="s">
        <v>470</v>
      </c>
      <c r="F1312" t="s">
        <v>1832</v>
      </c>
      <c r="G1312" t="s">
        <v>3398</v>
      </c>
      <c r="H1312" t="s">
        <v>6458</v>
      </c>
      <c r="I1312" t="s">
        <v>8279</v>
      </c>
      <c r="J1312" t="s">
        <v>9059</v>
      </c>
      <c r="K1312">
        <v>11206</v>
      </c>
      <c r="L1312" t="s">
        <v>9094</v>
      </c>
      <c r="M1312" t="s">
        <v>9094</v>
      </c>
      <c r="O1312" t="s">
        <v>11129</v>
      </c>
      <c r="P1312" t="s">
        <v>11164</v>
      </c>
      <c r="R1312" t="s">
        <v>11180</v>
      </c>
      <c r="T1312" t="s">
        <v>11183</v>
      </c>
      <c r="V1312" t="s">
        <v>499</v>
      </c>
      <c r="W1312">
        <v>1131.18</v>
      </c>
      <c r="X1312" t="s">
        <v>11332</v>
      </c>
      <c r="Z1312" t="s">
        <v>12289</v>
      </c>
      <c r="AB1312" t="s">
        <v>16710</v>
      </c>
      <c r="AC1312">
        <v>0</v>
      </c>
      <c r="AF1312">
        <v>8</v>
      </c>
      <c r="AG1312">
        <v>3</v>
      </c>
      <c r="AH1312">
        <v>1</v>
      </c>
      <c r="AI1312">
        <v>54.37</v>
      </c>
      <c r="AL1312" t="s">
        <v>19614</v>
      </c>
      <c r="AM1312">
        <v>14000</v>
      </c>
      <c r="AS1312">
        <v>0</v>
      </c>
      <c r="AU1312" t="s">
        <v>215</v>
      </c>
    </row>
    <row r="1313" spans="1:48">
      <c r="A1313" s="1">
        <f>HYPERLINK("https://lsnyc.legalserver.org/matter/dynamic-profile/view/1843079","17-1843079")</f>
        <v>0</v>
      </c>
      <c r="B1313" t="s">
        <v>136</v>
      </c>
      <c r="C1313" t="s">
        <v>257</v>
      </c>
      <c r="D1313" t="s">
        <v>766</v>
      </c>
      <c r="E1313" t="s">
        <v>331</v>
      </c>
      <c r="F1313" t="s">
        <v>1550</v>
      </c>
      <c r="G1313" t="s">
        <v>4009</v>
      </c>
      <c r="H1313" t="s">
        <v>6146</v>
      </c>
      <c r="I1313" t="s">
        <v>8176</v>
      </c>
      <c r="J1313" t="s">
        <v>9067</v>
      </c>
      <c r="K1313">
        <v>10029</v>
      </c>
      <c r="L1313" t="s">
        <v>9094</v>
      </c>
      <c r="M1313" t="s">
        <v>9095</v>
      </c>
      <c r="O1313" t="s">
        <v>9121</v>
      </c>
      <c r="P1313" t="s">
        <v>11167</v>
      </c>
      <c r="Q1313" t="s">
        <v>11173</v>
      </c>
      <c r="R1313" t="s">
        <v>11180</v>
      </c>
      <c r="S1313" t="s">
        <v>9094</v>
      </c>
      <c r="T1313" t="s">
        <v>11183</v>
      </c>
      <c r="U1313" t="s">
        <v>11201</v>
      </c>
      <c r="V1313" t="s">
        <v>766</v>
      </c>
      <c r="W1313">
        <v>835.3200000000001</v>
      </c>
      <c r="X1313" t="s">
        <v>11335</v>
      </c>
      <c r="Y1313" t="s">
        <v>11339</v>
      </c>
      <c r="Z1313" t="s">
        <v>12290</v>
      </c>
      <c r="AB1313" t="s">
        <v>16711</v>
      </c>
      <c r="AC1313">
        <v>13</v>
      </c>
      <c r="AD1313" t="s">
        <v>19566</v>
      </c>
      <c r="AE1313" t="s">
        <v>9144</v>
      </c>
      <c r="AF1313">
        <v>35</v>
      </c>
      <c r="AG1313">
        <v>2</v>
      </c>
      <c r="AH1313">
        <v>2</v>
      </c>
      <c r="AI1313">
        <v>54.39</v>
      </c>
      <c r="AL1313" t="s">
        <v>19615</v>
      </c>
      <c r="AM1313">
        <v>13380</v>
      </c>
      <c r="AS1313">
        <v>2.45</v>
      </c>
      <c r="AT1313" t="s">
        <v>919</v>
      </c>
      <c r="AU1313" t="s">
        <v>20657</v>
      </c>
      <c r="AV1313" t="s">
        <v>20733</v>
      </c>
    </row>
    <row r="1314" spans="1:48">
      <c r="A1314" s="1">
        <f>HYPERLINK("https://lsnyc.legalserver.org/matter/dynamic-profile/view/1834629","17-1834629")</f>
        <v>0</v>
      </c>
      <c r="B1314" t="s">
        <v>141</v>
      </c>
      <c r="C1314" t="s">
        <v>256</v>
      </c>
      <c r="D1314" t="s">
        <v>550</v>
      </c>
      <c r="F1314" t="s">
        <v>1642</v>
      </c>
      <c r="G1314" t="s">
        <v>3592</v>
      </c>
      <c r="H1314" t="s">
        <v>5952</v>
      </c>
      <c r="I1314" t="s">
        <v>8329</v>
      </c>
      <c r="J1314" t="s">
        <v>9067</v>
      </c>
      <c r="K1314">
        <v>10033</v>
      </c>
      <c r="L1314" t="s">
        <v>9094</v>
      </c>
      <c r="M1314" t="s">
        <v>9095</v>
      </c>
      <c r="N1314" t="s">
        <v>9685</v>
      </c>
      <c r="O1314" t="s">
        <v>9121</v>
      </c>
      <c r="P1314" t="s">
        <v>11166</v>
      </c>
      <c r="R1314" t="s">
        <v>11180</v>
      </c>
      <c r="S1314" t="s">
        <v>9094</v>
      </c>
      <c r="T1314" t="s">
        <v>11183</v>
      </c>
      <c r="V1314" t="s">
        <v>345</v>
      </c>
      <c r="W1314">
        <v>0</v>
      </c>
      <c r="X1314" t="s">
        <v>11335</v>
      </c>
      <c r="Y1314" t="s">
        <v>11339</v>
      </c>
      <c r="Z1314" t="s">
        <v>12291</v>
      </c>
      <c r="AB1314" t="s">
        <v>16712</v>
      </c>
      <c r="AC1314">
        <v>24</v>
      </c>
      <c r="AD1314" t="s">
        <v>19566</v>
      </c>
      <c r="AE1314" t="s">
        <v>19587</v>
      </c>
      <c r="AF1314">
        <v>40</v>
      </c>
      <c r="AG1314">
        <v>1</v>
      </c>
      <c r="AH1314">
        <v>0</v>
      </c>
      <c r="AI1314">
        <v>54.43</v>
      </c>
      <c r="AJ1314" t="s">
        <v>973</v>
      </c>
      <c r="AL1314" t="s">
        <v>19615</v>
      </c>
      <c r="AM1314">
        <v>6564</v>
      </c>
      <c r="AS1314">
        <v>0</v>
      </c>
      <c r="AU1314" t="s">
        <v>20657</v>
      </c>
    </row>
    <row r="1315" spans="1:48">
      <c r="A1315" s="1">
        <f>HYPERLINK("https://lsnyc.legalserver.org/matter/dynamic-profile/view/1900610","19-1900610")</f>
        <v>0</v>
      </c>
      <c r="B1315" t="s">
        <v>113</v>
      </c>
      <c r="C1315" t="s">
        <v>256</v>
      </c>
      <c r="D1315" t="s">
        <v>283</v>
      </c>
      <c r="F1315" t="s">
        <v>1833</v>
      </c>
      <c r="G1315" t="s">
        <v>2008</v>
      </c>
      <c r="H1315" t="s">
        <v>5864</v>
      </c>
      <c r="I1315" t="s">
        <v>8420</v>
      </c>
      <c r="J1315" t="s">
        <v>9065</v>
      </c>
      <c r="K1315">
        <v>10460</v>
      </c>
      <c r="L1315" t="s">
        <v>9094</v>
      </c>
      <c r="M1315" t="s">
        <v>9095</v>
      </c>
      <c r="N1315" t="s">
        <v>9171</v>
      </c>
      <c r="O1315" t="s">
        <v>9121</v>
      </c>
      <c r="P1315" t="s">
        <v>11166</v>
      </c>
      <c r="R1315" t="s">
        <v>11180</v>
      </c>
      <c r="S1315" t="s">
        <v>9094</v>
      </c>
      <c r="T1315" t="s">
        <v>11183</v>
      </c>
      <c r="V1315" t="s">
        <v>11218</v>
      </c>
      <c r="W1315">
        <v>242</v>
      </c>
      <c r="X1315" t="s">
        <v>11333</v>
      </c>
      <c r="Y1315" t="s">
        <v>11340</v>
      </c>
      <c r="Z1315" t="s">
        <v>12292</v>
      </c>
      <c r="AB1315" t="s">
        <v>16713</v>
      </c>
      <c r="AC1315">
        <v>168</v>
      </c>
      <c r="AD1315" t="s">
        <v>15441</v>
      </c>
      <c r="AE1315" t="s">
        <v>11157</v>
      </c>
      <c r="AF1315">
        <v>1</v>
      </c>
      <c r="AG1315">
        <v>2</v>
      </c>
      <c r="AH1315">
        <v>0</v>
      </c>
      <c r="AI1315">
        <v>54.64</v>
      </c>
      <c r="AL1315" t="s">
        <v>19614</v>
      </c>
      <c r="AM1315">
        <v>9240</v>
      </c>
      <c r="AS1315">
        <v>0.2</v>
      </c>
      <c r="AT1315" t="s">
        <v>315</v>
      </c>
      <c r="AU1315" t="s">
        <v>20642</v>
      </c>
      <c r="AV1315" t="s">
        <v>20733</v>
      </c>
    </row>
    <row r="1316" spans="1:48">
      <c r="A1316" s="1">
        <f>HYPERLINK("https://lsnyc.legalserver.org/matter/dynamic-profile/view/1882544","18-1882544")</f>
        <v>0</v>
      </c>
      <c r="B1316" t="s">
        <v>66</v>
      </c>
      <c r="C1316" t="s">
        <v>256</v>
      </c>
      <c r="D1316" t="s">
        <v>323</v>
      </c>
      <c r="F1316" t="s">
        <v>1834</v>
      </c>
      <c r="G1316" t="s">
        <v>3640</v>
      </c>
      <c r="H1316" t="s">
        <v>5752</v>
      </c>
      <c r="I1316" t="s">
        <v>8271</v>
      </c>
      <c r="J1316" t="s">
        <v>9059</v>
      </c>
      <c r="K1316">
        <v>11233</v>
      </c>
      <c r="L1316" t="s">
        <v>9094</v>
      </c>
      <c r="M1316" t="s">
        <v>9094</v>
      </c>
      <c r="N1316" t="s">
        <v>9686</v>
      </c>
      <c r="O1316" t="s">
        <v>11128</v>
      </c>
      <c r="P1316" t="s">
        <v>11165</v>
      </c>
      <c r="R1316" t="s">
        <v>11180</v>
      </c>
      <c r="S1316" t="s">
        <v>9096</v>
      </c>
      <c r="T1316" t="s">
        <v>11183</v>
      </c>
      <c r="U1316" t="s">
        <v>11202</v>
      </c>
      <c r="V1316" t="s">
        <v>514</v>
      </c>
      <c r="W1316">
        <v>2394</v>
      </c>
      <c r="X1316" t="s">
        <v>11332</v>
      </c>
      <c r="Y1316" t="s">
        <v>11336</v>
      </c>
      <c r="Z1316" t="s">
        <v>12293</v>
      </c>
      <c r="AA1316" t="s">
        <v>15534</v>
      </c>
      <c r="AB1316" t="s">
        <v>16714</v>
      </c>
      <c r="AC1316">
        <v>2</v>
      </c>
      <c r="AD1316" t="s">
        <v>19565</v>
      </c>
      <c r="AE1316" t="s">
        <v>19583</v>
      </c>
      <c r="AF1316">
        <v>1</v>
      </c>
      <c r="AG1316">
        <v>2</v>
      </c>
      <c r="AH1316">
        <v>0</v>
      </c>
      <c r="AI1316">
        <v>54.68</v>
      </c>
      <c r="AL1316" t="s">
        <v>19614</v>
      </c>
      <c r="AM1316">
        <v>9000</v>
      </c>
      <c r="AS1316">
        <v>2.95</v>
      </c>
      <c r="AT1316" t="s">
        <v>611</v>
      </c>
      <c r="AU1316" t="s">
        <v>95</v>
      </c>
    </row>
    <row r="1317" spans="1:48">
      <c r="A1317" s="1">
        <f>HYPERLINK("https://lsnyc.legalserver.org/matter/dynamic-profile/view/1869399","18-1869399")</f>
        <v>0</v>
      </c>
      <c r="B1317" t="s">
        <v>64</v>
      </c>
      <c r="C1317" t="s">
        <v>257</v>
      </c>
      <c r="D1317" t="s">
        <v>332</v>
      </c>
      <c r="E1317" t="s">
        <v>549</v>
      </c>
      <c r="F1317" t="s">
        <v>1249</v>
      </c>
      <c r="G1317" t="s">
        <v>3497</v>
      </c>
      <c r="H1317" t="s">
        <v>6459</v>
      </c>
      <c r="I1317" t="s">
        <v>8132</v>
      </c>
      <c r="J1317" t="s">
        <v>9059</v>
      </c>
      <c r="K1317">
        <v>11233</v>
      </c>
      <c r="L1317" t="s">
        <v>9095</v>
      </c>
      <c r="M1317" t="s">
        <v>9095</v>
      </c>
      <c r="Q1317" t="s">
        <v>11172</v>
      </c>
      <c r="R1317" t="s">
        <v>11180</v>
      </c>
      <c r="T1317" t="s">
        <v>11183</v>
      </c>
      <c r="W1317">
        <v>0</v>
      </c>
      <c r="X1317" t="s">
        <v>11332</v>
      </c>
      <c r="Y1317" t="s">
        <v>11157</v>
      </c>
      <c r="Z1317" t="s">
        <v>12294</v>
      </c>
      <c r="AB1317" t="s">
        <v>16715</v>
      </c>
      <c r="AC1317">
        <v>0</v>
      </c>
      <c r="AF1317">
        <v>0</v>
      </c>
      <c r="AG1317">
        <v>2</v>
      </c>
      <c r="AH1317">
        <v>0</v>
      </c>
      <c r="AI1317">
        <v>54.68</v>
      </c>
      <c r="AL1317" t="s">
        <v>19614</v>
      </c>
      <c r="AM1317">
        <v>9000</v>
      </c>
      <c r="AS1317">
        <v>1.8</v>
      </c>
      <c r="AT1317" t="s">
        <v>581</v>
      </c>
      <c r="AU1317" t="s">
        <v>20627</v>
      </c>
    </row>
    <row r="1318" spans="1:48">
      <c r="A1318" s="1">
        <f>HYPERLINK("https://lsnyc.legalserver.org/matter/dynamic-profile/view/1871432","18-1871432")</f>
        <v>0</v>
      </c>
      <c r="B1318" t="s">
        <v>82</v>
      </c>
      <c r="C1318" t="s">
        <v>256</v>
      </c>
      <c r="D1318" t="s">
        <v>767</v>
      </c>
      <c r="F1318" t="s">
        <v>1229</v>
      </c>
      <c r="G1318" t="s">
        <v>3421</v>
      </c>
      <c r="H1318" t="s">
        <v>5772</v>
      </c>
      <c r="I1318" t="s">
        <v>8166</v>
      </c>
      <c r="J1318" t="s">
        <v>9059</v>
      </c>
      <c r="K1318">
        <v>11230</v>
      </c>
      <c r="L1318" t="s">
        <v>9094</v>
      </c>
      <c r="M1318" t="s">
        <v>9094</v>
      </c>
      <c r="O1318" t="s">
        <v>11136</v>
      </c>
      <c r="P1318" t="s">
        <v>11166</v>
      </c>
      <c r="R1318" t="s">
        <v>11180</v>
      </c>
      <c r="S1318" t="s">
        <v>9094</v>
      </c>
      <c r="T1318" t="s">
        <v>11183</v>
      </c>
      <c r="V1318" t="s">
        <v>767</v>
      </c>
      <c r="W1318">
        <v>611.15</v>
      </c>
      <c r="X1318" t="s">
        <v>11332</v>
      </c>
      <c r="Y1318" t="s">
        <v>11346</v>
      </c>
      <c r="Z1318" t="s">
        <v>11456</v>
      </c>
      <c r="AC1318">
        <v>51</v>
      </c>
      <c r="AD1318" t="s">
        <v>19566</v>
      </c>
      <c r="AE1318" t="s">
        <v>9144</v>
      </c>
      <c r="AF1318">
        <v>54</v>
      </c>
      <c r="AG1318">
        <v>2</v>
      </c>
      <c r="AH1318">
        <v>0</v>
      </c>
      <c r="AI1318">
        <v>54.68</v>
      </c>
      <c r="AL1318" t="s">
        <v>19614</v>
      </c>
      <c r="AM1318">
        <v>9000</v>
      </c>
      <c r="AN1318" t="s">
        <v>19781</v>
      </c>
      <c r="AS1318">
        <v>2.4</v>
      </c>
      <c r="AT1318" t="s">
        <v>293</v>
      </c>
      <c r="AU1318" t="s">
        <v>20630</v>
      </c>
    </row>
    <row r="1319" spans="1:48">
      <c r="A1319" s="1">
        <f>HYPERLINK("https://lsnyc.legalserver.org/matter/dynamic-profile/view/1885788","18-1885788")</f>
        <v>0</v>
      </c>
      <c r="B1319" t="s">
        <v>65</v>
      </c>
      <c r="C1319" t="s">
        <v>257</v>
      </c>
      <c r="D1319" t="s">
        <v>629</v>
      </c>
      <c r="E1319" t="s">
        <v>259</v>
      </c>
      <c r="F1319" t="s">
        <v>1524</v>
      </c>
      <c r="G1319" t="s">
        <v>4010</v>
      </c>
      <c r="H1319" t="s">
        <v>6460</v>
      </c>
      <c r="I1319">
        <v>4</v>
      </c>
      <c r="J1319" t="s">
        <v>9059</v>
      </c>
      <c r="K1319">
        <v>11216</v>
      </c>
      <c r="L1319" t="s">
        <v>9094</v>
      </c>
      <c r="M1319" t="s">
        <v>9094</v>
      </c>
      <c r="N1319" t="s">
        <v>9687</v>
      </c>
      <c r="O1319" t="s">
        <v>11130</v>
      </c>
      <c r="P1319" t="s">
        <v>11165</v>
      </c>
      <c r="Q1319" t="s">
        <v>11174</v>
      </c>
      <c r="R1319" t="s">
        <v>11180</v>
      </c>
      <c r="S1319" t="s">
        <v>9096</v>
      </c>
      <c r="T1319" t="s">
        <v>11183</v>
      </c>
      <c r="U1319" t="s">
        <v>11201</v>
      </c>
      <c r="V1319" t="s">
        <v>634</v>
      </c>
      <c r="W1319">
        <v>0</v>
      </c>
      <c r="X1319" t="s">
        <v>11332</v>
      </c>
      <c r="Y1319" t="s">
        <v>11345</v>
      </c>
      <c r="Z1319" t="s">
        <v>12295</v>
      </c>
      <c r="AC1319">
        <v>10</v>
      </c>
      <c r="AD1319" t="s">
        <v>19569</v>
      </c>
      <c r="AF1319">
        <v>48</v>
      </c>
      <c r="AG1319">
        <v>2</v>
      </c>
      <c r="AH1319">
        <v>0</v>
      </c>
      <c r="AI1319">
        <v>54.68</v>
      </c>
      <c r="AL1319" t="s">
        <v>19614</v>
      </c>
      <c r="AM1319">
        <v>9000</v>
      </c>
      <c r="AO1319" t="s">
        <v>20301</v>
      </c>
      <c r="AP1319" t="s">
        <v>20323</v>
      </c>
      <c r="AQ1319" t="s">
        <v>20369</v>
      </c>
      <c r="AR1319" t="s">
        <v>20446</v>
      </c>
      <c r="AS1319">
        <v>42</v>
      </c>
      <c r="AT1319" t="s">
        <v>899</v>
      </c>
      <c r="AU1319" t="s">
        <v>215</v>
      </c>
      <c r="AV1319" t="s">
        <v>20733</v>
      </c>
    </row>
    <row r="1320" spans="1:48">
      <c r="A1320" s="1">
        <f>HYPERLINK("https://lsnyc.legalserver.org/matter/dynamic-profile/view/1869943","18-1869943")</f>
        <v>0</v>
      </c>
      <c r="B1320" t="s">
        <v>67</v>
      </c>
      <c r="C1320" t="s">
        <v>256</v>
      </c>
      <c r="D1320" t="s">
        <v>743</v>
      </c>
      <c r="F1320" t="s">
        <v>1835</v>
      </c>
      <c r="G1320" t="s">
        <v>3536</v>
      </c>
      <c r="H1320" t="s">
        <v>6461</v>
      </c>
      <c r="I1320" t="s">
        <v>8132</v>
      </c>
      <c r="J1320" t="s">
        <v>9059</v>
      </c>
      <c r="K1320">
        <v>11216</v>
      </c>
      <c r="L1320" t="s">
        <v>9095</v>
      </c>
      <c r="M1320" t="s">
        <v>9095</v>
      </c>
      <c r="R1320" t="s">
        <v>11180</v>
      </c>
      <c r="T1320" t="s">
        <v>11184</v>
      </c>
      <c r="W1320">
        <v>0</v>
      </c>
      <c r="X1320" t="s">
        <v>11332</v>
      </c>
      <c r="Z1320" t="s">
        <v>12296</v>
      </c>
      <c r="AC1320">
        <v>0</v>
      </c>
      <c r="AF1320">
        <v>0</v>
      </c>
      <c r="AG1320">
        <v>2</v>
      </c>
      <c r="AH1320">
        <v>0</v>
      </c>
      <c r="AI1320">
        <v>54.68</v>
      </c>
      <c r="AL1320" t="s">
        <v>19615</v>
      </c>
      <c r="AM1320">
        <v>9000</v>
      </c>
      <c r="AS1320">
        <v>1.7</v>
      </c>
      <c r="AT1320" t="s">
        <v>871</v>
      </c>
      <c r="AU1320" t="s">
        <v>67</v>
      </c>
    </row>
    <row r="1321" spans="1:48">
      <c r="A1321" s="1">
        <f>HYPERLINK("https://lsnyc.legalserver.org/matter/dynamic-profile/view/1876790","18-1876790")</f>
        <v>0</v>
      </c>
      <c r="B1321" t="s">
        <v>150</v>
      </c>
      <c r="C1321" t="s">
        <v>256</v>
      </c>
      <c r="D1321" t="s">
        <v>500</v>
      </c>
      <c r="F1321" t="s">
        <v>1625</v>
      </c>
      <c r="G1321" t="s">
        <v>3333</v>
      </c>
      <c r="H1321" t="s">
        <v>6462</v>
      </c>
      <c r="I1321" t="s">
        <v>8117</v>
      </c>
      <c r="J1321" t="s">
        <v>9059</v>
      </c>
      <c r="K1321">
        <v>11207</v>
      </c>
      <c r="L1321" t="s">
        <v>9094</v>
      </c>
      <c r="M1321" t="s">
        <v>9094</v>
      </c>
      <c r="N1321" t="s">
        <v>9688</v>
      </c>
      <c r="O1321" t="s">
        <v>11129</v>
      </c>
      <c r="P1321" t="s">
        <v>11165</v>
      </c>
      <c r="R1321" t="s">
        <v>11180</v>
      </c>
      <c r="S1321" t="s">
        <v>9096</v>
      </c>
      <c r="T1321" t="s">
        <v>11183</v>
      </c>
      <c r="U1321" t="s">
        <v>11200</v>
      </c>
      <c r="V1321" t="s">
        <v>500</v>
      </c>
      <c r="W1321">
        <v>1301</v>
      </c>
      <c r="X1321" t="s">
        <v>11332</v>
      </c>
      <c r="Y1321" t="s">
        <v>11336</v>
      </c>
      <c r="Z1321" t="s">
        <v>12297</v>
      </c>
      <c r="AA1321" t="s">
        <v>15535</v>
      </c>
      <c r="AB1321" t="s">
        <v>16716</v>
      </c>
      <c r="AC1321">
        <v>6</v>
      </c>
      <c r="AD1321" t="s">
        <v>19566</v>
      </c>
      <c r="AE1321" t="s">
        <v>19585</v>
      </c>
      <c r="AF1321">
        <v>10</v>
      </c>
      <c r="AG1321">
        <v>2</v>
      </c>
      <c r="AH1321">
        <v>0</v>
      </c>
      <c r="AI1321">
        <v>54.68</v>
      </c>
      <c r="AL1321" t="s">
        <v>19614</v>
      </c>
      <c r="AM1321">
        <v>9000</v>
      </c>
      <c r="AN1321" t="s">
        <v>19665</v>
      </c>
      <c r="AO1321" t="s">
        <v>20293</v>
      </c>
      <c r="AQ1321" t="s">
        <v>20369</v>
      </c>
      <c r="AR1321" t="s">
        <v>20447</v>
      </c>
      <c r="AS1321">
        <v>1.3</v>
      </c>
      <c r="AT1321" t="s">
        <v>581</v>
      </c>
      <c r="AU1321" t="s">
        <v>20633</v>
      </c>
    </row>
    <row r="1322" spans="1:48">
      <c r="A1322" s="1">
        <f>HYPERLINK("https://lsnyc.legalserver.org/matter/dynamic-profile/view/1876794","18-1876794")</f>
        <v>0</v>
      </c>
      <c r="B1322" t="s">
        <v>150</v>
      </c>
      <c r="C1322" t="s">
        <v>256</v>
      </c>
      <c r="D1322" t="s">
        <v>500</v>
      </c>
      <c r="F1322" t="s">
        <v>1625</v>
      </c>
      <c r="G1322" t="s">
        <v>3333</v>
      </c>
      <c r="H1322" t="s">
        <v>6462</v>
      </c>
      <c r="I1322" t="s">
        <v>8117</v>
      </c>
      <c r="J1322" t="s">
        <v>9059</v>
      </c>
      <c r="K1322">
        <v>11207</v>
      </c>
      <c r="L1322" t="s">
        <v>9094</v>
      </c>
      <c r="M1322" t="s">
        <v>9094</v>
      </c>
      <c r="N1322" t="s">
        <v>9688</v>
      </c>
      <c r="O1322" t="s">
        <v>11131</v>
      </c>
      <c r="P1322" t="s">
        <v>11167</v>
      </c>
      <c r="R1322" t="s">
        <v>11180</v>
      </c>
      <c r="S1322" t="s">
        <v>9096</v>
      </c>
      <c r="T1322" t="s">
        <v>11184</v>
      </c>
      <c r="W1322">
        <v>1301.25</v>
      </c>
      <c r="X1322" t="s">
        <v>11332</v>
      </c>
      <c r="Y1322" t="s">
        <v>11336</v>
      </c>
      <c r="Z1322" t="s">
        <v>12297</v>
      </c>
      <c r="AA1322" t="s">
        <v>15535</v>
      </c>
      <c r="AB1322" t="s">
        <v>16716</v>
      </c>
      <c r="AC1322">
        <v>6</v>
      </c>
      <c r="AD1322" t="s">
        <v>19566</v>
      </c>
      <c r="AE1322" t="s">
        <v>19585</v>
      </c>
      <c r="AF1322">
        <v>10</v>
      </c>
      <c r="AG1322">
        <v>2</v>
      </c>
      <c r="AH1322">
        <v>0</v>
      </c>
      <c r="AI1322">
        <v>54.68</v>
      </c>
      <c r="AL1322" t="s">
        <v>19614</v>
      </c>
      <c r="AM1322">
        <v>9000</v>
      </c>
      <c r="AN1322" t="s">
        <v>19665</v>
      </c>
      <c r="AS1322">
        <v>0</v>
      </c>
      <c r="AU1322" t="s">
        <v>20633</v>
      </c>
      <c r="AV1322" t="s">
        <v>20734</v>
      </c>
    </row>
    <row r="1323" spans="1:48">
      <c r="A1323" s="1">
        <f>HYPERLINK("https://lsnyc.legalserver.org/matter/dynamic-profile/view/1885587","18-1885587")</f>
        <v>0</v>
      </c>
      <c r="B1323" t="s">
        <v>113</v>
      </c>
      <c r="C1323" t="s">
        <v>257</v>
      </c>
      <c r="D1323" t="s">
        <v>357</v>
      </c>
      <c r="E1323" t="s">
        <v>301</v>
      </c>
      <c r="F1323" t="s">
        <v>1822</v>
      </c>
      <c r="G1323" t="s">
        <v>3994</v>
      </c>
      <c r="H1323" t="s">
        <v>5864</v>
      </c>
      <c r="I1323" t="s">
        <v>8416</v>
      </c>
      <c r="J1323" t="s">
        <v>9065</v>
      </c>
      <c r="K1323">
        <v>10460</v>
      </c>
      <c r="L1323" t="s">
        <v>9094</v>
      </c>
      <c r="M1323" t="s">
        <v>9094</v>
      </c>
      <c r="N1323" t="s">
        <v>9222</v>
      </c>
      <c r="O1323" t="s">
        <v>11130</v>
      </c>
      <c r="P1323" t="s">
        <v>11165</v>
      </c>
      <c r="Q1323" t="s">
        <v>11174</v>
      </c>
      <c r="R1323" t="s">
        <v>11180</v>
      </c>
      <c r="S1323" t="s">
        <v>9094</v>
      </c>
      <c r="T1323" t="s">
        <v>11183</v>
      </c>
      <c r="V1323" t="s">
        <v>512</v>
      </c>
      <c r="W1323">
        <v>1789</v>
      </c>
      <c r="X1323" t="s">
        <v>11333</v>
      </c>
      <c r="Y1323" t="s">
        <v>11346</v>
      </c>
      <c r="Z1323" t="s">
        <v>12270</v>
      </c>
      <c r="AB1323" t="s">
        <v>16693</v>
      </c>
      <c r="AC1323">
        <v>168</v>
      </c>
      <c r="AD1323" t="s">
        <v>19566</v>
      </c>
      <c r="AE1323" t="s">
        <v>19580</v>
      </c>
      <c r="AF1323">
        <v>12</v>
      </c>
      <c r="AG1323">
        <v>2</v>
      </c>
      <c r="AH1323">
        <v>0</v>
      </c>
      <c r="AI1323">
        <v>54.68</v>
      </c>
      <c r="AL1323" t="s">
        <v>19614</v>
      </c>
      <c r="AM1323">
        <v>9000</v>
      </c>
      <c r="AS1323">
        <v>0.25</v>
      </c>
      <c r="AT1323" t="s">
        <v>301</v>
      </c>
      <c r="AU1323" t="s">
        <v>163</v>
      </c>
      <c r="AV1323" t="s">
        <v>20733</v>
      </c>
    </row>
    <row r="1324" spans="1:48">
      <c r="A1324" s="1">
        <f>HYPERLINK("https://lsnyc.legalserver.org/matter/dynamic-profile/view/1878862","18-1878862")</f>
        <v>0</v>
      </c>
      <c r="B1324" t="s">
        <v>119</v>
      </c>
      <c r="C1324" t="s">
        <v>257</v>
      </c>
      <c r="D1324" t="s">
        <v>725</v>
      </c>
      <c r="E1324" t="s">
        <v>664</v>
      </c>
      <c r="F1324" t="s">
        <v>1836</v>
      </c>
      <c r="G1324" t="s">
        <v>4011</v>
      </c>
      <c r="H1324" t="s">
        <v>6463</v>
      </c>
      <c r="I1324" t="s">
        <v>8132</v>
      </c>
      <c r="J1324" t="s">
        <v>9065</v>
      </c>
      <c r="K1324">
        <v>10459</v>
      </c>
      <c r="L1324" t="s">
        <v>9094</v>
      </c>
      <c r="M1324" t="s">
        <v>9094</v>
      </c>
      <c r="N1324" t="s">
        <v>9689</v>
      </c>
      <c r="O1324" t="s">
        <v>11129</v>
      </c>
      <c r="P1324" t="s">
        <v>11165</v>
      </c>
      <c r="Q1324" t="s">
        <v>11174</v>
      </c>
      <c r="R1324" t="s">
        <v>11180</v>
      </c>
      <c r="S1324" t="s">
        <v>9096</v>
      </c>
      <c r="T1324" t="s">
        <v>11183</v>
      </c>
      <c r="U1324" t="s">
        <v>11200</v>
      </c>
      <c r="V1324" t="s">
        <v>725</v>
      </c>
      <c r="W1324">
        <v>1023.44</v>
      </c>
      <c r="X1324" t="s">
        <v>11333</v>
      </c>
      <c r="Y1324" t="s">
        <v>11345</v>
      </c>
      <c r="Z1324" t="s">
        <v>12298</v>
      </c>
      <c r="AA1324" t="s">
        <v>15536</v>
      </c>
      <c r="AB1324" t="s">
        <v>16717</v>
      </c>
      <c r="AC1324">
        <v>11</v>
      </c>
      <c r="AD1324" t="s">
        <v>19566</v>
      </c>
      <c r="AE1324" t="s">
        <v>19580</v>
      </c>
      <c r="AF1324">
        <v>9</v>
      </c>
      <c r="AG1324">
        <v>1</v>
      </c>
      <c r="AH1324">
        <v>1</v>
      </c>
      <c r="AI1324">
        <v>54.68</v>
      </c>
      <c r="AL1324" t="s">
        <v>19615</v>
      </c>
      <c r="AM1324">
        <v>9000</v>
      </c>
      <c r="AS1324">
        <v>12.1</v>
      </c>
      <c r="AT1324" t="s">
        <v>375</v>
      </c>
      <c r="AU1324" t="s">
        <v>20644</v>
      </c>
    </row>
    <row r="1325" spans="1:48">
      <c r="A1325" s="1">
        <f>HYPERLINK("https://lsnyc.legalserver.org/matter/dynamic-profile/view/1875776","18-1875776")</f>
        <v>0</v>
      </c>
      <c r="B1325" t="s">
        <v>103</v>
      </c>
      <c r="C1325" t="s">
        <v>256</v>
      </c>
      <c r="D1325" t="s">
        <v>742</v>
      </c>
      <c r="F1325" t="s">
        <v>1837</v>
      </c>
      <c r="G1325" t="s">
        <v>4012</v>
      </c>
      <c r="H1325" t="s">
        <v>6413</v>
      </c>
      <c r="I1325" t="s">
        <v>8216</v>
      </c>
      <c r="J1325" t="s">
        <v>9065</v>
      </c>
      <c r="K1325">
        <v>10456</v>
      </c>
      <c r="L1325" t="s">
        <v>9094</v>
      </c>
      <c r="M1325" t="s">
        <v>9094</v>
      </c>
      <c r="N1325" t="s">
        <v>9648</v>
      </c>
      <c r="O1325" t="s">
        <v>11134</v>
      </c>
      <c r="P1325" t="s">
        <v>11168</v>
      </c>
      <c r="R1325" t="s">
        <v>11180</v>
      </c>
      <c r="S1325" t="s">
        <v>9094</v>
      </c>
      <c r="T1325" t="s">
        <v>11183</v>
      </c>
      <c r="V1325" t="s">
        <v>945</v>
      </c>
      <c r="W1325">
        <v>1446.39</v>
      </c>
      <c r="X1325" t="s">
        <v>11333</v>
      </c>
      <c r="Y1325" t="s">
        <v>11346</v>
      </c>
      <c r="Z1325" t="s">
        <v>11723</v>
      </c>
      <c r="AB1325" t="s">
        <v>16718</v>
      </c>
      <c r="AC1325">
        <v>61</v>
      </c>
      <c r="AD1325" t="s">
        <v>19566</v>
      </c>
      <c r="AE1325" t="s">
        <v>19580</v>
      </c>
      <c r="AF1325">
        <v>17</v>
      </c>
      <c r="AG1325">
        <v>2</v>
      </c>
      <c r="AH1325">
        <v>0</v>
      </c>
      <c r="AI1325">
        <v>54.68</v>
      </c>
      <c r="AL1325" t="s">
        <v>19615</v>
      </c>
      <c r="AM1325">
        <v>9000</v>
      </c>
      <c r="AS1325">
        <v>0</v>
      </c>
      <c r="AU1325" t="s">
        <v>163</v>
      </c>
    </row>
    <row r="1326" spans="1:48">
      <c r="A1326" s="1">
        <f>HYPERLINK("https://lsnyc.legalserver.org/matter/dynamic-profile/view/1872340","18-1872340")</f>
        <v>0</v>
      </c>
      <c r="B1326" t="s">
        <v>148</v>
      </c>
      <c r="C1326" t="s">
        <v>256</v>
      </c>
      <c r="D1326" t="s">
        <v>620</v>
      </c>
      <c r="F1326" t="s">
        <v>1838</v>
      </c>
      <c r="G1326" t="s">
        <v>3366</v>
      </c>
      <c r="H1326" t="s">
        <v>6464</v>
      </c>
      <c r="I1326">
        <v>65</v>
      </c>
      <c r="J1326" t="s">
        <v>9067</v>
      </c>
      <c r="K1326">
        <v>10029</v>
      </c>
      <c r="L1326" t="s">
        <v>9094</v>
      </c>
      <c r="M1326" t="s">
        <v>9094</v>
      </c>
      <c r="N1326" t="s">
        <v>9690</v>
      </c>
      <c r="O1326" t="s">
        <v>11129</v>
      </c>
      <c r="P1326" t="s">
        <v>11165</v>
      </c>
      <c r="R1326" t="s">
        <v>11180</v>
      </c>
      <c r="S1326" t="s">
        <v>9096</v>
      </c>
      <c r="T1326" t="s">
        <v>11183</v>
      </c>
      <c r="U1326" t="s">
        <v>11203</v>
      </c>
      <c r="V1326" t="s">
        <v>536</v>
      </c>
      <c r="W1326">
        <v>1029.07</v>
      </c>
      <c r="X1326" t="s">
        <v>11335</v>
      </c>
      <c r="Y1326" t="s">
        <v>11353</v>
      </c>
      <c r="Z1326" t="s">
        <v>12299</v>
      </c>
      <c r="AC1326">
        <v>65</v>
      </c>
      <c r="AD1326" t="s">
        <v>15441</v>
      </c>
      <c r="AE1326" t="s">
        <v>9144</v>
      </c>
      <c r="AF1326">
        <v>21</v>
      </c>
      <c r="AG1326">
        <v>2</v>
      </c>
      <c r="AH1326">
        <v>0</v>
      </c>
      <c r="AI1326">
        <v>54.68</v>
      </c>
      <c r="AL1326" t="s">
        <v>19614</v>
      </c>
      <c r="AM1326">
        <v>9000</v>
      </c>
      <c r="AN1326" t="s">
        <v>19782</v>
      </c>
      <c r="AS1326">
        <v>19</v>
      </c>
      <c r="AT1326" t="s">
        <v>511</v>
      </c>
      <c r="AU1326" t="s">
        <v>20655</v>
      </c>
      <c r="AV1326" t="s">
        <v>20733</v>
      </c>
    </row>
    <row r="1327" spans="1:48">
      <c r="A1327" s="1">
        <f>HYPERLINK("https://lsnyc.legalserver.org/matter/dynamic-profile/view/1878529","18-1878529")</f>
        <v>0</v>
      </c>
      <c r="B1327" t="s">
        <v>69</v>
      </c>
      <c r="C1327" t="s">
        <v>256</v>
      </c>
      <c r="D1327" t="s">
        <v>768</v>
      </c>
      <c r="F1327" t="s">
        <v>1838</v>
      </c>
      <c r="G1327" t="s">
        <v>3366</v>
      </c>
      <c r="H1327" t="s">
        <v>6464</v>
      </c>
      <c r="I1327">
        <v>65</v>
      </c>
      <c r="J1327" t="s">
        <v>9067</v>
      </c>
      <c r="K1327">
        <v>10029</v>
      </c>
      <c r="L1327" t="s">
        <v>9094</v>
      </c>
      <c r="M1327" t="s">
        <v>9094</v>
      </c>
      <c r="O1327" t="s">
        <v>11131</v>
      </c>
      <c r="P1327" t="s">
        <v>11168</v>
      </c>
      <c r="R1327" t="s">
        <v>11180</v>
      </c>
      <c r="S1327" t="s">
        <v>9096</v>
      </c>
      <c r="T1327" t="s">
        <v>11191</v>
      </c>
      <c r="U1327" t="s">
        <v>11201</v>
      </c>
      <c r="V1327" t="s">
        <v>768</v>
      </c>
      <c r="W1327">
        <v>1029.07</v>
      </c>
      <c r="X1327" t="s">
        <v>11335</v>
      </c>
      <c r="Y1327" t="s">
        <v>11353</v>
      </c>
      <c r="Z1327" t="s">
        <v>12299</v>
      </c>
      <c r="AC1327">
        <v>65</v>
      </c>
      <c r="AD1327" t="s">
        <v>15441</v>
      </c>
      <c r="AE1327" t="s">
        <v>9144</v>
      </c>
      <c r="AF1327">
        <v>21</v>
      </c>
      <c r="AG1327">
        <v>2</v>
      </c>
      <c r="AH1327">
        <v>0</v>
      </c>
      <c r="AI1327">
        <v>54.68</v>
      </c>
      <c r="AL1327" t="s">
        <v>19614</v>
      </c>
      <c r="AM1327">
        <v>9000</v>
      </c>
      <c r="AS1327">
        <v>3.5</v>
      </c>
      <c r="AT1327" t="s">
        <v>725</v>
      </c>
      <c r="AU1327" t="s">
        <v>20657</v>
      </c>
    </row>
    <row r="1328" spans="1:48">
      <c r="A1328" s="1">
        <f>HYPERLINK("https://lsnyc.legalserver.org/matter/dynamic-profile/view/1905815","19-1905815")</f>
        <v>0</v>
      </c>
      <c r="B1328" t="s">
        <v>78</v>
      </c>
      <c r="C1328" t="s">
        <v>256</v>
      </c>
      <c r="D1328" t="s">
        <v>426</v>
      </c>
      <c r="F1328" t="s">
        <v>1171</v>
      </c>
      <c r="G1328" t="s">
        <v>3680</v>
      </c>
      <c r="H1328" t="s">
        <v>6465</v>
      </c>
      <c r="I1328" t="s">
        <v>8112</v>
      </c>
      <c r="J1328" t="s">
        <v>9059</v>
      </c>
      <c r="K1328">
        <v>11212</v>
      </c>
      <c r="L1328" t="s">
        <v>9094</v>
      </c>
      <c r="M1328" t="s">
        <v>9095</v>
      </c>
      <c r="N1328" t="s">
        <v>9184</v>
      </c>
      <c r="O1328" t="s">
        <v>11132</v>
      </c>
      <c r="P1328" t="s">
        <v>11167</v>
      </c>
      <c r="R1328" t="s">
        <v>11180</v>
      </c>
      <c r="S1328" t="s">
        <v>9094</v>
      </c>
      <c r="T1328" t="s">
        <v>11186</v>
      </c>
      <c r="U1328" t="s">
        <v>11201</v>
      </c>
      <c r="V1328" t="s">
        <v>512</v>
      </c>
      <c r="W1328">
        <v>1283.86</v>
      </c>
      <c r="X1328" t="s">
        <v>11332</v>
      </c>
      <c r="Y1328" t="s">
        <v>11339</v>
      </c>
      <c r="Z1328" t="s">
        <v>12300</v>
      </c>
      <c r="AC1328">
        <v>10</v>
      </c>
      <c r="AD1328" t="s">
        <v>19566</v>
      </c>
      <c r="AE1328" t="s">
        <v>19580</v>
      </c>
      <c r="AF1328">
        <v>26</v>
      </c>
      <c r="AG1328">
        <v>2</v>
      </c>
      <c r="AH1328">
        <v>0</v>
      </c>
      <c r="AI1328">
        <v>54.71</v>
      </c>
      <c r="AL1328" t="s">
        <v>19614</v>
      </c>
      <c r="AM1328">
        <v>9252</v>
      </c>
      <c r="AN1328" t="s">
        <v>19783</v>
      </c>
      <c r="AS1328">
        <v>0</v>
      </c>
      <c r="AU1328" t="s">
        <v>79</v>
      </c>
      <c r="AV1328" t="s">
        <v>20733</v>
      </c>
    </row>
    <row r="1329" spans="1:48">
      <c r="A1329" s="1">
        <f>HYPERLINK("https://lsnyc.legalserver.org/matter/dynamic-profile/view/1895285","19-1895285")</f>
        <v>0</v>
      </c>
      <c r="B1329" t="s">
        <v>92</v>
      </c>
      <c r="C1329" t="s">
        <v>256</v>
      </c>
      <c r="D1329" t="s">
        <v>264</v>
      </c>
      <c r="F1329" t="s">
        <v>1171</v>
      </c>
      <c r="G1329" t="s">
        <v>3680</v>
      </c>
      <c r="H1329" t="s">
        <v>6465</v>
      </c>
      <c r="I1329" t="s">
        <v>8112</v>
      </c>
      <c r="J1329" t="s">
        <v>9059</v>
      </c>
      <c r="K1329">
        <v>11212</v>
      </c>
      <c r="L1329" t="s">
        <v>9094</v>
      </c>
      <c r="M1329" t="s">
        <v>9096</v>
      </c>
      <c r="N1329" t="s">
        <v>9691</v>
      </c>
      <c r="O1329" t="s">
        <v>11129</v>
      </c>
      <c r="P1329" t="s">
        <v>11165</v>
      </c>
      <c r="R1329" t="s">
        <v>11180</v>
      </c>
      <c r="S1329" t="s">
        <v>9094</v>
      </c>
      <c r="T1329" t="s">
        <v>11183</v>
      </c>
      <c r="U1329" t="s">
        <v>11201</v>
      </c>
      <c r="V1329" t="s">
        <v>291</v>
      </c>
      <c r="W1329">
        <v>1283.86</v>
      </c>
      <c r="X1329" t="s">
        <v>11332</v>
      </c>
      <c r="Y1329" t="s">
        <v>11339</v>
      </c>
      <c r="Z1329" t="s">
        <v>12300</v>
      </c>
      <c r="AC1329">
        <v>10</v>
      </c>
      <c r="AD1329" t="s">
        <v>19566</v>
      </c>
      <c r="AE1329" t="s">
        <v>19580</v>
      </c>
      <c r="AF1329">
        <v>26</v>
      </c>
      <c r="AG1329">
        <v>2</v>
      </c>
      <c r="AH1329">
        <v>0</v>
      </c>
      <c r="AI1329">
        <v>54.71</v>
      </c>
      <c r="AL1329" t="s">
        <v>19614</v>
      </c>
      <c r="AM1329">
        <v>9252</v>
      </c>
      <c r="AS1329">
        <v>32.35</v>
      </c>
      <c r="AT1329" t="s">
        <v>612</v>
      </c>
      <c r="AU1329" t="s">
        <v>95</v>
      </c>
      <c r="AV1329" t="s">
        <v>20733</v>
      </c>
    </row>
    <row r="1330" spans="1:48">
      <c r="A1330" s="1">
        <f>HYPERLINK("https://lsnyc.legalserver.org/matter/dynamic-profile/view/1905820","19-1905820")</f>
        <v>0</v>
      </c>
      <c r="B1330" t="s">
        <v>78</v>
      </c>
      <c r="C1330" t="s">
        <v>256</v>
      </c>
      <c r="D1330" t="s">
        <v>426</v>
      </c>
      <c r="F1330" t="s">
        <v>1171</v>
      </c>
      <c r="G1330" t="s">
        <v>3680</v>
      </c>
      <c r="H1330" t="s">
        <v>6465</v>
      </c>
      <c r="I1330" t="s">
        <v>8112</v>
      </c>
      <c r="J1330" t="s">
        <v>9059</v>
      </c>
      <c r="K1330">
        <v>11212</v>
      </c>
      <c r="L1330" t="s">
        <v>9094</v>
      </c>
      <c r="M1330" t="s">
        <v>9095</v>
      </c>
      <c r="N1330" t="s">
        <v>9182</v>
      </c>
      <c r="O1330" t="s">
        <v>11141</v>
      </c>
      <c r="P1330" t="s">
        <v>11170</v>
      </c>
      <c r="R1330" t="s">
        <v>11180</v>
      </c>
      <c r="S1330" t="s">
        <v>9094</v>
      </c>
      <c r="T1330" t="s">
        <v>11185</v>
      </c>
      <c r="U1330" t="s">
        <v>11201</v>
      </c>
      <c r="V1330" t="s">
        <v>777</v>
      </c>
      <c r="W1330">
        <v>1283.86</v>
      </c>
      <c r="X1330" t="s">
        <v>11332</v>
      </c>
      <c r="Y1330" t="s">
        <v>11339</v>
      </c>
      <c r="Z1330" t="s">
        <v>12300</v>
      </c>
      <c r="AC1330">
        <v>10</v>
      </c>
      <c r="AD1330" t="s">
        <v>19566</v>
      </c>
      <c r="AE1330" t="s">
        <v>19580</v>
      </c>
      <c r="AF1330">
        <v>26</v>
      </c>
      <c r="AG1330">
        <v>2</v>
      </c>
      <c r="AH1330">
        <v>0</v>
      </c>
      <c r="AI1330">
        <v>54.71</v>
      </c>
      <c r="AL1330" t="s">
        <v>19614</v>
      </c>
      <c r="AM1330">
        <v>9252</v>
      </c>
      <c r="AN1330" t="s">
        <v>19783</v>
      </c>
      <c r="AS1330">
        <v>0</v>
      </c>
      <c r="AU1330" t="s">
        <v>79</v>
      </c>
      <c r="AV1330" t="s">
        <v>20733</v>
      </c>
    </row>
    <row r="1331" spans="1:48">
      <c r="A1331" s="1">
        <f>HYPERLINK("https://lsnyc.legalserver.org/matter/dynamic-profile/view/1893008","19-1893008")</f>
        <v>0</v>
      </c>
      <c r="B1331" t="s">
        <v>108</v>
      </c>
      <c r="C1331" t="s">
        <v>256</v>
      </c>
      <c r="D1331" t="s">
        <v>423</v>
      </c>
      <c r="F1331" t="s">
        <v>1147</v>
      </c>
      <c r="G1331" t="s">
        <v>4013</v>
      </c>
      <c r="H1331" t="s">
        <v>5859</v>
      </c>
      <c r="I1331" t="s">
        <v>8171</v>
      </c>
      <c r="J1331" t="s">
        <v>9065</v>
      </c>
      <c r="K1331">
        <v>10467</v>
      </c>
      <c r="L1331" t="s">
        <v>9094</v>
      </c>
      <c r="M1331" t="s">
        <v>9094</v>
      </c>
      <c r="P1331" t="s">
        <v>11167</v>
      </c>
      <c r="R1331" t="s">
        <v>11180</v>
      </c>
      <c r="S1331" t="s">
        <v>9094</v>
      </c>
      <c r="T1331" t="s">
        <v>11183</v>
      </c>
      <c r="V1331" t="s">
        <v>11218</v>
      </c>
      <c r="W1331">
        <v>164</v>
      </c>
      <c r="X1331" t="s">
        <v>11333</v>
      </c>
      <c r="Y1331" t="s">
        <v>11339</v>
      </c>
      <c r="Z1331" t="s">
        <v>12301</v>
      </c>
      <c r="AB1331" t="s">
        <v>16719</v>
      </c>
      <c r="AC1331">
        <v>122</v>
      </c>
      <c r="AD1331" t="s">
        <v>19565</v>
      </c>
      <c r="AE1331" t="s">
        <v>19580</v>
      </c>
      <c r="AF1331">
        <v>35</v>
      </c>
      <c r="AG1331">
        <v>2</v>
      </c>
      <c r="AH1331">
        <v>0</v>
      </c>
      <c r="AI1331">
        <v>54.71</v>
      </c>
      <c r="AL1331" t="s">
        <v>19614</v>
      </c>
      <c r="AM1331">
        <v>9252</v>
      </c>
      <c r="AS1331">
        <v>1.9</v>
      </c>
      <c r="AT1331" t="s">
        <v>374</v>
      </c>
      <c r="AU1331" t="s">
        <v>220</v>
      </c>
      <c r="AV1331" t="s">
        <v>20733</v>
      </c>
    </row>
    <row r="1332" spans="1:48">
      <c r="A1332" s="1">
        <f>HYPERLINK("https://lsnyc.legalserver.org/matter/dynamic-profile/view/1899746","19-1899746")</f>
        <v>0</v>
      </c>
      <c r="B1332" t="s">
        <v>140</v>
      </c>
      <c r="C1332" t="s">
        <v>256</v>
      </c>
      <c r="D1332" t="s">
        <v>261</v>
      </c>
      <c r="F1332" t="s">
        <v>1839</v>
      </c>
      <c r="G1332" t="s">
        <v>4014</v>
      </c>
      <c r="H1332" t="s">
        <v>6466</v>
      </c>
      <c r="I1332" t="s">
        <v>8421</v>
      </c>
      <c r="J1332" t="s">
        <v>9067</v>
      </c>
      <c r="K1332">
        <v>10034</v>
      </c>
      <c r="L1332" t="s">
        <v>9094</v>
      </c>
      <c r="M1332" t="s">
        <v>9095</v>
      </c>
      <c r="O1332" t="s">
        <v>11129</v>
      </c>
      <c r="P1332" t="s">
        <v>11166</v>
      </c>
      <c r="R1332" t="s">
        <v>11180</v>
      </c>
      <c r="S1332" t="s">
        <v>9094</v>
      </c>
      <c r="T1332" t="s">
        <v>11183</v>
      </c>
      <c r="V1332" t="s">
        <v>261</v>
      </c>
      <c r="W1332">
        <v>2200</v>
      </c>
      <c r="X1332" t="s">
        <v>11335</v>
      </c>
      <c r="Y1332" t="s">
        <v>11340</v>
      </c>
      <c r="Z1332" t="s">
        <v>12302</v>
      </c>
      <c r="AB1332" t="s">
        <v>16720</v>
      </c>
      <c r="AC1332">
        <v>44</v>
      </c>
      <c r="AD1332" t="s">
        <v>19566</v>
      </c>
      <c r="AE1332" t="s">
        <v>9144</v>
      </c>
      <c r="AF1332">
        <v>2</v>
      </c>
      <c r="AG1332">
        <v>2</v>
      </c>
      <c r="AH1332">
        <v>0</v>
      </c>
      <c r="AI1332">
        <v>54.71</v>
      </c>
      <c r="AL1332" t="s">
        <v>19614</v>
      </c>
      <c r="AM1332">
        <v>9252</v>
      </c>
      <c r="AS1332">
        <v>0.01</v>
      </c>
      <c r="AT1332" t="s">
        <v>279</v>
      </c>
      <c r="AU1332" t="s">
        <v>130</v>
      </c>
      <c r="AV1332" t="s">
        <v>20733</v>
      </c>
    </row>
    <row r="1333" spans="1:48">
      <c r="A1333" s="1">
        <f>HYPERLINK("https://lsnyc.legalserver.org/matter/dynamic-profile/view/1842018","17-1842018")</f>
        <v>0</v>
      </c>
      <c r="B1333" t="s">
        <v>138</v>
      </c>
      <c r="C1333" t="s">
        <v>256</v>
      </c>
      <c r="D1333" t="s">
        <v>769</v>
      </c>
      <c r="F1333" t="s">
        <v>1840</v>
      </c>
      <c r="G1333" t="s">
        <v>4015</v>
      </c>
      <c r="H1333" t="s">
        <v>6467</v>
      </c>
      <c r="I1333" t="s">
        <v>8161</v>
      </c>
      <c r="J1333" t="s">
        <v>9067</v>
      </c>
      <c r="K1333">
        <v>10009</v>
      </c>
      <c r="L1333" t="s">
        <v>9095</v>
      </c>
      <c r="M1333" t="s">
        <v>9095</v>
      </c>
      <c r="O1333" t="s">
        <v>9121</v>
      </c>
      <c r="P1333" t="s">
        <v>11164</v>
      </c>
      <c r="R1333" t="s">
        <v>11181</v>
      </c>
      <c r="S1333" t="s">
        <v>9096</v>
      </c>
      <c r="T1333" t="s">
        <v>11189</v>
      </c>
      <c r="V1333" t="s">
        <v>948</v>
      </c>
      <c r="W1333">
        <v>0</v>
      </c>
      <c r="X1333" t="s">
        <v>11335</v>
      </c>
      <c r="Y1333" t="s">
        <v>11337</v>
      </c>
      <c r="Z1333" t="s">
        <v>12303</v>
      </c>
      <c r="AC1333">
        <v>439</v>
      </c>
      <c r="AD1333" t="s">
        <v>19568</v>
      </c>
      <c r="AF1333">
        <v>0</v>
      </c>
      <c r="AG1333">
        <v>1</v>
      </c>
      <c r="AH1333">
        <v>0</v>
      </c>
      <c r="AI1333">
        <v>54.83</v>
      </c>
      <c r="AJ1333" t="s">
        <v>19591</v>
      </c>
      <c r="AK1333" t="s">
        <v>19608</v>
      </c>
      <c r="AL1333" t="s">
        <v>19628</v>
      </c>
      <c r="AM1333">
        <v>6612</v>
      </c>
      <c r="AS1333">
        <v>1.2</v>
      </c>
      <c r="AT1333" t="s">
        <v>11216</v>
      </c>
      <c r="AU1333" t="s">
        <v>20682</v>
      </c>
    </row>
    <row r="1334" spans="1:48">
      <c r="A1334" s="1">
        <f>HYPERLINK("https://lsnyc.legalserver.org/matter/dynamic-profile/view/1901690","19-1901690")</f>
        <v>0</v>
      </c>
      <c r="B1334" t="s">
        <v>69</v>
      </c>
      <c r="C1334" t="s">
        <v>257</v>
      </c>
      <c r="D1334" t="s">
        <v>610</v>
      </c>
      <c r="E1334" t="s">
        <v>265</v>
      </c>
      <c r="F1334" t="s">
        <v>1270</v>
      </c>
      <c r="G1334" t="s">
        <v>3473</v>
      </c>
      <c r="H1334" t="s">
        <v>6468</v>
      </c>
      <c r="I1334" t="s">
        <v>8150</v>
      </c>
      <c r="J1334" t="s">
        <v>9059</v>
      </c>
      <c r="K1334">
        <v>11208</v>
      </c>
      <c r="L1334" t="s">
        <v>9096</v>
      </c>
      <c r="M1334" t="s">
        <v>9095</v>
      </c>
      <c r="O1334" t="s">
        <v>9121</v>
      </c>
      <c r="P1334" t="s">
        <v>11164</v>
      </c>
      <c r="Q1334" t="s">
        <v>11172</v>
      </c>
      <c r="R1334" t="s">
        <v>11180</v>
      </c>
      <c r="S1334" t="s">
        <v>9096</v>
      </c>
      <c r="T1334" t="s">
        <v>11183</v>
      </c>
      <c r="U1334" t="s">
        <v>11201</v>
      </c>
      <c r="V1334" t="s">
        <v>319</v>
      </c>
      <c r="W1334">
        <v>2300</v>
      </c>
      <c r="X1334" t="s">
        <v>11332</v>
      </c>
      <c r="Y1334" t="s">
        <v>11352</v>
      </c>
      <c r="Z1334" t="s">
        <v>12304</v>
      </c>
      <c r="AA1334" t="s">
        <v>9171</v>
      </c>
      <c r="AB1334" t="s">
        <v>16721</v>
      </c>
      <c r="AC1334">
        <v>2</v>
      </c>
      <c r="AD1334" t="s">
        <v>19565</v>
      </c>
      <c r="AE1334" t="s">
        <v>9144</v>
      </c>
      <c r="AF1334">
        <v>0</v>
      </c>
      <c r="AG1334">
        <v>2</v>
      </c>
      <c r="AH1334">
        <v>1</v>
      </c>
      <c r="AI1334">
        <v>54.85</v>
      </c>
      <c r="AL1334" t="s">
        <v>19614</v>
      </c>
      <c r="AM1334">
        <v>11700</v>
      </c>
      <c r="AS1334">
        <v>1</v>
      </c>
      <c r="AT1334" t="s">
        <v>265</v>
      </c>
      <c r="AU1334" t="s">
        <v>95</v>
      </c>
      <c r="AV1334" t="s">
        <v>9144</v>
      </c>
    </row>
    <row r="1335" spans="1:48">
      <c r="A1335" s="1">
        <f>HYPERLINK("https://lsnyc.legalserver.org/matter/dynamic-profile/view/1909290","19-1909290")</f>
        <v>0</v>
      </c>
      <c r="B1335" t="s">
        <v>103</v>
      </c>
      <c r="C1335" t="s">
        <v>257</v>
      </c>
      <c r="D1335" t="s">
        <v>297</v>
      </c>
      <c r="E1335" t="s">
        <v>339</v>
      </c>
      <c r="F1335" t="s">
        <v>1693</v>
      </c>
      <c r="G1335" t="s">
        <v>4016</v>
      </c>
      <c r="H1335" t="s">
        <v>6469</v>
      </c>
      <c r="I1335" t="s">
        <v>8422</v>
      </c>
      <c r="J1335" t="s">
        <v>9065</v>
      </c>
      <c r="K1335">
        <v>10457</v>
      </c>
      <c r="L1335" t="s">
        <v>9094</v>
      </c>
      <c r="M1335" t="s">
        <v>9095</v>
      </c>
      <c r="N1335" t="s">
        <v>9692</v>
      </c>
      <c r="O1335" t="s">
        <v>11128</v>
      </c>
      <c r="P1335" t="s">
        <v>11164</v>
      </c>
      <c r="Q1335" t="s">
        <v>11172</v>
      </c>
      <c r="R1335" t="s">
        <v>11180</v>
      </c>
      <c r="S1335" t="s">
        <v>9096</v>
      </c>
      <c r="T1335" t="s">
        <v>11183</v>
      </c>
      <c r="V1335" t="s">
        <v>481</v>
      </c>
      <c r="W1335">
        <v>461</v>
      </c>
      <c r="X1335" t="s">
        <v>11333</v>
      </c>
      <c r="Y1335" t="s">
        <v>11346</v>
      </c>
      <c r="Z1335" t="s">
        <v>12305</v>
      </c>
      <c r="AB1335" t="s">
        <v>16722</v>
      </c>
      <c r="AC1335">
        <v>239</v>
      </c>
      <c r="AE1335" t="s">
        <v>9144</v>
      </c>
      <c r="AF1335">
        <v>16</v>
      </c>
      <c r="AG1335">
        <v>1</v>
      </c>
      <c r="AH1335">
        <v>1</v>
      </c>
      <c r="AI1335">
        <v>54.86</v>
      </c>
      <c r="AL1335" t="s">
        <v>19614</v>
      </c>
      <c r="AM1335">
        <v>9276</v>
      </c>
      <c r="AS1335">
        <v>0.1</v>
      </c>
      <c r="AT1335" t="s">
        <v>339</v>
      </c>
      <c r="AU1335" t="s">
        <v>220</v>
      </c>
      <c r="AV1335" t="s">
        <v>20733</v>
      </c>
    </row>
    <row r="1336" spans="1:48">
      <c r="A1336" s="1">
        <f>HYPERLINK("https://lsnyc.legalserver.org/matter/dynamic-profile/view/1841227","17-1841227")</f>
        <v>0</v>
      </c>
      <c r="B1336" t="s">
        <v>101</v>
      </c>
      <c r="C1336" t="s">
        <v>256</v>
      </c>
      <c r="D1336" t="s">
        <v>770</v>
      </c>
      <c r="F1336" t="s">
        <v>1721</v>
      </c>
      <c r="G1336" t="s">
        <v>3873</v>
      </c>
      <c r="H1336" t="s">
        <v>6041</v>
      </c>
      <c r="I1336" t="s">
        <v>8262</v>
      </c>
      <c r="J1336" t="s">
        <v>9065</v>
      </c>
      <c r="K1336">
        <v>10452</v>
      </c>
      <c r="L1336" t="s">
        <v>9094</v>
      </c>
      <c r="M1336" t="s">
        <v>9095</v>
      </c>
      <c r="N1336" t="s">
        <v>9693</v>
      </c>
      <c r="O1336" t="s">
        <v>11135</v>
      </c>
      <c r="P1336" t="s">
        <v>11168</v>
      </c>
      <c r="R1336" t="s">
        <v>11180</v>
      </c>
      <c r="S1336" t="s">
        <v>9094</v>
      </c>
      <c r="T1336" t="s">
        <v>11183</v>
      </c>
      <c r="V1336" t="s">
        <v>770</v>
      </c>
      <c r="W1336">
        <v>854.7</v>
      </c>
      <c r="X1336" t="s">
        <v>11333</v>
      </c>
      <c r="Y1336" t="s">
        <v>11346</v>
      </c>
      <c r="Z1336" t="s">
        <v>12306</v>
      </c>
      <c r="AB1336" t="s">
        <v>16723</v>
      </c>
      <c r="AC1336">
        <v>61</v>
      </c>
      <c r="AD1336" t="s">
        <v>19566</v>
      </c>
      <c r="AE1336" t="s">
        <v>9144</v>
      </c>
      <c r="AF1336">
        <v>20</v>
      </c>
      <c r="AG1336">
        <v>2</v>
      </c>
      <c r="AH1336">
        <v>2</v>
      </c>
      <c r="AI1336">
        <v>54.88</v>
      </c>
      <c r="AL1336" t="s">
        <v>19614</v>
      </c>
      <c r="AM1336">
        <v>13500</v>
      </c>
      <c r="AS1336">
        <v>0.2</v>
      </c>
      <c r="AT1336" t="s">
        <v>873</v>
      </c>
      <c r="AU1336" t="s">
        <v>20647</v>
      </c>
    </row>
    <row r="1337" spans="1:48">
      <c r="A1337" s="1">
        <f>HYPERLINK("https://lsnyc.legalserver.org/matter/dynamic-profile/view/1836709","17-1836709")</f>
        <v>0</v>
      </c>
      <c r="B1337" t="s">
        <v>141</v>
      </c>
      <c r="C1337" t="s">
        <v>257</v>
      </c>
      <c r="D1337" t="s">
        <v>771</v>
      </c>
      <c r="E1337" t="s">
        <v>594</v>
      </c>
      <c r="F1337" t="s">
        <v>1841</v>
      </c>
      <c r="G1337" t="s">
        <v>4017</v>
      </c>
      <c r="H1337" t="s">
        <v>6470</v>
      </c>
      <c r="I1337">
        <v>45</v>
      </c>
      <c r="J1337" t="s">
        <v>9067</v>
      </c>
      <c r="K1337">
        <v>10034</v>
      </c>
      <c r="L1337" t="s">
        <v>9094</v>
      </c>
      <c r="M1337" t="s">
        <v>9095</v>
      </c>
      <c r="N1337" t="s">
        <v>9694</v>
      </c>
      <c r="O1337" t="s">
        <v>11130</v>
      </c>
      <c r="P1337" t="s">
        <v>11165</v>
      </c>
      <c r="Q1337" t="s">
        <v>11179</v>
      </c>
      <c r="R1337" t="s">
        <v>11180</v>
      </c>
      <c r="S1337" t="s">
        <v>9096</v>
      </c>
      <c r="T1337" t="s">
        <v>11183</v>
      </c>
      <c r="V1337" t="s">
        <v>11248</v>
      </c>
      <c r="W1337">
        <v>152.03</v>
      </c>
      <c r="X1337" t="s">
        <v>11335</v>
      </c>
      <c r="Y1337" t="s">
        <v>11338</v>
      </c>
      <c r="Z1337" t="s">
        <v>12307</v>
      </c>
      <c r="AB1337" t="s">
        <v>16724</v>
      </c>
      <c r="AC1337">
        <v>52</v>
      </c>
      <c r="AD1337" t="s">
        <v>19566</v>
      </c>
      <c r="AF1337">
        <v>6</v>
      </c>
      <c r="AG1337">
        <v>1</v>
      </c>
      <c r="AH1337">
        <v>1</v>
      </c>
      <c r="AI1337">
        <v>54.9</v>
      </c>
      <c r="AL1337" t="s">
        <v>19614</v>
      </c>
      <c r="AM1337">
        <v>8916</v>
      </c>
      <c r="AS1337">
        <v>49.3</v>
      </c>
      <c r="AT1337" t="s">
        <v>594</v>
      </c>
      <c r="AU1337" t="s">
        <v>141</v>
      </c>
    </row>
    <row r="1338" spans="1:48">
      <c r="A1338" s="1">
        <f>HYPERLINK("https://lsnyc.legalserver.org/matter/dynamic-profile/view/1871913","18-1871913")</f>
        <v>0</v>
      </c>
      <c r="B1338" t="s">
        <v>108</v>
      </c>
      <c r="C1338" t="s">
        <v>256</v>
      </c>
      <c r="D1338" t="s">
        <v>515</v>
      </c>
      <c r="F1338" t="s">
        <v>1842</v>
      </c>
      <c r="G1338" t="s">
        <v>4018</v>
      </c>
      <c r="H1338" t="s">
        <v>6471</v>
      </c>
      <c r="I1338" t="s">
        <v>8423</v>
      </c>
      <c r="J1338" t="s">
        <v>9065</v>
      </c>
      <c r="K1338">
        <v>10452</v>
      </c>
      <c r="L1338" t="s">
        <v>9094</v>
      </c>
      <c r="M1338" t="s">
        <v>9094</v>
      </c>
      <c r="N1338" t="s">
        <v>9695</v>
      </c>
      <c r="O1338" t="s">
        <v>11132</v>
      </c>
      <c r="P1338" t="s">
        <v>11165</v>
      </c>
      <c r="R1338" t="s">
        <v>11180</v>
      </c>
      <c r="S1338" t="s">
        <v>9096</v>
      </c>
      <c r="T1338" t="s">
        <v>11183</v>
      </c>
      <c r="V1338" t="s">
        <v>945</v>
      </c>
      <c r="W1338">
        <v>877</v>
      </c>
      <c r="X1338" t="s">
        <v>11333</v>
      </c>
      <c r="Y1338" t="s">
        <v>11340</v>
      </c>
      <c r="Z1338" t="s">
        <v>12308</v>
      </c>
      <c r="AB1338" t="s">
        <v>16725</v>
      </c>
      <c r="AC1338">
        <v>43</v>
      </c>
      <c r="AD1338" t="s">
        <v>19566</v>
      </c>
      <c r="AE1338" t="s">
        <v>9144</v>
      </c>
      <c r="AF1338">
        <v>30</v>
      </c>
      <c r="AG1338">
        <v>2</v>
      </c>
      <c r="AH1338">
        <v>0</v>
      </c>
      <c r="AI1338">
        <v>55.04</v>
      </c>
      <c r="AL1338" t="s">
        <v>19614</v>
      </c>
      <c r="AM1338">
        <v>9060</v>
      </c>
      <c r="AS1338">
        <v>95.40000000000001</v>
      </c>
      <c r="AT1338" t="s">
        <v>270</v>
      </c>
      <c r="AU1338" t="s">
        <v>20642</v>
      </c>
    </row>
    <row r="1339" spans="1:48">
      <c r="A1339" s="1">
        <f>HYPERLINK("https://lsnyc.legalserver.org/matter/dynamic-profile/view/1860410","18-1860410")</f>
        <v>0</v>
      </c>
      <c r="B1339" t="s">
        <v>108</v>
      </c>
      <c r="C1339" t="s">
        <v>256</v>
      </c>
      <c r="D1339" t="s">
        <v>683</v>
      </c>
      <c r="F1339" t="s">
        <v>1842</v>
      </c>
      <c r="G1339" t="s">
        <v>4018</v>
      </c>
      <c r="H1339" t="s">
        <v>6471</v>
      </c>
      <c r="I1339" t="s">
        <v>8423</v>
      </c>
      <c r="J1339" t="s">
        <v>9065</v>
      </c>
      <c r="K1339">
        <v>10452</v>
      </c>
      <c r="L1339" t="s">
        <v>9094</v>
      </c>
      <c r="M1339" t="s">
        <v>9095</v>
      </c>
      <c r="N1339" t="s">
        <v>9696</v>
      </c>
      <c r="O1339" t="s">
        <v>11129</v>
      </c>
      <c r="P1339" t="s">
        <v>11165</v>
      </c>
      <c r="R1339" t="s">
        <v>11180</v>
      </c>
      <c r="S1339" t="s">
        <v>9096</v>
      </c>
      <c r="T1339" t="s">
        <v>11183</v>
      </c>
      <c r="V1339" t="s">
        <v>674</v>
      </c>
      <c r="W1339">
        <v>877</v>
      </c>
      <c r="X1339" t="s">
        <v>11333</v>
      </c>
      <c r="Y1339" t="s">
        <v>11346</v>
      </c>
      <c r="Z1339" t="s">
        <v>12308</v>
      </c>
      <c r="AB1339" t="s">
        <v>16725</v>
      </c>
      <c r="AC1339">
        <v>43</v>
      </c>
      <c r="AD1339" t="s">
        <v>19566</v>
      </c>
      <c r="AE1339" t="s">
        <v>9144</v>
      </c>
      <c r="AF1339">
        <v>30</v>
      </c>
      <c r="AG1339">
        <v>2</v>
      </c>
      <c r="AH1339">
        <v>0</v>
      </c>
      <c r="AI1339">
        <v>55.04</v>
      </c>
      <c r="AL1339" t="s">
        <v>19614</v>
      </c>
      <c r="AM1339">
        <v>9060</v>
      </c>
      <c r="AO1339" t="s">
        <v>20293</v>
      </c>
      <c r="AP1339" t="s">
        <v>20313</v>
      </c>
      <c r="AQ1339" t="s">
        <v>20369</v>
      </c>
      <c r="AR1339" t="s">
        <v>20448</v>
      </c>
      <c r="AS1339">
        <v>37.26</v>
      </c>
      <c r="AT1339" t="s">
        <v>259</v>
      </c>
      <c r="AU1339" t="s">
        <v>20647</v>
      </c>
    </row>
    <row r="1340" spans="1:48">
      <c r="A1340" s="1">
        <f>HYPERLINK("https://lsnyc.legalserver.org/matter/dynamic-profile/view/1863825","18-1863825")</f>
        <v>0</v>
      </c>
      <c r="B1340" t="s">
        <v>136</v>
      </c>
      <c r="C1340" t="s">
        <v>256</v>
      </c>
      <c r="D1340" t="s">
        <v>504</v>
      </c>
      <c r="F1340" t="s">
        <v>1843</v>
      </c>
      <c r="G1340" t="s">
        <v>4019</v>
      </c>
      <c r="H1340" t="s">
        <v>5961</v>
      </c>
      <c r="I1340">
        <v>807</v>
      </c>
      <c r="J1340" t="s">
        <v>9067</v>
      </c>
      <c r="K1340">
        <v>10029</v>
      </c>
      <c r="L1340" t="s">
        <v>9094</v>
      </c>
      <c r="M1340" t="s">
        <v>9094</v>
      </c>
      <c r="N1340" t="s">
        <v>9287</v>
      </c>
      <c r="O1340" t="s">
        <v>11130</v>
      </c>
      <c r="P1340" t="s">
        <v>11165</v>
      </c>
      <c r="R1340" t="s">
        <v>11180</v>
      </c>
      <c r="S1340" t="s">
        <v>9094</v>
      </c>
      <c r="T1340" t="s">
        <v>11183</v>
      </c>
      <c r="U1340" t="s">
        <v>11201</v>
      </c>
      <c r="V1340" t="s">
        <v>651</v>
      </c>
      <c r="W1340">
        <v>0</v>
      </c>
      <c r="X1340" t="s">
        <v>11335</v>
      </c>
      <c r="Y1340" t="s">
        <v>11339</v>
      </c>
      <c r="Z1340" t="s">
        <v>12309</v>
      </c>
      <c r="AB1340" t="s">
        <v>16726</v>
      </c>
      <c r="AC1340">
        <v>108</v>
      </c>
      <c r="AD1340" t="s">
        <v>19567</v>
      </c>
      <c r="AE1340" t="s">
        <v>19580</v>
      </c>
      <c r="AF1340">
        <v>24</v>
      </c>
      <c r="AG1340">
        <v>2</v>
      </c>
      <c r="AH1340">
        <v>0</v>
      </c>
      <c r="AI1340">
        <v>55.04</v>
      </c>
      <c r="AL1340" t="s">
        <v>19614</v>
      </c>
      <c r="AM1340">
        <v>9060</v>
      </c>
      <c r="AS1340">
        <v>0.25</v>
      </c>
      <c r="AT1340" t="s">
        <v>289</v>
      </c>
      <c r="AU1340" t="s">
        <v>20657</v>
      </c>
    </row>
    <row r="1341" spans="1:48">
      <c r="A1341" s="1">
        <f>HYPERLINK("https://lsnyc.legalserver.org/matter/dynamic-profile/view/1878374","18-1878374")</f>
        <v>0</v>
      </c>
      <c r="B1341" t="s">
        <v>92</v>
      </c>
      <c r="C1341" t="s">
        <v>256</v>
      </c>
      <c r="D1341" t="s">
        <v>509</v>
      </c>
      <c r="F1341" t="s">
        <v>1374</v>
      </c>
      <c r="G1341" t="s">
        <v>3927</v>
      </c>
      <c r="H1341" t="s">
        <v>6059</v>
      </c>
      <c r="I1341" t="s">
        <v>8171</v>
      </c>
      <c r="J1341" t="s">
        <v>9059</v>
      </c>
      <c r="K1341">
        <v>11212</v>
      </c>
      <c r="L1341" t="s">
        <v>9094</v>
      </c>
      <c r="M1341" t="s">
        <v>9094</v>
      </c>
      <c r="O1341" t="s">
        <v>11137</v>
      </c>
      <c r="P1341" t="s">
        <v>11167</v>
      </c>
      <c r="R1341" t="s">
        <v>11180</v>
      </c>
      <c r="T1341" t="s">
        <v>11183</v>
      </c>
      <c r="V1341" t="s">
        <v>1084</v>
      </c>
      <c r="W1341">
        <v>1300</v>
      </c>
      <c r="X1341" t="s">
        <v>11332</v>
      </c>
      <c r="Y1341" t="s">
        <v>11339</v>
      </c>
      <c r="Z1341" t="s">
        <v>12159</v>
      </c>
      <c r="AB1341" t="s">
        <v>16594</v>
      </c>
      <c r="AC1341">
        <v>19</v>
      </c>
      <c r="AD1341" t="s">
        <v>19566</v>
      </c>
      <c r="AE1341" t="s">
        <v>19580</v>
      </c>
      <c r="AF1341">
        <v>15</v>
      </c>
      <c r="AG1341">
        <v>2</v>
      </c>
      <c r="AH1341">
        <v>0</v>
      </c>
      <c r="AI1341">
        <v>55.12</v>
      </c>
      <c r="AL1341" t="s">
        <v>19614</v>
      </c>
      <c r="AM1341">
        <v>9072</v>
      </c>
      <c r="AN1341" t="s">
        <v>19665</v>
      </c>
      <c r="AS1341">
        <v>7.55</v>
      </c>
      <c r="AT1341" t="s">
        <v>259</v>
      </c>
      <c r="AU1341" t="s">
        <v>95</v>
      </c>
    </row>
    <row r="1342" spans="1:48">
      <c r="A1342" s="1">
        <f>HYPERLINK("https://lsnyc.legalserver.org/matter/dynamic-profile/view/1880031","18-1880031")</f>
        <v>0</v>
      </c>
      <c r="B1342" t="s">
        <v>76</v>
      </c>
      <c r="C1342" t="s">
        <v>257</v>
      </c>
      <c r="D1342" t="s">
        <v>699</v>
      </c>
      <c r="E1342" t="s">
        <v>328</v>
      </c>
      <c r="F1342" t="s">
        <v>1146</v>
      </c>
      <c r="G1342" t="s">
        <v>3364</v>
      </c>
      <c r="H1342" t="s">
        <v>6312</v>
      </c>
      <c r="I1342" t="s">
        <v>8161</v>
      </c>
      <c r="J1342" t="s">
        <v>9059</v>
      </c>
      <c r="K1342">
        <v>11207</v>
      </c>
      <c r="L1342" t="s">
        <v>9094</v>
      </c>
      <c r="M1342" t="s">
        <v>9094</v>
      </c>
      <c r="N1342" t="s">
        <v>9121</v>
      </c>
      <c r="O1342" t="s">
        <v>11143</v>
      </c>
      <c r="P1342" t="s">
        <v>11167</v>
      </c>
      <c r="Q1342" t="s">
        <v>11172</v>
      </c>
      <c r="R1342" t="s">
        <v>11180</v>
      </c>
      <c r="S1342" t="s">
        <v>9094</v>
      </c>
      <c r="T1342" t="s">
        <v>11183</v>
      </c>
      <c r="U1342" t="s">
        <v>11201</v>
      </c>
      <c r="V1342" t="s">
        <v>697</v>
      </c>
      <c r="W1342">
        <v>1365</v>
      </c>
      <c r="X1342" t="s">
        <v>11332</v>
      </c>
      <c r="Y1342" t="s">
        <v>11340</v>
      </c>
      <c r="Z1342" t="s">
        <v>12310</v>
      </c>
      <c r="AA1342" t="s">
        <v>15290</v>
      </c>
      <c r="AB1342" t="s">
        <v>16727</v>
      </c>
      <c r="AC1342">
        <v>6</v>
      </c>
      <c r="AD1342" t="s">
        <v>19566</v>
      </c>
      <c r="AE1342" t="s">
        <v>19585</v>
      </c>
      <c r="AF1342">
        <v>5</v>
      </c>
      <c r="AG1342">
        <v>2</v>
      </c>
      <c r="AH1342">
        <v>0</v>
      </c>
      <c r="AI1342">
        <v>55.12</v>
      </c>
      <c r="AL1342" t="s">
        <v>19614</v>
      </c>
      <c r="AM1342">
        <v>9072</v>
      </c>
      <c r="AN1342" t="s">
        <v>19784</v>
      </c>
      <c r="AS1342">
        <v>0.1</v>
      </c>
      <c r="AT1342" t="s">
        <v>746</v>
      </c>
      <c r="AU1342" t="s">
        <v>95</v>
      </c>
    </row>
    <row r="1343" spans="1:48">
      <c r="A1343" s="1">
        <f>HYPERLINK("https://lsnyc.legalserver.org/matter/dynamic-profile/view/1880033","18-1880033")</f>
        <v>0</v>
      </c>
      <c r="B1343" t="s">
        <v>70</v>
      </c>
      <c r="C1343" t="s">
        <v>257</v>
      </c>
      <c r="D1343" t="s">
        <v>699</v>
      </c>
      <c r="E1343" t="s">
        <v>779</v>
      </c>
      <c r="F1343" t="s">
        <v>1146</v>
      </c>
      <c r="G1343" t="s">
        <v>3364</v>
      </c>
      <c r="H1343" t="s">
        <v>6312</v>
      </c>
      <c r="I1343" t="s">
        <v>8161</v>
      </c>
      <c r="J1343" t="s">
        <v>9059</v>
      </c>
      <c r="K1343">
        <v>11207</v>
      </c>
      <c r="L1343" t="s">
        <v>9094</v>
      </c>
      <c r="M1343" t="s">
        <v>9094</v>
      </c>
      <c r="N1343" t="s">
        <v>9121</v>
      </c>
      <c r="O1343" t="s">
        <v>11132</v>
      </c>
      <c r="P1343" t="s">
        <v>11167</v>
      </c>
      <c r="Q1343" t="s">
        <v>11173</v>
      </c>
      <c r="R1343" t="s">
        <v>11180</v>
      </c>
      <c r="S1343" t="s">
        <v>9094</v>
      </c>
      <c r="T1343" t="s">
        <v>11183</v>
      </c>
      <c r="U1343" t="s">
        <v>11201</v>
      </c>
      <c r="V1343" t="s">
        <v>11236</v>
      </c>
      <c r="W1343">
        <v>1365</v>
      </c>
      <c r="X1343" t="s">
        <v>11332</v>
      </c>
      <c r="Y1343" t="s">
        <v>11340</v>
      </c>
      <c r="Z1343" t="s">
        <v>12310</v>
      </c>
      <c r="AA1343" t="s">
        <v>15290</v>
      </c>
      <c r="AB1343" t="s">
        <v>16727</v>
      </c>
      <c r="AC1343">
        <v>6</v>
      </c>
      <c r="AD1343" t="s">
        <v>19566</v>
      </c>
      <c r="AE1343" t="s">
        <v>19585</v>
      </c>
      <c r="AF1343">
        <v>5</v>
      </c>
      <c r="AG1343">
        <v>2</v>
      </c>
      <c r="AH1343">
        <v>0</v>
      </c>
      <c r="AI1343">
        <v>55.12</v>
      </c>
      <c r="AL1343" t="s">
        <v>19614</v>
      </c>
      <c r="AM1343">
        <v>9072</v>
      </c>
      <c r="AN1343" t="s">
        <v>19784</v>
      </c>
      <c r="AS1343">
        <v>0.25</v>
      </c>
      <c r="AT1343" t="s">
        <v>746</v>
      </c>
      <c r="AU1343" t="s">
        <v>95</v>
      </c>
    </row>
    <row r="1344" spans="1:48">
      <c r="A1344" s="1">
        <f>HYPERLINK("https://lsnyc.legalserver.org/matter/dynamic-profile/view/1880021","18-1880021")</f>
        <v>0</v>
      </c>
      <c r="B1344" t="s">
        <v>76</v>
      </c>
      <c r="C1344" t="s">
        <v>256</v>
      </c>
      <c r="D1344" t="s">
        <v>699</v>
      </c>
      <c r="F1344" t="s">
        <v>1146</v>
      </c>
      <c r="G1344" t="s">
        <v>3364</v>
      </c>
      <c r="H1344" t="s">
        <v>6312</v>
      </c>
      <c r="I1344" t="s">
        <v>8161</v>
      </c>
      <c r="J1344" t="s">
        <v>9059</v>
      </c>
      <c r="K1344">
        <v>11207</v>
      </c>
      <c r="L1344" t="s">
        <v>9094</v>
      </c>
      <c r="M1344" t="s">
        <v>9094</v>
      </c>
      <c r="N1344" t="s">
        <v>9697</v>
      </c>
      <c r="O1344" t="s">
        <v>11134</v>
      </c>
      <c r="P1344" t="s">
        <v>11168</v>
      </c>
      <c r="R1344" t="s">
        <v>11180</v>
      </c>
      <c r="S1344" t="s">
        <v>9094</v>
      </c>
      <c r="T1344" t="s">
        <v>11183</v>
      </c>
      <c r="U1344" t="s">
        <v>11201</v>
      </c>
      <c r="V1344" t="s">
        <v>11229</v>
      </c>
      <c r="W1344">
        <v>1365</v>
      </c>
      <c r="X1344" t="s">
        <v>11332</v>
      </c>
      <c r="Y1344" t="s">
        <v>11340</v>
      </c>
      <c r="Z1344" t="s">
        <v>12310</v>
      </c>
      <c r="AA1344" t="s">
        <v>15290</v>
      </c>
      <c r="AB1344" t="s">
        <v>16727</v>
      </c>
      <c r="AC1344">
        <v>6</v>
      </c>
      <c r="AD1344" t="s">
        <v>19566</v>
      </c>
      <c r="AE1344" t="s">
        <v>19585</v>
      </c>
      <c r="AF1344">
        <v>5</v>
      </c>
      <c r="AG1344">
        <v>2</v>
      </c>
      <c r="AH1344">
        <v>0</v>
      </c>
      <c r="AI1344">
        <v>55.12</v>
      </c>
      <c r="AL1344" t="s">
        <v>19614</v>
      </c>
      <c r="AM1344">
        <v>9072</v>
      </c>
      <c r="AN1344" t="s">
        <v>19784</v>
      </c>
      <c r="AS1344">
        <v>0.45</v>
      </c>
      <c r="AT1344" t="s">
        <v>426</v>
      </c>
      <c r="AU1344" t="s">
        <v>95</v>
      </c>
    </row>
    <row r="1345" spans="1:48">
      <c r="A1345" s="1">
        <f>HYPERLINK("https://lsnyc.legalserver.org/matter/dynamic-profile/view/1880023","18-1880023")</f>
        <v>0</v>
      </c>
      <c r="B1345" t="s">
        <v>70</v>
      </c>
      <c r="C1345" t="s">
        <v>256</v>
      </c>
      <c r="D1345" t="s">
        <v>699</v>
      </c>
      <c r="F1345" t="s">
        <v>1146</v>
      </c>
      <c r="G1345" t="s">
        <v>3364</v>
      </c>
      <c r="H1345" t="s">
        <v>6312</v>
      </c>
      <c r="I1345" t="s">
        <v>8161</v>
      </c>
      <c r="J1345" t="s">
        <v>9059</v>
      </c>
      <c r="K1345">
        <v>11207</v>
      </c>
      <c r="L1345" t="s">
        <v>9094</v>
      </c>
      <c r="M1345" t="s">
        <v>9094</v>
      </c>
      <c r="N1345" t="s">
        <v>9579</v>
      </c>
      <c r="O1345" t="s">
        <v>11134</v>
      </c>
      <c r="P1345" t="s">
        <v>11168</v>
      </c>
      <c r="R1345" t="s">
        <v>11180</v>
      </c>
      <c r="S1345" t="s">
        <v>9094</v>
      </c>
      <c r="T1345" t="s">
        <v>11183</v>
      </c>
      <c r="U1345" t="s">
        <v>11201</v>
      </c>
      <c r="V1345" t="s">
        <v>697</v>
      </c>
      <c r="W1345">
        <v>1365</v>
      </c>
      <c r="X1345" t="s">
        <v>11332</v>
      </c>
      <c r="Y1345" t="s">
        <v>11340</v>
      </c>
      <c r="Z1345" t="s">
        <v>12310</v>
      </c>
      <c r="AA1345" t="s">
        <v>15290</v>
      </c>
      <c r="AB1345" t="s">
        <v>16727</v>
      </c>
      <c r="AC1345">
        <v>6</v>
      </c>
      <c r="AD1345" t="s">
        <v>19566</v>
      </c>
      <c r="AE1345" t="s">
        <v>19585</v>
      </c>
      <c r="AF1345">
        <v>5</v>
      </c>
      <c r="AG1345">
        <v>2</v>
      </c>
      <c r="AH1345">
        <v>0</v>
      </c>
      <c r="AI1345">
        <v>55.12</v>
      </c>
      <c r="AL1345" t="s">
        <v>19614</v>
      </c>
      <c r="AM1345">
        <v>9072</v>
      </c>
      <c r="AN1345" t="s">
        <v>19784</v>
      </c>
      <c r="AS1345">
        <v>0.5</v>
      </c>
      <c r="AT1345" t="s">
        <v>443</v>
      </c>
      <c r="AU1345" t="s">
        <v>95</v>
      </c>
    </row>
    <row r="1346" spans="1:48">
      <c r="A1346" s="1">
        <f>HYPERLINK("https://lsnyc.legalserver.org/matter/dynamic-profile/view/1880018","18-1880018")</f>
        <v>0</v>
      </c>
      <c r="B1346" t="s">
        <v>76</v>
      </c>
      <c r="C1346" t="s">
        <v>256</v>
      </c>
      <c r="D1346" t="s">
        <v>699</v>
      </c>
      <c r="F1346" t="s">
        <v>1146</v>
      </c>
      <c r="G1346" t="s">
        <v>3364</v>
      </c>
      <c r="H1346" t="s">
        <v>6312</v>
      </c>
      <c r="I1346" t="s">
        <v>8161</v>
      </c>
      <c r="J1346" t="s">
        <v>9059</v>
      </c>
      <c r="K1346">
        <v>11207</v>
      </c>
      <c r="L1346" t="s">
        <v>9094</v>
      </c>
      <c r="M1346" t="s">
        <v>9094</v>
      </c>
      <c r="N1346" t="s">
        <v>9121</v>
      </c>
      <c r="O1346" t="s">
        <v>9121</v>
      </c>
      <c r="P1346" t="s">
        <v>11167</v>
      </c>
      <c r="R1346" t="s">
        <v>11180</v>
      </c>
      <c r="S1346" t="s">
        <v>9094</v>
      </c>
      <c r="T1346" t="s">
        <v>11183</v>
      </c>
      <c r="U1346" t="s">
        <v>11201</v>
      </c>
      <c r="V1346" t="s">
        <v>572</v>
      </c>
      <c r="W1346">
        <v>1365</v>
      </c>
      <c r="X1346" t="s">
        <v>11332</v>
      </c>
      <c r="Y1346" t="s">
        <v>11340</v>
      </c>
      <c r="Z1346" t="s">
        <v>12310</v>
      </c>
      <c r="AA1346" t="s">
        <v>15290</v>
      </c>
      <c r="AB1346" t="s">
        <v>16727</v>
      </c>
      <c r="AC1346">
        <v>6</v>
      </c>
      <c r="AD1346" t="s">
        <v>19566</v>
      </c>
      <c r="AE1346" t="s">
        <v>19585</v>
      </c>
      <c r="AF1346">
        <v>5</v>
      </c>
      <c r="AG1346">
        <v>2</v>
      </c>
      <c r="AH1346">
        <v>0</v>
      </c>
      <c r="AI1346">
        <v>55.12</v>
      </c>
      <c r="AL1346" t="s">
        <v>19614</v>
      </c>
      <c r="AM1346">
        <v>9072</v>
      </c>
      <c r="AN1346" t="s">
        <v>19784</v>
      </c>
      <c r="AS1346">
        <v>0.3</v>
      </c>
      <c r="AT1346" t="s">
        <v>426</v>
      </c>
      <c r="AU1346" t="s">
        <v>95</v>
      </c>
    </row>
    <row r="1347" spans="1:48">
      <c r="A1347" s="1">
        <f>HYPERLINK("https://lsnyc.legalserver.org/matter/dynamic-profile/view/1862429","18-1862429")</f>
        <v>0</v>
      </c>
      <c r="B1347" t="s">
        <v>101</v>
      </c>
      <c r="C1347" t="s">
        <v>257</v>
      </c>
      <c r="D1347" t="s">
        <v>772</v>
      </c>
      <c r="E1347" t="s">
        <v>551</v>
      </c>
      <c r="F1347" t="s">
        <v>1844</v>
      </c>
      <c r="G1347" t="s">
        <v>3699</v>
      </c>
      <c r="H1347" t="s">
        <v>5902</v>
      </c>
      <c r="I1347" t="s">
        <v>8117</v>
      </c>
      <c r="J1347" t="s">
        <v>9065</v>
      </c>
      <c r="K1347">
        <v>10452</v>
      </c>
      <c r="L1347" t="s">
        <v>9094</v>
      </c>
      <c r="M1347" t="s">
        <v>9095</v>
      </c>
      <c r="N1347" t="s">
        <v>9537</v>
      </c>
      <c r="O1347" t="s">
        <v>11130</v>
      </c>
      <c r="P1347" t="s">
        <v>11165</v>
      </c>
      <c r="Q1347" t="s">
        <v>11174</v>
      </c>
      <c r="R1347" t="s">
        <v>11180</v>
      </c>
      <c r="S1347" t="s">
        <v>9094</v>
      </c>
      <c r="T1347" t="s">
        <v>11183</v>
      </c>
      <c r="V1347" t="s">
        <v>874</v>
      </c>
      <c r="W1347">
        <v>774</v>
      </c>
      <c r="X1347" t="s">
        <v>11333</v>
      </c>
      <c r="Y1347" t="s">
        <v>11346</v>
      </c>
      <c r="Z1347" t="s">
        <v>12311</v>
      </c>
      <c r="AA1347">
        <v>88211106016</v>
      </c>
      <c r="AB1347" t="s">
        <v>16728</v>
      </c>
      <c r="AC1347">
        <v>60</v>
      </c>
      <c r="AD1347" t="s">
        <v>19566</v>
      </c>
      <c r="AE1347" t="s">
        <v>9144</v>
      </c>
      <c r="AF1347">
        <v>15</v>
      </c>
      <c r="AG1347">
        <v>2</v>
      </c>
      <c r="AH1347">
        <v>0</v>
      </c>
      <c r="AI1347">
        <v>55.12</v>
      </c>
      <c r="AL1347" t="s">
        <v>19615</v>
      </c>
      <c r="AM1347">
        <v>9072</v>
      </c>
      <c r="AS1347">
        <v>0.5</v>
      </c>
      <c r="AT1347" t="s">
        <v>551</v>
      </c>
      <c r="AU1347" t="s">
        <v>20647</v>
      </c>
    </row>
    <row r="1348" spans="1:48">
      <c r="A1348" s="1">
        <f>HYPERLINK("https://lsnyc.legalserver.org/matter/dynamic-profile/view/1868766","18-1868766")</f>
        <v>0</v>
      </c>
      <c r="B1348" t="s">
        <v>101</v>
      </c>
      <c r="C1348" t="s">
        <v>257</v>
      </c>
      <c r="D1348" t="s">
        <v>678</v>
      </c>
      <c r="E1348" t="s">
        <v>415</v>
      </c>
      <c r="F1348" t="s">
        <v>1844</v>
      </c>
      <c r="G1348" t="s">
        <v>3699</v>
      </c>
      <c r="H1348" t="s">
        <v>5902</v>
      </c>
      <c r="I1348" t="s">
        <v>8117</v>
      </c>
      <c r="J1348" t="s">
        <v>9065</v>
      </c>
      <c r="K1348">
        <v>10452</v>
      </c>
      <c r="L1348" t="s">
        <v>9094</v>
      </c>
      <c r="M1348" t="s">
        <v>9095</v>
      </c>
      <c r="O1348" t="s">
        <v>9121</v>
      </c>
      <c r="P1348" t="s">
        <v>11166</v>
      </c>
      <c r="Q1348" t="s">
        <v>11178</v>
      </c>
      <c r="R1348" t="s">
        <v>11180</v>
      </c>
      <c r="S1348" t="s">
        <v>9094</v>
      </c>
      <c r="T1348" t="s">
        <v>11183</v>
      </c>
      <c r="V1348" t="s">
        <v>675</v>
      </c>
      <c r="W1348">
        <v>774</v>
      </c>
      <c r="X1348" t="s">
        <v>11333</v>
      </c>
      <c r="Y1348" t="s">
        <v>11347</v>
      </c>
      <c r="Z1348" t="s">
        <v>12311</v>
      </c>
      <c r="AA1348">
        <v>88211106016</v>
      </c>
      <c r="AB1348" t="s">
        <v>16728</v>
      </c>
      <c r="AC1348">
        <v>60</v>
      </c>
      <c r="AD1348" t="s">
        <v>19566</v>
      </c>
      <c r="AE1348" t="s">
        <v>9144</v>
      </c>
      <c r="AF1348">
        <v>15</v>
      </c>
      <c r="AG1348">
        <v>2</v>
      </c>
      <c r="AH1348">
        <v>0</v>
      </c>
      <c r="AI1348">
        <v>55.12</v>
      </c>
      <c r="AL1348" t="s">
        <v>19615</v>
      </c>
      <c r="AM1348">
        <v>9072</v>
      </c>
      <c r="AS1348">
        <v>0.4</v>
      </c>
      <c r="AT1348" t="s">
        <v>415</v>
      </c>
      <c r="AU1348" t="s">
        <v>20647</v>
      </c>
    </row>
    <row r="1349" spans="1:48">
      <c r="A1349" s="1">
        <f>HYPERLINK("https://lsnyc.legalserver.org/matter/dynamic-profile/view/1860335","18-1860335")</f>
        <v>0</v>
      </c>
      <c r="B1349" t="s">
        <v>52</v>
      </c>
      <c r="C1349" t="s">
        <v>256</v>
      </c>
      <c r="D1349" t="s">
        <v>364</v>
      </c>
      <c r="F1349" t="s">
        <v>1305</v>
      </c>
      <c r="G1349" t="s">
        <v>4020</v>
      </c>
      <c r="H1349" t="s">
        <v>6472</v>
      </c>
      <c r="I1349" t="s">
        <v>8193</v>
      </c>
      <c r="J1349" t="s">
        <v>9039</v>
      </c>
      <c r="K1349">
        <v>11432</v>
      </c>
      <c r="L1349" t="s">
        <v>9094</v>
      </c>
      <c r="M1349" t="s">
        <v>9095</v>
      </c>
      <c r="N1349" t="s">
        <v>9698</v>
      </c>
      <c r="O1349" t="s">
        <v>11135</v>
      </c>
      <c r="P1349" t="s">
        <v>11168</v>
      </c>
      <c r="R1349" t="s">
        <v>11180</v>
      </c>
      <c r="S1349" t="s">
        <v>9094</v>
      </c>
      <c r="T1349" t="s">
        <v>11189</v>
      </c>
      <c r="V1349" t="s">
        <v>11249</v>
      </c>
      <c r="W1349">
        <v>1600</v>
      </c>
      <c r="X1349" t="s">
        <v>11331</v>
      </c>
      <c r="Y1349" t="s">
        <v>11341</v>
      </c>
      <c r="Z1349" t="s">
        <v>12312</v>
      </c>
      <c r="AA1349" t="s">
        <v>9171</v>
      </c>
      <c r="AB1349" t="s">
        <v>16729</v>
      </c>
      <c r="AC1349">
        <v>60</v>
      </c>
      <c r="AD1349" t="s">
        <v>19566</v>
      </c>
      <c r="AE1349" t="s">
        <v>9144</v>
      </c>
      <c r="AF1349">
        <v>35</v>
      </c>
      <c r="AG1349">
        <v>2</v>
      </c>
      <c r="AH1349">
        <v>0</v>
      </c>
      <c r="AI1349">
        <v>55.19</v>
      </c>
      <c r="AJ1349" t="s">
        <v>19592</v>
      </c>
      <c r="AL1349" t="s">
        <v>19614</v>
      </c>
      <c r="AM1349">
        <v>18047.52</v>
      </c>
      <c r="AS1349">
        <v>0.2</v>
      </c>
      <c r="AT1349" t="s">
        <v>848</v>
      </c>
      <c r="AU1349" t="s">
        <v>153</v>
      </c>
    </row>
    <row r="1350" spans="1:48">
      <c r="A1350" s="1">
        <f>HYPERLINK("https://lsnyc.legalserver.org/matter/dynamic-profile/view/1911920","19-1911920")</f>
        <v>0</v>
      </c>
      <c r="B1350" t="s">
        <v>79</v>
      </c>
      <c r="C1350" t="s">
        <v>257</v>
      </c>
      <c r="D1350" t="s">
        <v>292</v>
      </c>
      <c r="E1350" t="s">
        <v>331</v>
      </c>
      <c r="F1350" t="s">
        <v>1490</v>
      </c>
      <c r="G1350" t="s">
        <v>3699</v>
      </c>
      <c r="H1350" t="s">
        <v>6473</v>
      </c>
      <c r="J1350" t="s">
        <v>9059</v>
      </c>
      <c r="K1350">
        <v>11208</v>
      </c>
      <c r="L1350" t="s">
        <v>9096</v>
      </c>
      <c r="M1350" t="s">
        <v>9095</v>
      </c>
      <c r="N1350" t="s">
        <v>9699</v>
      </c>
      <c r="O1350" t="s">
        <v>11128</v>
      </c>
      <c r="Q1350" t="s">
        <v>11172</v>
      </c>
      <c r="R1350" t="s">
        <v>11180</v>
      </c>
      <c r="S1350" t="s">
        <v>9096</v>
      </c>
      <c r="T1350" t="s">
        <v>11183</v>
      </c>
      <c r="W1350">
        <v>1063</v>
      </c>
      <c r="X1350" t="s">
        <v>11332</v>
      </c>
      <c r="Y1350" t="s">
        <v>11352</v>
      </c>
      <c r="Z1350" t="s">
        <v>12313</v>
      </c>
      <c r="AB1350" t="s">
        <v>16730</v>
      </c>
      <c r="AC1350">
        <v>2</v>
      </c>
      <c r="AD1350" t="s">
        <v>19565</v>
      </c>
      <c r="AF1350">
        <v>14</v>
      </c>
      <c r="AG1350">
        <v>2</v>
      </c>
      <c r="AH1350">
        <v>0</v>
      </c>
      <c r="AI1350">
        <v>55.21</v>
      </c>
      <c r="AL1350" t="s">
        <v>19615</v>
      </c>
      <c r="AM1350">
        <v>9336</v>
      </c>
      <c r="AN1350" t="s">
        <v>19677</v>
      </c>
      <c r="AS1350">
        <v>0.6</v>
      </c>
      <c r="AT1350" t="s">
        <v>292</v>
      </c>
      <c r="AU1350" t="s">
        <v>20638</v>
      </c>
      <c r="AV1350" t="s">
        <v>9144</v>
      </c>
    </row>
    <row r="1351" spans="1:48">
      <c r="A1351" s="1">
        <f>HYPERLINK("https://lsnyc.legalserver.org/matter/dynamic-profile/view/1902042","19-1902042")</f>
        <v>0</v>
      </c>
      <c r="B1351" t="s">
        <v>70</v>
      </c>
      <c r="C1351" t="s">
        <v>256</v>
      </c>
      <c r="D1351" t="s">
        <v>319</v>
      </c>
      <c r="F1351" t="s">
        <v>1845</v>
      </c>
      <c r="G1351" t="s">
        <v>4021</v>
      </c>
      <c r="H1351" t="s">
        <v>6474</v>
      </c>
      <c r="I1351" t="s">
        <v>8424</v>
      </c>
      <c r="J1351" t="s">
        <v>9059</v>
      </c>
      <c r="K1351">
        <v>11233</v>
      </c>
      <c r="L1351" t="s">
        <v>9094</v>
      </c>
      <c r="M1351" t="s">
        <v>9095</v>
      </c>
      <c r="N1351" t="s">
        <v>9146</v>
      </c>
      <c r="O1351" t="s">
        <v>11134</v>
      </c>
      <c r="P1351" t="s">
        <v>11168</v>
      </c>
      <c r="R1351" t="s">
        <v>11180</v>
      </c>
      <c r="S1351" t="s">
        <v>9094</v>
      </c>
      <c r="T1351" t="s">
        <v>11183</v>
      </c>
      <c r="U1351" t="s">
        <v>11201</v>
      </c>
      <c r="V1351" t="s">
        <v>482</v>
      </c>
      <c r="W1351">
        <v>879</v>
      </c>
      <c r="X1351" t="s">
        <v>11332</v>
      </c>
      <c r="Y1351" t="s">
        <v>11157</v>
      </c>
      <c r="Z1351" t="s">
        <v>12314</v>
      </c>
      <c r="AC1351">
        <v>359</v>
      </c>
      <c r="AD1351" t="s">
        <v>19566</v>
      </c>
      <c r="AF1351">
        <v>40</v>
      </c>
      <c r="AG1351">
        <v>2</v>
      </c>
      <c r="AH1351">
        <v>0</v>
      </c>
      <c r="AI1351">
        <v>55.28</v>
      </c>
      <c r="AL1351" t="s">
        <v>19614</v>
      </c>
      <c r="AM1351">
        <v>9348</v>
      </c>
      <c r="AN1351" t="s">
        <v>19642</v>
      </c>
      <c r="AS1351">
        <v>0</v>
      </c>
      <c r="AU1351" t="s">
        <v>79</v>
      </c>
      <c r="AV1351" t="s">
        <v>9144</v>
      </c>
    </row>
    <row r="1352" spans="1:48">
      <c r="A1352" s="1">
        <f>HYPERLINK("https://lsnyc.legalserver.org/matter/dynamic-profile/view/1902045","19-1902045")</f>
        <v>0</v>
      </c>
      <c r="B1352" t="s">
        <v>70</v>
      </c>
      <c r="C1352" t="s">
        <v>256</v>
      </c>
      <c r="D1352" t="s">
        <v>319</v>
      </c>
      <c r="F1352" t="s">
        <v>1845</v>
      </c>
      <c r="G1352" t="s">
        <v>4021</v>
      </c>
      <c r="H1352" t="s">
        <v>6474</v>
      </c>
      <c r="I1352" t="s">
        <v>8424</v>
      </c>
      <c r="J1352" t="s">
        <v>9059</v>
      </c>
      <c r="K1352">
        <v>11233</v>
      </c>
      <c r="L1352" t="s">
        <v>9094</v>
      </c>
      <c r="M1352" t="s">
        <v>9095</v>
      </c>
      <c r="N1352" t="s">
        <v>9121</v>
      </c>
      <c r="O1352" t="s">
        <v>11137</v>
      </c>
      <c r="P1352" t="s">
        <v>11167</v>
      </c>
      <c r="R1352" t="s">
        <v>11180</v>
      </c>
      <c r="S1352" t="s">
        <v>9094</v>
      </c>
      <c r="T1352" t="s">
        <v>11183</v>
      </c>
      <c r="U1352" t="s">
        <v>11201</v>
      </c>
      <c r="V1352" t="s">
        <v>749</v>
      </c>
      <c r="W1352">
        <v>879</v>
      </c>
      <c r="X1352" t="s">
        <v>11332</v>
      </c>
      <c r="Y1352" t="s">
        <v>11157</v>
      </c>
      <c r="Z1352" t="s">
        <v>12314</v>
      </c>
      <c r="AC1352">
        <v>359</v>
      </c>
      <c r="AD1352" t="s">
        <v>19566</v>
      </c>
      <c r="AF1352">
        <v>40</v>
      </c>
      <c r="AG1352">
        <v>2</v>
      </c>
      <c r="AH1352">
        <v>0</v>
      </c>
      <c r="AI1352">
        <v>55.28</v>
      </c>
      <c r="AL1352" t="s">
        <v>19614</v>
      </c>
      <c r="AM1352">
        <v>9348</v>
      </c>
      <c r="AN1352" t="s">
        <v>19785</v>
      </c>
      <c r="AS1352">
        <v>0</v>
      </c>
      <c r="AU1352" t="s">
        <v>79</v>
      </c>
      <c r="AV1352" t="s">
        <v>9144</v>
      </c>
    </row>
    <row r="1353" spans="1:48">
      <c r="A1353" s="1">
        <f>HYPERLINK("https://lsnyc.legalserver.org/matter/dynamic-profile/view/1876434","18-1876434")</f>
        <v>0</v>
      </c>
      <c r="B1353" t="s">
        <v>175</v>
      </c>
      <c r="C1353" t="s">
        <v>256</v>
      </c>
      <c r="D1353" t="s">
        <v>773</v>
      </c>
      <c r="F1353" t="s">
        <v>1846</v>
      </c>
      <c r="G1353" t="s">
        <v>3503</v>
      </c>
      <c r="H1353" t="s">
        <v>6475</v>
      </c>
      <c r="I1353">
        <v>30</v>
      </c>
      <c r="J1353" t="s">
        <v>9067</v>
      </c>
      <c r="K1353">
        <v>10026</v>
      </c>
      <c r="L1353" t="s">
        <v>9094</v>
      </c>
      <c r="M1353" t="s">
        <v>9094</v>
      </c>
      <c r="N1353" t="s">
        <v>9700</v>
      </c>
      <c r="O1353" t="s">
        <v>11129</v>
      </c>
      <c r="P1353" t="s">
        <v>11165</v>
      </c>
      <c r="R1353" t="s">
        <v>11180</v>
      </c>
      <c r="S1353" t="s">
        <v>9096</v>
      </c>
      <c r="T1353" t="s">
        <v>11183</v>
      </c>
      <c r="V1353" t="s">
        <v>773</v>
      </c>
      <c r="W1353">
        <v>580.51</v>
      </c>
      <c r="X1353" t="s">
        <v>11335</v>
      </c>
      <c r="Y1353" t="s">
        <v>11339</v>
      </c>
      <c r="Z1353" t="s">
        <v>12315</v>
      </c>
      <c r="AB1353" t="s">
        <v>16731</v>
      </c>
      <c r="AC1353">
        <v>32</v>
      </c>
      <c r="AD1353" t="s">
        <v>19566</v>
      </c>
      <c r="AE1353" t="s">
        <v>9144</v>
      </c>
      <c r="AF1353">
        <v>36</v>
      </c>
      <c r="AG1353">
        <v>2</v>
      </c>
      <c r="AH1353">
        <v>0</v>
      </c>
      <c r="AI1353">
        <v>55.33</v>
      </c>
      <c r="AL1353" t="s">
        <v>19614</v>
      </c>
      <c r="AM1353">
        <v>9108</v>
      </c>
      <c r="AS1353">
        <v>82.95</v>
      </c>
      <c r="AT1353" t="s">
        <v>1130</v>
      </c>
      <c r="AU1353" t="s">
        <v>20657</v>
      </c>
    </row>
    <row r="1354" spans="1:48">
      <c r="A1354" s="1">
        <f>HYPERLINK("https://lsnyc.legalserver.org/matter/dynamic-profile/view/1878534","18-1878534")</f>
        <v>0</v>
      </c>
      <c r="B1354" t="s">
        <v>175</v>
      </c>
      <c r="C1354" t="s">
        <v>256</v>
      </c>
      <c r="D1354" t="s">
        <v>768</v>
      </c>
      <c r="F1354" t="s">
        <v>1846</v>
      </c>
      <c r="G1354" t="s">
        <v>3503</v>
      </c>
      <c r="H1354" t="s">
        <v>6475</v>
      </c>
      <c r="I1354">
        <v>30</v>
      </c>
      <c r="J1354" t="s">
        <v>9067</v>
      </c>
      <c r="K1354">
        <v>10026</v>
      </c>
      <c r="L1354" t="s">
        <v>9094</v>
      </c>
      <c r="M1354" t="s">
        <v>9094</v>
      </c>
      <c r="O1354" t="s">
        <v>11131</v>
      </c>
      <c r="P1354" t="s">
        <v>11168</v>
      </c>
      <c r="R1354" t="s">
        <v>11180</v>
      </c>
      <c r="S1354" t="s">
        <v>9096</v>
      </c>
      <c r="T1354" t="s">
        <v>11191</v>
      </c>
      <c r="U1354" t="s">
        <v>11201</v>
      </c>
      <c r="V1354" t="s">
        <v>768</v>
      </c>
      <c r="W1354">
        <v>580.51</v>
      </c>
      <c r="X1354" t="s">
        <v>11335</v>
      </c>
      <c r="Y1354" t="s">
        <v>11347</v>
      </c>
      <c r="Z1354" t="s">
        <v>12315</v>
      </c>
      <c r="AB1354" t="s">
        <v>16731</v>
      </c>
      <c r="AC1354">
        <v>32</v>
      </c>
      <c r="AD1354" t="s">
        <v>19566</v>
      </c>
      <c r="AF1354">
        <v>36</v>
      </c>
      <c r="AG1354">
        <v>2</v>
      </c>
      <c r="AH1354">
        <v>0</v>
      </c>
      <c r="AI1354">
        <v>55.33</v>
      </c>
      <c r="AL1354" t="s">
        <v>19614</v>
      </c>
      <c r="AM1354">
        <v>9108</v>
      </c>
      <c r="AS1354">
        <v>5.7</v>
      </c>
      <c r="AT1354" t="s">
        <v>499</v>
      </c>
      <c r="AU1354" t="s">
        <v>20657</v>
      </c>
    </row>
    <row r="1355" spans="1:48">
      <c r="A1355" s="1">
        <f>HYPERLINK("https://lsnyc.legalserver.org/matter/dynamic-profile/view/1847654","17-1847654")</f>
        <v>0</v>
      </c>
      <c r="B1355" t="s">
        <v>139</v>
      </c>
      <c r="C1355" t="s">
        <v>256</v>
      </c>
      <c r="D1355" t="s">
        <v>587</v>
      </c>
      <c r="F1355" t="s">
        <v>1847</v>
      </c>
      <c r="G1355" t="s">
        <v>3818</v>
      </c>
      <c r="H1355" t="s">
        <v>6364</v>
      </c>
      <c r="I1355" t="s">
        <v>8124</v>
      </c>
      <c r="J1355" t="s">
        <v>9067</v>
      </c>
      <c r="K1355">
        <v>10034</v>
      </c>
      <c r="L1355" t="s">
        <v>9094</v>
      </c>
      <c r="M1355" t="s">
        <v>9095</v>
      </c>
      <c r="O1355" t="s">
        <v>11130</v>
      </c>
      <c r="P1355" t="s">
        <v>11165</v>
      </c>
      <c r="R1355" t="s">
        <v>11180</v>
      </c>
      <c r="S1355" t="s">
        <v>9094</v>
      </c>
      <c r="T1355" t="s">
        <v>11183</v>
      </c>
      <c r="V1355" t="s">
        <v>1057</v>
      </c>
      <c r="W1355">
        <v>340</v>
      </c>
      <c r="X1355" t="s">
        <v>11335</v>
      </c>
      <c r="Y1355" t="s">
        <v>11340</v>
      </c>
      <c r="Z1355" t="s">
        <v>12316</v>
      </c>
      <c r="AB1355" t="s">
        <v>16732</v>
      </c>
      <c r="AC1355">
        <v>50</v>
      </c>
      <c r="AD1355" t="s">
        <v>19566</v>
      </c>
      <c r="AE1355" t="s">
        <v>9144</v>
      </c>
      <c r="AF1355">
        <v>45</v>
      </c>
      <c r="AG1355">
        <v>2</v>
      </c>
      <c r="AH1355">
        <v>0</v>
      </c>
      <c r="AI1355">
        <v>55.42</v>
      </c>
      <c r="AL1355" t="s">
        <v>19615</v>
      </c>
      <c r="AM1355">
        <v>9000</v>
      </c>
      <c r="AS1355">
        <v>0</v>
      </c>
      <c r="AU1355" t="s">
        <v>130</v>
      </c>
    </row>
    <row r="1356" spans="1:48">
      <c r="A1356" s="1">
        <f>HYPERLINK("https://lsnyc.legalserver.org/matter/dynamic-profile/view/1858227","18-1858227")</f>
        <v>0</v>
      </c>
      <c r="B1356" t="s">
        <v>132</v>
      </c>
      <c r="C1356" t="s">
        <v>257</v>
      </c>
      <c r="D1356" t="s">
        <v>579</v>
      </c>
      <c r="E1356" t="s">
        <v>377</v>
      </c>
      <c r="F1356" t="s">
        <v>1450</v>
      </c>
      <c r="G1356" t="s">
        <v>4022</v>
      </c>
      <c r="H1356" t="s">
        <v>6476</v>
      </c>
      <c r="J1356" t="s">
        <v>9067</v>
      </c>
      <c r="K1356">
        <v>10034</v>
      </c>
      <c r="L1356" t="s">
        <v>9094</v>
      </c>
      <c r="M1356" t="s">
        <v>9095</v>
      </c>
      <c r="O1356" t="s">
        <v>9121</v>
      </c>
      <c r="P1356" t="s">
        <v>11166</v>
      </c>
      <c r="Q1356" t="s">
        <v>11173</v>
      </c>
      <c r="R1356" t="s">
        <v>11180</v>
      </c>
      <c r="S1356" t="s">
        <v>9096</v>
      </c>
      <c r="T1356" t="s">
        <v>11183</v>
      </c>
      <c r="V1356" t="s">
        <v>579</v>
      </c>
      <c r="W1356">
        <v>1589.22</v>
      </c>
      <c r="X1356" t="s">
        <v>11335</v>
      </c>
      <c r="Y1356" t="s">
        <v>11338</v>
      </c>
      <c r="Z1356" t="s">
        <v>12317</v>
      </c>
      <c r="AC1356">
        <v>20</v>
      </c>
      <c r="AD1356" t="s">
        <v>19566</v>
      </c>
      <c r="AE1356" t="s">
        <v>19580</v>
      </c>
      <c r="AF1356">
        <v>15</v>
      </c>
      <c r="AG1356">
        <v>1</v>
      </c>
      <c r="AH1356">
        <v>1</v>
      </c>
      <c r="AI1356">
        <v>55.42</v>
      </c>
      <c r="AL1356" t="s">
        <v>19615</v>
      </c>
      <c r="AM1356">
        <v>9000</v>
      </c>
      <c r="AN1356" t="s">
        <v>19786</v>
      </c>
      <c r="AS1356">
        <v>35.65</v>
      </c>
      <c r="AT1356" t="s">
        <v>574</v>
      </c>
      <c r="AU1356" t="s">
        <v>130</v>
      </c>
    </row>
    <row r="1357" spans="1:48">
      <c r="A1357" s="1">
        <f>HYPERLINK("https://lsnyc.legalserver.org/matter/dynamic-profile/view/1868559","18-1868559")</f>
        <v>0</v>
      </c>
      <c r="B1357" t="s">
        <v>114</v>
      </c>
      <c r="C1357" t="s">
        <v>256</v>
      </c>
      <c r="D1357" t="s">
        <v>774</v>
      </c>
      <c r="F1357" t="s">
        <v>1848</v>
      </c>
      <c r="G1357" t="s">
        <v>4023</v>
      </c>
      <c r="H1357" t="s">
        <v>6477</v>
      </c>
      <c r="I1357" t="s">
        <v>8178</v>
      </c>
      <c r="J1357" t="s">
        <v>9065</v>
      </c>
      <c r="K1357">
        <v>10453</v>
      </c>
      <c r="L1357" t="s">
        <v>9094</v>
      </c>
      <c r="M1357" t="s">
        <v>9094</v>
      </c>
      <c r="N1357" t="s">
        <v>9701</v>
      </c>
      <c r="O1357" t="s">
        <v>11129</v>
      </c>
      <c r="P1357" t="s">
        <v>11165</v>
      </c>
      <c r="R1357" t="s">
        <v>11180</v>
      </c>
      <c r="S1357" t="s">
        <v>9096</v>
      </c>
      <c r="T1357" t="s">
        <v>11183</v>
      </c>
      <c r="V1357" t="s">
        <v>774</v>
      </c>
      <c r="W1357">
        <v>915</v>
      </c>
      <c r="X1357" t="s">
        <v>11333</v>
      </c>
      <c r="Y1357" t="s">
        <v>11336</v>
      </c>
      <c r="Z1357" t="s">
        <v>12318</v>
      </c>
      <c r="AA1357" t="s">
        <v>15537</v>
      </c>
      <c r="AB1357" t="s">
        <v>16733</v>
      </c>
      <c r="AC1357">
        <v>36</v>
      </c>
      <c r="AD1357" t="s">
        <v>19566</v>
      </c>
      <c r="AE1357" t="s">
        <v>19580</v>
      </c>
      <c r="AF1357">
        <v>15</v>
      </c>
      <c r="AG1357">
        <v>1</v>
      </c>
      <c r="AH1357">
        <v>0</v>
      </c>
      <c r="AI1357">
        <v>55.45</v>
      </c>
      <c r="AM1357">
        <v>6732</v>
      </c>
      <c r="AS1357">
        <v>10.35</v>
      </c>
      <c r="AT1357" t="s">
        <v>500</v>
      </c>
      <c r="AU1357" t="s">
        <v>20642</v>
      </c>
    </row>
    <row r="1358" spans="1:48">
      <c r="A1358" s="1">
        <f>HYPERLINK("https://lsnyc.legalserver.org/matter/dynamic-profile/view/0794749","15-0794749")</f>
        <v>0</v>
      </c>
      <c r="B1358" t="s">
        <v>75</v>
      </c>
      <c r="C1358" t="s">
        <v>257</v>
      </c>
      <c r="D1358" t="s">
        <v>775</v>
      </c>
      <c r="E1358" t="s">
        <v>1132</v>
      </c>
      <c r="F1358" t="s">
        <v>1792</v>
      </c>
      <c r="G1358" t="s">
        <v>3962</v>
      </c>
      <c r="H1358" t="s">
        <v>6407</v>
      </c>
      <c r="I1358" t="s">
        <v>8425</v>
      </c>
      <c r="J1358" t="s">
        <v>9059</v>
      </c>
      <c r="K1358">
        <v>11213</v>
      </c>
      <c r="L1358" t="s">
        <v>9094</v>
      </c>
      <c r="M1358" t="s">
        <v>9095</v>
      </c>
      <c r="O1358" t="s">
        <v>11130</v>
      </c>
      <c r="P1358" t="s">
        <v>11165</v>
      </c>
      <c r="Q1358" t="s">
        <v>11174</v>
      </c>
      <c r="R1358" t="s">
        <v>11180</v>
      </c>
      <c r="T1358" t="s">
        <v>11183</v>
      </c>
      <c r="V1358" t="s">
        <v>519</v>
      </c>
      <c r="W1358">
        <v>551.0700000000001</v>
      </c>
      <c r="X1358" t="s">
        <v>11332</v>
      </c>
      <c r="Y1358" t="s">
        <v>11339</v>
      </c>
      <c r="Z1358" t="s">
        <v>12218</v>
      </c>
      <c r="AB1358" t="s">
        <v>16644</v>
      </c>
      <c r="AC1358">
        <v>6</v>
      </c>
      <c r="AD1358" t="s">
        <v>19566</v>
      </c>
      <c r="AF1358">
        <v>12</v>
      </c>
      <c r="AG1358">
        <v>1</v>
      </c>
      <c r="AH1358">
        <v>1</v>
      </c>
      <c r="AI1358">
        <v>55.49</v>
      </c>
      <c r="AJ1358" t="s">
        <v>805</v>
      </c>
      <c r="AL1358" t="s">
        <v>19614</v>
      </c>
      <c r="AM1358">
        <v>8840</v>
      </c>
      <c r="AN1358" t="s">
        <v>19671</v>
      </c>
      <c r="AS1358">
        <v>266.39</v>
      </c>
      <c r="AT1358" t="s">
        <v>611</v>
      </c>
      <c r="AU1358" t="s">
        <v>20692</v>
      </c>
    </row>
    <row r="1359" spans="1:48">
      <c r="A1359" s="1">
        <f>HYPERLINK("https://lsnyc.legalserver.org/matter/dynamic-profile/view/1873840","18-1873840")</f>
        <v>0</v>
      </c>
      <c r="B1359" t="s">
        <v>132</v>
      </c>
      <c r="C1359" t="s">
        <v>257</v>
      </c>
      <c r="D1359" t="s">
        <v>555</v>
      </c>
      <c r="E1359" t="s">
        <v>331</v>
      </c>
      <c r="F1359" t="s">
        <v>1849</v>
      </c>
      <c r="G1359" t="s">
        <v>3364</v>
      </c>
      <c r="H1359" t="s">
        <v>5953</v>
      </c>
      <c r="I1359" t="s">
        <v>8426</v>
      </c>
      <c r="J1359" t="s">
        <v>9067</v>
      </c>
      <c r="K1359">
        <v>10033</v>
      </c>
      <c r="L1359" t="s">
        <v>9094</v>
      </c>
      <c r="M1359" t="s">
        <v>9094</v>
      </c>
      <c r="O1359" t="s">
        <v>11130</v>
      </c>
      <c r="P1359" t="s">
        <v>11165</v>
      </c>
      <c r="Q1359" t="s">
        <v>11178</v>
      </c>
      <c r="R1359" t="s">
        <v>11180</v>
      </c>
      <c r="S1359" t="s">
        <v>9094</v>
      </c>
      <c r="T1359" t="s">
        <v>11183</v>
      </c>
      <c r="V1359" t="s">
        <v>555</v>
      </c>
      <c r="W1359">
        <v>1375.8</v>
      </c>
      <c r="X1359" t="s">
        <v>11335</v>
      </c>
      <c r="Y1359" t="s">
        <v>11339</v>
      </c>
      <c r="Z1359" t="s">
        <v>12319</v>
      </c>
      <c r="AB1359" t="s">
        <v>16734</v>
      </c>
      <c r="AC1359">
        <v>232</v>
      </c>
      <c r="AD1359" t="s">
        <v>19566</v>
      </c>
      <c r="AE1359" t="s">
        <v>9144</v>
      </c>
      <c r="AF1359">
        <v>10</v>
      </c>
      <c r="AG1359">
        <v>2</v>
      </c>
      <c r="AH1359">
        <v>0</v>
      </c>
      <c r="AI1359">
        <v>55.55</v>
      </c>
      <c r="AL1359" t="s">
        <v>19615</v>
      </c>
      <c r="AM1359">
        <v>9144</v>
      </c>
      <c r="AS1359">
        <v>1.2</v>
      </c>
      <c r="AT1359" t="s">
        <v>521</v>
      </c>
      <c r="AU1359" t="s">
        <v>130</v>
      </c>
      <c r="AV1359" t="s">
        <v>20733</v>
      </c>
    </row>
    <row r="1360" spans="1:48">
      <c r="A1360" s="1">
        <f>HYPERLINK("https://lsnyc.legalserver.org/matter/dynamic-profile/view/1837952","17-1837952")</f>
        <v>0</v>
      </c>
      <c r="B1360" t="s">
        <v>97</v>
      </c>
      <c r="C1360" t="s">
        <v>256</v>
      </c>
      <c r="D1360" t="s">
        <v>776</v>
      </c>
      <c r="F1360" t="s">
        <v>1323</v>
      </c>
      <c r="G1360" t="s">
        <v>2330</v>
      </c>
      <c r="H1360" t="s">
        <v>6478</v>
      </c>
      <c r="I1360">
        <v>2448</v>
      </c>
      <c r="J1360" t="s">
        <v>9059</v>
      </c>
      <c r="K1360">
        <v>11224</v>
      </c>
      <c r="L1360" t="s">
        <v>9096</v>
      </c>
      <c r="M1360" t="s">
        <v>9095</v>
      </c>
      <c r="N1360" t="s">
        <v>9702</v>
      </c>
      <c r="O1360" t="s">
        <v>11129</v>
      </c>
      <c r="P1360" t="s">
        <v>11165</v>
      </c>
      <c r="R1360" t="s">
        <v>11180</v>
      </c>
      <c r="T1360" t="s">
        <v>11183</v>
      </c>
      <c r="W1360">
        <v>1697</v>
      </c>
      <c r="X1360" t="s">
        <v>11332</v>
      </c>
      <c r="Z1360" t="s">
        <v>12320</v>
      </c>
      <c r="AB1360" t="s">
        <v>16735</v>
      </c>
      <c r="AC1360">
        <v>0</v>
      </c>
      <c r="AD1360" t="s">
        <v>19567</v>
      </c>
      <c r="AF1360">
        <v>22</v>
      </c>
      <c r="AG1360">
        <v>2</v>
      </c>
      <c r="AH1360">
        <v>0</v>
      </c>
      <c r="AI1360">
        <v>55.64</v>
      </c>
      <c r="AL1360" t="s">
        <v>19614</v>
      </c>
      <c r="AM1360">
        <v>9036</v>
      </c>
      <c r="AS1360">
        <v>36.15</v>
      </c>
      <c r="AT1360" t="s">
        <v>624</v>
      </c>
      <c r="AU1360" t="s">
        <v>20640</v>
      </c>
    </row>
    <row r="1361" spans="1:48">
      <c r="A1361" s="1">
        <f>HYPERLINK("https://lsnyc.legalserver.org/matter/dynamic-profile/view/1863759","18-1863759")</f>
        <v>0</v>
      </c>
      <c r="B1361" t="s">
        <v>136</v>
      </c>
      <c r="C1361" t="s">
        <v>256</v>
      </c>
      <c r="D1361" t="s">
        <v>504</v>
      </c>
      <c r="F1361" t="s">
        <v>1850</v>
      </c>
      <c r="G1361" t="s">
        <v>4024</v>
      </c>
      <c r="H1361" t="s">
        <v>5961</v>
      </c>
      <c r="I1361">
        <v>711</v>
      </c>
      <c r="J1361" t="s">
        <v>9067</v>
      </c>
      <c r="K1361">
        <v>10029</v>
      </c>
      <c r="L1361" t="s">
        <v>9094</v>
      </c>
      <c r="M1361" t="s">
        <v>9094</v>
      </c>
      <c r="N1361" t="s">
        <v>9287</v>
      </c>
      <c r="O1361" t="s">
        <v>11130</v>
      </c>
      <c r="P1361" t="s">
        <v>11165</v>
      </c>
      <c r="R1361" t="s">
        <v>11180</v>
      </c>
      <c r="S1361" t="s">
        <v>9094</v>
      </c>
      <c r="T1361" t="s">
        <v>11183</v>
      </c>
      <c r="U1361" t="s">
        <v>11201</v>
      </c>
      <c r="V1361" t="s">
        <v>651</v>
      </c>
      <c r="W1361">
        <v>2760</v>
      </c>
      <c r="X1361" t="s">
        <v>11335</v>
      </c>
      <c r="Y1361" t="s">
        <v>11339</v>
      </c>
      <c r="Z1361" t="s">
        <v>12321</v>
      </c>
      <c r="AB1361" t="s">
        <v>16736</v>
      </c>
      <c r="AC1361">
        <v>108</v>
      </c>
      <c r="AD1361" t="s">
        <v>19567</v>
      </c>
      <c r="AE1361" t="s">
        <v>19580</v>
      </c>
      <c r="AF1361">
        <v>17</v>
      </c>
      <c r="AG1361">
        <v>2</v>
      </c>
      <c r="AH1361">
        <v>0</v>
      </c>
      <c r="AI1361">
        <v>55.7</v>
      </c>
      <c r="AL1361" t="s">
        <v>19615</v>
      </c>
      <c r="AM1361">
        <v>9168</v>
      </c>
      <c r="AS1361">
        <v>97.34999999999999</v>
      </c>
      <c r="AT1361" t="s">
        <v>270</v>
      </c>
      <c r="AU1361" t="s">
        <v>20657</v>
      </c>
    </row>
    <row r="1362" spans="1:48">
      <c r="A1362" s="1">
        <f>HYPERLINK("https://lsnyc.legalserver.org/matter/dynamic-profile/view/1864094","18-1864094")</f>
        <v>0</v>
      </c>
      <c r="B1362" t="s">
        <v>136</v>
      </c>
      <c r="C1362" t="s">
        <v>256</v>
      </c>
      <c r="D1362" t="s">
        <v>505</v>
      </c>
      <c r="F1362" t="s">
        <v>1450</v>
      </c>
      <c r="G1362" t="s">
        <v>4025</v>
      </c>
      <c r="H1362" t="s">
        <v>5961</v>
      </c>
      <c r="I1362">
        <v>206</v>
      </c>
      <c r="J1362" t="s">
        <v>9067</v>
      </c>
      <c r="K1362">
        <v>10029</v>
      </c>
      <c r="L1362" t="s">
        <v>9094</v>
      </c>
      <c r="M1362" t="s">
        <v>9094</v>
      </c>
      <c r="N1362" t="s">
        <v>9287</v>
      </c>
      <c r="O1362" t="s">
        <v>11130</v>
      </c>
      <c r="P1362" t="s">
        <v>11165</v>
      </c>
      <c r="R1362" t="s">
        <v>11180</v>
      </c>
      <c r="S1362" t="s">
        <v>9094</v>
      </c>
      <c r="T1362" t="s">
        <v>11183</v>
      </c>
      <c r="U1362" t="s">
        <v>11201</v>
      </c>
      <c r="V1362" t="s">
        <v>505</v>
      </c>
      <c r="W1362">
        <v>0</v>
      </c>
      <c r="X1362" t="s">
        <v>11335</v>
      </c>
      <c r="Y1362" t="s">
        <v>11339</v>
      </c>
      <c r="Z1362" t="s">
        <v>12322</v>
      </c>
      <c r="AC1362">
        <v>108</v>
      </c>
      <c r="AD1362" t="s">
        <v>19567</v>
      </c>
      <c r="AE1362" t="s">
        <v>19580</v>
      </c>
      <c r="AF1362">
        <v>26</v>
      </c>
      <c r="AG1362">
        <v>1</v>
      </c>
      <c r="AH1362">
        <v>1</v>
      </c>
      <c r="AI1362">
        <v>55.77</v>
      </c>
      <c r="AL1362" t="s">
        <v>19615</v>
      </c>
      <c r="AM1362">
        <v>9180</v>
      </c>
      <c r="AS1362">
        <v>0.5</v>
      </c>
      <c r="AT1362" t="s">
        <v>289</v>
      </c>
      <c r="AU1362" t="s">
        <v>20657</v>
      </c>
      <c r="AV1362" t="s">
        <v>20733</v>
      </c>
    </row>
    <row r="1363" spans="1:48">
      <c r="A1363" s="1">
        <f>HYPERLINK("https://lsnyc.legalserver.org/matter/dynamic-profile/view/1835050","17-1835050")</f>
        <v>0</v>
      </c>
      <c r="B1363" t="s">
        <v>70</v>
      </c>
      <c r="C1363" t="s">
        <v>256</v>
      </c>
      <c r="D1363" t="s">
        <v>345</v>
      </c>
      <c r="F1363" t="s">
        <v>1146</v>
      </c>
      <c r="G1363" t="s">
        <v>3364</v>
      </c>
      <c r="H1363" t="s">
        <v>6312</v>
      </c>
      <c r="I1363" t="s">
        <v>8161</v>
      </c>
      <c r="J1363" t="s">
        <v>9059</v>
      </c>
      <c r="K1363">
        <v>11207</v>
      </c>
      <c r="L1363" t="s">
        <v>9094</v>
      </c>
      <c r="M1363" t="s">
        <v>9094</v>
      </c>
      <c r="N1363" t="s">
        <v>9597</v>
      </c>
      <c r="O1363" t="s">
        <v>11130</v>
      </c>
      <c r="P1363" t="s">
        <v>11165</v>
      </c>
      <c r="R1363" t="s">
        <v>11180</v>
      </c>
      <c r="S1363" t="s">
        <v>9094</v>
      </c>
      <c r="T1363" t="s">
        <v>11183</v>
      </c>
      <c r="V1363" t="s">
        <v>345</v>
      </c>
      <c r="W1363">
        <v>1365</v>
      </c>
      <c r="X1363" t="s">
        <v>11332</v>
      </c>
      <c r="Y1363" t="s">
        <v>11339</v>
      </c>
      <c r="Z1363" t="s">
        <v>12310</v>
      </c>
      <c r="AA1363" t="s">
        <v>15538</v>
      </c>
      <c r="AB1363" t="s">
        <v>16727</v>
      </c>
      <c r="AC1363">
        <v>6</v>
      </c>
      <c r="AD1363" t="s">
        <v>19566</v>
      </c>
      <c r="AE1363" t="s">
        <v>19585</v>
      </c>
      <c r="AF1363">
        <v>7</v>
      </c>
      <c r="AG1363">
        <v>2</v>
      </c>
      <c r="AH1363">
        <v>0</v>
      </c>
      <c r="AI1363">
        <v>55.86</v>
      </c>
      <c r="AL1363" t="s">
        <v>19614</v>
      </c>
      <c r="AM1363">
        <v>9072</v>
      </c>
      <c r="AN1363" t="s">
        <v>19665</v>
      </c>
      <c r="AS1363">
        <v>10.65</v>
      </c>
      <c r="AT1363" t="s">
        <v>332</v>
      </c>
      <c r="AU1363" t="s">
        <v>20685</v>
      </c>
    </row>
    <row r="1364" spans="1:48">
      <c r="A1364" s="1">
        <f>HYPERLINK("https://lsnyc.legalserver.org/matter/dynamic-profile/view/1860226","18-1860226")</f>
        <v>0</v>
      </c>
      <c r="B1364" t="s">
        <v>52</v>
      </c>
      <c r="C1364" t="s">
        <v>256</v>
      </c>
      <c r="D1364" t="s">
        <v>364</v>
      </c>
      <c r="F1364" t="s">
        <v>1305</v>
      </c>
      <c r="G1364" t="s">
        <v>4020</v>
      </c>
      <c r="H1364" t="s">
        <v>6472</v>
      </c>
      <c r="I1364" t="s">
        <v>8193</v>
      </c>
      <c r="J1364" t="s">
        <v>9039</v>
      </c>
      <c r="K1364">
        <v>11432</v>
      </c>
      <c r="L1364" t="s">
        <v>9094</v>
      </c>
      <c r="M1364" t="s">
        <v>9095</v>
      </c>
      <c r="N1364" t="s">
        <v>9703</v>
      </c>
      <c r="O1364" t="s">
        <v>11135</v>
      </c>
      <c r="P1364" t="s">
        <v>11168</v>
      </c>
      <c r="R1364" t="s">
        <v>11180</v>
      </c>
      <c r="S1364" t="s">
        <v>9094</v>
      </c>
      <c r="T1364" t="s">
        <v>11189</v>
      </c>
      <c r="V1364" t="s">
        <v>11249</v>
      </c>
      <c r="W1364">
        <v>1600</v>
      </c>
      <c r="X1364" t="s">
        <v>11331</v>
      </c>
      <c r="Y1364" t="s">
        <v>11341</v>
      </c>
      <c r="Z1364" t="s">
        <v>12312</v>
      </c>
      <c r="AA1364" t="s">
        <v>9171</v>
      </c>
      <c r="AB1364" t="s">
        <v>16729</v>
      </c>
      <c r="AC1364">
        <v>60</v>
      </c>
      <c r="AD1364" t="s">
        <v>19566</v>
      </c>
      <c r="AE1364" t="s">
        <v>9144</v>
      </c>
      <c r="AF1364">
        <v>31</v>
      </c>
      <c r="AG1364">
        <v>2</v>
      </c>
      <c r="AH1364">
        <v>0</v>
      </c>
      <c r="AI1364">
        <v>55.93</v>
      </c>
      <c r="AJ1364" t="s">
        <v>19592</v>
      </c>
      <c r="AL1364" t="s">
        <v>19614</v>
      </c>
      <c r="AM1364">
        <v>9083.52</v>
      </c>
      <c r="AS1364">
        <v>0.2</v>
      </c>
      <c r="AT1364" t="s">
        <v>848</v>
      </c>
      <c r="AU1364" t="s">
        <v>153</v>
      </c>
    </row>
    <row r="1365" spans="1:48">
      <c r="A1365" s="1">
        <f>HYPERLINK("https://lsnyc.legalserver.org/matter/dynamic-profile/view/1901062","19-1901062")</f>
        <v>0</v>
      </c>
      <c r="B1365" t="s">
        <v>124</v>
      </c>
      <c r="C1365" t="s">
        <v>257</v>
      </c>
      <c r="D1365" t="s">
        <v>268</v>
      </c>
      <c r="E1365" t="s">
        <v>307</v>
      </c>
      <c r="F1365" t="s">
        <v>1851</v>
      </c>
      <c r="G1365" t="s">
        <v>3507</v>
      </c>
      <c r="H1365" t="s">
        <v>6479</v>
      </c>
      <c r="I1365" t="s">
        <v>8427</v>
      </c>
      <c r="J1365" t="s">
        <v>9066</v>
      </c>
      <c r="K1365">
        <v>10301</v>
      </c>
      <c r="L1365" t="s">
        <v>9094</v>
      </c>
      <c r="M1365" t="s">
        <v>9095</v>
      </c>
      <c r="N1365" t="s">
        <v>9704</v>
      </c>
      <c r="O1365" t="s">
        <v>11129</v>
      </c>
      <c r="P1365" t="s">
        <v>11165</v>
      </c>
      <c r="Q1365" t="s">
        <v>11179</v>
      </c>
      <c r="R1365" t="s">
        <v>11180</v>
      </c>
      <c r="S1365" t="s">
        <v>9096</v>
      </c>
      <c r="T1365" t="s">
        <v>11183</v>
      </c>
      <c r="U1365" t="s">
        <v>11201</v>
      </c>
      <c r="V1365" t="s">
        <v>610</v>
      </c>
      <c r="W1365">
        <v>2197</v>
      </c>
      <c r="X1365" t="s">
        <v>11334</v>
      </c>
      <c r="Y1365" t="s">
        <v>11353</v>
      </c>
      <c r="Z1365" t="s">
        <v>12323</v>
      </c>
      <c r="AB1365" t="s">
        <v>16737</v>
      </c>
      <c r="AC1365">
        <v>1</v>
      </c>
      <c r="AE1365" t="s">
        <v>19581</v>
      </c>
      <c r="AF1365">
        <v>1</v>
      </c>
      <c r="AG1365">
        <v>1</v>
      </c>
      <c r="AH1365">
        <v>6</v>
      </c>
      <c r="AI1365">
        <v>56.05</v>
      </c>
      <c r="AL1365" t="s">
        <v>19614</v>
      </c>
      <c r="AM1365">
        <v>21864</v>
      </c>
      <c r="AO1365" t="s">
        <v>20297</v>
      </c>
      <c r="AP1365" t="s">
        <v>20309</v>
      </c>
      <c r="AQ1365" t="s">
        <v>20369</v>
      </c>
      <c r="AR1365" t="s">
        <v>20430</v>
      </c>
      <c r="AS1365">
        <v>27.9</v>
      </c>
      <c r="AT1365" t="s">
        <v>335</v>
      </c>
      <c r="AU1365" t="s">
        <v>20653</v>
      </c>
      <c r="AV1365" t="s">
        <v>20733</v>
      </c>
    </row>
    <row r="1366" spans="1:48">
      <c r="A1366" s="1">
        <f>HYPERLINK("https://lsnyc.legalserver.org/matter/dynamic-profile/view/1896905","19-1896905")</f>
        <v>0</v>
      </c>
      <c r="B1366" t="s">
        <v>157</v>
      </c>
      <c r="C1366" t="s">
        <v>257</v>
      </c>
      <c r="D1366" t="s">
        <v>777</v>
      </c>
      <c r="E1366" t="s">
        <v>549</v>
      </c>
      <c r="F1366" t="s">
        <v>1248</v>
      </c>
      <c r="G1366" t="s">
        <v>3498</v>
      </c>
      <c r="H1366" t="s">
        <v>6480</v>
      </c>
      <c r="I1366" t="s">
        <v>8129</v>
      </c>
      <c r="J1366" t="s">
        <v>9059</v>
      </c>
      <c r="K1366">
        <v>11223</v>
      </c>
      <c r="L1366" t="s">
        <v>9094</v>
      </c>
      <c r="M1366" t="s">
        <v>9094</v>
      </c>
      <c r="N1366" t="s">
        <v>9705</v>
      </c>
      <c r="P1366" t="s">
        <v>11164</v>
      </c>
      <c r="Q1366" t="s">
        <v>11172</v>
      </c>
      <c r="R1366" t="s">
        <v>11180</v>
      </c>
      <c r="T1366" t="s">
        <v>11193</v>
      </c>
      <c r="V1366" t="s">
        <v>361</v>
      </c>
      <c r="W1366">
        <v>0</v>
      </c>
      <c r="X1366" t="s">
        <v>11332</v>
      </c>
      <c r="Z1366" t="s">
        <v>12324</v>
      </c>
      <c r="AA1366" t="s">
        <v>15539</v>
      </c>
      <c r="AB1366" t="s">
        <v>16738</v>
      </c>
      <c r="AC1366">
        <v>0</v>
      </c>
      <c r="AF1366">
        <v>0</v>
      </c>
      <c r="AG1366">
        <v>1</v>
      </c>
      <c r="AH1366">
        <v>1</v>
      </c>
      <c r="AI1366">
        <v>56.06</v>
      </c>
      <c r="AL1366" t="s">
        <v>19614</v>
      </c>
      <c r="AM1366">
        <v>9480</v>
      </c>
      <c r="AS1366">
        <v>5.84</v>
      </c>
      <c r="AT1366" t="s">
        <v>748</v>
      </c>
      <c r="AU1366" t="s">
        <v>20629</v>
      </c>
    </row>
    <row r="1367" spans="1:48">
      <c r="A1367" s="1">
        <f>HYPERLINK("https://lsnyc.legalserver.org/matter/dynamic-profile/view/0830558","17-0830558")</f>
        <v>0</v>
      </c>
      <c r="B1367" t="s">
        <v>138</v>
      </c>
      <c r="C1367" t="s">
        <v>256</v>
      </c>
      <c r="D1367" t="s">
        <v>778</v>
      </c>
      <c r="F1367" t="s">
        <v>1852</v>
      </c>
      <c r="G1367" t="s">
        <v>4026</v>
      </c>
      <c r="H1367" t="s">
        <v>6481</v>
      </c>
      <c r="I1367">
        <v>36</v>
      </c>
      <c r="J1367" t="s">
        <v>9067</v>
      </c>
      <c r="K1367">
        <v>10034</v>
      </c>
      <c r="L1367" t="s">
        <v>9096</v>
      </c>
      <c r="M1367" t="s">
        <v>9094</v>
      </c>
      <c r="O1367" t="s">
        <v>11130</v>
      </c>
      <c r="P1367" t="s">
        <v>11167</v>
      </c>
      <c r="R1367" t="s">
        <v>11180</v>
      </c>
      <c r="S1367" t="s">
        <v>9096</v>
      </c>
      <c r="T1367" t="s">
        <v>11183</v>
      </c>
      <c r="W1367">
        <v>1300</v>
      </c>
      <c r="X1367" t="s">
        <v>11335</v>
      </c>
      <c r="Y1367" t="s">
        <v>11340</v>
      </c>
      <c r="Z1367" t="s">
        <v>12325</v>
      </c>
      <c r="AB1367" t="s">
        <v>16739</v>
      </c>
      <c r="AC1367">
        <v>30</v>
      </c>
      <c r="AD1367" t="s">
        <v>19566</v>
      </c>
      <c r="AE1367" t="s">
        <v>19580</v>
      </c>
      <c r="AF1367">
        <v>41</v>
      </c>
      <c r="AG1367">
        <v>2</v>
      </c>
      <c r="AH1367">
        <v>0</v>
      </c>
      <c r="AI1367">
        <v>56.08</v>
      </c>
      <c r="AL1367" t="s">
        <v>19615</v>
      </c>
      <c r="AM1367">
        <v>9108</v>
      </c>
      <c r="AS1367">
        <v>1.9</v>
      </c>
      <c r="AT1367" t="s">
        <v>609</v>
      </c>
      <c r="AU1367" t="s">
        <v>20657</v>
      </c>
      <c r="AV1367" t="s">
        <v>20733</v>
      </c>
    </row>
    <row r="1368" spans="1:48">
      <c r="A1368" s="1">
        <f>HYPERLINK("https://lsnyc.legalserver.org/matter/dynamic-profile/view/0822061","16-0822061")</f>
        <v>0</v>
      </c>
      <c r="B1368" t="s">
        <v>103</v>
      </c>
      <c r="C1368" t="s">
        <v>256</v>
      </c>
      <c r="D1368" t="s">
        <v>519</v>
      </c>
      <c r="F1368" t="s">
        <v>1853</v>
      </c>
      <c r="G1368" t="s">
        <v>4027</v>
      </c>
      <c r="H1368" t="s">
        <v>5899</v>
      </c>
      <c r="I1368" t="s">
        <v>8112</v>
      </c>
      <c r="J1368" t="s">
        <v>9065</v>
      </c>
      <c r="K1368">
        <v>10452</v>
      </c>
      <c r="L1368" t="s">
        <v>9094</v>
      </c>
      <c r="M1368" t="s">
        <v>9095</v>
      </c>
      <c r="O1368" t="s">
        <v>11135</v>
      </c>
      <c r="P1368" t="s">
        <v>11168</v>
      </c>
      <c r="R1368" t="s">
        <v>11180</v>
      </c>
      <c r="S1368" t="s">
        <v>9094</v>
      </c>
      <c r="T1368" t="s">
        <v>11183</v>
      </c>
      <c r="V1368" t="s">
        <v>519</v>
      </c>
      <c r="W1368">
        <v>736</v>
      </c>
      <c r="X1368" t="s">
        <v>11333</v>
      </c>
      <c r="Y1368" t="s">
        <v>11346</v>
      </c>
      <c r="Z1368" t="s">
        <v>11576</v>
      </c>
      <c r="AB1368" t="s">
        <v>16740</v>
      </c>
      <c r="AC1368">
        <v>63</v>
      </c>
      <c r="AD1368" t="s">
        <v>19566</v>
      </c>
      <c r="AF1368">
        <v>0</v>
      </c>
      <c r="AG1368">
        <v>2</v>
      </c>
      <c r="AH1368">
        <v>0</v>
      </c>
      <c r="AI1368">
        <v>56.1</v>
      </c>
      <c r="AL1368" t="s">
        <v>19614</v>
      </c>
      <c r="AM1368">
        <v>8988</v>
      </c>
      <c r="AS1368">
        <v>0</v>
      </c>
      <c r="AU1368" t="s">
        <v>20643</v>
      </c>
    </row>
    <row r="1369" spans="1:48">
      <c r="A1369" s="1">
        <f>HYPERLINK("https://lsnyc.legalserver.org/matter/dynamic-profile/view/0822062","16-0822062")</f>
        <v>0</v>
      </c>
      <c r="B1369" t="s">
        <v>103</v>
      </c>
      <c r="C1369" t="s">
        <v>256</v>
      </c>
      <c r="D1369" t="s">
        <v>463</v>
      </c>
      <c r="F1369" t="s">
        <v>1853</v>
      </c>
      <c r="G1369" t="s">
        <v>4027</v>
      </c>
      <c r="H1369" t="s">
        <v>5899</v>
      </c>
      <c r="I1369" t="s">
        <v>8112</v>
      </c>
      <c r="J1369" t="s">
        <v>9065</v>
      </c>
      <c r="K1369">
        <v>10452</v>
      </c>
      <c r="L1369" t="s">
        <v>9094</v>
      </c>
      <c r="M1369" t="s">
        <v>9095</v>
      </c>
      <c r="O1369" t="s">
        <v>11135</v>
      </c>
      <c r="P1369" t="s">
        <v>11168</v>
      </c>
      <c r="R1369" t="s">
        <v>11180</v>
      </c>
      <c r="S1369" t="s">
        <v>9094</v>
      </c>
      <c r="T1369" t="s">
        <v>11183</v>
      </c>
      <c r="V1369" t="s">
        <v>463</v>
      </c>
      <c r="W1369">
        <v>736</v>
      </c>
      <c r="X1369" t="s">
        <v>11333</v>
      </c>
      <c r="Y1369" t="s">
        <v>11346</v>
      </c>
      <c r="Z1369" t="s">
        <v>11576</v>
      </c>
      <c r="AB1369" t="s">
        <v>16740</v>
      </c>
      <c r="AC1369">
        <v>63</v>
      </c>
      <c r="AD1369" t="s">
        <v>19566</v>
      </c>
      <c r="AF1369">
        <v>0</v>
      </c>
      <c r="AG1369">
        <v>2</v>
      </c>
      <c r="AH1369">
        <v>0</v>
      </c>
      <c r="AI1369">
        <v>56.1</v>
      </c>
      <c r="AL1369" t="s">
        <v>19614</v>
      </c>
      <c r="AM1369">
        <v>17976</v>
      </c>
      <c r="AS1369">
        <v>0</v>
      </c>
      <c r="AU1369" t="s">
        <v>20643</v>
      </c>
    </row>
    <row r="1370" spans="1:48">
      <c r="A1370" s="1">
        <f>HYPERLINK("https://lsnyc.legalserver.org/matter/dynamic-profile/view/1910931","19-1910931")</f>
        <v>0</v>
      </c>
      <c r="B1370" t="s">
        <v>106</v>
      </c>
      <c r="C1370" t="s">
        <v>257</v>
      </c>
      <c r="D1370" t="s">
        <v>295</v>
      </c>
      <c r="E1370" t="s">
        <v>744</v>
      </c>
      <c r="F1370" t="s">
        <v>1854</v>
      </c>
      <c r="G1370" t="s">
        <v>3464</v>
      </c>
      <c r="H1370" t="s">
        <v>6482</v>
      </c>
      <c r="I1370" t="s">
        <v>8428</v>
      </c>
      <c r="J1370" t="s">
        <v>9065</v>
      </c>
      <c r="K1370">
        <v>10457</v>
      </c>
      <c r="L1370" t="s">
        <v>9096</v>
      </c>
      <c r="M1370" t="s">
        <v>9095</v>
      </c>
      <c r="N1370" t="s">
        <v>9706</v>
      </c>
      <c r="O1370" t="s">
        <v>11130</v>
      </c>
      <c r="P1370" t="s">
        <v>11167</v>
      </c>
      <c r="Q1370" t="s">
        <v>11173</v>
      </c>
      <c r="R1370" t="s">
        <v>11180</v>
      </c>
      <c r="S1370" t="s">
        <v>9096</v>
      </c>
      <c r="T1370" t="s">
        <v>11183</v>
      </c>
      <c r="U1370" t="s">
        <v>11202</v>
      </c>
      <c r="W1370">
        <v>371</v>
      </c>
      <c r="X1370" t="s">
        <v>11333</v>
      </c>
      <c r="Y1370" t="s">
        <v>11346</v>
      </c>
      <c r="Z1370" t="s">
        <v>12326</v>
      </c>
      <c r="AA1370" t="s">
        <v>15540</v>
      </c>
      <c r="AB1370" t="s">
        <v>16741</v>
      </c>
      <c r="AC1370">
        <v>21</v>
      </c>
      <c r="AD1370" t="s">
        <v>19566</v>
      </c>
      <c r="AE1370" t="s">
        <v>19580</v>
      </c>
      <c r="AF1370">
        <v>18</v>
      </c>
      <c r="AG1370">
        <v>1</v>
      </c>
      <c r="AH1370">
        <v>1</v>
      </c>
      <c r="AI1370">
        <v>56.13</v>
      </c>
      <c r="AL1370" t="s">
        <v>19614</v>
      </c>
      <c r="AM1370">
        <v>9492</v>
      </c>
      <c r="AN1370" t="s">
        <v>19787</v>
      </c>
      <c r="AS1370">
        <v>2.5</v>
      </c>
      <c r="AT1370" t="s">
        <v>648</v>
      </c>
      <c r="AU1370" t="s">
        <v>220</v>
      </c>
      <c r="AV1370" t="s">
        <v>20734</v>
      </c>
    </row>
    <row r="1371" spans="1:48">
      <c r="A1371" s="1">
        <f>HYPERLINK("https://lsnyc.legalserver.org/matter/dynamic-profile/view/1885754","18-1885754")</f>
        <v>0</v>
      </c>
      <c r="B1371" t="s">
        <v>113</v>
      </c>
      <c r="C1371" t="s">
        <v>257</v>
      </c>
      <c r="D1371" t="s">
        <v>424</v>
      </c>
      <c r="E1371" t="s">
        <v>377</v>
      </c>
      <c r="F1371" t="s">
        <v>1833</v>
      </c>
      <c r="G1371" t="s">
        <v>2008</v>
      </c>
      <c r="H1371" t="s">
        <v>5864</v>
      </c>
      <c r="I1371" t="s">
        <v>8420</v>
      </c>
      <c r="J1371" t="s">
        <v>9065</v>
      </c>
      <c r="K1371">
        <v>10460</v>
      </c>
      <c r="L1371" t="s">
        <v>9094</v>
      </c>
      <c r="M1371" t="s">
        <v>9094</v>
      </c>
      <c r="N1371" t="s">
        <v>9222</v>
      </c>
      <c r="O1371" t="s">
        <v>11130</v>
      </c>
      <c r="P1371" t="s">
        <v>11165</v>
      </c>
      <c r="Q1371" t="s">
        <v>11174</v>
      </c>
      <c r="R1371" t="s">
        <v>11180</v>
      </c>
      <c r="S1371" t="s">
        <v>9094</v>
      </c>
      <c r="T1371" t="s">
        <v>11183</v>
      </c>
      <c r="V1371" t="s">
        <v>512</v>
      </c>
      <c r="W1371">
        <v>242</v>
      </c>
      <c r="X1371" t="s">
        <v>11333</v>
      </c>
      <c r="Y1371" t="s">
        <v>11346</v>
      </c>
      <c r="Z1371" t="s">
        <v>12292</v>
      </c>
      <c r="AB1371" t="s">
        <v>16713</v>
      </c>
      <c r="AC1371">
        <v>168</v>
      </c>
      <c r="AD1371" t="s">
        <v>15441</v>
      </c>
      <c r="AE1371" t="s">
        <v>11157</v>
      </c>
      <c r="AF1371">
        <v>1</v>
      </c>
      <c r="AG1371">
        <v>2</v>
      </c>
      <c r="AH1371">
        <v>0</v>
      </c>
      <c r="AI1371">
        <v>56.14</v>
      </c>
      <c r="AL1371" t="s">
        <v>19614</v>
      </c>
      <c r="AM1371">
        <v>9240</v>
      </c>
      <c r="AS1371">
        <v>0.25</v>
      </c>
      <c r="AT1371" t="s">
        <v>377</v>
      </c>
      <c r="AU1371" t="s">
        <v>20642</v>
      </c>
    </row>
    <row r="1372" spans="1:48">
      <c r="A1372" s="1">
        <f>HYPERLINK("https://lsnyc.legalserver.org/matter/dynamic-profile/view/1894066","19-1894066")</f>
        <v>0</v>
      </c>
      <c r="B1372" t="s">
        <v>117</v>
      </c>
      <c r="C1372" t="s">
        <v>256</v>
      </c>
      <c r="D1372" t="s">
        <v>397</v>
      </c>
      <c r="F1372" t="s">
        <v>1855</v>
      </c>
      <c r="G1372" t="s">
        <v>3058</v>
      </c>
      <c r="H1372" t="s">
        <v>5888</v>
      </c>
      <c r="I1372" t="s">
        <v>8279</v>
      </c>
      <c r="J1372" t="s">
        <v>9065</v>
      </c>
      <c r="K1372">
        <v>10453</v>
      </c>
      <c r="L1372" t="s">
        <v>9094</v>
      </c>
      <c r="M1372" t="s">
        <v>9094</v>
      </c>
      <c r="O1372" t="s">
        <v>11134</v>
      </c>
      <c r="P1372" t="s">
        <v>11168</v>
      </c>
      <c r="R1372" t="s">
        <v>11180</v>
      </c>
      <c r="S1372" t="s">
        <v>9094</v>
      </c>
      <c r="T1372" t="s">
        <v>11183</v>
      </c>
      <c r="V1372" t="s">
        <v>512</v>
      </c>
      <c r="W1372">
        <v>957</v>
      </c>
      <c r="X1372" t="s">
        <v>11333</v>
      </c>
      <c r="Y1372" t="s">
        <v>11346</v>
      </c>
      <c r="Z1372" t="s">
        <v>12327</v>
      </c>
      <c r="AB1372" t="s">
        <v>16742</v>
      </c>
      <c r="AC1372">
        <v>44</v>
      </c>
      <c r="AD1372" t="s">
        <v>19566</v>
      </c>
      <c r="AE1372" t="s">
        <v>19580</v>
      </c>
      <c r="AF1372">
        <v>28</v>
      </c>
      <c r="AG1372">
        <v>2</v>
      </c>
      <c r="AH1372">
        <v>0</v>
      </c>
      <c r="AI1372">
        <v>56.14</v>
      </c>
      <c r="AL1372" t="s">
        <v>19615</v>
      </c>
      <c r="AM1372">
        <v>9240</v>
      </c>
      <c r="AS1372">
        <v>0</v>
      </c>
      <c r="AU1372" t="s">
        <v>163</v>
      </c>
    </row>
    <row r="1373" spans="1:48">
      <c r="A1373" s="1">
        <f>HYPERLINK("https://lsnyc.legalserver.org/matter/dynamic-profile/view/1894064","19-1894064")</f>
        <v>0</v>
      </c>
      <c r="B1373" t="s">
        <v>117</v>
      </c>
      <c r="C1373" t="s">
        <v>256</v>
      </c>
      <c r="D1373" t="s">
        <v>397</v>
      </c>
      <c r="F1373" t="s">
        <v>1855</v>
      </c>
      <c r="G1373" t="s">
        <v>3058</v>
      </c>
      <c r="H1373" t="s">
        <v>5888</v>
      </c>
      <c r="I1373" t="s">
        <v>8279</v>
      </c>
      <c r="J1373" t="s">
        <v>9065</v>
      </c>
      <c r="K1373">
        <v>10453</v>
      </c>
      <c r="L1373" t="s">
        <v>9094</v>
      </c>
      <c r="M1373" t="s">
        <v>9094</v>
      </c>
      <c r="N1373" t="s">
        <v>9243</v>
      </c>
      <c r="O1373" t="s">
        <v>11130</v>
      </c>
      <c r="P1373" t="s">
        <v>11165</v>
      </c>
      <c r="R1373" t="s">
        <v>11180</v>
      </c>
      <c r="S1373" t="s">
        <v>9094</v>
      </c>
      <c r="T1373" t="s">
        <v>11183</v>
      </c>
      <c r="V1373" t="s">
        <v>512</v>
      </c>
      <c r="W1373">
        <v>957</v>
      </c>
      <c r="X1373" t="s">
        <v>11333</v>
      </c>
      <c r="Y1373" t="s">
        <v>11346</v>
      </c>
      <c r="Z1373" t="s">
        <v>12327</v>
      </c>
      <c r="AB1373" t="s">
        <v>16742</v>
      </c>
      <c r="AC1373">
        <v>44</v>
      </c>
      <c r="AD1373" t="s">
        <v>19566</v>
      </c>
      <c r="AE1373" t="s">
        <v>19580</v>
      </c>
      <c r="AF1373">
        <v>28</v>
      </c>
      <c r="AG1373">
        <v>2</v>
      </c>
      <c r="AH1373">
        <v>0</v>
      </c>
      <c r="AI1373">
        <v>56.14</v>
      </c>
      <c r="AL1373" t="s">
        <v>19615</v>
      </c>
      <c r="AM1373">
        <v>9240</v>
      </c>
      <c r="AS1373">
        <v>0</v>
      </c>
      <c r="AU1373" t="s">
        <v>163</v>
      </c>
    </row>
    <row r="1374" spans="1:48">
      <c r="A1374" s="1">
        <f>HYPERLINK("https://lsnyc.legalserver.org/matter/dynamic-profile/view/1894063","18-1894063")</f>
        <v>0</v>
      </c>
      <c r="B1374" t="s">
        <v>117</v>
      </c>
      <c r="C1374" t="s">
        <v>256</v>
      </c>
      <c r="D1374" t="s">
        <v>397</v>
      </c>
      <c r="F1374" t="s">
        <v>1855</v>
      </c>
      <c r="G1374" t="s">
        <v>3058</v>
      </c>
      <c r="H1374" t="s">
        <v>5888</v>
      </c>
      <c r="I1374" t="s">
        <v>8279</v>
      </c>
      <c r="J1374" t="s">
        <v>9065</v>
      </c>
      <c r="K1374">
        <v>10453</v>
      </c>
      <c r="L1374" t="s">
        <v>9094</v>
      </c>
      <c r="M1374" t="s">
        <v>9094</v>
      </c>
      <c r="O1374" t="s">
        <v>9121</v>
      </c>
      <c r="P1374" t="s">
        <v>11166</v>
      </c>
      <c r="R1374" t="s">
        <v>11180</v>
      </c>
      <c r="S1374" t="s">
        <v>9094</v>
      </c>
      <c r="T1374" t="s">
        <v>11183</v>
      </c>
      <c r="V1374" t="s">
        <v>746</v>
      </c>
      <c r="W1374">
        <v>957</v>
      </c>
      <c r="X1374" t="s">
        <v>11333</v>
      </c>
      <c r="Y1374" t="s">
        <v>11346</v>
      </c>
      <c r="Z1374" t="s">
        <v>12327</v>
      </c>
      <c r="AB1374" t="s">
        <v>16742</v>
      </c>
      <c r="AC1374">
        <v>44</v>
      </c>
      <c r="AD1374" t="s">
        <v>19566</v>
      </c>
      <c r="AE1374" t="s">
        <v>19580</v>
      </c>
      <c r="AF1374">
        <v>28</v>
      </c>
      <c r="AG1374">
        <v>2</v>
      </c>
      <c r="AH1374">
        <v>0</v>
      </c>
      <c r="AI1374">
        <v>56.14</v>
      </c>
      <c r="AL1374" t="s">
        <v>19615</v>
      </c>
      <c r="AM1374">
        <v>9240</v>
      </c>
      <c r="AS1374">
        <v>0</v>
      </c>
      <c r="AU1374" t="s">
        <v>163</v>
      </c>
    </row>
    <row r="1375" spans="1:48">
      <c r="A1375" s="1">
        <f>HYPERLINK("https://lsnyc.legalserver.org/matter/dynamic-profile/view/1909241","19-1909241")</f>
        <v>0</v>
      </c>
      <c r="B1375" t="s">
        <v>92</v>
      </c>
      <c r="C1375" t="s">
        <v>256</v>
      </c>
      <c r="D1375" t="s">
        <v>472</v>
      </c>
      <c r="F1375" t="s">
        <v>1184</v>
      </c>
      <c r="G1375" t="s">
        <v>4028</v>
      </c>
      <c r="H1375" t="s">
        <v>5984</v>
      </c>
      <c r="I1375" t="s">
        <v>8264</v>
      </c>
      <c r="J1375" t="s">
        <v>9059</v>
      </c>
      <c r="K1375">
        <v>11212</v>
      </c>
      <c r="L1375" t="s">
        <v>9094</v>
      </c>
      <c r="M1375" t="s">
        <v>9095</v>
      </c>
      <c r="N1375" t="s">
        <v>9171</v>
      </c>
      <c r="O1375" t="s">
        <v>9121</v>
      </c>
      <c r="P1375" t="s">
        <v>11167</v>
      </c>
      <c r="R1375" t="s">
        <v>11180</v>
      </c>
      <c r="S1375" t="s">
        <v>9096</v>
      </c>
      <c r="T1375" t="s">
        <v>11183</v>
      </c>
      <c r="U1375" t="s">
        <v>11201</v>
      </c>
      <c r="V1375" t="s">
        <v>11207</v>
      </c>
      <c r="W1375">
        <v>200</v>
      </c>
      <c r="X1375" t="s">
        <v>11332</v>
      </c>
      <c r="Y1375" t="s">
        <v>11346</v>
      </c>
      <c r="Z1375" t="s">
        <v>12328</v>
      </c>
      <c r="AA1375" t="s">
        <v>15290</v>
      </c>
      <c r="AB1375" t="s">
        <v>16743</v>
      </c>
      <c r="AC1375">
        <v>96</v>
      </c>
      <c r="AD1375" t="s">
        <v>19566</v>
      </c>
      <c r="AE1375" t="s">
        <v>9144</v>
      </c>
      <c r="AF1375">
        <v>4</v>
      </c>
      <c r="AG1375">
        <v>1</v>
      </c>
      <c r="AH1375">
        <v>0</v>
      </c>
      <c r="AI1375">
        <v>56.2</v>
      </c>
      <c r="AL1375" t="s">
        <v>19614</v>
      </c>
      <c r="AM1375">
        <v>7020</v>
      </c>
      <c r="AS1375">
        <v>0</v>
      </c>
      <c r="AU1375" t="s">
        <v>95</v>
      </c>
      <c r="AV1375" t="s">
        <v>20733</v>
      </c>
    </row>
    <row r="1376" spans="1:48">
      <c r="A1376" s="1">
        <f>HYPERLINK("https://lsnyc.legalserver.org/matter/dynamic-profile/view/1900393","19-1900393")</f>
        <v>0</v>
      </c>
      <c r="B1376" t="s">
        <v>52</v>
      </c>
      <c r="C1376" t="s">
        <v>256</v>
      </c>
      <c r="D1376" t="s">
        <v>262</v>
      </c>
      <c r="F1376" t="s">
        <v>1145</v>
      </c>
      <c r="G1376" t="s">
        <v>4029</v>
      </c>
      <c r="H1376" t="s">
        <v>6483</v>
      </c>
      <c r="I1376" t="s">
        <v>8139</v>
      </c>
      <c r="J1376" t="s">
        <v>9078</v>
      </c>
      <c r="K1376">
        <v>11372</v>
      </c>
      <c r="L1376" t="s">
        <v>9094</v>
      </c>
      <c r="M1376" t="s">
        <v>9095</v>
      </c>
      <c r="N1376" t="s">
        <v>9707</v>
      </c>
      <c r="O1376" t="s">
        <v>11128</v>
      </c>
      <c r="P1376" t="s">
        <v>11164</v>
      </c>
      <c r="R1376" t="s">
        <v>11180</v>
      </c>
      <c r="S1376" t="s">
        <v>9096</v>
      </c>
      <c r="T1376" t="s">
        <v>11183</v>
      </c>
      <c r="U1376" t="s">
        <v>11201</v>
      </c>
      <c r="V1376" t="s">
        <v>394</v>
      </c>
      <c r="W1376">
        <v>725</v>
      </c>
      <c r="X1376" t="s">
        <v>11331</v>
      </c>
      <c r="Y1376" t="s">
        <v>11338</v>
      </c>
      <c r="Z1376" t="s">
        <v>12329</v>
      </c>
      <c r="AB1376" t="s">
        <v>15274</v>
      </c>
      <c r="AC1376">
        <v>60</v>
      </c>
      <c r="AD1376" t="s">
        <v>19569</v>
      </c>
      <c r="AE1376" t="s">
        <v>9144</v>
      </c>
      <c r="AF1376">
        <v>50</v>
      </c>
      <c r="AG1376">
        <v>2</v>
      </c>
      <c r="AH1376">
        <v>1</v>
      </c>
      <c r="AI1376">
        <v>56.26</v>
      </c>
      <c r="AL1376" t="s">
        <v>19614</v>
      </c>
      <c r="AM1376">
        <v>12000</v>
      </c>
      <c r="AS1376">
        <v>1.65</v>
      </c>
      <c r="AT1376" t="s">
        <v>1129</v>
      </c>
      <c r="AU1376" t="s">
        <v>20620</v>
      </c>
      <c r="AV1376" t="s">
        <v>20733</v>
      </c>
    </row>
    <row r="1377" spans="1:48">
      <c r="A1377" s="1">
        <f>HYPERLINK("https://lsnyc.legalserver.org/matter/dynamic-profile/view/1906057","19-1906057")</f>
        <v>0</v>
      </c>
      <c r="B1377" t="s">
        <v>66</v>
      </c>
      <c r="C1377" t="s">
        <v>256</v>
      </c>
      <c r="D1377" t="s">
        <v>474</v>
      </c>
      <c r="F1377" t="s">
        <v>1616</v>
      </c>
      <c r="G1377" t="s">
        <v>2154</v>
      </c>
      <c r="H1377" t="s">
        <v>5773</v>
      </c>
      <c r="I1377" t="s">
        <v>8429</v>
      </c>
      <c r="J1377" t="s">
        <v>9059</v>
      </c>
      <c r="K1377">
        <v>11226</v>
      </c>
      <c r="L1377" t="s">
        <v>9094</v>
      </c>
      <c r="M1377" t="s">
        <v>9095</v>
      </c>
      <c r="O1377" t="s">
        <v>11134</v>
      </c>
      <c r="P1377" t="s">
        <v>11166</v>
      </c>
      <c r="R1377" t="s">
        <v>11180</v>
      </c>
      <c r="S1377" t="s">
        <v>9094</v>
      </c>
      <c r="T1377" t="s">
        <v>11183</v>
      </c>
      <c r="V1377" t="s">
        <v>864</v>
      </c>
      <c r="W1377">
        <v>0</v>
      </c>
      <c r="X1377" t="s">
        <v>11332</v>
      </c>
      <c r="Z1377" t="s">
        <v>12330</v>
      </c>
      <c r="AB1377" t="s">
        <v>16744</v>
      </c>
      <c r="AC1377">
        <v>54</v>
      </c>
      <c r="AF1377">
        <v>0</v>
      </c>
      <c r="AG1377">
        <v>3</v>
      </c>
      <c r="AH1377">
        <v>0</v>
      </c>
      <c r="AI1377">
        <v>56.26</v>
      </c>
      <c r="AL1377" t="s">
        <v>19620</v>
      </c>
      <c r="AM1377">
        <v>12000</v>
      </c>
      <c r="AS1377">
        <v>2</v>
      </c>
      <c r="AT1377" t="s">
        <v>416</v>
      </c>
      <c r="AU1377" t="s">
        <v>20628</v>
      </c>
    </row>
    <row r="1378" spans="1:48">
      <c r="A1378" s="1">
        <f>HYPERLINK("https://lsnyc.legalserver.org/matter/dynamic-profile/view/1907850","19-1907850")</f>
        <v>0</v>
      </c>
      <c r="B1378" t="s">
        <v>114</v>
      </c>
      <c r="C1378" t="s">
        <v>256</v>
      </c>
      <c r="D1378" t="s">
        <v>779</v>
      </c>
      <c r="F1378" t="s">
        <v>1856</v>
      </c>
      <c r="G1378" t="s">
        <v>1206</v>
      </c>
      <c r="H1378" t="s">
        <v>6484</v>
      </c>
      <c r="I1378" t="s">
        <v>8430</v>
      </c>
      <c r="J1378" t="s">
        <v>9065</v>
      </c>
      <c r="K1378">
        <v>10460</v>
      </c>
      <c r="L1378" t="s">
        <v>9094</v>
      </c>
      <c r="M1378" t="s">
        <v>9095</v>
      </c>
      <c r="N1378" t="s">
        <v>9708</v>
      </c>
      <c r="O1378" t="s">
        <v>11129</v>
      </c>
      <c r="P1378" t="s">
        <v>11165</v>
      </c>
      <c r="R1378" t="s">
        <v>11180</v>
      </c>
      <c r="S1378" t="s">
        <v>9096</v>
      </c>
      <c r="T1378" t="s">
        <v>11183</v>
      </c>
      <c r="W1378">
        <v>1550</v>
      </c>
      <c r="X1378" t="s">
        <v>11333</v>
      </c>
      <c r="Y1378" t="s">
        <v>11342</v>
      </c>
      <c r="Z1378" t="s">
        <v>12331</v>
      </c>
      <c r="AB1378" t="s">
        <v>16745</v>
      </c>
      <c r="AC1378">
        <v>177</v>
      </c>
      <c r="AF1378">
        <v>1</v>
      </c>
      <c r="AG1378">
        <v>1</v>
      </c>
      <c r="AH1378">
        <v>2</v>
      </c>
      <c r="AI1378">
        <v>56.26</v>
      </c>
      <c r="AL1378" t="s">
        <v>19614</v>
      </c>
      <c r="AM1378">
        <v>12000</v>
      </c>
      <c r="AS1378">
        <v>9</v>
      </c>
      <c r="AT1378" t="s">
        <v>594</v>
      </c>
      <c r="AU1378" t="s">
        <v>20631</v>
      </c>
      <c r="AV1378" t="s">
        <v>20733</v>
      </c>
    </row>
    <row r="1379" spans="1:48">
      <c r="A1379" s="1">
        <f>HYPERLINK("https://lsnyc.legalserver.org/matter/dynamic-profile/view/1906390","19-1906390")</f>
        <v>0</v>
      </c>
      <c r="B1379" t="s">
        <v>143</v>
      </c>
      <c r="C1379" t="s">
        <v>257</v>
      </c>
      <c r="D1379" t="s">
        <v>493</v>
      </c>
      <c r="E1379" t="s">
        <v>307</v>
      </c>
      <c r="F1379" t="s">
        <v>1857</v>
      </c>
      <c r="G1379" t="s">
        <v>3448</v>
      </c>
      <c r="H1379" t="s">
        <v>6485</v>
      </c>
      <c r="I1379" t="s">
        <v>8396</v>
      </c>
      <c r="J1379" t="s">
        <v>9067</v>
      </c>
      <c r="K1379">
        <v>10009</v>
      </c>
      <c r="L1379" t="s">
        <v>9094</v>
      </c>
      <c r="M1379" t="s">
        <v>9095</v>
      </c>
      <c r="O1379" t="s">
        <v>9121</v>
      </c>
      <c r="P1379" t="s">
        <v>11164</v>
      </c>
      <c r="Q1379" t="s">
        <v>11172</v>
      </c>
      <c r="R1379" t="s">
        <v>11180</v>
      </c>
      <c r="S1379" t="s">
        <v>9096</v>
      </c>
      <c r="T1379" t="s">
        <v>11190</v>
      </c>
      <c r="V1379" t="s">
        <v>493</v>
      </c>
      <c r="W1379">
        <v>400</v>
      </c>
      <c r="X1379" t="s">
        <v>11335</v>
      </c>
      <c r="Y1379" t="s">
        <v>11347</v>
      </c>
      <c r="Z1379" t="s">
        <v>12332</v>
      </c>
      <c r="AB1379" t="s">
        <v>16746</v>
      </c>
      <c r="AC1379">
        <v>176</v>
      </c>
      <c r="AD1379" t="s">
        <v>19567</v>
      </c>
      <c r="AE1379" t="s">
        <v>9144</v>
      </c>
      <c r="AF1379">
        <v>41</v>
      </c>
      <c r="AG1379">
        <v>1</v>
      </c>
      <c r="AH1379">
        <v>1</v>
      </c>
      <c r="AI1379">
        <v>56.27</v>
      </c>
      <c r="AL1379" t="s">
        <v>19615</v>
      </c>
      <c r="AM1379">
        <v>9516</v>
      </c>
      <c r="AS1379">
        <v>1</v>
      </c>
      <c r="AT1379" t="s">
        <v>259</v>
      </c>
      <c r="AU1379" t="s">
        <v>20693</v>
      </c>
      <c r="AV1379" t="s">
        <v>20733</v>
      </c>
    </row>
    <row r="1380" spans="1:48">
      <c r="A1380" s="1">
        <f>HYPERLINK("https://lsnyc.legalserver.org/matter/dynamic-profile/view/1884964","18-1884964")</f>
        <v>0</v>
      </c>
      <c r="B1380" t="s">
        <v>181</v>
      </c>
      <c r="C1380" t="s">
        <v>257</v>
      </c>
      <c r="D1380" t="s">
        <v>359</v>
      </c>
      <c r="E1380" t="s">
        <v>328</v>
      </c>
      <c r="F1380" t="s">
        <v>1858</v>
      </c>
      <c r="G1380" t="s">
        <v>4030</v>
      </c>
      <c r="H1380" t="s">
        <v>6486</v>
      </c>
      <c r="I1380" t="s">
        <v>8225</v>
      </c>
      <c r="J1380" t="s">
        <v>9065</v>
      </c>
      <c r="K1380">
        <v>10456</v>
      </c>
      <c r="L1380" t="s">
        <v>9094</v>
      </c>
      <c r="M1380" t="s">
        <v>9094</v>
      </c>
      <c r="N1380" t="s">
        <v>9675</v>
      </c>
      <c r="O1380" t="s">
        <v>11133</v>
      </c>
      <c r="P1380" t="s">
        <v>11166</v>
      </c>
      <c r="Q1380" t="s">
        <v>11177</v>
      </c>
      <c r="R1380" t="s">
        <v>11180</v>
      </c>
      <c r="S1380" t="s">
        <v>9096</v>
      </c>
      <c r="T1380" t="s">
        <v>11189</v>
      </c>
      <c r="V1380" t="s">
        <v>512</v>
      </c>
      <c r="W1380">
        <v>949.37</v>
      </c>
      <c r="X1380" t="s">
        <v>11333</v>
      </c>
      <c r="Y1380" t="s">
        <v>11340</v>
      </c>
      <c r="Z1380" t="s">
        <v>12333</v>
      </c>
      <c r="AB1380" t="s">
        <v>16747</v>
      </c>
      <c r="AC1380">
        <v>56</v>
      </c>
      <c r="AD1380" t="s">
        <v>19566</v>
      </c>
      <c r="AE1380" t="s">
        <v>9144</v>
      </c>
      <c r="AF1380">
        <v>24</v>
      </c>
      <c r="AG1380">
        <v>2</v>
      </c>
      <c r="AH1380">
        <v>0</v>
      </c>
      <c r="AI1380">
        <v>56.35</v>
      </c>
      <c r="AL1380" t="s">
        <v>19614</v>
      </c>
      <c r="AM1380">
        <v>9276</v>
      </c>
      <c r="AS1380">
        <v>11.75</v>
      </c>
      <c r="AT1380" t="s">
        <v>328</v>
      </c>
      <c r="AU1380" t="s">
        <v>20694</v>
      </c>
    </row>
    <row r="1381" spans="1:48">
      <c r="A1381" s="1">
        <f>HYPERLINK("https://lsnyc.legalserver.org/matter/dynamic-profile/view/1898369","19-1898369")</f>
        <v>0</v>
      </c>
      <c r="B1381" t="s">
        <v>134</v>
      </c>
      <c r="C1381" t="s">
        <v>256</v>
      </c>
      <c r="D1381" t="s">
        <v>299</v>
      </c>
      <c r="F1381" t="s">
        <v>1859</v>
      </c>
      <c r="G1381" t="s">
        <v>4031</v>
      </c>
      <c r="H1381" t="s">
        <v>6487</v>
      </c>
      <c r="I1381">
        <v>67</v>
      </c>
      <c r="J1381" t="s">
        <v>9067</v>
      </c>
      <c r="K1381">
        <v>10032</v>
      </c>
      <c r="L1381" t="s">
        <v>9094</v>
      </c>
      <c r="M1381" t="s">
        <v>9094</v>
      </c>
      <c r="O1381" t="s">
        <v>11136</v>
      </c>
      <c r="P1381" t="s">
        <v>11167</v>
      </c>
      <c r="R1381" t="s">
        <v>11180</v>
      </c>
      <c r="S1381" t="s">
        <v>9096</v>
      </c>
      <c r="T1381" t="s">
        <v>11183</v>
      </c>
      <c r="V1381" t="s">
        <v>299</v>
      </c>
      <c r="W1381">
        <v>1550</v>
      </c>
      <c r="X1381" t="s">
        <v>11335</v>
      </c>
      <c r="Y1381" t="s">
        <v>11338</v>
      </c>
      <c r="Z1381" t="s">
        <v>12334</v>
      </c>
      <c r="AB1381" t="s">
        <v>16748</v>
      </c>
      <c r="AC1381">
        <v>55</v>
      </c>
      <c r="AD1381" t="s">
        <v>19566</v>
      </c>
      <c r="AE1381" t="s">
        <v>19585</v>
      </c>
      <c r="AF1381">
        <v>7</v>
      </c>
      <c r="AG1381">
        <v>2</v>
      </c>
      <c r="AH1381">
        <v>0</v>
      </c>
      <c r="AI1381">
        <v>56.35</v>
      </c>
      <c r="AL1381" t="s">
        <v>19615</v>
      </c>
      <c r="AM1381">
        <v>9528</v>
      </c>
      <c r="AS1381">
        <v>1.8</v>
      </c>
      <c r="AT1381" t="s">
        <v>798</v>
      </c>
      <c r="AU1381" t="s">
        <v>130</v>
      </c>
      <c r="AV1381" t="s">
        <v>20733</v>
      </c>
    </row>
    <row r="1382" spans="1:48">
      <c r="A1382" s="1">
        <f>HYPERLINK("https://lsnyc.legalserver.org/matter/dynamic-profile/view/1897224","19-1897224")</f>
        <v>0</v>
      </c>
      <c r="B1382" t="s">
        <v>139</v>
      </c>
      <c r="C1382" t="s">
        <v>256</v>
      </c>
      <c r="D1382" t="s">
        <v>317</v>
      </c>
      <c r="F1382" t="s">
        <v>1228</v>
      </c>
      <c r="G1382" t="s">
        <v>4032</v>
      </c>
      <c r="H1382" t="s">
        <v>6488</v>
      </c>
      <c r="I1382">
        <v>31</v>
      </c>
      <c r="J1382" t="s">
        <v>9067</v>
      </c>
      <c r="K1382">
        <v>10034</v>
      </c>
      <c r="L1382" t="s">
        <v>9094</v>
      </c>
      <c r="M1382" t="s">
        <v>9094</v>
      </c>
      <c r="N1382" t="s">
        <v>9709</v>
      </c>
      <c r="O1382" t="s">
        <v>11130</v>
      </c>
      <c r="P1382" t="s">
        <v>11165</v>
      </c>
      <c r="R1382" t="s">
        <v>11180</v>
      </c>
      <c r="S1382" t="s">
        <v>9094</v>
      </c>
      <c r="T1382" t="s">
        <v>11183</v>
      </c>
      <c r="V1382" t="s">
        <v>317</v>
      </c>
      <c r="W1382">
        <v>865.1799999999999</v>
      </c>
      <c r="X1382" t="s">
        <v>11335</v>
      </c>
      <c r="Y1382" t="s">
        <v>11338</v>
      </c>
      <c r="Z1382" t="s">
        <v>12221</v>
      </c>
      <c r="AB1382" t="s">
        <v>16749</v>
      </c>
      <c r="AC1382">
        <v>20</v>
      </c>
      <c r="AD1382" t="s">
        <v>19566</v>
      </c>
      <c r="AE1382" t="s">
        <v>9144</v>
      </c>
      <c r="AF1382">
        <v>28</v>
      </c>
      <c r="AG1382">
        <v>1</v>
      </c>
      <c r="AH1382">
        <v>0</v>
      </c>
      <c r="AI1382">
        <v>56.4</v>
      </c>
      <c r="AL1382" t="s">
        <v>19615</v>
      </c>
      <c r="AM1382">
        <v>7044</v>
      </c>
      <c r="AS1382">
        <v>6.05</v>
      </c>
      <c r="AT1382" t="s">
        <v>270</v>
      </c>
      <c r="AU1382" t="s">
        <v>130</v>
      </c>
      <c r="AV1382" t="s">
        <v>20733</v>
      </c>
    </row>
    <row r="1383" spans="1:48">
      <c r="A1383" s="1">
        <f>HYPERLINK("https://lsnyc.legalserver.org/matter/dynamic-profile/view/1915231","19-1915231")</f>
        <v>0</v>
      </c>
      <c r="B1383" t="s">
        <v>139</v>
      </c>
      <c r="C1383" t="s">
        <v>257</v>
      </c>
      <c r="D1383" t="s">
        <v>321</v>
      </c>
      <c r="E1383" t="s">
        <v>1130</v>
      </c>
      <c r="F1383" t="s">
        <v>1228</v>
      </c>
      <c r="G1383" t="s">
        <v>4032</v>
      </c>
      <c r="H1383" t="s">
        <v>6488</v>
      </c>
      <c r="I1383">
        <v>31</v>
      </c>
      <c r="J1383" t="s">
        <v>9067</v>
      </c>
      <c r="K1383">
        <v>10034</v>
      </c>
      <c r="L1383" t="s">
        <v>9094</v>
      </c>
      <c r="M1383" t="s">
        <v>9095</v>
      </c>
      <c r="N1383">
        <v>71699</v>
      </c>
      <c r="O1383" t="s">
        <v>11129</v>
      </c>
      <c r="P1383" t="s">
        <v>11165</v>
      </c>
      <c r="Q1383" t="s">
        <v>11174</v>
      </c>
      <c r="R1383" t="s">
        <v>11180</v>
      </c>
      <c r="S1383" t="s">
        <v>9096</v>
      </c>
      <c r="T1383" t="s">
        <v>11183</v>
      </c>
      <c r="U1383" t="s">
        <v>11201</v>
      </c>
      <c r="V1383" t="s">
        <v>317</v>
      </c>
      <c r="W1383">
        <v>865.1799999999999</v>
      </c>
      <c r="X1383" t="s">
        <v>11335</v>
      </c>
      <c r="Y1383" t="s">
        <v>11338</v>
      </c>
      <c r="Z1383" t="s">
        <v>12221</v>
      </c>
      <c r="AB1383" t="s">
        <v>16749</v>
      </c>
      <c r="AC1383">
        <v>20</v>
      </c>
      <c r="AD1383" t="s">
        <v>19566</v>
      </c>
      <c r="AF1383">
        <v>28</v>
      </c>
      <c r="AG1383">
        <v>1</v>
      </c>
      <c r="AH1383">
        <v>0</v>
      </c>
      <c r="AI1383">
        <v>56.4</v>
      </c>
      <c r="AL1383" t="s">
        <v>19615</v>
      </c>
      <c r="AM1383">
        <v>7044</v>
      </c>
      <c r="AS1383">
        <v>3.5</v>
      </c>
      <c r="AT1383" t="s">
        <v>594</v>
      </c>
      <c r="AU1383" t="s">
        <v>139</v>
      </c>
    </row>
    <row r="1384" spans="1:48">
      <c r="A1384" s="1">
        <f>HYPERLINK("https://lsnyc.legalserver.org/matter/dynamic-profile/view/1905739","19-1905739")</f>
        <v>0</v>
      </c>
      <c r="B1384" t="s">
        <v>147</v>
      </c>
      <c r="C1384" t="s">
        <v>256</v>
      </c>
      <c r="D1384" t="s">
        <v>330</v>
      </c>
      <c r="F1384" t="s">
        <v>1860</v>
      </c>
      <c r="G1384" t="s">
        <v>3405</v>
      </c>
      <c r="H1384" t="s">
        <v>5925</v>
      </c>
      <c r="I1384">
        <v>305</v>
      </c>
      <c r="J1384" t="s">
        <v>9066</v>
      </c>
      <c r="K1384">
        <v>10304</v>
      </c>
      <c r="L1384" t="s">
        <v>9094</v>
      </c>
      <c r="M1384" t="s">
        <v>9095</v>
      </c>
      <c r="N1384" t="s">
        <v>9710</v>
      </c>
      <c r="O1384" t="s">
        <v>11128</v>
      </c>
      <c r="P1384" t="s">
        <v>11165</v>
      </c>
      <c r="R1384" t="s">
        <v>11180</v>
      </c>
      <c r="S1384" t="s">
        <v>9096</v>
      </c>
      <c r="T1384" t="s">
        <v>11183</v>
      </c>
      <c r="U1384" t="s">
        <v>11201</v>
      </c>
      <c r="V1384" t="s">
        <v>330</v>
      </c>
      <c r="W1384">
        <v>1245</v>
      </c>
      <c r="X1384" t="s">
        <v>11334</v>
      </c>
      <c r="Y1384" t="s">
        <v>11340</v>
      </c>
      <c r="Z1384" t="s">
        <v>12335</v>
      </c>
      <c r="AA1384" t="s">
        <v>15541</v>
      </c>
      <c r="AB1384" t="s">
        <v>16750</v>
      </c>
      <c r="AC1384">
        <v>105</v>
      </c>
      <c r="AD1384" t="s">
        <v>19566</v>
      </c>
      <c r="AE1384" t="s">
        <v>19582</v>
      </c>
      <c r="AF1384">
        <v>2</v>
      </c>
      <c r="AG1384">
        <v>1</v>
      </c>
      <c r="AH1384">
        <v>2</v>
      </c>
      <c r="AI1384">
        <v>56.43</v>
      </c>
      <c r="AL1384" t="s">
        <v>19614</v>
      </c>
      <c r="AM1384">
        <v>12036</v>
      </c>
      <c r="AO1384" t="s">
        <v>20299</v>
      </c>
      <c r="AP1384" t="s">
        <v>20317</v>
      </c>
      <c r="AQ1384" t="s">
        <v>20368</v>
      </c>
      <c r="AR1384" t="s">
        <v>20449</v>
      </c>
      <c r="AS1384">
        <v>13.8</v>
      </c>
      <c r="AT1384" t="s">
        <v>286</v>
      </c>
      <c r="AU1384" t="s">
        <v>20653</v>
      </c>
      <c r="AV1384" t="s">
        <v>20734</v>
      </c>
    </row>
    <row r="1385" spans="1:48">
      <c r="A1385" s="1">
        <f>HYPERLINK("https://lsnyc.legalserver.org/matter/dynamic-profile/view/1839692","17-1839692")</f>
        <v>0</v>
      </c>
      <c r="B1385" t="s">
        <v>75</v>
      </c>
      <c r="C1385" t="s">
        <v>257</v>
      </c>
      <c r="D1385" t="s">
        <v>770</v>
      </c>
      <c r="E1385" t="s">
        <v>446</v>
      </c>
      <c r="F1385" t="s">
        <v>1861</v>
      </c>
      <c r="G1385" t="s">
        <v>4033</v>
      </c>
      <c r="H1385" t="s">
        <v>6489</v>
      </c>
      <c r="I1385" t="s">
        <v>8197</v>
      </c>
      <c r="J1385" t="s">
        <v>9059</v>
      </c>
      <c r="K1385">
        <v>11207</v>
      </c>
      <c r="L1385" t="s">
        <v>9094</v>
      </c>
      <c r="M1385" t="s">
        <v>9095</v>
      </c>
      <c r="N1385" t="s">
        <v>9711</v>
      </c>
      <c r="O1385" t="s">
        <v>11129</v>
      </c>
      <c r="P1385" t="s">
        <v>11165</v>
      </c>
      <c r="Q1385" t="s">
        <v>11174</v>
      </c>
      <c r="R1385" t="s">
        <v>11180</v>
      </c>
      <c r="S1385" t="s">
        <v>9096</v>
      </c>
      <c r="T1385" t="s">
        <v>11183</v>
      </c>
      <c r="V1385" t="s">
        <v>837</v>
      </c>
      <c r="W1385">
        <v>2006</v>
      </c>
      <c r="X1385" t="s">
        <v>11332</v>
      </c>
      <c r="Z1385" t="s">
        <v>12336</v>
      </c>
      <c r="AB1385" t="s">
        <v>16751</v>
      </c>
      <c r="AC1385">
        <v>14</v>
      </c>
      <c r="AD1385" t="s">
        <v>19566</v>
      </c>
      <c r="AE1385" t="s">
        <v>19586</v>
      </c>
      <c r="AF1385">
        <v>3</v>
      </c>
      <c r="AG1385">
        <v>3</v>
      </c>
      <c r="AH1385">
        <v>3</v>
      </c>
      <c r="AI1385">
        <v>56.48</v>
      </c>
      <c r="AL1385" t="s">
        <v>19614</v>
      </c>
      <c r="AM1385">
        <v>18616</v>
      </c>
      <c r="AQ1385" t="s">
        <v>20369</v>
      </c>
      <c r="AR1385" t="s">
        <v>20450</v>
      </c>
      <c r="AS1385">
        <v>1.1</v>
      </c>
      <c r="AT1385" t="s">
        <v>860</v>
      </c>
      <c r="AU1385" t="s">
        <v>95</v>
      </c>
    </row>
    <row r="1386" spans="1:48">
      <c r="A1386" s="1">
        <f>HYPERLINK("https://lsnyc.legalserver.org/matter/dynamic-profile/view/1884912","18-1884912")</f>
        <v>0</v>
      </c>
      <c r="B1386" t="s">
        <v>119</v>
      </c>
      <c r="C1386" t="s">
        <v>257</v>
      </c>
      <c r="D1386" t="s">
        <v>359</v>
      </c>
      <c r="E1386" t="s">
        <v>612</v>
      </c>
      <c r="F1386" t="s">
        <v>1862</v>
      </c>
      <c r="G1386" t="s">
        <v>4034</v>
      </c>
      <c r="H1386" t="s">
        <v>6490</v>
      </c>
      <c r="I1386" t="s">
        <v>8431</v>
      </c>
      <c r="J1386" t="s">
        <v>9065</v>
      </c>
      <c r="K1386">
        <v>10453</v>
      </c>
      <c r="L1386" t="s">
        <v>9094</v>
      </c>
      <c r="M1386" t="s">
        <v>9094</v>
      </c>
      <c r="N1386" t="s">
        <v>9712</v>
      </c>
      <c r="O1386" t="s">
        <v>11129</v>
      </c>
      <c r="P1386" t="s">
        <v>11165</v>
      </c>
      <c r="Q1386" t="s">
        <v>11174</v>
      </c>
      <c r="R1386" t="s">
        <v>11180</v>
      </c>
      <c r="S1386" t="s">
        <v>9096</v>
      </c>
      <c r="T1386" t="s">
        <v>11183</v>
      </c>
      <c r="U1386" t="s">
        <v>11200</v>
      </c>
      <c r="V1386" t="s">
        <v>359</v>
      </c>
      <c r="W1386">
        <v>185.34</v>
      </c>
      <c r="X1386" t="s">
        <v>11333</v>
      </c>
      <c r="Y1386" t="s">
        <v>11336</v>
      </c>
      <c r="Z1386" t="s">
        <v>12337</v>
      </c>
      <c r="AA1386" t="s">
        <v>15542</v>
      </c>
      <c r="AB1386" t="s">
        <v>16752</v>
      </c>
      <c r="AC1386">
        <v>110</v>
      </c>
      <c r="AD1386" t="s">
        <v>19566</v>
      </c>
      <c r="AE1386" t="s">
        <v>9144</v>
      </c>
      <c r="AF1386">
        <v>3</v>
      </c>
      <c r="AG1386">
        <v>1</v>
      </c>
      <c r="AH1386">
        <v>1</v>
      </c>
      <c r="AI1386">
        <v>56.65</v>
      </c>
      <c r="AL1386" t="s">
        <v>19614</v>
      </c>
      <c r="AM1386">
        <v>9324</v>
      </c>
      <c r="AS1386">
        <v>5.75</v>
      </c>
      <c r="AT1386" t="s">
        <v>413</v>
      </c>
      <c r="AU1386" t="s">
        <v>163</v>
      </c>
    </row>
    <row r="1387" spans="1:48">
      <c r="A1387" s="1">
        <f>HYPERLINK("https://lsnyc.legalserver.org/matter/dynamic-profile/view/0793591","15-0793591")</f>
        <v>0</v>
      </c>
      <c r="B1387" t="s">
        <v>150</v>
      </c>
      <c r="C1387" t="s">
        <v>256</v>
      </c>
      <c r="D1387" t="s">
        <v>780</v>
      </c>
      <c r="F1387" t="s">
        <v>1375</v>
      </c>
      <c r="G1387" t="s">
        <v>1193</v>
      </c>
      <c r="H1387" t="s">
        <v>6491</v>
      </c>
      <c r="I1387" t="s">
        <v>8328</v>
      </c>
      <c r="J1387" t="s">
        <v>9059</v>
      </c>
      <c r="K1387">
        <v>11208</v>
      </c>
      <c r="L1387" t="s">
        <v>9095</v>
      </c>
      <c r="M1387" t="s">
        <v>9095</v>
      </c>
      <c r="N1387" t="s">
        <v>9713</v>
      </c>
      <c r="O1387" t="s">
        <v>11152</v>
      </c>
      <c r="P1387" t="s">
        <v>11165</v>
      </c>
      <c r="R1387" t="s">
        <v>11180</v>
      </c>
      <c r="T1387" t="s">
        <v>11190</v>
      </c>
      <c r="V1387" t="s">
        <v>11250</v>
      </c>
      <c r="W1387">
        <v>1337</v>
      </c>
      <c r="X1387" t="s">
        <v>11332</v>
      </c>
      <c r="Y1387" t="s">
        <v>11340</v>
      </c>
      <c r="Z1387" t="s">
        <v>12338</v>
      </c>
      <c r="AB1387" t="s">
        <v>16753</v>
      </c>
      <c r="AC1387">
        <v>294</v>
      </c>
      <c r="AD1387" t="s">
        <v>19568</v>
      </c>
      <c r="AE1387" t="s">
        <v>19580</v>
      </c>
      <c r="AF1387">
        <v>40</v>
      </c>
      <c r="AG1387">
        <v>2</v>
      </c>
      <c r="AH1387">
        <v>0</v>
      </c>
      <c r="AI1387">
        <v>56.72</v>
      </c>
      <c r="AL1387" t="s">
        <v>19614</v>
      </c>
      <c r="AM1387">
        <v>9036</v>
      </c>
      <c r="AS1387">
        <v>19.75</v>
      </c>
      <c r="AT1387" t="s">
        <v>20593</v>
      </c>
      <c r="AU1387" t="s">
        <v>76</v>
      </c>
    </row>
    <row r="1388" spans="1:48">
      <c r="A1388" s="1">
        <f>HYPERLINK("https://lsnyc.legalserver.org/matter/dynamic-profile/view/0780350","15-0780350")</f>
        <v>0</v>
      </c>
      <c r="B1388" t="s">
        <v>150</v>
      </c>
      <c r="C1388" t="s">
        <v>256</v>
      </c>
      <c r="D1388" t="s">
        <v>781</v>
      </c>
      <c r="F1388" t="s">
        <v>1375</v>
      </c>
      <c r="G1388" t="s">
        <v>1193</v>
      </c>
      <c r="H1388" t="s">
        <v>6491</v>
      </c>
      <c r="I1388" t="s">
        <v>8328</v>
      </c>
      <c r="J1388" t="s">
        <v>9059</v>
      </c>
      <c r="K1388">
        <v>11208</v>
      </c>
      <c r="L1388" t="s">
        <v>9095</v>
      </c>
      <c r="M1388" t="s">
        <v>9095</v>
      </c>
      <c r="N1388" t="s">
        <v>9714</v>
      </c>
      <c r="O1388" t="s">
        <v>11129</v>
      </c>
      <c r="P1388" t="s">
        <v>11165</v>
      </c>
      <c r="R1388" t="s">
        <v>11180</v>
      </c>
      <c r="T1388" t="s">
        <v>11183</v>
      </c>
      <c r="V1388" t="s">
        <v>1037</v>
      </c>
      <c r="W1388">
        <v>1089</v>
      </c>
      <c r="X1388" t="s">
        <v>11332</v>
      </c>
      <c r="Y1388" t="s">
        <v>11346</v>
      </c>
      <c r="Z1388" t="s">
        <v>12338</v>
      </c>
      <c r="AB1388" t="s">
        <v>16753</v>
      </c>
      <c r="AC1388">
        <v>0</v>
      </c>
      <c r="AF1388">
        <v>38</v>
      </c>
      <c r="AG1388">
        <v>2</v>
      </c>
      <c r="AH1388">
        <v>0</v>
      </c>
      <c r="AI1388">
        <v>56.72</v>
      </c>
      <c r="AL1388" t="s">
        <v>19614</v>
      </c>
      <c r="AM1388">
        <v>9036</v>
      </c>
      <c r="AS1388">
        <v>61.1</v>
      </c>
      <c r="AT1388" t="s">
        <v>11288</v>
      </c>
      <c r="AU1388" t="s">
        <v>20628</v>
      </c>
    </row>
    <row r="1389" spans="1:48">
      <c r="A1389" s="1">
        <f>HYPERLINK("https://lsnyc.legalserver.org/matter/dynamic-profile/view/1905743","19-1905743")</f>
        <v>0</v>
      </c>
      <c r="B1389" t="s">
        <v>82</v>
      </c>
      <c r="C1389" t="s">
        <v>256</v>
      </c>
      <c r="D1389" t="s">
        <v>328</v>
      </c>
      <c r="F1389" t="s">
        <v>1863</v>
      </c>
      <c r="G1389" t="s">
        <v>4035</v>
      </c>
      <c r="H1389" t="s">
        <v>6393</v>
      </c>
      <c r="I1389" t="s">
        <v>8212</v>
      </c>
      <c r="J1389" t="s">
        <v>9059</v>
      </c>
      <c r="K1389">
        <v>11226</v>
      </c>
      <c r="L1389" t="s">
        <v>9094</v>
      </c>
      <c r="M1389" t="s">
        <v>9095</v>
      </c>
      <c r="O1389" t="s">
        <v>11134</v>
      </c>
      <c r="P1389" t="s">
        <v>11168</v>
      </c>
      <c r="R1389" t="s">
        <v>11180</v>
      </c>
      <c r="S1389" t="s">
        <v>9094</v>
      </c>
      <c r="T1389" t="s">
        <v>11183</v>
      </c>
      <c r="V1389" t="s">
        <v>328</v>
      </c>
      <c r="W1389">
        <v>0</v>
      </c>
      <c r="X1389" t="s">
        <v>11332</v>
      </c>
      <c r="Z1389" t="s">
        <v>12339</v>
      </c>
      <c r="AB1389" t="s">
        <v>16754</v>
      </c>
      <c r="AC1389">
        <v>36</v>
      </c>
      <c r="AD1389" t="s">
        <v>19566</v>
      </c>
      <c r="AF1389">
        <v>0</v>
      </c>
      <c r="AG1389">
        <v>2</v>
      </c>
      <c r="AH1389">
        <v>0</v>
      </c>
      <c r="AI1389">
        <v>56.77</v>
      </c>
      <c r="AL1389" t="s">
        <v>19620</v>
      </c>
      <c r="AM1389">
        <v>9600</v>
      </c>
      <c r="AS1389">
        <v>0.2</v>
      </c>
      <c r="AT1389" t="s">
        <v>328</v>
      </c>
      <c r="AU1389" t="s">
        <v>67</v>
      </c>
    </row>
    <row r="1390" spans="1:48">
      <c r="A1390" s="1">
        <f>HYPERLINK("https://lsnyc.legalserver.org/matter/dynamic-profile/view/1900437","19-1900437")</f>
        <v>0</v>
      </c>
      <c r="B1390" t="s">
        <v>82</v>
      </c>
      <c r="C1390" t="s">
        <v>256</v>
      </c>
      <c r="D1390" t="s">
        <v>262</v>
      </c>
      <c r="F1390" t="s">
        <v>1863</v>
      </c>
      <c r="G1390" t="s">
        <v>4035</v>
      </c>
      <c r="H1390" t="s">
        <v>6393</v>
      </c>
      <c r="I1390" t="s">
        <v>8212</v>
      </c>
      <c r="J1390" t="s">
        <v>9059</v>
      </c>
      <c r="K1390">
        <v>11226</v>
      </c>
      <c r="L1390" t="s">
        <v>9094</v>
      </c>
      <c r="M1390" t="s">
        <v>9095</v>
      </c>
      <c r="N1390" t="s">
        <v>9634</v>
      </c>
      <c r="O1390" t="s">
        <v>11130</v>
      </c>
      <c r="P1390" t="s">
        <v>11165</v>
      </c>
      <c r="R1390" t="s">
        <v>11180</v>
      </c>
      <c r="S1390" t="s">
        <v>9094</v>
      </c>
      <c r="T1390" t="s">
        <v>11183</v>
      </c>
      <c r="U1390" t="s">
        <v>11201</v>
      </c>
      <c r="V1390" t="s">
        <v>262</v>
      </c>
      <c r="W1390">
        <v>1038.57</v>
      </c>
      <c r="X1390" t="s">
        <v>11332</v>
      </c>
      <c r="Y1390" t="s">
        <v>11339</v>
      </c>
      <c r="Z1390" t="s">
        <v>12339</v>
      </c>
      <c r="AB1390" t="s">
        <v>16754</v>
      </c>
      <c r="AC1390">
        <v>36</v>
      </c>
      <c r="AD1390" t="s">
        <v>19566</v>
      </c>
      <c r="AE1390" t="s">
        <v>9144</v>
      </c>
      <c r="AF1390">
        <v>0</v>
      </c>
      <c r="AG1390">
        <v>2</v>
      </c>
      <c r="AH1390">
        <v>0</v>
      </c>
      <c r="AI1390">
        <v>56.77</v>
      </c>
      <c r="AL1390" t="s">
        <v>19620</v>
      </c>
      <c r="AM1390">
        <v>9600</v>
      </c>
      <c r="AS1390">
        <v>0.2</v>
      </c>
      <c r="AT1390" t="s">
        <v>262</v>
      </c>
      <c r="AU1390" t="s">
        <v>67</v>
      </c>
      <c r="AV1390" t="s">
        <v>20733</v>
      </c>
    </row>
    <row r="1391" spans="1:48">
      <c r="A1391" s="1">
        <f>HYPERLINK("https://lsnyc.legalserver.org/matter/dynamic-profile/view/1901492","19-1901492")</f>
        <v>0</v>
      </c>
      <c r="B1391" t="s">
        <v>69</v>
      </c>
      <c r="C1391" t="s">
        <v>256</v>
      </c>
      <c r="D1391" t="s">
        <v>559</v>
      </c>
      <c r="F1391" t="s">
        <v>1864</v>
      </c>
      <c r="G1391" t="s">
        <v>4036</v>
      </c>
      <c r="H1391" t="s">
        <v>6072</v>
      </c>
      <c r="I1391" t="s">
        <v>8112</v>
      </c>
      <c r="J1391" t="s">
        <v>9059</v>
      </c>
      <c r="K1391">
        <v>11208</v>
      </c>
      <c r="L1391" t="s">
        <v>9094</v>
      </c>
      <c r="M1391" t="s">
        <v>9095</v>
      </c>
      <c r="N1391" t="s">
        <v>9715</v>
      </c>
      <c r="O1391" t="s">
        <v>11146</v>
      </c>
      <c r="P1391" t="s">
        <v>11167</v>
      </c>
      <c r="R1391" t="s">
        <v>11180</v>
      </c>
      <c r="S1391" t="s">
        <v>9096</v>
      </c>
      <c r="T1391" t="s">
        <v>11184</v>
      </c>
      <c r="U1391" t="s">
        <v>11202</v>
      </c>
      <c r="V1391" t="s">
        <v>471</v>
      </c>
      <c r="W1391">
        <v>0</v>
      </c>
      <c r="X1391" t="s">
        <v>11332</v>
      </c>
      <c r="Z1391" t="s">
        <v>12340</v>
      </c>
      <c r="AA1391" t="s">
        <v>15543</v>
      </c>
      <c r="AB1391" t="s">
        <v>16755</v>
      </c>
      <c r="AC1391">
        <v>0</v>
      </c>
      <c r="AE1391" t="s">
        <v>19582</v>
      </c>
      <c r="AF1391">
        <v>0</v>
      </c>
      <c r="AG1391">
        <v>1</v>
      </c>
      <c r="AH1391">
        <v>1</v>
      </c>
      <c r="AI1391">
        <v>56.77</v>
      </c>
      <c r="AL1391" t="s">
        <v>19614</v>
      </c>
      <c r="AM1391">
        <v>9600</v>
      </c>
      <c r="AS1391">
        <v>20</v>
      </c>
      <c r="AT1391" t="s">
        <v>521</v>
      </c>
      <c r="AU1391" t="s">
        <v>95</v>
      </c>
      <c r="AV1391" t="s">
        <v>20733</v>
      </c>
    </row>
    <row r="1392" spans="1:48">
      <c r="A1392" s="1">
        <f>HYPERLINK("https://lsnyc.legalserver.org/matter/dynamic-profile/view/1912560","19-1912560")</f>
        <v>0</v>
      </c>
      <c r="B1392" t="s">
        <v>136</v>
      </c>
      <c r="C1392" t="s">
        <v>256</v>
      </c>
      <c r="D1392" t="s">
        <v>263</v>
      </c>
      <c r="F1392" t="s">
        <v>1865</v>
      </c>
      <c r="G1392" t="s">
        <v>3364</v>
      </c>
      <c r="H1392" t="s">
        <v>5941</v>
      </c>
      <c r="J1392" t="s">
        <v>9067</v>
      </c>
      <c r="K1392">
        <v>10035</v>
      </c>
      <c r="L1392" t="s">
        <v>9094</v>
      </c>
      <c r="M1392" t="s">
        <v>9095</v>
      </c>
      <c r="N1392" t="s">
        <v>9716</v>
      </c>
      <c r="O1392" t="s">
        <v>11130</v>
      </c>
      <c r="P1392" t="s">
        <v>11165</v>
      </c>
      <c r="R1392" t="s">
        <v>11180</v>
      </c>
      <c r="S1392" t="s">
        <v>9096</v>
      </c>
      <c r="T1392" t="s">
        <v>11183</v>
      </c>
      <c r="U1392" t="s">
        <v>11201</v>
      </c>
      <c r="V1392" t="s">
        <v>263</v>
      </c>
      <c r="W1392">
        <v>1167.04</v>
      </c>
      <c r="X1392" t="s">
        <v>11335</v>
      </c>
      <c r="Y1392" t="s">
        <v>11157</v>
      </c>
      <c r="Z1392" t="s">
        <v>12341</v>
      </c>
      <c r="AB1392" t="s">
        <v>16756</v>
      </c>
      <c r="AC1392">
        <v>54</v>
      </c>
      <c r="AD1392" t="s">
        <v>19566</v>
      </c>
      <c r="AE1392" t="s">
        <v>19580</v>
      </c>
      <c r="AF1392">
        <v>11</v>
      </c>
      <c r="AG1392">
        <v>1</v>
      </c>
      <c r="AH1392">
        <v>1</v>
      </c>
      <c r="AI1392">
        <v>56.77</v>
      </c>
      <c r="AL1392" t="s">
        <v>19614</v>
      </c>
      <c r="AM1392">
        <v>9600</v>
      </c>
      <c r="AS1392">
        <v>2.25</v>
      </c>
      <c r="AT1392" t="s">
        <v>294</v>
      </c>
      <c r="AU1392" t="s">
        <v>20657</v>
      </c>
      <c r="AV1392" t="s">
        <v>20733</v>
      </c>
    </row>
    <row r="1393" spans="1:48">
      <c r="A1393" s="1">
        <f>HYPERLINK("https://lsnyc.legalserver.org/matter/dynamic-profile/view/0819705","16-0819705")</f>
        <v>0</v>
      </c>
      <c r="B1393" t="s">
        <v>103</v>
      </c>
      <c r="C1393" t="s">
        <v>256</v>
      </c>
      <c r="D1393" t="s">
        <v>782</v>
      </c>
      <c r="F1393" t="s">
        <v>1146</v>
      </c>
      <c r="G1393" t="s">
        <v>3699</v>
      </c>
      <c r="H1393" t="s">
        <v>5873</v>
      </c>
      <c r="I1393" t="s">
        <v>8222</v>
      </c>
      <c r="J1393" t="s">
        <v>9065</v>
      </c>
      <c r="K1393">
        <v>10457</v>
      </c>
      <c r="L1393" t="s">
        <v>9094</v>
      </c>
      <c r="M1393" t="s">
        <v>9095</v>
      </c>
      <c r="N1393" t="s">
        <v>9229</v>
      </c>
      <c r="O1393" t="s">
        <v>11132</v>
      </c>
      <c r="P1393" t="s">
        <v>11165</v>
      </c>
      <c r="R1393" t="s">
        <v>11180</v>
      </c>
      <c r="S1393" t="s">
        <v>9094</v>
      </c>
      <c r="T1393" t="s">
        <v>11183</v>
      </c>
      <c r="V1393" t="s">
        <v>675</v>
      </c>
      <c r="W1393">
        <v>803</v>
      </c>
      <c r="X1393" t="s">
        <v>11333</v>
      </c>
      <c r="Y1393" t="s">
        <v>11348</v>
      </c>
      <c r="Z1393" t="s">
        <v>11575</v>
      </c>
      <c r="AB1393" t="s">
        <v>16757</v>
      </c>
      <c r="AC1393">
        <v>0</v>
      </c>
      <c r="AD1393" t="s">
        <v>15441</v>
      </c>
      <c r="AE1393" t="s">
        <v>9144</v>
      </c>
      <c r="AF1393">
        <v>0</v>
      </c>
      <c r="AG1393">
        <v>2</v>
      </c>
      <c r="AH1393">
        <v>0</v>
      </c>
      <c r="AI1393">
        <v>56.8</v>
      </c>
      <c r="AL1393" t="s">
        <v>19615</v>
      </c>
      <c r="AM1393">
        <v>9100</v>
      </c>
      <c r="AS1393">
        <v>0</v>
      </c>
      <c r="AU1393" t="s">
        <v>20647</v>
      </c>
    </row>
    <row r="1394" spans="1:48">
      <c r="A1394" s="1">
        <f>HYPERLINK("https://lsnyc.legalserver.org/matter/dynamic-profile/view/0792461","15-0792461")</f>
        <v>0</v>
      </c>
      <c r="B1394" t="s">
        <v>49</v>
      </c>
      <c r="C1394" t="s">
        <v>256</v>
      </c>
      <c r="D1394" t="s">
        <v>783</v>
      </c>
      <c r="F1394" t="s">
        <v>1866</v>
      </c>
      <c r="G1394" t="s">
        <v>4037</v>
      </c>
      <c r="H1394" t="s">
        <v>6492</v>
      </c>
      <c r="I1394" t="s">
        <v>8398</v>
      </c>
      <c r="J1394" t="s">
        <v>9055</v>
      </c>
      <c r="K1394">
        <v>11354</v>
      </c>
      <c r="L1394" t="s">
        <v>9094</v>
      </c>
      <c r="M1394" t="s">
        <v>9095</v>
      </c>
      <c r="N1394" t="s">
        <v>9717</v>
      </c>
      <c r="O1394" t="s">
        <v>11135</v>
      </c>
      <c r="P1394" t="s">
        <v>11168</v>
      </c>
      <c r="R1394" t="s">
        <v>11180</v>
      </c>
      <c r="T1394" t="s">
        <v>11183</v>
      </c>
      <c r="V1394" t="s">
        <v>303</v>
      </c>
      <c r="W1394">
        <v>1287</v>
      </c>
      <c r="X1394" t="s">
        <v>11331</v>
      </c>
      <c r="Y1394" t="s">
        <v>11342</v>
      </c>
      <c r="Z1394" t="s">
        <v>12342</v>
      </c>
      <c r="AB1394" t="s">
        <v>16758</v>
      </c>
      <c r="AC1394">
        <v>175</v>
      </c>
      <c r="AD1394" t="s">
        <v>19566</v>
      </c>
      <c r="AE1394" t="s">
        <v>9144</v>
      </c>
      <c r="AF1394">
        <v>10</v>
      </c>
      <c r="AG1394">
        <v>2</v>
      </c>
      <c r="AH1394">
        <v>0</v>
      </c>
      <c r="AI1394">
        <v>56.95</v>
      </c>
      <c r="AL1394" t="s">
        <v>19623</v>
      </c>
      <c r="AM1394">
        <v>9072</v>
      </c>
      <c r="AS1394">
        <v>0.95</v>
      </c>
      <c r="AT1394" t="s">
        <v>448</v>
      </c>
      <c r="AU1394" t="s">
        <v>242</v>
      </c>
    </row>
    <row r="1395" spans="1:48">
      <c r="A1395" s="1">
        <f>HYPERLINK("https://lsnyc.legalserver.org/matter/dynamic-profile/view/1889641","19-1889641")</f>
        <v>0</v>
      </c>
      <c r="B1395" t="s">
        <v>188</v>
      </c>
      <c r="C1395" t="s">
        <v>256</v>
      </c>
      <c r="D1395" t="s">
        <v>784</v>
      </c>
      <c r="F1395" t="s">
        <v>1867</v>
      </c>
      <c r="G1395" t="s">
        <v>4038</v>
      </c>
      <c r="H1395" t="s">
        <v>6493</v>
      </c>
      <c r="I1395" t="s">
        <v>8112</v>
      </c>
      <c r="J1395" t="s">
        <v>9079</v>
      </c>
      <c r="K1395">
        <v>10030</v>
      </c>
      <c r="L1395" t="s">
        <v>9096</v>
      </c>
      <c r="M1395" t="s">
        <v>9096</v>
      </c>
      <c r="O1395" t="s">
        <v>9121</v>
      </c>
      <c r="P1395" t="s">
        <v>11169</v>
      </c>
      <c r="R1395" t="s">
        <v>11180</v>
      </c>
      <c r="S1395" t="s">
        <v>9096</v>
      </c>
      <c r="T1395" t="s">
        <v>11183</v>
      </c>
      <c r="W1395">
        <v>697.34</v>
      </c>
      <c r="X1395" t="s">
        <v>11335</v>
      </c>
      <c r="Y1395" t="s">
        <v>11340</v>
      </c>
      <c r="Z1395" t="s">
        <v>12343</v>
      </c>
      <c r="AB1395" t="s">
        <v>16759</v>
      </c>
      <c r="AC1395">
        <v>0</v>
      </c>
      <c r="AD1395" t="s">
        <v>19566</v>
      </c>
      <c r="AE1395" t="s">
        <v>9144</v>
      </c>
      <c r="AF1395">
        <v>20</v>
      </c>
      <c r="AG1395">
        <v>1</v>
      </c>
      <c r="AH1395">
        <v>4</v>
      </c>
      <c r="AI1395">
        <v>56.99</v>
      </c>
      <c r="AL1395" t="s">
        <v>19614</v>
      </c>
      <c r="AM1395">
        <v>17193.42</v>
      </c>
      <c r="AQ1395" t="s">
        <v>20369</v>
      </c>
      <c r="AR1395" t="s">
        <v>20451</v>
      </c>
      <c r="AS1395">
        <v>4.9</v>
      </c>
      <c r="AT1395" t="s">
        <v>403</v>
      </c>
      <c r="AU1395" t="s">
        <v>20655</v>
      </c>
    </row>
    <row r="1396" spans="1:48">
      <c r="A1396" s="1">
        <f>HYPERLINK("https://lsnyc.legalserver.org/matter/dynamic-profile/view/1896190","19-1896190")</f>
        <v>0</v>
      </c>
      <c r="B1396" t="s">
        <v>72</v>
      </c>
      <c r="C1396" t="s">
        <v>256</v>
      </c>
      <c r="D1396" t="s">
        <v>374</v>
      </c>
      <c r="F1396" t="s">
        <v>1868</v>
      </c>
      <c r="G1396" t="s">
        <v>4039</v>
      </c>
      <c r="H1396" t="s">
        <v>6494</v>
      </c>
      <c r="I1396">
        <v>1</v>
      </c>
      <c r="J1396" t="s">
        <v>9059</v>
      </c>
      <c r="K1396">
        <v>11233</v>
      </c>
      <c r="L1396" t="s">
        <v>9094</v>
      </c>
      <c r="M1396" t="s">
        <v>9096</v>
      </c>
      <c r="N1396" t="s">
        <v>9718</v>
      </c>
      <c r="O1396" t="s">
        <v>11129</v>
      </c>
      <c r="P1396" t="s">
        <v>11165</v>
      </c>
      <c r="R1396" t="s">
        <v>11180</v>
      </c>
      <c r="S1396" t="s">
        <v>9096</v>
      </c>
      <c r="T1396" t="s">
        <v>11183</v>
      </c>
      <c r="U1396" t="s">
        <v>11201</v>
      </c>
      <c r="V1396" t="s">
        <v>262</v>
      </c>
      <c r="W1396">
        <v>1640</v>
      </c>
      <c r="X1396" t="s">
        <v>11332</v>
      </c>
      <c r="Z1396" t="s">
        <v>12344</v>
      </c>
      <c r="AB1396" t="s">
        <v>16760</v>
      </c>
      <c r="AC1396">
        <v>8</v>
      </c>
      <c r="AD1396" t="s">
        <v>19566</v>
      </c>
      <c r="AE1396" t="s">
        <v>19580</v>
      </c>
      <c r="AF1396">
        <v>11</v>
      </c>
      <c r="AG1396">
        <v>1</v>
      </c>
      <c r="AH1396">
        <v>1</v>
      </c>
      <c r="AI1396">
        <v>57.04</v>
      </c>
      <c r="AL1396" t="s">
        <v>19614</v>
      </c>
      <c r="AM1396">
        <v>9646</v>
      </c>
      <c r="AS1396">
        <v>24.5</v>
      </c>
      <c r="AT1396" t="s">
        <v>321</v>
      </c>
      <c r="AU1396" t="s">
        <v>79</v>
      </c>
      <c r="AV1396" t="s">
        <v>20733</v>
      </c>
    </row>
    <row r="1397" spans="1:48">
      <c r="A1397" s="1">
        <f>HYPERLINK("https://lsnyc.legalserver.org/matter/dynamic-profile/view/1914090","19-1914090")</f>
        <v>0</v>
      </c>
      <c r="B1397" t="s">
        <v>130</v>
      </c>
      <c r="C1397" t="s">
        <v>256</v>
      </c>
      <c r="D1397" t="s">
        <v>395</v>
      </c>
      <c r="F1397" t="s">
        <v>1689</v>
      </c>
      <c r="G1397" t="s">
        <v>4040</v>
      </c>
      <c r="H1397" t="s">
        <v>6495</v>
      </c>
      <c r="I1397" t="s">
        <v>8352</v>
      </c>
      <c r="J1397" t="s">
        <v>9067</v>
      </c>
      <c r="K1397">
        <v>10001</v>
      </c>
      <c r="L1397" t="s">
        <v>9095</v>
      </c>
      <c r="M1397" t="s">
        <v>9095</v>
      </c>
      <c r="P1397" t="s">
        <v>11169</v>
      </c>
      <c r="R1397" t="s">
        <v>11181</v>
      </c>
      <c r="S1397" t="s">
        <v>9096</v>
      </c>
      <c r="T1397" t="s">
        <v>11183</v>
      </c>
      <c r="W1397">
        <v>2800</v>
      </c>
      <c r="X1397" t="s">
        <v>11335</v>
      </c>
      <c r="Y1397" t="s">
        <v>11337</v>
      </c>
      <c r="Z1397" t="s">
        <v>12345</v>
      </c>
      <c r="AB1397" t="s">
        <v>16761</v>
      </c>
      <c r="AC1397">
        <v>0</v>
      </c>
      <c r="AF1397">
        <v>4</v>
      </c>
      <c r="AG1397">
        <v>1</v>
      </c>
      <c r="AH1397">
        <v>0</v>
      </c>
      <c r="AI1397">
        <v>57.07</v>
      </c>
      <c r="AL1397" t="s">
        <v>19614</v>
      </c>
      <c r="AM1397">
        <v>7128</v>
      </c>
      <c r="AS1397">
        <v>0.25</v>
      </c>
      <c r="AT1397" t="s">
        <v>395</v>
      </c>
      <c r="AU1397" t="s">
        <v>130</v>
      </c>
    </row>
    <row r="1398" spans="1:48">
      <c r="A1398" s="1">
        <f>HYPERLINK("https://lsnyc.legalserver.org/matter/dynamic-profile/view/1889330","19-1889330")</f>
        <v>0</v>
      </c>
      <c r="B1398" t="s">
        <v>71</v>
      </c>
      <c r="C1398" t="s">
        <v>257</v>
      </c>
      <c r="D1398" t="s">
        <v>348</v>
      </c>
      <c r="E1398" t="s">
        <v>483</v>
      </c>
      <c r="F1398" t="s">
        <v>1869</v>
      </c>
      <c r="G1398" t="s">
        <v>4041</v>
      </c>
      <c r="H1398" t="s">
        <v>6496</v>
      </c>
      <c r="I1398" t="s">
        <v>8432</v>
      </c>
      <c r="J1398" t="s">
        <v>9059</v>
      </c>
      <c r="K1398">
        <v>11220</v>
      </c>
      <c r="L1398" t="s">
        <v>9094</v>
      </c>
      <c r="M1398" t="s">
        <v>9094</v>
      </c>
      <c r="N1398" t="s">
        <v>9719</v>
      </c>
      <c r="O1398" t="s">
        <v>11128</v>
      </c>
      <c r="P1398" t="s">
        <v>11165</v>
      </c>
      <c r="Q1398" t="s">
        <v>11174</v>
      </c>
      <c r="R1398" t="s">
        <v>11181</v>
      </c>
      <c r="S1398" t="s">
        <v>9096</v>
      </c>
      <c r="T1398" t="s">
        <v>11183</v>
      </c>
      <c r="U1398" t="s">
        <v>11201</v>
      </c>
      <c r="V1398" t="s">
        <v>491</v>
      </c>
      <c r="W1398">
        <v>1176</v>
      </c>
      <c r="X1398" t="s">
        <v>11332</v>
      </c>
      <c r="Y1398" t="s">
        <v>11337</v>
      </c>
      <c r="Z1398" t="s">
        <v>11574</v>
      </c>
      <c r="AA1398" t="s">
        <v>15544</v>
      </c>
      <c r="AB1398" t="s">
        <v>16762</v>
      </c>
      <c r="AC1398">
        <v>11</v>
      </c>
      <c r="AD1398" t="s">
        <v>15441</v>
      </c>
      <c r="AF1398">
        <v>14</v>
      </c>
      <c r="AG1398">
        <v>1</v>
      </c>
      <c r="AH1398">
        <v>4</v>
      </c>
      <c r="AI1398">
        <v>57.08</v>
      </c>
      <c r="AJ1398" t="s">
        <v>19591</v>
      </c>
      <c r="AK1398" t="s">
        <v>19608</v>
      </c>
      <c r="AL1398" t="s">
        <v>19618</v>
      </c>
      <c r="AM1398">
        <v>17220</v>
      </c>
      <c r="AS1398">
        <v>24.5</v>
      </c>
      <c r="AT1398" t="s">
        <v>551</v>
      </c>
      <c r="AU1398" t="s">
        <v>95</v>
      </c>
      <c r="AV1398" t="s">
        <v>20733</v>
      </c>
    </row>
    <row r="1399" spans="1:48">
      <c r="A1399" s="1">
        <f>HYPERLINK("https://lsnyc.legalserver.org/matter/dynamic-profile/view/1898897","19-1898897")</f>
        <v>0</v>
      </c>
      <c r="B1399" t="s">
        <v>71</v>
      </c>
      <c r="C1399" t="s">
        <v>256</v>
      </c>
      <c r="D1399" t="s">
        <v>337</v>
      </c>
      <c r="F1399" t="s">
        <v>1870</v>
      </c>
      <c r="G1399" t="s">
        <v>3195</v>
      </c>
      <c r="H1399" t="s">
        <v>6497</v>
      </c>
      <c r="I1399" t="s">
        <v>8433</v>
      </c>
      <c r="J1399" t="s">
        <v>9059</v>
      </c>
      <c r="K1399">
        <v>11233</v>
      </c>
      <c r="L1399" t="s">
        <v>9094</v>
      </c>
      <c r="M1399" t="s">
        <v>9094</v>
      </c>
      <c r="N1399" t="s">
        <v>9720</v>
      </c>
      <c r="O1399" t="s">
        <v>11129</v>
      </c>
      <c r="P1399" t="s">
        <v>11165</v>
      </c>
      <c r="R1399" t="s">
        <v>11180</v>
      </c>
      <c r="S1399" t="s">
        <v>9096</v>
      </c>
      <c r="T1399" t="s">
        <v>11183</v>
      </c>
      <c r="V1399" t="s">
        <v>614</v>
      </c>
      <c r="W1399">
        <v>850</v>
      </c>
      <c r="X1399" t="s">
        <v>11332</v>
      </c>
      <c r="Y1399" t="s">
        <v>11336</v>
      </c>
      <c r="Z1399" t="s">
        <v>12346</v>
      </c>
      <c r="AA1399" t="s">
        <v>15545</v>
      </c>
      <c r="AC1399">
        <v>107</v>
      </c>
      <c r="AD1399" t="s">
        <v>19572</v>
      </c>
      <c r="AF1399">
        <v>0</v>
      </c>
      <c r="AG1399">
        <v>1</v>
      </c>
      <c r="AH1399">
        <v>3</v>
      </c>
      <c r="AI1399">
        <v>57.18</v>
      </c>
      <c r="AL1399" t="s">
        <v>19614</v>
      </c>
      <c r="AM1399">
        <v>14724</v>
      </c>
      <c r="AS1399">
        <v>8.300000000000001</v>
      </c>
      <c r="AT1399" t="s">
        <v>549</v>
      </c>
      <c r="AU1399" t="s">
        <v>20626</v>
      </c>
      <c r="AV1399" t="s">
        <v>20733</v>
      </c>
    </row>
    <row r="1400" spans="1:48">
      <c r="A1400" s="1">
        <f>HYPERLINK("https://lsnyc.legalserver.org/matter/dynamic-profile/view/1903141","19-1903141")</f>
        <v>0</v>
      </c>
      <c r="B1400" t="s">
        <v>69</v>
      </c>
      <c r="C1400" t="s">
        <v>256</v>
      </c>
      <c r="D1400" t="s">
        <v>785</v>
      </c>
      <c r="F1400" t="s">
        <v>1870</v>
      </c>
      <c r="G1400" t="s">
        <v>3195</v>
      </c>
      <c r="H1400" t="s">
        <v>6497</v>
      </c>
      <c r="I1400" t="s">
        <v>8433</v>
      </c>
      <c r="J1400" t="s">
        <v>9059</v>
      </c>
      <c r="K1400">
        <v>11233</v>
      </c>
      <c r="L1400" t="s">
        <v>9094</v>
      </c>
      <c r="M1400" t="s">
        <v>9095</v>
      </c>
      <c r="N1400" t="s">
        <v>9720</v>
      </c>
      <c r="O1400" t="s">
        <v>11139</v>
      </c>
      <c r="P1400" t="s">
        <v>11167</v>
      </c>
      <c r="R1400" t="s">
        <v>11180</v>
      </c>
      <c r="S1400" t="s">
        <v>9096</v>
      </c>
      <c r="T1400" t="s">
        <v>11184</v>
      </c>
      <c r="V1400" t="s">
        <v>614</v>
      </c>
      <c r="W1400">
        <v>850</v>
      </c>
      <c r="X1400" t="s">
        <v>11332</v>
      </c>
      <c r="Y1400" t="s">
        <v>11336</v>
      </c>
      <c r="Z1400" t="s">
        <v>12346</v>
      </c>
      <c r="AA1400" t="s">
        <v>15545</v>
      </c>
      <c r="AC1400">
        <v>107</v>
      </c>
      <c r="AD1400" t="s">
        <v>19572</v>
      </c>
      <c r="AE1400" t="s">
        <v>19582</v>
      </c>
      <c r="AF1400">
        <v>4</v>
      </c>
      <c r="AG1400">
        <v>1</v>
      </c>
      <c r="AH1400">
        <v>3</v>
      </c>
      <c r="AI1400">
        <v>57.18</v>
      </c>
      <c r="AL1400" t="s">
        <v>19614</v>
      </c>
      <c r="AM1400">
        <v>14724</v>
      </c>
      <c r="AS1400">
        <v>17.5</v>
      </c>
      <c r="AT1400" t="s">
        <v>308</v>
      </c>
      <c r="AU1400" t="s">
        <v>79</v>
      </c>
      <c r="AV1400" t="s">
        <v>20734</v>
      </c>
    </row>
    <row r="1401" spans="1:48">
      <c r="A1401" s="1">
        <f>HYPERLINK("https://lsnyc.legalserver.org/matter/dynamic-profile/view/1886471","18-1886471")</f>
        <v>0</v>
      </c>
      <c r="B1401" t="s">
        <v>119</v>
      </c>
      <c r="C1401" t="s">
        <v>257</v>
      </c>
      <c r="D1401" t="s">
        <v>347</v>
      </c>
      <c r="E1401" t="s">
        <v>664</v>
      </c>
      <c r="F1401" t="s">
        <v>1871</v>
      </c>
      <c r="G1401" t="s">
        <v>4042</v>
      </c>
      <c r="H1401" t="s">
        <v>6498</v>
      </c>
      <c r="I1401" t="s">
        <v>8434</v>
      </c>
      <c r="J1401" t="s">
        <v>9065</v>
      </c>
      <c r="K1401">
        <v>10459</v>
      </c>
      <c r="L1401" t="s">
        <v>9094</v>
      </c>
      <c r="M1401" t="s">
        <v>9094</v>
      </c>
      <c r="N1401" t="s">
        <v>9721</v>
      </c>
      <c r="O1401" t="s">
        <v>11129</v>
      </c>
      <c r="P1401" t="s">
        <v>11167</v>
      </c>
      <c r="Q1401" t="s">
        <v>11173</v>
      </c>
      <c r="R1401" t="s">
        <v>11180</v>
      </c>
      <c r="T1401" t="s">
        <v>11183</v>
      </c>
      <c r="V1401" t="s">
        <v>582</v>
      </c>
      <c r="W1401">
        <v>1750</v>
      </c>
      <c r="X1401" t="s">
        <v>11333</v>
      </c>
      <c r="Y1401" t="s">
        <v>11157</v>
      </c>
      <c r="Z1401" t="s">
        <v>12347</v>
      </c>
      <c r="AA1401" t="s">
        <v>15546</v>
      </c>
      <c r="AB1401" t="s">
        <v>16763</v>
      </c>
      <c r="AC1401">
        <v>9</v>
      </c>
      <c r="AD1401" t="s">
        <v>19566</v>
      </c>
      <c r="AE1401" t="s">
        <v>9144</v>
      </c>
      <c r="AF1401">
        <v>4</v>
      </c>
      <c r="AG1401">
        <v>3</v>
      </c>
      <c r="AH1401">
        <v>2</v>
      </c>
      <c r="AI1401">
        <v>57.27</v>
      </c>
      <c r="AL1401" t="s">
        <v>19615</v>
      </c>
      <c r="AM1401">
        <v>16848</v>
      </c>
      <c r="AN1401" t="s">
        <v>19788</v>
      </c>
      <c r="AS1401">
        <v>1.5</v>
      </c>
      <c r="AT1401" t="s">
        <v>582</v>
      </c>
      <c r="AU1401" t="s">
        <v>20631</v>
      </c>
      <c r="AV1401" t="s">
        <v>20733</v>
      </c>
    </row>
    <row r="1402" spans="1:48">
      <c r="A1402" s="1">
        <f>HYPERLINK("https://lsnyc.legalserver.org/matter/dynamic-profile/view/1901176","19-1901176")</f>
        <v>0</v>
      </c>
      <c r="B1402" t="s">
        <v>69</v>
      </c>
      <c r="C1402" t="s">
        <v>257</v>
      </c>
      <c r="D1402" t="s">
        <v>394</v>
      </c>
      <c r="E1402" t="s">
        <v>326</v>
      </c>
      <c r="F1402" t="s">
        <v>1872</v>
      </c>
      <c r="G1402" t="s">
        <v>3370</v>
      </c>
      <c r="H1402" t="s">
        <v>6499</v>
      </c>
      <c r="I1402" t="s">
        <v>8170</v>
      </c>
      <c r="J1402" t="s">
        <v>9059</v>
      </c>
      <c r="K1402">
        <v>11233</v>
      </c>
      <c r="L1402" t="s">
        <v>9094</v>
      </c>
      <c r="M1402" t="s">
        <v>9095</v>
      </c>
      <c r="O1402" t="s">
        <v>9121</v>
      </c>
      <c r="P1402" t="s">
        <v>11168</v>
      </c>
      <c r="Q1402" t="s">
        <v>11173</v>
      </c>
      <c r="R1402" t="s">
        <v>11180</v>
      </c>
      <c r="S1402" t="s">
        <v>9096</v>
      </c>
      <c r="T1402" t="s">
        <v>11183</v>
      </c>
      <c r="U1402" t="s">
        <v>11201</v>
      </c>
      <c r="V1402" t="s">
        <v>559</v>
      </c>
      <c r="W1402">
        <v>1546.83</v>
      </c>
      <c r="X1402" t="s">
        <v>11332</v>
      </c>
      <c r="Y1402" t="s">
        <v>11338</v>
      </c>
      <c r="Z1402" t="s">
        <v>12348</v>
      </c>
      <c r="AB1402" t="s">
        <v>16764</v>
      </c>
      <c r="AC1402">
        <v>16</v>
      </c>
      <c r="AD1402" t="s">
        <v>19566</v>
      </c>
      <c r="AE1402" t="s">
        <v>19580</v>
      </c>
      <c r="AF1402">
        <v>9</v>
      </c>
      <c r="AG1402">
        <v>1</v>
      </c>
      <c r="AH1402">
        <v>2</v>
      </c>
      <c r="AI1402">
        <v>57.33</v>
      </c>
      <c r="AL1402" t="s">
        <v>19614</v>
      </c>
      <c r="AM1402">
        <v>12228</v>
      </c>
      <c r="AS1402">
        <v>27.5</v>
      </c>
      <c r="AT1402" t="s">
        <v>326</v>
      </c>
      <c r="AU1402" t="s">
        <v>95</v>
      </c>
      <c r="AV1402" t="s">
        <v>20733</v>
      </c>
    </row>
    <row r="1403" spans="1:48">
      <c r="A1403" s="1">
        <f>HYPERLINK("https://lsnyc.legalserver.org/matter/dynamic-profile/view/1898611","19-1898611")</f>
        <v>0</v>
      </c>
      <c r="B1403" t="s">
        <v>168</v>
      </c>
      <c r="C1403" t="s">
        <v>256</v>
      </c>
      <c r="D1403" t="s">
        <v>384</v>
      </c>
      <c r="F1403" t="s">
        <v>1873</v>
      </c>
      <c r="G1403" t="s">
        <v>4043</v>
      </c>
      <c r="H1403" t="s">
        <v>6500</v>
      </c>
      <c r="I1403" t="s">
        <v>8435</v>
      </c>
      <c r="J1403" t="s">
        <v>9059</v>
      </c>
      <c r="K1403">
        <v>11233</v>
      </c>
      <c r="L1403" t="s">
        <v>9095</v>
      </c>
      <c r="M1403" t="s">
        <v>9095</v>
      </c>
      <c r="P1403" t="s">
        <v>11165</v>
      </c>
      <c r="R1403" t="s">
        <v>11180</v>
      </c>
      <c r="T1403" t="s">
        <v>11183</v>
      </c>
      <c r="W1403">
        <v>1900</v>
      </c>
      <c r="X1403" t="s">
        <v>11332</v>
      </c>
      <c r="Y1403" t="s">
        <v>11157</v>
      </c>
      <c r="Z1403" t="s">
        <v>12349</v>
      </c>
      <c r="AB1403" t="s">
        <v>16765</v>
      </c>
      <c r="AC1403">
        <v>0</v>
      </c>
      <c r="AD1403" t="s">
        <v>15441</v>
      </c>
      <c r="AE1403" t="s">
        <v>19585</v>
      </c>
      <c r="AF1403">
        <v>0</v>
      </c>
      <c r="AG1403">
        <v>2</v>
      </c>
      <c r="AH1403">
        <v>0</v>
      </c>
      <c r="AI1403">
        <v>57.34</v>
      </c>
      <c r="AL1403" t="s">
        <v>19614</v>
      </c>
      <c r="AM1403">
        <v>9696</v>
      </c>
      <c r="AS1403">
        <v>7.6</v>
      </c>
      <c r="AT1403" t="s">
        <v>615</v>
      </c>
      <c r="AU1403" t="s">
        <v>20678</v>
      </c>
    </row>
    <row r="1404" spans="1:48">
      <c r="A1404" s="1">
        <f>HYPERLINK("https://lsnyc.legalserver.org/matter/dynamic-profile/view/1864028","18-1864028")</f>
        <v>0</v>
      </c>
      <c r="B1404" t="s">
        <v>154</v>
      </c>
      <c r="C1404" t="s">
        <v>257</v>
      </c>
      <c r="D1404" t="s">
        <v>525</v>
      </c>
      <c r="E1404" t="s">
        <v>265</v>
      </c>
      <c r="F1404" t="s">
        <v>1874</v>
      </c>
      <c r="G1404" t="s">
        <v>4044</v>
      </c>
      <c r="H1404" t="s">
        <v>6501</v>
      </c>
      <c r="I1404" t="s">
        <v>8129</v>
      </c>
      <c r="J1404" t="s">
        <v>9066</v>
      </c>
      <c r="K1404">
        <v>10301</v>
      </c>
      <c r="L1404" t="s">
        <v>9094</v>
      </c>
      <c r="M1404" t="s">
        <v>9095</v>
      </c>
      <c r="N1404" t="s">
        <v>9722</v>
      </c>
      <c r="O1404" t="s">
        <v>11128</v>
      </c>
      <c r="P1404" t="s">
        <v>11165</v>
      </c>
      <c r="Q1404" t="s">
        <v>11174</v>
      </c>
      <c r="R1404" t="s">
        <v>11180</v>
      </c>
      <c r="S1404" t="s">
        <v>9096</v>
      </c>
      <c r="T1404" t="s">
        <v>11183</v>
      </c>
      <c r="V1404" t="s">
        <v>525</v>
      </c>
      <c r="W1404">
        <v>1515</v>
      </c>
      <c r="X1404" t="s">
        <v>11334</v>
      </c>
      <c r="Y1404" t="s">
        <v>11339</v>
      </c>
      <c r="Z1404" t="s">
        <v>12350</v>
      </c>
      <c r="AA1404" t="s">
        <v>15547</v>
      </c>
      <c r="AB1404" t="s">
        <v>16766</v>
      </c>
      <c r="AC1404">
        <v>2</v>
      </c>
      <c r="AD1404" t="s">
        <v>19565</v>
      </c>
      <c r="AE1404" t="s">
        <v>19581</v>
      </c>
      <c r="AF1404">
        <v>1</v>
      </c>
      <c r="AG1404">
        <v>2</v>
      </c>
      <c r="AH1404">
        <v>2</v>
      </c>
      <c r="AI1404">
        <v>57.37</v>
      </c>
      <c r="AL1404" t="s">
        <v>19614</v>
      </c>
      <c r="AM1404">
        <v>14400</v>
      </c>
      <c r="AS1404">
        <v>20.7</v>
      </c>
      <c r="AT1404" t="s">
        <v>265</v>
      </c>
      <c r="AU1404" t="s">
        <v>20652</v>
      </c>
    </row>
    <row r="1405" spans="1:48">
      <c r="A1405" s="1">
        <f>HYPERLINK("https://lsnyc.legalserver.org/matter/dynamic-profile/view/1875194","18-1875194")</f>
        <v>0</v>
      </c>
      <c r="B1405" t="s">
        <v>56</v>
      </c>
      <c r="C1405" t="s">
        <v>256</v>
      </c>
      <c r="D1405" t="s">
        <v>624</v>
      </c>
      <c r="F1405" t="s">
        <v>1282</v>
      </c>
      <c r="G1405" t="s">
        <v>4045</v>
      </c>
      <c r="H1405" t="s">
        <v>6502</v>
      </c>
      <c r="I1405" t="s">
        <v>8116</v>
      </c>
      <c r="J1405" t="s">
        <v>9080</v>
      </c>
      <c r="K1405">
        <v>11426</v>
      </c>
      <c r="L1405" t="s">
        <v>9094</v>
      </c>
      <c r="M1405" t="s">
        <v>9094</v>
      </c>
      <c r="N1405" t="s">
        <v>9723</v>
      </c>
      <c r="O1405" t="s">
        <v>11128</v>
      </c>
      <c r="P1405" t="s">
        <v>11165</v>
      </c>
      <c r="R1405" t="s">
        <v>11180</v>
      </c>
      <c r="S1405" t="s">
        <v>9096</v>
      </c>
      <c r="T1405" t="s">
        <v>11183</v>
      </c>
      <c r="U1405" t="s">
        <v>11201</v>
      </c>
      <c r="V1405" t="s">
        <v>624</v>
      </c>
      <c r="W1405">
        <v>850</v>
      </c>
      <c r="X1405" t="s">
        <v>11331</v>
      </c>
      <c r="Y1405" t="s">
        <v>11336</v>
      </c>
      <c r="Z1405" t="s">
        <v>12351</v>
      </c>
      <c r="AA1405" t="s">
        <v>15548</v>
      </c>
      <c r="AB1405" t="s">
        <v>16767</v>
      </c>
      <c r="AC1405">
        <v>3</v>
      </c>
      <c r="AD1405" t="s">
        <v>19565</v>
      </c>
      <c r="AE1405" t="s">
        <v>9144</v>
      </c>
      <c r="AF1405">
        <v>8</v>
      </c>
      <c r="AG1405">
        <v>1</v>
      </c>
      <c r="AH1405">
        <v>0</v>
      </c>
      <c r="AI1405">
        <v>57.53</v>
      </c>
      <c r="AL1405" t="s">
        <v>19614</v>
      </c>
      <c r="AM1405">
        <v>6984</v>
      </c>
      <c r="AO1405" t="s">
        <v>20293</v>
      </c>
      <c r="AP1405" t="s">
        <v>20309</v>
      </c>
      <c r="AQ1405" t="s">
        <v>20369</v>
      </c>
      <c r="AR1405" t="s">
        <v>20452</v>
      </c>
      <c r="AS1405">
        <v>1.2</v>
      </c>
      <c r="AT1405" t="s">
        <v>958</v>
      </c>
      <c r="AU1405" t="s">
        <v>20620</v>
      </c>
    </row>
    <row r="1406" spans="1:48">
      <c r="A1406" s="1">
        <f>HYPERLINK("https://lsnyc.legalserver.org/matter/dynamic-profile/view/0800228","16-0800228")</f>
        <v>0</v>
      </c>
      <c r="B1406" t="s">
        <v>103</v>
      </c>
      <c r="C1406" t="s">
        <v>256</v>
      </c>
      <c r="D1406" t="s">
        <v>786</v>
      </c>
      <c r="F1406" t="s">
        <v>1264</v>
      </c>
      <c r="G1406" t="s">
        <v>3653</v>
      </c>
      <c r="H1406" t="s">
        <v>5873</v>
      </c>
      <c r="I1406" t="s">
        <v>8206</v>
      </c>
      <c r="J1406" t="s">
        <v>9065</v>
      </c>
      <c r="K1406">
        <v>10457</v>
      </c>
      <c r="L1406" t="s">
        <v>9094</v>
      </c>
      <c r="M1406" t="s">
        <v>9095</v>
      </c>
      <c r="O1406" t="s">
        <v>11135</v>
      </c>
      <c r="P1406" t="s">
        <v>11168</v>
      </c>
      <c r="R1406" t="s">
        <v>11180</v>
      </c>
      <c r="S1406" t="s">
        <v>9094</v>
      </c>
      <c r="T1406" t="s">
        <v>11183</v>
      </c>
      <c r="V1406" t="s">
        <v>1038</v>
      </c>
      <c r="W1406">
        <v>1200</v>
      </c>
      <c r="X1406" t="s">
        <v>11333</v>
      </c>
      <c r="Y1406" t="s">
        <v>11338</v>
      </c>
      <c r="Z1406" t="s">
        <v>12071</v>
      </c>
      <c r="AC1406">
        <v>0</v>
      </c>
      <c r="AD1406" t="s">
        <v>19566</v>
      </c>
      <c r="AF1406">
        <v>7</v>
      </c>
      <c r="AG1406">
        <v>3</v>
      </c>
      <c r="AH1406">
        <v>1</v>
      </c>
      <c r="AI1406">
        <v>57.6</v>
      </c>
      <c r="AJ1406" t="s">
        <v>11262</v>
      </c>
      <c r="AL1406" t="s">
        <v>19615</v>
      </c>
      <c r="AM1406">
        <v>19196</v>
      </c>
      <c r="AS1406">
        <v>0.5</v>
      </c>
      <c r="AT1406" t="s">
        <v>786</v>
      </c>
      <c r="AU1406" t="s">
        <v>109</v>
      </c>
    </row>
    <row r="1407" spans="1:48">
      <c r="A1407" s="1">
        <f>HYPERLINK("https://lsnyc.legalserver.org/matter/dynamic-profile/view/0800218","16-0800218")</f>
        <v>0</v>
      </c>
      <c r="B1407" t="s">
        <v>103</v>
      </c>
      <c r="C1407" t="s">
        <v>256</v>
      </c>
      <c r="D1407" t="s">
        <v>786</v>
      </c>
      <c r="F1407" t="s">
        <v>1264</v>
      </c>
      <c r="G1407" t="s">
        <v>3653</v>
      </c>
      <c r="H1407" t="s">
        <v>5873</v>
      </c>
      <c r="I1407" t="s">
        <v>8206</v>
      </c>
      <c r="J1407" t="s">
        <v>9065</v>
      </c>
      <c r="K1407">
        <v>10457</v>
      </c>
      <c r="L1407" t="s">
        <v>9094</v>
      </c>
      <c r="M1407" t="s">
        <v>9095</v>
      </c>
      <c r="N1407" t="s">
        <v>9229</v>
      </c>
      <c r="O1407" t="s">
        <v>11147</v>
      </c>
      <c r="P1407" t="s">
        <v>11165</v>
      </c>
      <c r="R1407" t="s">
        <v>11180</v>
      </c>
      <c r="S1407" t="s">
        <v>9094</v>
      </c>
      <c r="T1407" t="s">
        <v>11183</v>
      </c>
      <c r="V1407" t="s">
        <v>1038</v>
      </c>
      <c r="W1407">
        <v>1200</v>
      </c>
      <c r="X1407" t="s">
        <v>11333</v>
      </c>
      <c r="Y1407" t="s">
        <v>11338</v>
      </c>
      <c r="Z1407" t="s">
        <v>12071</v>
      </c>
      <c r="AC1407">
        <v>0</v>
      </c>
      <c r="AD1407" t="s">
        <v>19566</v>
      </c>
      <c r="AF1407">
        <v>7</v>
      </c>
      <c r="AG1407">
        <v>3</v>
      </c>
      <c r="AH1407">
        <v>1</v>
      </c>
      <c r="AI1407">
        <v>57.6</v>
      </c>
      <c r="AJ1407" t="s">
        <v>11262</v>
      </c>
      <c r="AL1407" t="s">
        <v>19615</v>
      </c>
      <c r="AM1407">
        <v>13996</v>
      </c>
      <c r="AS1407">
        <v>0</v>
      </c>
      <c r="AU1407" t="s">
        <v>109</v>
      </c>
    </row>
    <row r="1408" spans="1:48">
      <c r="A1408" s="1">
        <f>HYPERLINK("https://lsnyc.legalserver.org/matter/dynamic-profile/view/1895324","19-1895324")</f>
        <v>0</v>
      </c>
      <c r="B1408" t="s">
        <v>151</v>
      </c>
      <c r="C1408" t="s">
        <v>256</v>
      </c>
      <c r="D1408" t="s">
        <v>264</v>
      </c>
      <c r="F1408" t="s">
        <v>1875</v>
      </c>
      <c r="G1408" t="s">
        <v>4046</v>
      </c>
      <c r="H1408" t="s">
        <v>5805</v>
      </c>
      <c r="I1408" t="s">
        <v>8134</v>
      </c>
      <c r="J1408" t="s">
        <v>9059</v>
      </c>
      <c r="K1408">
        <v>11213</v>
      </c>
      <c r="L1408" t="s">
        <v>9094</v>
      </c>
      <c r="M1408" t="s">
        <v>9094</v>
      </c>
      <c r="N1408" t="s">
        <v>9724</v>
      </c>
      <c r="O1408" t="s">
        <v>11141</v>
      </c>
      <c r="P1408" t="s">
        <v>11164</v>
      </c>
      <c r="R1408" t="s">
        <v>11180</v>
      </c>
      <c r="S1408" t="s">
        <v>9094</v>
      </c>
      <c r="T1408" t="s">
        <v>11185</v>
      </c>
      <c r="V1408" t="s">
        <v>264</v>
      </c>
      <c r="W1408">
        <v>1229.5</v>
      </c>
      <c r="X1408" t="s">
        <v>11332</v>
      </c>
      <c r="Y1408" t="s">
        <v>11348</v>
      </c>
      <c r="Z1408" t="s">
        <v>12352</v>
      </c>
      <c r="AB1408" t="s">
        <v>16768</v>
      </c>
      <c r="AC1408">
        <v>19</v>
      </c>
      <c r="AD1408" t="s">
        <v>19566</v>
      </c>
      <c r="AE1408" t="s">
        <v>19580</v>
      </c>
      <c r="AF1408">
        <v>25</v>
      </c>
      <c r="AG1408">
        <v>1</v>
      </c>
      <c r="AH1408">
        <v>0</v>
      </c>
      <c r="AI1408">
        <v>57.65</v>
      </c>
      <c r="AL1408" t="s">
        <v>19614</v>
      </c>
      <c r="AM1408">
        <v>7200</v>
      </c>
      <c r="AS1408">
        <v>0.3</v>
      </c>
      <c r="AT1408" t="s">
        <v>551</v>
      </c>
      <c r="AU1408" t="s">
        <v>79</v>
      </c>
    </row>
    <row r="1409" spans="1:48">
      <c r="A1409" s="1">
        <f>HYPERLINK("https://lsnyc.legalserver.org/matter/dynamic-profile/view/1894735","19-1894735")</f>
        <v>0</v>
      </c>
      <c r="B1409" t="s">
        <v>144</v>
      </c>
      <c r="C1409" t="s">
        <v>257</v>
      </c>
      <c r="D1409" t="s">
        <v>694</v>
      </c>
      <c r="E1409" t="s">
        <v>664</v>
      </c>
      <c r="F1409" t="s">
        <v>1876</v>
      </c>
      <c r="G1409" t="s">
        <v>4047</v>
      </c>
      <c r="H1409" t="s">
        <v>6503</v>
      </c>
      <c r="J1409" t="s">
        <v>9059</v>
      </c>
      <c r="K1409">
        <v>11209</v>
      </c>
      <c r="L1409" t="s">
        <v>9094</v>
      </c>
      <c r="M1409" t="s">
        <v>9094</v>
      </c>
      <c r="N1409" t="s">
        <v>9725</v>
      </c>
      <c r="O1409" t="s">
        <v>11128</v>
      </c>
      <c r="P1409" t="s">
        <v>11164</v>
      </c>
      <c r="Q1409" t="s">
        <v>11172</v>
      </c>
      <c r="R1409" t="s">
        <v>11180</v>
      </c>
      <c r="S1409" t="s">
        <v>9096</v>
      </c>
      <c r="T1409" t="s">
        <v>11183</v>
      </c>
      <c r="V1409" t="s">
        <v>694</v>
      </c>
      <c r="W1409">
        <v>624.86</v>
      </c>
      <c r="X1409" t="s">
        <v>11335</v>
      </c>
      <c r="Y1409" t="s">
        <v>11339</v>
      </c>
      <c r="Z1409" t="s">
        <v>12353</v>
      </c>
      <c r="AC1409">
        <v>0</v>
      </c>
      <c r="AD1409" t="s">
        <v>19566</v>
      </c>
      <c r="AE1409" t="s">
        <v>9144</v>
      </c>
      <c r="AF1409">
        <v>40</v>
      </c>
      <c r="AG1409">
        <v>1</v>
      </c>
      <c r="AH1409">
        <v>0</v>
      </c>
      <c r="AI1409">
        <v>57.65</v>
      </c>
      <c r="AL1409" t="s">
        <v>19628</v>
      </c>
      <c r="AM1409">
        <v>7200</v>
      </c>
      <c r="AS1409">
        <v>0.7</v>
      </c>
      <c r="AT1409" t="s">
        <v>598</v>
      </c>
      <c r="AU1409" t="s">
        <v>20655</v>
      </c>
      <c r="AV1409" t="s">
        <v>20733</v>
      </c>
    </row>
    <row r="1410" spans="1:48">
      <c r="A1410" s="1">
        <f>HYPERLINK("https://lsnyc.legalserver.org/matter/dynamic-profile/view/1912775","19-1912775")</f>
        <v>0</v>
      </c>
      <c r="B1410" t="s">
        <v>101</v>
      </c>
      <c r="C1410" t="s">
        <v>257</v>
      </c>
      <c r="D1410" t="s">
        <v>563</v>
      </c>
      <c r="E1410" t="s">
        <v>632</v>
      </c>
      <c r="F1410" t="s">
        <v>1877</v>
      </c>
      <c r="G1410" t="s">
        <v>4048</v>
      </c>
      <c r="H1410" t="s">
        <v>6504</v>
      </c>
      <c r="I1410" t="s">
        <v>8119</v>
      </c>
      <c r="J1410" t="s">
        <v>9065</v>
      </c>
      <c r="K1410">
        <v>10456</v>
      </c>
      <c r="L1410" t="s">
        <v>9094</v>
      </c>
      <c r="M1410" t="s">
        <v>9095</v>
      </c>
      <c r="N1410" t="s">
        <v>9726</v>
      </c>
      <c r="O1410" t="s">
        <v>11129</v>
      </c>
      <c r="P1410" t="s">
        <v>11164</v>
      </c>
      <c r="Q1410" t="s">
        <v>11172</v>
      </c>
      <c r="R1410" t="s">
        <v>11180</v>
      </c>
      <c r="S1410" t="s">
        <v>9096</v>
      </c>
      <c r="T1410" t="s">
        <v>11183</v>
      </c>
      <c r="W1410">
        <v>928.11</v>
      </c>
      <c r="X1410" t="s">
        <v>11333</v>
      </c>
      <c r="Y1410" t="s">
        <v>11346</v>
      </c>
      <c r="Z1410" t="s">
        <v>12354</v>
      </c>
      <c r="AB1410" t="s">
        <v>16769</v>
      </c>
      <c r="AC1410">
        <v>45</v>
      </c>
      <c r="AE1410" t="s">
        <v>9144</v>
      </c>
      <c r="AF1410">
        <v>17</v>
      </c>
      <c r="AG1410">
        <v>1</v>
      </c>
      <c r="AH1410">
        <v>0</v>
      </c>
      <c r="AI1410">
        <v>57.65</v>
      </c>
      <c r="AL1410" t="s">
        <v>19614</v>
      </c>
      <c r="AM1410">
        <v>7200</v>
      </c>
      <c r="AS1410">
        <v>0.1</v>
      </c>
      <c r="AT1410" t="s">
        <v>632</v>
      </c>
      <c r="AU1410" t="s">
        <v>20642</v>
      </c>
      <c r="AV1410" t="s">
        <v>20733</v>
      </c>
    </row>
    <row r="1411" spans="1:48">
      <c r="A1411" s="1">
        <f>HYPERLINK("https://lsnyc.legalserver.org/matter/dynamic-profile/view/1911062","19-1911062")</f>
        <v>0</v>
      </c>
      <c r="B1411" t="s">
        <v>119</v>
      </c>
      <c r="C1411" t="s">
        <v>257</v>
      </c>
      <c r="D1411" t="s">
        <v>648</v>
      </c>
      <c r="E1411" t="s">
        <v>1130</v>
      </c>
      <c r="F1411" t="s">
        <v>1146</v>
      </c>
      <c r="G1411" t="s">
        <v>4049</v>
      </c>
      <c r="H1411" t="s">
        <v>6505</v>
      </c>
      <c r="I1411" t="s">
        <v>8419</v>
      </c>
      <c r="J1411" t="s">
        <v>9065</v>
      </c>
      <c r="K1411">
        <v>10452</v>
      </c>
      <c r="L1411" t="s">
        <v>9094</v>
      </c>
      <c r="M1411" t="s">
        <v>9095</v>
      </c>
      <c r="N1411" t="s">
        <v>9727</v>
      </c>
      <c r="O1411" t="s">
        <v>11130</v>
      </c>
      <c r="P1411" t="s">
        <v>11167</v>
      </c>
      <c r="Q1411" t="s">
        <v>11172</v>
      </c>
      <c r="R1411" t="s">
        <v>11180</v>
      </c>
      <c r="S1411" t="s">
        <v>9096</v>
      </c>
      <c r="T1411" t="s">
        <v>11183</v>
      </c>
      <c r="U1411" t="s">
        <v>11201</v>
      </c>
      <c r="V1411" t="s">
        <v>292</v>
      </c>
      <c r="W1411">
        <v>1432</v>
      </c>
      <c r="X1411" t="s">
        <v>11333</v>
      </c>
      <c r="Y1411" t="s">
        <v>11350</v>
      </c>
      <c r="Z1411" t="s">
        <v>12355</v>
      </c>
      <c r="AB1411" t="s">
        <v>16770</v>
      </c>
      <c r="AC1411">
        <v>100</v>
      </c>
      <c r="AD1411" t="s">
        <v>19566</v>
      </c>
      <c r="AE1411" t="s">
        <v>19580</v>
      </c>
      <c r="AF1411">
        <v>45</v>
      </c>
      <c r="AG1411">
        <v>1</v>
      </c>
      <c r="AH1411">
        <v>0</v>
      </c>
      <c r="AI1411">
        <v>57.65</v>
      </c>
      <c r="AL1411" t="s">
        <v>19614</v>
      </c>
      <c r="AM1411">
        <v>7200</v>
      </c>
      <c r="AS1411">
        <v>3.7</v>
      </c>
      <c r="AT1411" t="s">
        <v>1130</v>
      </c>
      <c r="AU1411" t="s">
        <v>20639</v>
      </c>
      <c r="AV1411" t="s">
        <v>20733</v>
      </c>
    </row>
    <row r="1412" spans="1:48">
      <c r="A1412" s="1">
        <f>HYPERLINK("https://lsnyc.legalserver.org/matter/dynamic-profile/view/1909153","19-1909153")</f>
        <v>0</v>
      </c>
      <c r="B1412" t="s">
        <v>117</v>
      </c>
      <c r="C1412" t="s">
        <v>257</v>
      </c>
      <c r="D1412" t="s">
        <v>472</v>
      </c>
      <c r="E1412" t="s">
        <v>339</v>
      </c>
      <c r="F1412" t="s">
        <v>1878</v>
      </c>
      <c r="G1412" t="s">
        <v>1299</v>
      </c>
      <c r="H1412" t="s">
        <v>5898</v>
      </c>
      <c r="I1412" t="s">
        <v>8244</v>
      </c>
      <c r="J1412" t="s">
        <v>9065</v>
      </c>
      <c r="K1412">
        <v>10452</v>
      </c>
      <c r="L1412" t="s">
        <v>9094</v>
      </c>
      <c r="M1412" t="s">
        <v>9095</v>
      </c>
      <c r="P1412" t="s">
        <v>11164</v>
      </c>
      <c r="Q1412" t="s">
        <v>11172</v>
      </c>
      <c r="R1412" t="s">
        <v>11180</v>
      </c>
      <c r="S1412" t="s">
        <v>9096</v>
      </c>
      <c r="T1412" t="s">
        <v>11183</v>
      </c>
      <c r="W1412">
        <v>684.47</v>
      </c>
      <c r="X1412" t="s">
        <v>11333</v>
      </c>
      <c r="Y1412" t="s">
        <v>11346</v>
      </c>
      <c r="Z1412" t="s">
        <v>12356</v>
      </c>
      <c r="AB1412" t="s">
        <v>16771</v>
      </c>
      <c r="AC1412">
        <v>131</v>
      </c>
      <c r="AD1412" t="s">
        <v>19566</v>
      </c>
      <c r="AE1412" t="s">
        <v>19585</v>
      </c>
      <c r="AF1412">
        <v>12</v>
      </c>
      <c r="AG1412">
        <v>1</v>
      </c>
      <c r="AH1412">
        <v>0</v>
      </c>
      <c r="AI1412">
        <v>57.65</v>
      </c>
      <c r="AL1412" t="s">
        <v>19614</v>
      </c>
      <c r="AM1412">
        <v>7200</v>
      </c>
      <c r="AS1412">
        <v>1</v>
      </c>
      <c r="AT1412" t="s">
        <v>259</v>
      </c>
      <c r="AU1412" t="s">
        <v>220</v>
      </c>
      <c r="AV1412" t="s">
        <v>20733</v>
      </c>
    </row>
    <row r="1413" spans="1:48">
      <c r="A1413" s="1">
        <f>HYPERLINK("https://lsnyc.legalserver.org/matter/dynamic-profile/view/1899756","19-1899756")</f>
        <v>0</v>
      </c>
      <c r="B1413" t="s">
        <v>127</v>
      </c>
      <c r="C1413" t="s">
        <v>256</v>
      </c>
      <c r="D1413" t="s">
        <v>261</v>
      </c>
      <c r="F1413" t="s">
        <v>1879</v>
      </c>
      <c r="G1413" t="s">
        <v>4050</v>
      </c>
      <c r="H1413" t="s">
        <v>6506</v>
      </c>
      <c r="I1413" t="s">
        <v>8141</v>
      </c>
      <c r="J1413" t="s">
        <v>9066</v>
      </c>
      <c r="K1413">
        <v>10301</v>
      </c>
      <c r="L1413" t="s">
        <v>9095</v>
      </c>
      <c r="M1413" t="s">
        <v>9095</v>
      </c>
      <c r="N1413" t="s">
        <v>9728</v>
      </c>
      <c r="O1413" t="s">
        <v>11129</v>
      </c>
      <c r="R1413" t="s">
        <v>11180</v>
      </c>
      <c r="T1413" t="s">
        <v>11183</v>
      </c>
      <c r="W1413">
        <v>1200</v>
      </c>
      <c r="X1413" t="s">
        <v>11334</v>
      </c>
      <c r="Y1413" t="s">
        <v>11157</v>
      </c>
      <c r="Z1413" t="s">
        <v>12357</v>
      </c>
      <c r="AB1413" t="s">
        <v>16772</v>
      </c>
      <c r="AC1413">
        <v>5</v>
      </c>
      <c r="AD1413" t="s">
        <v>15441</v>
      </c>
      <c r="AE1413" t="s">
        <v>9144</v>
      </c>
      <c r="AF1413">
        <v>3</v>
      </c>
      <c r="AG1413">
        <v>1</v>
      </c>
      <c r="AH1413">
        <v>0</v>
      </c>
      <c r="AI1413">
        <v>57.65</v>
      </c>
      <c r="AL1413" t="s">
        <v>19614</v>
      </c>
      <c r="AM1413">
        <v>7200</v>
      </c>
      <c r="AS1413">
        <v>0.5</v>
      </c>
      <c r="AT1413" t="s">
        <v>261</v>
      </c>
      <c r="AU1413" t="s">
        <v>20632</v>
      </c>
    </row>
    <row r="1414" spans="1:48">
      <c r="A1414" s="1">
        <f>HYPERLINK("https://lsnyc.legalserver.org/matter/dynamic-profile/view/1887202","19-1887202")</f>
        <v>0</v>
      </c>
      <c r="B1414" t="s">
        <v>66</v>
      </c>
      <c r="C1414" t="s">
        <v>256</v>
      </c>
      <c r="D1414" t="s">
        <v>344</v>
      </c>
      <c r="F1414" t="s">
        <v>1252</v>
      </c>
      <c r="G1414" t="s">
        <v>3443</v>
      </c>
      <c r="H1414" t="s">
        <v>5788</v>
      </c>
      <c r="I1414" t="s">
        <v>8187</v>
      </c>
      <c r="J1414" t="s">
        <v>9059</v>
      </c>
      <c r="K1414">
        <v>11221</v>
      </c>
      <c r="L1414" t="s">
        <v>9094</v>
      </c>
      <c r="M1414" t="s">
        <v>9094</v>
      </c>
      <c r="N1414" t="s">
        <v>9729</v>
      </c>
      <c r="O1414" t="s">
        <v>11128</v>
      </c>
      <c r="P1414" t="s">
        <v>11165</v>
      </c>
      <c r="R1414" t="s">
        <v>11180</v>
      </c>
      <c r="T1414" t="s">
        <v>11183</v>
      </c>
      <c r="V1414" t="s">
        <v>11236</v>
      </c>
      <c r="W1414">
        <v>0</v>
      </c>
      <c r="X1414" t="s">
        <v>11332</v>
      </c>
      <c r="Y1414" t="s">
        <v>11340</v>
      </c>
      <c r="Z1414" t="s">
        <v>11482</v>
      </c>
      <c r="AC1414">
        <v>7</v>
      </c>
      <c r="AD1414" t="s">
        <v>19566</v>
      </c>
      <c r="AF1414">
        <v>0</v>
      </c>
      <c r="AG1414">
        <v>1</v>
      </c>
      <c r="AH1414">
        <v>0</v>
      </c>
      <c r="AI1414">
        <v>57.66</v>
      </c>
      <c r="AL1414" t="s">
        <v>19614</v>
      </c>
      <c r="AM1414">
        <v>6999.96</v>
      </c>
      <c r="AO1414" t="s">
        <v>20293</v>
      </c>
      <c r="AP1414" t="s">
        <v>20309</v>
      </c>
      <c r="AQ1414" t="s">
        <v>20369</v>
      </c>
      <c r="AR1414" t="s">
        <v>20453</v>
      </c>
      <c r="AS1414">
        <v>2</v>
      </c>
      <c r="AT1414" t="s">
        <v>611</v>
      </c>
      <c r="AU1414" t="s">
        <v>215</v>
      </c>
    </row>
    <row r="1415" spans="1:48">
      <c r="A1415" s="1">
        <f>HYPERLINK("https://lsnyc.legalserver.org/matter/dynamic-profile/view/1880701","18-1880701")</f>
        <v>0</v>
      </c>
      <c r="B1415" t="s">
        <v>87</v>
      </c>
      <c r="C1415" t="s">
        <v>256</v>
      </c>
      <c r="D1415" t="s">
        <v>285</v>
      </c>
      <c r="F1415" t="s">
        <v>1252</v>
      </c>
      <c r="G1415" t="s">
        <v>3443</v>
      </c>
      <c r="H1415" t="s">
        <v>5788</v>
      </c>
      <c r="I1415" t="s">
        <v>8187</v>
      </c>
      <c r="J1415" t="s">
        <v>9059</v>
      </c>
      <c r="K1415">
        <v>11221</v>
      </c>
      <c r="L1415" t="s">
        <v>9094</v>
      </c>
      <c r="M1415" t="s">
        <v>9094</v>
      </c>
      <c r="N1415" t="s">
        <v>9172</v>
      </c>
      <c r="O1415" t="s">
        <v>11130</v>
      </c>
      <c r="P1415" t="s">
        <v>11165</v>
      </c>
      <c r="R1415" t="s">
        <v>11180</v>
      </c>
      <c r="T1415" t="s">
        <v>11183</v>
      </c>
      <c r="V1415" t="s">
        <v>285</v>
      </c>
      <c r="W1415">
        <v>640</v>
      </c>
      <c r="X1415" t="s">
        <v>11332</v>
      </c>
      <c r="Z1415" t="s">
        <v>11482</v>
      </c>
      <c r="AC1415">
        <v>7</v>
      </c>
      <c r="AE1415" t="s">
        <v>9144</v>
      </c>
      <c r="AF1415">
        <v>18</v>
      </c>
      <c r="AG1415">
        <v>1</v>
      </c>
      <c r="AH1415">
        <v>0</v>
      </c>
      <c r="AI1415">
        <v>57.66</v>
      </c>
      <c r="AL1415" t="s">
        <v>19614</v>
      </c>
      <c r="AM1415">
        <v>7000</v>
      </c>
      <c r="AS1415">
        <v>12.95</v>
      </c>
      <c r="AT1415" t="s">
        <v>324</v>
      </c>
      <c r="AU1415" t="s">
        <v>20633</v>
      </c>
    </row>
    <row r="1416" spans="1:48">
      <c r="A1416" s="1">
        <f>HYPERLINK("https://lsnyc.legalserver.org/matter/dynamic-profile/view/0823980","17-0823980")</f>
        <v>0</v>
      </c>
      <c r="B1416" t="s">
        <v>76</v>
      </c>
      <c r="C1416" t="s">
        <v>256</v>
      </c>
      <c r="D1416" t="s">
        <v>787</v>
      </c>
      <c r="F1416" t="s">
        <v>1880</v>
      </c>
      <c r="G1416" t="s">
        <v>4051</v>
      </c>
      <c r="H1416" t="s">
        <v>6507</v>
      </c>
      <c r="I1416" t="s">
        <v>8270</v>
      </c>
      <c r="J1416" t="s">
        <v>9059</v>
      </c>
      <c r="K1416">
        <v>11204</v>
      </c>
      <c r="L1416" t="s">
        <v>9094</v>
      </c>
      <c r="M1416" t="s">
        <v>9095</v>
      </c>
      <c r="P1416" t="s">
        <v>11167</v>
      </c>
      <c r="R1416" t="s">
        <v>11181</v>
      </c>
      <c r="T1416" t="s">
        <v>11183</v>
      </c>
      <c r="V1416" t="s">
        <v>916</v>
      </c>
      <c r="W1416">
        <v>1038</v>
      </c>
      <c r="X1416" t="s">
        <v>11332</v>
      </c>
      <c r="Y1416" t="s">
        <v>11337</v>
      </c>
      <c r="Z1416" t="s">
        <v>12358</v>
      </c>
      <c r="AA1416" t="s">
        <v>15549</v>
      </c>
      <c r="AC1416">
        <v>40</v>
      </c>
      <c r="AD1416" t="s">
        <v>19566</v>
      </c>
      <c r="AE1416" t="s">
        <v>19582</v>
      </c>
      <c r="AF1416">
        <v>16</v>
      </c>
      <c r="AG1416">
        <v>1</v>
      </c>
      <c r="AH1416">
        <v>1</v>
      </c>
      <c r="AI1416">
        <v>57.68</v>
      </c>
      <c r="AJ1416" t="s">
        <v>19591</v>
      </c>
      <c r="AK1416" t="s">
        <v>19608</v>
      </c>
      <c r="AL1416" t="s">
        <v>19627</v>
      </c>
      <c r="AM1416">
        <v>9240</v>
      </c>
      <c r="AS1416">
        <v>9.550000000000001</v>
      </c>
      <c r="AT1416" t="s">
        <v>1059</v>
      </c>
      <c r="AU1416" t="s">
        <v>20695</v>
      </c>
    </row>
    <row r="1417" spans="1:48">
      <c r="A1417" s="1">
        <f>HYPERLINK("https://lsnyc.legalserver.org/matter/dynamic-profile/view/1889053","19-1889053")</f>
        <v>0</v>
      </c>
      <c r="B1417" t="s">
        <v>82</v>
      </c>
      <c r="C1417" t="s">
        <v>257</v>
      </c>
      <c r="D1417" t="s">
        <v>503</v>
      </c>
      <c r="E1417" t="s">
        <v>496</v>
      </c>
      <c r="F1417" t="s">
        <v>1468</v>
      </c>
      <c r="G1417" t="s">
        <v>3784</v>
      </c>
      <c r="H1417" t="s">
        <v>6508</v>
      </c>
      <c r="I1417">
        <v>10</v>
      </c>
      <c r="J1417" t="s">
        <v>9059</v>
      </c>
      <c r="K1417">
        <v>11225</v>
      </c>
      <c r="L1417" t="s">
        <v>9094</v>
      </c>
      <c r="M1417" t="s">
        <v>9094</v>
      </c>
      <c r="N1417" t="s">
        <v>9730</v>
      </c>
      <c r="O1417" t="s">
        <v>11130</v>
      </c>
      <c r="P1417" t="s">
        <v>11165</v>
      </c>
      <c r="Q1417" t="s">
        <v>11174</v>
      </c>
      <c r="R1417" t="s">
        <v>11180</v>
      </c>
      <c r="S1417" t="s">
        <v>9096</v>
      </c>
      <c r="T1417" t="s">
        <v>11183</v>
      </c>
      <c r="U1417" t="s">
        <v>11201</v>
      </c>
      <c r="V1417" t="s">
        <v>354</v>
      </c>
      <c r="W1417">
        <v>1519.6</v>
      </c>
      <c r="X1417" t="s">
        <v>11332</v>
      </c>
      <c r="Z1417" t="s">
        <v>12359</v>
      </c>
      <c r="AC1417">
        <v>12</v>
      </c>
      <c r="AD1417" t="s">
        <v>19566</v>
      </c>
      <c r="AE1417" t="s">
        <v>19580</v>
      </c>
      <c r="AF1417">
        <v>17</v>
      </c>
      <c r="AG1417">
        <v>2</v>
      </c>
      <c r="AH1417">
        <v>0</v>
      </c>
      <c r="AI1417">
        <v>57.69</v>
      </c>
      <c r="AL1417" t="s">
        <v>19615</v>
      </c>
      <c r="AM1417">
        <v>9756</v>
      </c>
      <c r="AQ1417" t="s">
        <v>20369</v>
      </c>
      <c r="AR1417" t="s">
        <v>20454</v>
      </c>
      <c r="AS1417">
        <v>49.1</v>
      </c>
      <c r="AT1417" t="s">
        <v>549</v>
      </c>
      <c r="AU1417" t="s">
        <v>215</v>
      </c>
      <c r="AV1417" t="s">
        <v>20733</v>
      </c>
    </row>
    <row r="1418" spans="1:48">
      <c r="A1418" s="1">
        <f>HYPERLINK("https://lsnyc.legalserver.org/matter/dynamic-profile/view/1893248","19-1893248")</f>
        <v>0</v>
      </c>
      <c r="B1418" t="s">
        <v>82</v>
      </c>
      <c r="C1418" t="s">
        <v>257</v>
      </c>
      <c r="D1418" t="s">
        <v>719</v>
      </c>
      <c r="E1418" t="s">
        <v>367</v>
      </c>
      <c r="F1418" t="s">
        <v>1468</v>
      </c>
      <c r="G1418" t="s">
        <v>3784</v>
      </c>
      <c r="H1418" t="s">
        <v>6508</v>
      </c>
      <c r="I1418">
        <v>10</v>
      </c>
      <c r="J1418" t="s">
        <v>9059</v>
      </c>
      <c r="K1418">
        <v>11225</v>
      </c>
      <c r="L1418" t="s">
        <v>9094</v>
      </c>
      <c r="M1418" t="s">
        <v>9094</v>
      </c>
      <c r="O1418" t="s">
        <v>11140</v>
      </c>
      <c r="P1418" t="s">
        <v>11166</v>
      </c>
      <c r="Q1418" t="s">
        <v>11173</v>
      </c>
      <c r="R1418" t="s">
        <v>11180</v>
      </c>
      <c r="S1418" t="s">
        <v>9096</v>
      </c>
      <c r="T1418" t="s">
        <v>11183</v>
      </c>
      <c r="V1418" t="s">
        <v>700</v>
      </c>
      <c r="W1418">
        <v>1519.6</v>
      </c>
      <c r="X1418" t="s">
        <v>11332</v>
      </c>
      <c r="Z1418" t="s">
        <v>12359</v>
      </c>
      <c r="AC1418">
        <v>12</v>
      </c>
      <c r="AD1418" t="s">
        <v>19566</v>
      </c>
      <c r="AE1418" t="s">
        <v>19580</v>
      </c>
      <c r="AF1418">
        <v>17</v>
      </c>
      <c r="AG1418">
        <v>2</v>
      </c>
      <c r="AH1418">
        <v>0</v>
      </c>
      <c r="AI1418">
        <v>57.69</v>
      </c>
      <c r="AL1418" t="s">
        <v>19615</v>
      </c>
      <c r="AM1418">
        <v>9756</v>
      </c>
      <c r="AN1418" t="s">
        <v>19789</v>
      </c>
      <c r="AQ1418" t="s">
        <v>20369</v>
      </c>
      <c r="AR1418" t="s">
        <v>20388</v>
      </c>
      <c r="AS1418">
        <v>1.1</v>
      </c>
      <c r="AT1418" t="s">
        <v>278</v>
      </c>
      <c r="AU1418" t="s">
        <v>215</v>
      </c>
      <c r="AV1418" t="s">
        <v>20733</v>
      </c>
    </row>
    <row r="1419" spans="1:48">
      <c r="A1419" s="1">
        <f>HYPERLINK("https://lsnyc.legalserver.org/matter/dynamic-profile/view/1910104","19-1910104")</f>
        <v>0</v>
      </c>
      <c r="B1419" t="s">
        <v>82</v>
      </c>
      <c r="C1419" t="s">
        <v>256</v>
      </c>
      <c r="D1419" t="s">
        <v>435</v>
      </c>
      <c r="F1419" t="s">
        <v>1468</v>
      </c>
      <c r="G1419" t="s">
        <v>3784</v>
      </c>
      <c r="H1419" t="s">
        <v>6508</v>
      </c>
      <c r="I1419">
        <v>10</v>
      </c>
      <c r="J1419" t="s">
        <v>9059</v>
      </c>
      <c r="K1419">
        <v>11225</v>
      </c>
      <c r="L1419" t="s">
        <v>9094</v>
      </c>
      <c r="M1419" t="s">
        <v>9095</v>
      </c>
      <c r="N1419" t="s">
        <v>9144</v>
      </c>
      <c r="O1419" t="s">
        <v>11140</v>
      </c>
      <c r="P1419" t="s">
        <v>11166</v>
      </c>
      <c r="R1419" t="s">
        <v>11180</v>
      </c>
      <c r="S1419" t="s">
        <v>9096</v>
      </c>
      <c r="T1419" t="s">
        <v>11183</v>
      </c>
      <c r="U1419" t="s">
        <v>11201</v>
      </c>
      <c r="V1419" t="s">
        <v>435</v>
      </c>
      <c r="W1419">
        <v>1519.6</v>
      </c>
      <c r="X1419" t="s">
        <v>11332</v>
      </c>
      <c r="Z1419" t="s">
        <v>12359</v>
      </c>
      <c r="AC1419">
        <v>12</v>
      </c>
      <c r="AD1419" t="s">
        <v>19566</v>
      </c>
      <c r="AF1419">
        <v>17</v>
      </c>
      <c r="AG1419">
        <v>2</v>
      </c>
      <c r="AH1419">
        <v>0</v>
      </c>
      <c r="AI1419">
        <v>57.69</v>
      </c>
      <c r="AL1419" t="s">
        <v>19615</v>
      </c>
      <c r="AM1419">
        <v>9756</v>
      </c>
      <c r="AS1419">
        <v>12.2</v>
      </c>
      <c r="AT1419" t="s">
        <v>556</v>
      </c>
      <c r="AU1419" t="s">
        <v>82</v>
      </c>
    </row>
    <row r="1420" spans="1:48">
      <c r="A1420" s="1">
        <f>HYPERLINK("https://lsnyc.legalserver.org/matter/dynamic-profile/view/1904604","19-1904604")</f>
        <v>0</v>
      </c>
      <c r="B1420" t="s">
        <v>114</v>
      </c>
      <c r="C1420" t="s">
        <v>256</v>
      </c>
      <c r="D1420" t="s">
        <v>615</v>
      </c>
      <c r="F1420" t="s">
        <v>1881</v>
      </c>
      <c r="G1420" t="s">
        <v>4052</v>
      </c>
      <c r="H1420" t="s">
        <v>6509</v>
      </c>
      <c r="I1420">
        <v>7</v>
      </c>
      <c r="J1420" t="s">
        <v>9065</v>
      </c>
      <c r="K1420">
        <v>10460</v>
      </c>
      <c r="L1420" t="s">
        <v>9094</v>
      </c>
      <c r="M1420" t="s">
        <v>9095</v>
      </c>
      <c r="N1420" t="s">
        <v>9731</v>
      </c>
      <c r="O1420" t="s">
        <v>11140</v>
      </c>
      <c r="P1420" t="s">
        <v>11165</v>
      </c>
      <c r="R1420" t="s">
        <v>11180</v>
      </c>
      <c r="S1420" t="s">
        <v>9096</v>
      </c>
      <c r="T1420" t="s">
        <v>11183</v>
      </c>
      <c r="V1420" t="s">
        <v>487</v>
      </c>
      <c r="W1420">
        <v>0</v>
      </c>
      <c r="X1420" t="s">
        <v>11333</v>
      </c>
      <c r="Y1420" t="s">
        <v>11340</v>
      </c>
      <c r="Z1420" t="s">
        <v>12360</v>
      </c>
      <c r="AA1420" t="s">
        <v>15550</v>
      </c>
      <c r="AB1420" t="s">
        <v>16773</v>
      </c>
      <c r="AC1420">
        <v>30</v>
      </c>
      <c r="AD1420" t="s">
        <v>19567</v>
      </c>
      <c r="AE1420" t="s">
        <v>19580</v>
      </c>
      <c r="AF1420">
        <v>0</v>
      </c>
      <c r="AG1420">
        <v>2</v>
      </c>
      <c r="AH1420">
        <v>1</v>
      </c>
      <c r="AI1420">
        <v>57.72</v>
      </c>
      <c r="AL1420" t="s">
        <v>19614</v>
      </c>
      <c r="AM1420">
        <v>12312</v>
      </c>
      <c r="AS1420">
        <v>0</v>
      </c>
      <c r="AU1420" t="s">
        <v>163</v>
      </c>
      <c r="AV1420" t="s">
        <v>20733</v>
      </c>
    </row>
    <row r="1421" spans="1:48">
      <c r="A1421" s="1">
        <f>HYPERLINK("https://lsnyc.legalserver.org/matter/dynamic-profile/view/1871005","18-1871005")</f>
        <v>0</v>
      </c>
      <c r="B1421" t="s">
        <v>193</v>
      </c>
      <c r="C1421" t="s">
        <v>256</v>
      </c>
      <c r="D1421" t="s">
        <v>715</v>
      </c>
      <c r="F1421" t="s">
        <v>1552</v>
      </c>
      <c r="G1421" t="s">
        <v>4053</v>
      </c>
      <c r="H1421" t="s">
        <v>6510</v>
      </c>
      <c r="I1421" t="s">
        <v>8436</v>
      </c>
      <c r="J1421" t="s">
        <v>9053</v>
      </c>
      <c r="K1421">
        <v>11372</v>
      </c>
      <c r="L1421" t="s">
        <v>9094</v>
      </c>
      <c r="M1421" t="s">
        <v>9095</v>
      </c>
      <c r="N1421" t="s">
        <v>9144</v>
      </c>
      <c r="O1421" t="s">
        <v>11136</v>
      </c>
      <c r="P1421" t="s">
        <v>11166</v>
      </c>
      <c r="R1421" t="s">
        <v>11180</v>
      </c>
      <c r="T1421" t="s">
        <v>11189</v>
      </c>
      <c r="V1421" t="s">
        <v>715</v>
      </c>
      <c r="W1421">
        <v>1724.69</v>
      </c>
      <c r="X1421" t="s">
        <v>11331</v>
      </c>
      <c r="Y1421" t="s">
        <v>11336</v>
      </c>
      <c r="Z1421" t="s">
        <v>12361</v>
      </c>
      <c r="AA1421" t="s">
        <v>9171</v>
      </c>
      <c r="AB1421" t="s">
        <v>16774</v>
      </c>
      <c r="AC1421">
        <v>60</v>
      </c>
      <c r="AD1421" t="s">
        <v>15441</v>
      </c>
      <c r="AE1421" t="s">
        <v>9144</v>
      </c>
      <c r="AF1421">
        <v>60</v>
      </c>
      <c r="AG1421">
        <v>2</v>
      </c>
      <c r="AH1421">
        <v>1</v>
      </c>
      <c r="AI1421">
        <v>57.75</v>
      </c>
      <c r="AM1421">
        <v>12000</v>
      </c>
      <c r="AS1421">
        <v>0</v>
      </c>
      <c r="AU1421" t="s">
        <v>153</v>
      </c>
    </row>
    <row r="1422" spans="1:48">
      <c r="A1422" s="1">
        <f>HYPERLINK("https://lsnyc.legalserver.org/matter/dynamic-profile/view/0822074","16-0822074")</f>
        <v>0</v>
      </c>
      <c r="B1422" t="s">
        <v>103</v>
      </c>
      <c r="C1422" t="s">
        <v>256</v>
      </c>
      <c r="D1422" t="s">
        <v>463</v>
      </c>
      <c r="F1422" t="s">
        <v>1882</v>
      </c>
      <c r="G1422" t="s">
        <v>3588</v>
      </c>
      <c r="H1422" t="s">
        <v>5899</v>
      </c>
      <c r="I1422" t="s">
        <v>8168</v>
      </c>
      <c r="J1422" t="s">
        <v>9065</v>
      </c>
      <c r="K1422">
        <v>10452</v>
      </c>
      <c r="L1422" t="s">
        <v>9094</v>
      </c>
      <c r="M1422" t="s">
        <v>9095</v>
      </c>
      <c r="O1422" t="s">
        <v>11135</v>
      </c>
      <c r="P1422" t="s">
        <v>11168</v>
      </c>
      <c r="R1422" t="s">
        <v>11180</v>
      </c>
      <c r="S1422" t="s">
        <v>9094</v>
      </c>
      <c r="T1422" t="s">
        <v>11183</v>
      </c>
      <c r="V1422" t="s">
        <v>714</v>
      </c>
      <c r="W1422">
        <v>0</v>
      </c>
      <c r="X1422" t="s">
        <v>11333</v>
      </c>
      <c r="Y1422" t="s">
        <v>11346</v>
      </c>
      <c r="Z1422" t="s">
        <v>12362</v>
      </c>
      <c r="AB1422" t="s">
        <v>16775</v>
      </c>
      <c r="AC1422">
        <v>63</v>
      </c>
      <c r="AD1422" t="s">
        <v>19566</v>
      </c>
      <c r="AE1422" t="s">
        <v>19580</v>
      </c>
      <c r="AF1422">
        <v>0</v>
      </c>
      <c r="AG1422">
        <v>2</v>
      </c>
      <c r="AH1422">
        <v>0</v>
      </c>
      <c r="AI1422">
        <v>57.75</v>
      </c>
      <c r="AL1422" t="s">
        <v>19615</v>
      </c>
      <c r="AM1422">
        <v>9252</v>
      </c>
      <c r="AS1422">
        <v>0</v>
      </c>
      <c r="AU1422" t="s">
        <v>20643</v>
      </c>
    </row>
    <row r="1423" spans="1:48">
      <c r="A1423" s="1">
        <f>HYPERLINK("https://lsnyc.legalserver.org/matter/dynamic-profile/view/0822078","16-0822078")</f>
        <v>0</v>
      </c>
      <c r="B1423" t="s">
        <v>103</v>
      </c>
      <c r="C1423" t="s">
        <v>256</v>
      </c>
      <c r="D1423" t="s">
        <v>519</v>
      </c>
      <c r="F1423" t="s">
        <v>1882</v>
      </c>
      <c r="G1423" t="s">
        <v>3588</v>
      </c>
      <c r="H1423" t="s">
        <v>5899</v>
      </c>
      <c r="I1423" t="s">
        <v>8168</v>
      </c>
      <c r="J1423" t="s">
        <v>9065</v>
      </c>
      <c r="K1423">
        <v>10452</v>
      </c>
      <c r="L1423" t="s">
        <v>9094</v>
      </c>
      <c r="M1423" t="s">
        <v>9095</v>
      </c>
      <c r="O1423" t="s">
        <v>11135</v>
      </c>
      <c r="P1423" t="s">
        <v>11168</v>
      </c>
      <c r="R1423" t="s">
        <v>11180</v>
      </c>
      <c r="S1423" t="s">
        <v>9094</v>
      </c>
      <c r="T1423" t="s">
        <v>11183</v>
      </c>
      <c r="V1423" t="s">
        <v>519</v>
      </c>
      <c r="W1423">
        <v>0</v>
      </c>
      <c r="X1423" t="s">
        <v>11333</v>
      </c>
      <c r="Y1423" t="s">
        <v>11346</v>
      </c>
      <c r="Z1423" t="s">
        <v>12362</v>
      </c>
      <c r="AB1423" t="s">
        <v>16775</v>
      </c>
      <c r="AC1423">
        <v>63</v>
      </c>
      <c r="AD1423" t="s">
        <v>19566</v>
      </c>
      <c r="AE1423" t="s">
        <v>19580</v>
      </c>
      <c r="AF1423">
        <v>0</v>
      </c>
      <c r="AG1423">
        <v>2</v>
      </c>
      <c r="AH1423">
        <v>0</v>
      </c>
      <c r="AI1423">
        <v>57.75</v>
      </c>
      <c r="AL1423" t="s">
        <v>19615</v>
      </c>
      <c r="AM1423">
        <v>9252</v>
      </c>
      <c r="AS1423">
        <v>0</v>
      </c>
      <c r="AU1423" t="s">
        <v>20643</v>
      </c>
    </row>
    <row r="1424" spans="1:48">
      <c r="A1424" s="1">
        <f>HYPERLINK("https://lsnyc.legalserver.org/matter/dynamic-profile/view/1876456","18-1876456")</f>
        <v>0</v>
      </c>
      <c r="B1424" t="s">
        <v>103</v>
      </c>
      <c r="C1424" t="s">
        <v>256</v>
      </c>
      <c r="D1424" t="s">
        <v>773</v>
      </c>
      <c r="F1424" t="s">
        <v>1750</v>
      </c>
      <c r="G1424" t="s">
        <v>3448</v>
      </c>
      <c r="H1424" t="s">
        <v>6413</v>
      </c>
      <c r="I1424" t="s">
        <v>8283</v>
      </c>
      <c r="J1424" t="s">
        <v>9065</v>
      </c>
      <c r="K1424">
        <v>10456</v>
      </c>
      <c r="L1424" t="s">
        <v>9094</v>
      </c>
      <c r="M1424" t="s">
        <v>9094</v>
      </c>
      <c r="N1424" t="s">
        <v>9648</v>
      </c>
      <c r="O1424" t="s">
        <v>11134</v>
      </c>
      <c r="P1424" t="s">
        <v>11168</v>
      </c>
      <c r="R1424" t="s">
        <v>11180</v>
      </c>
      <c r="S1424" t="s">
        <v>9094</v>
      </c>
      <c r="T1424" t="s">
        <v>11183</v>
      </c>
      <c r="V1424" t="s">
        <v>945</v>
      </c>
      <c r="W1424">
        <v>1290</v>
      </c>
      <c r="X1424" t="s">
        <v>11333</v>
      </c>
      <c r="Y1424" t="s">
        <v>11346</v>
      </c>
      <c r="Z1424" t="s">
        <v>12363</v>
      </c>
      <c r="AB1424" t="s">
        <v>16776</v>
      </c>
      <c r="AC1424">
        <v>61</v>
      </c>
      <c r="AD1424" t="s">
        <v>19566</v>
      </c>
      <c r="AE1424" t="s">
        <v>19580</v>
      </c>
      <c r="AF1424">
        <v>21</v>
      </c>
      <c r="AG1424">
        <v>1</v>
      </c>
      <c r="AH1424">
        <v>1</v>
      </c>
      <c r="AI1424">
        <v>57.81</v>
      </c>
      <c r="AL1424" t="s">
        <v>19615</v>
      </c>
      <c r="AM1424">
        <v>9516</v>
      </c>
      <c r="AS1424">
        <v>0</v>
      </c>
      <c r="AU1424" t="s">
        <v>163</v>
      </c>
    </row>
    <row r="1425" spans="1:48">
      <c r="A1425" s="1">
        <f>HYPERLINK("https://lsnyc.legalserver.org/matter/dynamic-profile/view/1880595","18-1880595")</f>
        <v>0</v>
      </c>
      <c r="B1425" t="s">
        <v>103</v>
      </c>
      <c r="C1425" t="s">
        <v>256</v>
      </c>
      <c r="D1425" t="s">
        <v>477</v>
      </c>
      <c r="F1425" t="s">
        <v>1750</v>
      </c>
      <c r="G1425" t="s">
        <v>3448</v>
      </c>
      <c r="H1425" t="s">
        <v>6413</v>
      </c>
      <c r="I1425" t="s">
        <v>8283</v>
      </c>
      <c r="J1425" t="s">
        <v>9065</v>
      </c>
      <c r="K1425">
        <v>10456</v>
      </c>
      <c r="L1425" t="s">
        <v>9094</v>
      </c>
      <c r="M1425" t="s">
        <v>9094</v>
      </c>
      <c r="N1425" t="s">
        <v>9732</v>
      </c>
      <c r="O1425" t="s">
        <v>11134</v>
      </c>
      <c r="P1425" t="s">
        <v>11168</v>
      </c>
      <c r="R1425" t="s">
        <v>11180</v>
      </c>
      <c r="S1425" t="s">
        <v>9094</v>
      </c>
      <c r="T1425" t="s">
        <v>11183</v>
      </c>
      <c r="V1425" t="s">
        <v>617</v>
      </c>
      <c r="W1425">
        <v>1290</v>
      </c>
      <c r="X1425" t="s">
        <v>11333</v>
      </c>
      <c r="Y1425" t="s">
        <v>11346</v>
      </c>
      <c r="Z1425" t="s">
        <v>12363</v>
      </c>
      <c r="AB1425" t="s">
        <v>16776</v>
      </c>
      <c r="AC1425">
        <v>61</v>
      </c>
      <c r="AD1425" t="s">
        <v>19566</v>
      </c>
      <c r="AE1425" t="s">
        <v>19580</v>
      </c>
      <c r="AF1425">
        <v>21</v>
      </c>
      <c r="AG1425">
        <v>1</v>
      </c>
      <c r="AH1425">
        <v>1</v>
      </c>
      <c r="AI1425">
        <v>57.81</v>
      </c>
      <c r="AL1425" t="s">
        <v>19615</v>
      </c>
      <c r="AM1425">
        <v>9516</v>
      </c>
      <c r="AS1425">
        <v>0</v>
      </c>
      <c r="AU1425" t="s">
        <v>20642</v>
      </c>
    </row>
    <row r="1426" spans="1:48">
      <c r="A1426" s="1">
        <f>HYPERLINK("https://lsnyc.legalserver.org/matter/dynamic-profile/view/1882287","18-1882287")</f>
        <v>0</v>
      </c>
      <c r="B1426" t="s">
        <v>114</v>
      </c>
      <c r="C1426" t="s">
        <v>257</v>
      </c>
      <c r="D1426" t="s">
        <v>581</v>
      </c>
      <c r="E1426" t="s">
        <v>563</v>
      </c>
      <c r="F1426" t="s">
        <v>1183</v>
      </c>
      <c r="G1426" t="s">
        <v>4054</v>
      </c>
      <c r="H1426" t="s">
        <v>5907</v>
      </c>
      <c r="I1426" t="s">
        <v>8437</v>
      </c>
      <c r="J1426" t="s">
        <v>9065</v>
      </c>
      <c r="K1426">
        <v>10451</v>
      </c>
      <c r="L1426" t="s">
        <v>9094</v>
      </c>
      <c r="M1426" t="s">
        <v>9094</v>
      </c>
      <c r="N1426" t="s">
        <v>9259</v>
      </c>
      <c r="O1426" t="s">
        <v>11130</v>
      </c>
      <c r="P1426" t="s">
        <v>11165</v>
      </c>
      <c r="Q1426" t="s">
        <v>11174</v>
      </c>
      <c r="R1426" t="s">
        <v>11180</v>
      </c>
      <c r="S1426" t="s">
        <v>9094</v>
      </c>
      <c r="T1426" t="s">
        <v>11183</v>
      </c>
      <c r="V1426" t="s">
        <v>738</v>
      </c>
      <c r="W1426">
        <v>1205</v>
      </c>
      <c r="X1426" t="s">
        <v>11333</v>
      </c>
      <c r="Y1426" t="s">
        <v>11346</v>
      </c>
      <c r="Z1426" t="s">
        <v>12364</v>
      </c>
      <c r="AB1426" t="s">
        <v>16777</v>
      </c>
      <c r="AC1426">
        <v>100</v>
      </c>
      <c r="AD1426" t="s">
        <v>19566</v>
      </c>
      <c r="AE1426" t="s">
        <v>19580</v>
      </c>
      <c r="AF1426">
        <v>46</v>
      </c>
      <c r="AG1426">
        <v>2</v>
      </c>
      <c r="AH1426">
        <v>0</v>
      </c>
      <c r="AI1426">
        <v>57.81</v>
      </c>
      <c r="AL1426" t="s">
        <v>19615</v>
      </c>
      <c r="AM1426">
        <v>9516</v>
      </c>
      <c r="AS1426">
        <v>0.25</v>
      </c>
      <c r="AT1426" t="s">
        <v>563</v>
      </c>
      <c r="AU1426" t="s">
        <v>163</v>
      </c>
    </row>
    <row r="1427" spans="1:48">
      <c r="A1427" s="1">
        <f>HYPERLINK("https://lsnyc.legalserver.org/matter/dynamic-profile/view/1891713","19-1891713")</f>
        <v>0</v>
      </c>
      <c r="B1427" t="s">
        <v>70</v>
      </c>
      <c r="C1427" t="s">
        <v>256</v>
      </c>
      <c r="D1427" t="s">
        <v>788</v>
      </c>
      <c r="F1427" t="s">
        <v>1428</v>
      </c>
      <c r="G1427" t="s">
        <v>3611</v>
      </c>
      <c r="H1427" t="s">
        <v>5748</v>
      </c>
      <c r="I1427" t="s">
        <v>8269</v>
      </c>
      <c r="J1427" t="s">
        <v>9059</v>
      </c>
      <c r="K1427">
        <v>11233</v>
      </c>
      <c r="L1427" t="s">
        <v>9094</v>
      </c>
      <c r="M1427" t="s">
        <v>9094</v>
      </c>
      <c r="N1427" t="s">
        <v>9171</v>
      </c>
      <c r="O1427" t="s">
        <v>11137</v>
      </c>
      <c r="P1427" t="s">
        <v>11167</v>
      </c>
      <c r="R1427" t="s">
        <v>11180</v>
      </c>
      <c r="S1427" t="s">
        <v>9094</v>
      </c>
      <c r="T1427" t="s">
        <v>11183</v>
      </c>
      <c r="U1427" t="s">
        <v>11201</v>
      </c>
      <c r="V1427" t="s">
        <v>749</v>
      </c>
      <c r="W1427">
        <v>1036</v>
      </c>
      <c r="X1427" t="s">
        <v>11332</v>
      </c>
      <c r="Z1427" t="s">
        <v>11689</v>
      </c>
      <c r="AB1427" t="s">
        <v>16162</v>
      </c>
      <c r="AC1427">
        <v>359</v>
      </c>
      <c r="AD1427" t="s">
        <v>19566</v>
      </c>
      <c r="AE1427" t="s">
        <v>19580</v>
      </c>
      <c r="AF1427">
        <v>13</v>
      </c>
      <c r="AG1427">
        <v>2</v>
      </c>
      <c r="AH1427">
        <v>4</v>
      </c>
      <c r="AI1427">
        <v>57.82</v>
      </c>
      <c r="AL1427" t="s">
        <v>19614</v>
      </c>
      <c r="AM1427">
        <v>20000</v>
      </c>
      <c r="AN1427" t="s">
        <v>19790</v>
      </c>
      <c r="AS1427">
        <v>0</v>
      </c>
      <c r="AU1427" t="s">
        <v>95</v>
      </c>
    </row>
    <row r="1428" spans="1:48">
      <c r="A1428" s="1">
        <f>HYPERLINK("https://lsnyc.legalserver.org/matter/dynamic-profile/view/1898722","19-1898722")</f>
        <v>0</v>
      </c>
      <c r="B1428" t="s">
        <v>52</v>
      </c>
      <c r="C1428" t="s">
        <v>256</v>
      </c>
      <c r="D1428" t="s">
        <v>361</v>
      </c>
      <c r="F1428" t="s">
        <v>1146</v>
      </c>
      <c r="G1428" t="s">
        <v>3370</v>
      </c>
      <c r="H1428" t="s">
        <v>6511</v>
      </c>
      <c r="I1428" t="s">
        <v>8172</v>
      </c>
      <c r="J1428" t="s">
        <v>9053</v>
      </c>
      <c r="K1428">
        <v>11372</v>
      </c>
      <c r="L1428" t="s">
        <v>9094</v>
      </c>
      <c r="M1428" t="s">
        <v>9094</v>
      </c>
      <c r="N1428" t="s">
        <v>9733</v>
      </c>
      <c r="O1428" t="s">
        <v>11129</v>
      </c>
      <c r="P1428" t="s">
        <v>11165</v>
      </c>
      <c r="R1428" t="s">
        <v>11180</v>
      </c>
      <c r="S1428" t="s">
        <v>9096</v>
      </c>
      <c r="T1428" t="s">
        <v>11183</v>
      </c>
      <c r="U1428" t="s">
        <v>11201</v>
      </c>
      <c r="V1428" t="s">
        <v>361</v>
      </c>
      <c r="W1428">
        <v>1010.12</v>
      </c>
      <c r="X1428" t="s">
        <v>11331</v>
      </c>
      <c r="Y1428" t="s">
        <v>11336</v>
      </c>
      <c r="Z1428" t="s">
        <v>12365</v>
      </c>
      <c r="AA1428" t="s">
        <v>15274</v>
      </c>
      <c r="AB1428" t="s">
        <v>16778</v>
      </c>
      <c r="AC1428">
        <v>57</v>
      </c>
      <c r="AD1428" t="s">
        <v>19566</v>
      </c>
      <c r="AE1428" t="s">
        <v>9144</v>
      </c>
      <c r="AF1428">
        <v>25</v>
      </c>
      <c r="AG1428">
        <v>3</v>
      </c>
      <c r="AH1428">
        <v>0</v>
      </c>
      <c r="AI1428">
        <v>57.83</v>
      </c>
      <c r="AL1428" t="s">
        <v>19615</v>
      </c>
      <c r="AM1428">
        <v>12336</v>
      </c>
      <c r="AS1428">
        <v>35.8</v>
      </c>
      <c r="AT1428" t="s">
        <v>314</v>
      </c>
      <c r="AU1428" t="s">
        <v>20620</v>
      </c>
      <c r="AV1428" t="s">
        <v>20733</v>
      </c>
    </row>
    <row r="1429" spans="1:48">
      <c r="A1429" s="1">
        <f>HYPERLINK("https://lsnyc.legalserver.org/matter/dynamic-profile/view/1898093","19-1898093")</f>
        <v>0</v>
      </c>
      <c r="B1429" t="s">
        <v>57</v>
      </c>
      <c r="C1429" t="s">
        <v>256</v>
      </c>
      <c r="D1429" t="s">
        <v>470</v>
      </c>
      <c r="F1429" t="s">
        <v>1674</v>
      </c>
      <c r="G1429" t="s">
        <v>3841</v>
      </c>
      <c r="H1429" t="s">
        <v>6261</v>
      </c>
      <c r="I1429" t="s">
        <v>8112</v>
      </c>
      <c r="J1429" t="s">
        <v>9056</v>
      </c>
      <c r="K1429">
        <v>11365</v>
      </c>
      <c r="L1429" t="s">
        <v>9094</v>
      </c>
      <c r="M1429" t="s">
        <v>9094</v>
      </c>
      <c r="O1429" t="s">
        <v>11152</v>
      </c>
      <c r="P1429" t="s">
        <v>11166</v>
      </c>
      <c r="R1429" t="s">
        <v>11181</v>
      </c>
      <c r="S1429" t="s">
        <v>9096</v>
      </c>
      <c r="T1429" t="s">
        <v>11188</v>
      </c>
      <c r="U1429" t="s">
        <v>11201</v>
      </c>
      <c r="V1429" t="s">
        <v>470</v>
      </c>
      <c r="W1429">
        <v>532</v>
      </c>
      <c r="X1429" t="s">
        <v>11331</v>
      </c>
      <c r="Y1429" t="s">
        <v>11337</v>
      </c>
      <c r="Z1429" t="s">
        <v>12020</v>
      </c>
      <c r="AA1429" t="s">
        <v>15452</v>
      </c>
      <c r="AB1429" t="s">
        <v>16468</v>
      </c>
      <c r="AC1429">
        <v>701</v>
      </c>
      <c r="AD1429" t="s">
        <v>19573</v>
      </c>
      <c r="AE1429" t="s">
        <v>9144</v>
      </c>
      <c r="AF1429">
        <v>13</v>
      </c>
      <c r="AG1429">
        <v>1</v>
      </c>
      <c r="AH1429">
        <v>2</v>
      </c>
      <c r="AI1429">
        <v>58.17</v>
      </c>
      <c r="AJ1429" t="s">
        <v>19591</v>
      </c>
      <c r="AK1429" t="s">
        <v>19608</v>
      </c>
      <c r="AL1429" t="s">
        <v>19614</v>
      </c>
      <c r="AM1429">
        <v>12408</v>
      </c>
      <c r="AS1429">
        <v>13.4</v>
      </c>
      <c r="AT1429" t="s">
        <v>321</v>
      </c>
      <c r="AU1429" t="s">
        <v>57</v>
      </c>
    </row>
    <row r="1430" spans="1:48">
      <c r="A1430" s="1">
        <f>HYPERLINK("https://lsnyc.legalserver.org/matter/dynamic-profile/view/1892915","19-1892915")</f>
        <v>0</v>
      </c>
      <c r="B1430" t="s">
        <v>129</v>
      </c>
      <c r="C1430" t="s">
        <v>257</v>
      </c>
      <c r="D1430" t="s">
        <v>719</v>
      </c>
      <c r="E1430" t="s">
        <v>312</v>
      </c>
      <c r="F1430" t="s">
        <v>1442</v>
      </c>
      <c r="G1430" t="s">
        <v>4055</v>
      </c>
      <c r="H1430" t="s">
        <v>6512</v>
      </c>
      <c r="I1430" t="s">
        <v>8438</v>
      </c>
      <c r="J1430" t="s">
        <v>9066</v>
      </c>
      <c r="K1430">
        <v>10306</v>
      </c>
      <c r="L1430" t="s">
        <v>9094</v>
      </c>
      <c r="M1430" t="s">
        <v>9095</v>
      </c>
      <c r="N1430" t="s">
        <v>9734</v>
      </c>
      <c r="O1430" t="s">
        <v>11128</v>
      </c>
      <c r="P1430" t="s">
        <v>11165</v>
      </c>
      <c r="Q1430" t="s">
        <v>11174</v>
      </c>
      <c r="R1430" t="s">
        <v>11180</v>
      </c>
      <c r="S1430" t="s">
        <v>9096</v>
      </c>
      <c r="T1430" t="s">
        <v>11183</v>
      </c>
      <c r="U1430" t="s">
        <v>11201</v>
      </c>
      <c r="V1430" t="s">
        <v>719</v>
      </c>
      <c r="W1430">
        <v>1200</v>
      </c>
      <c r="X1430" t="s">
        <v>11334</v>
      </c>
      <c r="Y1430" t="s">
        <v>11345</v>
      </c>
      <c r="Z1430" t="s">
        <v>12366</v>
      </c>
      <c r="AB1430" t="s">
        <v>16779</v>
      </c>
      <c r="AC1430">
        <v>2</v>
      </c>
      <c r="AD1430" t="s">
        <v>19565</v>
      </c>
      <c r="AE1430" t="s">
        <v>9144</v>
      </c>
      <c r="AF1430">
        <v>9</v>
      </c>
      <c r="AG1430">
        <v>2</v>
      </c>
      <c r="AH1430">
        <v>0</v>
      </c>
      <c r="AI1430">
        <v>58.19</v>
      </c>
      <c r="AL1430" t="s">
        <v>19614</v>
      </c>
      <c r="AM1430">
        <v>9840</v>
      </c>
      <c r="AO1430" t="s">
        <v>20290</v>
      </c>
      <c r="AQ1430" t="s">
        <v>20368</v>
      </c>
      <c r="AR1430" t="s">
        <v>20455</v>
      </c>
      <c r="AS1430">
        <v>11.2</v>
      </c>
      <c r="AT1430" t="s">
        <v>993</v>
      </c>
      <c r="AU1430" t="s">
        <v>20654</v>
      </c>
      <c r="AV1430" t="s">
        <v>20733</v>
      </c>
    </row>
    <row r="1431" spans="1:48">
      <c r="A1431" s="1">
        <f>HYPERLINK("https://lsnyc.legalserver.org/matter/dynamic-profile/view/1887762","19-1887762")</f>
        <v>0</v>
      </c>
      <c r="B1431" t="s">
        <v>93</v>
      </c>
      <c r="C1431" t="s">
        <v>256</v>
      </c>
      <c r="D1431" t="s">
        <v>363</v>
      </c>
      <c r="F1431" t="s">
        <v>1864</v>
      </c>
      <c r="G1431" t="s">
        <v>4036</v>
      </c>
      <c r="H1431" t="s">
        <v>6072</v>
      </c>
      <c r="I1431" t="s">
        <v>8112</v>
      </c>
      <c r="J1431" t="s">
        <v>9059</v>
      </c>
      <c r="K1431">
        <v>11208</v>
      </c>
      <c r="L1431" t="s">
        <v>9094</v>
      </c>
      <c r="M1431" t="s">
        <v>9096</v>
      </c>
      <c r="N1431" t="s">
        <v>9715</v>
      </c>
      <c r="O1431" t="s">
        <v>11129</v>
      </c>
      <c r="P1431" t="s">
        <v>11165</v>
      </c>
      <c r="R1431" t="s">
        <v>11180</v>
      </c>
      <c r="S1431" t="s">
        <v>9096</v>
      </c>
      <c r="T1431" t="s">
        <v>11183</v>
      </c>
      <c r="U1431" t="s">
        <v>11201</v>
      </c>
      <c r="V1431" t="s">
        <v>930</v>
      </c>
      <c r="W1431">
        <v>984.01</v>
      </c>
      <c r="X1431" t="s">
        <v>11332</v>
      </c>
      <c r="Z1431" t="s">
        <v>12340</v>
      </c>
      <c r="AA1431" t="s">
        <v>15543</v>
      </c>
      <c r="AB1431" t="s">
        <v>16755</v>
      </c>
      <c r="AC1431">
        <v>53</v>
      </c>
      <c r="AD1431" t="s">
        <v>19566</v>
      </c>
      <c r="AE1431" t="s">
        <v>19582</v>
      </c>
      <c r="AF1431">
        <v>0</v>
      </c>
      <c r="AG1431">
        <v>1</v>
      </c>
      <c r="AH1431">
        <v>1</v>
      </c>
      <c r="AI1431">
        <v>58.32</v>
      </c>
      <c r="AL1431" t="s">
        <v>19614</v>
      </c>
      <c r="AM1431">
        <v>9600</v>
      </c>
      <c r="AS1431">
        <v>17</v>
      </c>
      <c r="AT1431" t="s">
        <v>484</v>
      </c>
      <c r="AU1431" t="s">
        <v>93</v>
      </c>
      <c r="AV1431" t="s">
        <v>20733</v>
      </c>
    </row>
    <row r="1432" spans="1:48">
      <c r="A1432" s="1">
        <f>HYPERLINK("https://lsnyc.legalserver.org/matter/dynamic-profile/view/1871914","18-1871914")</f>
        <v>0</v>
      </c>
      <c r="B1432" t="s">
        <v>119</v>
      </c>
      <c r="C1432" t="s">
        <v>257</v>
      </c>
      <c r="D1432" t="s">
        <v>515</v>
      </c>
      <c r="E1432" t="s">
        <v>664</v>
      </c>
      <c r="F1432" t="s">
        <v>1147</v>
      </c>
      <c r="G1432" t="s">
        <v>4056</v>
      </c>
      <c r="H1432" t="s">
        <v>6513</v>
      </c>
      <c r="I1432" t="s">
        <v>8209</v>
      </c>
      <c r="J1432" t="s">
        <v>9065</v>
      </c>
      <c r="K1432">
        <v>10459</v>
      </c>
      <c r="L1432" t="s">
        <v>9094</v>
      </c>
      <c r="M1432" t="s">
        <v>9094</v>
      </c>
      <c r="N1432" t="s">
        <v>9735</v>
      </c>
      <c r="O1432" t="s">
        <v>11128</v>
      </c>
      <c r="P1432" t="s">
        <v>11165</v>
      </c>
      <c r="Q1432" t="s">
        <v>11174</v>
      </c>
      <c r="R1432" t="s">
        <v>11180</v>
      </c>
      <c r="S1432" t="s">
        <v>9096</v>
      </c>
      <c r="T1432" t="s">
        <v>11183</v>
      </c>
      <c r="U1432" t="s">
        <v>11201</v>
      </c>
      <c r="V1432" t="s">
        <v>870</v>
      </c>
      <c r="W1432">
        <v>1451</v>
      </c>
      <c r="X1432" t="s">
        <v>11333</v>
      </c>
      <c r="Y1432" t="s">
        <v>11349</v>
      </c>
      <c r="Z1432" t="s">
        <v>12367</v>
      </c>
      <c r="AA1432" t="s">
        <v>15551</v>
      </c>
      <c r="AB1432" t="s">
        <v>16780</v>
      </c>
      <c r="AC1432">
        <v>39</v>
      </c>
      <c r="AD1432" t="s">
        <v>19571</v>
      </c>
      <c r="AE1432" t="s">
        <v>19584</v>
      </c>
      <c r="AF1432">
        <v>14</v>
      </c>
      <c r="AG1432">
        <v>2</v>
      </c>
      <c r="AH1432">
        <v>0</v>
      </c>
      <c r="AI1432">
        <v>58.32</v>
      </c>
      <c r="AL1432" t="s">
        <v>19615</v>
      </c>
      <c r="AM1432">
        <v>9600</v>
      </c>
      <c r="AS1432">
        <v>35.4</v>
      </c>
      <c r="AT1432" t="s">
        <v>402</v>
      </c>
      <c r="AU1432" t="s">
        <v>163</v>
      </c>
      <c r="AV1432" t="s">
        <v>20733</v>
      </c>
    </row>
    <row r="1433" spans="1:48">
      <c r="A1433" s="1">
        <f>HYPERLINK("https://lsnyc.legalserver.org/matter/dynamic-profile/view/1883970","18-1883970")</f>
        <v>0</v>
      </c>
      <c r="B1433" t="s">
        <v>108</v>
      </c>
      <c r="C1433" t="s">
        <v>257</v>
      </c>
      <c r="D1433" t="s">
        <v>358</v>
      </c>
      <c r="E1433" t="s">
        <v>496</v>
      </c>
      <c r="F1433" t="s">
        <v>1883</v>
      </c>
      <c r="G1433" t="s">
        <v>2161</v>
      </c>
      <c r="H1433" t="s">
        <v>6514</v>
      </c>
      <c r="I1433" t="s">
        <v>8119</v>
      </c>
      <c r="J1433" t="s">
        <v>9065</v>
      </c>
      <c r="K1433">
        <v>10453</v>
      </c>
      <c r="L1433" t="s">
        <v>9094</v>
      </c>
      <c r="M1433" t="s">
        <v>9094</v>
      </c>
      <c r="N1433" t="s">
        <v>9736</v>
      </c>
      <c r="O1433" t="s">
        <v>11129</v>
      </c>
      <c r="P1433" t="s">
        <v>11164</v>
      </c>
      <c r="Q1433" t="s">
        <v>11172</v>
      </c>
      <c r="R1433" t="s">
        <v>11180</v>
      </c>
      <c r="T1433" t="s">
        <v>11183</v>
      </c>
      <c r="U1433" t="s">
        <v>11200</v>
      </c>
      <c r="V1433" t="s">
        <v>359</v>
      </c>
      <c r="W1433">
        <v>833.1</v>
      </c>
      <c r="X1433" t="s">
        <v>11333</v>
      </c>
      <c r="Y1433" t="s">
        <v>11340</v>
      </c>
      <c r="Z1433" t="s">
        <v>12368</v>
      </c>
      <c r="AB1433" t="s">
        <v>16781</v>
      </c>
      <c r="AC1433">
        <v>30</v>
      </c>
      <c r="AD1433" t="s">
        <v>19569</v>
      </c>
      <c r="AE1433" t="s">
        <v>19587</v>
      </c>
      <c r="AF1433">
        <v>7</v>
      </c>
      <c r="AG1433">
        <v>2</v>
      </c>
      <c r="AH1433">
        <v>0</v>
      </c>
      <c r="AI1433">
        <v>58.32</v>
      </c>
      <c r="AL1433" t="s">
        <v>19614</v>
      </c>
      <c r="AM1433">
        <v>9600</v>
      </c>
      <c r="AN1433" t="s">
        <v>19791</v>
      </c>
      <c r="AS1433">
        <v>1.6</v>
      </c>
      <c r="AT1433" t="s">
        <v>350</v>
      </c>
      <c r="AU1433" t="s">
        <v>20639</v>
      </c>
    </row>
    <row r="1434" spans="1:48">
      <c r="A1434" s="1">
        <f>HYPERLINK("https://lsnyc.legalserver.org/matter/dynamic-profile/view/1888033","19-1888033")</f>
        <v>0</v>
      </c>
      <c r="B1434" t="s">
        <v>134</v>
      </c>
      <c r="C1434" t="s">
        <v>256</v>
      </c>
      <c r="D1434" t="s">
        <v>756</v>
      </c>
      <c r="F1434" t="s">
        <v>1774</v>
      </c>
      <c r="G1434" t="s">
        <v>4057</v>
      </c>
      <c r="H1434" t="s">
        <v>5957</v>
      </c>
      <c r="I1434" t="s">
        <v>8193</v>
      </c>
      <c r="J1434" t="s">
        <v>9067</v>
      </c>
      <c r="K1434">
        <v>10032</v>
      </c>
      <c r="L1434" t="s">
        <v>9094</v>
      </c>
      <c r="M1434" t="s">
        <v>9094</v>
      </c>
      <c r="P1434" t="s">
        <v>11165</v>
      </c>
      <c r="R1434" t="s">
        <v>11180</v>
      </c>
      <c r="S1434" t="s">
        <v>9094</v>
      </c>
      <c r="T1434" t="s">
        <v>11183</v>
      </c>
      <c r="V1434" t="s">
        <v>756</v>
      </c>
      <c r="W1434">
        <v>982.2</v>
      </c>
      <c r="X1434" t="s">
        <v>11335</v>
      </c>
      <c r="Y1434" t="s">
        <v>11338</v>
      </c>
      <c r="Z1434" t="s">
        <v>12369</v>
      </c>
      <c r="AB1434" t="s">
        <v>16782</v>
      </c>
      <c r="AC1434">
        <v>42</v>
      </c>
      <c r="AD1434" t="s">
        <v>19566</v>
      </c>
      <c r="AE1434" t="s">
        <v>19580</v>
      </c>
      <c r="AF1434">
        <v>37</v>
      </c>
      <c r="AG1434">
        <v>2</v>
      </c>
      <c r="AH1434">
        <v>0</v>
      </c>
      <c r="AI1434">
        <v>58.32</v>
      </c>
      <c r="AL1434" t="s">
        <v>19615</v>
      </c>
      <c r="AM1434">
        <v>9600</v>
      </c>
      <c r="AS1434">
        <v>0</v>
      </c>
      <c r="AU1434" t="s">
        <v>130</v>
      </c>
      <c r="AV1434" t="s">
        <v>20733</v>
      </c>
    </row>
    <row r="1435" spans="1:48">
      <c r="A1435" s="1">
        <f>HYPERLINK("https://lsnyc.legalserver.org/matter/dynamic-profile/view/1914829","19-1914829")</f>
        <v>0</v>
      </c>
      <c r="B1435" t="s">
        <v>70</v>
      </c>
      <c r="C1435" t="s">
        <v>256</v>
      </c>
      <c r="D1435" t="s">
        <v>331</v>
      </c>
      <c r="F1435" t="s">
        <v>1323</v>
      </c>
      <c r="G1435" t="s">
        <v>3894</v>
      </c>
      <c r="H1435" t="s">
        <v>6312</v>
      </c>
      <c r="I1435" t="s">
        <v>8128</v>
      </c>
      <c r="J1435" t="s">
        <v>9059</v>
      </c>
      <c r="K1435">
        <v>11207</v>
      </c>
      <c r="L1435" t="s">
        <v>9094</v>
      </c>
      <c r="M1435" t="s">
        <v>9095</v>
      </c>
      <c r="O1435" t="s">
        <v>9121</v>
      </c>
      <c r="P1435" t="s">
        <v>11167</v>
      </c>
      <c r="R1435" t="s">
        <v>11180</v>
      </c>
      <c r="S1435" t="s">
        <v>9096</v>
      </c>
      <c r="T1435" t="s">
        <v>11183</v>
      </c>
      <c r="V1435" t="s">
        <v>632</v>
      </c>
      <c r="W1435">
        <v>960</v>
      </c>
      <c r="X1435" t="s">
        <v>11332</v>
      </c>
      <c r="Y1435" t="s">
        <v>11340</v>
      </c>
      <c r="Z1435" t="s">
        <v>12092</v>
      </c>
      <c r="AC1435">
        <v>6</v>
      </c>
      <c r="AD1435" t="s">
        <v>19566</v>
      </c>
      <c r="AF1435">
        <v>8</v>
      </c>
      <c r="AG1435">
        <v>1</v>
      </c>
      <c r="AH1435">
        <v>3</v>
      </c>
      <c r="AI1435">
        <v>58.36</v>
      </c>
      <c r="AL1435" t="s">
        <v>19614</v>
      </c>
      <c r="AM1435">
        <v>15026.96</v>
      </c>
      <c r="AS1435">
        <v>0.6</v>
      </c>
      <c r="AT1435" t="s">
        <v>377</v>
      </c>
      <c r="AU1435" t="s">
        <v>70</v>
      </c>
      <c r="AV1435" t="s">
        <v>20733</v>
      </c>
    </row>
    <row r="1436" spans="1:48">
      <c r="A1436" s="1">
        <f>HYPERLINK("https://lsnyc.legalserver.org/matter/dynamic-profile/view/1909484","19-1909484")</f>
        <v>0</v>
      </c>
      <c r="B1436" t="s">
        <v>64</v>
      </c>
      <c r="C1436" t="s">
        <v>257</v>
      </c>
      <c r="D1436" t="s">
        <v>273</v>
      </c>
      <c r="E1436" t="s">
        <v>273</v>
      </c>
      <c r="F1436" t="s">
        <v>1490</v>
      </c>
      <c r="G1436" t="s">
        <v>3699</v>
      </c>
      <c r="H1436" t="s">
        <v>6473</v>
      </c>
      <c r="I1436" t="s">
        <v>8439</v>
      </c>
      <c r="J1436" t="s">
        <v>9059</v>
      </c>
      <c r="K1436">
        <v>11208</v>
      </c>
      <c r="L1436" t="s">
        <v>9094</v>
      </c>
      <c r="M1436" t="s">
        <v>9095</v>
      </c>
      <c r="N1436" t="s">
        <v>9737</v>
      </c>
      <c r="O1436" t="s">
        <v>11128</v>
      </c>
      <c r="P1436" t="s">
        <v>11164</v>
      </c>
      <c r="Q1436" t="s">
        <v>11172</v>
      </c>
      <c r="R1436" t="s">
        <v>11180</v>
      </c>
      <c r="S1436" t="s">
        <v>9096</v>
      </c>
      <c r="T1436" t="s">
        <v>11183</v>
      </c>
      <c r="V1436" t="s">
        <v>297</v>
      </c>
      <c r="W1436">
        <v>1064</v>
      </c>
      <c r="X1436" t="s">
        <v>11332</v>
      </c>
      <c r="Y1436" t="s">
        <v>11339</v>
      </c>
      <c r="Z1436" t="s">
        <v>12313</v>
      </c>
      <c r="AB1436" t="s">
        <v>16783</v>
      </c>
      <c r="AC1436">
        <v>2</v>
      </c>
      <c r="AD1436" t="s">
        <v>19565</v>
      </c>
      <c r="AE1436" t="s">
        <v>9144</v>
      </c>
      <c r="AF1436">
        <v>15</v>
      </c>
      <c r="AG1436">
        <v>4</v>
      </c>
      <c r="AH1436">
        <v>0</v>
      </c>
      <c r="AI1436">
        <v>58.39</v>
      </c>
      <c r="AL1436" t="s">
        <v>19615</v>
      </c>
      <c r="AM1436">
        <v>15036</v>
      </c>
      <c r="AS1436">
        <v>1.2</v>
      </c>
      <c r="AT1436" t="s">
        <v>648</v>
      </c>
      <c r="AU1436" t="s">
        <v>79</v>
      </c>
      <c r="AV1436" t="s">
        <v>20733</v>
      </c>
    </row>
    <row r="1437" spans="1:48">
      <c r="A1437" s="1">
        <f>HYPERLINK("https://lsnyc.legalserver.org/matter/dynamic-profile/view/1897127","19-1897127")</f>
        <v>0</v>
      </c>
      <c r="B1437" t="s">
        <v>122</v>
      </c>
      <c r="C1437" t="s">
        <v>256</v>
      </c>
      <c r="D1437" t="s">
        <v>317</v>
      </c>
      <c r="F1437" t="s">
        <v>1884</v>
      </c>
      <c r="G1437" t="s">
        <v>4058</v>
      </c>
      <c r="H1437" t="s">
        <v>6090</v>
      </c>
      <c r="I1437" t="s">
        <v>8193</v>
      </c>
      <c r="J1437" t="s">
        <v>9066</v>
      </c>
      <c r="K1437">
        <v>10304</v>
      </c>
      <c r="L1437" t="s">
        <v>9094</v>
      </c>
      <c r="M1437" t="s">
        <v>9095</v>
      </c>
      <c r="N1437" t="s">
        <v>9738</v>
      </c>
      <c r="O1437" t="s">
        <v>11128</v>
      </c>
      <c r="P1437" t="s">
        <v>11165</v>
      </c>
      <c r="R1437" t="s">
        <v>11180</v>
      </c>
      <c r="S1437" t="s">
        <v>9096</v>
      </c>
      <c r="T1437" t="s">
        <v>11190</v>
      </c>
      <c r="U1437" t="s">
        <v>11201</v>
      </c>
      <c r="V1437" t="s">
        <v>598</v>
      </c>
      <c r="W1437">
        <v>232</v>
      </c>
      <c r="X1437" t="s">
        <v>11334</v>
      </c>
      <c r="Y1437" t="s">
        <v>11340</v>
      </c>
      <c r="Z1437" t="s">
        <v>12370</v>
      </c>
      <c r="AB1437" t="s">
        <v>15274</v>
      </c>
      <c r="AC1437">
        <v>150</v>
      </c>
      <c r="AD1437" t="s">
        <v>19567</v>
      </c>
      <c r="AE1437" t="s">
        <v>19580</v>
      </c>
      <c r="AF1437">
        <v>1</v>
      </c>
      <c r="AG1437">
        <v>1</v>
      </c>
      <c r="AH1437">
        <v>1</v>
      </c>
      <c r="AI1437">
        <v>58.47</v>
      </c>
      <c r="AL1437" t="s">
        <v>19614</v>
      </c>
      <c r="AM1437">
        <v>9888</v>
      </c>
      <c r="AO1437" t="s">
        <v>20292</v>
      </c>
      <c r="AS1437">
        <v>31.8</v>
      </c>
      <c r="AT1437" t="s">
        <v>429</v>
      </c>
      <c r="AU1437" t="s">
        <v>20653</v>
      </c>
      <c r="AV1437" t="s">
        <v>20733</v>
      </c>
    </row>
    <row r="1438" spans="1:48">
      <c r="A1438" s="1">
        <f>HYPERLINK("https://lsnyc.legalserver.org/matter/dynamic-profile/view/1911923","19-1911923")</f>
        <v>0</v>
      </c>
      <c r="B1438" t="s">
        <v>119</v>
      </c>
      <c r="C1438" t="s">
        <v>257</v>
      </c>
      <c r="D1438" t="s">
        <v>292</v>
      </c>
      <c r="E1438" t="s">
        <v>321</v>
      </c>
      <c r="F1438" t="s">
        <v>1885</v>
      </c>
      <c r="G1438" t="s">
        <v>3332</v>
      </c>
      <c r="H1438" t="s">
        <v>6515</v>
      </c>
      <c r="I1438" t="s">
        <v>8440</v>
      </c>
      <c r="J1438" t="s">
        <v>9065</v>
      </c>
      <c r="K1438">
        <v>10453</v>
      </c>
      <c r="L1438" t="s">
        <v>9094</v>
      </c>
      <c r="M1438" t="s">
        <v>9095</v>
      </c>
      <c r="O1438" t="s">
        <v>11145</v>
      </c>
      <c r="P1438" t="s">
        <v>11167</v>
      </c>
      <c r="Q1438" t="s">
        <v>11173</v>
      </c>
      <c r="R1438" t="s">
        <v>11180</v>
      </c>
      <c r="T1438" t="s">
        <v>11183</v>
      </c>
      <c r="W1438">
        <v>1347</v>
      </c>
      <c r="X1438" t="s">
        <v>11333</v>
      </c>
      <c r="Y1438" t="s">
        <v>11339</v>
      </c>
      <c r="Z1438" t="s">
        <v>12371</v>
      </c>
      <c r="AB1438" t="s">
        <v>16784</v>
      </c>
      <c r="AC1438">
        <v>38</v>
      </c>
      <c r="AE1438" t="s">
        <v>19580</v>
      </c>
      <c r="AF1438">
        <v>35</v>
      </c>
      <c r="AG1438">
        <v>1</v>
      </c>
      <c r="AH1438">
        <v>0</v>
      </c>
      <c r="AI1438">
        <v>58.49</v>
      </c>
      <c r="AL1438" t="s">
        <v>19614</v>
      </c>
      <c r="AM1438">
        <v>7306</v>
      </c>
      <c r="AS1438">
        <v>2</v>
      </c>
      <c r="AT1438" t="s">
        <v>321</v>
      </c>
      <c r="AU1438" t="s">
        <v>20639</v>
      </c>
      <c r="AV1438" t="s">
        <v>20733</v>
      </c>
    </row>
    <row r="1439" spans="1:48">
      <c r="A1439" s="1">
        <f>HYPERLINK("https://lsnyc.legalserver.org/matter/dynamic-profile/view/1890002","19-1890002")</f>
        <v>0</v>
      </c>
      <c r="B1439" t="s">
        <v>103</v>
      </c>
      <c r="C1439" t="s">
        <v>256</v>
      </c>
      <c r="D1439" t="s">
        <v>447</v>
      </c>
      <c r="F1439" t="s">
        <v>1803</v>
      </c>
      <c r="G1439" t="s">
        <v>3975</v>
      </c>
      <c r="H1439" t="s">
        <v>5887</v>
      </c>
      <c r="I1439" t="s">
        <v>8337</v>
      </c>
      <c r="J1439" t="s">
        <v>9065</v>
      </c>
      <c r="K1439">
        <v>10453</v>
      </c>
      <c r="L1439" t="s">
        <v>9094</v>
      </c>
      <c r="M1439" t="s">
        <v>9094</v>
      </c>
      <c r="O1439" t="s">
        <v>11134</v>
      </c>
      <c r="P1439" t="s">
        <v>11168</v>
      </c>
      <c r="R1439" t="s">
        <v>11180</v>
      </c>
      <c r="S1439" t="s">
        <v>9094</v>
      </c>
      <c r="T1439" t="s">
        <v>11183</v>
      </c>
      <c r="V1439" t="s">
        <v>512</v>
      </c>
      <c r="W1439">
        <v>1172</v>
      </c>
      <c r="X1439" t="s">
        <v>11333</v>
      </c>
      <c r="Y1439" t="s">
        <v>11346</v>
      </c>
      <c r="Z1439" t="s">
        <v>12238</v>
      </c>
      <c r="AB1439" t="s">
        <v>16662</v>
      </c>
      <c r="AC1439">
        <v>167</v>
      </c>
      <c r="AD1439" t="s">
        <v>19566</v>
      </c>
      <c r="AE1439" t="s">
        <v>19582</v>
      </c>
      <c r="AF1439">
        <v>16</v>
      </c>
      <c r="AG1439">
        <v>1</v>
      </c>
      <c r="AH1439">
        <v>3</v>
      </c>
      <c r="AI1439">
        <v>58.56</v>
      </c>
      <c r="AL1439" t="s">
        <v>19615</v>
      </c>
      <c r="AM1439">
        <v>15080</v>
      </c>
      <c r="AS1439">
        <v>0</v>
      </c>
      <c r="AU1439" t="s">
        <v>20642</v>
      </c>
    </row>
    <row r="1440" spans="1:48">
      <c r="A1440" s="1">
        <f>HYPERLINK("https://lsnyc.legalserver.org/matter/dynamic-profile/view/1889998","19-1889998")</f>
        <v>0</v>
      </c>
      <c r="B1440" t="s">
        <v>103</v>
      </c>
      <c r="C1440" t="s">
        <v>256</v>
      </c>
      <c r="D1440" t="s">
        <v>447</v>
      </c>
      <c r="F1440" t="s">
        <v>1803</v>
      </c>
      <c r="G1440" t="s">
        <v>3975</v>
      </c>
      <c r="H1440" t="s">
        <v>5887</v>
      </c>
      <c r="I1440" t="s">
        <v>8337</v>
      </c>
      <c r="J1440" t="s">
        <v>9065</v>
      </c>
      <c r="K1440">
        <v>10453</v>
      </c>
      <c r="L1440" t="s">
        <v>9094</v>
      </c>
      <c r="M1440" t="s">
        <v>9094</v>
      </c>
      <c r="N1440" t="s">
        <v>9352</v>
      </c>
      <c r="O1440" t="s">
        <v>11130</v>
      </c>
      <c r="P1440" t="s">
        <v>11165</v>
      </c>
      <c r="R1440" t="s">
        <v>11180</v>
      </c>
      <c r="S1440" t="s">
        <v>9094</v>
      </c>
      <c r="T1440" t="s">
        <v>11183</v>
      </c>
      <c r="V1440" t="s">
        <v>512</v>
      </c>
      <c r="W1440">
        <v>1172</v>
      </c>
      <c r="X1440" t="s">
        <v>11333</v>
      </c>
      <c r="Y1440" t="s">
        <v>11346</v>
      </c>
      <c r="Z1440" t="s">
        <v>12238</v>
      </c>
      <c r="AB1440" t="s">
        <v>16662</v>
      </c>
      <c r="AC1440">
        <v>167</v>
      </c>
      <c r="AD1440" t="s">
        <v>19566</v>
      </c>
      <c r="AE1440" t="s">
        <v>19581</v>
      </c>
      <c r="AF1440">
        <v>15</v>
      </c>
      <c r="AG1440">
        <v>1</v>
      </c>
      <c r="AH1440">
        <v>3</v>
      </c>
      <c r="AI1440">
        <v>58.56</v>
      </c>
      <c r="AL1440" t="s">
        <v>19615</v>
      </c>
      <c r="AM1440">
        <v>15080</v>
      </c>
      <c r="AS1440">
        <v>0</v>
      </c>
      <c r="AU1440" t="s">
        <v>20642</v>
      </c>
    </row>
    <row r="1441" spans="1:48">
      <c r="A1441" s="1">
        <f>HYPERLINK("https://lsnyc.legalserver.org/matter/dynamic-profile/view/1903626","19-1903626")</f>
        <v>0</v>
      </c>
      <c r="B1441" t="s">
        <v>143</v>
      </c>
      <c r="C1441" t="s">
        <v>256</v>
      </c>
      <c r="D1441" t="s">
        <v>700</v>
      </c>
      <c r="F1441" t="s">
        <v>1405</v>
      </c>
      <c r="G1441" t="s">
        <v>4059</v>
      </c>
      <c r="H1441" t="s">
        <v>6516</v>
      </c>
      <c r="I1441" t="s">
        <v>8330</v>
      </c>
      <c r="J1441" t="s">
        <v>9067</v>
      </c>
      <c r="K1441">
        <v>10033</v>
      </c>
      <c r="L1441" t="s">
        <v>9094</v>
      </c>
      <c r="M1441" t="s">
        <v>9095</v>
      </c>
      <c r="N1441" t="s">
        <v>9739</v>
      </c>
      <c r="O1441" t="s">
        <v>11128</v>
      </c>
      <c r="P1441" t="s">
        <v>11165</v>
      </c>
      <c r="R1441" t="s">
        <v>11180</v>
      </c>
      <c r="S1441" t="s">
        <v>9096</v>
      </c>
      <c r="T1441" t="s">
        <v>11183</v>
      </c>
      <c r="V1441" t="s">
        <v>700</v>
      </c>
      <c r="W1441">
        <v>1000</v>
      </c>
      <c r="X1441" t="s">
        <v>11335</v>
      </c>
      <c r="Y1441" t="s">
        <v>11336</v>
      </c>
      <c r="Z1441" t="s">
        <v>12372</v>
      </c>
      <c r="AB1441" t="s">
        <v>16785</v>
      </c>
      <c r="AC1441">
        <v>0</v>
      </c>
      <c r="AF1441">
        <v>1</v>
      </c>
      <c r="AG1441">
        <v>2</v>
      </c>
      <c r="AH1441">
        <v>2</v>
      </c>
      <c r="AI1441">
        <v>58.56</v>
      </c>
      <c r="AL1441" t="s">
        <v>19615</v>
      </c>
      <c r="AM1441">
        <v>15080</v>
      </c>
      <c r="AS1441">
        <v>29.1</v>
      </c>
      <c r="AT1441" t="s">
        <v>487</v>
      </c>
      <c r="AU1441" t="s">
        <v>20658</v>
      </c>
      <c r="AV1441" t="s">
        <v>20733</v>
      </c>
    </row>
    <row r="1442" spans="1:48">
      <c r="A1442" s="1">
        <f>HYPERLINK("https://lsnyc.legalserver.org/matter/dynamic-profile/view/1854099","17-1854099")</f>
        <v>0</v>
      </c>
      <c r="B1442" t="s">
        <v>103</v>
      </c>
      <c r="C1442" t="s">
        <v>256</v>
      </c>
      <c r="D1442" t="s">
        <v>789</v>
      </c>
      <c r="F1442" t="s">
        <v>1750</v>
      </c>
      <c r="G1442" t="s">
        <v>3448</v>
      </c>
      <c r="H1442" t="s">
        <v>6413</v>
      </c>
      <c r="I1442" t="s">
        <v>8283</v>
      </c>
      <c r="J1442" t="s">
        <v>9065</v>
      </c>
      <c r="K1442">
        <v>10456</v>
      </c>
      <c r="L1442" t="s">
        <v>9094</v>
      </c>
      <c r="M1442" t="s">
        <v>9095</v>
      </c>
      <c r="N1442" t="s">
        <v>9740</v>
      </c>
      <c r="O1442" t="s">
        <v>11135</v>
      </c>
      <c r="P1442" t="s">
        <v>11168</v>
      </c>
      <c r="R1442" t="s">
        <v>11180</v>
      </c>
      <c r="S1442" t="s">
        <v>9094</v>
      </c>
      <c r="T1442" t="s">
        <v>11183</v>
      </c>
      <c r="V1442" t="s">
        <v>11223</v>
      </c>
      <c r="W1442">
        <v>1290</v>
      </c>
      <c r="X1442" t="s">
        <v>11333</v>
      </c>
      <c r="Y1442" t="s">
        <v>11346</v>
      </c>
      <c r="Z1442" t="s">
        <v>12363</v>
      </c>
      <c r="AB1442" t="s">
        <v>16776</v>
      </c>
      <c r="AC1442">
        <v>61</v>
      </c>
      <c r="AD1442" t="s">
        <v>19566</v>
      </c>
      <c r="AE1442" t="s">
        <v>19580</v>
      </c>
      <c r="AF1442">
        <v>21</v>
      </c>
      <c r="AG1442">
        <v>1</v>
      </c>
      <c r="AH1442">
        <v>1</v>
      </c>
      <c r="AI1442">
        <v>58.6</v>
      </c>
      <c r="AJ1442" t="s">
        <v>19597</v>
      </c>
      <c r="AL1442" t="s">
        <v>19615</v>
      </c>
      <c r="AM1442">
        <v>9516</v>
      </c>
      <c r="AS1442">
        <v>0</v>
      </c>
      <c r="AU1442" t="s">
        <v>20643</v>
      </c>
    </row>
    <row r="1443" spans="1:48">
      <c r="A1443" s="1">
        <f>HYPERLINK("https://lsnyc.legalserver.org/matter/dynamic-profile/view/1880333","18-1880333")</f>
        <v>0</v>
      </c>
      <c r="B1443" t="s">
        <v>194</v>
      </c>
      <c r="C1443" t="s">
        <v>256</v>
      </c>
      <c r="D1443" t="s">
        <v>458</v>
      </c>
      <c r="F1443" t="s">
        <v>1886</v>
      </c>
      <c r="G1443" t="s">
        <v>3398</v>
      </c>
      <c r="H1443" t="s">
        <v>6517</v>
      </c>
      <c r="I1443" t="s">
        <v>8170</v>
      </c>
      <c r="J1443" t="s">
        <v>9065</v>
      </c>
      <c r="K1443">
        <v>10454</v>
      </c>
      <c r="L1443" t="s">
        <v>9094</v>
      </c>
      <c r="M1443" t="s">
        <v>9094</v>
      </c>
      <c r="O1443" t="s">
        <v>11140</v>
      </c>
      <c r="P1443" t="s">
        <v>11166</v>
      </c>
      <c r="R1443" t="s">
        <v>11180</v>
      </c>
      <c r="S1443" t="s">
        <v>9096</v>
      </c>
      <c r="T1443" t="s">
        <v>11190</v>
      </c>
      <c r="U1443" t="s">
        <v>11199</v>
      </c>
      <c r="V1443" t="s">
        <v>458</v>
      </c>
      <c r="W1443">
        <v>1900</v>
      </c>
      <c r="X1443" t="s">
        <v>11333</v>
      </c>
      <c r="Y1443" t="s">
        <v>11340</v>
      </c>
      <c r="Z1443" t="s">
        <v>12373</v>
      </c>
      <c r="AA1443">
        <v>35493636</v>
      </c>
      <c r="AB1443" t="s">
        <v>16786</v>
      </c>
      <c r="AC1443">
        <v>173</v>
      </c>
      <c r="AD1443" t="s">
        <v>19566</v>
      </c>
      <c r="AE1443" t="s">
        <v>19580</v>
      </c>
      <c r="AF1443">
        <v>4</v>
      </c>
      <c r="AG1443">
        <v>1</v>
      </c>
      <c r="AH1443">
        <v>6</v>
      </c>
      <c r="AI1443">
        <v>58.74</v>
      </c>
      <c r="AL1443" t="s">
        <v>19614</v>
      </c>
      <c r="AM1443">
        <v>22356</v>
      </c>
      <c r="AS1443">
        <v>0.25</v>
      </c>
      <c r="AT1443" t="s">
        <v>949</v>
      </c>
      <c r="AU1443" t="s">
        <v>163</v>
      </c>
    </row>
    <row r="1444" spans="1:48">
      <c r="A1444" s="1">
        <f>HYPERLINK("https://lsnyc.legalserver.org/matter/dynamic-profile/view/1892380","19-1892380")</f>
        <v>0</v>
      </c>
      <c r="B1444" t="s">
        <v>108</v>
      </c>
      <c r="C1444" t="s">
        <v>257</v>
      </c>
      <c r="D1444" t="s">
        <v>635</v>
      </c>
      <c r="E1444" t="s">
        <v>483</v>
      </c>
      <c r="F1444" t="s">
        <v>1146</v>
      </c>
      <c r="G1444" t="s">
        <v>3811</v>
      </c>
      <c r="H1444" t="s">
        <v>6518</v>
      </c>
      <c r="I1444" t="s">
        <v>8139</v>
      </c>
      <c r="J1444" t="s">
        <v>9065</v>
      </c>
      <c r="K1444">
        <v>10460</v>
      </c>
      <c r="L1444" t="s">
        <v>9094</v>
      </c>
      <c r="M1444" t="s">
        <v>9095</v>
      </c>
      <c r="N1444" t="s">
        <v>9741</v>
      </c>
      <c r="O1444" t="s">
        <v>11129</v>
      </c>
      <c r="P1444" t="s">
        <v>11164</v>
      </c>
      <c r="Q1444" t="s">
        <v>11172</v>
      </c>
      <c r="R1444" t="s">
        <v>11180</v>
      </c>
      <c r="T1444" t="s">
        <v>11183</v>
      </c>
      <c r="V1444" t="s">
        <v>11218</v>
      </c>
      <c r="W1444">
        <v>970</v>
      </c>
      <c r="X1444" t="s">
        <v>11333</v>
      </c>
      <c r="Y1444" t="s">
        <v>11338</v>
      </c>
      <c r="Z1444" t="s">
        <v>12374</v>
      </c>
      <c r="AA1444">
        <v>6532660</v>
      </c>
      <c r="AB1444" t="s">
        <v>16787</v>
      </c>
      <c r="AC1444">
        <v>85</v>
      </c>
      <c r="AD1444" t="s">
        <v>19572</v>
      </c>
      <c r="AE1444" t="s">
        <v>9144</v>
      </c>
      <c r="AF1444">
        <v>21</v>
      </c>
      <c r="AG1444">
        <v>2</v>
      </c>
      <c r="AH1444">
        <v>0</v>
      </c>
      <c r="AI1444">
        <v>58.77</v>
      </c>
      <c r="AL1444" t="s">
        <v>19614</v>
      </c>
      <c r="AM1444">
        <v>9938.4</v>
      </c>
      <c r="AS1444">
        <v>1.1</v>
      </c>
      <c r="AT1444" t="s">
        <v>483</v>
      </c>
      <c r="AU1444" t="s">
        <v>20619</v>
      </c>
      <c r="AV1444" t="s">
        <v>20733</v>
      </c>
    </row>
    <row r="1445" spans="1:48">
      <c r="A1445" s="1">
        <f>HYPERLINK("https://lsnyc.legalserver.org/matter/dynamic-profile/view/1841101","17-1841101")</f>
        <v>0</v>
      </c>
      <c r="B1445" t="s">
        <v>119</v>
      </c>
      <c r="C1445" t="s">
        <v>256</v>
      </c>
      <c r="D1445" t="s">
        <v>770</v>
      </c>
      <c r="F1445" t="s">
        <v>1359</v>
      </c>
      <c r="G1445" t="s">
        <v>3541</v>
      </c>
      <c r="H1445" t="s">
        <v>5897</v>
      </c>
      <c r="I1445" t="s">
        <v>8236</v>
      </c>
      <c r="J1445" t="s">
        <v>9065</v>
      </c>
      <c r="K1445">
        <v>10452</v>
      </c>
      <c r="L1445" t="s">
        <v>9094</v>
      </c>
      <c r="M1445" t="s">
        <v>9095</v>
      </c>
      <c r="O1445" t="s">
        <v>11135</v>
      </c>
      <c r="P1445" t="s">
        <v>11168</v>
      </c>
      <c r="R1445" t="s">
        <v>11180</v>
      </c>
      <c r="S1445" t="s">
        <v>9094</v>
      </c>
      <c r="T1445" t="s">
        <v>11183</v>
      </c>
      <c r="V1445" t="s">
        <v>770</v>
      </c>
      <c r="W1445">
        <v>652</v>
      </c>
      <c r="X1445" t="s">
        <v>11333</v>
      </c>
      <c r="Y1445" t="s">
        <v>11346</v>
      </c>
      <c r="Z1445" t="s">
        <v>11608</v>
      </c>
      <c r="AB1445" t="s">
        <v>16092</v>
      </c>
      <c r="AC1445">
        <v>122</v>
      </c>
      <c r="AD1445" t="s">
        <v>19566</v>
      </c>
      <c r="AF1445">
        <v>15</v>
      </c>
      <c r="AG1445">
        <v>1</v>
      </c>
      <c r="AH1445">
        <v>2</v>
      </c>
      <c r="AI1445">
        <v>58.77</v>
      </c>
      <c r="AL1445" t="s">
        <v>19614</v>
      </c>
      <c r="AM1445">
        <v>12000</v>
      </c>
      <c r="AS1445">
        <v>0</v>
      </c>
      <c r="AU1445" t="s">
        <v>20647</v>
      </c>
    </row>
    <row r="1446" spans="1:48">
      <c r="A1446" s="1">
        <f>HYPERLINK("https://lsnyc.legalserver.org/matter/dynamic-profile/view/1857283","18-1857283")</f>
        <v>0</v>
      </c>
      <c r="B1446" t="s">
        <v>108</v>
      </c>
      <c r="C1446" t="s">
        <v>256</v>
      </c>
      <c r="D1446" t="s">
        <v>466</v>
      </c>
      <c r="F1446" t="s">
        <v>1359</v>
      </c>
      <c r="G1446" t="s">
        <v>3541</v>
      </c>
      <c r="H1446" t="s">
        <v>5897</v>
      </c>
      <c r="I1446" t="s">
        <v>8236</v>
      </c>
      <c r="J1446" t="s">
        <v>9065</v>
      </c>
      <c r="K1446">
        <v>10452</v>
      </c>
      <c r="L1446" t="s">
        <v>9094</v>
      </c>
      <c r="M1446" t="s">
        <v>9095</v>
      </c>
      <c r="N1446" t="s">
        <v>9253</v>
      </c>
      <c r="O1446" t="s">
        <v>11135</v>
      </c>
      <c r="P1446" t="s">
        <v>11168</v>
      </c>
      <c r="R1446" t="s">
        <v>11180</v>
      </c>
      <c r="S1446" t="s">
        <v>9094</v>
      </c>
      <c r="T1446" t="s">
        <v>11183</v>
      </c>
      <c r="V1446" t="s">
        <v>11233</v>
      </c>
      <c r="W1446">
        <v>652</v>
      </c>
      <c r="X1446" t="s">
        <v>11333</v>
      </c>
      <c r="Y1446" t="s">
        <v>11346</v>
      </c>
      <c r="Z1446" t="s">
        <v>11608</v>
      </c>
      <c r="AB1446" t="s">
        <v>16092</v>
      </c>
      <c r="AC1446">
        <v>122</v>
      </c>
      <c r="AD1446" t="s">
        <v>19566</v>
      </c>
      <c r="AF1446">
        <v>15</v>
      </c>
      <c r="AG1446">
        <v>1</v>
      </c>
      <c r="AH1446">
        <v>2</v>
      </c>
      <c r="AI1446">
        <v>58.77</v>
      </c>
      <c r="AL1446" t="s">
        <v>19614</v>
      </c>
      <c r="AM1446">
        <v>12000</v>
      </c>
      <c r="AS1446">
        <v>0.1</v>
      </c>
      <c r="AT1446" t="s">
        <v>507</v>
      </c>
      <c r="AU1446" t="s">
        <v>20647</v>
      </c>
    </row>
    <row r="1447" spans="1:48">
      <c r="A1447" s="1">
        <f>HYPERLINK("https://lsnyc.legalserver.org/matter/dynamic-profile/view/1842815","17-1842815")</f>
        <v>0</v>
      </c>
      <c r="B1447" t="s">
        <v>195</v>
      </c>
      <c r="C1447" t="s">
        <v>256</v>
      </c>
      <c r="D1447" t="s">
        <v>480</v>
      </c>
      <c r="F1447" t="s">
        <v>1887</v>
      </c>
      <c r="G1447" t="s">
        <v>3863</v>
      </c>
      <c r="H1447" t="s">
        <v>6519</v>
      </c>
      <c r="I1447" t="s">
        <v>8441</v>
      </c>
      <c r="J1447" t="s">
        <v>9067</v>
      </c>
      <c r="K1447">
        <v>10023</v>
      </c>
      <c r="L1447" t="s">
        <v>9096</v>
      </c>
      <c r="M1447" t="s">
        <v>9095</v>
      </c>
      <c r="P1447" t="s">
        <v>11165</v>
      </c>
      <c r="R1447" t="s">
        <v>11180</v>
      </c>
      <c r="T1447" t="s">
        <v>11183</v>
      </c>
      <c r="V1447" t="s">
        <v>480</v>
      </c>
      <c r="W1447">
        <v>880</v>
      </c>
      <c r="X1447" t="s">
        <v>11335</v>
      </c>
      <c r="Z1447" t="s">
        <v>12375</v>
      </c>
      <c r="AB1447" t="s">
        <v>16788</v>
      </c>
      <c r="AC1447">
        <v>188</v>
      </c>
      <c r="AF1447">
        <v>10</v>
      </c>
      <c r="AG1447">
        <v>3</v>
      </c>
      <c r="AH1447">
        <v>0</v>
      </c>
      <c r="AI1447">
        <v>58.77</v>
      </c>
      <c r="AM1447">
        <v>12000</v>
      </c>
      <c r="AS1447">
        <v>19.25</v>
      </c>
      <c r="AT1447" t="s">
        <v>898</v>
      </c>
      <c r="AU1447" t="s">
        <v>20696</v>
      </c>
    </row>
    <row r="1448" spans="1:48">
      <c r="A1448" s="1">
        <f>HYPERLINK("https://lsnyc.legalserver.org/matter/dynamic-profile/view/1896815","19-1896815")</f>
        <v>0</v>
      </c>
      <c r="B1448" t="s">
        <v>49</v>
      </c>
      <c r="C1448" t="s">
        <v>256</v>
      </c>
      <c r="D1448" t="s">
        <v>546</v>
      </c>
      <c r="F1448" t="s">
        <v>1358</v>
      </c>
      <c r="G1448" t="s">
        <v>4060</v>
      </c>
      <c r="H1448" t="s">
        <v>6520</v>
      </c>
      <c r="I1448" t="s">
        <v>8120</v>
      </c>
      <c r="J1448" t="s">
        <v>9070</v>
      </c>
      <c r="K1448">
        <v>11421</v>
      </c>
      <c r="L1448" t="s">
        <v>9094</v>
      </c>
      <c r="M1448" t="s">
        <v>9094</v>
      </c>
      <c r="N1448" t="s">
        <v>9742</v>
      </c>
      <c r="O1448" t="s">
        <v>11128</v>
      </c>
      <c r="P1448" t="s">
        <v>11165</v>
      </c>
      <c r="R1448" t="s">
        <v>11180</v>
      </c>
      <c r="S1448" t="s">
        <v>9096</v>
      </c>
      <c r="T1448" t="s">
        <v>11183</v>
      </c>
      <c r="U1448" t="s">
        <v>11201</v>
      </c>
      <c r="V1448" t="s">
        <v>546</v>
      </c>
      <c r="W1448">
        <v>2000</v>
      </c>
      <c r="X1448" t="s">
        <v>11331</v>
      </c>
      <c r="Y1448" t="s">
        <v>11347</v>
      </c>
      <c r="Z1448" t="s">
        <v>12376</v>
      </c>
      <c r="AA1448" t="s">
        <v>15552</v>
      </c>
      <c r="AB1448" t="s">
        <v>16789</v>
      </c>
      <c r="AC1448">
        <v>3</v>
      </c>
      <c r="AD1448" t="s">
        <v>19565</v>
      </c>
      <c r="AE1448" t="s">
        <v>9144</v>
      </c>
      <c r="AF1448">
        <v>1</v>
      </c>
      <c r="AG1448">
        <v>2</v>
      </c>
      <c r="AH1448">
        <v>2</v>
      </c>
      <c r="AI1448">
        <v>58.87</v>
      </c>
      <c r="AL1448" t="s">
        <v>19615</v>
      </c>
      <c r="AM1448">
        <v>15160</v>
      </c>
      <c r="AO1448" t="s">
        <v>20291</v>
      </c>
      <c r="AP1448" t="s">
        <v>11157</v>
      </c>
      <c r="AQ1448" t="s">
        <v>20368</v>
      </c>
      <c r="AR1448" t="s">
        <v>20456</v>
      </c>
      <c r="AS1448">
        <v>38.1</v>
      </c>
      <c r="AT1448" t="s">
        <v>395</v>
      </c>
      <c r="AU1448" t="s">
        <v>20620</v>
      </c>
      <c r="AV1448" t="s">
        <v>20733</v>
      </c>
    </row>
    <row r="1449" spans="1:48">
      <c r="A1449" s="1">
        <f>HYPERLINK("https://lsnyc.legalserver.org/matter/dynamic-profile/view/0820315","16-0820315")</f>
        <v>0</v>
      </c>
      <c r="B1449" t="s">
        <v>94</v>
      </c>
      <c r="C1449" t="s">
        <v>256</v>
      </c>
      <c r="D1449" t="s">
        <v>385</v>
      </c>
      <c r="F1449" t="s">
        <v>1212</v>
      </c>
      <c r="G1449" t="s">
        <v>4061</v>
      </c>
      <c r="H1449" t="s">
        <v>6016</v>
      </c>
      <c r="I1449" t="s">
        <v>8170</v>
      </c>
      <c r="J1449" t="s">
        <v>9059</v>
      </c>
      <c r="K1449">
        <v>11212</v>
      </c>
      <c r="L1449" t="s">
        <v>9094</v>
      </c>
      <c r="M1449" t="s">
        <v>9095</v>
      </c>
      <c r="N1449" t="s">
        <v>9183</v>
      </c>
      <c r="O1449" t="s">
        <v>11132</v>
      </c>
      <c r="P1449" t="s">
        <v>11165</v>
      </c>
      <c r="R1449" t="s">
        <v>11180</v>
      </c>
      <c r="S1449" t="s">
        <v>9094</v>
      </c>
      <c r="T1449" t="s">
        <v>11183</v>
      </c>
      <c r="V1449" t="s">
        <v>385</v>
      </c>
      <c r="W1449">
        <v>0</v>
      </c>
      <c r="X1449" t="s">
        <v>11332</v>
      </c>
      <c r="Z1449" t="s">
        <v>12377</v>
      </c>
      <c r="AB1449" t="s">
        <v>16790</v>
      </c>
      <c r="AC1449">
        <v>12</v>
      </c>
      <c r="AF1449">
        <v>0</v>
      </c>
      <c r="AG1449">
        <v>2</v>
      </c>
      <c r="AH1449">
        <v>2</v>
      </c>
      <c r="AI1449">
        <v>58.91</v>
      </c>
      <c r="AL1449" t="s">
        <v>19614</v>
      </c>
      <c r="AM1449">
        <v>23112</v>
      </c>
      <c r="AS1449">
        <v>4.3</v>
      </c>
      <c r="AT1449" t="s">
        <v>837</v>
      </c>
      <c r="AU1449" t="s">
        <v>20636</v>
      </c>
    </row>
    <row r="1450" spans="1:48">
      <c r="A1450" s="1">
        <f>HYPERLINK("https://lsnyc.legalserver.org/matter/dynamic-profile/view/0800674","16-0800674")</f>
        <v>0</v>
      </c>
      <c r="B1450" t="s">
        <v>91</v>
      </c>
      <c r="C1450" t="s">
        <v>256</v>
      </c>
      <c r="D1450" t="s">
        <v>790</v>
      </c>
      <c r="F1450" t="s">
        <v>1212</v>
      </c>
      <c r="G1450" t="s">
        <v>4061</v>
      </c>
      <c r="H1450" t="s">
        <v>6016</v>
      </c>
      <c r="J1450" t="s">
        <v>9059</v>
      </c>
      <c r="K1450">
        <v>11212</v>
      </c>
      <c r="L1450" t="s">
        <v>9094</v>
      </c>
      <c r="M1450" t="s">
        <v>9095</v>
      </c>
      <c r="N1450" t="s">
        <v>9743</v>
      </c>
      <c r="O1450" t="s">
        <v>11128</v>
      </c>
      <c r="P1450" t="s">
        <v>11165</v>
      </c>
      <c r="R1450" t="s">
        <v>11180</v>
      </c>
      <c r="S1450" t="s">
        <v>9094</v>
      </c>
      <c r="T1450" t="s">
        <v>11183</v>
      </c>
      <c r="V1450" t="s">
        <v>790</v>
      </c>
      <c r="W1450">
        <v>0</v>
      </c>
      <c r="X1450" t="s">
        <v>11332</v>
      </c>
      <c r="Y1450" t="s">
        <v>11343</v>
      </c>
      <c r="Z1450" t="s">
        <v>12377</v>
      </c>
      <c r="AB1450" t="s">
        <v>16790</v>
      </c>
      <c r="AC1450">
        <v>12</v>
      </c>
      <c r="AF1450">
        <v>2</v>
      </c>
      <c r="AG1450">
        <v>2</v>
      </c>
      <c r="AH1450">
        <v>2</v>
      </c>
      <c r="AI1450">
        <v>58.91</v>
      </c>
      <c r="AL1450" t="s">
        <v>19614</v>
      </c>
      <c r="AM1450">
        <v>14316</v>
      </c>
      <c r="AS1450">
        <v>27.8</v>
      </c>
      <c r="AT1450" t="s">
        <v>270</v>
      </c>
      <c r="AU1450" t="s">
        <v>20630</v>
      </c>
    </row>
    <row r="1451" spans="1:48">
      <c r="A1451" s="1">
        <f>HYPERLINK("https://lsnyc.legalserver.org/matter/dynamic-profile/view/1909677","19-1909677")</f>
        <v>0</v>
      </c>
      <c r="B1451" t="s">
        <v>122</v>
      </c>
      <c r="C1451" t="s">
        <v>257</v>
      </c>
      <c r="D1451" t="s">
        <v>549</v>
      </c>
      <c r="E1451" t="s">
        <v>308</v>
      </c>
      <c r="F1451" t="s">
        <v>1888</v>
      </c>
      <c r="G1451" t="s">
        <v>4062</v>
      </c>
      <c r="H1451" t="s">
        <v>6521</v>
      </c>
      <c r="I1451" t="s">
        <v>8442</v>
      </c>
      <c r="J1451" t="s">
        <v>9066</v>
      </c>
      <c r="K1451">
        <v>10301</v>
      </c>
      <c r="L1451" t="s">
        <v>9094</v>
      </c>
      <c r="M1451" t="s">
        <v>9095</v>
      </c>
      <c r="N1451" t="s">
        <v>9744</v>
      </c>
      <c r="O1451" t="s">
        <v>11128</v>
      </c>
      <c r="P1451" t="s">
        <v>11165</v>
      </c>
      <c r="Q1451" t="s">
        <v>11179</v>
      </c>
      <c r="R1451" t="s">
        <v>11180</v>
      </c>
      <c r="S1451" t="s">
        <v>9096</v>
      </c>
      <c r="T1451" t="s">
        <v>11183</v>
      </c>
      <c r="U1451" t="s">
        <v>11200</v>
      </c>
      <c r="V1451" t="s">
        <v>549</v>
      </c>
      <c r="W1451">
        <v>1534</v>
      </c>
      <c r="X1451" t="s">
        <v>11334</v>
      </c>
      <c r="Y1451" t="s">
        <v>11340</v>
      </c>
      <c r="Z1451" t="s">
        <v>12378</v>
      </c>
      <c r="AA1451">
        <v>6882415</v>
      </c>
      <c r="AB1451" t="s">
        <v>16791</v>
      </c>
      <c r="AC1451">
        <v>5</v>
      </c>
      <c r="AD1451" t="s">
        <v>19565</v>
      </c>
      <c r="AE1451" t="s">
        <v>19582</v>
      </c>
      <c r="AF1451">
        <v>4</v>
      </c>
      <c r="AG1451">
        <v>1</v>
      </c>
      <c r="AH1451">
        <v>2</v>
      </c>
      <c r="AI1451">
        <v>58.96</v>
      </c>
      <c r="AL1451" t="s">
        <v>19614</v>
      </c>
      <c r="AM1451">
        <v>12576</v>
      </c>
      <c r="AO1451" t="s">
        <v>20294</v>
      </c>
      <c r="AP1451" t="s">
        <v>20309</v>
      </c>
      <c r="AQ1451" t="s">
        <v>20369</v>
      </c>
      <c r="AR1451" t="s">
        <v>20457</v>
      </c>
      <c r="AS1451">
        <v>9.6</v>
      </c>
      <c r="AT1451" t="s">
        <v>308</v>
      </c>
      <c r="AU1451" t="s">
        <v>20653</v>
      </c>
      <c r="AV1451" t="s">
        <v>20733</v>
      </c>
    </row>
    <row r="1452" spans="1:48">
      <c r="A1452" s="1">
        <f>HYPERLINK("https://lsnyc.legalserver.org/matter/dynamic-profile/view/1894126","19-1894126")</f>
        <v>0</v>
      </c>
      <c r="B1452" t="s">
        <v>103</v>
      </c>
      <c r="C1452" t="s">
        <v>256</v>
      </c>
      <c r="D1452" t="s">
        <v>791</v>
      </c>
      <c r="F1452" t="s">
        <v>1889</v>
      </c>
      <c r="G1452" t="s">
        <v>4063</v>
      </c>
      <c r="H1452" t="s">
        <v>5887</v>
      </c>
      <c r="I1452" t="s">
        <v>8189</v>
      </c>
      <c r="J1452" t="s">
        <v>9065</v>
      </c>
      <c r="K1452">
        <v>10453</v>
      </c>
      <c r="L1452" t="s">
        <v>9094</v>
      </c>
      <c r="M1452" t="s">
        <v>9094</v>
      </c>
      <c r="O1452" t="s">
        <v>11134</v>
      </c>
      <c r="P1452" t="s">
        <v>11168</v>
      </c>
      <c r="R1452" t="s">
        <v>11180</v>
      </c>
      <c r="S1452" t="s">
        <v>9094</v>
      </c>
      <c r="T1452" t="s">
        <v>11183</v>
      </c>
      <c r="V1452" t="s">
        <v>993</v>
      </c>
      <c r="W1452">
        <v>506</v>
      </c>
      <c r="X1452" t="s">
        <v>11333</v>
      </c>
      <c r="Y1452" t="s">
        <v>11346</v>
      </c>
      <c r="Z1452" t="s">
        <v>12379</v>
      </c>
      <c r="AB1452" t="s">
        <v>16792</v>
      </c>
      <c r="AC1452">
        <v>167</v>
      </c>
      <c r="AD1452" t="s">
        <v>19566</v>
      </c>
      <c r="AE1452" t="s">
        <v>19580</v>
      </c>
      <c r="AF1452">
        <v>10</v>
      </c>
      <c r="AG1452">
        <v>2</v>
      </c>
      <c r="AH1452">
        <v>4</v>
      </c>
      <c r="AI1452">
        <v>58.98</v>
      </c>
      <c r="AL1452" t="s">
        <v>19615</v>
      </c>
      <c r="AM1452">
        <v>20400</v>
      </c>
      <c r="AS1452">
        <v>0</v>
      </c>
      <c r="AU1452" t="s">
        <v>20642</v>
      </c>
      <c r="AV1452" t="s">
        <v>20733</v>
      </c>
    </row>
    <row r="1453" spans="1:48">
      <c r="A1453" s="1">
        <f>HYPERLINK("https://lsnyc.legalserver.org/matter/dynamic-profile/view/1905643","19-1905643")</f>
        <v>0</v>
      </c>
      <c r="B1453" t="s">
        <v>103</v>
      </c>
      <c r="C1453" t="s">
        <v>256</v>
      </c>
      <c r="D1453" t="s">
        <v>328</v>
      </c>
      <c r="F1453" t="s">
        <v>1889</v>
      </c>
      <c r="G1453" t="s">
        <v>4063</v>
      </c>
      <c r="H1453" t="s">
        <v>5887</v>
      </c>
      <c r="I1453" t="s">
        <v>8189</v>
      </c>
      <c r="J1453" t="s">
        <v>9065</v>
      </c>
      <c r="K1453">
        <v>10453</v>
      </c>
      <c r="L1453" t="s">
        <v>9094</v>
      </c>
      <c r="M1453" t="s">
        <v>9095</v>
      </c>
      <c r="N1453" t="s">
        <v>9239</v>
      </c>
      <c r="O1453" t="s">
        <v>11134</v>
      </c>
      <c r="P1453" t="s">
        <v>11168</v>
      </c>
      <c r="R1453" t="s">
        <v>11180</v>
      </c>
      <c r="S1453" t="s">
        <v>9094</v>
      </c>
      <c r="T1453" t="s">
        <v>11183</v>
      </c>
      <c r="V1453" t="s">
        <v>817</v>
      </c>
      <c r="W1453">
        <v>506</v>
      </c>
      <c r="X1453" t="s">
        <v>11333</v>
      </c>
      <c r="Y1453" t="s">
        <v>11346</v>
      </c>
      <c r="Z1453" t="s">
        <v>12379</v>
      </c>
      <c r="AB1453" t="s">
        <v>16792</v>
      </c>
      <c r="AC1453">
        <v>170</v>
      </c>
      <c r="AD1453" t="s">
        <v>19566</v>
      </c>
      <c r="AE1453" t="s">
        <v>19580</v>
      </c>
      <c r="AF1453">
        <v>10</v>
      </c>
      <c r="AG1453">
        <v>2</v>
      </c>
      <c r="AH1453">
        <v>4</v>
      </c>
      <c r="AI1453">
        <v>58.98</v>
      </c>
      <c r="AL1453" t="s">
        <v>19615</v>
      </c>
      <c r="AM1453">
        <v>20400</v>
      </c>
      <c r="AS1453">
        <v>0</v>
      </c>
      <c r="AU1453" t="s">
        <v>163</v>
      </c>
      <c r="AV1453" t="s">
        <v>20733</v>
      </c>
    </row>
    <row r="1454" spans="1:48">
      <c r="A1454" s="1">
        <f>HYPERLINK("https://lsnyc.legalserver.org/matter/dynamic-profile/view/1905647","19-1905647")</f>
        <v>0</v>
      </c>
      <c r="B1454" t="s">
        <v>103</v>
      </c>
      <c r="C1454" t="s">
        <v>256</v>
      </c>
      <c r="D1454" t="s">
        <v>328</v>
      </c>
      <c r="F1454" t="s">
        <v>1889</v>
      </c>
      <c r="G1454" t="s">
        <v>4063</v>
      </c>
      <c r="H1454" t="s">
        <v>5887</v>
      </c>
      <c r="I1454" t="s">
        <v>8189</v>
      </c>
      <c r="J1454" t="s">
        <v>9065</v>
      </c>
      <c r="K1454">
        <v>10453</v>
      </c>
      <c r="L1454" t="s">
        <v>9094</v>
      </c>
      <c r="M1454" t="s">
        <v>9095</v>
      </c>
      <c r="N1454" t="s">
        <v>9240</v>
      </c>
      <c r="O1454" t="s">
        <v>11134</v>
      </c>
      <c r="P1454" t="s">
        <v>11168</v>
      </c>
      <c r="R1454" t="s">
        <v>11180</v>
      </c>
      <c r="S1454" t="s">
        <v>9094</v>
      </c>
      <c r="T1454" t="s">
        <v>11183</v>
      </c>
      <c r="V1454" t="s">
        <v>988</v>
      </c>
      <c r="W1454">
        <v>506</v>
      </c>
      <c r="X1454" t="s">
        <v>11333</v>
      </c>
      <c r="Y1454" t="s">
        <v>11346</v>
      </c>
      <c r="Z1454" t="s">
        <v>12379</v>
      </c>
      <c r="AB1454" t="s">
        <v>16792</v>
      </c>
      <c r="AC1454">
        <v>170</v>
      </c>
      <c r="AD1454" t="s">
        <v>19566</v>
      </c>
      <c r="AE1454" t="s">
        <v>19580</v>
      </c>
      <c r="AF1454">
        <v>10</v>
      </c>
      <c r="AG1454">
        <v>2</v>
      </c>
      <c r="AH1454">
        <v>4</v>
      </c>
      <c r="AI1454">
        <v>58.98</v>
      </c>
      <c r="AL1454" t="s">
        <v>19615</v>
      </c>
      <c r="AM1454">
        <v>20400</v>
      </c>
      <c r="AS1454">
        <v>0</v>
      </c>
      <c r="AU1454" t="s">
        <v>163</v>
      </c>
      <c r="AV1454" t="s">
        <v>20733</v>
      </c>
    </row>
    <row r="1455" spans="1:48">
      <c r="A1455" s="1">
        <f>HYPERLINK("https://lsnyc.legalserver.org/matter/dynamic-profile/view/1894123","19-1894123")</f>
        <v>0</v>
      </c>
      <c r="B1455" t="s">
        <v>103</v>
      </c>
      <c r="C1455" t="s">
        <v>256</v>
      </c>
      <c r="D1455" t="s">
        <v>791</v>
      </c>
      <c r="F1455" t="s">
        <v>1889</v>
      </c>
      <c r="G1455" t="s">
        <v>4063</v>
      </c>
      <c r="H1455" t="s">
        <v>5887</v>
      </c>
      <c r="I1455" t="s">
        <v>8189</v>
      </c>
      <c r="J1455" t="s">
        <v>9065</v>
      </c>
      <c r="K1455">
        <v>10453</v>
      </c>
      <c r="L1455" t="s">
        <v>9094</v>
      </c>
      <c r="M1455" t="s">
        <v>9094</v>
      </c>
      <c r="N1455" t="s">
        <v>9352</v>
      </c>
      <c r="O1455" t="s">
        <v>11130</v>
      </c>
      <c r="P1455" t="s">
        <v>11165</v>
      </c>
      <c r="R1455" t="s">
        <v>11180</v>
      </c>
      <c r="S1455" t="s">
        <v>9094</v>
      </c>
      <c r="T1455" t="s">
        <v>11183</v>
      </c>
      <c r="V1455" t="s">
        <v>512</v>
      </c>
      <c r="W1455">
        <v>506</v>
      </c>
      <c r="X1455" t="s">
        <v>11333</v>
      </c>
      <c r="Y1455" t="s">
        <v>11346</v>
      </c>
      <c r="Z1455" t="s">
        <v>12379</v>
      </c>
      <c r="AB1455" t="s">
        <v>16792</v>
      </c>
      <c r="AC1455">
        <v>167</v>
      </c>
      <c r="AD1455" t="s">
        <v>19566</v>
      </c>
      <c r="AE1455" t="s">
        <v>19580</v>
      </c>
      <c r="AF1455">
        <v>10</v>
      </c>
      <c r="AG1455">
        <v>2</v>
      </c>
      <c r="AH1455">
        <v>4</v>
      </c>
      <c r="AI1455">
        <v>58.98</v>
      </c>
      <c r="AL1455" t="s">
        <v>19615</v>
      </c>
      <c r="AM1455">
        <v>20400</v>
      </c>
      <c r="AS1455">
        <v>0</v>
      </c>
      <c r="AU1455" t="s">
        <v>20642</v>
      </c>
    </row>
    <row r="1456" spans="1:48">
      <c r="A1456" s="1">
        <f>HYPERLINK("https://lsnyc.legalserver.org/matter/dynamic-profile/view/1894220","19-1894220")</f>
        <v>0</v>
      </c>
      <c r="B1456" t="s">
        <v>111</v>
      </c>
      <c r="C1456" t="s">
        <v>256</v>
      </c>
      <c r="D1456" t="s">
        <v>507</v>
      </c>
      <c r="F1456" t="s">
        <v>1889</v>
      </c>
      <c r="G1456" t="s">
        <v>4063</v>
      </c>
      <c r="H1456" t="s">
        <v>5887</v>
      </c>
      <c r="I1456" t="s">
        <v>8189</v>
      </c>
      <c r="J1456" t="s">
        <v>9065</v>
      </c>
      <c r="K1456">
        <v>10453</v>
      </c>
      <c r="L1456" t="s">
        <v>9094</v>
      </c>
      <c r="M1456" t="s">
        <v>9094</v>
      </c>
      <c r="N1456" t="s">
        <v>9745</v>
      </c>
      <c r="O1456" t="s">
        <v>11129</v>
      </c>
      <c r="P1456" t="s">
        <v>11165</v>
      </c>
      <c r="R1456" t="s">
        <v>11180</v>
      </c>
      <c r="S1456" t="s">
        <v>9096</v>
      </c>
      <c r="T1456" t="s">
        <v>11183</v>
      </c>
      <c r="V1456" t="s">
        <v>507</v>
      </c>
      <c r="W1456">
        <v>506</v>
      </c>
      <c r="X1456" t="s">
        <v>11333</v>
      </c>
      <c r="Y1456" t="s">
        <v>11340</v>
      </c>
      <c r="Z1456" t="s">
        <v>12379</v>
      </c>
      <c r="AB1456" t="s">
        <v>16792</v>
      </c>
      <c r="AC1456">
        <v>170</v>
      </c>
      <c r="AD1456" t="s">
        <v>19567</v>
      </c>
      <c r="AE1456" t="s">
        <v>19580</v>
      </c>
      <c r="AF1456">
        <v>10</v>
      </c>
      <c r="AG1456">
        <v>2</v>
      </c>
      <c r="AH1456">
        <v>4</v>
      </c>
      <c r="AI1456">
        <v>58.98</v>
      </c>
      <c r="AL1456" t="s">
        <v>19615</v>
      </c>
      <c r="AM1456">
        <v>20400</v>
      </c>
      <c r="AS1456">
        <v>2</v>
      </c>
      <c r="AT1456" t="s">
        <v>300</v>
      </c>
      <c r="AU1456" t="s">
        <v>20642</v>
      </c>
    </row>
    <row r="1457" spans="1:48">
      <c r="A1457" s="1">
        <f>HYPERLINK("https://lsnyc.legalserver.org/matter/dynamic-profile/view/1914745","19-1914745")</f>
        <v>0</v>
      </c>
      <c r="B1457" t="s">
        <v>106</v>
      </c>
      <c r="C1457" t="s">
        <v>256</v>
      </c>
      <c r="D1457" t="s">
        <v>632</v>
      </c>
      <c r="F1457" t="s">
        <v>1889</v>
      </c>
      <c r="G1457" t="s">
        <v>4063</v>
      </c>
      <c r="H1457" t="s">
        <v>5887</v>
      </c>
      <c r="I1457" t="s">
        <v>8189</v>
      </c>
      <c r="J1457" t="s">
        <v>9065</v>
      </c>
      <c r="K1457">
        <v>10453</v>
      </c>
      <c r="L1457" t="s">
        <v>9094</v>
      </c>
      <c r="M1457" t="s">
        <v>9095</v>
      </c>
      <c r="N1457" t="s">
        <v>9746</v>
      </c>
      <c r="O1457" t="s">
        <v>11129</v>
      </c>
      <c r="P1457" t="s">
        <v>11165</v>
      </c>
      <c r="R1457" t="s">
        <v>11180</v>
      </c>
      <c r="S1457" t="s">
        <v>9096</v>
      </c>
      <c r="T1457" t="s">
        <v>11183</v>
      </c>
      <c r="U1457" t="s">
        <v>11201</v>
      </c>
      <c r="W1457">
        <v>463</v>
      </c>
      <c r="X1457" t="s">
        <v>11333</v>
      </c>
      <c r="Y1457" t="s">
        <v>11347</v>
      </c>
      <c r="Z1457" t="s">
        <v>12379</v>
      </c>
      <c r="AB1457" t="s">
        <v>16792</v>
      </c>
      <c r="AC1457">
        <v>167</v>
      </c>
      <c r="AD1457" t="s">
        <v>19566</v>
      </c>
      <c r="AE1457" t="s">
        <v>19580</v>
      </c>
      <c r="AF1457">
        <v>10</v>
      </c>
      <c r="AG1457">
        <v>2</v>
      </c>
      <c r="AH1457">
        <v>4</v>
      </c>
      <c r="AI1457">
        <v>58.98</v>
      </c>
      <c r="AL1457" t="s">
        <v>19615</v>
      </c>
      <c r="AM1457">
        <v>20400</v>
      </c>
      <c r="AS1457">
        <v>4.5</v>
      </c>
      <c r="AT1457" t="s">
        <v>377</v>
      </c>
      <c r="AU1457" t="s">
        <v>220</v>
      </c>
      <c r="AV1457" t="s">
        <v>20733</v>
      </c>
    </row>
    <row r="1458" spans="1:48">
      <c r="A1458" s="1">
        <f>HYPERLINK("https://lsnyc.legalserver.org/matter/dynamic-profile/view/1854948","18-1854948")</f>
        <v>0</v>
      </c>
      <c r="B1458" t="s">
        <v>101</v>
      </c>
      <c r="C1458" t="s">
        <v>256</v>
      </c>
      <c r="D1458" t="s">
        <v>792</v>
      </c>
      <c r="F1458" t="s">
        <v>1721</v>
      </c>
      <c r="G1458" t="s">
        <v>3873</v>
      </c>
      <c r="H1458" t="s">
        <v>6041</v>
      </c>
      <c r="I1458" t="s">
        <v>8262</v>
      </c>
      <c r="J1458" t="s">
        <v>9065</v>
      </c>
      <c r="K1458">
        <v>10452</v>
      </c>
      <c r="L1458" t="s">
        <v>9094</v>
      </c>
      <c r="M1458" t="s">
        <v>9095</v>
      </c>
      <c r="N1458" t="s">
        <v>9496</v>
      </c>
      <c r="O1458" t="s">
        <v>11135</v>
      </c>
      <c r="P1458" t="s">
        <v>11168</v>
      </c>
      <c r="R1458" t="s">
        <v>11180</v>
      </c>
      <c r="S1458" t="s">
        <v>9094</v>
      </c>
      <c r="T1458" t="s">
        <v>11183</v>
      </c>
      <c r="V1458" t="s">
        <v>1122</v>
      </c>
      <c r="W1458">
        <v>854.7</v>
      </c>
      <c r="X1458" t="s">
        <v>11333</v>
      </c>
      <c r="Y1458" t="s">
        <v>11346</v>
      </c>
      <c r="Z1458" t="s">
        <v>12306</v>
      </c>
      <c r="AB1458" t="s">
        <v>16723</v>
      </c>
      <c r="AC1458">
        <v>62</v>
      </c>
      <c r="AD1458" t="s">
        <v>19566</v>
      </c>
      <c r="AE1458" t="s">
        <v>9144</v>
      </c>
      <c r="AF1458">
        <v>20</v>
      </c>
      <c r="AG1458">
        <v>2</v>
      </c>
      <c r="AH1458">
        <v>2</v>
      </c>
      <c r="AI1458">
        <v>59.02</v>
      </c>
      <c r="AL1458" t="s">
        <v>19614</v>
      </c>
      <c r="AM1458">
        <v>14520</v>
      </c>
      <c r="AS1458">
        <v>0</v>
      </c>
      <c r="AU1458" t="s">
        <v>20643</v>
      </c>
    </row>
    <row r="1459" spans="1:48">
      <c r="A1459" s="1">
        <f>HYPERLINK("https://lsnyc.legalserver.org/matter/dynamic-profile/view/1903853","19-1903853")</f>
        <v>0</v>
      </c>
      <c r="B1459" t="s">
        <v>94</v>
      </c>
      <c r="C1459" t="s">
        <v>257</v>
      </c>
      <c r="D1459" t="s">
        <v>597</v>
      </c>
      <c r="E1459" t="s">
        <v>474</v>
      </c>
      <c r="F1459" t="s">
        <v>1884</v>
      </c>
      <c r="G1459" t="s">
        <v>4064</v>
      </c>
      <c r="H1459" t="s">
        <v>6522</v>
      </c>
      <c r="I1459">
        <v>1</v>
      </c>
      <c r="J1459" t="s">
        <v>9059</v>
      </c>
      <c r="K1459">
        <v>11233</v>
      </c>
      <c r="L1459" t="s">
        <v>9094</v>
      </c>
      <c r="M1459" t="s">
        <v>9095</v>
      </c>
      <c r="N1459" t="s">
        <v>9747</v>
      </c>
      <c r="O1459" t="s">
        <v>11128</v>
      </c>
      <c r="P1459" t="s">
        <v>11167</v>
      </c>
      <c r="Q1459" t="s">
        <v>11173</v>
      </c>
      <c r="R1459" t="s">
        <v>11180</v>
      </c>
      <c r="S1459" t="s">
        <v>9096</v>
      </c>
      <c r="T1459" t="s">
        <v>11189</v>
      </c>
      <c r="U1459" t="s">
        <v>11200</v>
      </c>
      <c r="V1459" t="s">
        <v>663</v>
      </c>
      <c r="W1459">
        <v>650</v>
      </c>
      <c r="X1459" t="s">
        <v>11332</v>
      </c>
      <c r="Y1459" t="s">
        <v>11340</v>
      </c>
      <c r="Z1459" t="s">
        <v>12380</v>
      </c>
      <c r="AB1459" t="s">
        <v>16793</v>
      </c>
      <c r="AC1459">
        <v>3</v>
      </c>
      <c r="AD1459" t="s">
        <v>19565</v>
      </c>
      <c r="AE1459" t="s">
        <v>9144</v>
      </c>
      <c r="AF1459">
        <v>4</v>
      </c>
      <c r="AG1459">
        <v>2</v>
      </c>
      <c r="AH1459">
        <v>0</v>
      </c>
      <c r="AI1459">
        <v>59.04</v>
      </c>
      <c r="AL1459" t="s">
        <v>19614</v>
      </c>
      <c r="AM1459">
        <v>9984</v>
      </c>
      <c r="AP1459" t="s">
        <v>11157</v>
      </c>
      <c r="AQ1459" t="s">
        <v>20368</v>
      </c>
      <c r="AR1459" t="s">
        <v>20458</v>
      </c>
      <c r="AS1459">
        <v>1.2</v>
      </c>
      <c r="AT1459" t="s">
        <v>474</v>
      </c>
      <c r="AU1459" t="s">
        <v>20674</v>
      </c>
      <c r="AV1459" t="s">
        <v>20733</v>
      </c>
    </row>
    <row r="1460" spans="1:48">
      <c r="A1460" s="1">
        <f>HYPERLINK("https://lsnyc.legalserver.org/matter/dynamic-profile/view/1906780","19-1906780")</f>
        <v>0</v>
      </c>
      <c r="B1460" t="s">
        <v>117</v>
      </c>
      <c r="C1460" t="s">
        <v>256</v>
      </c>
      <c r="D1460" t="s">
        <v>370</v>
      </c>
      <c r="F1460" t="s">
        <v>1358</v>
      </c>
      <c r="G1460" t="s">
        <v>3374</v>
      </c>
      <c r="H1460" t="s">
        <v>5899</v>
      </c>
      <c r="I1460" t="s">
        <v>8212</v>
      </c>
      <c r="J1460" t="s">
        <v>9065</v>
      </c>
      <c r="K1460">
        <v>10452</v>
      </c>
      <c r="L1460" t="s">
        <v>9094</v>
      </c>
      <c r="M1460" t="s">
        <v>9095</v>
      </c>
      <c r="R1460" t="s">
        <v>11180</v>
      </c>
      <c r="S1460" t="s">
        <v>9094</v>
      </c>
      <c r="T1460" t="s">
        <v>11183</v>
      </c>
      <c r="W1460">
        <v>1724.69</v>
      </c>
      <c r="X1460" t="s">
        <v>11333</v>
      </c>
      <c r="Y1460" t="s">
        <v>11339</v>
      </c>
      <c r="Z1460" t="s">
        <v>12381</v>
      </c>
      <c r="AB1460" t="s">
        <v>16794</v>
      </c>
      <c r="AC1460">
        <v>65</v>
      </c>
      <c r="AD1460" t="s">
        <v>19566</v>
      </c>
      <c r="AE1460" t="s">
        <v>9144</v>
      </c>
      <c r="AF1460">
        <v>25</v>
      </c>
      <c r="AG1460">
        <v>3</v>
      </c>
      <c r="AH1460">
        <v>0</v>
      </c>
      <c r="AI1460">
        <v>59.07</v>
      </c>
      <c r="AL1460" t="s">
        <v>19615</v>
      </c>
      <c r="AM1460">
        <v>12600</v>
      </c>
      <c r="AS1460">
        <v>0</v>
      </c>
      <c r="AU1460" t="s">
        <v>220</v>
      </c>
    </row>
    <row r="1461" spans="1:48">
      <c r="A1461" s="1">
        <f>HYPERLINK("https://lsnyc.legalserver.org/matter/dynamic-profile/view/1914806","19-1914806")</f>
        <v>0</v>
      </c>
      <c r="B1461" t="s">
        <v>117</v>
      </c>
      <c r="C1461" t="s">
        <v>256</v>
      </c>
      <c r="D1461" t="s">
        <v>632</v>
      </c>
      <c r="F1461" t="s">
        <v>1358</v>
      </c>
      <c r="G1461" t="s">
        <v>3374</v>
      </c>
      <c r="H1461" t="s">
        <v>5899</v>
      </c>
      <c r="I1461" t="s">
        <v>8212</v>
      </c>
      <c r="J1461" t="s">
        <v>9065</v>
      </c>
      <c r="K1461">
        <v>10452</v>
      </c>
      <c r="L1461" t="s">
        <v>9094</v>
      </c>
      <c r="M1461" t="s">
        <v>9095</v>
      </c>
      <c r="R1461" t="s">
        <v>11180</v>
      </c>
      <c r="S1461" t="s">
        <v>9094</v>
      </c>
      <c r="T1461" t="s">
        <v>11183</v>
      </c>
      <c r="W1461">
        <v>1724.69</v>
      </c>
      <c r="X1461" t="s">
        <v>11333</v>
      </c>
      <c r="Y1461" t="s">
        <v>11346</v>
      </c>
      <c r="Z1461" t="s">
        <v>12381</v>
      </c>
      <c r="AB1461" t="s">
        <v>16794</v>
      </c>
      <c r="AC1461">
        <v>63</v>
      </c>
      <c r="AD1461" t="s">
        <v>19566</v>
      </c>
      <c r="AE1461" t="s">
        <v>9144</v>
      </c>
      <c r="AF1461">
        <v>25</v>
      </c>
      <c r="AG1461">
        <v>3</v>
      </c>
      <c r="AH1461">
        <v>0</v>
      </c>
      <c r="AI1461">
        <v>59.07</v>
      </c>
      <c r="AL1461" t="s">
        <v>19615</v>
      </c>
      <c r="AM1461">
        <v>12600</v>
      </c>
      <c r="AS1461">
        <v>0</v>
      </c>
      <c r="AU1461" t="s">
        <v>163</v>
      </c>
      <c r="AV1461" t="s">
        <v>20733</v>
      </c>
    </row>
    <row r="1462" spans="1:48">
      <c r="A1462" s="1">
        <f>HYPERLINK("https://lsnyc.legalserver.org/matter/dynamic-profile/view/1859264","18-1859264")</f>
        <v>0</v>
      </c>
      <c r="B1462" t="s">
        <v>120</v>
      </c>
      <c r="C1462" t="s">
        <v>256</v>
      </c>
      <c r="D1462" t="s">
        <v>793</v>
      </c>
      <c r="F1462" t="s">
        <v>1479</v>
      </c>
      <c r="G1462" t="s">
        <v>4065</v>
      </c>
      <c r="H1462" t="s">
        <v>6356</v>
      </c>
      <c r="I1462">
        <v>120</v>
      </c>
      <c r="J1462" t="s">
        <v>9065</v>
      </c>
      <c r="K1462">
        <v>10453</v>
      </c>
      <c r="L1462" t="s">
        <v>9094</v>
      </c>
      <c r="M1462" t="s">
        <v>9095</v>
      </c>
      <c r="O1462" t="s">
        <v>11135</v>
      </c>
      <c r="P1462" t="s">
        <v>11168</v>
      </c>
      <c r="R1462" t="s">
        <v>11180</v>
      </c>
      <c r="S1462" t="s">
        <v>9094</v>
      </c>
      <c r="T1462" t="s">
        <v>11183</v>
      </c>
      <c r="V1462" t="s">
        <v>595</v>
      </c>
      <c r="W1462">
        <v>725.22</v>
      </c>
      <c r="X1462" t="s">
        <v>11333</v>
      </c>
      <c r="Y1462" t="s">
        <v>11339</v>
      </c>
      <c r="Z1462" t="s">
        <v>12382</v>
      </c>
      <c r="AA1462" t="s">
        <v>15553</v>
      </c>
      <c r="AB1462" t="s">
        <v>16795</v>
      </c>
      <c r="AC1462">
        <v>146</v>
      </c>
      <c r="AD1462" t="s">
        <v>19566</v>
      </c>
      <c r="AE1462" t="s">
        <v>19587</v>
      </c>
      <c r="AF1462">
        <v>34</v>
      </c>
      <c r="AG1462">
        <v>1</v>
      </c>
      <c r="AH1462">
        <v>1</v>
      </c>
      <c r="AI1462">
        <v>59.11</v>
      </c>
      <c r="AL1462" t="s">
        <v>19614</v>
      </c>
      <c r="AM1462">
        <v>9600</v>
      </c>
      <c r="AS1462">
        <v>2.4</v>
      </c>
      <c r="AT1462" t="s">
        <v>617</v>
      </c>
      <c r="AU1462" t="s">
        <v>20647</v>
      </c>
    </row>
    <row r="1463" spans="1:48">
      <c r="A1463" s="1">
        <f>HYPERLINK("https://lsnyc.legalserver.org/matter/dynamic-profile/view/1902616","19-1902616")</f>
        <v>0</v>
      </c>
      <c r="B1463" t="s">
        <v>82</v>
      </c>
      <c r="C1463" t="s">
        <v>256</v>
      </c>
      <c r="D1463" t="s">
        <v>327</v>
      </c>
      <c r="F1463" t="s">
        <v>1890</v>
      </c>
      <c r="G1463" t="s">
        <v>3756</v>
      </c>
      <c r="H1463" t="s">
        <v>6523</v>
      </c>
      <c r="I1463" t="s">
        <v>8443</v>
      </c>
      <c r="J1463" t="s">
        <v>9059</v>
      </c>
      <c r="K1463">
        <v>11220</v>
      </c>
      <c r="L1463" t="s">
        <v>9094</v>
      </c>
      <c r="M1463" t="s">
        <v>9095</v>
      </c>
      <c r="P1463" t="s">
        <v>11165</v>
      </c>
      <c r="R1463" t="s">
        <v>11180</v>
      </c>
      <c r="S1463" t="s">
        <v>9096</v>
      </c>
      <c r="T1463" t="s">
        <v>11183</v>
      </c>
      <c r="V1463" t="s">
        <v>327</v>
      </c>
      <c r="W1463">
        <v>0</v>
      </c>
      <c r="X1463" t="s">
        <v>11332</v>
      </c>
      <c r="Y1463" t="s">
        <v>11346</v>
      </c>
      <c r="Z1463" t="s">
        <v>12383</v>
      </c>
      <c r="AC1463">
        <v>8</v>
      </c>
      <c r="AD1463" t="s">
        <v>19567</v>
      </c>
      <c r="AE1463" t="s">
        <v>19580</v>
      </c>
      <c r="AF1463">
        <v>10</v>
      </c>
      <c r="AG1463">
        <v>3</v>
      </c>
      <c r="AH1463">
        <v>0</v>
      </c>
      <c r="AI1463">
        <v>59.24</v>
      </c>
      <c r="AL1463" t="s">
        <v>19615</v>
      </c>
      <c r="AM1463">
        <v>12636</v>
      </c>
      <c r="AO1463" t="s">
        <v>20293</v>
      </c>
      <c r="AP1463" t="s">
        <v>20317</v>
      </c>
      <c r="AQ1463" t="s">
        <v>20369</v>
      </c>
      <c r="AR1463" t="s">
        <v>20459</v>
      </c>
      <c r="AS1463">
        <v>13.8</v>
      </c>
      <c r="AT1463" t="s">
        <v>377</v>
      </c>
      <c r="AU1463" t="s">
        <v>67</v>
      </c>
      <c r="AV1463" t="s">
        <v>20733</v>
      </c>
    </row>
    <row r="1464" spans="1:48">
      <c r="A1464" s="1">
        <f>HYPERLINK("https://lsnyc.legalserver.org/matter/dynamic-profile/view/1907798","19-1907798")</f>
        <v>0</v>
      </c>
      <c r="B1464" t="s">
        <v>84</v>
      </c>
      <c r="C1464" t="s">
        <v>256</v>
      </c>
      <c r="D1464" t="s">
        <v>396</v>
      </c>
      <c r="F1464" t="s">
        <v>1891</v>
      </c>
      <c r="G1464" t="s">
        <v>4066</v>
      </c>
      <c r="H1464" t="s">
        <v>5797</v>
      </c>
      <c r="I1464" t="s">
        <v>8444</v>
      </c>
      <c r="J1464" t="s">
        <v>9059</v>
      </c>
      <c r="K1464">
        <v>11217</v>
      </c>
      <c r="L1464" t="s">
        <v>9094</v>
      </c>
      <c r="M1464" t="s">
        <v>9095</v>
      </c>
      <c r="O1464" t="s">
        <v>11132</v>
      </c>
      <c r="P1464" t="s">
        <v>11165</v>
      </c>
      <c r="R1464" t="s">
        <v>11180</v>
      </c>
      <c r="T1464" t="s">
        <v>11183</v>
      </c>
      <c r="V1464" t="s">
        <v>446</v>
      </c>
      <c r="W1464">
        <v>1900</v>
      </c>
      <c r="X1464" t="s">
        <v>11332</v>
      </c>
      <c r="Y1464" t="s">
        <v>11157</v>
      </c>
      <c r="Z1464" t="s">
        <v>12384</v>
      </c>
      <c r="AB1464" t="s">
        <v>16796</v>
      </c>
      <c r="AC1464">
        <v>8</v>
      </c>
      <c r="AF1464">
        <v>18</v>
      </c>
      <c r="AG1464">
        <v>1</v>
      </c>
      <c r="AH1464">
        <v>2</v>
      </c>
      <c r="AI1464">
        <v>59.24</v>
      </c>
      <c r="AL1464" t="s">
        <v>19615</v>
      </c>
      <c r="AM1464">
        <v>12636</v>
      </c>
      <c r="AS1464">
        <v>9.949999999999999</v>
      </c>
      <c r="AT1464" t="s">
        <v>321</v>
      </c>
      <c r="AU1464" t="s">
        <v>20631</v>
      </c>
      <c r="AV1464" t="s">
        <v>20733</v>
      </c>
    </row>
    <row r="1465" spans="1:48">
      <c r="A1465" s="1">
        <f>HYPERLINK("https://lsnyc.legalserver.org/matter/dynamic-profile/view/1874385","18-1874385")</f>
        <v>0</v>
      </c>
      <c r="B1465" t="s">
        <v>114</v>
      </c>
      <c r="C1465" t="s">
        <v>256</v>
      </c>
      <c r="D1465" t="s">
        <v>794</v>
      </c>
      <c r="F1465" t="s">
        <v>1881</v>
      </c>
      <c r="G1465" t="s">
        <v>4052</v>
      </c>
      <c r="H1465" t="s">
        <v>6509</v>
      </c>
      <c r="I1465">
        <v>7</v>
      </c>
      <c r="J1465" t="s">
        <v>9065</v>
      </c>
      <c r="K1465">
        <v>10460</v>
      </c>
      <c r="L1465" t="s">
        <v>9094</v>
      </c>
      <c r="M1465" t="s">
        <v>9094</v>
      </c>
      <c r="N1465" t="s">
        <v>9731</v>
      </c>
      <c r="O1465" t="s">
        <v>11129</v>
      </c>
      <c r="P1465" t="s">
        <v>11165</v>
      </c>
      <c r="R1465" t="s">
        <v>11180</v>
      </c>
      <c r="S1465" t="s">
        <v>9096</v>
      </c>
      <c r="T1465" t="s">
        <v>11183</v>
      </c>
      <c r="V1465" t="s">
        <v>572</v>
      </c>
      <c r="W1465">
        <v>0</v>
      </c>
      <c r="X1465" t="s">
        <v>11333</v>
      </c>
      <c r="Y1465" t="s">
        <v>11349</v>
      </c>
      <c r="Z1465" t="s">
        <v>12360</v>
      </c>
      <c r="AA1465" t="s">
        <v>15550</v>
      </c>
      <c r="AB1465" t="s">
        <v>16773</v>
      </c>
      <c r="AC1465">
        <v>30</v>
      </c>
      <c r="AD1465" t="s">
        <v>19567</v>
      </c>
      <c r="AE1465" t="s">
        <v>19580</v>
      </c>
      <c r="AF1465">
        <v>0</v>
      </c>
      <c r="AG1465">
        <v>2</v>
      </c>
      <c r="AH1465">
        <v>1</v>
      </c>
      <c r="AI1465">
        <v>59.25</v>
      </c>
      <c r="AL1465" t="s">
        <v>19614</v>
      </c>
      <c r="AM1465">
        <v>12312</v>
      </c>
      <c r="AS1465">
        <v>32.6</v>
      </c>
      <c r="AT1465" t="s">
        <v>262</v>
      </c>
      <c r="AU1465" t="s">
        <v>20647</v>
      </c>
    </row>
    <row r="1466" spans="1:48">
      <c r="A1466" s="1">
        <f>HYPERLINK("https://lsnyc.legalserver.org/matter/dynamic-profile/view/1885163","18-1885163")</f>
        <v>0</v>
      </c>
      <c r="B1466" t="s">
        <v>78</v>
      </c>
      <c r="C1466" t="s">
        <v>256</v>
      </c>
      <c r="D1466" t="s">
        <v>375</v>
      </c>
      <c r="F1466" t="s">
        <v>1875</v>
      </c>
      <c r="G1466" t="s">
        <v>4046</v>
      </c>
      <c r="H1466" t="s">
        <v>5805</v>
      </c>
      <c r="I1466" t="s">
        <v>8134</v>
      </c>
      <c r="J1466" t="s">
        <v>9059</v>
      </c>
      <c r="K1466">
        <v>11213</v>
      </c>
      <c r="L1466" t="s">
        <v>9094</v>
      </c>
      <c r="M1466" t="s">
        <v>9094</v>
      </c>
      <c r="N1466" t="s">
        <v>9121</v>
      </c>
      <c r="O1466" t="s">
        <v>11134</v>
      </c>
      <c r="P1466" t="s">
        <v>11168</v>
      </c>
      <c r="R1466" t="s">
        <v>11180</v>
      </c>
      <c r="S1466" t="s">
        <v>9094</v>
      </c>
      <c r="T1466" t="s">
        <v>11183</v>
      </c>
      <c r="U1466" t="s">
        <v>11201</v>
      </c>
      <c r="V1466" t="s">
        <v>11251</v>
      </c>
      <c r="W1466">
        <v>1229.5</v>
      </c>
      <c r="X1466" t="s">
        <v>11332</v>
      </c>
      <c r="Y1466" t="s">
        <v>11348</v>
      </c>
      <c r="Z1466" t="s">
        <v>12352</v>
      </c>
      <c r="AA1466" t="s">
        <v>9144</v>
      </c>
      <c r="AB1466" t="s">
        <v>16768</v>
      </c>
      <c r="AC1466">
        <v>19</v>
      </c>
      <c r="AD1466" t="s">
        <v>19566</v>
      </c>
      <c r="AE1466" t="s">
        <v>19580</v>
      </c>
      <c r="AF1466">
        <v>25</v>
      </c>
      <c r="AG1466">
        <v>1</v>
      </c>
      <c r="AH1466">
        <v>0</v>
      </c>
      <c r="AI1466">
        <v>59.31</v>
      </c>
      <c r="AL1466" t="s">
        <v>19614</v>
      </c>
      <c r="AM1466">
        <v>7200</v>
      </c>
      <c r="AN1466" t="s">
        <v>19792</v>
      </c>
      <c r="AS1466">
        <v>0</v>
      </c>
      <c r="AU1466" t="s">
        <v>95</v>
      </c>
    </row>
    <row r="1467" spans="1:48">
      <c r="A1467" s="1">
        <f>HYPERLINK("https://lsnyc.legalserver.org/matter/dynamic-profile/view/1885151","18-1885151")</f>
        <v>0</v>
      </c>
      <c r="B1467" t="s">
        <v>78</v>
      </c>
      <c r="C1467" t="s">
        <v>256</v>
      </c>
      <c r="D1467" t="s">
        <v>375</v>
      </c>
      <c r="F1467" t="s">
        <v>1875</v>
      </c>
      <c r="G1467" t="s">
        <v>4046</v>
      </c>
      <c r="H1467" t="s">
        <v>5805</v>
      </c>
      <c r="I1467" t="s">
        <v>8134</v>
      </c>
      <c r="J1467" t="s">
        <v>9059</v>
      </c>
      <c r="K1467">
        <v>11213</v>
      </c>
      <c r="L1467" t="s">
        <v>9094</v>
      </c>
      <c r="M1467" t="s">
        <v>9094</v>
      </c>
      <c r="O1467" t="s">
        <v>11130</v>
      </c>
      <c r="P1467" t="s">
        <v>11165</v>
      </c>
      <c r="R1467" t="s">
        <v>11180</v>
      </c>
      <c r="S1467" t="s">
        <v>9094</v>
      </c>
      <c r="T1467" t="s">
        <v>11183</v>
      </c>
      <c r="U1467" t="s">
        <v>11201</v>
      </c>
      <c r="V1467" t="s">
        <v>11236</v>
      </c>
      <c r="W1467">
        <v>1229.5</v>
      </c>
      <c r="X1467" t="s">
        <v>11332</v>
      </c>
      <c r="Y1467" t="s">
        <v>11348</v>
      </c>
      <c r="Z1467" t="s">
        <v>12352</v>
      </c>
      <c r="AA1467" t="s">
        <v>15290</v>
      </c>
      <c r="AB1467" t="s">
        <v>16768</v>
      </c>
      <c r="AC1467">
        <v>19</v>
      </c>
      <c r="AD1467" t="s">
        <v>19566</v>
      </c>
      <c r="AE1467" t="s">
        <v>19580</v>
      </c>
      <c r="AF1467">
        <v>25</v>
      </c>
      <c r="AG1467">
        <v>1</v>
      </c>
      <c r="AH1467">
        <v>0</v>
      </c>
      <c r="AI1467">
        <v>59.31</v>
      </c>
      <c r="AL1467" t="s">
        <v>19614</v>
      </c>
      <c r="AM1467">
        <v>7200</v>
      </c>
      <c r="AN1467" t="s">
        <v>19793</v>
      </c>
      <c r="AS1467">
        <v>0</v>
      </c>
      <c r="AU1467" t="s">
        <v>95</v>
      </c>
    </row>
    <row r="1468" spans="1:48">
      <c r="A1468" s="1">
        <f>HYPERLINK("https://lsnyc.legalserver.org/matter/dynamic-profile/view/1870358","18-1870358")</f>
        <v>0</v>
      </c>
      <c r="B1468" t="s">
        <v>132</v>
      </c>
      <c r="C1468" t="s">
        <v>256</v>
      </c>
      <c r="D1468" t="s">
        <v>795</v>
      </c>
      <c r="F1468" t="s">
        <v>1206</v>
      </c>
      <c r="G1468" t="s">
        <v>4067</v>
      </c>
      <c r="H1468" t="s">
        <v>6524</v>
      </c>
      <c r="I1468" t="s">
        <v>8229</v>
      </c>
      <c r="J1468" t="s">
        <v>9067</v>
      </c>
      <c r="K1468">
        <v>10034</v>
      </c>
      <c r="L1468" t="s">
        <v>9094</v>
      </c>
      <c r="M1468" t="s">
        <v>9095</v>
      </c>
      <c r="O1468" t="s">
        <v>11129</v>
      </c>
      <c r="P1468" t="s">
        <v>11165</v>
      </c>
      <c r="R1468" t="s">
        <v>11180</v>
      </c>
      <c r="S1468" t="s">
        <v>9096</v>
      </c>
      <c r="T1468" t="s">
        <v>11183</v>
      </c>
      <c r="V1468" t="s">
        <v>365</v>
      </c>
      <c r="W1468">
        <v>252</v>
      </c>
      <c r="X1468" t="s">
        <v>11335</v>
      </c>
      <c r="Y1468" t="s">
        <v>11338</v>
      </c>
      <c r="Z1468" t="s">
        <v>12385</v>
      </c>
      <c r="AB1468" t="s">
        <v>16797</v>
      </c>
      <c r="AC1468">
        <v>0</v>
      </c>
      <c r="AD1468" t="s">
        <v>19566</v>
      </c>
      <c r="AE1468" t="s">
        <v>9144</v>
      </c>
      <c r="AF1468">
        <v>16</v>
      </c>
      <c r="AG1468">
        <v>1</v>
      </c>
      <c r="AH1468">
        <v>0</v>
      </c>
      <c r="AI1468">
        <v>59.31</v>
      </c>
      <c r="AL1468" t="s">
        <v>19614</v>
      </c>
      <c r="AM1468">
        <v>7200</v>
      </c>
      <c r="AS1468">
        <v>188.05</v>
      </c>
      <c r="AT1468" t="s">
        <v>331</v>
      </c>
      <c r="AU1468" t="s">
        <v>130</v>
      </c>
    </row>
    <row r="1469" spans="1:48">
      <c r="A1469" s="1">
        <f>HYPERLINK("https://lsnyc.legalserver.org/matter/dynamic-profile/view/1894962","19-1894962")</f>
        <v>0</v>
      </c>
      <c r="B1469" t="s">
        <v>64</v>
      </c>
      <c r="C1469" t="s">
        <v>256</v>
      </c>
      <c r="D1469" t="s">
        <v>718</v>
      </c>
      <c r="F1469" t="s">
        <v>1245</v>
      </c>
      <c r="G1469" t="s">
        <v>3497</v>
      </c>
      <c r="H1469" t="s">
        <v>6525</v>
      </c>
      <c r="I1469" t="s">
        <v>8445</v>
      </c>
      <c r="J1469" t="s">
        <v>9059</v>
      </c>
      <c r="K1469">
        <v>11239</v>
      </c>
      <c r="L1469" t="s">
        <v>9094</v>
      </c>
      <c r="M1469" t="s">
        <v>9094</v>
      </c>
      <c r="N1469" t="s">
        <v>9748</v>
      </c>
      <c r="O1469" t="s">
        <v>11129</v>
      </c>
      <c r="P1469" t="s">
        <v>11165</v>
      </c>
      <c r="R1469" t="s">
        <v>11180</v>
      </c>
      <c r="S1469" t="s">
        <v>9096</v>
      </c>
      <c r="T1469" t="s">
        <v>11183</v>
      </c>
      <c r="U1469" t="s">
        <v>11201</v>
      </c>
      <c r="V1469" t="s">
        <v>317</v>
      </c>
      <c r="W1469">
        <v>975</v>
      </c>
      <c r="X1469" t="s">
        <v>11332</v>
      </c>
      <c r="Z1469" t="s">
        <v>12386</v>
      </c>
      <c r="AB1469" t="s">
        <v>16798</v>
      </c>
      <c r="AC1469">
        <v>60</v>
      </c>
      <c r="AD1469" t="s">
        <v>19567</v>
      </c>
      <c r="AF1469">
        <v>27</v>
      </c>
      <c r="AG1469">
        <v>2</v>
      </c>
      <c r="AH1469">
        <v>0</v>
      </c>
      <c r="AI1469">
        <v>59.33</v>
      </c>
      <c r="AL1469" t="s">
        <v>19614</v>
      </c>
      <c r="AM1469">
        <v>10032</v>
      </c>
      <c r="AS1469">
        <v>23.8</v>
      </c>
      <c r="AT1469" t="s">
        <v>1135</v>
      </c>
      <c r="AU1469" t="s">
        <v>64</v>
      </c>
      <c r="AV1469" t="s">
        <v>20733</v>
      </c>
    </row>
    <row r="1470" spans="1:48">
      <c r="A1470" s="1">
        <f>HYPERLINK("https://lsnyc.legalserver.org/matter/dynamic-profile/view/0812518","16-0812518")</f>
        <v>0</v>
      </c>
      <c r="B1470" t="s">
        <v>108</v>
      </c>
      <c r="C1470" t="s">
        <v>256</v>
      </c>
      <c r="D1470" t="s">
        <v>460</v>
      </c>
      <c r="F1470" t="s">
        <v>1892</v>
      </c>
      <c r="G1470" t="s">
        <v>3516</v>
      </c>
      <c r="H1470" t="s">
        <v>6526</v>
      </c>
      <c r="I1470" t="s">
        <v>8446</v>
      </c>
      <c r="J1470" t="s">
        <v>9065</v>
      </c>
      <c r="K1470">
        <v>10452</v>
      </c>
      <c r="L1470" t="s">
        <v>9094</v>
      </c>
      <c r="M1470" t="s">
        <v>9095</v>
      </c>
      <c r="N1470" t="s">
        <v>9749</v>
      </c>
      <c r="O1470" t="s">
        <v>11135</v>
      </c>
      <c r="P1470" t="s">
        <v>11168</v>
      </c>
      <c r="R1470" t="s">
        <v>11180</v>
      </c>
      <c r="S1470" t="s">
        <v>9094</v>
      </c>
      <c r="T1470" t="s">
        <v>11183</v>
      </c>
      <c r="V1470" t="s">
        <v>11234</v>
      </c>
      <c r="W1470">
        <v>969.75</v>
      </c>
      <c r="X1470" t="s">
        <v>11333</v>
      </c>
      <c r="Y1470" t="s">
        <v>11346</v>
      </c>
      <c r="Z1470" t="s">
        <v>12387</v>
      </c>
      <c r="AB1470" t="s">
        <v>16799</v>
      </c>
      <c r="AC1470">
        <v>63</v>
      </c>
      <c r="AD1470" t="s">
        <v>19566</v>
      </c>
      <c r="AE1470" t="s">
        <v>9144</v>
      </c>
      <c r="AF1470">
        <v>4</v>
      </c>
      <c r="AG1470">
        <v>1</v>
      </c>
      <c r="AH1470">
        <v>2</v>
      </c>
      <c r="AI1470">
        <v>59.52</v>
      </c>
      <c r="AL1470" t="s">
        <v>19614</v>
      </c>
      <c r="AM1470">
        <v>12000</v>
      </c>
      <c r="AS1470">
        <v>169.65</v>
      </c>
      <c r="AT1470" t="s">
        <v>753</v>
      </c>
      <c r="AU1470" t="s">
        <v>20647</v>
      </c>
    </row>
    <row r="1471" spans="1:48">
      <c r="A1471" s="1">
        <f>HYPERLINK("https://lsnyc.legalserver.org/matter/dynamic-profile/view/1896243","19-1896243")</f>
        <v>0</v>
      </c>
      <c r="B1471" t="s">
        <v>52</v>
      </c>
      <c r="C1471" t="s">
        <v>257</v>
      </c>
      <c r="D1471" t="s">
        <v>374</v>
      </c>
      <c r="E1471" t="s">
        <v>1016</v>
      </c>
      <c r="F1471" t="s">
        <v>1893</v>
      </c>
      <c r="G1471" t="s">
        <v>2117</v>
      </c>
      <c r="H1471" t="s">
        <v>5692</v>
      </c>
      <c r="I1471" t="s">
        <v>8253</v>
      </c>
      <c r="J1471" t="s">
        <v>9038</v>
      </c>
      <c r="K1471">
        <v>11691</v>
      </c>
      <c r="L1471" t="s">
        <v>9094</v>
      </c>
      <c r="M1471" t="s">
        <v>9094</v>
      </c>
      <c r="O1471" t="s">
        <v>11134</v>
      </c>
      <c r="P1471" t="s">
        <v>11167</v>
      </c>
      <c r="Q1471" t="s">
        <v>11173</v>
      </c>
      <c r="R1471" t="s">
        <v>11180</v>
      </c>
      <c r="S1471" t="s">
        <v>9094</v>
      </c>
      <c r="T1471" t="s">
        <v>11183</v>
      </c>
      <c r="U1471" t="s">
        <v>11201</v>
      </c>
      <c r="V1471" t="s">
        <v>374</v>
      </c>
      <c r="W1471">
        <v>340</v>
      </c>
      <c r="X1471" t="s">
        <v>11331</v>
      </c>
      <c r="Y1471" t="s">
        <v>11339</v>
      </c>
      <c r="Z1471" t="s">
        <v>12388</v>
      </c>
      <c r="AA1471" t="s">
        <v>15274</v>
      </c>
      <c r="AB1471" t="s">
        <v>16800</v>
      </c>
      <c r="AC1471">
        <v>43</v>
      </c>
      <c r="AD1471" t="s">
        <v>19566</v>
      </c>
      <c r="AE1471" t="s">
        <v>9144</v>
      </c>
      <c r="AF1471">
        <v>43</v>
      </c>
      <c r="AG1471">
        <v>1</v>
      </c>
      <c r="AH1471">
        <v>0</v>
      </c>
      <c r="AI1471">
        <v>59.57</v>
      </c>
      <c r="AL1471" t="s">
        <v>19614</v>
      </c>
      <c r="AM1471">
        <v>7440</v>
      </c>
      <c r="AS1471">
        <v>0.1</v>
      </c>
      <c r="AT1471" t="s">
        <v>1016</v>
      </c>
      <c r="AU1471" t="s">
        <v>20622</v>
      </c>
      <c r="AV1471" t="s">
        <v>20733</v>
      </c>
    </row>
    <row r="1472" spans="1:48">
      <c r="A1472" s="1">
        <f>HYPERLINK("https://lsnyc.legalserver.org/matter/dynamic-profile/view/1896249","19-1896249")</f>
        <v>0</v>
      </c>
      <c r="B1472" t="s">
        <v>52</v>
      </c>
      <c r="C1472" t="s">
        <v>256</v>
      </c>
      <c r="D1472" t="s">
        <v>374</v>
      </c>
      <c r="F1472" t="s">
        <v>1893</v>
      </c>
      <c r="G1472" t="s">
        <v>2117</v>
      </c>
      <c r="H1472" t="s">
        <v>5692</v>
      </c>
      <c r="I1472" t="s">
        <v>8253</v>
      </c>
      <c r="J1472" t="s">
        <v>9038</v>
      </c>
      <c r="K1472">
        <v>11691</v>
      </c>
      <c r="L1472" t="s">
        <v>9094</v>
      </c>
      <c r="M1472" t="s">
        <v>9094</v>
      </c>
      <c r="O1472" t="s">
        <v>11136</v>
      </c>
      <c r="P1472" t="s">
        <v>11167</v>
      </c>
      <c r="R1472" t="s">
        <v>11180</v>
      </c>
      <c r="S1472" t="s">
        <v>9094</v>
      </c>
      <c r="T1472" t="s">
        <v>11183</v>
      </c>
      <c r="V1472" t="s">
        <v>374</v>
      </c>
      <c r="W1472">
        <v>340</v>
      </c>
      <c r="X1472" t="s">
        <v>11331</v>
      </c>
      <c r="Y1472" t="s">
        <v>11339</v>
      </c>
      <c r="Z1472" t="s">
        <v>12388</v>
      </c>
      <c r="AA1472" t="s">
        <v>15274</v>
      </c>
      <c r="AB1472" t="s">
        <v>16800</v>
      </c>
      <c r="AC1472">
        <v>43</v>
      </c>
      <c r="AD1472" t="s">
        <v>19566</v>
      </c>
      <c r="AE1472" t="s">
        <v>9144</v>
      </c>
      <c r="AF1472">
        <v>43</v>
      </c>
      <c r="AG1472">
        <v>1</v>
      </c>
      <c r="AH1472">
        <v>0</v>
      </c>
      <c r="AI1472">
        <v>59.57</v>
      </c>
      <c r="AL1472" t="s">
        <v>19614</v>
      </c>
      <c r="AM1472">
        <v>7440</v>
      </c>
      <c r="AS1472">
        <v>0</v>
      </c>
      <c r="AU1472" t="s">
        <v>20622</v>
      </c>
    </row>
    <row r="1473" spans="1:48">
      <c r="A1473" s="1">
        <f>HYPERLINK("https://lsnyc.legalserver.org/matter/dynamic-profile/view/1899977","19-1899977")</f>
        <v>0</v>
      </c>
      <c r="B1473" t="s">
        <v>113</v>
      </c>
      <c r="C1473" t="s">
        <v>256</v>
      </c>
      <c r="D1473" t="s">
        <v>293</v>
      </c>
      <c r="F1473" t="s">
        <v>1426</v>
      </c>
      <c r="G1473" t="s">
        <v>4068</v>
      </c>
      <c r="H1473" t="s">
        <v>5864</v>
      </c>
      <c r="I1473" t="s">
        <v>8447</v>
      </c>
      <c r="J1473" t="s">
        <v>9065</v>
      </c>
      <c r="K1473">
        <v>10460</v>
      </c>
      <c r="L1473" t="s">
        <v>9094</v>
      </c>
      <c r="M1473" t="s">
        <v>9095</v>
      </c>
      <c r="O1473" t="s">
        <v>9121</v>
      </c>
      <c r="P1473" t="s">
        <v>11166</v>
      </c>
      <c r="R1473" t="s">
        <v>11180</v>
      </c>
      <c r="S1473" t="s">
        <v>9094</v>
      </c>
      <c r="T1473" t="s">
        <v>11183</v>
      </c>
      <c r="V1473" t="s">
        <v>11218</v>
      </c>
      <c r="W1473">
        <v>967</v>
      </c>
      <c r="X1473" t="s">
        <v>11333</v>
      </c>
      <c r="Y1473" t="s">
        <v>11346</v>
      </c>
      <c r="Z1473" t="s">
        <v>12389</v>
      </c>
      <c r="AB1473" t="s">
        <v>16801</v>
      </c>
      <c r="AC1473">
        <v>169</v>
      </c>
      <c r="AD1473" t="s">
        <v>15441</v>
      </c>
      <c r="AE1473" t="s">
        <v>19580</v>
      </c>
      <c r="AF1473">
        <v>5</v>
      </c>
      <c r="AG1473">
        <v>1</v>
      </c>
      <c r="AH1473">
        <v>0</v>
      </c>
      <c r="AI1473">
        <v>59.57</v>
      </c>
      <c r="AL1473" t="s">
        <v>19614</v>
      </c>
      <c r="AM1473">
        <v>7440</v>
      </c>
      <c r="AS1473">
        <v>0</v>
      </c>
      <c r="AU1473" t="s">
        <v>220</v>
      </c>
      <c r="AV1473" t="s">
        <v>20733</v>
      </c>
    </row>
    <row r="1474" spans="1:48">
      <c r="A1474" s="1">
        <f>HYPERLINK("https://lsnyc.legalserver.org/matter/dynamic-profile/view/1901339","19-1901339")</f>
        <v>0</v>
      </c>
      <c r="B1474" t="s">
        <v>52</v>
      </c>
      <c r="C1474" t="s">
        <v>256</v>
      </c>
      <c r="D1474" t="s">
        <v>471</v>
      </c>
      <c r="F1474" t="s">
        <v>1894</v>
      </c>
      <c r="G1474" t="s">
        <v>4069</v>
      </c>
      <c r="H1474" t="s">
        <v>6527</v>
      </c>
      <c r="J1474" t="s">
        <v>9040</v>
      </c>
      <c r="K1474">
        <v>11423</v>
      </c>
      <c r="L1474" t="s">
        <v>9094</v>
      </c>
      <c r="M1474" t="s">
        <v>9095</v>
      </c>
      <c r="N1474" t="s">
        <v>9750</v>
      </c>
      <c r="O1474" t="s">
        <v>11130</v>
      </c>
      <c r="P1474" t="s">
        <v>11164</v>
      </c>
      <c r="R1474" t="s">
        <v>11180</v>
      </c>
      <c r="S1474" t="s">
        <v>9096</v>
      </c>
      <c r="T1474" t="s">
        <v>11183</v>
      </c>
      <c r="U1474" t="s">
        <v>11201</v>
      </c>
      <c r="V1474" t="s">
        <v>408</v>
      </c>
      <c r="W1474">
        <v>700</v>
      </c>
      <c r="X1474" t="s">
        <v>11331</v>
      </c>
      <c r="Y1474" t="s">
        <v>11336</v>
      </c>
      <c r="Z1474" t="s">
        <v>12390</v>
      </c>
      <c r="AA1474" t="s">
        <v>15554</v>
      </c>
      <c r="AB1474" t="s">
        <v>16802</v>
      </c>
      <c r="AC1474">
        <v>2</v>
      </c>
      <c r="AD1474" t="s">
        <v>19565</v>
      </c>
      <c r="AE1474" t="s">
        <v>9144</v>
      </c>
      <c r="AF1474">
        <v>53</v>
      </c>
      <c r="AG1474">
        <v>2</v>
      </c>
      <c r="AH1474">
        <v>0</v>
      </c>
      <c r="AI1474">
        <v>59.61</v>
      </c>
      <c r="AL1474" t="s">
        <v>19614</v>
      </c>
      <c r="AM1474">
        <v>10080</v>
      </c>
      <c r="AQ1474" t="s">
        <v>20369</v>
      </c>
      <c r="AR1474" t="s">
        <v>20460</v>
      </c>
      <c r="AS1474">
        <v>0.6</v>
      </c>
      <c r="AT1474" t="s">
        <v>20582</v>
      </c>
      <c r="AU1474" t="s">
        <v>52</v>
      </c>
      <c r="AV1474" t="s">
        <v>20734</v>
      </c>
    </row>
    <row r="1475" spans="1:48">
      <c r="A1475" s="1">
        <f>HYPERLINK("https://lsnyc.legalserver.org/matter/dynamic-profile/view/1903835","19-1903835")</f>
        <v>0</v>
      </c>
      <c r="B1475" t="s">
        <v>57</v>
      </c>
      <c r="C1475" t="s">
        <v>256</v>
      </c>
      <c r="D1475" t="s">
        <v>597</v>
      </c>
      <c r="F1475" t="s">
        <v>1895</v>
      </c>
      <c r="G1475" t="s">
        <v>3448</v>
      </c>
      <c r="H1475" t="s">
        <v>6528</v>
      </c>
      <c r="I1475" t="s">
        <v>8361</v>
      </c>
      <c r="J1475" t="s">
        <v>9053</v>
      </c>
      <c r="K1475">
        <v>11372</v>
      </c>
      <c r="L1475" t="s">
        <v>9094</v>
      </c>
      <c r="M1475" t="s">
        <v>9095</v>
      </c>
      <c r="N1475" t="s">
        <v>9751</v>
      </c>
      <c r="O1475" t="s">
        <v>11130</v>
      </c>
      <c r="P1475" t="s">
        <v>11165</v>
      </c>
      <c r="R1475" t="s">
        <v>11180</v>
      </c>
      <c r="S1475" t="s">
        <v>9096</v>
      </c>
      <c r="T1475" t="s">
        <v>11183</v>
      </c>
      <c r="U1475" t="s">
        <v>11201</v>
      </c>
      <c r="V1475" t="s">
        <v>610</v>
      </c>
      <c r="W1475">
        <v>909.0599999999999</v>
      </c>
      <c r="X1475" t="s">
        <v>11331</v>
      </c>
      <c r="Y1475" t="s">
        <v>11340</v>
      </c>
      <c r="Z1475" t="s">
        <v>12391</v>
      </c>
      <c r="AA1475" t="s">
        <v>15555</v>
      </c>
      <c r="AB1475" t="s">
        <v>16803</v>
      </c>
      <c r="AC1475">
        <v>20</v>
      </c>
      <c r="AD1475" t="s">
        <v>19566</v>
      </c>
      <c r="AE1475" t="s">
        <v>9144</v>
      </c>
      <c r="AF1475">
        <v>38</v>
      </c>
      <c r="AG1475">
        <v>4</v>
      </c>
      <c r="AH1475">
        <v>2</v>
      </c>
      <c r="AI1475">
        <v>59.68</v>
      </c>
      <c r="AL1475" t="s">
        <v>19615</v>
      </c>
      <c r="AM1475">
        <v>20643.96</v>
      </c>
      <c r="AS1475">
        <v>26.05</v>
      </c>
      <c r="AT1475" t="s">
        <v>476</v>
      </c>
      <c r="AU1475" t="s">
        <v>57</v>
      </c>
      <c r="AV1475" t="s">
        <v>20733</v>
      </c>
    </row>
    <row r="1476" spans="1:48">
      <c r="A1476" s="1">
        <f>HYPERLINK("https://lsnyc.legalserver.org/matter/dynamic-profile/view/1838874","17-1838874")</f>
        <v>0</v>
      </c>
      <c r="B1476" t="s">
        <v>165</v>
      </c>
      <c r="C1476" t="s">
        <v>256</v>
      </c>
      <c r="D1476" t="s">
        <v>796</v>
      </c>
      <c r="F1476" t="s">
        <v>1896</v>
      </c>
      <c r="G1476" t="s">
        <v>4070</v>
      </c>
      <c r="H1476" t="s">
        <v>6529</v>
      </c>
      <c r="I1476" t="s">
        <v>8141</v>
      </c>
      <c r="J1476" t="s">
        <v>9059</v>
      </c>
      <c r="K1476">
        <v>11233</v>
      </c>
      <c r="L1476" t="s">
        <v>9094</v>
      </c>
      <c r="M1476" t="s">
        <v>9095</v>
      </c>
      <c r="N1476" t="s">
        <v>9752</v>
      </c>
      <c r="O1476" t="s">
        <v>11128</v>
      </c>
      <c r="P1476" t="s">
        <v>11165</v>
      </c>
      <c r="R1476" t="s">
        <v>11180</v>
      </c>
      <c r="S1476" t="s">
        <v>9096</v>
      </c>
      <c r="T1476" t="s">
        <v>11183</v>
      </c>
      <c r="V1476" t="s">
        <v>1027</v>
      </c>
      <c r="W1476">
        <v>600</v>
      </c>
      <c r="X1476" t="s">
        <v>11332</v>
      </c>
      <c r="Y1476" t="s">
        <v>11344</v>
      </c>
      <c r="Z1476" t="s">
        <v>12392</v>
      </c>
      <c r="AB1476" t="s">
        <v>16804</v>
      </c>
      <c r="AC1476">
        <v>6</v>
      </c>
      <c r="AD1476" t="s">
        <v>19566</v>
      </c>
      <c r="AE1476" t="s">
        <v>9144</v>
      </c>
      <c r="AF1476">
        <v>35</v>
      </c>
      <c r="AG1476">
        <v>1</v>
      </c>
      <c r="AH1476">
        <v>0</v>
      </c>
      <c r="AI1476">
        <v>59.7</v>
      </c>
      <c r="AL1476" t="s">
        <v>19614</v>
      </c>
      <c r="AM1476">
        <v>7200</v>
      </c>
      <c r="AS1476">
        <v>87.15000000000001</v>
      </c>
      <c r="AT1476" t="s">
        <v>317</v>
      </c>
      <c r="AU1476" t="s">
        <v>20633</v>
      </c>
    </row>
    <row r="1477" spans="1:48">
      <c r="A1477" s="1">
        <f>HYPERLINK("https://lsnyc.legalserver.org/matter/dynamic-profile/view/1912336","19-1912336")</f>
        <v>0</v>
      </c>
      <c r="B1477" t="s">
        <v>141</v>
      </c>
      <c r="C1477" t="s">
        <v>256</v>
      </c>
      <c r="D1477" t="s">
        <v>309</v>
      </c>
      <c r="F1477" t="s">
        <v>1358</v>
      </c>
      <c r="G1477" t="s">
        <v>3364</v>
      </c>
      <c r="H1477" t="s">
        <v>5999</v>
      </c>
      <c r="I1477" t="s">
        <v>8308</v>
      </c>
      <c r="J1477" t="s">
        <v>9067</v>
      </c>
      <c r="K1477">
        <v>10040</v>
      </c>
      <c r="L1477" t="s">
        <v>9094</v>
      </c>
      <c r="M1477" t="s">
        <v>9095</v>
      </c>
      <c r="O1477" t="s">
        <v>11134</v>
      </c>
      <c r="P1477" t="s">
        <v>11165</v>
      </c>
      <c r="R1477" t="s">
        <v>11180</v>
      </c>
      <c r="S1477" t="s">
        <v>9094</v>
      </c>
      <c r="T1477" t="s">
        <v>11183</v>
      </c>
      <c r="V1477" t="s">
        <v>309</v>
      </c>
      <c r="W1477">
        <v>1134.04</v>
      </c>
      <c r="X1477" t="s">
        <v>11335</v>
      </c>
      <c r="Y1477" t="s">
        <v>11340</v>
      </c>
      <c r="Z1477" t="s">
        <v>12393</v>
      </c>
      <c r="AA1477" t="s">
        <v>15556</v>
      </c>
      <c r="AB1477" t="s">
        <v>16805</v>
      </c>
      <c r="AC1477">
        <v>44</v>
      </c>
      <c r="AD1477" t="s">
        <v>19566</v>
      </c>
      <c r="AE1477" t="s">
        <v>19580</v>
      </c>
      <c r="AF1477">
        <v>36</v>
      </c>
      <c r="AG1477">
        <v>1</v>
      </c>
      <c r="AH1477">
        <v>0</v>
      </c>
      <c r="AI1477">
        <v>59.72</v>
      </c>
      <c r="AL1477" t="s">
        <v>19615</v>
      </c>
      <c r="AM1477">
        <v>7459.2</v>
      </c>
      <c r="AS1477">
        <v>0</v>
      </c>
      <c r="AU1477" t="s">
        <v>130</v>
      </c>
      <c r="AV1477" t="s">
        <v>20733</v>
      </c>
    </row>
    <row r="1478" spans="1:48">
      <c r="A1478" s="1">
        <f>HYPERLINK("https://lsnyc.legalserver.org/matter/dynamic-profile/view/1912943","19-1912943")</f>
        <v>0</v>
      </c>
      <c r="B1478" t="s">
        <v>141</v>
      </c>
      <c r="C1478" t="s">
        <v>257</v>
      </c>
      <c r="D1478" t="s">
        <v>294</v>
      </c>
      <c r="E1478" t="s">
        <v>594</v>
      </c>
      <c r="F1478" t="s">
        <v>1358</v>
      </c>
      <c r="G1478" t="s">
        <v>3364</v>
      </c>
      <c r="H1478" t="s">
        <v>5999</v>
      </c>
      <c r="I1478" t="s">
        <v>8308</v>
      </c>
      <c r="J1478" t="s">
        <v>9067</v>
      </c>
      <c r="K1478">
        <v>10040</v>
      </c>
      <c r="L1478" t="s">
        <v>9094</v>
      </c>
      <c r="M1478" t="s">
        <v>9095</v>
      </c>
      <c r="N1478" t="s">
        <v>9753</v>
      </c>
      <c r="O1478" t="s">
        <v>11134</v>
      </c>
      <c r="P1478" t="s">
        <v>11165</v>
      </c>
      <c r="Q1478" t="s">
        <v>11177</v>
      </c>
      <c r="R1478" t="s">
        <v>11180</v>
      </c>
      <c r="S1478" t="s">
        <v>9094</v>
      </c>
      <c r="T1478" t="s">
        <v>11183</v>
      </c>
      <c r="V1478" t="s">
        <v>294</v>
      </c>
      <c r="W1478">
        <v>1134.04</v>
      </c>
      <c r="X1478" t="s">
        <v>11335</v>
      </c>
      <c r="Y1478" t="s">
        <v>11340</v>
      </c>
      <c r="Z1478" t="s">
        <v>12393</v>
      </c>
      <c r="AB1478" t="s">
        <v>16805</v>
      </c>
      <c r="AC1478">
        <v>44</v>
      </c>
      <c r="AD1478" t="s">
        <v>19566</v>
      </c>
      <c r="AE1478" t="s">
        <v>19580</v>
      </c>
      <c r="AF1478">
        <v>36</v>
      </c>
      <c r="AG1478">
        <v>1</v>
      </c>
      <c r="AH1478">
        <v>0</v>
      </c>
      <c r="AI1478">
        <v>59.72</v>
      </c>
      <c r="AL1478" t="s">
        <v>19615</v>
      </c>
      <c r="AM1478">
        <v>7459.2</v>
      </c>
      <c r="AS1478">
        <v>0.1</v>
      </c>
      <c r="AT1478" t="s">
        <v>594</v>
      </c>
      <c r="AU1478" t="s">
        <v>130</v>
      </c>
      <c r="AV1478" t="s">
        <v>20733</v>
      </c>
    </row>
    <row r="1479" spans="1:48">
      <c r="A1479" s="1">
        <f>HYPERLINK("https://lsnyc.legalserver.org/matter/dynamic-profile/view/0799050","16-0799050")</f>
        <v>0</v>
      </c>
      <c r="B1479" t="s">
        <v>101</v>
      </c>
      <c r="C1479" t="s">
        <v>256</v>
      </c>
      <c r="D1479" t="s">
        <v>656</v>
      </c>
      <c r="F1479" t="s">
        <v>1721</v>
      </c>
      <c r="G1479" t="s">
        <v>3873</v>
      </c>
      <c r="H1479" t="s">
        <v>6041</v>
      </c>
      <c r="I1479" t="s">
        <v>8262</v>
      </c>
      <c r="J1479" t="s">
        <v>9065</v>
      </c>
      <c r="K1479">
        <v>10452</v>
      </c>
      <c r="L1479" t="s">
        <v>9094</v>
      </c>
      <c r="M1479" t="s">
        <v>9095</v>
      </c>
      <c r="N1479" t="s">
        <v>9499</v>
      </c>
      <c r="O1479" t="s">
        <v>11135</v>
      </c>
      <c r="P1479" t="s">
        <v>11168</v>
      </c>
      <c r="R1479" t="s">
        <v>11180</v>
      </c>
      <c r="S1479" t="s">
        <v>9094</v>
      </c>
      <c r="T1479" t="s">
        <v>11183</v>
      </c>
      <c r="V1479" t="s">
        <v>1094</v>
      </c>
      <c r="W1479">
        <v>854.7</v>
      </c>
      <c r="X1479" t="s">
        <v>11333</v>
      </c>
      <c r="Y1479" t="s">
        <v>11346</v>
      </c>
      <c r="Z1479" t="s">
        <v>12306</v>
      </c>
      <c r="AB1479" t="s">
        <v>16723</v>
      </c>
      <c r="AC1479">
        <v>61</v>
      </c>
      <c r="AD1479" t="s">
        <v>19566</v>
      </c>
      <c r="AE1479" t="s">
        <v>9144</v>
      </c>
      <c r="AF1479">
        <v>20</v>
      </c>
      <c r="AG1479">
        <v>2</v>
      </c>
      <c r="AH1479">
        <v>2</v>
      </c>
      <c r="AI1479">
        <v>59.75</v>
      </c>
      <c r="AL1479" t="s">
        <v>19614</v>
      </c>
      <c r="AM1479">
        <v>14520</v>
      </c>
      <c r="AS1479">
        <v>0.5</v>
      </c>
      <c r="AT1479" t="s">
        <v>873</v>
      </c>
      <c r="AU1479" t="s">
        <v>109</v>
      </c>
    </row>
    <row r="1480" spans="1:48">
      <c r="A1480" s="1">
        <f>HYPERLINK("https://lsnyc.legalserver.org/matter/dynamic-profile/view/0816973","16-0816973")</f>
        <v>0</v>
      </c>
      <c r="B1480" t="s">
        <v>101</v>
      </c>
      <c r="C1480" t="s">
        <v>256</v>
      </c>
      <c r="D1480" t="s">
        <v>437</v>
      </c>
      <c r="F1480" t="s">
        <v>1721</v>
      </c>
      <c r="G1480" t="s">
        <v>3873</v>
      </c>
      <c r="H1480" t="s">
        <v>6041</v>
      </c>
      <c r="I1480" t="s">
        <v>8262</v>
      </c>
      <c r="J1480" t="s">
        <v>9065</v>
      </c>
      <c r="K1480">
        <v>10452</v>
      </c>
      <c r="L1480" t="s">
        <v>9094</v>
      </c>
      <c r="M1480" t="s">
        <v>9095</v>
      </c>
      <c r="N1480" t="s">
        <v>9500</v>
      </c>
      <c r="O1480" t="s">
        <v>11135</v>
      </c>
      <c r="P1480" t="s">
        <v>11168</v>
      </c>
      <c r="R1480" t="s">
        <v>11180</v>
      </c>
      <c r="S1480" t="s">
        <v>9094</v>
      </c>
      <c r="T1480" t="s">
        <v>11183</v>
      </c>
      <c r="V1480" t="s">
        <v>1024</v>
      </c>
      <c r="W1480">
        <v>854.7</v>
      </c>
      <c r="X1480" t="s">
        <v>11333</v>
      </c>
      <c r="Y1480" t="s">
        <v>11346</v>
      </c>
      <c r="Z1480" t="s">
        <v>12306</v>
      </c>
      <c r="AB1480" t="s">
        <v>16723</v>
      </c>
      <c r="AC1480">
        <v>62</v>
      </c>
      <c r="AD1480" t="s">
        <v>19566</v>
      </c>
      <c r="AE1480" t="s">
        <v>9144</v>
      </c>
      <c r="AF1480">
        <v>20</v>
      </c>
      <c r="AG1480">
        <v>2</v>
      </c>
      <c r="AH1480">
        <v>2</v>
      </c>
      <c r="AI1480">
        <v>59.75</v>
      </c>
      <c r="AL1480" t="s">
        <v>19614</v>
      </c>
      <c r="AM1480">
        <v>14520</v>
      </c>
      <c r="AS1480">
        <v>0.8</v>
      </c>
      <c r="AT1480" t="s">
        <v>873</v>
      </c>
      <c r="AU1480" t="s">
        <v>20643</v>
      </c>
    </row>
    <row r="1481" spans="1:48">
      <c r="A1481" s="1">
        <f>HYPERLINK("https://lsnyc.legalserver.org/matter/dynamic-profile/view/0822605","16-0822605")</f>
        <v>0</v>
      </c>
      <c r="B1481" t="s">
        <v>101</v>
      </c>
      <c r="C1481" t="s">
        <v>256</v>
      </c>
      <c r="D1481" t="s">
        <v>657</v>
      </c>
      <c r="F1481" t="s">
        <v>1721</v>
      </c>
      <c r="G1481" t="s">
        <v>3873</v>
      </c>
      <c r="H1481" t="s">
        <v>6041</v>
      </c>
      <c r="I1481" t="s">
        <v>8262</v>
      </c>
      <c r="J1481" t="s">
        <v>9065</v>
      </c>
      <c r="K1481">
        <v>10452</v>
      </c>
      <c r="L1481" t="s">
        <v>9094</v>
      </c>
      <c r="M1481" t="s">
        <v>9095</v>
      </c>
      <c r="N1481" t="s">
        <v>9501</v>
      </c>
      <c r="O1481" t="s">
        <v>11135</v>
      </c>
      <c r="P1481" t="s">
        <v>11168</v>
      </c>
      <c r="R1481" t="s">
        <v>11180</v>
      </c>
      <c r="S1481" t="s">
        <v>9094</v>
      </c>
      <c r="T1481" t="s">
        <v>11183</v>
      </c>
      <c r="V1481" t="s">
        <v>657</v>
      </c>
      <c r="W1481">
        <v>854.7</v>
      </c>
      <c r="X1481" t="s">
        <v>11333</v>
      </c>
      <c r="Y1481" t="s">
        <v>11346</v>
      </c>
      <c r="Z1481" t="s">
        <v>12306</v>
      </c>
      <c r="AB1481" t="s">
        <v>16723</v>
      </c>
      <c r="AC1481">
        <v>62</v>
      </c>
      <c r="AD1481" t="s">
        <v>19566</v>
      </c>
      <c r="AE1481" t="s">
        <v>9144</v>
      </c>
      <c r="AF1481">
        <v>20</v>
      </c>
      <c r="AG1481">
        <v>2</v>
      </c>
      <c r="AH1481">
        <v>2</v>
      </c>
      <c r="AI1481">
        <v>59.75</v>
      </c>
      <c r="AL1481" t="s">
        <v>19614</v>
      </c>
      <c r="AM1481">
        <v>14520</v>
      </c>
      <c r="AS1481">
        <v>0.3</v>
      </c>
      <c r="AT1481" t="s">
        <v>873</v>
      </c>
      <c r="AU1481" t="s">
        <v>20643</v>
      </c>
    </row>
    <row r="1482" spans="1:48">
      <c r="A1482" s="1">
        <f>HYPERLINK("https://lsnyc.legalserver.org/matter/dynamic-profile/view/1888040","19-1888040")</f>
        <v>0</v>
      </c>
      <c r="B1482" t="s">
        <v>134</v>
      </c>
      <c r="C1482" t="s">
        <v>256</v>
      </c>
      <c r="D1482" t="s">
        <v>756</v>
      </c>
      <c r="F1482" t="s">
        <v>1561</v>
      </c>
      <c r="G1482" t="s">
        <v>4071</v>
      </c>
      <c r="H1482" t="s">
        <v>5957</v>
      </c>
      <c r="I1482" t="s">
        <v>8218</v>
      </c>
      <c r="J1482" t="s">
        <v>9067</v>
      </c>
      <c r="K1482">
        <v>10032</v>
      </c>
      <c r="L1482" t="s">
        <v>9094</v>
      </c>
      <c r="M1482" t="s">
        <v>9094</v>
      </c>
      <c r="P1482" t="s">
        <v>11165</v>
      </c>
      <c r="R1482" t="s">
        <v>11180</v>
      </c>
      <c r="S1482" t="s">
        <v>9094</v>
      </c>
      <c r="T1482" t="s">
        <v>11183</v>
      </c>
      <c r="V1482" t="s">
        <v>756</v>
      </c>
      <c r="W1482">
        <v>1299</v>
      </c>
      <c r="X1482" t="s">
        <v>11335</v>
      </c>
      <c r="Y1482" t="s">
        <v>11338</v>
      </c>
      <c r="Z1482" t="s">
        <v>12394</v>
      </c>
      <c r="AC1482">
        <v>42</v>
      </c>
      <c r="AD1482" t="s">
        <v>19566</v>
      </c>
      <c r="AE1482" t="s">
        <v>19580</v>
      </c>
      <c r="AF1482">
        <v>0</v>
      </c>
      <c r="AG1482">
        <v>4</v>
      </c>
      <c r="AH1482">
        <v>0</v>
      </c>
      <c r="AI1482">
        <v>59.76</v>
      </c>
      <c r="AL1482" t="s">
        <v>19615</v>
      </c>
      <c r="AM1482">
        <v>15000</v>
      </c>
      <c r="AS1482">
        <v>0</v>
      </c>
      <c r="AU1482" t="s">
        <v>130</v>
      </c>
      <c r="AV1482" t="s">
        <v>20733</v>
      </c>
    </row>
    <row r="1483" spans="1:48">
      <c r="A1483" s="1">
        <f>HYPERLINK("https://lsnyc.legalserver.org/matter/dynamic-profile/view/1881986","18-1881986")</f>
        <v>0</v>
      </c>
      <c r="B1483" t="s">
        <v>147</v>
      </c>
      <c r="C1483" t="s">
        <v>256</v>
      </c>
      <c r="D1483" t="s">
        <v>323</v>
      </c>
      <c r="F1483" t="s">
        <v>1897</v>
      </c>
      <c r="G1483" t="s">
        <v>2578</v>
      </c>
      <c r="H1483" t="s">
        <v>6084</v>
      </c>
      <c r="I1483" t="s">
        <v>8153</v>
      </c>
      <c r="J1483" t="s">
        <v>9066</v>
      </c>
      <c r="K1483">
        <v>10304</v>
      </c>
      <c r="L1483" t="s">
        <v>9094</v>
      </c>
      <c r="M1483" t="s">
        <v>9094</v>
      </c>
      <c r="N1483" t="s">
        <v>9754</v>
      </c>
      <c r="O1483" t="s">
        <v>11129</v>
      </c>
      <c r="P1483" t="s">
        <v>11165</v>
      </c>
      <c r="R1483" t="s">
        <v>11180</v>
      </c>
      <c r="S1483" t="s">
        <v>9096</v>
      </c>
      <c r="T1483" t="s">
        <v>11183</v>
      </c>
      <c r="U1483" t="s">
        <v>11201</v>
      </c>
      <c r="V1483" t="s">
        <v>323</v>
      </c>
      <c r="W1483">
        <v>141</v>
      </c>
      <c r="X1483" t="s">
        <v>11334</v>
      </c>
      <c r="Y1483" t="s">
        <v>11345</v>
      </c>
      <c r="Z1483" t="s">
        <v>12395</v>
      </c>
      <c r="AB1483" t="s">
        <v>16806</v>
      </c>
      <c r="AC1483">
        <v>132</v>
      </c>
      <c r="AD1483" t="s">
        <v>19567</v>
      </c>
      <c r="AE1483" t="s">
        <v>19580</v>
      </c>
      <c r="AF1483">
        <v>18</v>
      </c>
      <c r="AG1483">
        <v>2</v>
      </c>
      <c r="AH1483">
        <v>0</v>
      </c>
      <c r="AI1483">
        <v>59.78</v>
      </c>
      <c r="AL1483" t="s">
        <v>19614</v>
      </c>
      <c r="AM1483">
        <v>9840</v>
      </c>
      <c r="AS1483">
        <v>35.95</v>
      </c>
      <c r="AT1483" t="s">
        <v>487</v>
      </c>
      <c r="AU1483" t="s">
        <v>20652</v>
      </c>
    </row>
    <row r="1484" spans="1:48">
      <c r="A1484" s="1">
        <f>HYPERLINK("https://lsnyc.legalserver.org/matter/dynamic-profile/view/1873228","18-1873228")</f>
        <v>0</v>
      </c>
      <c r="B1484" t="s">
        <v>114</v>
      </c>
      <c r="C1484" t="s">
        <v>256</v>
      </c>
      <c r="D1484" t="s">
        <v>603</v>
      </c>
      <c r="F1484" t="s">
        <v>1700</v>
      </c>
      <c r="G1484" t="s">
        <v>4072</v>
      </c>
      <c r="H1484" t="s">
        <v>5891</v>
      </c>
      <c r="I1484" t="s">
        <v>8448</v>
      </c>
      <c r="J1484" t="s">
        <v>9065</v>
      </c>
      <c r="K1484">
        <v>10453</v>
      </c>
      <c r="L1484" t="s">
        <v>9094</v>
      </c>
      <c r="M1484" t="s">
        <v>9094</v>
      </c>
      <c r="N1484" t="s">
        <v>9755</v>
      </c>
      <c r="O1484" t="s">
        <v>11129</v>
      </c>
      <c r="P1484" t="s">
        <v>11165</v>
      </c>
      <c r="R1484" t="s">
        <v>11180</v>
      </c>
      <c r="S1484" t="s">
        <v>9096</v>
      </c>
      <c r="T1484" t="s">
        <v>11183</v>
      </c>
      <c r="V1484" t="s">
        <v>572</v>
      </c>
      <c r="W1484">
        <v>1562</v>
      </c>
      <c r="X1484" t="s">
        <v>11333</v>
      </c>
      <c r="Y1484" t="s">
        <v>11336</v>
      </c>
      <c r="Z1484" t="s">
        <v>12396</v>
      </c>
      <c r="AB1484" t="s">
        <v>16807</v>
      </c>
      <c r="AC1484">
        <v>766</v>
      </c>
      <c r="AE1484" t="s">
        <v>19584</v>
      </c>
      <c r="AF1484">
        <v>3</v>
      </c>
      <c r="AG1484">
        <v>1</v>
      </c>
      <c r="AH1484">
        <v>0</v>
      </c>
      <c r="AI1484">
        <v>59.96</v>
      </c>
      <c r="AL1484" t="s">
        <v>19614</v>
      </c>
      <c r="AM1484">
        <v>7279.44</v>
      </c>
      <c r="AS1484">
        <v>7.25</v>
      </c>
      <c r="AT1484" t="s">
        <v>711</v>
      </c>
      <c r="AU1484" t="s">
        <v>163</v>
      </c>
    </row>
    <row r="1485" spans="1:48">
      <c r="A1485" s="1">
        <f>HYPERLINK("https://lsnyc.legalserver.org/matter/dynamic-profile/view/1881809","18-1881809")</f>
        <v>0</v>
      </c>
      <c r="B1485" t="s">
        <v>114</v>
      </c>
      <c r="C1485" t="s">
        <v>257</v>
      </c>
      <c r="D1485" t="s">
        <v>477</v>
      </c>
      <c r="E1485" t="s">
        <v>563</v>
      </c>
      <c r="F1485" t="s">
        <v>1898</v>
      </c>
      <c r="G1485" t="s">
        <v>3419</v>
      </c>
      <c r="H1485" t="s">
        <v>5907</v>
      </c>
      <c r="I1485" t="s">
        <v>8449</v>
      </c>
      <c r="J1485" t="s">
        <v>9065</v>
      </c>
      <c r="K1485">
        <v>10451</v>
      </c>
      <c r="L1485" t="s">
        <v>9094</v>
      </c>
      <c r="M1485" t="s">
        <v>9094</v>
      </c>
      <c r="N1485" t="s">
        <v>9259</v>
      </c>
      <c r="O1485" t="s">
        <v>11130</v>
      </c>
      <c r="P1485" t="s">
        <v>11165</v>
      </c>
      <c r="Q1485" t="s">
        <v>11174</v>
      </c>
      <c r="R1485" t="s">
        <v>11180</v>
      </c>
      <c r="S1485" t="s">
        <v>9094</v>
      </c>
      <c r="T1485" t="s">
        <v>11183</v>
      </c>
      <c r="V1485" t="s">
        <v>738</v>
      </c>
      <c r="W1485">
        <v>100</v>
      </c>
      <c r="X1485" t="s">
        <v>11333</v>
      </c>
      <c r="Y1485" t="s">
        <v>11346</v>
      </c>
      <c r="Z1485" t="s">
        <v>12397</v>
      </c>
      <c r="AB1485" t="s">
        <v>16808</v>
      </c>
      <c r="AC1485">
        <v>100</v>
      </c>
      <c r="AD1485" t="s">
        <v>19566</v>
      </c>
      <c r="AE1485" t="s">
        <v>19580</v>
      </c>
      <c r="AF1485">
        <v>39</v>
      </c>
      <c r="AG1485">
        <v>1</v>
      </c>
      <c r="AH1485">
        <v>0</v>
      </c>
      <c r="AI1485">
        <v>60.2</v>
      </c>
      <c r="AL1485" t="s">
        <v>19615</v>
      </c>
      <c r="AM1485">
        <v>7308</v>
      </c>
      <c r="AS1485">
        <v>0.25</v>
      </c>
      <c r="AT1485" t="s">
        <v>563</v>
      </c>
      <c r="AU1485" t="s">
        <v>163</v>
      </c>
    </row>
    <row r="1486" spans="1:48">
      <c r="A1486" s="1">
        <f>HYPERLINK("https://lsnyc.legalserver.org/matter/dynamic-profile/view/1849579","17-1849579")</f>
        <v>0</v>
      </c>
      <c r="B1486" t="s">
        <v>111</v>
      </c>
      <c r="C1486" t="s">
        <v>256</v>
      </c>
      <c r="D1486" t="s">
        <v>797</v>
      </c>
      <c r="F1486" t="s">
        <v>1899</v>
      </c>
      <c r="G1486" t="s">
        <v>4073</v>
      </c>
      <c r="H1486" t="s">
        <v>6530</v>
      </c>
      <c r="I1486" t="s">
        <v>8161</v>
      </c>
      <c r="J1486" t="s">
        <v>9065</v>
      </c>
      <c r="K1486">
        <v>10451</v>
      </c>
      <c r="L1486" t="s">
        <v>9094</v>
      </c>
      <c r="M1486" t="s">
        <v>9095</v>
      </c>
      <c r="N1486" t="s">
        <v>9756</v>
      </c>
      <c r="O1486" t="s">
        <v>11129</v>
      </c>
      <c r="P1486" t="s">
        <v>11165</v>
      </c>
      <c r="R1486" t="s">
        <v>11181</v>
      </c>
      <c r="S1486" t="s">
        <v>9096</v>
      </c>
      <c r="T1486" t="s">
        <v>11183</v>
      </c>
      <c r="V1486" t="s">
        <v>705</v>
      </c>
      <c r="W1486">
        <v>1104.48</v>
      </c>
      <c r="X1486" t="s">
        <v>11333</v>
      </c>
      <c r="Y1486" t="s">
        <v>11337</v>
      </c>
      <c r="Z1486" t="s">
        <v>12398</v>
      </c>
      <c r="AA1486">
        <v>369055911</v>
      </c>
      <c r="AB1486" t="s">
        <v>16809</v>
      </c>
      <c r="AC1486">
        <v>240</v>
      </c>
      <c r="AD1486" t="s">
        <v>19568</v>
      </c>
      <c r="AE1486" t="s">
        <v>9144</v>
      </c>
      <c r="AF1486">
        <v>26</v>
      </c>
      <c r="AG1486">
        <v>2</v>
      </c>
      <c r="AH1486">
        <v>1</v>
      </c>
      <c r="AI1486">
        <v>60.24</v>
      </c>
      <c r="AJ1486" t="s">
        <v>19591</v>
      </c>
      <c r="AK1486" t="s">
        <v>19608</v>
      </c>
      <c r="AL1486" t="s">
        <v>19614</v>
      </c>
      <c r="AM1486">
        <v>12300</v>
      </c>
      <c r="AR1486" t="s">
        <v>20405</v>
      </c>
      <c r="AS1486">
        <v>35.15</v>
      </c>
      <c r="AT1486" t="s">
        <v>696</v>
      </c>
      <c r="AU1486" t="s">
        <v>228</v>
      </c>
    </row>
    <row r="1487" spans="1:48">
      <c r="A1487" s="1">
        <f>HYPERLINK("https://lsnyc.legalserver.org/matter/dynamic-profile/view/1902484","19-1902484")</f>
        <v>0</v>
      </c>
      <c r="B1487" t="s">
        <v>196</v>
      </c>
      <c r="C1487" t="s">
        <v>256</v>
      </c>
      <c r="D1487" t="s">
        <v>798</v>
      </c>
      <c r="F1487" t="s">
        <v>1374</v>
      </c>
      <c r="G1487" t="s">
        <v>4074</v>
      </c>
      <c r="H1487" t="s">
        <v>6531</v>
      </c>
      <c r="I1487" t="s">
        <v>8219</v>
      </c>
      <c r="J1487" t="s">
        <v>9067</v>
      </c>
      <c r="K1487">
        <v>10036</v>
      </c>
      <c r="L1487" t="s">
        <v>9094</v>
      </c>
      <c r="M1487" t="s">
        <v>9095</v>
      </c>
      <c r="N1487" t="s">
        <v>9757</v>
      </c>
      <c r="O1487" t="s">
        <v>11128</v>
      </c>
      <c r="P1487" t="s">
        <v>11165</v>
      </c>
      <c r="R1487" t="s">
        <v>11180</v>
      </c>
      <c r="S1487" t="s">
        <v>9096</v>
      </c>
      <c r="T1487" t="s">
        <v>11183</v>
      </c>
      <c r="V1487" t="s">
        <v>798</v>
      </c>
      <c r="W1487">
        <v>949.62</v>
      </c>
      <c r="X1487" t="s">
        <v>11335</v>
      </c>
      <c r="Y1487" t="s">
        <v>11336</v>
      </c>
      <c r="Z1487" t="s">
        <v>12399</v>
      </c>
      <c r="AA1487" t="s">
        <v>15557</v>
      </c>
      <c r="AB1487" t="s">
        <v>16810</v>
      </c>
      <c r="AC1487">
        <v>0</v>
      </c>
      <c r="AD1487" t="s">
        <v>19566</v>
      </c>
      <c r="AE1487" t="s">
        <v>19585</v>
      </c>
      <c r="AF1487">
        <v>2</v>
      </c>
      <c r="AG1487">
        <v>2</v>
      </c>
      <c r="AH1487">
        <v>0</v>
      </c>
      <c r="AI1487">
        <v>60.25</v>
      </c>
      <c r="AL1487" t="s">
        <v>19614</v>
      </c>
      <c r="AM1487">
        <v>10188</v>
      </c>
      <c r="AS1487">
        <v>21.4</v>
      </c>
      <c r="AT1487" t="s">
        <v>263</v>
      </c>
      <c r="AU1487" t="s">
        <v>20659</v>
      </c>
      <c r="AV1487" t="s">
        <v>20734</v>
      </c>
    </row>
    <row r="1488" spans="1:48">
      <c r="A1488" s="1">
        <f>HYPERLINK("https://lsnyc.legalserver.org/matter/dynamic-profile/view/1896561","19-1896561")</f>
        <v>0</v>
      </c>
      <c r="B1488" t="s">
        <v>119</v>
      </c>
      <c r="C1488" t="s">
        <v>257</v>
      </c>
      <c r="D1488" t="s">
        <v>384</v>
      </c>
      <c r="E1488" t="s">
        <v>664</v>
      </c>
      <c r="F1488" t="s">
        <v>1836</v>
      </c>
      <c r="G1488" t="s">
        <v>4011</v>
      </c>
      <c r="H1488" t="s">
        <v>6463</v>
      </c>
      <c r="I1488" t="s">
        <v>8132</v>
      </c>
      <c r="J1488" t="s">
        <v>9065</v>
      </c>
      <c r="K1488">
        <v>10459</v>
      </c>
      <c r="L1488" t="s">
        <v>9094</v>
      </c>
      <c r="M1488" t="s">
        <v>9094</v>
      </c>
      <c r="P1488" t="s">
        <v>11165</v>
      </c>
      <c r="Q1488" t="s">
        <v>11174</v>
      </c>
      <c r="R1488" t="s">
        <v>11180</v>
      </c>
      <c r="S1488" t="s">
        <v>9096</v>
      </c>
      <c r="T1488" t="s">
        <v>11183</v>
      </c>
      <c r="V1488" t="s">
        <v>11218</v>
      </c>
      <c r="W1488">
        <v>1023.44</v>
      </c>
      <c r="X1488" t="s">
        <v>11333</v>
      </c>
      <c r="Y1488" t="s">
        <v>11340</v>
      </c>
      <c r="Z1488" t="s">
        <v>12298</v>
      </c>
      <c r="AA1488" t="s">
        <v>15558</v>
      </c>
      <c r="AB1488" t="s">
        <v>16717</v>
      </c>
      <c r="AC1488">
        <v>11</v>
      </c>
      <c r="AD1488" t="s">
        <v>19566</v>
      </c>
      <c r="AE1488" t="s">
        <v>19580</v>
      </c>
      <c r="AF1488">
        <v>9</v>
      </c>
      <c r="AG1488">
        <v>1</v>
      </c>
      <c r="AH1488">
        <v>1</v>
      </c>
      <c r="AI1488">
        <v>60.32</v>
      </c>
      <c r="AL1488" t="s">
        <v>19615</v>
      </c>
      <c r="AM1488">
        <v>10200</v>
      </c>
      <c r="AS1488">
        <v>6.5</v>
      </c>
      <c r="AT1488" t="s">
        <v>664</v>
      </c>
      <c r="AU1488" t="s">
        <v>163</v>
      </c>
      <c r="AV1488" t="s">
        <v>20733</v>
      </c>
    </row>
    <row r="1489" spans="1:48">
      <c r="A1489" s="1">
        <f>HYPERLINK("https://lsnyc.legalserver.org/matter/dynamic-profile/view/1908068","19-1908068")</f>
        <v>0</v>
      </c>
      <c r="B1489" t="s">
        <v>139</v>
      </c>
      <c r="C1489" t="s">
        <v>257</v>
      </c>
      <c r="D1489" t="s">
        <v>551</v>
      </c>
      <c r="E1489" t="s">
        <v>551</v>
      </c>
      <c r="F1489" t="s">
        <v>1150</v>
      </c>
      <c r="G1489" t="s">
        <v>4075</v>
      </c>
      <c r="H1489" t="s">
        <v>6532</v>
      </c>
      <c r="I1489" t="s">
        <v>8178</v>
      </c>
      <c r="J1489" t="s">
        <v>9067</v>
      </c>
      <c r="K1489">
        <v>10034</v>
      </c>
      <c r="L1489" t="s">
        <v>9094</v>
      </c>
      <c r="M1489" t="s">
        <v>9095</v>
      </c>
      <c r="O1489" t="s">
        <v>9121</v>
      </c>
      <c r="P1489" t="s">
        <v>11167</v>
      </c>
      <c r="Q1489" t="s">
        <v>11173</v>
      </c>
      <c r="R1489" t="s">
        <v>11180</v>
      </c>
      <c r="T1489" t="s">
        <v>11183</v>
      </c>
      <c r="V1489" t="s">
        <v>555</v>
      </c>
      <c r="W1489">
        <v>1275</v>
      </c>
      <c r="X1489" t="s">
        <v>11335</v>
      </c>
      <c r="Y1489" t="s">
        <v>11340</v>
      </c>
      <c r="Z1489" t="s">
        <v>12400</v>
      </c>
      <c r="AB1489" t="s">
        <v>16811</v>
      </c>
      <c r="AC1489">
        <v>44</v>
      </c>
      <c r="AF1489">
        <v>15</v>
      </c>
      <c r="AG1489">
        <v>3</v>
      </c>
      <c r="AH1489">
        <v>2</v>
      </c>
      <c r="AI1489">
        <v>60.32</v>
      </c>
      <c r="AL1489" t="s">
        <v>19615</v>
      </c>
      <c r="AM1489">
        <v>18200</v>
      </c>
      <c r="AS1489">
        <v>0.5</v>
      </c>
      <c r="AT1489" t="s">
        <v>551</v>
      </c>
      <c r="AU1489" t="s">
        <v>139</v>
      </c>
    </row>
    <row r="1490" spans="1:48">
      <c r="A1490" s="1">
        <f>HYPERLINK("https://lsnyc.legalserver.org/matter/dynamic-profile/view/1847819","17-1847819")</f>
        <v>0</v>
      </c>
      <c r="B1490" t="s">
        <v>153</v>
      </c>
      <c r="C1490" t="s">
        <v>256</v>
      </c>
      <c r="D1490" t="s">
        <v>799</v>
      </c>
      <c r="F1490" t="s">
        <v>1465</v>
      </c>
      <c r="G1490" t="s">
        <v>3647</v>
      </c>
      <c r="H1490" t="s">
        <v>6010</v>
      </c>
      <c r="I1490" t="s">
        <v>8281</v>
      </c>
      <c r="J1490" t="s">
        <v>9055</v>
      </c>
      <c r="K1490">
        <v>11355</v>
      </c>
      <c r="L1490" t="s">
        <v>9094</v>
      </c>
      <c r="M1490" t="s">
        <v>9095</v>
      </c>
      <c r="N1490" t="s">
        <v>9171</v>
      </c>
      <c r="O1490" t="s">
        <v>11136</v>
      </c>
      <c r="P1490" t="s">
        <v>11166</v>
      </c>
      <c r="R1490" t="s">
        <v>11180</v>
      </c>
      <c r="S1490" t="s">
        <v>9096</v>
      </c>
      <c r="T1490" t="s">
        <v>11183</v>
      </c>
      <c r="V1490" t="s">
        <v>799</v>
      </c>
      <c r="W1490">
        <v>1262.63</v>
      </c>
      <c r="X1490" t="s">
        <v>11331</v>
      </c>
      <c r="Y1490" t="s">
        <v>11340</v>
      </c>
      <c r="Z1490" t="s">
        <v>11735</v>
      </c>
      <c r="AA1490" t="s">
        <v>9171</v>
      </c>
      <c r="AB1490" t="s">
        <v>16201</v>
      </c>
      <c r="AC1490">
        <v>53</v>
      </c>
      <c r="AD1490" t="s">
        <v>19566</v>
      </c>
      <c r="AE1490" t="s">
        <v>9144</v>
      </c>
      <c r="AF1490">
        <v>7</v>
      </c>
      <c r="AG1490">
        <v>1</v>
      </c>
      <c r="AH1490">
        <v>0</v>
      </c>
      <c r="AI1490">
        <v>60.36</v>
      </c>
      <c r="AJ1490" t="s">
        <v>438</v>
      </c>
      <c r="AL1490" t="s">
        <v>19628</v>
      </c>
      <c r="AM1490">
        <v>7280</v>
      </c>
      <c r="AS1490">
        <v>6.1</v>
      </c>
      <c r="AT1490" t="s">
        <v>614</v>
      </c>
      <c r="AU1490" t="s">
        <v>153</v>
      </c>
    </row>
    <row r="1491" spans="1:48">
      <c r="A1491" s="1">
        <f>HYPERLINK("https://lsnyc.legalserver.org/matter/dynamic-profile/view/1914529","19-1914529")</f>
        <v>0</v>
      </c>
      <c r="B1491" t="s">
        <v>103</v>
      </c>
      <c r="C1491" t="s">
        <v>257</v>
      </c>
      <c r="D1491" t="s">
        <v>703</v>
      </c>
      <c r="E1491" t="s">
        <v>612</v>
      </c>
      <c r="F1491" t="s">
        <v>1900</v>
      </c>
      <c r="G1491" t="s">
        <v>4076</v>
      </c>
      <c r="H1491" t="s">
        <v>6533</v>
      </c>
      <c r="I1491" t="s">
        <v>8330</v>
      </c>
      <c r="J1491" t="s">
        <v>9065</v>
      </c>
      <c r="K1491">
        <v>10453</v>
      </c>
      <c r="L1491" t="s">
        <v>9094</v>
      </c>
      <c r="M1491" t="s">
        <v>9095</v>
      </c>
      <c r="O1491" t="s">
        <v>11128</v>
      </c>
      <c r="P1491" t="s">
        <v>11164</v>
      </c>
      <c r="Q1491" t="s">
        <v>11172</v>
      </c>
      <c r="R1491" t="s">
        <v>11180</v>
      </c>
      <c r="T1491" t="s">
        <v>11183</v>
      </c>
      <c r="U1491" t="s">
        <v>11201</v>
      </c>
      <c r="W1491">
        <v>0</v>
      </c>
      <c r="X1491" t="s">
        <v>11333</v>
      </c>
      <c r="Y1491" t="s">
        <v>11346</v>
      </c>
      <c r="Z1491" t="s">
        <v>12401</v>
      </c>
      <c r="AB1491" t="s">
        <v>16812</v>
      </c>
      <c r="AC1491">
        <v>50</v>
      </c>
      <c r="AD1491" t="s">
        <v>19566</v>
      </c>
      <c r="AF1491">
        <v>36</v>
      </c>
      <c r="AG1491">
        <v>2</v>
      </c>
      <c r="AH1491">
        <v>0</v>
      </c>
      <c r="AI1491">
        <v>60.39</v>
      </c>
      <c r="AL1491" t="s">
        <v>19615</v>
      </c>
      <c r="AM1491">
        <v>10212</v>
      </c>
      <c r="AS1491">
        <v>1.5</v>
      </c>
      <c r="AT1491" t="s">
        <v>377</v>
      </c>
      <c r="AU1491" t="s">
        <v>103</v>
      </c>
      <c r="AV1491" t="s">
        <v>20733</v>
      </c>
    </row>
    <row r="1492" spans="1:48">
      <c r="A1492" s="1">
        <f>HYPERLINK("https://lsnyc.legalserver.org/matter/dynamic-profile/view/1909014","19-1909014")</f>
        <v>0</v>
      </c>
      <c r="B1492" t="s">
        <v>109</v>
      </c>
      <c r="C1492" t="s">
        <v>257</v>
      </c>
      <c r="D1492" t="s">
        <v>669</v>
      </c>
      <c r="E1492" t="s">
        <v>832</v>
      </c>
      <c r="F1492" t="s">
        <v>1689</v>
      </c>
      <c r="G1492" t="s">
        <v>4077</v>
      </c>
      <c r="H1492" t="s">
        <v>6534</v>
      </c>
      <c r="I1492" t="s">
        <v>8169</v>
      </c>
      <c r="J1492" t="s">
        <v>9065</v>
      </c>
      <c r="K1492">
        <v>10457</v>
      </c>
      <c r="L1492" t="s">
        <v>9094</v>
      </c>
      <c r="M1492" t="s">
        <v>9095</v>
      </c>
      <c r="P1492" t="s">
        <v>11167</v>
      </c>
      <c r="Q1492" t="s">
        <v>11173</v>
      </c>
      <c r="R1492" t="s">
        <v>11180</v>
      </c>
      <c r="S1492" t="s">
        <v>9096</v>
      </c>
      <c r="T1492" t="s">
        <v>11183</v>
      </c>
      <c r="W1492">
        <v>0</v>
      </c>
      <c r="X1492" t="s">
        <v>11333</v>
      </c>
      <c r="Y1492" t="s">
        <v>11346</v>
      </c>
      <c r="Z1492" t="s">
        <v>12402</v>
      </c>
      <c r="AB1492" t="s">
        <v>16813</v>
      </c>
      <c r="AC1492">
        <v>36</v>
      </c>
      <c r="AD1492" t="s">
        <v>15441</v>
      </c>
      <c r="AE1492" t="s">
        <v>19580</v>
      </c>
      <c r="AF1492">
        <v>30</v>
      </c>
      <c r="AG1492">
        <v>1</v>
      </c>
      <c r="AH1492">
        <v>0</v>
      </c>
      <c r="AI1492">
        <v>60.53</v>
      </c>
      <c r="AL1492" t="s">
        <v>19615</v>
      </c>
      <c r="AM1492">
        <v>7560</v>
      </c>
      <c r="AS1492">
        <v>0.65</v>
      </c>
      <c r="AT1492" t="s">
        <v>832</v>
      </c>
      <c r="AU1492" t="s">
        <v>220</v>
      </c>
      <c r="AV1492" t="s">
        <v>20733</v>
      </c>
    </row>
    <row r="1493" spans="1:48">
      <c r="A1493" s="1">
        <f>HYPERLINK("https://lsnyc.legalserver.org/matter/dynamic-profile/view/1906049","19-1906049")</f>
        <v>0</v>
      </c>
      <c r="B1493" t="s">
        <v>138</v>
      </c>
      <c r="C1493" t="s">
        <v>256</v>
      </c>
      <c r="D1493" t="s">
        <v>330</v>
      </c>
      <c r="F1493" t="s">
        <v>1474</v>
      </c>
      <c r="G1493" t="s">
        <v>3805</v>
      </c>
      <c r="H1493" t="s">
        <v>6535</v>
      </c>
      <c r="I1493" t="s">
        <v>8450</v>
      </c>
      <c r="J1493" t="s">
        <v>9067</v>
      </c>
      <c r="K1493">
        <v>10033</v>
      </c>
      <c r="L1493" t="s">
        <v>9094</v>
      </c>
      <c r="M1493" t="s">
        <v>9095</v>
      </c>
      <c r="P1493" t="s">
        <v>11164</v>
      </c>
      <c r="R1493" t="s">
        <v>11180</v>
      </c>
      <c r="S1493" t="s">
        <v>9096</v>
      </c>
      <c r="T1493" t="s">
        <v>11183</v>
      </c>
      <c r="V1493" t="s">
        <v>330</v>
      </c>
      <c r="W1493">
        <v>2668</v>
      </c>
      <c r="X1493" t="s">
        <v>11335</v>
      </c>
      <c r="Y1493" t="s">
        <v>11340</v>
      </c>
      <c r="Z1493" t="s">
        <v>12403</v>
      </c>
      <c r="AB1493" t="s">
        <v>16814</v>
      </c>
      <c r="AC1493">
        <v>480</v>
      </c>
      <c r="AD1493" t="s">
        <v>19566</v>
      </c>
      <c r="AE1493" t="s">
        <v>9144</v>
      </c>
      <c r="AF1493">
        <v>5</v>
      </c>
      <c r="AG1493">
        <v>1</v>
      </c>
      <c r="AH1493">
        <v>0</v>
      </c>
      <c r="AI1493">
        <v>60.53</v>
      </c>
      <c r="AL1493" t="s">
        <v>19615</v>
      </c>
      <c r="AM1493">
        <v>7560</v>
      </c>
      <c r="AS1493">
        <v>1.9</v>
      </c>
      <c r="AT1493" t="s">
        <v>330</v>
      </c>
      <c r="AU1493" t="s">
        <v>130</v>
      </c>
      <c r="AV1493" t="s">
        <v>20733</v>
      </c>
    </row>
    <row r="1494" spans="1:48">
      <c r="A1494" s="1">
        <f>HYPERLINK("https://lsnyc.legalserver.org/matter/dynamic-profile/view/1834800","17-1834800")</f>
        <v>0</v>
      </c>
      <c r="B1494" t="s">
        <v>141</v>
      </c>
      <c r="C1494" t="s">
        <v>256</v>
      </c>
      <c r="D1494" t="s">
        <v>800</v>
      </c>
      <c r="F1494" t="s">
        <v>1183</v>
      </c>
      <c r="G1494" t="s">
        <v>3592</v>
      </c>
      <c r="H1494" t="s">
        <v>5952</v>
      </c>
      <c r="I1494" t="s">
        <v>8140</v>
      </c>
      <c r="J1494" t="s">
        <v>9067</v>
      </c>
      <c r="K1494">
        <v>10033</v>
      </c>
      <c r="L1494" t="s">
        <v>9094</v>
      </c>
      <c r="M1494" t="s">
        <v>9095</v>
      </c>
      <c r="O1494" t="s">
        <v>9121</v>
      </c>
      <c r="P1494" t="s">
        <v>11166</v>
      </c>
      <c r="R1494" t="s">
        <v>11180</v>
      </c>
      <c r="S1494" t="s">
        <v>9094</v>
      </c>
      <c r="T1494" t="s">
        <v>11183</v>
      </c>
      <c r="V1494" t="s">
        <v>878</v>
      </c>
      <c r="W1494">
        <v>0</v>
      </c>
      <c r="X1494" t="s">
        <v>11335</v>
      </c>
      <c r="Y1494" t="s">
        <v>11339</v>
      </c>
      <c r="Z1494" t="s">
        <v>12404</v>
      </c>
      <c r="AB1494" t="s">
        <v>16815</v>
      </c>
      <c r="AC1494">
        <v>20</v>
      </c>
      <c r="AD1494" t="s">
        <v>19566</v>
      </c>
      <c r="AE1494" t="s">
        <v>19580</v>
      </c>
      <c r="AF1494">
        <v>20</v>
      </c>
      <c r="AG1494">
        <v>4</v>
      </c>
      <c r="AH1494">
        <v>0</v>
      </c>
      <c r="AI1494">
        <v>60.57</v>
      </c>
      <c r="AJ1494" t="s">
        <v>973</v>
      </c>
      <c r="AL1494" t="s">
        <v>19615</v>
      </c>
      <c r="AM1494">
        <v>14900</v>
      </c>
      <c r="AS1494">
        <v>0</v>
      </c>
      <c r="AU1494" t="s">
        <v>20657</v>
      </c>
    </row>
    <row r="1495" spans="1:48">
      <c r="A1495" s="1">
        <f>HYPERLINK("https://lsnyc.legalserver.org/matter/dynamic-profile/view/1897119","19-1897119")</f>
        <v>0</v>
      </c>
      <c r="B1495" t="s">
        <v>52</v>
      </c>
      <c r="C1495" t="s">
        <v>257</v>
      </c>
      <c r="D1495" t="s">
        <v>434</v>
      </c>
      <c r="E1495" t="s">
        <v>1016</v>
      </c>
      <c r="F1495" t="s">
        <v>1901</v>
      </c>
      <c r="G1495" t="s">
        <v>3872</v>
      </c>
      <c r="H1495" t="s">
        <v>5692</v>
      </c>
      <c r="I1495" t="s">
        <v>8134</v>
      </c>
      <c r="J1495" t="s">
        <v>9038</v>
      </c>
      <c r="K1495">
        <v>11691</v>
      </c>
      <c r="L1495" t="s">
        <v>9094</v>
      </c>
      <c r="M1495" t="s">
        <v>9094</v>
      </c>
      <c r="O1495" t="s">
        <v>11134</v>
      </c>
      <c r="P1495" t="s">
        <v>11167</v>
      </c>
      <c r="Q1495" t="s">
        <v>11173</v>
      </c>
      <c r="R1495" t="s">
        <v>11180</v>
      </c>
      <c r="S1495" t="s">
        <v>9094</v>
      </c>
      <c r="T1495" t="s">
        <v>11183</v>
      </c>
      <c r="U1495" t="s">
        <v>11201</v>
      </c>
      <c r="V1495" t="s">
        <v>434</v>
      </c>
      <c r="W1495">
        <v>660</v>
      </c>
      <c r="X1495" t="s">
        <v>11331</v>
      </c>
      <c r="Y1495" t="s">
        <v>11339</v>
      </c>
      <c r="Z1495" t="s">
        <v>12405</v>
      </c>
      <c r="AA1495" t="s">
        <v>15274</v>
      </c>
      <c r="AB1495" t="s">
        <v>16816</v>
      </c>
      <c r="AC1495">
        <v>43</v>
      </c>
      <c r="AD1495" t="s">
        <v>19566</v>
      </c>
      <c r="AE1495" t="s">
        <v>9144</v>
      </c>
      <c r="AF1495">
        <v>10</v>
      </c>
      <c r="AG1495">
        <v>3</v>
      </c>
      <c r="AH1495">
        <v>1</v>
      </c>
      <c r="AI1495">
        <v>60.58</v>
      </c>
      <c r="AL1495" t="s">
        <v>19614</v>
      </c>
      <c r="AM1495">
        <v>15600</v>
      </c>
      <c r="AS1495">
        <v>0.2</v>
      </c>
      <c r="AT1495" t="s">
        <v>1016</v>
      </c>
      <c r="AU1495" t="s">
        <v>20620</v>
      </c>
      <c r="AV1495" t="s">
        <v>20733</v>
      </c>
    </row>
    <row r="1496" spans="1:48">
      <c r="A1496" s="1">
        <f>HYPERLINK("https://lsnyc.legalserver.org/matter/dynamic-profile/view/1897230","19-1897230")</f>
        <v>0</v>
      </c>
      <c r="B1496" t="s">
        <v>52</v>
      </c>
      <c r="C1496" t="s">
        <v>256</v>
      </c>
      <c r="D1496" t="s">
        <v>434</v>
      </c>
      <c r="F1496" t="s">
        <v>1901</v>
      </c>
      <c r="G1496" t="s">
        <v>3872</v>
      </c>
      <c r="H1496" t="s">
        <v>5692</v>
      </c>
      <c r="I1496" t="s">
        <v>8134</v>
      </c>
      <c r="J1496" t="s">
        <v>9038</v>
      </c>
      <c r="K1496">
        <v>11691</v>
      </c>
      <c r="L1496" t="s">
        <v>9094</v>
      </c>
      <c r="M1496" t="s">
        <v>9094</v>
      </c>
      <c r="O1496" t="s">
        <v>11136</v>
      </c>
      <c r="P1496" t="s">
        <v>11167</v>
      </c>
      <c r="R1496" t="s">
        <v>11180</v>
      </c>
      <c r="S1496" t="s">
        <v>9094</v>
      </c>
      <c r="T1496" t="s">
        <v>11183</v>
      </c>
      <c r="V1496" t="s">
        <v>434</v>
      </c>
      <c r="W1496">
        <v>660</v>
      </c>
      <c r="X1496" t="s">
        <v>11331</v>
      </c>
      <c r="Y1496" t="s">
        <v>11339</v>
      </c>
      <c r="Z1496" t="s">
        <v>12405</v>
      </c>
      <c r="AB1496" t="s">
        <v>16816</v>
      </c>
      <c r="AC1496">
        <v>43</v>
      </c>
      <c r="AD1496" t="s">
        <v>19566</v>
      </c>
      <c r="AE1496" t="s">
        <v>9144</v>
      </c>
      <c r="AF1496">
        <v>10</v>
      </c>
      <c r="AG1496">
        <v>3</v>
      </c>
      <c r="AH1496">
        <v>1</v>
      </c>
      <c r="AI1496">
        <v>60.58</v>
      </c>
      <c r="AL1496" t="s">
        <v>19614</v>
      </c>
      <c r="AM1496">
        <v>15600</v>
      </c>
      <c r="AS1496">
        <v>0.1</v>
      </c>
      <c r="AT1496" t="s">
        <v>282</v>
      </c>
      <c r="AU1496" t="s">
        <v>20620</v>
      </c>
      <c r="AV1496" t="s">
        <v>20733</v>
      </c>
    </row>
    <row r="1497" spans="1:48">
      <c r="A1497" s="1">
        <f>HYPERLINK("https://lsnyc.legalserver.org/matter/dynamic-profile/view/1912877","19-1912877")</f>
        <v>0</v>
      </c>
      <c r="B1497" t="s">
        <v>59</v>
      </c>
      <c r="C1497" t="s">
        <v>256</v>
      </c>
      <c r="D1497" t="s">
        <v>563</v>
      </c>
      <c r="F1497" t="s">
        <v>1264</v>
      </c>
      <c r="G1497" t="s">
        <v>4078</v>
      </c>
      <c r="H1497" t="s">
        <v>6536</v>
      </c>
      <c r="I1497" t="s">
        <v>8419</v>
      </c>
      <c r="J1497" t="s">
        <v>9055</v>
      </c>
      <c r="K1497">
        <v>11358</v>
      </c>
      <c r="L1497" t="s">
        <v>9094</v>
      </c>
      <c r="M1497" t="s">
        <v>9095</v>
      </c>
      <c r="O1497" t="s">
        <v>11136</v>
      </c>
      <c r="P1497" t="s">
        <v>11167</v>
      </c>
      <c r="R1497" t="s">
        <v>11180</v>
      </c>
      <c r="S1497" t="s">
        <v>9096</v>
      </c>
      <c r="T1497" t="s">
        <v>11183</v>
      </c>
      <c r="U1497" t="s">
        <v>11201</v>
      </c>
      <c r="V1497" t="s">
        <v>11252</v>
      </c>
      <c r="W1497">
        <v>1483</v>
      </c>
      <c r="X1497" t="s">
        <v>11331</v>
      </c>
      <c r="Y1497" t="s">
        <v>11350</v>
      </c>
      <c r="Z1497" t="s">
        <v>12406</v>
      </c>
      <c r="AB1497" t="s">
        <v>16817</v>
      </c>
      <c r="AC1497">
        <v>4</v>
      </c>
      <c r="AD1497" t="s">
        <v>19566</v>
      </c>
      <c r="AE1497" t="s">
        <v>9144</v>
      </c>
      <c r="AF1497">
        <v>11</v>
      </c>
      <c r="AG1497">
        <v>2</v>
      </c>
      <c r="AH1497">
        <v>2</v>
      </c>
      <c r="AI1497">
        <v>60.58</v>
      </c>
      <c r="AL1497" t="s">
        <v>19614</v>
      </c>
      <c r="AM1497">
        <v>15600</v>
      </c>
      <c r="AS1497">
        <v>3.1</v>
      </c>
      <c r="AT1497" t="s">
        <v>487</v>
      </c>
      <c r="AU1497" t="s">
        <v>20639</v>
      </c>
    </row>
    <row r="1498" spans="1:48">
      <c r="A1498" s="1">
        <f>HYPERLINK("https://lsnyc.legalserver.org/matter/dynamic-profile/view/1891259","19-1891259")</f>
        <v>0</v>
      </c>
      <c r="B1498" t="s">
        <v>61</v>
      </c>
      <c r="C1498" t="s">
        <v>256</v>
      </c>
      <c r="D1498" t="s">
        <v>635</v>
      </c>
      <c r="F1498" t="s">
        <v>1902</v>
      </c>
      <c r="G1498" t="s">
        <v>3220</v>
      </c>
      <c r="H1498" t="s">
        <v>6537</v>
      </c>
      <c r="I1498">
        <v>2</v>
      </c>
      <c r="J1498" t="s">
        <v>9055</v>
      </c>
      <c r="K1498">
        <v>11355</v>
      </c>
      <c r="L1498" t="s">
        <v>9094</v>
      </c>
      <c r="M1498" t="s">
        <v>9094</v>
      </c>
      <c r="N1498" t="s">
        <v>9758</v>
      </c>
      <c r="O1498" t="s">
        <v>11128</v>
      </c>
      <c r="P1498" t="s">
        <v>11165</v>
      </c>
      <c r="R1498" t="s">
        <v>11181</v>
      </c>
      <c r="S1498" t="s">
        <v>9096</v>
      </c>
      <c r="T1498" t="s">
        <v>11183</v>
      </c>
      <c r="U1498" t="s">
        <v>11201</v>
      </c>
      <c r="V1498" t="s">
        <v>491</v>
      </c>
      <c r="W1498">
        <v>2150</v>
      </c>
      <c r="X1498" t="s">
        <v>11331</v>
      </c>
      <c r="Y1498" t="s">
        <v>11337</v>
      </c>
      <c r="Z1498" t="s">
        <v>12407</v>
      </c>
      <c r="AA1498" t="s">
        <v>15274</v>
      </c>
      <c r="AB1498" t="s">
        <v>15274</v>
      </c>
      <c r="AC1498">
        <v>3</v>
      </c>
      <c r="AD1498" t="s">
        <v>19565</v>
      </c>
      <c r="AE1498" t="s">
        <v>9144</v>
      </c>
      <c r="AF1498">
        <v>1</v>
      </c>
      <c r="AG1498">
        <v>1</v>
      </c>
      <c r="AH1498">
        <v>3</v>
      </c>
      <c r="AI1498">
        <v>60.58</v>
      </c>
      <c r="AJ1498" t="s">
        <v>19591</v>
      </c>
      <c r="AK1498" t="s">
        <v>19608</v>
      </c>
      <c r="AL1498" t="s">
        <v>19615</v>
      </c>
      <c r="AM1498">
        <v>15600</v>
      </c>
      <c r="AS1498">
        <v>48.2</v>
      </c>
      <c r="AT1498" t="s">
        <v>594</v>
      </c>
      <c r="AU1498" t="s">
        <v>61</v>
      </c>
    </row>
    <row r="1499" spans="1:48">
      <c r="A1499" s="1">
        <f>HYPERLINK("https://lsnyc.legalserver.org/matter/dynamic-profile/view/1914143","19-1914143")</f>
        <v>0</v>
      </c>
      <c r="B1499" t="s">
        <v>98</v>
      </c>
      <c r="C1499" t="s">
        <v>256</v>
      </c>
      <c r="D1499" t="s">
        <v>395</v>
      </c>
      <c r="F1499" t="s">
        <v>1903</v>
      </c>
      <c r="G1499" t="s">
        <v>4079</v>
      </c>
      <c r="H1499" t="s">
        <v>5879</v>
      </c>
      <c r="I1499" t="s">
        <v>8216</v>
      </c>
      <c r="J1499" t="s">
        <v>9065</v>
      </c>
      <c r="K1499">
        <v>10456</v>
      </c>
      <c r="L1499" t="s">
        <v>9095</v>
      </c>
      <c r="M1499" t="s">
        <v>9095</v>
      </c>
      <c r="O1499" t="s">
        <v>11134</v>
      </c>
      <c r="P1499" t="s">
        <v>11168</v>
      </c>
      <c r="R1499" t="s">
        <v>11180</v>
      </c>
      <c r="S1499" t="s">
        <v>9094</v>
      </c>
      <c r="T1499" t="s">
        <v>11183</v>
      </c>
      <c r="W1499">
        <v>1150</v>
      </c>
      <c r="X1499" t="s">
        <v>11333</v>
      </c>
      <c r="Y1499" t="s">
        <v>11346</v>
      </c>
      <c r="Z1499" t="s">
        <v>12408</v>
      </c>
      <c r="AB1499" t="s">
        <v>16818</v>
      </c>
      <c r="AC1499">
        <v>30</v>
      </c>
      <c r="AD1499" t="s">
        <v>19566</v>
      </c>
      <c r="AF1499">
        <v>23</v>
      </c>
      <c r="AG1499">
        <v>2</v>
      </c>
      <c r="AH1499">
        <v>2</v>
      </c>
      <c r="AI1499">
        <v>60.58</v>
      </c>
      <c r="AL1499" t="s">
        <v>19614</v>
      </c>
      <c r="AM1499">
        <v>15600</v>
      </c>
      <c r="AS1499">
        <v>0</v>
      </c>
      <c r="AU1499" t="s">
        <v>98</v>
      </c>
    </row>
    <row r="1500" spans="1:48">
      <c r="A1500" s="1">
        <f>HYPERLINK("https://lsnyc.legalserver.org/matter/dynamic-profile/view/1889923","19-1889923")</f>
        <v>0</v>
      </c>
      <c r="B1500" t="s">
        <v>103</v>
      </c>
      <c r="C1500" t="s">
        <v>256</v>
      </c>
      <c r="D1500" t="s">
        <v>447</v>
      </c>
      <c r="F1500" t="s">
        <v>1347</v>
      </c>
      <c r="G1500" t="s">
        <v>3530</v>
      </c>
      <c r="H1500" t="s">
        <v>5887</v>
      </c>
      <c r="I1500" t="s">
        <v>8176</v>
      </c>
      <c r="J1500" t="s">
        <v>9065</v>
      </c>
      <c r="K1500">
        <v>10453</v>
      </c>
      <c r="L1500" t="s">
        <v>9094</v>
      </c>
      <c r="M1500" t="s">
        <v>9094</v>
      </c>
      <c r="N1500" t="s">
        <v>9352</v>
      </c>
      <c r="O1500" t="s">
        <v>11130</v>
      </c>
      <c r="P1500" t="s">
        <v>11165</v>
      </c>
      <c r="R1500" t="s">
        <v>11180</v>
      </c>
      <c r="S1500" t="s">
        <v>9094</v>
      </c>
      <c r="T1500" t="s">
        <v>11183</v>
      </c>
      <c r="V1500" t="s">
        <v>512</v>
      </c>
      <c r="W1500">
        <v>1273</v>
      </c>
      <c r="X1500" t="s">
        <v>11333</v>
      </c>
      <c r="Y1500" t="s">
        <v>11346</v>
      </c>
      <c r="Z1500" t="s">
        <v>11595</v>
      </c>
      <c r="AC1500">
        <v>167</v>
      </c>
      <c r="AD1500" t="s">
        <v>19566</v>
      </c>
      <c r="AE1500" t="s">
        <v>9144</v>
      </c>
      <c r="AF1500">
        <v>11</v>
      </c>
      <c r="AG1500">
        <v>2</v>
      </c>
      <c r="AH1500">
        <v>2</v>
      </c>
      <c r="AI1500">
        <v>60.58</v>
      </c>
      <c r="AL1500" t="s">
        <v>19615</v>
      </c>
      <c r="AM1500">
        <v>15600</v>
      </c>
      <c r="AS1500">
        <v>0</v>
      </c>
      <c r="AU1500" t="s">
        <v>20642</v>
      </c>
    </row>
    <row r="1501" spans="1:48">
      <c r="A1501" s="1">
        <f>HYPERLINK("https://lsnyc.legalserver.org/matter/dynamic-profile/view/1894505","19-1894505")</f>
        <v>0</v>
      </c>
      <c r="B1501" t="s">
        <v>99</v>
      </c>
      <c r="C1501" t="s">
        <v>257</v>
      </c>
      <c r="D1501" t="s">
        <v>421</v>
      </c>
      <c r="E1501" t="s">
        <v>362</v>
      </c>
      <c r="F1501" t="s">
        <v>1904</v>
      </c>
      <c r="G1501" t="s">
        <v>3699</v>
      </c>
      <c r="H1501" t="s">
        <v>6538</v>
      </c>
      <c r="I1501" t="s">
        <v>8266</v>
      </c>
      <c r="J1501" t="s">
        <v>9065</v>
      </c>
      <c r="K1501">
        <v>10452</v>
      </c>
      <c r="L1501" t="s">
        <v>9094</v>
      </c>
      <c r="M1501" t="s">
        <v>9094</v>
      </c>
      <c r="O1501" t="s">
        <v>9121</v>
      </c>
      <c r="P1501" t="s">
        <v>11164</v>
      </c>
      <c r="Q1501" t="s">
        <v>11172</v>
      </c>
      <c r="R1501" t="s">
        <v>11180</v>
      </c>
      <c r="S1501" t="s">
        <v>9096</v>
      </c>
      <c r="T1501" t="s">
        <v>11183</v>
      </c>
      <c r="V1501" t="s">
        <v>421</v>
      </c>
      <c r="W1501">
        <v>1384.46</v>
      </c>
      <c r="X1501" t="s">
        <v>11333</v>
      </c>
      <c r="Y1501" t="s">
        <v>11346</v>
      </c>
      <c r="Z1501" t="s">
        <v>12409</v>
      </c>
      <c r="AC1501">
        <v>58</v>
      </c>
      <c r="AD1501" t="s">
        <v>19566</v>
      </c>
      <c r="AE1501" t="s">
        <v>9144</v>
      </c>
      <c r="AF1501">
        <v>12</v>
      </c>
      <c r="AG1501">
        <v>3</v>
      </c>
      <c r="AH1501">
        <v>1</v>
      </c>
      <c r="AI1501">
        <v>60.58</v>
      </c>
      <c r="AL1501" t="s">
        <v>19615</v>
      </c>
      <c r="AM1501">
        <v>15600</v>
      </c>
      <c r="AS1501">
        <v>1.7</v>
      </c>
      <c r="AT1501" t="s">
        <v>362</v>
      </c>
      <c r="AU1501" t="s">
        <v>99</v>
      </c>
    </row>
    <row r="1502" spans="1:48">
      <c r="A1502" s="1">
        <f>HYPERLINK("https://lsnyc.legalserver.org/matter/dynamic-profile/view/1887831","19-1887831")</f>
        <v>0</v>
      </c>
      <c r="B1502" t="s">
        <v>78</v>
      </c>
      <c r="C1502" t="s">
        <v>256</v>
      </c>
      <c r="D1502" t="s">
        <v>363</v>
      </c>
      <c r="F1502" t="s">
        <v>1229</v>
      </c>
      <c r="G1502" t="s">
        <v>4080</v>
      </c>
      <c r="H1502" t="s">
        <v>5785</v>
      </c>
      <c r="I1502" t="s">
        <v>8451</v>
      </c>
      <c r="J1502" t="s">
        <v>9059</v>
      </c>
      <c r="K1502">
        <v>11225</v>
      </c>
      <c r="L1502" t="s">
        <v>9094</v>
      </c>
      <c r="M1502" t="s">
        <v>9094</v>
      </c>
      <c r="N1502" t="s">
        <v>9170</v>
      </c>
      <c r="O1502" t="s">
        <v>11134</v>
      </c>
      <c r="P1502" t="s">
        <v>11168</v>
      </c>
      <c r="R1502" t="s">
        <v>11180</v>
      </c>
      <c r="S1502" t="s">
        <v>9094</v>
      </c>
      <c r="T1502" t="s">
        <v>11183</v>
      </c>
      <c r="V1502" t="s">
        <v>11211</v>
      </c>
      <c r="W1502">
        <v>795.52</v>
      </c>
      <c r="X1502" t="s">
        <v>11332</v>
      </c>
      <c r="Y1502" t="s">
        <v>11346</v>
      </c>
      <c r="Z1502" t="s">
        <v>12410</v>
      </c>
      <c r="AB1502" t="s">
        <v>16819</v>
      </c>
      <c r="AC1502">
        <v>89</v>
      </c>
      <c r="AD1502" t="s">
        <v>19566</v>
      </c>
      <c r="AE1502" t="s">
        <v>19580</v>
      </c>
      <c r="AF1502">
        <v>35</v>
      </c>
      <c r="AG1502">
        <v>2</v>
      </c>
      <c r="AH1502">
        <v>0</v>
      </c>
      <c r="AI1502">
        <v>60.66</v>
      </c>
      <c r="AL1502" t="s">
        <v>19614</v>
      </c>
      <c r="AM1502">
        <v>9984</v>
      </c>
      <c r="AS1502">
        <v>12.7</v>
      </c>
      <c r="AT1502" t="s">
        <v>294</v>
      </c>
      <c r="AU1502" t="s">
        <v>79</v>
      </c>
    </row>
    <row r="1503" spans="1:48">
      <c r="A1503" s="1">
        <f>HYPERLINK("https://lsnyc.legalserver.org/matter/dynamic-profile/view/1875921","18-1875921")</f>
        <v>0</v>
      </c>
      <c r="B1503" t="s">
        <v>78</v>
      </c>
      <c r="C1503" t="s">
        <v>256</v>
      </c>
      <c r="D1503" t="s">
        <v>349</v>
      </c>
      <c r="F1503" t="s">
        <v>1229</v>
      </c>
      <c r="G1503" t="s">
        <v>4080</v>
      </c>
      <c r="H1503" t="s">
        <v>5785</v>
      </c>
      <c r="I1503" t="s">
        <v>8451</v>
      </c>
      <c r="J1503" t="s">
        <v>9059</v>
      </c>
      <c r="K1503">
        <v>11225</v>
      </c>
      <c r="L1503" t="s">
        <v>9094</v>
      </c>
      <c r="M1503" t="s">
        <v>9094</v>
      </c>
      <c r="N1503" t="s">
        <v>9121</v>
      </c>
      <c r="O1503" t="s">
        <v>9121</v>
      </c>
      <c r="P1503" t="s">
        <v>11167</v>
      </c>
      <c r="R1503" t="s">
        <v>11180</v>
      </c>
      <c r="S1503" t="s">
        <v>9096</v>
      </c>
      <c r="T1503" t="s">
        <v>11183</v>
      </c>
      <c r="W1503">
        <v>795.52</v>
      </c>
      <c r="X1503" t="s">
        <v>11332</v>
      </c>
      <c r="Y1503" t="s">
        <v>11346</v>
      </c>
      <c r="Z1503" t="s">
        <v>12410</v>
      </c>
      <c r="AB1503" t="s">
        <v>16819</v>
      </c>
      <c r="AC1503">
        <v>89</v>
      </c>
      <c r="AD1503" t="s">
        <v>19566</v>
      </c>
      <c r="AE1503" t="s">
        <v>19580</v>
      </c>
      <c r="AF1503">
        <v>35</v>
      </c>
      <c r="AG1503">
        <v>2</v>
      </c>
      <c r="AH1503">
        <v>0</v>
      </c>
      <c r="AI1503">
        <v>60.66</v>
      </c>
      <c r="AL1503" t="s">
        <v>19614</v>
      </c>
      <c r="AM1503">
        <v>9984</v>
      </c>
      <c r="AN1503" t="s">
        <v>19665</v>
      </c>
      <c r="AS1503">
        <v>0</v>
      </c>
      <c r="AU1503" t="s">
        <v>95</v>
      </c>
    </row>
    <row r="1504" spans="1:48">
      <c r="A1504" s="1">
        <f>HYPERLINK("https://lsnyc.legalserver.org/matter/dynamic-profile/view/1854512","17-1854512")</f>
        <v>0</v>
      </c>
      <c r="B1504" t="s">
        <v>64</v>
      </c>
      <c r="C1504" t="s">
        <v>257</v>
      </c>
      <c r="D1504" t="s">
        <v>801</v>
      </c>
      <c r="E1504" t="s">
        <v>992</v>
      </c>
      <c r="F1504" t="s">
        <v>1227</v>
      </c>
      <c r="G1504" t="s">
        <v>4081</v>
      </c>
      <c r="H1504" t="s">
        <v>6539</v>
      </c>
      <c r="I1504" t="s">
        <v>8312</v>
      </c>
      <c r="J1504" t="s">
        <v>9059</v>
      </c>
      <c r="K1504">
        <v>11207</v>
      </c>
      <c r="L1504" t="s">
        <v>9096</v>
      </c>
      <c r="M1504" t="s">
        <v>9095</v>
      </c>
      <c r="P1504" t="s">
        <v>11164</v>
      </c>
      <c r="Q1504" t="s">
        <v>11172</v>
      </c>
      <c r="R1504" t="s">
        <v>11180</v>
      </c>
      <c r="T1504" t="s">
        <v>11183</v>
      </c>
      <c r="V1504" t="s">
        <v>364</v>
      </c>
      <c r="W1504">
        <v>1300</v>
      </c>
      <c r="X1504" t="s">
        <v>11332</v>
      </c>
      <c r="Z1504" t="s">
        <v>12411</v>
      </c>
      <c r="AB1504" t="s">
        <v>16820</v>
      </c>
      <c r="AC1504">
        <v>4</v>
      </c>
      <c r="AF1504">
        <v>7</v>
      </c>
      <c r="AG1504">
        <v>1</v>
      </c>
      <c r="AH1504">
        <v>0</v>
      </c>
      <c r="AI1504">
        <v>60.7</v>
      </c>
      <c r="AL1504" t="s">
        <v>19614</v>
      </c>
      <c r="AM1504">
        <v>7320</v>
      </c>
      <c r="AS1504">
        <v>1</v>
      </c>
      <c r="AT1504" t="s">
        <v>801</v>
      </c>
      <c r="AU1504" t="s">
        <v>20627</v>
      </c>
    </row>
    <row r="1505" spans="1:48">
      <c r="A1505" s="1">
        <f>HYPERLINK("https://lsnyc.legalserver.org/matter/dynamic-profile/view/1867088","18-1867088")</f>
        <v>0</v>
      </c>
      <c r="B1505" t="s">
        <v>78</v>
      </c>
      <c r="C1505" t="s">
        <v>256</v>
      </c>
      <c r="D1505" t="s">
        <v>390</v>
      </c>
      <c r="F1505" t="s">
        <v>1905</v>
      </c>
      <c r="G1505" t="s">
        <v>4082</v>
      </c>
      <c r="H1505" t="s">
        <v>5809</v>
      </c>
      <c r="I1505" t="s">
        <v>8168</v>
      </c>
      <c r="J1505" t="s">
        <v>9059</v>
      </c>
      <c r="K1505">
        <v>11212</v>
      </c>
      <c r="L1505" t="s">
        <v>9094</v>
      </c>
      <c r="M1505" t="s">
        <v>9095</v>
      </c>
      <c r="O1505" t="s">
        <v>11134</v>
      </c>
      <c r="P1505" t="s">
        <v>11168</v>
      </c>
      <c r="R1505" t="s">
        <v>11180</v>
      </c>
      <c r="S1505" t="s">
        <v>9094</v>
      </c>
      <c r="T1505" t="s">
        <v>11183</v>
      </c>
      <c r="V1505" t="s">
        <v>673</v>
      </c>
      <c r="W1505">
        <v>840</v>
      </c>
      <c r="X1505" t="s">
        <v>11332</v>
      </c>
      <c r="Y1505" t="s">
        <v>11157</v>
      </c>
      <c r="Z1505" t="s">
        <v>12412</v>
      </c>
      <c r="AB1505" t="s">
        <v>16821</v>
      </c>
      <c r="AC1505">
        <v>32</v>
      </c>
      <c r="AD1505" t="s">
        <v>19566</v>
      </c>
      <c r="AF1505">
        <v>19</v>
      </c>
      <c r="AG1505">
        <v>2</v>
      </c>
      <c r="AH1505">
        <v>0</v>
      </c>
      <c r="AI1505">
        <v>60.73</v>
      </c>
      <c r="AL1505" t="s">
        <v>19614</v>
      </c>
      <c r="AM1505">
        <v>9996</v>
      </c>
      <c r="AS1505">
        <v>0</v>
      </c>
      <c r="AU1505" t="s">
        <v>95</v>
      </c>
    </row>
    <row r="1506" spans="1:48">
      <c r="A1506" s="1">
        <f>HYPERLINK("https://lsnyc.legalserver.org/matter/dynamic-profile/view/1913341","19-1913341")</f>
        <v>0</v>
      </c>
      <c r="B1506" t="s">
        <v>64</v>
      </c>
      <c r="C1506" t="s">
        <v>256</v>
      </c>
      <c r="D1506" t="s">
        <v>286</v>
      </c>
      <c r="F1506" t="s">
        <v>1873</v>
      </c>
      <c r="G1506" t="s">
        <v>4043</v>
      </c>
      <c r="H1506" t="s">
        <v>6540</v>
      </c>
      <c r="I1506">
        <v>2</v>
      </c>
      <c r="J1506" t="s">
        <v>9059</v>
      </c>
      <c r="K1506">
        <v>11233</v>
      </c>
      <c r="L1506" t="s">
        <v>9094</v>
      </c>
      <c r="M1506" t="s">
        <v>9095</v>
      </c>
      <c r="N1506" t="s">
        <v>9759</v>
      </c>
      <c r="O1506" t="s">
        <v>11128</v>
      </c>
      <c r="P1506" t="s">
        <v>11169</v>
      </c>
      <c r="R1506" t="s">
        <v>11180</v>
      </c>
      <c r="S1506" t="s">
        <v>9096</v>
      </c>
      <c r="T1506" t="s">
        <v>11183</v>
      </c>
      <c r="V1506" t="s">
        <v>377</v>
      </c>
      <c r="W1506">
        <v>1900</v>
      </c>
      <c r="X1506" t="s">
        <v>11332</v>
      </c>
      <c r="Y1506" t="s">
        <v>11340</v>
      </c>
      <c r="Z1506" t="s">
        <v>12349</v>
      </c>
      <c r="AB1506" t="s">
        <v>16765</v>
      </c>
      <c r="AC1506">
        <v>3</v>
      </c>
      <c r="AD1506" t="s">
        <v>19565</v>
      </c>
      <c r="AE1506" t="s">
        <v>11157</v>
      </c>
      <c r="AF1506">
        <v>1</v>
      </c>
      <c r="AG1506">
        <v>2</v>
      </c>
      <c r="AH1506">
        <v>0</v>
      </c>
      <c r="AI1506">
        <v>60.82</v>
      </c>
      <c r="AL1506" t="s">
        <v>19614</v>
      </c>
      <c r="AM1506">
        <v>10284</v>
      </c>
      <c r="AS1506">
        <v>0.8</v>
      </c>
      <c r="AT1506" t="s">
        <v>377</v>
      </c>
      <c r="AU1506" t="s">
        <v>79</v>
      </c>
      <c r="AV1506" t="s">
        <v>20733</v>
      </c>
    </row>
    <row r="1507" spans="1:48">
      <c r="A1507" s="1">
        <f>HYPERLINK("https://lsnyc.legalserver.org/matter/dynamic-profile/view/1901520","19-1901520")</f>
        <v>0</v>
      </c>
      <c r="B1507" t="s">
        <v>108</v>
      </c>
      <c r="C1507" t="s">
        <v>257</v>
      </c>
      <c r="D1507" t="s">
        <v>559</v>
      </c>
      <c r="E1507" t="s">
        <v>496</v>
      </c>
      <c r="F1507" t="s">
        <v>1906</v>
      </c>
      <c r="G1507" t="s">
        <v>3644</v>
      </c>
      <c r="H1507" t="s">
        <v>6515</v>
      </c>
      <c r="I1507" t="s">
        <v>8452</v>
      </c>
      <c r="J1507" t="s">
        <v>9065</v>
      </c>
      <c r="K1507">
        <v>10453</v>
      </c>
      <c r="L1507" t="s">
        <v>9094</v>
      </c>
      <c r="M1507" t="s">
        <v>9095</v>
      </c>
      <c r="N1507" t="s">
        <v>9760</v>
      </c>
      <c r="O1507" t="s">
        <v>11129</v>
      </c>
      <c r="P1507" t="s">
        <v>11164</v>
      </c>
      <c r="Q1507" t="s">
        <v>11172</v>
      </c>
      <c r="R1507" t="s">
        <v>11180</v>
      </c>
      <c r="S1507" t="s">
        <v>9096</v>
      </c>
      <c r="T1507" t="s">
        <v>11183</v>
      </c>
      <c r="V1507" t="s">
        <v>11218</v>
      </c>
      <c r="W1507">
        <v>1515</v>
      </c>
      <c r="X1507" t="s">
        <v>11333</v>
      </c>
      <c r="Z1507" t="s">
        <v>12413</v>
      </c>
      <c r="AB1507" t="s">
        <v>16822</v>
      </c>
      <c r="AC1507">
        <v>400</v>
      </c>
      <c r="AD1507" t="s">
        <v>15441</v>
      </c>
      <c r="AF1507">
        <v>0</v>
      </c>
      <c r="AG1507">
        <v>1</v>
      </c>
      <c r="AH1507">
        <v>3</v>
      </c>
      <c r="AI1507">
        <v>60.82</v>
      </c>
      <c r="AL1507" t="s">
        <v>19615</v>
      </c>
      <c r="AM1507">
        <v>15660</v>
      </c>
      <c r="AS1507">
        <v>1.3</v>
      </c>
      <c r="AT1507" t="s">
        <v>496</v>
      </c>
      <c r="AU1507" t="s">
        <v>20635</v>
      </c>
      <c r="AV1507" t="s">
        <v>20733</v>
      </c>
    </row>
    <row r="1508" spans="1:48">
      <c r="A1508" s="1">
        <f>HYPERLINK("https://lsnyc.legalserver.org/matter/dynamic-profile/view/1904678","19-1904678")</f>
        <v>0</v>
      </c>
      <c r="B1508" t="s">
        <v>188</v>
      </c>
      <c r="C1508" t="s">
        <v>256</v>
      </c>
      <c r="D1508" t="s">
        <v>497</v>
      </c>
      <c r="F1508" t="s">
        <v>1471</v>
      </c>
      <c r="G1508" t="s">
        <v>4083</v>
      </c>
      <c r="H1508" t="s">
        <v>6541</v>
      </c>
      <c r="I1508" t="s">
        <v>8361</v>
      </c>
      <c r="J1508" t="s">
        <v>9065</v>
      </c>
      <c r="K1508">
        <v>10463</v>
      </c>
      <c r="L1508" t="s">
        <v>9094</v>
      </c>
      <c r="M1508" t="s">
        <v>9095</v>
      </c>
      <c r="N1508" t="s">
        <v>9761</v>
      </c>
      <c r="O1508" t="s">
        <v>11129</v>
      </c>
      <c r="P1508" t="s">
        <v>11169</v>
      </c>
      <c r="R1508" t="s">
        <v>11180</v>
      </c>
      <c r="S1508" t="s">
        <v>9096</v>
      </c>
      <c r="T1508" t="s">
        <v>11183</v>
      </c>
      <c r="V1508" t="s">
        <v>497</v>
      </c>
      <c r="W1508">
        <v>1133</v>
      </c>
      <c r="X1508" t="s">
        <v>11335</v>
      </c>
      <c r="Y1508" t="s">
        <v>11157</v>
      </c>
      <c r="Z1508" t="s">
        <v>12414</v>
      </c>
      <c r="AA1508" t="s">
        <v>15559</v>
      </c>
      <c r="AB1508" t="s">
        <v>16823</v>
      </c>
      <c r="AC1508">
        <v>84</v>
      </c>
      <c r="AD1508" t="s">
        <v>19566</v>
      </c>
      <c r="AE1508" t="s">
        <v>9144</v>
      </c>
      <c r="AF1508">
        <v>5</v>
      </c>
      <c r="AG1508">
        <v>1</v>
      </c>
      <c r="AH1508">
        <v>1</v>
      </c>
      <c r="AI1508">
        <v>60.86</v>
      </c>
      <c r="AL1508" t="s">
        <v>19615</v>
      </c>
      <c r="AM1508">
        <v>10292.04</v>
      </c>
      <c r="AS1508">
        <v>12.6</v>
      </c>
      <c r="AT1508" t="s">
        <v>321</v>
      </c>
      <c r="AU1508" t="s">
        <v>20659</v>
      </c>
      <c r="AV1508" t="s">
        <v>20734</v>
      </c>
    </row>
    <row r="1509" spans="1:48">
      <c r="A1509" s="1">
        <f>HYPERLINK("https://lsnyc.legalserver.org/matter/dynamic-profile/view/1897943","19-1897943")</f>
        <v>0</v>
      </c>
      <c r="B1509" t="s">
        <v>111</v>
      </c>
      <c r="C1509" t="s">
        <v>256</v>
      </c>
      <c r="D1509" t="s">
        <v>598</v>
      </c>
      <c r="F1509" t="s">
        <v>1907</v>
      </c>
      <c r="G1509" t="s">
        <v>3861</v>
      </c>
      <c r="H1509" t="s">
        <v>6542</v>
      </c>
      <c r="I1509" t="s">
        <v>8153</v>
      </c>
      <c r="J1509" t="s">
        <v>9065</v>
      </c>
      <c r="K1509">
        <v>10453</v>
      </c>
      <c r="L1509" t="s">
        <v>9094</v>
      </c>
      <c r="M1509" t="s">
        <v>9094</v>
      </c>
      <c r="P1509" t="s">
        <v>11164</v>
      </c>
      <c r="R1509" t="s">
        <v>11180</v>
      </c>
      <c r="S1509" t="s">
        <v>9096</v>
      </c>
      <c r="T1509" t="s">
        <v>11183</v>
      </c>
      <c r="V1509" t="s">
        <v>279</v>
      </c>
      <c r="W1509">
        <v>178</v>
      </c>
      <c r="X1509" t="s">
        <v>11333</v>
      </c>
      <c r="Y1509" t="s">
        <v>11346</v>
      </c>
      <c r="Z1509" t="s">
        <v>12415</v>
      </c>
      <c r="AC1509">
        <v>56</v>
      </c>
      <c r="AD1509" t="s">
        <v>19573</v>
      </c>
      <c r="AE1509" t="s">
        <v>11157</v>
      </c>
      <c r="AF1509">
        <v>20</v>
      </c>
      <c r="AG1509">
        <v>1</v>
      </c>
      <c r="AH1509">
        <v>1</v>
      </c>
      <c r="AI1509">
        <v>60.86</v>
      </c>
      <c r="AL1509" t="s">
        <v>19614</v>
      </c>
      <c r="AM1509">
        <v>10292</v>
      </c>
      <c r="AS1509">
        <v>1.2</v>
      </c>
      <c r="AT1509" t="s">
        <v>293</v>
      </c>
      <c r="AU1509" t="s">
        <v>20642</v>
      </c>
      <c r="AV1509" t="s">
        <v>20733</v>
      </c>
    </row>
    <row r="1510" spans="1:48">
      <c r="A1510" s="1">
        <f>HYPERLINK("https://lsnyc.legalserver.org/matter/dynamic-profile/view/1872335","18-1872335")</f>
        <v>0</v>
      </c>
      <c r="B1510" t="s">
        <v>119</v>
      </c>
      <c r="C1510" t="s">
        <v>256</v>
      </c>
      <c r="D1510" t="s">
        <v>620</v>
      </c>
      <c r="F1510" t="s">
        <v>1908</v>
      </c>
      <c r="G1510" t="s">
        <v>4084</v>
      </c>
      <c r="H1510" t="s">
        <v>6543</v>
      </c>
      <c r="I1510" t="s">
        <v>8153</v>
      </c>
      <c r="J1510" t="s">
        <v>9065</v>
      </c>
      <c r="K1510">
        <v>10459</v>
      </c>
      <c r="L1510" t="s">
        <v>9094</v>
      </c>
      <c r="M1510" t="s">
        <v>9094</v>
      </c>
      <c r="N1510" t="s">
        <v>9762</v>
      </c>
      <c r="O1510" t="s">
        <v>11129</v>
      </c>
      <c r="P1510" t="s">
        <v>11165</v>
      </c>
      <c r="R1510" t="s">
        <v>11180</v>
      </c>
      <c r="S1510" t="s">
        <v>9096</v>
      </c>
      <c r="T1510" t="s">
        <v>11183</v>
      </c>
      <c r="U1510" t="s">
        <v>11200</v>
      </c>
      <c r="V1510" t="s">
        <v>620</v>
      </c>
      <c r="W1510">
        <v>1032.47</v>
      </c>
      <c r="X1510" t="s">
        <v>11333</v>
      </c>
      <c r="Y1510" t="s">
        <v>11349</v>
      </c>
      <c r="Z1510" t="s">
        <v>12416</v>
      </c>
      <c r="AA1510" t="s">
        <v>15560</v>
      </c>
      <c r="AB1510" t="s">
        <v>16824</v>
      </c>
      <c r="AC1510">
        <v>40</v>
      </c>
      <c r="AD1510" t="s">
        <v>19566</v>
      </c>
      <c r="AE1510" t="s">
        <v>9144</v>
      </c>
      <c r="AF1510">
        <v>22</v>
      </c>
      <c r="AG1510">
        <v>3</v>
      </c>
      <c r="AH1510">
        <v>0</v>
      </c>
      <c r="AI1510">
        <v>60.87</v>
      </c>
      <c r="AL1510" t="s">
        <v>19614</v>
      </c>
      <c r="AM1510">
        <v>12648</v>
      </c>
      <c r="AN1510" t="s">
        <v>19699</v>
      </c>
      <c r="AS1510">
        <v>146.05</v>
      </c>
      <c r="AT1510" t="s">
        <v>476</v>
      </c>
      <c r="AU1510" t="s">
        <v>20660</v>
      </c>
    </row>
    <row r="1511" spans="1:48">
      <c r="A1511" s="1">
        <f>HYPERLINK("https://lsnyc.legalserver.org/matter/dynamic-profile/view/1893344","19-1893344")</f>
        <v>0</v>
      </c>
      <c r="B1511" t="s">
        <v>129</v>
      </c>
      <c r="C1511" t="s">
        <v>256</v>
      </c>
      <c r="D1511" t="s">
        <v>413</v>
      </c>
      <c r="F1511" t="s">
        <v>1909</v>
      </c>
      <c r="G1511" t="s">
        <v>4085</v>
      </c>
      <c r="H1511" t="s">
        <v>6544</v>
      </c>
      <c r="I1511" t="s">
        <v>8132</v>
      </c>
      <c r="J1511" t="s">
        <v>9066</v>
      </c>
      <c r="K1511">
        <v>10301</v>
      </c>
      <c r="L1511" t="s">
        <v>9094</v>
      </c>
      <c r="M1511" t="s">
        <v>9095</v>
      </c>
      <c r="N1511" t="s">
        <v>9763</v>
      </c>
      <c r="O1511" t="s">
        <v>11129</v>
      </c>
      <c r="P1511" t="s">
        <v>11165</v>
      </c>
      <c r="R1511" t="s">
        <v>11180</v>
      </c>
      <c r="S1511" t="s">
        <v>9096</v>
      </c>
      <c r="T1511" t="s">
        <v>11183</v>
      </c>
      <c r="U1511" t="s">
        <v>11199</v>
      </c>
      <c r="W1511">
        <v>600</v>
      </c>
      <c r="X1511" t="s">
        <v>11334</v>
      </c>
      <c r="Z1511" t="s">
        <v>11946</v>
      </c>
      <c r="AB1511" t="s">
        <v>16825</v>
      </c>
      <c r="AC1511">
        <v>15</v>
      </c>
      <c r="AD1511" t="s">
        <v>19566</v>
      </c>
      <c r="AE1511" t="s">
        <v>9144</v>
      </c>
      <c r="AF1511">
        <v>0</v>
      </c>
      <c r="AG1511">
        <v>2</v>
      </c>
      <c r="AH1511">
        <v>0</v>
      </c>
      <c r="AI1511">
        <v>60.89</v>
      </c>
      <c r="AL1511" t="s">
        <v>19614</v>
      </c>
      <c r="AM1511">
        <v>10296</v>
      </c>
      <c r="AS1511">
        <v>33.3</v>
      </c>
      <c r="AT1511" t="s">
        <v>1130</v>
      </c>
      <c r="AU1511" t="s">
        <v>20652</v>
      </c>
    </row>
    <row r="1512" spans="1:48">
      <c r="A1512" s="1">
        <f>HYPERLINK("https://lsnyc.legalserver.org/matter/dynamic-profile/view/1898008","19-1898008")</f>
        <v>0</v>
      </c>
      <c r="B1512" t="s">
        <v>72</v>
      </c>
      <c r="C1512" t="s">
        <v>256</v>
      </c>
      <c r="D1512" t="s">
        <v>598</v>
      </c>
      <c r="F1512" t="s">
        <v>1910</v>
      </c>
      <c r="G1512" t="s">
        <v>3498</v>
      </c>
      <c r="H1512" t="s">
        <v>6545</v>
      </c>
      <c r="I1512" t="s">
        <v>8117</v>
      </c>
      <c r="J1512" t="s">
        <v>9059</v>
      </c>
      <c r="K1512">
        <v>11207</v>
      </c>
      <c r="L1512" t="s">
        <v>9094</v>
      </c>
      <c r="M1512" t="s">
        <v>9094</v>
      </c>
      <c r="N1512" t="s">
        <v>9764</v>
      </c>
      <c r="O1512" t="s">
        <v>11129</v>
      </c>
      <c r="P1512" t="s">
        <v>11165</v>
      </c>
      <c r="R1512" t="s">
        <v>11180</v>
      </c>
      <c r="T1512" t="s">
        <v>11183</v>
      </c>
      <c r="V1512" t="s">
        <v>598</v>
      </c>
      <c r="W1512">
        <v>11762.77</v>
      </c>
      <c r="X1512" t="s">
        <v>11332</v>
      </c>
      <c r="Y1512" t="s">
        <v>11336</v>
      </c>
      <c r="Z1512" t="s">
        <v>12417</v>
      </c>
      <c r="AA1512" t="s">
        <v>15561</v>
      </c>
      <c r="AB1512" t="s">
        <v>16826</v>
      </c>
      <c r="AC1512">
        <v>6</v>
      </c>
      <c r="AD1512" t="s">
        <v>19566</v>
      </c>
      <c r="AF1512">
        <v>11</v>
      </c>
      <c r="AG1512">
        <v>1</v>
      </c>
      <c r="AH1512">
        <v>2</v>
      </c>
      <c r="AI1512">
        <v>60.95</v>
      </c>
      <c r="AL1512" t="s">
        <v>19629</v>
      </c>
      <c r="AM1512">
        <v>13000</v>
      </c>
      <c r="AS1512">
        <v>48.8</v>
      </c>
      <c r="AT1512" t="s">
        <v>487</v>
      </c>
      <c r="AU1512" t="s">
        <v>20628</v>
      </c>
      <c r="AV1512" t="s">
        <v>20734</v>
      </c>
    </row>
    <row r="1513" spans="1:48">
      <c r="A1513" s="1">
        <f>HYPERLINK("https://lsnyc.legalserver.org/matter/dynamic-profile/view/1902750","19-1902750")</f>
        <v>0</v>
      </c>
      <c r="B1513" t="s">
        <v>69</v>
      </c>
      <c r="C1513" t="s">
        <v>256</v>
      </c>
      <c r="D1513" t="s">
        <v>279</v>
      </c>
      <c r="F1513" t="s">
        <v>1910</v>
      </c>
      <c r="G1513" t="s">
        <v>3498</v>
      </c>
      <c r="H1513" t="s">
        <v>6545</v>
      </c>
      <c r="I1513" t="s">
        <v>8117</v>
      </c>
      <c r="J1513" t="s">
        <v>9059</v>
      </c>
      <c r="K1513">
        <v>11207</v>
      </c>
      <c r="L1513" t="s">
        <v>9094</v>
      </c>
      <c r="M1513" t="s">
        <v>9095</v>
      </c>
      <c r="N1513" t="s">
        <v>9764</v>
      </c>
      <c r="O1513" t="s">
        <v>11139</v>
      </c>
      <c r="P1513" t="s">
        <v>11168</v>
      </c>
      <c r="R1513" t="s">
        <v>11180</v>
      </c>
      <c r="S1513" t="s">
        <v>9096</v>
      </c>
      <c r="T1513" t="s">
        <v>11184</v>
      </c>
      <c r="V1513" t="s">
        <v>598</v>
      </c>
      <c r="W1513">
        <v>1762.77</v>
      </c>
      <c r="X1513" t="s">
        <v>11332</v>
      </c>
      <c r="Y1513" t="s">
        <v>11336</v>
      </c>
      <c r="Z1513" t="s">
        <v>12417</v>
      </c>
      <c r="AA1513" t="s">
        <v>15561</v>
      </c>
      <c r="AB1513" t="s">
        <v>16826</v>
      </c>
      <c r="AC1513">
        <v>6</v>
      </c>
      <c r="AD1513" t="s">
        <v>19566</v>
      </c>
      <c r="AF1513">
        <v>11</v>
      </c>
      <c r="AG1513">
        <v>1</v>
      </c>
      <c r="AH1513">
        <v>2</v>
      </c>
      <c r="AI1513">
        <v>60.95</v>
      </c>
      <c r="AL1513" t="s">
        <v>19629</v>
      </c>
      <c r="AM1513">
        <v>13000</v>
      </c>
      <c r="AS1513">
        <v>65.5</v>
      </c>
      <c r="AT1513" t="s">
        <v>1130</v>
      </c>
      <c r="AU1513" t="s">
        <v>79</v>
      </c>
      <c r="AV1513" t="s">
        <v>20734</v>
      </c>
    </row>
    <row r="1514" spans="1:48">
      <c r="A1514" s="1">
        <f>HYPERLINK("https://lsnyc.legalserver.org/matter/dynamic-profile/view/1902136","19-1902136")</f>
        <v>0</v>
      </c>
      <c r="B1514" t="s">
        <v>114</v>
      </c>
      <c r="C1514" t="s">
        <v>257</v>
      </c>
      <c r="D1514" t="s">
        <v>584</v>
      </c>
      <c r="E1514" t="s">
        <v>377</v>
      </c>
      <c r="F1514" t="s">
        <v>1911</v>
      </c>
      <c r="G1514" t="s">
        <v>4086</v>
      </c>
      <c r="H1514" t="s">
        <v>6546</v>
      </c>
      <c r="I1514">
        <v>1</v>
      </c>
      <c r="J1514" t="s">
        <v>9065</v>
      </c>
      <c r="K1514">
        <v>10459</v>
      </c>
      <c r="L1514" t="s">
        <v>9096</v>
      </c>
      <c r="M1514" t="s">
        <v>9095</v>
      </c>
      <c r="O1514" t="s">
        <v>9121</v>
      </c>
      <c r="Q1514" t="s">
        <v>11172</v>
      </c>
      <c r="R1514" t="s">
        <v>11180</v>
      </c>
      <c r="S1514" t="s">
        <v>9096</v>
      </c>
      <c r="T1514" t="s">
        <v>11183</v>
      </c>
      <c r="W1514">
        <v>1200</v>
      </c>
      <c r="X1514" t="s">
        <v>11333</v>
      </c>
      <c r="Z1514" t="s">
        <v>12418</v>
      </c>
      <c r="AC1514">
        <v>3</v>
      </c>
      <c r="AD1514" t="s">
        <v>15441</v>
      </c>
      <c r="AE1514" t="s">
        <v>9144</v>
      </c>
      <c r="AF1514">
        <v>11</v>
      </c>
      <c r="AG1514">
        <v>2</v>
      </c>
      <c r="AH1514">
        <v>1</v>
      </c>
      <c r="AI1514">
        <v>60.95</v>
      </c>
      <c r="AL1514" t="s">
        <v>19615</v>
      </c>
      <c r="AM1514">
        <v>13000</v>
      </c>
      <c r="AN1514" t="s">
        <v>19794</v>
      </c>
      <c r="AS1514">
        <v>2.5</v>
      </c>
      <c r="AT1514" t="s">
        <v>280</v>
      </c>
      <c r="AU1514" t="s">
        <v>20635</v>
      </c>
      <c r="AV1514" t="s">
        <v>9144</v>
      </c>
    </row>
    <row r="1515" spans="1:48">
      <c r="A1515" s="1">
        <f>HYPERLINK("https://lsnyc.legalserver.org/matter/dynamic-profile/view/1861934","18-1861934")</f>
        <v>0</v>
      </c>
      <c r="B1515" t="s">
        <v>101</v>
      </c>
      <c r="C1515" t="s">
        <v>256</v>
      </c>
      <c r="D1515" t="s">
        <v>451</v>
      </c>
      <c r="F1515" t="s">
        <v>1276</v>
      </c>
      <c r="G1515" t="s">
        <v>3195</v>
      </c>
      <c r="H1515" t="s">
        <v>5890</v>
      </c>
      <c r="I1515" t="s">
        <v>8453</v>
      </c>
      <c r="J1515" t="s">
        <v>9065</v>
      </c>
      <c r="K1515">
        <v>10453</v>
      </c>
      <c r="L1515" t="s">
        <v>9094</v>
      </c>
      <c r="M1515" t="s">
        <v>9095</v>
      </c>
      <c r="N1515" t="s">
        <v>9242</v>
      </c>
      <c r="O1515" t="s">
        <v>11130</v>
      </c>
      <c r="P1515" t="s">
        <v>11165</v>
      </c>
      <c r="R1515" t="s">
        <v>11180</v>
      </c>
      <c r="S1515" t="s">
        <v>9094</v>
      </c>
      <c r="T1515" t="s">
        <v>11183</v>
      </c>
      <c r="V1515" t="s">
        <v>874</v>
      </c>
      <c r="W1515">
        <v>1999.71</v>
      </c>
      <c r="X1515" t="s">
        <v>11333</v>
      </c>
      <c r="Y1515" t="s">
        <v>11338</v>
      </c>
      <c r="Z1515" t="s">
        <v>12419</v>
      </c>
      <c r="AA1515" t="s">
        <v>15562</v>
      </c>
      <c r="AB1515" t="s">
        <v>16827</v>
      </c>
      <c r="AC1515">
        <v>46</v>
      </c>
      <c r="AD1515" t="s">
        <v>19566</v>
      </c>
      <c r="AE1515" t="s">
        <v>19580</v>
      </c>
      <c r="AF1515">
        <v>4</v>
      </c>
      <c r="AG1515">
        <v>4</v>
      </c>
      <c r="AH1515">
        <v>2</v>
      </c>
      <c r="AI1515">
        <v>60.95</v>
      </c>
      <c r="AL1515" t="s">
        <v>19614</v>
      </c>
      <c r="AM1515">
        <v>20566</v>
      </c>
      <c r="AS1515">
        <v>2.4</v>
      </c>
      <c r="AT1515" t="s">
        <v>545</v>
      </c>
      <c r="AU1515" t="s">
        <v>174</v>
      </c>
    </row>
    <row r="1516" spans="1:48">
      <c r="A1516" s="1">
        <f>HYPERLINK("https://lsnyc.legalserver.org/matter/dynamic-profile/view/1856971","18-1856971")</f>
        <v>0</v>
      </c>
      <c r="B1516" t="s">
        <v>138</v>
      </c>
      <c r="C1516" t="s">
        <v>256</v>
      </c>
      <c r="D1516" t="s">
        <v>465</v>
      </c>
      <c r="F1516" t="s">
        <v>1912</v>
      </c>
      <c r="G1516" t="s">
        <v>1948</v>
      </c>
      <c r="H1516" t="s">
        <v>6547</v>
      </c>
      <c r="I1516" t="s">
        <v>8149</v>
      </c>
      <c r="J1516" t="s">
        <v>9067</v>
      </c>
      <c r="K1516">
        <v>10034</v>
      </c>
      <c r="L1516" t="s">
        <v>9094</v>
      </c>
      <c r="M1516" t="s">
        <v>9095</v>
      </c>
      <c r="O1516" t="s">
        <v>11137</v>
      </c>
      <c r="P1516" t="s">
        <v>11166</v>
      </c>
      <c r="R1516" t="s">
        <v>11180</v>
      </c>
      <c r="S1516" t="s">
        <v>9096</v>
      </c>
      <c r="T1516" t="s">
        <v>11183</v>
      </c>
      <c r="V1516" t="s">
        <v>465</v>
      </c>
      <c r="W1516">
        <v>767.38</v>
      </c>
      <c r="X1516" t="s">
        <v>11335</v>
      </c>
      <c r="Y1516" t="s">
        <v>11338</v>
      </c>
      <c r="Z1516" t="s">
        <v>12420</v>
      </c>
      <c r="AB1516" t="s">
        <v>16828</v>
      </c>
      <c r="AC1516">
        <v>48</v>
      </c>
      <c r="AD1516" t="s">
        <v>19566</v>
      </c>
      <c r="AE1516" t="s">
        <v>9144</v>
      </c>
      <c r="AF1516">
        <v>14</v>
      </c>
      <c r="AG1516">
        <v>2</v>
      </c>
      <c r="AH1516">
        <v>2</v>
      </c>
      <c r="AI1516">
        <v>60.98</v>
      </c>
      <c r="AL1516" t="s">
        <v>19614</v>
      </c>
      <c r="AM1516">
        <v>15000</v>
      </c>
      <c r="AS1516">
        <v>15.9</v>
      </c>
      <c r="AT1516" t="s">
        <v>402</v>
      </c>
      <c r="AU1516" t="s">
        <v>130</v>
      </c>
    </row>
    <row r="1517" spans="1:48">
      <c r="A1517" s="1">
        <f>HYPERLINK("https://lsnyc.legalserver.org/matter/dynamic-profile/view/1886339","18-1886339")</f>
        <v>0</v>
      </c>
      <c r="B1517" t="s">
        <v>119</v>
      </c>
      <c r="C1517" t="s">
        <v>256</v>
      </c>
      <c r="D1517" t="s">
        <v>688</v>
      </c>
      <c r="F1517" t="s">
        <v>1913</v>
      </c>
      <c r="G1517" t="s">
        <v>3720</v>
      </c>
      <c r="H1517" t="s">
        <v>6095</v>
      </c>
      <c r="I1517" t="s">
        <v>8149</v>
      </c>
      <c r="J1517" t="s">
        <v>9065</v>
      </c>
      <c r="K1517">
        <v>10456</v>
      </c>
      <c r="L1517" t="s">
        <v>9094</v>
      </c>
      <c r="M1517" t="s">
        <v>9094</v>
      </c>
      <c r="N1517" t="s">
        <v>9401</v>
      </c>
      <c r="O1517" t="s">
        <v>11134</v>
      </c>
      <c r="P1517" t="s">
        <v>11168</v>
      </c>
      <c r="R1517" t="s">
        <v>11180</v>
      </c>
      <c r="S1517" t="s">
        <v>9094</v>
      </c>
      <c r="T1517" t="s">
        <v>11183</v>
      </c>
      <c r="V1517" t="s">
        <v>738</v>
      </c>
      <c r="W1517">
        <v>1047</v>
      </c>
      <c r="X1517" t="s">
        <v>11333</v>
      </c>
      <c r="Y1517" t="s">
        <v>11346</v>
      </c>
      <c r="Z1517" t="s">
        <v>12421</v>
      </c>
      <c r="AB1517" t="s">
        <v>16829</v>
      </c>
      <c r="AC1517">
        <v>131</v>
      </c>
      <c r="AD1517" t="s">
        <v>19566</v>
      </c>
      <c r="AE1517" t="s">
        <v>9144</v>
      </c>
      <c r="AF1517">
        <v>13</v>
      </c>
      <c r="AG1517">
        <v>2</v>
      </c>
      <c r="AH1517">
        <v>0</v>
      </c>
      <c r="AI1517">
        <v>61.02</v>
      </c>
      <c r="AL1517" t="s">
        <v>19615</v>
      </c>
      <c r="AM1517">
        <v>10044</v>
      </c>
      <c r="AS1517">
        <v>0</v>
      </c>
      <c r="AU1517" t="s">
        <v>163</v>
      </c>
    </row>
    <row r="1518" spans="1:48">
      <c r="A1518" s="1">
        <f>HYPERLINK("https://lsnyc.legalserver.org/matter/dynamic-profile/view/1886340","18-1886340")</f>
        <v>0</v>
      </c>
      <c r="B1518" t="s">
        <v>119</v>
      </c>
      <c r="C1518" t="s">
        <v>256</v>
      </c>
      <c r="D1518" t="s">
        <v>688</v>
      </c>
      <c r="F1518" t="s">
        <v>1913</v>
      </c>
      <c r="G1518" t="s">
        <v>3720</v>
      </c>
      <c r="H1518" t="s">
        <v>6095</v>
      </c>
      <c r="I1518" t="s">
        <v>8149</v>
      </c>
      <c r="J1518" t="s">
        <v>9065</v>
      </c>
      <c r="K1518">
        <v>10456</v>
      </c>
      <c r="L1518" t="s">
        <v>9094</v>
      </c>
      <c r="M1518" t="s">
        <v>9094</v>
      </c>
      <c r="O1518" t="s">
        <v>11134</v>
      </c>
      <c r="P1518" t="s">
        <v>11168</v>
      </c>
      <c r="R1518" t="s">
        <v>11180</v>
      </c>
      <c r="S1518" t="s">
        <v>9094</v>
      </c>
      <c r="T1518" t="s">
        <v>11183</v>
      </c>
      <c r="V1518" t="s">
        <v>512</v>
      </c>
      <c r="W1518">
        <v>1047</v>
      </c>
      <c r="X1518" t="s">
        <v>11333</v>
      </c>
      <c r="Y1518" t="s">
        <v>11346</v>
      </c>
      <c r="Z1518" t="s">
        <v>12421</v>
      </c>
      <c r="AB1518" t="s">
        <v>16829</v>
      </c>
      <c r="AC1518">
        <v>131</v>
      </c>
      <c r="AD1518" t="s">
        <v>19566</v>
      </c>
      <c r="AE1518" t="s">
        <v>9144</v>
      </c>
      <c r="AF1518">
        <v>13</v>
      </c>
      <c r="AG1518">
        <v>2</v>
      </c>
      <c r="AH1518">
        <v>0</v>
      </c>
      <c r="AI1518">
        <v>61.02</v>
      </c>
      <c r="AL1518" t="s">
        <v>19615</v>
      </c>
      <c r="AM1518">
        <v>10044</v>
      </c>
      <c r="AS1518">
        <v>0</v>
      </c>
      <c r="AU1518" t="s">
        <v>163</v>
      </c>
    </row>
    <row r="1519" spans="1:48">
      <c r="A1519" s="1">
        <f>HYPERLINK("https://lsnyc.legalserver.org/matter/dynamic-profile/view/1885942","18-1885942")</f>
        <v>0</v>
      </c>
      <c r="B1519" t="s">
        <v>197</v>
      </c>
      <c r="C1519" t="s">
        <v>256</v>
      </c>
      <c r="D1519" t="s">
        <v>746</v>
      </c>
      <c r="F1519" t="s">
        <v>1914</v>
      </c>
      <c r="G1519" t="s">
        <v>3419</v>
      </c>
      <c r="H1519" t="s">
        <v>6548</v>
      </c>
      <c r="I1519" t="s">
        <v>8267</v>
      </c>
      <c r="J1519" t="s">
        <v>9067</v>
      </c>
      <c r="K1519">
        <v>10032</v>
      </c>
      <c r="L1519" t="s">
        <v>9094</v>
      </c>
      <c r="M1519" t="s">
        <v>9094</v>
      </c>
      <c r="O1519" t="s">
        <v>11136</v>
      </c>
      <c r="P1519" t="s">
        <v>11166</v>
      </c>
      <c r="R1519" t="s">
        <v>11180</v>
      </c>
      <c r="S1519" t="s">
        <v>9096</v>
      </c>
      <c r="T1519" t="s">
        <v>11183</v>
      </c>
      <c r="V1519" t="s">
        <v>746</v>
      </c>
      <c r="W1519">
        <v>558</v>
      </c>
      <c r="X1519" t="s">
        <v>11335</v>
      </c>
      <c r="Y1519" t="s">
        <v>11338</v>
      </c>
      <c r="Z1519" t="s">
        <v>12422</v>
      </c>
      <c r="AB1519" t="s">
        <v>16830</v>
      </c>
      <c r="AC1519">
        <v>0</v>
      </c>
      <c r="AD1519" t="s">
        <v>19566</v>
      </c>
      <c r="AE1519" t="s">
        <v>9144</v>
      </c>
      <c r="AF1519">
        <v>48</v>
      </c>
      <c r="AG1519">
        <v>2</v>
      </c>
      <c r="AH1519">
        <v>0</v>
      </c>
      <c r="AI1519">
        <v>61.02</v>
      </c>
      <c r="AL1519" t="s">
        <v>19632</v>
      </c>
      <c r="AM1519">
        <v>10044</v>
      </c>
      <c r="AS1519">
        <v>7.4</v>
      </c>
      <c r="AT1519" t="s">
        <v>426</v>
      </c>
      <c r="AU1519" t="s">
        <v>130</v>
      </c>
    </row>
    <row r="1520" spans="1:48">
      <c r="A1520" s="1">
        <f>HYPERLINK("https://lsnyc.legalserver.org/matter/dynamic-profile/view/1889325","19-1889325")</f>
        <v>0</v>
      </c>
      <c r="B1520" t="s">
        <v>66</v>
      </c>
      <c r="C1520" t="s">
        <v>256</v>
      </c>
      <c r="D1520" t="s">
        <v>348</v>
      </c>
      <c r="F1520" t="s">
        <v>1915</v>
      </c>
      <c r="G1520" t="s">
        <v>4087</v>
      </c>
      <c r="H1520" t="s">
        <v>5774</v>
      </c>
      <c r="J1520" t="s">
        <v>9059</v>
      </c>
      <c r="K1520">
        <v>11226</v>
      </c>
      <c r="L1520" t="s">
        <v>9096</v>
      </c>
      <c r="M1520" t="s">
        <v>9094</v>
      </c>
      <c r="O1520" t="s">
        <v>11134</v>
      </c>
      <c r="P1520" t="s">
        <v>11168</v>
      </c>
      <c r="R1520" t="s">
        <v>11180</v>
      </c>
      <c r="S1520" t="s">
        <v>9094</v>
      </c>
      <c r="T1520" t="s">
        <v>11183</v>
      </c>
      <c r="V1520" t="s">
        <v>402</v>
      </c>
      <c r="W1520">
        <v>856.9299999999999</v>
      </c>
      <c r="X1520" t="s">
        <v>11332</v>
      </c>
      <c r="Z1520" t="s">
        <v>12423</v>
      </c>
      <c r="AB1520" t="s">
        <v>16831</v>
      </c>
      <c r="AC1520">
        <v>0</v>
      </c>
      <c r="AF1520">
        <v>41</v>
      </c>
      <c r="AG1520">
        <v>2</v>
      </c>
      <c r="AH1520">
        <v>0</v>
      </c>
      <c r="AI1520">
        <v>61.03</v>
      </c>
      <c r="AL1520" t="s">
        <v>19614</v>
      </c>
      <c r="AM1520">
        <v>10320</v>
      </c>
      <c r="AS1520">
        <v>0</v>
      </c>
      <c r="AU1520" t="s">
        <v>215</v>
      </c>
    </row>
    <row r="1521" spans="1:48">
      <c r="A1521" s="1">
        <f>HYPERLINK("https://lsnyc.legalserver.org/matter/dynamic-profile/view/1885309","18-1885309")</f>
        <v>0</v>
      </c>
      <c r="B1521" t="s">
        <v>69</v>
      </c>
      <c r="C1521" t="s">
        <v>257</v>
      </c>
      <c r="D1521" t="s">
        <v>448</v>
      </c>
      <c r="E1521" t="s">
        <v>367</v>
      </c>
      <c r="F1521" t="s">
        <v>1861</v>
      </c>
      <c r="G1521" t="s">
        <v>4033</v>
      </c>
      <c r="H1521" t="s">
        <v>6489</v>
      </c>
      <c r="I1521" t="s">
        <v>8197</v>
      </c>
      <c r="J1521" t="s">
        <v>9059</v>
      </c>
      <c r="K1521">
        <v>11207</v>
      </c>
      <c r="L1521" t="s">
        <v>9094</v>
      </c>
      <c r="M1521" t="s">
        <v>9094</v>
      </c>
      <c r="N1521" t="s">
        <v>9765</v>
      </c>
      <c r="O1521" t="s">
        <v>11142</v>
      </c>
      <c r="P1521" t="s">
        <v>11168</v>
      </c>
      <c r="Q1521" t="s">
        <v>11177</v>
      </c>
      <c r="R1521" t="s">
        <v>11180</v>
      </c>
      <c r="S1521" t="s">
        <v>9096</v>
      </c>
      <c r="T1521" t="s">
        <v>11184</v>
      </c>
      <c r="U1521" t="s">
        <v>11202</v>
      </c>
      <c r="V1521" t="s">
        <v>347</v>
      </c>
      <c r="W1521">
        <v>2006</v>
      </c>
      <c r="X1521" t="s">
        <v>11332</v>
      </c>
      <c r="Y1521" t="s">
        <v>11340</v>
      </c>
      <c r="Z1521" t="s">
        <v>12336</v>
      </c>
      <c r="AA1521">
        <v>33709173</v>
      </c>
      <c r="AB1521" t="s">
        <v>16751</v>
      </c>
      <c r="AC1521">
        <v>14</v>
      </c>
      <c r="AD1521" t="s">
        <v>19566</v>
      </c>
      <c r="AE1521" t="s">
        <v>19586</v>
      </c>
      <c r="AF1521">
        <v>3</v>
      </c>
      <c r="AG1521">
        <v>3</v>
      </c>
      <c r="AH1521">
        <v>2</v>
      </c>
      <c r="AI1521">
        <v>61.18</v>
      </c>
      <c r="AL1521" t="s">
        <v>19614</v>
      </c>
      <c r="AM1521">
        <v>18000</v>
      </c>
      <c r="AS1521">
        <v>43.75</v>
      </c>
      <c r="AT1521" t="s">
        <v>546</v>
      </c>
      <c r="AU1521" t="s">
        <v>95</v>
      </c>
    </row>
    <row r="1522" spans="1:48">
      <c r="A1522" s="1">
        <f>HYPERLINK("https://lsnyc.legalserver.org/matter/dynamic-profile/view/1885969","18-1885969")</f>
        <v>0</v>
      </c>
      <c r="B1522" t="s">
        <v>113</v>
      </c>
      <c r="C1522" t="s">
        <v>257</v>
      </c>
      <c r="D1522" t="s">
        <v>357</v>
      </c>
      <c r="E1522" t="s">
        <v>270</v>
      </c>
      <c r="F1522" t="s">
        <v>1426</v>
      </c>
      <c r="G1522" t="s">
        <v>4068</v>
      </c>
      <c r="H1522" t="s">
        <v>5864</v>
      </c>
      <c r="I1522" t="s">
        <v>8447</v>
      </c>
      <c r="J1522" t="s">
        <v>9065</v>
      </c>
      <c r="K1522">
        <v>10460</v>
      </c>
      <c r="L1522" t="s">
        <v>9094</v>
      </c>
      <c r="M1522" t="s">
        <v>9094</v>
      </c>
      <c r="N1522" t="s">
        <v>9222</v>
      </c>
      <c r="O1522" t="s">
        <v>11130</v>
      </c>
      <c r="P1522" t="s">
        <v>11165</v>
      </c>
      <c r="Q1522" t="s">
        <v>11174</v>
      </c>
      <c r="R1522" t="s">
        <v>11180</v>
      </c>
      <c r="S1522" t="s">
        <v>9094</v>
      </c>
      <c r="T1522" t="s">
        <v>11183</v>
      </c>
      <c r="V1522" t="s">
        <v>512</v>
      </c>
      <c r="W1522">
        <v>967</v>
      </c>
      <c r="X1522" t="s">
        <v>11333</v>
      </c>
      <c r="Y1522" t="s">
        <v>11346</v>
      </c>
      <c r="Z1522" t="s">
        <v>12389</v>
      </c>
      <c r="AB1522" t="s">
        <v>16801</v>
      </c>
      <c r="AC1522">
        <v>169</v>
      </c>
      <c r="AE1522" t="s">
        <v>19580</v>
      </c>
      <c r="AF1522">
        <v>5</v>
      </c>
      <c r="AG1522">
        <v>1</v>
      </c>
      <c r="AH1522">
        <v>0</v>
      </c>
      <c r="AI1522">
        <v>61.29</v>
      </c>
      <c r="AL1522" t="s">
        <v>19614</v>
      </c>
      <c r="AM1522">
        <v>7440</v>
      </c>
      <c r="AS1522">
        <v>0.3</v>
      </c>
      <c r="AT1522" t="s">
        <v>270</v>
      </c>
      <c r="AU1522" t="s">
        <v>158</v>
      </c>
    </row>
    <row r="1523" spans="1:48">
      <c r="A1523" s="1">
        <f>HYPERLINK("https://lsnyc.legalserver.org/matter/dynamic-profile/view/1899950","19-1899950")</f>
        <v>0</v>
      </c>
      <c r="B1523" t="s">
        <v>49</v>
      </c>
      <c r="C1523" t="s">
        <v>257</v>
      </c>
      <c r="D1523" t="s">
        <v>293</v>
      </c>
      <c r="E1523" t="s">
        <v>1129</v>
      </c>
      <c r="F1523" t="s">
        <v>1916</v>
      </c>
      <c r="G1523" t="s">
        <v>3212</v>
      </c>
      <c r="H1523" t="s">
        <v>6549</v>
      </c>
      <c r="I1523" t="s">
        <v>8454</v>
      </c>
      <c r="J1523" t="s">
        <v>9055</v>
      </c>
      <c r="K1523">
        <v>11354</v>
      </c>
      <c r="L1523" t="s">
        <v>9094</v>
      </c>
      <c r="M1523" t="s">
        <v>9095</v>
      </c>
      <c r="N1523" t="s">
        <v>9766</v>
      </c>
      <c r="O1523" t="s">
        <v>11130</v>
      </c>
      <c r="P1523" t="s">
        <v>11165</v>
      </c>
      <c r="Q1523" t="s">
        <v>11174</v>
      </c>
      <c r="R1523" t="s">
        <v>11180</v>
      </c>
      <c r="S1523" t="s">
        <v>9096</v>
      </c>
      <c r="T1523" t="s">
        <v>11183</v>
      </c>
      <c r="U1523" t="s">
        <v>11201</v>
      </c>
      <c r="V1523" t="s">
        <v>293</v>
      </c>
      <c r="W1523">
        <v>1100</v>
      </c>
      <c r="X1523" t="s">
        <v>11331</v>
      </c>
      <c r="Y1523" t="s">
        <v>11336</v>
      </c>
      <c r="Z1523" t="s">
        <v>12424</v>
      </c>
      <c r="AA1523" t="s">
        <v>15563</v>
      </c>
      <c r="AB1523" t="s">
        <v>16832</v>
      </c>
      <c r="AC1523">
        <v>200</v>
      </c>
      <c r="AD1523" t="s">
        <v>19566</v>
      </c>
      <c r="AE1523" t="s">
        <v>19587</v>
      </c>
      <c r="AF1523">
        <v>58</v>
      </c>
      <c r="AG1523">
        <v>1</v>
      </c>
      <c r="AH1523">
        <v>0</v>
      </c>
      <c r="AI1523">
        <v>61.3</v>
      </c>
      <c r="AL1523" t="s">
        <v>19615</v>
      </c>
      <c r="AM1523">
        <v>7656</v>
      </c>
      <c r="AP1523" t="s">
        <v>20331</v>
      </c>
      <c r="AQ1523" t="s">
        <v>20369</v>
      </c>
      <c r="AR1523" t="s">
        <v>20425</v>
      </c>
      <c r="AS1523">
        <v>5.55</v>
      </c>
      <c r="AT1523" t="s">
        <v>1129</v>
      </c>
      <c r="AU1523" t="s">
        <v>20697</v>
      </c>
      <c r="AV1523" t="s">
        <v>20733</v>
      </c>
    </row>
    <row r="1524" spans="1:48">
      <c r="A1524" s="1">
        <f>HYPERLINK("https://lsnyc.legalserver.org/matter/dynamic-profile/view/1846318","17-1846318")</f>
        <v>0</v>
      </c>
      <c r="B1524" t="s">
        <v>198</v>
      </c>
      <c r="C1524" t="s">
        <v>256</v>
      </c>
      <c r="D1524" t="s">
        <v>802</v>
      </c>
      <c r="F1524" t="s">
        <v>1917</v>
      </c>
      <c r="G1524" t="s">
        <v>3677</v>
      </c>
      <c r="H1524" t="s">
        <v>6550</v>
      </c>
      <c r="I1524" t="s">
        <v>8455</v>
      </c>
      <c r="J1524" t="s">
        <v>9067</v>
      </c>
      <c r="K1524">
        <v>10002</v>
      </c>
      <c r="L1524" t="s">
        <v>9095</v>
      </c>
      <c r="M1524" t="s">
        <v>9095</v>
      </c>
      <c r="P1524" t="s">
        <v>11166</v>
      </c>
      <c r="R1524" t="s">
        <v>11180</v>
      </c>
      <c r="T1524" t="s">
        <v>11190</v>
      </c>
      <c r="W1524">
        <v>0</v>
      </c>
      <c r="X1524" t="s">
        <v>11335</v>
      </c>
      <c r="Z1524" t="s">
        <v>12425</v>
      </c>
      <c r="AC1524">
        <v>0</v>
      </c>
      <c r="AF1524">
        <v>0</v>
      </c>
      <c r="AG1524">
        <v>2</v>
      </c>
      <c r="AH1524">
        <v>0</v>
      </c>
      <c r="AI1524">
        <v>61.33</v>
      </c>
      <c r="AL1524" t="s">
        <v>19615</v>
      </c>
      <c r="AM1524">
        <v>9960</v>
      </c>
      <c r="AS1524">
        <v>8</v>
      </c>
      <c r="AT1524" t="s">
        <v>691</v>
      </c>
      <c r="AU1524" t="s">
        <v>20698</v>
      </c>
    </row>
    <row r="1525" spans="1:48">
      <c r="A1525" s="1">
        <f>HYPERLINK("https://lsnyc.legalserver.org/matter/dynamic-profile/view/1886946","19-1886946")</f>
        <v>0</v>
      </c>
      <c r="B1525" t="s">
        <v>102</v>
      </c>
      <c r="C1525" t="s">
        <v>256</v>
      </c>
      <c r="D1525" t="s">
        <v>582</v>
      </c>
      <c r="F1525" t="s">
        <v>1314</v>
      </c>
      <c r="G1525" t="s">
        <v>3977</v>
      </c>
      <c r="H1525" t="s">
        <v>6551</v>
      </c>
      <c r="I1525" t="s">
        <v>8456</v>
      </c>
      <c r="J1525" t="s">
        <v>9065</v>
      </c>
      <c r="K1525">
        <v>10457</v>
      </c>
      <c r="L1525" t="s">
        <v>9094</v>
      </c>
      <c r="M1525" t="s">
        <v>9094</v>
      </c>
      <c r="N1525" t="s">
        <v>9767</v>
      </c>
      <c r="O1525" t="s">
        <v>11149</v>
      </c>
      <c r="P1525" t="s">
        <v>11164</v>
      </c>
      <c r="R1525" t="s">
        <v>11180</v>
      </c>
      <c r="S1525" t="s">
        <v>9096</v>
      </c>
      <c r="T1525" t="s">
        <v>11183</v>
      </c>
      <c r="U1525" t="s">
        <v>11198</v>
      </c>
      <c r="V1525" t="s">
        <v>582</v>
      </c>
      <c r="W1525">
        <v>1100</v>
      </c>
      <c r="X1525" t="s">
        <v>11333</v>
      </c>
      <c r="Y1525" t="s">
        <v>11336</v>
      </c>
      <c r="Z1525" t="s">
        <v>12426</v>
      </c>
      <c r="AB1525" t="s">
        <v>16833</v>
      </c>
      <c r="AC1525">
        <v>300</v>
      </c>
      <c r="AD1525" t="s">
        <v>15441</v>
      </c>
      <c r="AF1525">
        <v>0</v>
      </c>
      <c r="AG1525">
        <v>2</v>
      </c>
      <c r="AH1525">
        <v>0</v>
      </c>
      <c r="AI1525">
        <v>61.36</v>
      </c>
      <c r="AL1525" t="s">
        <v>19615</v>
      </c>
      <c r="AM1525">
        <v>10100</v>
      </c>
      <c r="AS1525">
        <v>3.35</v>
      </c>
      <c r="AT1525" t="s">
        <v>402</v>
      </c>
      <c r="AU1525" t="s">
        <v>20645</v>
      </c>
    </row>
    <row r="1526" spans="1:48">
      <c r="A1526" s="1">
        <f>HYPERLINK("https://lsnyc.legalserver.org/matter/dynamic-profile/view/1876929","18-1876929")</f>
        <v>0</v>
      </c>
      <c r="B1526" t="s">
        <v>101</v>
      </c>
      <c r="C1526" t="s">
        <v>257</v>
      </c>
      <c r="D1526" t="s">
        <v>803</v>
      </c>
      <c r="E1526" t="s">
        <v>263</v>
      </c>
      <c r="F1526" t="s">
        <v>1918</v>
      </c>
      <c r="G1526" t="s">
        <v>4088</v>
      </c>
      <c r="H1526" t="s">
        <v>6063</v>
      </c>
      <c r="I1526" t="s">
        <v>8154</v>
      </c>
      <c r="J1526" t="s">
        <v>9065</v>
      </c>
      <c r="K1526">
        <v>10452</v>
      </c>
      <c r="L1526" t="s">
        <v>9094</v>
      </c>
      <c r="M1526" t="s">
        <v>9094</v>
      </c>
      <c r="O1526" t="s">
        <v>11130</v>
      </c>
      <c r="P1526" t="s">
        <v>11164</v>
      </c>
      <c r="Q1526" t="s">
        <v>11172</v>
      </c>
      <c r="R1526" t="s">
        <v>11180</v>
      </c>
      <c r="S1526" t="s">
        <v>9096</v>
      </c>
      <c r="T1526" t="s">
        <v>11183</v>
      </c>
      <c r="U1526" t="s">
        <v>11201</v>
      </c>
      <c r="V1526" t="s">
        <v>738</v>
      </c>
      <c r="W1526">
        <v>15000</v>
      </c>
      <c r="X1526" t="s">
        <v>11333</v>
      </c>
      <c r="Y1526" t="s">
        <v>11346</v>
      </c>
      <c r="Z1526" t="s">
        <v>12427</v>
      </c>
      <c r="AA1526">
        <v>7419954</v>
      </c>
      <c r="AB1526" t="s">
        <v>16834</v>
      </c>
      <c r="AC1526">
        <v>149</v>
      </c>
      <c r="AD1526" t="s">
        <v>15441</v>
      </c>
      <c r="AE1526" t="s">
        <v>19585</v>
      </c>
      <c r="AF1526">
        <v>2</v>
      </c>
      <c r="AG1526">
        <v>1</v>
      </c>
      <c r="AH1526">
        <v>1</v>
      </c>
      <c r="AI1526">
        <v>61.36</v>
      </c>
      <c r="AL1526" t="s">
        <v>19614</v>
      </c>
      <c r="AM1526">
        <v>10100</v>
      </c>
      <c r="AS1526">
        <v>1.85</v>
      </c>
      <c r="AT1526" t="s">
        <v>263</v>
      </c>
      <c r="AU1526" t="s">
        <v>20647</v>
      </c>
      <c r="AV1526" t="s">
        <v>20733</v>
      </c>
    </row>
    <row r="1527" spans="1:48">
      <c r="A1527" s="1">
        <f>HYPERLINK("https://lsnyc.legalserver.org/matter/dynamic-profile/view/1882288","18-1882288")</f>
        <v>0</v>
      </c>
      <c r="B1527" t="s">
        <v>83</v>
      </c>
      <c r="C1527" t="s">
        <v>256</v>
      </c>
      <c r="D1527" t="s">
        <v>691</v>
      </c>
      <c r="F1527" t="s">
        <v>1666</v>
      </c>
      <c r="G1527" t="s">
        <v>3644</v>
      </c>
      <c r="H1527" t="s">
        <v>6552</v>
      </c>
      <c r="J1527" t="s">
        <v>9059</v>
      </c>
      <c r="K1527">
        <v>11220</v>
      </c>
      <c r="L1527" t="s">
        <v>9094</v>
      </c>
      <c r="M1527" t="s">
        <v>9094</v>
      </c>
      <c r="O1527" t="s">
        <v>11134</v>
      </c>
      <c r="P1527" t="s">
        <v>11168</v>
      </c>
      <c r="R1527" t="s">
        <v>11180</v>
      </c>
      <c r="S1527" t="s">
        <v>9094</v>
      </c>
      <c r="T1527" t="s">
        <v>11183</v>
      </c>
      <c r="V1527" t="s">
        <v>353</v>
      </c>
      <c r="W1527">
        <v>0</v>
      </c>
      <c r="X1527" t="s">
        <v>11332</v>
      </c>
      <c r="Z1527" t="s">
        <v>12428</v>
      </c>
      <c r="AB1527" t="s">
        <v>16835</v>
      </c>
      <c r="AC1527">
        <v>0</v>
      </c>
      <c r="AF1527">
        <v>0</v>
      </c>
      <c r="AG1527">
        <v>2</v>
      </c>
      <c r="AH1527">
        <v>0</v>
      </c>
      <c r="AI1527">
        <v>61.39</v>
      </c>
      <c r="AL1527" t="s">
        <v>19615</v>
      </c>
      <c r="AM1527">
        <v>10104</v>
      </c>
      <c r="AS1527">
        <v>37.35</v>
      </c>
      <c r="AT1527" t="s">
        <v>301</v>
      </c>
      <c r="AU1527" t="s">
        <v>168</v>
      </c>
    </row>
    <row r="1528" spans="1:48">
      <c r="A1528" s="1">
        <f>HYPERLINK("https://lsnyc.legalserver.org/matter/dynamic-profile/view/1887040","19-1887040")</f>
        <v>0</v>
      </c>
      <c r="B1528" t="s">
        <v>117</v>
      </c>
      <c r="C1528" t="s">
        <v>256</v>
      </c>
      <c r="D1528" t="s">
        <v>324</v>
      </c>
      <c r="F1528" t="s">
        <v>1919</v>
      </c>
      <c r="G1528" t="s">
        <v>3801</v>
      </c>
      <c r="H1528" t="s">
        <v>5888</v>
      </c>
      <c r="I1528" t="s">
        <v>8153</v>
      </c>
      <c r="J1528" t="s">
        <v>9065</v>
      </c>
      <c r="K1528">
        <v>10453</v>
      </c>
      <c r="L1528" t="s">
        <v>9096</v>
      </c>
      <c r="M1528" t="s">
        <v>9096</v>
      </c>
      <c r="O1528" t="s">
        <v>11134</v>
      </c>
      <c r="P1528" t="s">
        <v>11168</v>
      </c>
      <c r="R1528" t="s">
        <v>11180</v>
      </c>
      <c r="S1528" t="s">
        <v>9094</v>
      </c>
      <c r="T1528" t="s">
        <v>11183</v>
      </c>
      <c r="V1528" t="s">
        <v>512</v>
      </c>
      <c r="W1528">
        <v>0</v>
      </c>
      <c r="X1528" t="s">
        <v>11333</v>
      </c>
      <c r="Y1528" t="s">
        <v>11346</v>
      </c>
      <c r="Z1528" t="s">
        <v>12429</v>
      </c>
      <c r="AA1528" t="s">
        <v>15564</v>
      </c>
      <c r="AB1528" t="s">
        <v>16836</v>
      </c>
      <c r="AC1528">
        <v>49</v>
      </c>
      <c r="AD1528" t="s">
        <v>19566</v>
      </c>
      <c r="AE1528" t="s">
        <v>9144</v>
      </c>
      <c r="AF1528">
        <v>0</v>
      </c>
      <c r="AG1528">
        <v>2</v>
      </c>
      <c r="AH1528">
        <v>2</v>
      </c>
      <c r="AI1528">
        <v>61.39</v>
      </c>
      <c r="AL1528" t="s">
        <v>19614</v>
      </c>
      <c r="AM1528">
        <v>15408</v>
      </c>
      <c r="AN1528" t="s">
        <v>19795</v>
      </c>
      <c r="AS1528">
        <v>12.5</v>
      </c>
      <c r="AT1528" t="s">
        <v>350</v>
      </c>
      <c r="AU1528" t="s">
        <v>20642</v>
      </c>
    </row>
    <row r="1529" spans="1:48">
      <c r="A1529" s="1">
        <f>HYPERLINK("https://lsnyc.legalserver.org/matter/dynamic-profile/view/1883368","18-1883368")</f>
        <v>0</v>
      </c>
      <c r="B1529" t="s">
        <v>117</v>
      </c>
      <c r="C1529" t="s">
        <v>256</v>
      </c>
      <c r="D1529" t="s">
        <v>691</v>
      </c>
      <c r="F1529" t="s">
        <v>1919</v>
      </c>
      <c r="G1529" t="s">
        <v>3801</v>
      </c>
      <c r="H1529" t="s">
        <v>5888</v>
      </c>
      <c r="I1529" t="s">
        <v>8153</v>
      </c>
      <c r="J1529" t="s">
        <v>9065</v>
      </c>
      <c r="K1529">
        <v>10453</v>
      </c>
      <c r="L1529" t="s">
        <v>9094</v>
      </c>
      <c r="M1529" t="s">
        <v>9094</v>
      </c>
      <c r="O1529" t="s">
        <v>11130</v>
      </c>
      <c r="P1529" t="s">
        <v>11165</v>
      </c>
      <c r="R1529" t="s">
        <v>11180</v>
      </c>
      <c r="S1529" t="s">
        <v>9094</v>
      </c>
      <c r="T1529" t="s">
        <v>11183</v>
      </c>
      <c r="V1529" t="s">
        <v>691</v>
      </c>
      <c r="W1529">
        <v>1497.33</v>
      </c>
      <c r="X1529" t="s">
        <v>11333</v>
      </c>
      <c r="Y1529" t="s">
        <v>11338</v>
      </c>
      <c r="Z1529" t="s">
        <v>12429</v>
      </c>
      <c r="AA1529" t="s">
        <v>15564</v>
      </c>
      <c r="AB1529" t="s">
        <v>16836</v>
      </c>
      <c r="AC1529">
        <v>44</v>
      </c>
      <c r="AD1529" t="s">
        <v>19566</v>
      </c>
      <c r="AE1529" t="s">
        <v>19581</v>
      </c>
      <c r="AF1529">
        <v>8</v>
      </c>
      <c r="AG1529">
        <v>2</v>
      </c>
      <c r="AH1529">
        <v>2</v>
      </c>
      <c r="AI1529">
        <v>61.39</v>
      </c>
      <c r="AL1529" t="s">
        <v>19614</v>
      </c>
      <c r="AM1529">
        <v>15408</v>
      </c>
      <c r="AS1529">
        <v>251.25</v>
      </c>
      <c r="AT1529" t="s">
        <v>1130</v>
      </c>
      <c r="AU1529" t="s">
        <v>99</v>
      </c>
    </row>
    <row r="1530" spans="1:48">
      <c r="A1530" s="1">
        <f>HYPERLINK("https://lsnyc.legalserver.org/matter/dynamic-profile/view/1887093","19-1887093")</f>
        <v>0</v>
      </c>
      <c r="B1530" t="s">
        <v>117</v>
      </c>
      <c r="C1530" t="s">
        <v>256</v>
      </c>
      <c r="D1530" t="s">
        <v>324</v>
      </c>
      <c r="F1530" t="s">
        <v>1919</v>
      </c>
      <c r="G1530" t="s">
        <v>3801</v>
      </c>
      <c r="H1530" t="s">
        <v>5888</v>
      </c>
      <c r="I1530" t="s">
        <v>8153</v>
      </c>
      <c r="J1530" t="s">
        <v>9065</v>
      </c>
      <c r="K1530">
        <v>10453</v>
      </c>
      <c r="L1530" t="s">
        <v>9094</v>
      </c>
      <c r="M1530" t="s">
        <v>9094</v>
      </c>
      <c r="O1530" t="s">
        <v>9121</v>
      </c>
      <c r="P1530" t="s">
        <v>11166</v>
      </c>
      <c r="R1530" t="s">
        <v>11180</v>
      </c>
      <c r="S1530" t="s">
        <v>9094</v>
      </c>
      <c r="T1530" t="s">
        <v>11183</v>
      </c>
      <c r="V1530" t="s">
        <v>512</v>
      </c>
      <c r="W1530">
        <v>1497.33</v>
      </c>
      <c r="X1530" t="s">
        <v>11333</v>
      </c>
      <c r="Y1530" t="s">
        <v>11346</v>
      </c>
      <c r="Z1530" t="s">
        <v>12429</v>
      </c>
      <c r="AA1530" t="s">
        <v>15564</v>
      </c>
      <c r="AB1530" t="s">
        <v>16836</v>
      </c>
      <c r="AC1530">
        <v>49</v>
      </c>
      <c r="AD1530" t="s">
        <v>19566</v>
      </c>
      <c r="AE1530" t="s">
        <v>19581</v>
      </c>
      <c r="AF1530">
        <v>8</v>
      </c>
      <c r="AG1530">
        <v>2</v>
      </c>
      <c r="AH1530">
        <v>2</v>
      </c>
      <c r="AI1530">
        <v>61.39</v>
      </c>
      <c r="AL1530" t="s">
        <v>19614</v>
      </c>
      <c r="AM1530">
        <v>15408</v>
      </c>
      <c r="AS1530">
        <v>22.7</v>
      </c>
      <c r="AT1530" t="s">
        <v>395</v>
      </c>
      <c r="AU1530" t="s">
        <v>20642</v>
      </c>
      <c r="AV1530" t="s">
        <v>20734</v>
      </c>
    </row>
    <row r="1531" spans="1:48">
      <c r="A1531" s="1">
        <f>HYPERLINK("https://lsnyc.legalserver.org/matter/dynamic-profile/view/1907560","19-1907560")</f>
        <v>0</v>
      </c>
      <c r="B1531" t="s">
        <v>113</v>
      </c>
      <c r="C1531" t="s">
        <v>257</v>
      </c>
      <c r="D1531" t="s">
        <v>416</v>
      </c>
      <c r="E1531" t="s">
        <v>1130</v>
      </c>
      <c r="F1531" t="s">
        <v>1920</v>
      </c>
      <c r="G1531" t="s">
        <v>3418</v>
      </c>
      <c r="H1531" t="s">
        <v>6553</v>
      </c>
      <c r="I1531" t="s">
        <v>8218</v>
      </c>
      <c r="J1531" t="s">
        <v>9065</v>
      </c>
      <c r="K1531">
        <v>10460</v>
      </c>
      <c r="L1531" t="s">
        <v>9094</v>
      </c>
      <c r="M1531" t="s">
        <v>9095</v>
      </c>
      <c r="N1531" t="s">
        <v>9768</v>
      </c>
      <c r="O1531" t="s">
        <v>11129</v>
      </c>
      <c r="P1531" t="s">
        <v>11164</v>
      </c>
      <c r="Q1531" t="s">
        <v>11172</v>
      </c>
      <c r="R1531" t="s">
        <v>11180</v>
      </c>
      <c r="S1531" t="s">
        <v>9096</v>
      </c>
      <c r="T1531" t="s">
        <v>11189</v>
      </c>
      <c r="V1531" t="s">
        <v>521</v>
      </c>
      <c r="W1531">
        <v>1600</v>
      </c>
      <c r="X1531" t="s">
        <v>11333</v>
      </c>
      <c r="Z1531" t="s">
        <v>12430</v>
      </c>
      <c r="AB1531" t="s">
        <v>16837</v>
      </c>
      <c r="AC1531">
        <v>297</v>
      </c>
      <c r="AE1531" t="s">
        <v>19580</v>
      </c>
      <c r="AF1531">
        <v>3</v>
      </c>
      <c r="AG1531">
        <v>2</v>
      </c>
      <c r="AH1531">
        <v>0</v>
      </c>
      <c r="AI1531">
        <v>61.45</v>
      </c>
      <c r="AL1531" t="s">
        <v>19614</v>
      </c>
      <c r="AM1531">
        <v>10392</v>
      </c>
      <c r="AS1531">
        <v>2.4</v>
      </c>
      <c r="AT1531" t="s">
        <v>1130</v>
      </c>
      <c r="AU1531" t="s">
        <v>20674</v>
      </c>
      <c r="AV1531" t="s">
        <v>20733</v>
      </c>
    </row>
    <row r="1532" spans="1:48">
      <c r="A1532" s="1">
        <f>HYPERLINK("https://lsnyc.legalserver.org/matter/dynamic-profile/view/1901915","19-1901915")</f>
        <v>0</v>
      </c>
      <c r="B1532" t="s">
        <v>106</v>
      </c>
      <c r="C1532" t="s">
        <v>256</v>
      </c>
      <c r="D1532" t="s">
        <v>298</v>
      </c>
      <c r="F1532" t="s">
        <v>1256</v>
      </c>
      <c r="G1532" t="s">
        <v>3699</v>
      </c>
      <c r="H1532" t="s">
        <v>6554</v>
      </c>
      <c r="I1532" t="s">
        <v>8419</v>
      </c>
      <c r="J1532" t="s">
        <v>9065</v>
      </c>
      <c r="K1532">
        <v>10455</v>
      </c>
      <c r="L1532" t="s">
        <v>9094</v>
      </c>
      <c r="M1532" t="s">
        <v>9095</v>
      </c>
      <c r="N1532" t="s">
        <v>9769</v>
      </c>
      <c r="O1532" t="s">
        <v>11129</v>
      </c>
      <c r="P1532" t="s">
        <v>11165</v>
      </c>
      <c r="R1532" t="s">
        <v>11180</v>
      </c>
      <c r="S1532" t="s">
        <v>9096</v>
      </c>
      <c r="T1532" t="s">
        <v>11183</v>
      </c>
      <c r="U1532" t="s">
        <v>11202</v>
      </c>
      <c r="V1532" t="s">
        <v>298</v>
      </c>
      <c r="W1532">
        <v>347</v>
      </c>
      <c r="X1532" t="s">
        <v>11333</v>
      </c>
      <c r="Y1532" t="s">
        <v>11347</v>
      </c>
      <c r="Z1532" t="s">
        <v>12431</v>
      </c>
      <c r="AA1532" t="s">
        <v>15565</v>
      </c>
      <c r="AB1532" t="s">
        <v>16838</v>
      </c>
      <c r="AC1532">
        <v>45</v>
      </c>
      <c r="AD1532" t="s">
        <v>19567</v>
      </c>
      <c r="AE1532" t="s">
        <v>9144</v>
      </c>
      <c r="AF1532">
        <v>16</v>
      </c>
      <c r="AG1532">
        <v>2</v>
      </c>
      <c r="AH1532">
        <v>0</v>
      </c>
      <c r="AI1532">
        <v>61.5</v>
      </c>
      <c r="AL1532" t="s">
        <v>19614</v>
      </c>
      <c r="AM1532">
        <v>10400</v>
      </c>
      <c r="AS1532">
        <v>61.6</v>
      </c>
      <c r="AT1532" t="s">
        <v>1130</v>
      </c>
      <c r="AU1532" t="s">
        <v>220</v>
      </c>
      <c r="AV1532" t="s">
        <v>20733</v>
      </c>
    </row>
    <row r="1533" spans="1:48">
      <c r="A1533" s="1">
        <f>HYPERLINK("https://lsnyc.legalserver.org/matter/dynamic-profile/view/1906741","19-1906741")</f>
        <v>0</v>
      </c>
      <c r="B1533" t="s">
        <v>119</v>
      </c>
      <c r="C1533" t="s">
        <v>256</v>
      </c>
      <c r="D1533" t="s">
        <v>474</v>
      </c>
      <c r="F1533" t="s">
        <v>1256</v>
      </c>
      <c r="G1533" t="s">
        <v>3699</v>
      </c>
      <c r="H1533" t="s">
        <v>6554</v>
      </c>
      <c r="I1533" t="s">
        <v>8419</v>
      </c>
      <c r="J1533" t="s">
        <v>9065</v>
      </c>
      <c r="K1533">
        <v>10455</v>
      </c>
      <c r="L1533" t="s">
        <v>9094</v>
      </c>
      <c r="M1533" t="s">
        <v>9095</v>
      </c>
      <c r="N1533" t="s">
        <v>9769</v>
      </c>
      <c r="O1533" t="s">
        <v>11129</v>
      </c>
      <c r="P1533" t="s">
        <v>11165</v>
      </c>
      <c r="R1533" t="s">
        <v>11180</v>
      </c>
      <c r="S1533" t="s">
        <v>9096</v>
      </c>
      <c r="T1533" t="s">
        <v>11183</v>
      </c>
      <c r="U1533" t="s">
        <v>11202</v>
      </c>
      <c r="V1533" t="s">
        <v>416</v>
      </c>
      <c r="W1533">
        <v>347</v>
      </c>
      <c r="X1533" t="s">
        <v>11333</v>
      </c>
      <c r="Y1533" t="s">
        <v>11347</v>
      </c>
      <c r="Z1533" t="s">
        <v>12431</v>
      </c>
      <c r="AB1533" t="s">
        <v>16838</v>
      </c>
      <c r="AC1533">
        <v>45</v>
      </c>
      <c r="AD1533" t="s">
        <v>19567</v>
      </c>
      <c r="AE1533" t="s">
        <v>9144</v>
      </c>
      <c r="AF1533">
        <v>16</v>
      </c>
      <c r="AG1533">
        <v>2</v>
      </c>
      <c r="AH1533">
        <v>0</v>
      </c>
      <c r="AI1533">
        <v>61.5</v>
      </c>
      <c r="AL1533" t="s">
        <v>19614</v>
      </c>
      <c r="AM1533">
        <v>10400</v>
      </c>
      <c r="AS1533">
        <v>17.25</v>
      </c>
      <c r="AT1533" t="s">
        <v>632</v>
      </c>
      <c r="AU1533" t="s">
        <v>220</v>
      </c>
      <c r="AV1533" t="s">
        <v>20733</v>
      </c>
    </row>
    <row r="1534" spans="1:48">
      <c r="A1534" s="1">
        <f>HYPERLINK("https://lsnyc.legalserver.org/matter/dynamic-profile/view/1907485","19-1907485")</f>
        <v>0</v>
      </c>
      <c r="B1534" t="s">
        <v>119</v>
      </c>
      <c r="C1534" t="s">
        <v>256</v>
      </c>
      <c r="D1534" t="s">
        <v>275</v>
      </c>
      <c r="F1534" t="s">
        <v>1256</v>
      </c>
      <c r="G1534" t="s">
        <v>3699</v>
      </c>
      <c r="H1534" t="s">
        <v>6554</v>
      </c>
      <c r="I1534" t="s">
        <v>8419</v>
      </c>
      <c r="J1534" t="s">
        <v>9065</v>
      </c>
      <c r="K1534">
        <v>10455</v>
      </c>
      <c r="L1534" t="s">
        <v>9094</v>
      </c>
      <c r="M1534" t="s">
        <v>9095</v>
      </c>
      <c r="P1534" t="s">
        <v>11167</v>
      </c>
      <c r="R1534" t="s">
        <v>11180</v>
      </c>
      <c r="S1534" t="s">
        <v>9094</v>
      </c>
      <c r="T1534" t="s">
        <v>11183</v>
      </c>
      <c r="W1534">
        <v>347</v>
      </c>
      <c r="X1534" t="s">
        <v>11333</v>
      </c>
      <c r="Y1534" t="s">
        <v>11340</v>
      </c>
      <c r="Z1534" t="s">
        <v>12431</v>
      </c>
      <c r="AB1534" t="s">
        <v>16838</v>
      </c>
      <c r="AC1534">
        <v>40</v>
      </c>
      <c r="AD1534" t="s">
        <v>19566</v>
      </c>
      <c r="AF1534">
        <v>42</v>
      </c>
      <c r="AG1534">
        <v>2</v>
      </c>
      <c r="AH1534">
        <v>0</v>
      </c>
      <c r="AI1534">
        <v>61.5</v>
      </c>
      <c r="AL1534" t="s">
        <v>19614</v>
      </c>
      <c r="AM1534">
        <v>10400</v>
      </c>
      <c r="AS1534">
        <v>6.5</v>
      </c>
      <c r="AT1534" t="s">
        <v>275</v>
      </c>
      <c r="AU1534" t="s">
        <v>110</v>
      </c>
      <c r="AV1534" t="s">
        <v>20733</v>
      </c>
    </row>
    <row r="1535" spans="1:48">
      <c r="A1535" s="1">
        <f>HYPERLINK("https://lsnyc.legalserver.org/matter/dynamic-profile/view/1897509","19-1897509")</f>
        <v>0</v>
      </c>
      <c r="B1535" t="s">
        <v>101</v>
      </c>
      <c r="C1535" t="s">
        <v>256</v>
      </c>
      <c r="D1535" t="s">
        <v>318</v>
      </c>
      <c r="F1535" t="s">
        <v>1921</v>
      </c>
      <c r="G1535" t="s">
        <v>2035</v>
      </c>
      <c r="H1535" t="s">
        <v>6555</v>
      </c>
      <c r="I1535" t="s">
        <v>8457</v>
      </c>
      <c r="J1535" t="s">
        <v>9065</v>
      </c>
      <c r="K1535">
        <v>10452</v>
      </c>
      <c r="L1535" t="s">
        <v>9094</v>
      </c>
      <c r="M1535" t="s">
        <v>9096</v>
      </c>
      <c r="O1535" t="s">
        <v>11130</v>
      </c>
      <c r="P1535" t="s">
        <v>11167</v>
      </c>
      <c r="R1535" t="s">
        <v>11180</v>
      </c>
      <c r="S1535" t="s">
        <v>9096</v>
      </c>
      <c r="T1535" t="s">
        <v>11183</v>
      </c>
      <c r="V1535" t="s">
        <v>11218</v>
      </c>
      <c r="W1535">
        <v>1800</v>
      </c>
      <c r="X1535" t="s">
        <v>11333</v>
      </c>
      <c r="Y1535" t="s">
        <v>11338</v>
      </c>
      <c r="AA1535" t="s">
        <v>15566</v>
      </c>
      <c r="AB1535" t="s">
        <v>16285</v>
      </c>
      <c r="AC1535">
        <v>0</v>
      </c>
      <c r="AF1535">
        <v>6</v>
      </c>
      <c r="AG1535">
        <v>2</v>
      </c>
      <c r="AH1535">
        <v>0</v>
      </c>
      <c r="AI1535">
        <v>61.5</v>
      </c>
      <c r="AL1535" t="s">
        <v>19614</v>
      </c>
      <c r="AM1535">
        <v>10400</v>
      </c>
      <c r="AS1535">
        <v>2</v>
      </c>
      <c r="AT1535" t="s">
        <v>415</v>
      </c>
      <c r="AU1535" t="s">
        <v>101</v>
      </c>
      <c r="AV1535" t="s">
        <v>20734</v>
      </c>
    </row>
    <row r="1536" spans="1:48">
      <c r="A1536" s="1">
        <f>HYPERLINK("https://lsnyc.legalserver.org/matter/dynamic-profile/view/1896456","19-1896456")</f>
        <v>0</v>
      </c>
      <c r="B1536" t="s">
        <v>92</v>
      </c>
      <c r="C1536" t="s">
        <v>256</v>
      </c>
      <c r="D1536" t="s">
        <v>350</v>
      </c>
      <c r="F1536" t="s">
        <v>1270</v>
      </c>
      <c r="G1536" t="s">
        <v>4089</v>
      </c>
      <c r="H1536" t="s">
        <v>6556</v>
      </c>
      <c r="I1536">
        <v>201</v>
      </c>
      <c r="J1536" t="s">
        <v>9067</v>
      </c>
      <c r="K1536">
        <v>10025</v>
      </c>
      <c r="L1536" t="s">
        <v>9094</v>
      </c>
      <c r="M1536" t="s">
        <v>9094</v>
      </c>
      <c r="O1536" t="s">
        <v>11132</v>
      </c>
      <c r="P1536" t="s">
        <v>11165</v>
      </c>
      <c r="R1536" t="s">
        <v>11180</v>
      </c>
      <c r="S1536" t="s">
        <v>9096</v>
      </c>
      <c r="T1536" t="s">
        <v>11183</v>
      </c>
      <c r="U1536" t="s">
        <v>11201</v>
      </c>
      <c r="V1536" t="s">
        <v>604</v>
      </c>
      <c r="W1536">
        <v>0</v>
      </c>
      <c r="X1536" t="s">
        <v>11332</v>
      </c>
      <c r="Z1536" t="s">
        <v>12432</v>
      </c>
      <c r="AB1536" t="s">
        <v>16839</v>
      </c>
      <c r="AC1536">
        <v>0</v>
      </c>
      <c r="AF1536">
        <v>0</v>
      </c>
      <c r="AG1536">
        <v>2</v>
      </c>
      <c r="AH1536">
        <v>0</v>
      </c>
      <c r="AI1536">
        <v>61.5</v>
      </c>
      <c r="AL1536" t="s">
        <v>19614</v>
      </c>
      <c r="AM1536">
        <v>10400</v>
      </c>
      <c r="AN1536" t="s">
        <v>19796</v>
      </c>
      <c r="AS1536">
        <v>0</v>
      </c>
      <c r="AU1536" t="s">
        <v>95</v>
      </c>
    </row>
    <row r="1537" spans="1:48">
      <c r="A1537" s="1">
        <f>HYPERLINK("https://lsnyc.legalserver.org/matter/dynamic-profile/view/1908444","19-1908444")</f>
        <v>0</v>
      </c>
      <c r="B1537" t="s">
        <v>92</v>
      </c>
      <c r="C1537" t="s">
        <v>256</v>
      </c>
      <c r="D1537" t="s">
        <v>314</v>
      </c>
      <c r="F1537" t="s">
        <v>1270</v>
      </c>
      <c r="G1537" t="s">
        <v>4089</v>
      </c>
      <c r="H1537" t="s">
        <v>6556</v>
      </c>
      <c r="I1537">
        <v>201</v>
      </c>
      <c r="J1537" t="s">
        <v>9067</v>
      </c>
      <c r="K1537">
        <v>10025</v>
      </c>
      <c r="L1537" t="s">
        <v>9094</v>
      </c>
      <c r="M1537" t="s">
        <v>9095</v>
      </c>
      <c r="N1537" t="s">
        <v>9171</v>
      </c>
      <c r="O1537" t="s">
        <v>11137</v>
      </c>
      <c r="P1537" t="s">
        <v>11166</v>
      </c>
      <c r="R1537" t="s">
        <v>11180</v>
      </c>
      <c r="S1537" t="s">
        <v>9096</v>
      </c>
      <c r="T1537" t="s">
        <v>11183</v>
      </c>
      <c r="U1537" t="s">
        <v>11201</v>
      </c>
      <c r="V1537" t="s">
        <v>314</v>
      </c>
      <c r="W1537">
        <v>900</v>
      </c>
      <c r="X1537" t="s">
        <v>11332</v>
      </c>
      <c r="Y1537" t="s">
        <v>11340</v>
      </c>
      <c r="Z1537" t="s">
        <v>12432</v>
      </c>
      <c r="AA1537">
        <v>10154731</v>
      </c>
      <c r="AB1537" t="s">
        <v>16839</v>
      </c>
      <c r="AC1537">
        <v>10</v>
      </c>
      <c r="AD1537" t="s">
        <v>19566</v>
      </c>
      <c r="AE1537" t="s">
        <v>19581</v>
      </c>
      <c r="AF1537">
        <v>0</v>
      </c>
      <c r="AG1537">
        <v>2</v>
      </c>
      <c r="AH1537">
        <v>0</v>
      </c>
      <c r="AI1537">
        <v>61.5</v>
      </c>
      <c r="AL1537" t="s">
        <v>19614</v>
      </c>
      <c r="AM1537">
        <v>10400</v>
      </c>
      <c r="AN1537" t="s">
        <v>19797</v>
      </c>
      <c r="AS1537">
        <v>16.5</v>
      </c>
      <c r="AT1537" t="s">
        <v>703</v>
      </c>
      <c r="AU1537" t="s">
        <v>95</v>
      </c>
      <c r="AV1537" t="s">
        <v>20734</v>
      </c>
    </row>
    <row r="1538" spans="1:48">
      <c r="A1538" s="1">
        <f>HYPERLINK("https://lsnyc.legalserver.org/matter/dynamic-profile/view/0830073","17-0830073")</f>
        <v>0</v>
      </c>
      <c r="B1538" t="s">
        <v>78</v>
      </c>
      <c r="C1538" t="s">
        <v>256</v>
      </c>
      <c r="D1538" t="s">
        <v>804</v>
      </c>
      <c r="F1538" t="s">
        <v>1905</v>
      </c>
      <c r="G1538" t="s">
        <v>4082</v>
      </c>
      <c r="H1538" t="s">
        <v>5809</v>
      </c>
      <c r="I1538" t="s">
        <v>8168</v>
      </c>
      <c r="J1538" t="s">
        <v>9059</v>
      </c>
      <c r="K1538">
        <v>11212</v>
      </c>
      <c r="L1538" t="s">
        <v>9094</v>
      </c>
      <c r="M1538" t="s">
        <v>9095</v>
      </c>
      <c r="N1538" t="s">
        <v>9189</v>
      </c>
      <c r="O1538" t="s">
        <v>9121</v>
      </c>
      <c r="P1538" t="s">
        <v>11167</v>
      </c>
      <c r="R1538" t="s">
        <v>11180</v>
      </c>
      <c r="S1538" t="s">
        <v>9094</v>
      </c>
      <c r="T1538" t="s">
        <v>11183</v>
      </c>
      <c r="V1538" t="s">
        <v>804</v>
      </c>
      <c r="W1538">
        <v>840</v>
      </c>
      <c r="X1538" t="s">
        <v>11332</v>
      </c>
      <c r="Y1538" t="s">
        <v>11157</v>
      </c>
      <c r="Z1538" t="s">
        <v>12412</v>
      </c>
      <c r="AB1538" t="s">
        <v>16821</v>
      </c>
      <c r="AC1538">
        <v>32</v>
      </c>
      <c r="AD1538" t="s">
        <v>19566</v>
      </c>
      <c r="AF1538">
        <v>19</v>
      </c>
      <c r="AG1538">
        <v>2</v>
      </c>
      <c r="AH1538">
        <v>0</v>
      </c>
      <c r="AI1538">
        <v>61.55</v>
      </c>
      <c r="AL1538" t="s">
        <v>19614</v>
      </c>
      <c r="AM1538">
        <v>9996</v>
      </c>
      <c r="AS1538">
        <v>0.25</v>
      </c>
      <c r="AT1538" t="s">
        <v>923</v>
      </c>
      <c r="AU1538" t="s">
        <v>78</v>
      </c>
    </row>
    <row r="1539" spans="1:48">
      <c r="A1539" s="1">
        <f>HYPERLINK("https://lsnyc.legalserver.org/matter/dynamic-profile/view/1861923","18-1861923")</f>
        <v>0</v>
      </c>
      <c r="B1539" t="s">
        <v>101</v>
      </c>
      <c r="C1539" t="s">
        <v>256</v>
      </c>
      <c r="D1539" t="s">
        <v>451</v>
      </c>
      <c r="F1539" t="s">
        <v>1922</v>
      </c>
      <c r="G1539" t="s">
        <v>4090</v>
      </c>
      <c r="H1539" t="s">
        <v>5890</v>
      </c>
      <c r="I1539" t="s">
        <v>8458</v>
      </c>
      <c r="J1539" t="s">
        <v>9065</v>
      </c>
      <c r="K1539">
        <v>10453</v>
      </c>
      <c r="L1539" t="s">
        <v>9094</v>
      </c>
      <c r="M1539" t="s">
        <v>9095</v>
      </c>
      <c r="N1539" t="s">
        <v>9242</v>
      </c>
      <c r="O1539" t="s">
        <v>11130</v>
      </c>
      <c r="P1539" t="s">
        <v>11165</v>
      </c>
      <c r="R1539" t="s">
        <v>11180</v>
      </c>
      <c r="S1539" t="s">
        <v>9094</v>
      </c>
      <c r="T1539" t="s">
        <v>11183</v>
      </c>
      <c r="V1539" t="s">
        <v>874</v>
      </c>
      <c r="W1539">
        <v>1126</v>
      </c>
      <c r="X1539" t="s">
        <v>11333</v>
      </c>
      <c r="Y1539" t="s">
        <v>11338</v>
      </c>
      <c r="Z1539" t="s">
        <v>12433</v>
      </c>
      <c r="AA1539" t="s">
        <v>15567</v>
      </c>
      <c r="AB1539" t="s">
        <v>16840</v>
      </c>
      <c r="AC1539">
        <v>46</v>
      </c>
      <c r="AD1539" t="s">
        <v>19566</v>
      </c>
      <c r="AE1539" t="s">
        <v>19582</v>
      </c>
      <c r="AF1539">
        <v>6</v>
      </c>
      <c r="AG1539">
        <v>2</v>
      </c>
      <c r="AH1539">
        <v>1</v>
      </c>
      <c r="AI1539">
        <v>61.56</v>
      </c>
      <c r="AL1539" t="s">
        <v>19615</v>
      </c>
      <c r="AM1539">
        <v>12792</v>
      </c>
      <c r="AS1539">
        <v>0.8</v>
      </c>
      <c r="AT1539" t="s">
        <v>451</v>
      </c>
      <c r="AU1539" t="s">
        <v>174</v>
      </c>
    </row>
    <row r="1540" spans="1:48">
      <c r="A1540" s="1">
        <f>HYPERLINK("https://lsnyc.legalserver.org/matter/dynamic-profile/view/1886087","18-1886087")</f>
        <v>0</v>
      </c>
      <c r="B1540" t="s">
        <v>124</v>
      </c>
      <c r="C1540" t="s">
        <v>257</v>
      </c>
      <c r="D1540" t="s">
        <v>397</v>
      </c>
      <c r="E1540" t="s">
        <v>1063</v>
      </c>
      <c r="F1540" t="s">
        <v>1923</v>
      </c>
      <c r="G1540" t="s">
        <v>4091</v>
      </c>
      <c r="H1540" t="s">
        <v>6557</v>
      </c>
      <c r="I1540" t="s">
        <v>8108</v>
      </c>
      <c r="J1540" t="s">
        <v>9066</v>
      </c>
      <c r="K1540">
        <v>10314</v>
      </c>
      <c r="L1540" t="s">
        <v>9094</v>
      </c>
      <c r="M1540" t="s">
        <v>9094</v>
      </c>
      <c r="N1540" t="s">
        <v>9770</v>
      </c>
      <c r="O1540" t="s">
        <v>11129</v>
      </c>
      <c r="P1540" t="s">
        <v>11165</v>
      </c>
      <c r="Q1540" t="s">
        <v>11174</v>
      </c>
      <c r="R1540" t="s">
        <v>11180</v>
      </c>
      <c r="S1540" t="s">
        <v>9096</v>
      </c>
      <c r="T1540" t="s">
        <v>11183</v>
      </c>
      <c r="U1540" t="s">
        <v>11201</v>
      </c>
      <c r="V1540" t="s">
        <v>397</v>
      </c>
      <c r="W1540">
        <v>164</v>
      </c>
      <c r="X1540" t="s">
        <v>11334</v>
      </c>
      <c r="Y1540" t="s">
        <v>11336</v>
      </c>
      <c r="Z1540" t="s">
        <v>12434</v>
      </c>
      <c r="AB1540" t="s">
        <v>16841</v>
      </c>
      <c r="AC1540">
        <v>2</v>
      </c>
      <c r="AD1540" t="s">
        <v>19571</v>
      </c>
      <c r="AE1540" t="s">
        <v>19580</v>
      </c>
      <c r="AF1540">
        <v>1</v>
      </c>
      <c r="AG1540">
        <v>2</v>
      </c>
      <c r="AH1540">
        <v>0</v>
      </c>
      <c r="AI1540">
        <v>61.6</v>
      </c>
      <c r="AL1540" t="s">
        <v>19614</v>
      </c>
      <c r="AM1540">
        <v>10140</v>
      </c>
      <c r="AO1540" t="s">
        <v>20297</v>
      </c>
      <c r="AP1540" t="s">
        <v>11157</v>
      </c>
      <c r="AQ1540" t="s">
        <v>20371</v>
      </c>
      <c r="AR1540" t="s">
        <v>20380</v>
      </c>
      <c r="AS1540">
        <v>16.25</v>
      </c>
      <c r="AT1540" t="s">
        <v>410</v>
      </c>
      <c r="AU1540" t="s">
        <v>20667</v>
      </c>
      <c r="AV1540" t="s">
        <v>20733</v>
      </c>
    </row>
    <row r="1541" spans="1:48">
      <c r="A1541" s="1">
        <f>HYPERLINK("https://lsnyc.legalserver.org/matter/dynamic-profile/view/1915330","19-1915330")</f>
        <v>0</v>
      </c>
      <c r="B1541" t="s">
        <v>178</v>
      </c>
      <c r="C1541" t="s">
        <v>257</v>
      </c>
      <c r="D1541" t="s">
        <v>321</v>
      </c>
      <c r="E1541" t="s">
        <v>487</v>
      </c>
      <c r="F1541" t="s">
        <v>1209</v>
      </c>
      <c r="G1541" t="s">
        <v>4092</v>
      </c>
      <c r="H1541" t="s">
        <v>6558</v>
      </c>
      <c r="I1541" t="s">
        <v>8400</v>
      </c>
      <c r="J1541" t="s">
        <v>9065</v>
      </c>
      <c r="K1541">
        <v>10452</v>
      </c>
      <c r="L1541" t="s">
        <v>9094</v>
      </c>
      <c r="M1541" t="s">
        <v>9095</v>
      </c>
      <c r="P1541" t="s">
        <v>11167</v>
      </c>
      <c r="Q1541" t="s">
        <v>11173</v>
      </c>
      <c r="R1541" t="s">
        <v>11180</v>
      </c>
      <c r="T1541" t="s">
        <v>11183</v>
      </c>
      <c r="W1541">
        <v>0</v>
      </c>
      <c r="X1541" t="s">
        <v>11333</v>
      </c>
      <c r="Z1541" t="s">
        <v>12435</v>
      </c>
      <c r="AB1541" t="s">
        <v>16842</v>
      </c>
      <c r="AC1541">
        <v>0</v>
      </c>
      <c r="AE1541" t="s">
        <v>19587</v>
      </c>
      <c r="AF1541">
        <v>0</v>
      </c>
      <c r="AG1541">
        <v>2</v>
      </c>
      <c r="AH1541">
        <v>0</v>
      </c>
      <c r="AI1541">
        <v>61.74</v>
      </c>
      <c r="AK1541" t="s">
        <v>19612</v>
      </c>
      <c r="AL1541" t="s">
        <v>19615</v>
      </c>
      <c r="AM1541">
        <v>10440</v>
      </c>
      <c r="AS1541">
        <v>0.75</v>
      </c>
      <c r="AT1541" t="s">
        <v>321</v>
      </c>
      <c r="AU1541" t="s">
        <v>178</v>
      </c>
      <c r="AV1541" t="s">
        <v>20733</v>
      </c>
    </row>
    <row r="1542" spans="1:48">
      <c r="A1542" s="1">
        <f>HYPERLINK("https://lsnyc.legalserver.org/matter/dynamic-profile/view/0812223","16-0812223")</f>
        <v>0</v>
      </c>
      <c r="B1542" t="s">
        <v>119</v>
      </c>
      <c r="C1542" t="s">
        <v>257</v>
      </c>
      <c r="D1542" t="s">
        <v>805</v>
      </c>
      <c r="E1542" t="s">
        <v>664</v>
      </c>
      <c r="F1542" t="s">
        <v>1924</v>
      </c>
      <c r="G1542" t="s">
        <v>4093</v>
      </c>
      <c r="H1542" t="s">
        <v>6559</v>
      </c>
      <c r="I1542" t="s">
        <v>8459</v>
      </c>
      <c r="J1542" t="s">
        <v>9065</v>
      </c>
      <c r="K1542">
        <v>10451</v>
      </c>
      <c r="L1542" t="s">
        <v>9094</v>
      </c>
      <c r="M1542" t="s">
        <v>9095</v>
      </c>
      <c r="N1542" t="s">
        <v>9771</v>
      </c>
      <c r="O1542" t="s">
        <v>11129</v>
      </c>
      <c r="P1542" t="s">
        <v>11165</v>
      </c>
      <c r="Q1542" t="s">
        <v>11174</v>
      </c>
      <c r="R1542" t="s">
        <v>11180</v>
      </c>
      <c r="S1542" t="s">
        <v>9096</v>
      </c>
      <c r="T1542" t="s">
        <v>11183</v>
      </c>
      <c r="V1542" t="s">
        <v>11234</v>
      </c>
      <c r="W1542">
        <v>1026</v>
      </c>
      <c r="X1542" t="s">
        <v>11333</v>
      </c>
      <c r="Y1542" t="s">
        <v>11340</v>
      </c>
      <c r="Z1542" t="s">
        <v>12436</v>
      </c>
      <c r="AA1542" t="s">
        <v>15568</v>
      </c>
      <c r="AB1542" t="s">
        <v>16843</v>
      </c>
      <c r="AC1542">
        <v>44</v>
      </c>
      <c r="AD1542" t="s">
        <v>19566</v>
      </c>
      <c r="AE1542" t="s">
        <v>9144</v>
      </c>
      <c r="AF1542">
        <v>9</v>
      </c>
      <c r="AG1542">
        <v>3</v>
      </c>
      <c r="AH1542">
        <v>0</v>
      </c>
      <c r="AI1542">
        <v>61.78</v>
      </c>
      <c r="AJ1542" t="s">
        <v>19598</v>
      </c>
      <c r="AL1542" t="s">
        <v>19614</v>
      </c>
      <c r="AM1542">
        <v>12455</v>
      </c>
      <c r="AO1542" t="s">
        <v>20302</v>
      </c>
      <c r="AP1542" t="s">
        <v>20332</v>
      </c>
      <c r="AQ1542" t="s">
        <v>20369</v>
      </c>
      <c r="AS1542">
        <v>184.8</v>
      </c>
      <c r="AT1542" t="s">
        <v>11295</v>
      </c>
      <c r="AU1542" t="s">
        <v>225</v>
      </c>
    </row>
    <row r="1543" spans="1:48">
      <c r="A1543" s="1">
        <f>HYPERLINK("https://lsnyc.legalserver.org/matter/dynamic-profile/view/1865029","18-1865029")</f>
        <v>0</v>
      </c>
      <c r="B1543" t="s">
        <v>122</v>
      </c>
      <c r="C1543" t="s">
        <v>257</v>
      </c>
      <c r="D1543" t="s">
        <v>322</v>
      </c>
      <c r="E1543" t="s">
        <v>335</v>
      </c>
      <c r="F1543" t="s">
        <v>1648</v>
      </c>
      <c r="G1543" t="s">
        <v>4094</v>
      </c>
      <c r="H1543" t="s">
        <v>6560</v>
      </c>
      <c r="I1543" t="s">
        <v>8315</v>
      </c>
      <c r="J1543" t="s">
        <v>9066</v>
      </c>
      <c r="K1543">
        <v>10314</v>
      </c>
      <c r="L1543" t="s">
        <v>9094</v>
      </c>
      <c r="M1543" t="s">
        <v>9094</v>
      </c>
      <c r="N1543" t="s">
        <v>9772</v>
      </c>
      <c r="O1543" t="s">
        <v>11128</v>
      </c>
      <c r="P1543" t="s">
        <v>11165</v>
      </c>
      <c r="Q1543" t="s">
        <v>11174</v>
      </c>
      <c r="R1543" t="s">
        <v>11180</v>
      </c>
      <c r="S1543" t="s">
        <v>9096</v>
      </c>
      <c r="T1543" t="s">
        <v>11183</v>
      </c>
      <c r="U1543" t="s">
        <v>11201</v>
      </c>
      <c r="V1543" t="s">
        <v>322</v>
      </c>
      <c r="W1543">
        <v>800</v>
      </c>
      <c r="X1543" t="s">
        <v>11334</v>
      </c>
      <c r="Y1543" t="s">
        <v>11157</v>
      </c>
      <c r="Z1543" t="s">
        <v>12437</v>
      </c>
      <c r="AB1543" t="s">
        <v>16844</v>
      </c>
      <c r="AC1543">
        <v>4</v>
      </c>
      <c r="AD1543" t="s">
        <v>19565</v>
      </c>
      <c r="AE1543" t="s">
        <v>19586</v>
      </c>
      <c r="AF1543">
        <v>1</v>
      </c>
      <c r="AG1543">
        <v>1</v>
      </c>
      <c r="AH1543">
        <v>0</v>
      </c>
      <c r="AI1543">
        <v>61.78</v>
      </c>
      <c r="AL1543" t="s">
        <v>19614</v>
      </c>
      <c r="AM1543">
        <v>7500</v>
      </c>
      <c r="AQ1543" t="s">
        <v>20368</v>
      </c>
      <c r="AR1543" t="s">
        <v>20461</v>
      </c>
      <c r="AS1543">
        <v>10.9</v>
      </c>
      <c r="AT1543" t="s">
        <v>335</v>
      </c>
      <c r="AU1543" t="s">
        <v>20631</v>
      </c>
    </row>
    <row r="1544" spans="1:48">
      <c r="A1544" s="1">
        <f>HYPERLINK("https://lsnyc.legalserver.org/matter/dynamic-profile/view/1908938","19-1908938")</f>
        <v>0</v>
      </c>
      <c r="B1544" t="s">
        <v>86</v>
      </c>
      <c r="C1544" t="s">
        <v>256</v>
      </c>
      <c r="D1544" t="s">
        <v>806</v>
      </c>
      <c r="F1544" t="s">
        <v>1687</v>
      </c>
      <c r="G1544" t="s">
        <v>4095</v>
      </c>
      <c r="H1544" t="s">
        <v>5786</v>
      </c>
      <c r="I1544" t="s">
        <v>8160</v>
      </c>
      <c r="J1544" t="s">
        <v>9059</v>
      </c>
      <c r="K1544">
        <v>11225</v>
      </c>
      <c r="L1544" t="s">
        <v>9094</v>
      </c>
      <c r="M1544" t="s">
        <v>9095</v>
      </c>
      <c r="O1544" t="s">
        <v>11137</v>
      </c>
      <c r="P1544" t="s">
        <v>11168</v>
      </c>
      <c r="R1544" t="s">
        <v>11180</v>
      </c>
      <c r="S1544" t="s">
        <v>9096</v>
      </c>
      <c r="T1544" t="s">
        <v>11183</v>
      </c>
      <c r="V1544" t="s">
        <v>806</v>
      </c>
      <c r="W1544">
        <v>600</v>
      </c>
      <c r="X1544" t="s">
        <v>11332</v>
      </c>
      <c r="Z1544" t="s">
        <v>12438</v>
      </c>
      <c r="AB1544" t="s">
        <v>16845</v>
      </c>
      <c r="AC1544">
        <v>46</v>
      </c>
      <c r="AF1544">
        <v>20</v>
      </c>
      <c r="AG1544">
        <v>2</v>
      </c>
      <c r="AH1544">
        <v>0</v>
      </c>
      <c r="AI1544">
        <v>61.81</v>
      </c>
      <c r="AL1544" t="s">
        <v>19614</v>
      </c>
      <c r="AM1544">
        <v>10452</v>
      </c>
      <c r="AS1544">
        <v>0</v>
      </c>
      <c r="AU1544" t="s">
        <v>215</v>
      </c>
    </row>
    <row r="1545" spans="1:48">
      <c r="A1545" s="1">
        <f>HYPERLINK("https://lsnyc.legalserver.org/matter/dynamic-profile/view/1898056","19-1898056")</f>
        <v>0</v>
      </c>
      <c r="B1545" t="s">
        <v>56</v>
      </c>
      <c r="C1545" t="s">
        <v>256</v>
      </c>
      <c r="D1545" t="s">
        <v>598</v>
      </c>
      <c r="F1545" t="s">
        <v>1925</v>
      </c>
      <c r="G1545" t="s">
        <v>4096</v>
      </c>
      <c r="H1545" t="s">
        <v>6561</v>
      </c>
      <c r="I1545" t="s">
        <v>8266</v>
      </c>
      <c r="J1545" t="s">
        <v>9076</v>
      </c>
      <c r="K1545">
        <v>11418</v>
      </c>
      <c r="L1545" t="s">
        <v>9094</v>
      </c>
      <c r="M1545" t="s">
        <v>9094</v>
      </c>
      <c r="N1545" t="s">
        <v>9773</v>
      </c>
      <c r="O1545" t="s">
        <v>11128</v>
      </c>
      <c r="P1545" t="s">
        <v>11164</v>
      </c>
      <c r="R1545" t="s">
        <v>11180</v>
      </c>
      <c r="S1545" t="s">
        <v>9096</v>
      </c>
      <c r="T1545" t="s">
        <v>11183</v>
      </c>
      <c r="U1545" t="s">
        <v>11201</v>
      </c>
      <c r="V1545" t="s">
        <v>598</v>
      </c>
      <c r="W1545">
        <v>2224</v>
      </c>
      <c r="X1545" t="s">
        <v>11331</v>
      </c>
      <c r="Y1545" t="s">
        <v>11336</v>
      </c>
      <c r="Z1545" t="s">
        <v>12439</v>
      </c>
      <c r="AA1545" t="s">
        <v>15274</v>
      </c>
      <c r="AB1545" t="s">
        <v>16846</v>
      </c>
      <c r="AC1545">
        <v>2</v>
      </c>
      <c r="AD1545" t="s">
        <v>19565</v>
      </c>
      <c r="AE1545" t="s">
        <v>9144</v>
      </c>
      <c r="AF1545">
        <v>1</v>
      </c>
      <c r="AG1545">
        <v>3</v>
      </c>
      <c r="AH1545">
        <v>5</v>
      </c>
      <c r="AI1545">
        <v>61.9</v>
      </c>
      <c r="AL1545" t="s">
        <v>19614</v>
      </c>
      <c r="AM1545">
        <v>26884</v>
      </c>
      <c r="AS1545">
        <v>0.6</v>
      </c>
      <c r="AT1545" t="s">
        <v>621</v>
      </c>
      <c r="AU1545" t="s">
        <v>20622</v>
      </c>
      <c r="AV1545" t="s">
        <v>20733</v>
      </c>
    </row>
    <row r="1546" spans="1:48">
      <c r="A1546" s="1">
        <f>HYPERLINK("https://lsnyc.legalserver.org/matter/dynamic-profile/view/1856982","18-1856982")</f>
        <v>0</v>
      </c>
      <c r="B1546" t="s">
        <v>119</v>
      </c>
      <c r="C1546" t="s">
        <v>256</v>
      </c>
      <c r="D1546" t="s">
        <v>465</v>
      </c>
      <c r="F1546" t="s">
        <v>1926</v>
      </c>
      <c r="G1546" t="s">
        <v>4097</v>
      </c>
      <c r="H1546" t="s">
        <v>5897</v>
      </c>
      <c r="I1546" t="s">
        <v>8460</v>
      </c>
      <c r="J1546" t="s">
        <v>9065</v>
      </c>
      <c r="K1546">
        <v>10452</v>
      </c>
      <c r="L1546" t="s">
        <v>9095</v>
      </c>
      <c r="M1546" t="s">
        <v>9094</v>
      </c>
      <c r="N1546" t="s">
        <v>9252</v>
      </c>
      <c r="O1546" t="s">
        <v>11135</v>
      </c>
      <c r="P1546" t="s">
        <v>11168</v>
      </c>
      <c r="R1546" t="s">
        <v>11180</v>
      </c>
      <c r="S1546" t="s">
        <v>9094</v>
      </c>
      <c r="T1546" t="s">
        <v>11183</v>
      </c>
      <c r="W1546">
        <v>1197.41</v>
      </c>
      <c r="X1546" t="s">
        <v>11333</v>
      </c>
      <c r="Y1546" t="s">
        <v>11346</v>
      </c>
      <c r="Z1546" t="s">
        <v>12440</v>
      </c>
      <c r="AA1546" t="s">
        <v>15569</v>
      </c>
      <c r="AC1546">
        <v>0</v>
      </c>
      <c r="AF1546">
        <v>0</v>
      </c>
      <c r="AG1546">
        <v>2</v>
      </c>
      <c r="AH1546">
        <v>5</v>
      </c>
      <c r="AI1546">
        <v>61.93</v>
      </c>
      <c r="AL1546" t="s">
        <v>19614</v>
      </c>
      <c r="AM1546">
        <v>23000.04</v>
      </c>
      <c r="AN1546" t="s">
        <v>19798</v>
      </c>
      <c r="AS1546">
        <v>0</v>
      </c>
      <c r="AU1546" t="s">
        <v>20647</v>
      </c>
    </row>
    <row r="1547" spans="1:48">
      <c r="A1547" s="1">
        <f>HYPERLINK("https://lsnyc.legalserver.org/matter/dynamic-profile/view/1857459","18-1857459")</f>
        <v>0</v>
      </c>
      <c r="B1547" t="s">
        <v>119</v>
      </c>
      <c r="C1547" t="s">
        <v>256</v>
      </c>
      <c r="D1547" t="s">
        <v>468</v>
      </c>
      <c r="F1547" t="s">
        <v>1926</v>
      </c>
      <c r="G1547" t="s">
        <v>4097</v>
      </c>
      <c r="H1547" t="s">
        <v>5897</v>
      </c>
      <c r="I1547" t="s">
        <v>8460</v>
      </c>
      <c r="J1547" t="s">
        <v>9065</v>
      </c>
      <c r="K1547">
        <v>10452</v>
      </c>
      <c r="L1547" t="s">
        <v>9095</v>
      </c>
      <c r="M1547" t="s">
        <v>9094</v>
      </c>
      <c r="N1547" t="s">
        <v>9253</v>
      </c>
      <c r="O1547" t="s">
        <v>11135</v>
      </c>
      <c r="P1547" t="s">
        <v>11168</v>
      </c>
      <c r="R1547" t="s">
        <v>11180</v>
      </c>
      <c r="S1547" t="s">
        <v>9094</v>
      </c>
      <c r="T1547" t="s">
        <v>11183</v>
      </c>
      <c r="W1547">
        <v>1197.41</v>
      </c>
      <c r="X1547" t="s">
        <v>11333</v>
      </c>
      <c r="Y1547" t="s">
        <v>11346</v>
      </c>
      <c r="Z1547" t="s">
        <v>12440</v>
      </c>
      <c r="AA1547" t="s">
        <v>15570</v>
      </c>
      <c r="AC1547">
        <v>122</v>
      </c>
      <c r="AD1547" t="s">
        <v>19566</v>
      </c>
      <c r="AE1547" t="s">
        <v>9144</v>
      </c>
      <c r="AF1547">
        <v>0</v>
      </c>
      <c r="AG1547">
        <v>2</v>
      </c>
      <c r="AH1547">
        <v>5</v>
      </c>
      <c r="AI1547">
        <v>61.93</v>
      </c>
      <c r="AL1547" t="s">
        <v>19614</v>
      </c>
      <c r="AM1547">
        <v>23000</v>
      </c>
      <c r="AN1547" t="s">
        <v>19798</v>
      </c>
      <c r="AS1547">
        <v>0</v>
      </c>
      <c r="AU1547" t="s">
        <v>20647</v>
      </c>
    </row>
    <row r="1548" spans="1:48">
      <c r="A1548" s="1">
        <f>HYPERLINK("https://lsnyc.legalserver.org/matter/dynamic-profile/view/1885649","18-1885649")</f>
        <v>0</v>
      </c>
      <c r="B1548" t="s">
        <v>60</v>
      </c>
      <c r="C1548" t="s">
        <v>257</v>
      </c>
      <c r="D1548" t="s">
        <v>634</v>
      </c>
      <c r="E1548" t="s">
        <v>864</v>
      </c>
      <c r="F1548" t="s">
        <v>1292</v>
      </c>
      <c r="G1548" t="s">
        <v>4098</v>
      </c>
      <c r="H1548" t="s">
        <v>6562</v>
      </c>
      <c r="I1548">
        <v>1</v>
      </c>
      <c r="J1548" t="s">
        <v>9037</v>
      </c>
      <c r="K1548">
        <v>11692</v>
      </c>
      <c r="L1548" t="s">
        <v>9094</v>
      </c>
      <c r="M1548" t="s">
        <v>9094</v>
      </c>
      <c r="N1548" t="s">
        <v>9774</v>
      </c>
      <c r="O1548" t="s">
        <v>11128</v>
      </c>
      <c r="P1548" t="s">
        <v>11164</v>
      </c>
      <c r="Q1548" t="s">
        <v>11172</v>
      </c>
      <c r="R1548" t="s">
        <v>11180</v>
      </c>
      <c r="S1548" t="s">
        <v>9096</v>
      </c>
      <c r="T1548" t="s">
        <v>11183</v>
      </c>
      <c r="U1548" t="s">
        <v>11201</v>
      </c>
      <c r="V1548" t="s">
        <v>634</v>
      </c>
      <c r="W1548">
        <v>1</v>
      </c>
      <c r="X1548" t="s">
        <v>11331</v>
      </c>
      <c r="Y1548" t="s">
        <v>11336</v>
      </c>
      <c r="Z1548" t="s">
        <v>12441</v>
      </c>
      <c r="AA1548" t="s">
        <v>15571</v>
      </c>
      <c r="AB1548" t="s">
        <v>16847</v>
      </c>
      <c r="AC1548">
        <v>2</v>
      </c>
      <c r="AD1548" t="s">
        <v>19565</v>
      </c>
      <c r="AE1548" t="s">
        <v>9144</v>
      </c>
      <c r="AF1548">
        <v>22</v>
      </c>
      <c r="AG1548">
        <v>2</v>
      </c>
      <c r="AH1548">
        <v>1</v>
      </c>
      <c r="AI1548">
        <v>62.06</v>
      </c>
      <c r="AL1548" t="s">
        <v>19614</v>
      </c>
      <c r="AM1548">
        <v>12896</v>
      </c>
      <c r="AS1548">
        <v>1</v>
      </c>
      <c r="AT1548" t="s">
        <v>634</v>
      </c>
      <c r="AU1548" t="s">
        <v>153</v>
      </c>
      <c r="AV1548" t="s">
        <v>20733</v>
      </c>
    </row>
    <row r="1549" spans="1:48">
      <c r="A1549" s="1">
        <f>HYPERLINK("https://lsnyc.legalserver.org/matter/dynamic-profile/view/1913315","19-1913315")</f>
        <v>0</v>
      </c>
      <c r="B1549" t="s">
        <v>57</v>
      </c>
      <c r="C1549" t="s">
        <v>256</v>
      </c>
      <c r="D1549" t="s">
        <v>286</v>
      </c>
      <c r="F1549" t="s">
        <v>1241</v>
      </c>
      <c r="G1549" t="s">
        <v>3374</v>
      </c>
      <c r="H1549" t="s">
        <v>6563</v>
      </c>
      <c r="J1549" t="s">
        <v>9047</v>
      </c>
      <c r="K1549">
        <v>11412</v>
      </c>
      <c r="L1549" t="s">
        <v>9094</v>
      </c>
      <c r="M1549" t="s">
        <v>9095</v>
      </c>
      <c r="N1549" t="s">
        <v>9775</v>
      </c>
      <c r="O1549" t="s">
        <v>11128</v>
      </c>
      <c r="P1549" t="s">
        <v>11164</v>
      </c>
      <c r="R1549" t="s">
        <v>11180</v>
      </c>
      <c r="S1549" t="s">
        <v>9096</v>
      </c>
      <c r="T1549" t="s">
        <v>11183</v>
      </c>
      <c r="U1549" t="s">
        <v>11201</v>
      </c>
      <c r="W1549">
        <v>900</v>
      </c>
      <c r="X1549" t="s">
        <v>11331</v>
      </c>
      <c r="Y1549" t="s">
        <v>11336</v>
      </c>
      <c r="Z1549" t="s">
        <v>12442</v>
      </c>
      <c r="AA1549" t="s">
        <v>15572</v>
      </c>
      <c r="AB1549" t="s">
        <v>16848</v>
      </c>
      <c r="AC1549">
        <v>1</v>
      </c>
      <c r="AD1549" t="s">
        <v>19565</v>
      </c>
      <c r="AE1549" t="s">
        <v>9144</v>
      </c>
      <c r="AF1549">
        <v>8</v>
      </c>
      <c r="AG1549">
        <v>1</v>
      </c>
      <c r="AH1549">
        <v>1</v>
      </c>
      <c r="AI1549">
        <v>62.09</v>
      </c>
      <c r="AL1549" t="s">
        <v>19614</v>
      </c>
      <c r="AM1549">
        <v>10500</v>
      </c>
      <c r="AS1549">
        <v>1.63</v>
      </c>
      <c r="AT1549" t="s">
        <v>321</v>
      </c>
      <c r="AU1549" t="s">
        <v>20619</v>
      </c>
      <c r="AV1549" t="s">
        <v>20733</v>
      </c>
    </row>
    <row r="1550" spans="1:48">
      <c r="A1550" s="1">
        <f>HYPERLINK("https://lsnyc.legalserver.org/matter/dynamic-profile/view/1871730","18-1871730")</f>
        <v>0</v>
      </c>
      <c r="B1550" t="s">
        <v>78</v>
      </c>
      <c r="C1550" t="s">
        <v>256</v>
      </c>
      <c r="D1550" t="s">
        <v>686</v>
      </c>
      <c r="F1550" t="s">
        <v>1721</v>
      </c>
      <c r="G1550" t="s">
        <v>3503</v>
      </c>
      <c r="H1550" t="s">
        <v>6277</v>
      </c>
      <c r="I1550" t="s">
        <v>8112</v>
      </c>
      <c r="J1550" t="s">
        <v>9059</v>
      </c>
      <c r="K1550">
        <v>11206</v>
      </c>
      <c r="L1550" t="s">
        <v>9094</v>
      </c>
      <c r="M1550" t="s">
        <v>9094</v>
      </c>
      <c r="N1550" t="s">
        <v>9553</v>
      </c>
      <c r="O1550" t="s">
        <v>11134</v>
      </c>
      <c r="P1550" t="s">
        <v>11168</v>
      </c>
      <c r="R1550" t="s">
        <v>11180</v>
      </c>
      <c r="S1550" t="s">
        <v>9094</v>
      </c>
      <c r="T1550" t="s">
        <v>11183</v>
      </c>
      <c r="V1550" t="s">
        <v>11253</v>
      </c>
      <c r="W1550">
        <v>1283</v>
      </c>
      <c r="X1550" t="s">
        <v>11332</v>
      </c>
      <c r="Z1550" t="s">
        <v>12443</v>
      </c>
      <c r="AB1550" t="s">
        <v>16849</v>
      </c>
      <c r="AC1550">
        <v>29</v>
      </c>
      <c r="AD1550" t="s">
        <v>19566</v>
      </c>
      <c r="AE1550" t="s">
        <v>19586</v>
      </c>
      <c r="AF1550">
        <v>2</v>
      </c>
      <c r="AG1550">
        <v>2</v>
      </c>
      <c r="AH1550">
        <v>0</v>
      </c>
      <c r="AI1550">
        <v>62.11</v>
      </c>
      <c r="AL1550" t="s">
        <v>19614</v>
      </c>
      <c r="AM1550">
        <v>10224</v>
      </c>
      <c r="AN1550" t="s">
        <v>19665</v>
      </c>
      <c r="AS1550">
        <v>0</v>
      </c>
      <c r="AU1550" t="s">
        <v>20637</v>
      </c>
    </row>
    <row r="1551" spans="1:48">
      <c r="A1551" s="1">
        <f>HYPERLINK("https://lsnyc.legalserver.org/matter/dynamic-profile/view/1857222","18-1857222")</f>
        <v>0</v>
      </c>
      <c r="B1551" t="s">
        <v>78</v>
      </c>
      <c r="C1551" t="s">
        <v>256</v>
      </c>
      <c r="D1551" t="s">
        <v>466</v>
      </c>
      <c r="F1551" t="s">
        <v>1721</v>
      </c>
      <c r="G1551" t="s">
        <v>3503</v>
      </c>
      <c r="H1551" t="s">
        <v>6277</v>
      </c>
      <c r="I1551" t="s">
        <v>8112</v>
      </c>
      <c r="J1551" t="s">
        <v>9059</v>
      </c>
      <c r="K1551">
        <v>11206</v>
      </c>
      <c r="L1551" t="s">
        <v>9094</v>
      </c>
      <c r="M1551" t="s">
        <v>9094</v>
      </c>
      <c r="O1551" t="s">
        <v>11130</v>
      </c>
      <c r="P1551" t="s">
        <v>11165</v>
      </c>
      <c r="R1551" t="s">
        <v>11180</v>
      </c>
      <c r="S1551" t="s">
        <v>9094</v>
      </c>
      <c r="T1551" t="s">
        <v>11183</v>
      </c>
      <c r="V1551" t="s">
        <v>970</v>
      </c>
      <c r="W1551">
        <v>1283</v>
      </c>
      <c r="X1551" t="s">
        <v>11332</v>
      </c>
      <c r="Z1551" t="s">
        <v>12443</v>
      </c>
      <c r="AB1551" t="s">
        <v>16849</v>
      </c>
      <c r="AC1551">
        <v>29</v>
      </c>
      <c r="AD1551" t="s">
        <v>19566</v>
      </c>
      <c r="AE1551" t="s">
        <v>19586</v>
      </c>
      <c r="AF1551">
        <v>2</v>
      </c>
      <c r="AG1551">
        <v>2</v>
      </c>
      <c r="AH1551">
        <v>0</v>
      </c>
      <c r="AI1551">
        <v>62.11</v>
      </c>
      <c r="AL1551" t="s">
        <v>19614</v>
      </c>
      <c r="AM1551">
        <v>10224</v>
      </c>
      <c r="AN1551" t="s">
        <v>19799</v>
      </c>
      <c r="AS1551">
        <v>0</v>
      </c>
      <c r="AU1551" t="s">
        <v>95</v>
      </c>
    </row>
    <row r="1552" spans="1:48">
      <c r="A1552" s="1">
        <f>HYPERLINK("https://lsnyc.legalserver.org/matter/dynamic-profile/view/1911766","19-1911766")</f>
        <v>0</v>
      </c>
      <c r="B1552" t="s">
        <v>106</v>
      </c>
      <c r="C1552" t="s">
        <v>257</v>
      </c>
      <c r="D1552" t="s">
        <v>290</v>
      </c>
      <c r="E1552" t="s">
        <v>263</v>
      </c>
      <c r="F1552" t="s">
        <v>1927</v>
      </c>
      <c r="G1552" t="s">
        <v>4099</v>
      </c>
      <c r="H1552" t="s">
        <v>6564</v>
      </c>
      <c r="I1552">
        <v>2</v>
      </c>
      <c r="J1552" t="s">
        <v>9065</v>
      </c>
      <c r="K1552">
        <v>10456</v>
      </c>
      <c r="L1552" t="s">
        <v>9094</v>
      </c>
      <c r="M1552" t="s">
        <v>9095</v>
      </c>
      <c r="O1552" t="s">
        <v>11141</v>
      </c>
      <c r="P1552" t="s">
        <v>11164</v>
      </c>
      <c r="Q1552" t="s">
        <v>11172</v>
      </c>
      <c r="R1552" t="s">
        <v>11180</v>
      </c>
      <c r="S1552" t="s">
        <v>9096</v>
      </c>
      <c r="T1552" t="s">
        <v>11183</v>
      </c>
      <c r="U1552" t="s">
        <v>11201</v>
      </c>
      <c r="W1552">
        <v>1600</v>
      </c>
      <c r="X1552" t="s">
        <v>11333</v>
      </c>
      <c r="Y1552" t="s">
        <v>11346</v>
      </c>
      <c r="Z1552" t="s">
        <v>12444</v>
      </c>
      <c r="AB1552" t="s">
        <v>16850</v>
      </c>
      <c r="AC1552">
        <v>2</v>
      </c>
      <c r="AD1552" t="s">
        <v>19576</v>
      </c>
      <c r="AE1552" t="s">
        <v>19580</v>
      </c>
      <c r="AF1552">
        <v>14</v>
      </c>
      <c r="AG1552">
        <v>3</v>
      </c>
      <c r="AH1552">
        <v>1</v>
      </c>
      <c r="AI1552">
        <v>62.14</v>
      </c>
      <c r="AL1552" t="s">
        <v>19615</v>
      </c>
      <c r="AM1552">
        <v>16000</v>
      </c>
      <c r="AS1552">
        <v>0.8</v>
      </c>
      <c r="AT1552" t="s">
        <v>290</v>
      </c>
      <c r="AU1552" t="s">
        <v>106</v>
      </c>
      <c r="AV1552" t="s">
        <v>20733</v>
      </c>
    </row>
    <row r="1553" spans="1:48">
      <c r="A1553" s="1">
        <f>HYPERLINK("https://lsnyc.legalserver.org/matter/dynamic-profile/view/0832581","17-0832581")</f>
        <v>0</v>
      </c>
      <c r="B1553" t="s">
        <v>139</v>
      </c>
      <c r="C1553" t="s">
        <v>256</v>
      </c>
      <c r="D1553" t="s">
        <v>807</v>
      </c>
      <c r="F1553" t="s">
        <v>1928</v>
      </c>
      <c r="G1553" t="s">
        <v>3419</v>
      </c>
      <c r="H1553" t="s">
        <v>5959</v>
      </c>
      <c r="I1553">
        <v>52</v>
      </c>
      <c r="J1553" t="s">
        <v>9067</v>
      </c>
      <c r="K1553">
        <v>10032</v>
      </c>
      <c r="L1553" t="s">
        <v>9094</v>
      </c>
      <c r="M1553" t="s">
        <v>9095</v>
      </c>
      <c r="O1553" t="s">
        <v>11130</v>
      </c>
      <c r="P1553" t="s">
        <v>11166</v>
      </c>
      <c r="R1553" t="s">
        <v>11180</v>
      </c>
      <c r="S1553" t="s">
        <v>9094</v>
      </c>
      <c r="T1553" t="s">
        <v>11183</v>
      </c>
      <c r="V1553" t="s">
        <v>878</v>
      </c>
      <c r="W1553">
        <v>0</v>
      </c>
      <c r="X1553" t="s">
        <v>11335</v>
      </c>
      <c r="Y1553" t="s">
        <v>11339</v>
      </c>
      <c r="Z1553" t="s">
        <v>12445</v>
      </c>
      <c r="AB1553" t="s">
        <v>16851</v>
      </c>
      <c r="AC1553">
        <v>0</v>
      </c>
      <c r="AD1553" t="s">
        <v>19566</v>
      </c>
      <c r="AE1553" t="s">
        <v>9144</v>
      </c>
      <c r="AF1553">
        <v>8</v>
      </c>
      <c r="AG1553">
        <v>2</v>
      </c>
      <c r="AH1553">
        <v>0</v>
      </c>
      <c r="AI1553">
        <v>62.14</v>
      </c>
      <c r="AJ1553" t="s">
        <v>704</v>
      </c>
      <c r="AL1553" t="s">
        <v>19615</v>
      </c>
      <c r="AM1553">
        <v>10092</v>
      </c>
      <c r="AS1553">
        <v>12.25</v>
      </c>
      <c r="AT1553" t="s">
        <v>723</v>
      </c>
      <c r="AU1553" t="s">
        <v>20657</v>
      </c>
    </row>
    <row r="1554" spans="1:48">
      <c r="A1554" s="1">
        <f>HYPERLINK("https://lsnyc.legalserver.org/matter/dynamic-profile/view/0832587","17-0832587")</f>
        <v>0</v>
      </c>
      <c r="B1554" t="s">
        <v>139</v>
      </c>
      <c r="C1554" t="s">
        <v>256</v>
      </c>
      <c r="D1554" t="s">
        <v>807</v>
      </c>
      <c r="F1554" t="s">
        <v>1928</v>
      </c>
      <c r="G1554" t="s">
        <v>3419</v>
      </c>
      <c r="H1554" t="s">
        <v>5959</v>
      </c>
      <c r="I1554">
        <v>52</v>
      </c>
      <c r="J1554" t="s">
        <v>9067</v>
      </c>
      <c r="K1554">
        <v>10032</v>
      </c>
      <c r="L1554" t="s">
        <v>9094</v>
      </c>
      <c r="M1554" t="s">
        <v>9095</v>
      </c>
      <c r="O1554" t="s">
        <v>9121</v>
      </c>
      <c r="P1554" t="s">
        <v>11166</v>
      </c>
      <c r="R1554" t="s">
        <v>11180</v>
      </c>
      <c r="S1554" t="s">
        <v>9094</v>
      </c>
      <c r="T1554" t="s">
        <v>11183</v>
      </c>
      <c r="V1554" t="s">
        <v>11231</v>
      </c>
      <c r="W1554">
        <v>120</v>
      </c>
      <c r="X1554" t="s">
        <v>11335</v>
      </c>
      <c r="Y1554" t="s">
        <v>11339</v>
      </c>
      <c r="Z1554" t="s">
        <v>12445</v>
      </c>
      <c r="AB1554" t="s">
        <v>16851</v>
      </c>
      <c r="AC1554">
        <v>44</v>
      </c>
      <c r="AD1554" t="s">
        <v>19566</v>
      </c>
      <c r="AE1554" t="s">
        <v>9144</v>
      </c>
      <c r="AF1554">
        <v>8</v>
      </c>
      <c r="AG1554">
        <v>2</v>
      </c>
      <c r="AH1554">
        <v>0</v>
      </c>
      <c r="AI1554">
        <v>62.14</v>
      </c>
      <c r="AJ1554" t="s">
        <v>1089</v>
      </c>
      <c r="AL1554" t="s">
        <v>19615</v>
      </c>
      <c r="AM1554">
        <v>10092</v>
      </c>
      <c r="AS1554">
        <v>0</v>
      </c>
      <c r="AU1554" t="s">
        <v>20657</v>
      </c>
    </row>
    <row r="1555" spans="1:48">
      <c r="A1555" s="1">
        <f>HYPERLINK("https://lsnyc.legalserver.org/matter/dynamic-profile/view/1873655","18-1873655")</f>
        <v>0</v>
      </c>
      <c r="B1555" t="s">
        <v>50</v>
      </c>
      <c r="C1555" t="s">
        <v>256</v>
      </c>
      <c r="D1555" t="s">
        <v>808</v>
      </c>
      <c r="F1555" t="s">
        <v>1212</v>
      </c>
      <c r="G1555" t="s">
        <v>3485</v>
      </c>
      <c r="H1555" t="s">
        <v>6565</v>
      </c>
      <c r="I1555" t="s">
        <v>8461</v>
      </c>
      <c r="J1555" t="s">
        <v>9038</v>
      </c>
      <c r="K1555">
        <v>11691</v>
      </c>
      <c r="L1555" t="s">
        <v>9094</v>
      </c>
      <c r="M1555" t="s">
        <v>9094</v>
      </c>
      <c r="N1555" t="s">
        <v>9776</v>
      </c>
      <c r="O1555" t="s">
        <v>11128</v>
      </c>
      <c r="P1555" t="s">
        <v>11164</v>
      </c>
      <c r="R1555" t="s">
        <v>11180</v>
      </c>
      <c r="S1555" t="s">
        <v>9096</v>
      </c>
      <c r="T1555" t="s">
        <v>11183</v>
      </c>
      <c r="U1555" t="s">
        <v>11202</v>
      </c>
      <c r="V1555" t="s">
        <v>11208</v>
      </c>
      <c r="W1555">
        <v>1836</v>
      </c>
      <c r="X1555" t="s">
        <v>11331</v>
      </c>
      <c r="Y1555" t="s">
        <v>11349</v>
      </c>
      <c r="Z1555" t="s">
        <v>12446</v>
      </c>
      <c r="AB1555" t="s">
        <v>16852</v>
      </c>
      <c r="AC1555">
        <v>3</v>
      </c>
      <c r="AD1555" t="s">
        <v>19565</v>
      </c>
      <c r="AE1555" t="s">
        <v>19580</v>
      </c>
      <c r="AF1555">
        <v>3</v>
      </c>
      <c r="AG1555">
        <v>3</v>
      </c>
      <c r="AH1555">
        <v>1</v>
      </c>
      <c r="AI1555">
        <v>62.15</v>
      </c>
      <c r="AL1555" t="s">
        <v>19614</v>
      </c>
      <c r="AM1555">
        <v>15600</v>
      </c>
      <c r="AS1555">
        <v>2.6</v>
      </c>
      <c r="AT1555" t="s">
        <v>355</v>
      </c>
      <c r="AU1555" t="s">
        <v>50</v>
      </c>
    </row>
    <row r="1556" spans="1:48">
      <c r="A1556" s="1">
        <f>HYPERLINK("https://lsnyc.legalserver.org/matter/dynamic-profile/view/1887830","19-1887830")</f>
        <v>0</v>
      </c>
      <c r="B1556" t="s">
        <v>78</v>
      </c>
      <c r="C1556" t="s">
        <v>256</v>
      </c>
      <c r="D1556" t="s">
        <v>363</v>
      </c>
      <c r="F1556" t="s">
        <v>1929</v>
      </c>
      <c r="G1556" t="s">
        <v>4100</v>
      </c>
      <c r="H1556" t="s">
        <v>5785</v>
      </c>
      <c r="I1556" t="s">
        <v>8462</v>
      </c>
      <c r="J1556" t="s">
        <v>9059</v>
      </c>
      <c r="K1556">
        <v>11225</v>
      </c>
      <c r="L1556" t="s">
        <v>9094</v>
      </c>
      <c r="M1556" t="s">
        <v>9095</v>
      </c>
      <c r="O1556" t="s">
        <v>11134</v>
      </c>
      <c r="P1556" t="s">
        <v>11168</v>
      </c>
      <c r="R1556" t="s">
        <v>11180</v>
      </c>
      <c r="S1556" t="s">
        <v>9094</v>
      </c>
      <c r="T1556" t="s">
        <v>11183</v>
      </c>
      <c r="V1556" t="s">
        <v>412</v>
      </c>
      <c r="W1556">
        <v>745.62</v>
      </c>
      <c r="X1556" t="s">
        <v>11332</v>
      </c>
      <c r="Y1556" t="s">
        <v>11339</v>
      </c>
      <c r="Z1556" t="s">
        <v>12447</v>
      </c>
      <c r="AB1556" t="s">
        <v>16853</v>
      </c>
      <c r="AC1556">
        <v>89</v>
      </c>
      <c r="AD1556" t="s">
        <v>19566</v>
      </c>
      <c r="AE1556" t="s">
        <v>9144</v>
      </c>
      <c r="AF1556">
        <v>40</v>
      </c>
      <c r="AG1556">
        <v>4</v>
      </c>
      <c r="AH1556">
        <v>0</v>
      </c>
      <c r="AI1556">
        <v>62.15</v>
      </c>
      <c r="AL1556" t="s">
        <v>19614</v>
      </c>
      <c r="AM1556">
        <v>15600</v>
      </c>
      <c r="AS1556">
        <v>0</v>
      </c>
      <c r="AU1556" t="s">
        <v>79</v>
      </c>
    </row>
    <row r="1557" spans="1:48">
      <c r="A1557" s="1">
        <f>HYPERLINK("https://lsnyc.legalserver.org/matter/dynamic-profile/view/1864009","18-1864009")</f>
        <v>0</v>
      </c>
      <c r="B1557" t="s">
        <v>78</v>
      </c>
      <c r="C1557" t="s">
        <v>256</v>
      </c>
      <c r="D1557" t="s">
        <v>809</v>
      </c>
      <c r="F1557" t="s">
        <v>1929</v>
      </c>
      <c r="G1557" t="s">
        <v>4100</v>
      </c>
      <c r="H1557" t="s">
        <v>5785</v>
      </c>
      <c r="I1557" t="s">
        <v>8462</v>
      </c>
      <c r="J1557" t="s">
        <v>9059</v>
      </c>
      <c r="K1557">
        <v>11225</v>
      </c>
      <c r="L1557" t="s">
        <v>9094</v>
      </c>
      <c r="M1557" t="s">
        <v>9095</v>
      </c>
      <c r="O1557" t="s">
        <v>11137</v>
      </c>
      <c r="P1557" t="s">
        <v>11167</v>
      </c>
      <c r="R1557" t="s">
        <v>11180</v>
      </c>
      <c r="S1557" t="s">
        <v>9094</v>
      </c>
      <c r="T1557" t="s">
        <v>11183</v>
      </c>
      <c r="V1557" t="s">
        <v>412</v>
      </c>
      <c r="W1557">
        <v>745.62</v>
      </c>
      <c r="X1557" t="s">
        <v>11332</v>
      </c>
      <c r="Y1557" t="s">
        <v>11339</v>
      </c>
      <c r="Z1557" t="s">
        <v>12447</v>
      </c>
      <c r="AB1557" t="s">
        <v>16853</v>
      </c>
      <c r="AC1557">
        <v>89</v>
      </c>
      <c r="AD1557" t="s">
        <v>19566</v>
      </c>
      <c r="AE1557" t="s">
        <v>9144</v>
      </c>
      <c r="AF1557">
        <v>40</v>
      </c>
      <c r="AG1557">
        <v>4</v>
      </c>
      <c r="AH1557">
        <v>0</v>
      </c>
      <c r="AI1557">
        <v>62.15</v>
      </c>
      <c r="AL1557" t="s">
        <v>19614</v>
      </c>
      <c r="AM1557">
        <v>15600</v>
      </c>
      <c r="AS1557">
        <v>0</v>
      </c>
      <c r="AU1557" t="s">
        <v>95</v>
      </c>
    </row>
    <row r="1558" spans="1:48">
      <c r="A1558" s="1">
        <f>HYPERLINK("https://lsnyc.legalserver.org/matter/dynamic-profile/view/1868777","18-1868777")</f>
        <v>0</v>
      </c>
      <c r="B1558" t="s">
        <v>113</v>
      </c>
      <c r="C1558" t="s">
        <v>256</v>
      </c>
      <c r="D1558" t="s">
        <v>810</v>
      </c>
      <c r="F1558" t="s">
        <v>1357</v>
      </c>
      <c r="G1558" t="s">
        <v>3539</v>
      </c>
      <c r="H1558" t="s">
        <v>5896</v>
      </c>
      <c r="I1558" t="s">
        <v>8149</v>
      </c>
      <c r="J1558" t="s">
        <v>9065</v>
      </c>
      <c r="K1558">
        <v>10453</v>
      </c>
      <c r="L1558" t="s">
        <v>9094</v>
      </c>
      <c r="M1558" t="s">
        <v>9094</v>
      </c>
      <c r="N1558" t="s">
        <v>9777</v>
      </c>
      <c r="O1558" t="s">
        <v>11130</v>
      </c>
      <c r="P1558" t="s">
        <v>11165</v>
      </c>
      <c r="R1558" t="s">
        <v>11180</v>
      </c>
      <c r="S1558" t="s">
        <v>9096</v>
      </c>
      <c r="T1558" t="s">
        <v>11183</v>
      </c>
      <c r="V1558" t="s">
        <v>332</v>
      </c>
      <c r="W1558">
        <v>925</v>
      </c>
      <c r="X1558" t="s">
        <v>11333</v>
      </c>
      <c r="Y1558" t="s">
        <v>11340</v>
      </c>
      <c r="Z1558" t="s">
        <v>11606</v>
      </c>
      <c r="AA1558" t="s">
        <v>15573</v>
      </c>
      <c r="AB1558" t="s">
        <v>16090</v>
      </c>
      <c r="AC1558">
        <v>24</v>
      </c>
      <c r="AD1558" t="s">
        <v>19566</v>
      </c>
      <c r="AE1558" t="s">
        <v>9144</v>
      </c>
      <c r="AF1558">
        <v>12</v>
      </c>
      <c r="AG1558">
        <v>4</v>
      </c>
      <c r="AH1558">
        <v>0</v>
      </c>
      <c r="AI1558">
        <v>62.15</v>
      </c>
      <c r="AL1558" t="s">
        <v>19615</v>
      </c>
      <c r="AM1558">
        <v>15600</v>
      </c>
      <c r="AS1558">
        <v>77.65000000000001</v>
      </c>
      <c r="AT1558" t="s">
        <v>331</v>
      </c>
      <c r="AU1558" t="s">
        <v>20642</v>
      </c>
    </row>
    <row r="1559" spans="1:48">
      <c r="A1559" s="1">
        <f>HYPERLINK("https://lsnyc.legalserver.org/matter/dynamic-profile/view/1890404","19-1890404")</f>
        <v>0</v>
      </c>
      <c r="B1559" t="s">
        <v>117</v>
      </c>
      <c r="C1559" t="s">
        <v>256</v>
      </c>
      <c r="D1559" t="s">
        <v>397</v>
      </c>
      <c r="F1559" t="s">
        <v>1541</v>
      </c>
      <c r="G1559" t="s">
        <v>4101</v>
      </c>
      <c r="H1559" t="s">
        <v>5888</v>
      </c>
      <c r="I1559" t="s">
        <v>8192</v>
      </c>
      <c r="J1559" t="s">
        <v>9065</v>
      </c>
      <c r="K1559">
        <v>10453</v>
      </c>
      <c r="L1559" t="s">
        <v>9094</v>
      </c>
      <c r="M1559" t="s">
        <v>9094</v>
      </c>
      <c r="O1559" t="s">
        <v>11134</v>
      </c>
      <c r="P1559" t="s">
        <v>11168</v>
      </c>
      <c r="R1559" t="s">
        <v>11180</v>
      </c>
      <c r="S1559" t="s">
        <v>9094</v>
      </c>
      <c r="T1559" t="s">
        <v>11183</v>
      </c>
      <c r="V1559" t="s">
        <v>512</v>
      </c>
      <c r="W1559">
        <v>187</v>
      </c>
      <c r="X1559" t="s">
        <v>11333</v>
      </c>
      <c r="Y1559" t="s">
        <v>11346</v>
      </c>
      <c r="Z1559" t="s">
        <v>12448</v>
      </c>
      <c r="AB1559" t="s">
        <v>16854</v>
      </c>
      <c r="AC1559">
        <v>44</v>
      </c>
      <c r="AD1559" t="s">
        <v>19566</v>
      </c>
      <c r="AE1559" t="s">
        <v>19580</v>
      </c>
      <c r="AF1559">
        <v>25</v>
      </c>
      <c r="AG1559">
        <v>1</v>
      </c>
      <c r="AH1559">
        <v>0</v>
      </c>
      <c r="AI1559">
        <v>62.16</v>
      </c>
      <c r="AL1559" t="s">
        <v>19615</v>
      </c>
      <c r="AM1559">
        <v>7764</v>
      </c>
      <c r="AS1559">
        <v>0</v>
      </c>
      <c r="AU1559" t="s">
        <v>163</v>
      </c>
    </row>
    <row r="1560" spans="1:48">
      <c r="A1560" s="1">
        <f>HYPERLINK("https://lsnyc.legalserver.org/matter/dynamic-profile/view/1896367","19-1896367")</f>
        <v>0</v>
      </c>
      <c r="B1560" t="s">
        <v>137</v>
      </c>
      <c r="C1560" t="s">
        <v>256</v>
      </c>
      <c r="D1560" t="s">
        <v>350</v>
      </c>
      <c r="F1560" t="s">
        <v>1930</v>
      </c>
      <c r="G1560" t="s">
        <v>3364</v>
      </c>
      <c r="H1560" t="s">
        <v>6566</v>
      </c>
      <c r="I1560" t="s">
        <v>8463</v>
      </c>
      <c r="J1560" t="s">
        <v>9067</v>
      </c>
      <c r="K1560">
        <v>10034</v>
      </c>
      <c r="L1560" t="s">
        <v>9094</v>
      </c>
      <c r="M1560" t="s">
        <v>9095</v>
      </c>
      <c r="O1560" t="s">
        <v>9121</v>
      </c>
      <c r="P1560" t="s">
        <v>11166</v>
      </c>
      <c r="R1560" t="s">
        <v>11180</v>
      </c>
      <c r="S1560" t="s">
        <v>9096</v>
      </c>
      <c r="T1560" t="s">
        <v>11183</v>
      </c>
      <c r="V1560" t="s">
        <v>350</v>
      </c>
      <c r="W1560">
        <v>460</v>
      </c>
      <c r="X1560" t="s">
        <v>11335</v>
      </c>
      <c r="Y1560" t="s">
        <v>11338</v>
      </c>
      <c r="Z1560" t="s">
        <v>12449</v>
      </c>
      <c r="AB1560" t="s">
        <v>16855</v>
      </c>
      <c r="AC1560">
        <v>68</v>
      </c>
      <c r="AD1560" t="s">
        <v>19566</v>
      </c>
      <c r="AE1560" t="s">
        <v>9144</v>
      </c>
      <c r="AF1560">
        <v>4</v>
      </c>
      <c r="AG1560">
        <v>2</v>
      </c>
      <c r="AH1560">
        <v>0</v>
      </c>
      <c r="AI1560">
        <v>62.31</v>
      </c>
      <c r="AL1560" t="s">
        <v>19615</v>
      </c>
      <c r="AM1560">
        <v>10536</v>
      </c>
      <c r="AS1560">
        <v>11.85</v>
      </c>
      <c r="AT1560" t="s">
        <v>333</v>
      </c>
      <c r="AU1560" t="s">
        <v>20658</v>
      </c>
      <c r="AV1560" t="s">
        <v>20733</v>
      </c>
    </row>
    <row r="1561" spans="1:48">
      <c r="A1561" s="1">
        <f>HYPERLINK("https://lsnyc.legalserver.org/matter/dynamic-profile/view/0797447","16-0797447")</f>
        <v>0</v>
      </c>
      <c r="B1561" t="s">
        <v>101</v>
      </c>
      <c r="C1561" t="s">
        <v>256</v>
      </c>
      <c r="D1561" t="s">
        <v>811</v>
      </c>
      <c r="F1561" t="s">
        <v>1137</v>
      </c>
      <c r="G1561" t="s">
        <v>4102</v>
      </c>
      <c r="H1561" t="s">
        <v>5890</v>
      </c>
      <c r="I1561" t="s">
        <v>8464</v>
      </c>
      <c r="J1561" t="s">
        <v>9065</v>
      </c>
      <c r="K1561">
        <v>10453</v>
      </c>
      <c r="L1561" t="s">
        <v>9094</v>
      </c>
      <c r="M1561" t="s">
        <v>9095</v>
      </c>
      <c r="N1561" t="s">
        <v>9171</v>
      </c>
      <c r="O1561" t="s">
        <v>11147</v>
      </c>
      <c r="P1561" t="s">
        <v>11165</v>
      </c>
      <c r="R1561" t="s">
        <v>11180</v>
      </c>
      <c r="S1561" t="s">
        <v>9094</v>
      </c>
      <c r="T1561" t="s">
        <v>11183</v>
      </c>
      <c r="V1561" t="s">
        <v>1113</v>
      </c>
      <c r="W1561">
        <v>1263</v>
      </c>
      <c r="X1561" t="s">
        <v>11333</v>
      </c>
      <c r="Y1561" t="s">
        <v>11346</v>
      </c>
      <c r="Z1561" t="s">
        <v>12450</v>
      </c>
      <c r="AB1561" t="s">
        <v>16856</v>
      </c>
      <c r="AC1561">
        <v>0</v>
      </c>
      <c r="AD1561" t="s">
        <v>19566</v>
      </c>
      <c r="AF1561">
        <v>-1</v>
      </c>
      <c r="AG1561">
        <v>1</v>
      </c>
      <c r="AH1561">
        <v>1</v>
      </c>
      <c r="AI1561">
        <v>62.42</v>
      </c>
      <c r="AL1561" t="s">
        <v>19614</v>
      </c>
      <c r="AM1561">
        <v>10000</v>
      </c>
      <c r="AS1561">
        <v>0</v>
      </c>
      <c r="AU1561" t="s">
        <v>109</v>
      </c>
    </row>
    <row r="1562" spans="1:48">
      <c r="A1562" s="1">
        <f>HYPERLINK("https://lsnyc.legalserver.org/matter/dynamic-profile/view/1912649","19-1912649")</f>
        <v>0</v>
      </c>
      <c r="B1562" t="s">
        <v>49</v>
      </c>
      <c r="C1562" t="s">
        <v>257</v>
      </c>
      <c r="D1562" t="s">
        <v>263</v>
      </c>
      <c r="E1562" t="s">
        <v>476</v>
      </c>
      <c r="F1562" t="s">
        <v>1266</v>
      </c>
      <c r="G1562" t="s">
        <v>4103</v>
      </c>
      <c r="H1562" t="s">
        <v>6567</v>
      </c>
      <c r="J1562" t="s">
        <v>9081</v>
      </c>
      <c r="K1562">
        <v>11413</v>
      </c>
      <c r="L1562" t="s">
        <v>9094</v>
      </c>
      <c r="M1562" t="s">
        <v>9095</v>
      </c>
      <c r="N1562" t="s">
        <v>9778</v>
      </c>
      <c r="O1562" t="s">
        <v>11128</v>
      </c>
      <c r="P1562" t="s">
        <v>11164</v>
      </c>
      <c r="Q1562" t="s">
        <v>11172</v>
      </c>
      <c r="R1562" t="s">
        <v>11180</v>
      </c>
      <c r="S1562" t="s">
        <v>9096</v>
      </c>
      <c r="T1562" t="s">
        <v>11183</v>
      </c>
      <c r="U1562" t="s">
        <v>11201</v>
      </c>
      <c r="V1562" t="s">
        <v>563</v>
      </c>
      <c r="W1562">
        <v>1800</v>
      </c>
      <c r="X1562" t="s">
        <v>11331</v>
      </c>
      <c r="Y1562" t="s">
        <v>11336</v>
      </c>
      <c r="Z1562" t="s">
        <v>12451</v>
      </c>
      <c r="AB1562" t="s">
        <v>16857</v>
      </c>
      <c r="AC1562">
        <v>1</v>
      </c>
      <c r="AD1562" t="s">
        <v>19565</v>
      </c>
      <c r="AE1562" t="s">
        <v>9144</v>
      </c>
      <c r="AF1562">
        <v>-1</v>
      </c>
      <c r="AG1562">
        <v>1</v>
      </c>
      <c r="AH1562">
        <v>0</v>
      </c>
      <c r="AI1562">
        <v>62.45</v>
      </c>
      <c r="AL1562" t="s">
        <v>19614</v>
      </c>
      <c r="AM1562">
        <v>7800</v>
      </c>
      <c r="AS1562">
        <v>1.92</v>
      </c>
      <c r="AT1562" t="s">
        <v>612</v>
      </c>
      <c r="AU1562" t="s">
        <v>20619</v>
      </c>
      <c r="AV1562" t="s">
        <v>20733</v>
      </c>
    </row>
    <row r="1563" spans="1:48">
      <c r="A1563" s="1">
        <f>HYPERLINK("https://lsnyc.legalserver.org/matter/dynamic-profile/view/1890006","19-1890006")</f>
        <v>0</v>
      </c>
      <c r="B1563" t="s">
        <v>102</v>
      </c>
      <c r="C1563" t="s">
        <v>256</v>
      </c>
      <c r="D1563" t="s">
        <v>447</v>
      </c>
      <c r="F1563" t="s">
        <v>1173</v>
      </c>
      <c r="G1563" t="s">
        <v>4104</v>
      </c>
      <c r="H1563" t="s">
        <v>6568</v>
      </c>
      <c r="I1563" t="s">
        <v>8465</v>
      </c>
      <c r="J1563" t="s">
        <v>9065</v>
      </c>
      <c r="K1563">
        <v>10466</v>
      </c>
      <c r="L1563" t="s">
        <v>9094</v>
      </c>
      <c r="M1563" t="s">
        <v>9094</v>
      </c>
      <c r="P1563" t="s">
        <v>11164</v>
      </c>
      <c r="R1563" t="s">
        <v>11180</v>
      </c>
      <c r="S1563" t="s">
        <v>9096</v>
      </c>
      <c r="T1563" t="s">
        <v>11183</v>
      </c>
      <c r="V1563" t="s">
        <v>11218</v>
      </c>
      <c r="W1563">
        <v>700</v>
      </c>
      <c r="X1563" t="s">
        <v>11333</v>
      </c>
      <c r="Y1563" t="s">
        <v>11346</v>
      </c>
      <c r="Z1563" t="s">
        <v>12452</v>
      </c>
      <c r="AB1563" t="s">
        <v>15274</v>
      </c>
      <c r="AC1563">
        <v>0</v>
      </c>
      <c r="AD1563" t="s">
        <v>15441</v>
      </c>
      <c r="AF1563">
        <v>1</v>
      </c>
      <c r="AG1563">
        <v>1</v>
      </c>
      <c r="AH1563">
        <v>0</v>
      </c>
      <c r="AI1563">
        <v>62.45</v>
      </c>
      <c r="AL1563" t="s">
        <v>19614</v>
      </c>
      <c r="AM1563">
        <v>7800</v>
      </c>
      <c r="AS1563">
        <v>0</v>
      </c>
      <c r="AU1563" t="s">
        <v>20646</v>
      </c>
      <c r="AV1563" t="s">
        <v>20733</v>
      </c>
    </row>
    <row r="1564" spans="1:48">
      <c r="A1564" s="1">
        <f>HYPERLINK("https://lsnyc.legalserver.org/matter/dynamic-profile/view/1910603","19-1910603")</f>
        <v>0</v>
      </c>
      <c r="B1564" t="s">
        <v>110</v>
      </c>
      <c r="C1564" t="s">
        <v>257</v>
      </c>
      <c r="D1564" t="s">
        <v>259</v>
      </c>
      <c r="E1564" t="s">
        <v>476</v>
      </c>
      <c r="F1564" t="s">
        <v>1450</v>
      </c>
      <c r="G1564" t="s">
        <v>3448</v>
      </c>
      <c r="H1564" t="s">
        <v>6569</v>
      </c>
      <c r="I1564" t="s">
        <v>8197</v>
      </c>
      <c r="J1564" t="s">
        <v>9065</v>
      </c>
      <c r="K1564">
        <v>10459</v>
      </c>
      <c r="L1564" t="s">
        <v>9094</v>
      </c>
      <c r="M1564" t="s">
        <v>9095</v>
      </c>
      <c r="O1564" t="s">
        <v>9121</v>
      </c>
      <c r="P1564" t="s">
        <v>11164</v>
      </c>
      <c r="Q1564" t="s">
        <v>11172</v>
      </c>
      <c r="R1564" t="s">
        <v>11180</v>
      </c>
      <c r="S1564" t="s">
        <v>9096</v>
      </c>
      <c r="T1564" t="s">
        <v>11183</v>
      </c>
      <c r="W1564">
        <v>678.54</v>
      </c>
      <c r="X1564" t="s">
        <v>11333</v>
      </c>
      <c r="Z1564" t="s">
        <v>12453</v>
      </c>
      <c r="AB1564" t="s">
        <v>16858</v>
      </c>
      <c r="AC1564">
        <v>0</v>
      </c>
      <c r="AD1564" t="s">
        <v>19566</v>
      </c>
      <c r="AE1564" t="s">
        <v>19587</v>
      </c>
      <c r="AF1564">
        <v>35</v>
      </c>
      <c r="AG1564">
        <v>1</v>
      </c>
      <c r="AH1564">
        <v>0</v>
      </c>
      <c r="AI1564">
        <v>62.45</v>
      </c>
      <c r="AL1564" t="s">
        <v>19615</v>
      </c>
      <c r="AM1564">
        <v>7800</v>
      </c>
      <c r="AS1564">
        <v>1</v>
      </c>
      <c r="AT1564" t="s">
        <v>259</v>
      </c>
      <c r="AU1564" t="s">
        <v>110</v>
      </c>
      <c r="AV1564" t="s">
        <v>20733</v>
      </c>
    </row>
    <row r="1565" spans="1:48">
      <c r="A1565" s="1">
        <f>HYPERLINK("https://lsnyc.legalserver.org/matter/dynamic-profile/view/1888851","19-1888851")</f>
        <v>0</v>
      </c>
      <c r="B1565" t="s">
        <v>142</v>
      </c>
      <c r="C1565" t="s">
        <v>257</v>
      </c>
      <c r="D1565" t="s">
        <v>616</v>
      </c>
      <c r="E1565" t="s">
        <v>410</v>
      </c>
      <c r="F1565" t="s">
        <v>1651</v>
      </c>
      <c r="G1565" t="s">
        <v>3809</v>
      </c>
      <c r="H1565" t="s">
        <v>6570</v>
      </c>
      <c r="I1565" t="s">
        <v>8132</v>
      </c>
      <c r="J1565" t="s">
        <v>9067</v>
      </c>
      <c r="K1565">
        <v>10128</v>
      </c>
      <c r="L1565" t="s">
        <v>9094</v>
      </c>
      <c r="M1565" t="s">
        <v>9094</v>
      </c>
      <c r="N1565" t="s">
        <v>9779</v>
      </c>
      <c r="O1565" t="s">
        <v>11129</v>
      </c>
      <c r="P1565" t="s">
        <v>11165</v>
      </c>
      <c r="Q1565" t="s">
        <v>11174</v>
      </c>
      <c r="R1565" t="s">
        <v>11180</v>
      </c>
      <c r="S1565" t="s">
        <v>9096</v>
      </c>
      <c r="T1565" t="s">
        <v>11183</v>
      </c>
      <c r="U1565" t="s">
        <v>11201</v>
      </c>
      <c r="V1565" t="s">
        <v>616</v>
      </c>
      <c r="W1565">
        <v>1660.44</v>
      </c>
      <c r="X1565" t="s">
        <v>11335</v>
      </c>
      <c r="Y1565" t="s">
        <v>11347</v>
      </c>
      <c r="Z1565" t="s">
        <v>11973</v>
      </c>
      <c r="AB1565" t="s">
        <v>16425</v>
      </c>
      <c r="AC1565">
        <v>19</v>
      </c>
      <c r="AD1565" t="s">
        <v>19566</v>
      </c>
      <c r="AE1565" t="s">
        <v>9144</v>
      </c>
      <c r="AF1565">
        <v>3</v>
      </c>
      <c r="AG1565">
        <v>1</v>
      </c>
      <c r="AH1565">
        <v>0</v>
      </c>
      <c r="AI1565">
        <v>62.45</v>
      </c>
      <c r="AL1565" t="s">
        <v>19614</v>
      </c>
      <c r="AM1565">
        <v>7800</v>
      </c>
      <c r="AO1565" t="s">
        <v>20294</v>
      </c>
      <c r="AP1565" t="s">
        <v>11157</v>
      </c>
      <c r="AQ1565" t="s">
        <v>20368</v>
      </c>
      <c r="AR1565" t="s">
        <v>20462</v>
      </c>
      <c r="AS1565">
        <v>21.1</v>
      </c>
      <c r="AT1565" t="s">
        <v>410</v>
      </c>
      <c r="AU1565" t="s">
        <v>20657</v>
      </c>
      <c r="AV1565" t="s">
        <v>20733</v>
      </c>
    </row>
    <row r="1566" spans="1:48">
      <c r="A1566" s="1">
        <f>HYPERLINK("https://lsnyc.legalserver.org/matter/dynamic-profile/view/1875941","18-1875941")</f>
        <v>0</v>
      </c>
      <c r="B1566" t="s">
        <v>134</v>
      </c>
      <c r="C1566" t="s">
        <v>256</v>
      </c>
      <c r="D1566" t="s">
        <v>349</v>
      </c>
      <c r="F1566" t="s">
        <v>1931</v>
      </c>
      <c r="G1566" t="s">
        <v>3736</v>
      </c>
      <c r="H1566" t="s">
        <v>6571</v>
      </c>
      <c r="I1566" t="s">
        <v>8270</v>
      </c>
      <c r="J1566" t="s">
        <v>9067</v>
      </c>
      <c r="K1566">
        <v>10033</v>
      </c>
      <c r="L1566" t="s">
        <v>9095</v>
      </c>
      <c r="M1566" t="s">
        <v>9095</v>
      </c>
      <c r="P1566" t="s">
        <v>11167</v>
      </c>
      <c r="R1566" t="s">
        <v>11181</v>
      </c>
      <c r="S1566" t="s">
        <v>9096</v>
      </c>
      <c r="T1566" t="s">
        <v>11183</v>
      </c>
      <c r="W1566">
        <v>0</v>
      </c>
      <c r="X1566" t="s">
        <v>11335</v>
      </c>
      <c r="Z1566" t="s">
        <v>12454</v>
      </c>
      <c r="AC1566">
        <v>0</v>
      </c>
      <c r="AD1566" t="s">
        <v>19566</v>
      </c>
      <c r="AF1566">
        <v>15</v>
      </c>
      <c r="AG1566">
        <v>2</v>
      </c>
      <c r="AH1566">
        <v>1</v>
      </c>
      <c r="AI1566">
        <v>62.56</v>
      </c>
      <c r="AJ1566" t="s">
        <v>19591</v>
      </c>
      <c r="AK1566" t="s">
        <v>19608</v>
      </c>
      <c r="AL1566" t="s">
        <v>19615</v>
      </c>
      <c r="AM1566">
        <v>13000</v>
      </c>
      <c r="AS1566">
        <v>10.6</v>
      </c>
      <c r="AT1566" t="s">
        <v>573</v>
      </c>
      <c r="AU1566" t="s">
        <v>20682</v>
      </c>
    </row>
    <row r="1567" spans="1:48">
      <c r="A1567" s="1">
        <f>HYPERLINK("https://lsnyc.legalserver.org/matter/dynamic-profile/view/0806186","16-0806186")</f>
        <v>0</v>
      </c>
      <c r="B1567" t="s">
        <v>119</v>
      </c>
      <c r="C1567" t="s">
        <v>256</v>
      </c>
      <c r="D1567" t="s">
        <v>459</v>
      </c>
      <c r="F1567" t="s">
        <v>1926</v>
      </c>
      <c r="G1567" t="s">
        <v>4097</v>
      </c>
      <c r="H1567" t="s">
        <v>5897</v>
      </c>
      <c r="I1567" t="s">
        <v>8460</v>
      </c>
      <c r="J1567" t="s">
        <v>9065</v>
      </c>
      <c r="K1567">
        <v>10452</v>
      </c>
      <c r="L1567" t="s">
        <v>9096</v>
      </c>
      <c r="M1567" t="s">
        <v>9094</v>
      </c>
      <c r="N1567" t="s">
        <v>9250</v>
      </c>
      <c r="O1567" t="s">
        <v>11132</v>
      </c>
      <c r="P1567" t="s">
        <v>11165</v>
      </c>
      <c r="R1567" t="s">
        <v>11180</v>
      </c>
      <c r="S1567" t="s">
        <v>9094</v>
      </c>
      <c r="T1567" t="s">
        <v>11183</v>
      </c>
      <c r="W1567">
        <v>1197.41</v>
      </c>
      <c r="X1567" t="s">
        <v>11333</v>
      </c>
      <c r="Y1567" t="s">
        <v>11346</v>
      </c>
      <c r="Z1567" t="s">
        <v>12440</v>
      </c>
      <c r="AA1567" t="s">
        <v>15570</v>
      </c>
      <c r="AC1567">
        <v>122</v>
      </c>
      <c r="AD1567" t="s">
        <v>19566</v>
      </c>
      <c r="AE1567" t="s">
        <v>9144</v>
      </c>
      <c r="AF1567">
        <v>8</v>
      </c>
      <c r="AG1567">
        <v>2</v>
      </c>
      <c r="AH1567">
        <v>5</v>
      </c>
      <c r="AI1567">
        <v>62.62</v>
      </c>
      <c r="AL1567" t="s">
        <v>19614</v>
      </c>
      <c r="AM1567">
        <v>23000</v>
      </c>
      <c r="AN1567" t="s">
        <v>19800</v>
      </c>
      <c r="AS1567">
        <v>0.1</v>
      </c>
      <c r="AT1567" t="s">
        <v>20585</v>
      </c>
      <c r="AU1567" t="s">
        <v>109</v>
      </c>
    </row>
    <row r="1568" spans="1:48">
      <c r="A1568" s="1">
        <f>HYPERLINK("https://lsnyc.legalserver.org/matter/dynamic-profile/view/1908665","19-1908665")</f>
        <v>0</v>
      </c>
      <c r="B1568" t="s">
        <v>57</v>
      </c>
      <c r="C1568" t="s">
        <v>257</v>
      </c>
      <c r="D1568" t="s">
        <v>326</v>
      </c>
      <c r="E1568" t="s">
        <v>444</v>
      </c>
      <c r="F1568" t="s">
        <v>1557</v>
      </c>
      <c r="G1568" t="s">
        <v>3846</v>
      </c>
      <c r="H1568" t="s">
        <v>6572</v>
      </c>
      <c r="I1568">
        <v>2</v>
      </c>
      <c r="J1568" t="s">
        <v>9082</v>
      </c>
      <c r="K1568">
        <v>11693</v>
      </c>
      <c r="L1568" t="s">
        <v>9094</v>
      </c>
      <c r="M1568" t="s">
        <v>9095</v>
      </c>
      <c r="N1568" t="s">
        <v>9780</v>
      </c>
      <c r="O1568" t="s">
        <v>11128</v>
      </c>
      <c r="P1568" t="s">
        <v>11164</v>
      </c>
      <c r="Q1568" t="s">
        <v>11172</v>
      </c>
      <c r="R1568" t="s">
        <v>11181</v>
      </c>
      <c r="S1568" t="s">
        <v>9096</v>
      </c>
      <c r="T1568" t="s">
        <v>11183</v>
      </c>
      <c r="U1568" t="s">
        <v>11199</v>
      </c>
      <c r="V1568" t="s">
        <v>444</v>
      </c>
      <c r="W1568">
        <v>240</v>
      </c>
      <c r="X1568" t="s">
        <v>11331</v>
      </c>
      <c r="Y1568" t="s">
        <v>11337</v>
      </c>
      <c r="Z1568" t="s">
        <v>12455</v>
      </c>
      <c r="AA1568" t="s">
        <v>15574</v>
      </c>
      <c r="AC1568">
        <v>2</v>
      </c>
      <c r="AD1568" t="s">
        <v>19565</v>
      </c>
      <c r="AE1568" t="s">
        <v>19580</v>
      </c>
      <c r="AF1568">
        <v>6</v>
      </c>
      <c r="AG1568">
        <v>1</v>
      </c>
      <c r="AH1568">
        <v>4</v>
      </c>
      <c r="AI1568">
        <v>62.63</v>
      </c>
      <c r="AJ1568" t="s">
        <v>19591</v>
      </c>
      <c r="AK1568" t="s">
        <v>19608</v>
      </c>
      <c r="AL1568" t="s">
        <v>19614</v>
      </c>
      <c r="AM1568">
        <v>18896.54</v>
      </c>
      <c r="AS1568">
        <v>1.65</v>
      </c>
      <c r="AT1568" t="s">
        <v>570</v>
      </c>
      <c r="AU1568" t="s">
        <v>57</v>
      </c>
      <c r="AV1568" t="s">
        <v>20733</v>
      </c>
    </row>
    <row r="1569" spans="1:48">
      <c r="A1569" s="1">
        <f>HYPERLINK("https://lsnyc.legalserver.org/matter/dynamic-profile/view/1863416","18-1863416")</f>
        <v>0</v>
      </c>
      <c r="B1569" t="s">
        <v>69</v>
      </c>
      <c r="C1569" t="s">
        <v>257</v>
      </c>
      <c r="D1569" t="s">
        <v>356</v>
      </c>
      <c r="E1569" t="s">
        <v>1130</v>
      </c>
      <c r="F1569" t="s">
        <v>1932</v>
      </c>
      <c r="G1569" t="s">
        <v>4105</v>
      </c>
      <c r="H1569" t="s">
        <v>6573</v>
      </c>
      <c r="I1569" t="s">
        <v>8176</v>
      </c>
      <c r="J1569" t="s">
        <v>9067</v>
      </c>
      <c r="K1569">
        <v>10034</v>
      </c>
      <c r="L1569" t="s">
        <v>9094</v>
      </c>
      <c r="M1569" t="s">
        <v>9095</v>
      </c>
      <c r="O1569" t="s">
        <v>11146</v>
      </c>
      <c r="P1569" t="s">
        <v>11168</v>
      </c>
      <c r="Q1569" t="s">
        <v>11176</v>
      </c>
      <c r="R1569" t="s">
        <v>11180</v>
      </c>
      <c r="S1569" t="s">
        <v>9096</v>
      </c>
      <c r="T1569" t="s">
        <v>11191</v>
      </c>
      <c r="U1569" t="s">
        <v>11200</v>
      </c>
      <c r="V1569" t="s">
        <v>356</v>
      </c>
      <c r="W1569">
        <v>1554.47</v>
      </c>
      <c r="X1569" t="s">
        <v>11335</v>
      </c>
      <c r="Y1569" t="s">
        <v>11347</v>
      </c>
      <c r="Z1569" t="s">
        <v>12456</v>
      </c>
      <c r="AB1569" t="s">
        <v>16859</v>
      </c>
      <c r="AC1569">
        <v>48</v>
      </c>
      <c r="AD1569" t="s">
        <v>19566</v>
      </c>
      <c r="AE1569" t="s">
        <v>11157</v>
      </c>
      <c r="AF1569">
        <v>13</v>
      </c>
      <c r="AG1569">
        <v>2</v>
      </c>
      <c r="AH1569">
        <v>2</v>
      </c>
      <c r="AI1569">
        <v>62.63</v>
      </c>
      <c r="AL1569" t="s">
        <v>19615</v>
      </c>
      <c r="AM1569">
        <v>15720</v>
      </c>
      <c r="AS1569">
        <v>62.75</v>
      </c>
      <c r="AT1569" t="s">
        <v>581</v>
      </c>
      <c r="AU1569" t="s">
        <v>20657</v>
      </c>
      <c r="AV1569" t="s">
        <v>20733</v>
      </c>
    </row>
    <row r="1570" spans="1:48">
      <c r="A1570" s="1">
        <f>HYPERLINK("https://lsnyc.legalserver.org/matter/dynamic-profile/view/1896674","19-1896674")</f>
        <v>0</v>
      </c>
      <c r="B1570" t="s">
        <v>176</v>
      </c>
      <c r="C1570" t="s">
        <v>256</v>
      </c>
      <c r="D1570" t="s">
        <v>454</v>
      </c>
      <c r="F1570" t="s">
        <v>1933</v>
      </c>
      <c r="G1570" t="s">
        <v>4106</v>
      </c>
      <c r="H1570" t="s">
        <v>6430</v>
      </c>
      <c r="I1570">
        <v>302</v>
      </c>
      <c r="J1570" t="s">
        <v>9065</v>
      </c>
      <c r="K1570">
        <v>10457</v>
      </c>
      <c r="L1570" t="s">
        <v>9094</v>
      </c>
      <c r="M1570" t="s">
        <v>9094</v>
      </c>
      <c r="N1570" t="s">
        <v>9781</v>
      </c>
      <c r="O1570" t="s">
        <v>11129</v>
      </c>
      <c r="P1570" t="s">
        <v>11165</v>
      </c>
      <c r="R1570" t="s">
        <v>11180</v>
      </c>
      <c r="S1570" t="s">
        <v>9096</v>
      </c>
      <c r="T1570" t="s">
        <v>11183</v>
      </c>
      <c r="U1570" t="s">
        <v>11201</v>
      </c>
      <c r="V1570" t="s">
        <v>777</v>
      </c>
      <c r="W1570">
        <v>2000</v>
      </c>
      <c r="X1570" t="s">
        <v>11333</v>
      </c>
      <c r="Y1570" t="s">
        <v>11345</v>
      </c>
      <c r="Z1570" t="s">
        <v>11675</v>
      </c>
      <c r="AA1570" t="s">
        <v>15575</v>
      </c>
      <c r="AB1570" t="s">
        <v>16860</v>
      </c>
      <c r="AC1570">
        <v>48</v>
      </c>
      <c r="AD1570" t="s">
        <v>19567</v>
      </c>
      <c r="AE1570" t="s">
        <v>19580</v>
      </c>
      <c r="AF1570">
        <v>10</v>
      </c>
      <c r="AG1570">
        <v>2</v>
      </c>
      <c r="AH1570">
        <v>5</v>
      </c>
      <c r="AI1570">
        <v>62.65</v>
      </c>
      <c r="AL1570" t="s">
        <v>19614</v>
      </c>
      <c r="AM1570">
        <v>24440</v>
      </c>
      <c r="AS1570">
        <v>32.6</v>
      </c>
      <c r="AT1570" t="s">
        <v>487</v>
      </c>
      <c r="AU1570" t="s">
        <v>220</v>
      </c>
    </row>
    <row r="1571" spans="1:48">
      <c r="A1571" s="1">
        <f>HYPERLINK("https://lsnyc.legalserver.org/matter/dynamic-profile/view/1887126","19-1887126")</f>
        <v>0</v>
      </c>
      <c r="B1571" t="s">
        <v>65</v>
      </c>
      <c r="C1571" t="s">
        <v>256</v>
      </c>
      <c r="D1571" t="s">
        <v>324</v>
      </c>
      <c r="F1571" t="s">
        <v>1915</v>
      </c>
      <c r="G1571" t="s">
        <v>4087</v>
      </c>
      <c r="H1571" t="s">
        <v>5774</v>
      </c>
      <c r="J1571" t="s">
        <v>9059</v>
      </c>
      <c r="K1571">
        <v>11226</v>
      </c>
      <c r="L1571" t="s">
        <v>9096</v>
      </c>
      <c r="M1571" t="s">
        <v>9094</v>
      </c>
      <c r="N1571" t="s">
        <v>9782</v>
      </c>
      <c r="O1571" t="s">
        <v>11134</v>
      </c>
      <c r="P1571" t="s">
        <v>11168</v>
      </c>
      <c r="R1571" t="s">
        <v>11180</v>
      </c>
      <c r="S1571" t="s">
        <v>9094</v>
      </c>
      <c r="T1571" t="s">
        <v>11183</v>
      </c>
      <c r="V1571" t="s">
        <v>375</v>
      </c>
      <c r="W1571">
        <v>856.9299999999999</v>
      </c>
      <c r="X1571" t="s">
        <v>11332</v>
      </c>
      <c r="Y1571" t="s">
        <v>11339</v>
      </c>
      <c r="Z1571" t="s">
        <v>12423</v>
      </c>
      <c r="AB1571" t="s">
        <v>16831</v>
      </c>
      <c r="AC1571">
        <v>43</v>
      </c>
      <c r="AD1571" t="s">
        <v>19566</v>
      </c>
      <c r="AF1571">
        <v>40</v>
      </c>
      <c r="AG1571">
        <v>2</v>
      </c>
      <c r="AH1571">
        <v>0</v>
      </c>
      <c r="AI1571">
        <v>62.7</v>
      </c>
      <c r="AL1571" t="s">
        <v>19614</v>
      </c>
      <c r="AM1571">
        <v>10320</v>
      </c>
      <c r="AO1571" t="s">
        <v>20293</v>
      </c>
      <c r="AS1571">
        <v>2.8</v>
      </c>
      <c r="AT1571" t="s">
        <v>288</v>
      </c>
      <c r="AU1571" t="s">
        <v>215</v>
      </c>
    </row>
    <row r="1572" spans="1:48">
      <c r="A1572" s="1">
        <f>HYPERLINK("https://lsnyc.legalserver.org/matter/dynamic-profile/view/1906228","19-1906228")</f>
        <v>0</v>
      </c>
      <c r="B1572" t="s">
        <v>137</v>
      </c>
      <c r="C1572" t="s">
        <v>256</v>
      </c>
      <c r="D1572" t="s">
        <v>282</v>
      </c>
      <c r="F1572" t="s">
        <v>1318</v>
      </c>
      <c r="G1572" t="s">
        <v>4107</v>
      </c>
      <c r="H1572" t="s">
        <v>6574</v>
      </c>
      <c r="I1572" t="s">
        <v>8112</v>
      </c>
      <c r="J1572" t="s">
        <v>9065</v>
      </c>
      <c r="K1572">
        <v>10463</v>
      </c>
      <c r="L1572" t="s">
        <v>9096</v>
      </c>
      <c r="M1572" t="s">
        <v>9095</v>
      </c>
      <c r="P1572" t="s">
        <v>11169</v>
      </c>
      <c r="R1572" t="s">
        <v>11180</v>
      </c>
      <c r="S1572" t="s">
        <v>9096</v>
      </c>
      <c r="T1572" t="s">
        <v>11183</v>
      </c>
      <c r="W1572">
        <v>975.72</v>
      </c>
      <c r="X1572" t="s">
        <v>11335</v>
      </c>
      <c r="Y1572" t="s">
        <v>11338</v>
      </c>
      <c r="Z1572" t="s">
        <v>12457</v>
      </c>
      <c r="AB1572" t="s">
        <v>16861</v>
      </c>
      <c r="AC1572">
        <v>41</v>
      </c>
      <c r="AD1572" t="s">
        <v>19566</v>
      </c>
      <c r="AE1572" t="s">
        <v>9144</v>
      </c>
      <c r="AF1572">
        <v>21</v>
      </c>
      <c r="AG1572">
        <v>1</v>
      </c>
      <c r="AH1572">
        <v>1</v>
      </c>
      <c r="AI1572">
        <v>62.73</v>
      </c>
      <c r="AL1572" t="s">
        <v>19615</v>
      </c>
      <c r="AM1572">
        <v>10608</v>
      </c>
      <c r="AN1572" t="s">
        <v>19801</v>
      </c>
      <c r="AS1572">
        <v>0</v>
      </c>
      <c r="AU1572" t="s">
        <v>130</v>
      </c>
      <c r="AV1572" t="s">
        <v>20733</v>
      </c>
    </row>
    <row r="1573" spans="1:48">
      <c r="A1573" s="1">
        <f>HYPERLINK("https://lsnyc.legalserver.org/matter/dynamic-profile/view/1893180","19-1893180")</f>
        <v>0</v>
      </c>
      <c r="B1573" t="s">
        <v>52</v>
      </c>
      <c r="C1573" t="s">
        <v>256</v>
      </c>
      <c r="D1573" t="s">
        <v>719</v>
      </c>
      <c r="F1573" t="s">
        <v>1934</v>
      </c>
      <c r="G1573" t="s">
        <v>4108</v>
      </c>
      <c r="H1573" t="s">
        <v>5698</v>
      </c>
      <c r="I1573" t="s">
        <v>8466</v>
      </c>
      <c r="J1573" t="s">
        <v>9038</v>
      </c>
      <c r="K1573">
        <v>11691</v>
      </c>
      <c r="L1573" t="s">
        <v>9094</v>
      </c>
      <c r="M1573" t="s">
        <v>9094</v>
      </c>
      <c r="O1573" t="s">
        <v>11156</v>
      </c>
      <c r="P1573" t="s">
        <v>11167</v>
      </c>
      <c r="R1573" t="s">
        <v>11180</v>
      </c>
      <c r="S1573" t="s">
        <v>9096</v>
      </c>
      <c r="T1573" t="s">
        <v>11183</v>
      </c>
      <c r="V1573" t="s">
        <v>719</v>
      </c>
      <c r="W1573">
        <v>940</v>
      </c>
      <c r="X1573" t="s">
        <v>11331</v>
      </c>
      <c r="Y1573" t="s">
        <v>11338</v>
      </c>
      <c r="Z1573" t="s">
        <v>12458</v>
      </c>
      <c r="AA1573" t="s">
        <v>15576</v>
      </c>
      <c r="AB1573" t="s">
        <v>16862</v>
      </c>
      <c r="AC1573">
        <v>240</v>
      </c>
      <c r="AD1573" t="s">
        <v>19568</v>
      </c>
      <c r="AE1573" t="s">
        <v>19580</v>
      </c>
      <c r="AF1573">
        <v>4</v>
      </c>
      <c r="AG1573">
        <v>1</v>
      </c>
      <c r="AH1573">
        <v>0</v>
      </c>
      <c r="AI1573">
        <v>62.74</v>
      </c>
      <c r="AL1573" t="s">
        <v>19614</v>
      </c>
      <c r="AM1573">
        <v>7836</v>
      </c>
      <c r="AP1573" t="s">
        <v>11157</v>
      </c>
      <c r="AS1573">
        <v>1.3</v>
      </c>
      <c r="AT1573" t="s">
        <v>486</v>
      </c>
      <c r="AU1573" t="s">
        <v>20620</v>
      </c>
    </row>
    <row r="1574" spans="1:48">
      <c r="A1574" s="1">
        <f>HYPERLINK("https://lsnyc.legalserver.org/matter/dynamic-profile/view/1881643","18-1881643")</f>
        <v>0</v>
      </c>
      <c r="B1574" t="s">
        <v>115</v>
      </c>
      <c r="C1574" t="s">
        <v>257</v>
      </c>
      <c r="D1574" t="s">
        <v>508</v>
      </c>
      <c r="E1574" t="s">
        <v>1134</v>
      </c>
      <c r="F1574" t="s">
        <v>1351</v>
      </c>
      <c r="G1574" t="s">
        <v>3534</v>
      </c>
      <c r="H1574" t="s">
        <v>5890</v>
      </c>
      <c r="I1574" t="s">
        <v>8193</v>
      </c>
      <c r="J1574" t="s">
        <v>9065</v>
      </c>
      <c r="K1574">
        <v>10453</v>
      </c>
      <c r="L1574" t="s">
        <v>9094</v>
      </c>
      <c r="M1574" t="s">
        <v>9094</v>
      </c>
      <c r="O1574" t="s">
        <v>11136</v>
      </c>
      <c r="P1574" t="s">
        <v>11166</v>
      </c>
      <c r="Q1574" t="s">
        <v>11173</v>
      </c>
      <c r="R1574" t="s">
        <v>11180</v>
      </c>
      <c r="S1574" t="s">
        <v>9096</v>
      </c>
      <c r="T1574" t="s">
        <v>11192</v>
      </c>
      <c r="U1574" t="s">
        <v>11201</v>
      </c>
      <c r="V1574" t="s">
        <v>508</v>
      </c>
      <c r="W1574">
        <v>1220</v>
      </c>
      <c r="X1574" t="s">
        <v>11333</v>
      </c>
      <c r="Y1574" t="s">
        <v>11340</v>
      </c>
      <c r="Z1574" t="s">
        <v>11600</v>
      </c>
      <c r="AA1574" t="s">
        <v>15316</v>
      </c>
      <c r="AB1574" t="s">
        <v>16085</v>
      </c>
      <c r="AC1574">
        <v>46</v>
      </c>
      <c r="AD1574" t="s">
        <v>19566</v>
      </c>
      <c r="AE1574" t="s">
        <v>19581</v>
      </c>
      <c r="AF1574">
        <v>4</v>
      </c>
      <c r="AG1574">
        <v>2</v>
      </c>
      <c r="AH1574">
        <v>1</v>
      </c>
      <c r="AI1574">
        <v>62.95</v>
      </c>
      <c r="AL1574" t="s">
        <v>19615</v>
      </c>
      <c r="AM1574">
        <v>13080</v>
      </c>
      <c r="AS1574">
        <v>3.9</v>
      </c>
      <c r="AT1574" t="s">
        <v>1134</v>
      </c>
      <c r="AU1574" t="s">
        <v>163</v>
      </c>
      <c r="AV1574" t="s">
        <v>20733</v>
      </c>
    </row>
    <row r="1575" spans="1:48">
      <c r="A1575" s="1">
        <f>HYPERLINK("https://lsnyc.legalserver.org/matter/dynamic-profile/view/1910458","19-1910458")</f>
        <v>0</v>
      </c>
      <c r="B1575" t="s">
        <v>133</v>
      </c>
      <c r="C1575" t="s">
        <v>256</v>
      </c>
      <c r="D1575" t="s">
        <v>341</v>
      </c>
      <c r="F1575" t="s">
        <v>1147</v>
      </c>
      <c r="G1575" t="s">
        <v>3364</v>
      </c>
      <c r="H1575" t="s">
        <v>6575</v>
      </c>
      <c r="I1575" t="s">
        <v>8446</v>
      </c>
      <c r="J1575" t="s">
        <v>9067</v>
      </c>
      <c r="K1575">
        <v>10032</v>
      </c>
      <c r="L1575" t="s">
        <v>9094</v>
      </c>
      <c r="M1575" t="s">
        <v>9095</v>
      </c>
      <c r="O1575" t="s">
        <v>11133</v>
      </c>
      <c r="P1575" t="s">
        <v>11167</v>
      </c>
      <c r="R1575" t="s">
        <v>11180</v>
      </c>
      <c r="S1575" t="s">
        <v>9096</v>
      </c>
      <c r="T1575" t="s">
        <v>11183</v>
      </c>
      <c r="V1575" t="s">
        <v>341</v>
      </c>
      <c r="W1575">
        <v>1243</v>
      </c>
      <c r="X1575" t="s">
        <v>11335</v>
      </c>
      <c r="Y1575" t="s">
        <v>11338</v>
      </c>
      <c r="Z1575" t="s">
        <v>12459</v>
      </c>
      <c r="AB1575" t="s">
        <v>16863</v>
      </c>
      <c r="AC1575">
        <v>41</v>
      </c>
      <c r="AD1575" t="s">
        <v>19566</v>
      </c>
      <c r="AE1575" t="s">
        <v>9144</v>
      </c>
      <c r="AF1575">
        <v>23</v>
      </c>
      <c r="AG1575">
        <v>2</v>
      </c>
      <c r="AH1575">
        <v>0</v>
      </c>
      <c r="AI1575">
        <v>62.95</v>
      </c>
      <c r="AL1575" t="s">
        <v>19614</v>
      </c>
      <c r="AM1575">
        <v>10644</v>
      </c>
      <c r="AS1575">
        <v>2.3</v>
      </c>
      <c r="AT1575" t="s">
        <v>612</v>
      </c>
      <c r="AU1575" t="s">
        <v>130</v>
      </c>
      <c r="AV1575" t="s">
        <v>20733</v>
      </c>
    </row>
    <row r="1576" spans="1:48">
      <c r="A1576" s="1">
        <f>HYPERLINK("https://lsnyc.legalserver.org/matter/dynamic-profile/view/1883266","18-1883266")</f>
        <v>0</v>
      </c>
      <c r="B1576" t="s">
        <v>134</v>
      </c>
      <c r="C1576" t="s">
        <v>256</v>
      </c>
      <c r="D1576" t="s">
        <v>691</v>
      </c>
      <c r="F1576" t="s">
        <v>1935</v>
      </c>
      <c r="G1576" t="s">
        <v>4109</v>
      </c>
      <c r="H1576" t="s">
        <v>6576</v>
      </c>
      <c r="I1576" t="s">
        <v>8266</v>
      </c>
      <c r="J1576" t="s">
        <v>9067</v>
      </c>
      <c r="K1576">
        <v>10031</v>
      </c>
      <c r="L1576" t="s">
        <v>9094</v>
      </c>
      <c r="M1576" t="s">
        <v>9094</v>
      </c>
      <c r="P1576" t="s">
        <v>11165</v>
      </c>
      <c r="R1576" t="s">
        <v>11180</v>
      </c>
      <c r="S1576" t="s">
        <v>9096</v>
      </c>
      <c r="T1576" t="s">
        <v>11183</v>
      </c>
      <c r="V1576" t="s">
        <v>691</v>
      </c>
      <c r="W1576">
        <v>818</v>
      </c>
      <c r="X1576" t="s">
        <v>11335</v>
      </c>
      <c r="Y1576" t="s">
        <v>11338</v>
      </c>
      <c r="Z1576" t="s">
        <v>12460</v>
      </c>
      <c r="AA1576" t="s">
        <v>15577</v>
      </c>
      <c r="AC1576">
        <v>0</v>
      </c>
      <c r="AD1576" t="s">
        <v>19566</v>
      </c>
      <c r="AE1576" t="s">
        <v>9144</v>
      </c>
      <c r="AF1576">
        <v>0</v>
      </c>
      <c r="AG1576">
        <v>4</v>
      </c>
      <c r="AH1576">
        <v>0</v>
      </c>
      <c r="AI1576">
        <v>63.11</v>
      </c>
      <c r="AL1576" t="s">
        <v>19615</v>
      </c>
      <c r="AM1576">
        <v>15840</v>
      </c>
      <c r="AS1576">
        <v>60</v>
      </c>
      <c r="AT1576" t="s">
        <v>270</v>
      </c>
      <c r="AU1576" t="s">
        <v>130</v>
      </c>
      <c r="AV1576" t="s">
        <v>20733</v>
      </c>
    </row>
    <row r="1577" spans="1:48">
      <c r="A1577" s="1">
        <f>HYPERLINK("https://lsnyc.legalserver.org/matter/dynamic-profile/view/1875646","18-1875646")</f>
        <v>0</v>
      </c>
      <c r="B1577" t="s">
        <v>103</v>
      </c>
      <c r="C1577" t="s">
        <v>257</v>
      </c>
      <c r="D1577" t="s">
        <v>419</v>
      </c>
      <c r="E1577" t="s">
        <v>334</v>
      </c>
      <c r="F1577" t="s">
        <v>1358</v>
      </c>
      <c r="G1577" t="s">
        <v>3630</v>
      </c>
      <c r="H1577" t="s">
        <v>6577</v>
      </c>
      <c r="I1577" t="s">
        <v>8160</v>
      </c>
      <c r="J1577" t="s">
        <v>9065</v>
      </c>
      <c r="K1577">
        <v>10468</v>
      </c>
      <c r="L1577" t="s">
        <v>9094</v>
      </c>
      <c r="M1577" t="s">
        <v>9094</v>
      </c>
      <c r="O1577" t="s">
        <v>11134</v>
      </c>
      <c r="P1577" t="s">
        <v>11168</v>
      </c>
      <c r="Q1577" t="s">
        <v>11176</v>
      </c>
      <c r="R1577" t="s">
        <v>11180</v>
      </c>
      <c r="S1577" t="s">
        <v>9094</v>
      </c>
      <c r="T1577" t="s">
        <v>11183</v>
      </c>
      <c r="V1577" t="s">
        <v>738</v>
      </c>
      <c r="W1577">
        <v>1757</v>
      </c>
      <c r="X1577" t="s">
        <v>11333</v>
      </c>
      <c r="Y1577" t="s">
        <v>11346</v>
      </c>
      <c r="Z1577" t="s">
        <v>12461</v>
      </c>
      <c r="AB1577" t="s">
        <v>16864</v>
      </c>
      <c r="AC1577">
        <v>58</v>
      </c>
      <c r="AD1577" t="s">
        <v>19566</v>
      </c>
      <c r="AE1577" t="s">
        <v>19580</v>
      </c>
      <c r="AF1577">
        <v>9</v>
      </c>
      <c r="AG1577">
        <v>1</v>
      </c>
      <c r="AH1577">
        <v>1</v>
      </c>
      <c r="AI1577">
        <v>63.18</v>
      </c>
      <c r="AL1577" t="s">
        <v>19615</v>
      </c>
      <c r="AM1577">
        <v>10400</v>
      </c>
      <c r="AS1577">
        <v>1</v>
      </c>
      <c r="AT1577" t="s">
        <v>334</v>
      </c>
      <c r="AU1577" t="s">
        <v>20642</v>
      </c>
    </row>
    <row r="1578" spans="1:48">
      <c r="A1578" s="1">
        <f>HYPERLINK("https://lsnyc.legalserver.org/matter/dynamic-profile/view/1875606","18-1875606")</f>
        <v>0</v>
      </c>
      <c r="B1578" t="s">
        <v>103</v>
      </c>
      <c r="C1578" t="s">
        <v>257</v>
      </c>
      <c r="D1578" t="s">
        <v>419</v>
      </c>
      <c r="E1578" t="s">
        <v>275</v>
      </c>
      <c r="F1578" t="s">
        <v>1358</v>
      </c>
      <c r="G1578" t="s">
        <v>3630</v>
      </c>
      <c r="H1578" t="s">
        <v>6577</v>
      </c>
      <c r="I1578" t="s">
        <v>8160</v>
      </c>
      <c r="J1578" t="s">
        <v>9065</v>
      </c>
      <c r="K1578">
        <v>10468</v>
      </c>
      <c r="L1578" t="s">
        <v>9094</v>
      </c>
      <c r="M1578" t="s">
        <v>9094</v>
      </c>
      <c r="N1578" t="s">
        <v>9219</v>
      </c>
      <c r="O1578" t="s">
        <v>11130</v>
      </c>
      <c r="P1578" t="s">
        <v>11165</v>
      </c>
      <c r="Q1578" t="s">
        <v>11174</v>
      </c>
      <c r="R1578" t="s">
        <v>11180</v>
      </c>
      <c r="S1578" t="s">
        <v>9094</v>
      </c>
      <c r="T1578" t="s">
        <v>11183</v>
      </c>
      <c r="V1578" t="s">
        <v>945</v>
      </c>
      <c r="W1578">
        <v>1757</v>
      </c>
      <c r="X1578" t="s">
        <v>11333</v>
      </c>
      <c r="Y1578" t="s">
        <v>11346</v>
      </c>
      <c r="Z1578" t="s">
        <v>12461</v>
      </c>
      <c r="AB1578" t="s">
        <v>16864</v>
      </c>
      <c r="AC1578">
        <v>58</v>
      </c>
      <c r="AD1578" t="s">
        <v>19566</v>
      </c>
      <c r="AE1578" t="s">
        <v>19580</v>
      </c>
      <c r="AF1578">
        <v>9</v>
      </c>
      <c r="AG1578">
        <v>1</v>
      </c>
      <c r="AH1578">
        <v>1</v>
      </c>
      <c r="AI1578">
        <v>63.18</v>
      </c>
      <c r="AL1578" t="s">
        <v>19615</v>
      </c>
      <c r="AM1578">
        <v>10400</v>
      </c>
      <c r="AS1578">
        <v>0.5</v>
      </c>
      <c r="AT1578" t="s">
        <v>275</v>
      </c>
      <c r="AU1578" t="s">
        <v>20642</v>
      </c>
    </row>
    <row r="1579" spans="1:48">
      <c r="A1579" s="1">
        <f>HYPERLINK("https://lsnyc.legalserver.org/matter/dynamic-profile/view/1882375","18-1882375")</f>
        <v>0</v>
      </c>
      <c r="B1579" t="s">
        <v>113</v>
      </c>
      <c r="C1579" t="s">
        <v>256</v>
      </c>
      <c r="D1579" t="s">
        <v>697</v>
      </c>
      <c r="F1579" t="s">
        <v>1370</v>
      </c>
      <c r="G1579" t="s">
        <v>4110</v>
      </c>
      <c r="H1579" t="s">
        <v>5892</v>
      </c>
      <c r="I1579" t="s">
        <v>8467</v>
      </c>
      <c r="J1579" t="s">
        <v>9065</v>
      </c>
      <c r="K1579">
        <v>10453</v>
      </c>
      <c r="L1579" t="s">
        <v>9094</v>
      </c>
      <c r="M1579" t="s">
        <v>9094</v>
      </c>
      <c r="O1579" t="s">
        <v>9121</v>
      </c>
      <c r="P1579" t="s">
        <v>11167</v>
      </c>
      <c r="R1579" t="s">
        <v>11180</v>
      </c>
      <c r="T1579" t="s">
        <v>11183</v>
      </c>
      <c r="V1579" t="s">
        <v>11218</v>
      </c>
      <c r="W1579">
        <v>1612</v>
      </c>
      <c r="X1579" t="s">
        <v>11333</v>
      </c>
      <c r="Y1579" t="s">
        <v>11346</v>
      </c>
      <c r="Z1579" t="s">
        <v>12462</v>
      </c>
      <c r="AB1579" t="s">
        <v>16865</v>
      </c>
      <c r="AC1579">
        <v>99</v>
      </c>
      <c r="AE1579" t="s">
        <v>19580</v>
      </c>
      <c r="AF1579">
        <v>9</v>
      </c>
      <c r="AG1579">
        <v>2</v>
      </c>
      <c r="AH1579">
        <v>0</v>
      </c>
      <c r="AI1579">
        <v>63.18</v>
      </c>
      <c r="AL1579" t="s">
        <v>19615</v>
      </c>
      <c r="AM1579">
        <v>10400</v>
      </c>
      <c r="AN1579" t="s">
        <v>19802</v>
      </c>
      <c r="AS1579">
        <v>0</v>
      </c>
      <c r="AU1579" t="s">
        <v>163</v>
      </c>
      <c r="AV1579" t="s">
        <v>20733</v>
      </c>
    </row>
    <row r="1580" spans="1:48">
      <c r="A1580" s="1">
        <f>HYPERLINK("https://lsnyc.legalserver.org/matter/dynamic-profile/view/1887133","19-1887133")</f>
        <v>0</v>
      </c>
      <c r="B1580" t="s">
        <v>113</v>
      </c>
      <c r="C1580" t="s">
        <v>257</v>
      </c>
      <c r="D1580" t="s">
        <v>324</v>
      </c>
      <c r="E1580" t="s">
        <v>326</v>
      </c>
      <c r="F1580" t="s">
        <v>1370</v>
      </c>
      <c r="G1580" t="s">
        <v>4110</v>
      </c>
      <c r="H1580" t="s">
        <v>5892</v>
      </c>
      <c r="I1580" t="s">
        <v>8467</v>
      </c>
      <c r="J1580" t="s">
        <v>9065</v>
      </c>
      <c r="K1580">
        <v>10453</v>
      </c>
      <c r="L1580" t="s">
        <v>9094</v>
      </c>
      <c r="M1580" t="s">
        <v>9095</v>
      </c>
      <c r="O1580" t="s">
        <v>9121</v>
      </c>
      <c r="P1580" t="s">
        <v>11166</v>
      </c>
      <c r="Q1580" t="s">
        <v>11173</v>
      </c>
      <c r="R1580" t="s">
        <v>11180</v>
      </c>
      <c r="S1580" t="s">
        <v>9094</v>
      </c>
      <c r="T1580" t="s">
        <v>11183</v>
      </c>
      <c r="V1580" t="s">
        <v>441</v>
      </c>
      <c r="W1580">
        <v>1612</v>
      </c>
      <c r="X1580" t="s">
        <v>11333</v>
      </c>
      <c r="Y1580" t="s">
        <v>11346</v>
      </c>
      <c r="Z1580" t="s">
        <v>12462</v>
      </c>
      <c r="AB1580" t="s">
        <v>16865</v>
      </c>
      <c r="AC1580">
        <v>99</v>
      </c>
      <c r="AD1580" t="s">
        <v>19566</v>
      </c>
      <c r="AE1580" t="s">
        <v>19580</v>
      </c>
      <c r="AF1580">
        <v>9</v>
      </c>
      <c r="AG1580">
        <v>2</v>
      </c>
      <c r="AH1580">
        <v>0</v>
      </c>
      <c r="AI1580">
        <v>63.18</v>
      </c>
      <c r="AL1580" t="s">
        <v>19615</v>
      </c>
      <c r="AM1580">
        <v>10400</v>
      </c>
      <c r="AS1580">
        <v>0.4</v>
      </c>
      <c r="AT1580" t="s">
        <v>326</v>
      </c>
      <c r="AU1580" t="s">
        <v>20647</v>
      </c>
      <c r="AV1580" t="s">
        <v>20733</v>
      </c>
    </row>
    <row r="1581" spans="1:48">
      <c r="A1581" s="1">
        <f>HYPERLINK("https://lsnyc.legalserver.org/matter/dynamic-profile/view/1879141","18-1879141")</f>
        <v>0</v>
      </c>
      <c r="B1581" t="s">
        <v>111</v>
      </c>
      <c r="C1581" t="s">
        <v>256</v>
      </c>
      <c r="D1581" t="s">
        <v>572</v>
      </c>
      <c r="F1581" t="s">
        <v>1146</v>
      </c>
      <c r="G1581" t="s">
        <v>3370</v>
      </c>
      <c r="H1581" t="s">
        <v>6578</v>
      </c>
      <c r="I1581" t="s">
        <v>8468</v>
      </c>
      <c r="J1581" t="s">
        <v>9065</v>
      </c>
      <c r="K1581">
        <v>10452</v>
      </c>
      <c r="L1581" t="s">
        <v>9094</v>
      </c>
      <c r="M1581" t="s">
        <v>9094</v>
      </c>
      <c r="O1581" t="s">
        <v>11129</v>
      </c>
      <c r="P1581" t="s">
        <v>11164</v>
      </c>
      <c r="R1581" t="s">
        <v>11180</v>
      </c>
      <c r="S1581" t="s">
        <v>9096</v>
      </c>
      <c r="T1581" t="s">
        <v>11183</v>
      </c>
      <c r="V1581" t="s">
        <v>569</v>
      </c>
      <c r="W1581">
        <v>1225</v>
      </c>
      <c r="X1581" t="s">
        <v>11333</v>
      </c>
      <c r="Z1581" t="s">
        <v>12463</v>
      </c>
      <c r="AB1581" t="s">
        <v>16866</v>
      </c>
      <c r="AC1581">
        <v>109</v>
      </c>
      <c r="AD1581" t="s">
        <v>19566</v>
      </c>
      <c r="AE1581" t="s">
        <v>9144</v>
      </c>
      <c r="AF1581">
        <v>2</v>
      </c>
      <c r="AG1581">
        <v>1</v>
      </c>
      <c r="AH1581">
        <v>1</v>
      </c>
      <c r="AI1581">
        <v>63.18</v>
      </c>
      <c r="AL1581" t="s">
        <v>19615</v>
      </c>
      <c r="AM1581">
        <v>10400</v>
      </c>
      <c r="AN1581" t="s">
        <v>19803</v>
      </c>
      <c r="AS1581">
        <v>0.5</v>
      </c>
      <c r="AT1581" t="s">
        <v>572</v>
      </c>
      <c r="AU1581" t="s">
        <v>20631</v>
      </c>
    </row>
    <row r="1582" spans="1:48">
      <c r="A1582" s="1">
        <f>HYPERLINK("https://lsnyc.legalserver.org/matter/dynamic-profile/view/1887512","19-1887512")</f>
        <v>0</v>
      </c>
      <c r="B1582" t="s">
        <v>92</v>
      </c>
      <c r="C1582" t="s">
        <v>257</v>
      </c>
      <c r="D1582" t="s">
        <v>604</v>
      </c>
      <c r="E1582" t="s">
        <v>270</v>
      </c>
      <c r="F1582" t="s">
        <v>1270</v>
      </c>
      <c r="G1582" t="s">
        <v>4089</v>
      </c>
      <c r="H1582" t="s">
        <v>6556</v>
      </c>
      <c r="I1582">
        <v>201</v>
      </c>
      <c r="J1582" t="s">
        <v>9067</v>
      </c>
      <c r="K1582">
        <v>10025</v>
      </c>
      <c r="L1582" t="s">
        <v>9094</v>
      </c>
      <c r="M1582" t="s">
        <v>9094</v>
      </c>
      <c r="O1582" t="s">
        <v>11137</v>
      </c>
      <c r="P1582" t="s">
        <v>11167</v>
      </c>
      <c r="Q1582" t="s">
        <v>11173</v>
      </c>
      <c r="R1582" t="s">
        <v>11180</v>
      </c>
      <c r="T1582" t="s">
        <v>11192</v>
      </c>
      <c r="V1582" t="s">
        <v>604</v>
      </c>
      <c r="W1582">
        <v>0</v>
      </c>
      <c r="X1582" t="s">
        <v>11332</v>
      </c>
      <c r="Z1582" t="s">
        <v>12432</v>
      </c>
      <c r="AB1582" t="s">
        <v>16839</v>
      </c>
      <c r="AC1582">
        <v>0</v>
      </c>
      <c r="AF1582">
        <v>0</v>
      </c>
      <c r="AG1582">
        <v>2</v>
      </c>
      <c r="AH1582">
        <v>0</v>
      </c>
      <c r="AI1582">
        <v>63.18</v>
      </c>
      <c r="AL1582" t="s">
        <v>19614</v>
      </c>
      <c r="AM1582">
        <v>10400</v>
      </c>
      <c r="AN1582" t="s">
        <v>19804</v>
      </c>
      <c r="AS1582">
        <v>9.25</v>
      </c>
      <c r="AT1582" t="s">
        <v>312</v>
      </c>
      <c r="AU1582" t="s">
        <v>92</v>
      </c>
    </row>
    <row r="1583" spans="1:48">
      <c r="A1583" s="1">
        <f>HYPERLINK("https://lsnyc.legalserver.org/matter/dynamic-profile/view/1890698","19-1890698")</f>
        <v>0</v>
      </c>
      <c r="B1583" t="s">
        <v>134</v>
      </c>
      <c r="C1583" t="s">
        <v>256</v>
      </c>
      <c r="D1583" t="s">
        <v>381</v>
      </c>
      <c r="F1583" t="s">
        <v>1702</v>
      </c>
      <c r="G1583" t="s">
        <v>3877</v>
      </c>
      <c r="H1583" t="s">
        <v>6292</v>
      </c>
      <c r="I1583" t="s">
        <v>8315</v>
      </c>
      <c r="J1583" t="s">
        <v>9067</v>
      </c>
      <c r="K1583">
        <v>10033</v>
      </c>
      <c r="L1583" t="s">
        <v>9094</v>
      </c>
      <c r="M1583" t="s">
        <v>9094</v>
      </c>
      <c r="P1583" t="s">
        <v>11165</v>
      </c>
      <c r="R1583" t="s">
        <v>11180</v>
      </c>
      <c r="S1583" t="s">
        <v>9096</v>
      </c>
      <c r="T1583" t="s">
        <v>11183</v>
      </c>
      <c r="V1583" t="s">
        <v>381</v>
      </c>
      <c r="W1583">
        <v>1213</v>
      </c>
      <c r="X1583" t="s">
        <v>11335</v>
      </c>
      <c r="Y1583" t="s">
        <v>11338</v>
      </c>
      <c r="Z1583" t="s">
        <v>12066</v>
      </c>
      <c r="AB1583" t="s">
        <v>16509</v>
      </c>
      <c r="AC1583">
        <v>24</v>
      </c>
      <c r="AD1583" t="s">
        <v>19566</v>
      </c>
      <c r="AE1583" t="s">
        <v>19588</v>
      </c>
      <c r="AF1583">
        <v>3</v>
      </c>
      <c r="AG1583">
        <v>1</v>
      </c>
      <c r="AH1583">
        <v>0</v>
      </c>
      <c r="AI1583">
        <v>63.28</v>
      </c>
      <c r="AL1583" t="s">
        <v>19614</v>
      </c>
      <c r="AM1583">
        <v>7904</v>
      </c>
      <c r="AS1583">
        <v>164.1</v>
      </c>
      <c r="AT1583" t="s">
        <v>496</v>
      </c>
      <c r="AU1583" t="s">
        <v>130</v>
      </c>
      <c r="AV1583" t="s">
        <v>20733</v>
      </c>
    </row>
    <row r="1584" spans="1:48">
      <c r="A1584" s="1">
        <f>HYPERLINK("https://lsnyc.legalserver.org/matter/dynamic-profile/view/1909818","19-1909818")</f>
        <v>0</v>
      </c>
      <c r="B1584" t="s">
        <v>139</v>
      </c>
      <c r="C1584" t="s">
        <v>256</v>
      </c>
      <c r="D1584" t="s">
        <v>549</v>
      </c>
      <c r="F1584" t="s">
        <v>1723</v>
      </c>
      <c r="G1584" t="s">
        <v>3630</v>
      </c>
      <c r="H1584" t="s">
        <v>6579</v>
      </c>
      <c r="I1584">
        <v>35</v>
      </c>
      <c r="J1584" t="s">
        <v>9067</v>
      </c>
      <c r="K1584">
        <v>10032</v>
      </c>
      <c r="L1584" t="s">
        <v>9094</v>
      </c>
      <c r="M1584" t="s">
        <v>9095</v>
      </c>
      <c r="P1584" t="s">
        <v>11169</v>
      </c>
      <c r="R1584" t="s">
        <v>11180</v>
      </c>
      <c r="T1584" t="s">
        <v>11183</v>
      </c>
      <c r="V1584" t="s">
        <v>422</v>
      </c>
      <c r="W1584">
        <v>1147.19</v>
      </c>
      <c r="X1584" t="s">
        <v>11335</v>
      </c>
      <c r="Y1584" t="s">
        <v>11338</v>
      </c>
      <c r="Z1584" t="s">
        <v>12464</v>
      </c>
      <c r="AB1584" t="s">
        <v>16867</v>
      </c>
      <c r="AC1584">
        <v>30</v>
      </c>
      <c r="AD1584" t="s">
        <v>19566</v>
      </c>
      <c r="AE1584" t="s">
        <v>19587</v>
      </c>
      <c r="AF1584">
        <v>27</v>
      </c>
      <c r="AG1584">
        <v>3</v>
      </c>
      <c r="AH1584">
        <v>1</v>
      </c>
      <c r="AI1584">
        <v>63.33</v>
      </c>
      <c r="AL1584" t="s">
        <v>19615</v>
      </c>
      <c r="AM1584">
        <v>16308</v>
      </c>
      <c r="AS1584">
        <v>13.1</v>
      </c>
      <c r="AT1584" t="s">
        <v>484</v>
      </c>
      <c r="AU1584" t="s">
        <v>139</v>
      </c>
    </row>
    <row r="1585" spans="1:48">
      <c r="A1585" s="1">
        <f>HYPERLINK("https://lsnyc.legalserver.org/matter/dynamic-profile/view/1905447","19-1905447")</f>
        <v>0</v>
      </c>
      <c r="B1585" t="s">
        <v>174</v>
      </c>
      <c r="C1585" t="s">
        <v>256</v>
      </c>
      <c r="D1585" t="s">
        <v>414</v>
      </c>
      <c r="F1585" t="s">
        <v>1220</v>
      </c>
      <c r="G1585" t="s">
        <v>4111</v>
      </c>
      <c r="H1585" t="s">
        <v>6580</v>
      </c>
      <c r="I1585" t="s">
        <v>8178</v>
      </c>
      <c r="J1585" t="s">
        <v>9065</v>
      </c>
      <c r="K1585">
        <v>10451</v>
      </c>
      <c r="L1585" t="s">
        <v>9094</v>
      </c>
      <c r="M1585" t="s">
        <v>9095</v>
      </c>
      <c r="O1585" t="s">
        <v>11136</v>
      </c>
      <c r="P1585" t="s">
        <v>11164</v>
      </c>
      <c r="R1585" t="s">
        <v>11180</v>
      </c>
      <c r="S1585" t="s">
        <v>9096</v>
      </c>
      <c r="T1585" t="s">
        <v>11183</v>
      </c>
      <c r="W1585">
        <v>1200</v>
      </c>
      <c r="X1585" t="s">
        <v>11333</v>
      </c>
      <c r="Y1585" t="s">
        <v>11346</v>
      </c>
      <c r="Z1585" t="s">
        <v>12465</v>
      </c>
      <c r="AC1585">
        <v>93</v>
      </c>
      <c r="AD1585" t="s">
        <v>19566</v>
      </c>
      <c r="AE1585" t="s">
        <v>19585</v>
      </c>
      <c r="AF1585">
        <v>13</v>
      </c>
      <c r="AG1585">
        <v>1</v>
      </c>
      <c r="AH1585">
        <v>0</v>
      </c>
      <c r="AI1585">
        <v>63.41</v>
      </c>
      <c r="AL1585" t="s">
        <v>19614</v>
      </c>
      <c r="AM1585">
        <v>7920</v>
      </c>
      <c r="AN1585" t="s">
        <v>19805</v>
      </c>
      <c r="AS1585">
        <v>1</v>
      </c>
      <c r="AT1585" t="s">
        <v>414</v>
      </c>
      <c r="AU1585" t="s">
        <v>174</v>
      </c>
      <c r="AV1585" t="s">
        <v>9144</v>
      </c>
    </row>
    <row r="1586" spans="1:48">
      <c r="A1586" s="1">
        <f>HYPERLINK("https://lsnyc.legalserver.org/matter/dynamic-profile/view/1911516","19-1911516")</f>
        <v>0</v>
      </c>
      <c r="B1586" t="s">
        <v>141</v>
      </c>
      <c r="C1586" t="s">
        <v>256</v>
      </c>
      <c r="D1586" t="s">
        <v>362</v>
      </c>
      <c r="F1586" t="s">
        <v>1358</v>
      </c>
      <c r="G1586" t="s">
        <v>3364</v>
      </c>
      <c r="H1586" t="s">
        <v>5999</v>
      </c>
      <c r="I1586" t="s">
        <v>8308</v>
      </c>
      <c r="J1586" t="s">
        <v>9067</v>
      </c>
      <c r="K1586">
        <v>10040</v>
      </c>
      <c r="L1586" t="s">
        <v>9094</v>
      </c>
      <c r="M1586" t="s">
        <v>9095</v>
      </c>
      <c r="O1586" t="s">
        <v>11132</v>
      </c>
      <c r="P1586" t="s">
        <v>11165</v>
      </c>
      <c r="R1586" t="s">
        <v>11180</v>
      </c>
      <c r="S1586" t="s">
        <v>9094</v>
      </c>
      <c r="T1586" t="s">
        <v>11183</v>
      </c>
      <c r="V1586" t="s">
        <v>362</v>
      </c>
      <c r="W1586">
        <v>1134.04</v>
      </c>
      <c r="X1586" t="s">
        <v>11335</v>
      </c>
      <c r="Y1586" t="s">
        <v>11340</v>
      </c>
      <c r="Z1586" t="s">
        <v>12393</v>
      </c>
      <c r="AA1586" t="s">
        <v>15556</v>
      </c>
      <c r="AB1586" t="s">
        <v>16805</v>
      </c>
      <c r="AC1586">
        <v>44</v>
      </c>
      <c r="AD1586" t="s">
        <v>19566</v>
      </c>
      <c r="AE1586" t="s">
        <v>19580</v>
      </c>
      <c r="AF1586">
        <v>36</v>
      </c>
      <c r="AG1586">
        <v>1</v>
      </c>
      <c r="AH1586">
        <v>0</v>
      </c>
      <c r="AI1586">
        <v>63.51</v>
      </c>
      <c r="AL1586" t="s">
        <v>19615</v>
      </c>
      <c r="AM1586">
        <v>7932</v>
      </c>
      <c r="AS1586">
        <v>0.1</v>
      </c>
      <c r="AT1586" t="s">
        <v>292</v>
      </c>
      <c r="AU1586" t="s">
        <v>130</v>
      </c>
      <c r="AV1586" t="s">
        <v>20733</v>
      </c>
    </row>
    <row r="1587" spans="1:48">
      <c r="A1587" s="1">
        <f>HYPERLINK("https://lsnyc.legalserver.org/matter/dynamic-profile/view/1912770","19-1912770")</f>
        <v>0</v>
      </c>
      <c r="B1587" t="s">
        <v>142</v>
      </c>
      <c r="C1587" t="s">
        <v>256</v>
      </c>
      <c r="D1587" t="s">
        <v>563</v>
      </c>
      <c r="F1587" t="s">
        <v>1936</v>
      </c>
      <c r="G1587" t="s">
        <v>3618</v>
      </c>
      <c r="H1587" t="s">
        <v>6581</v>
      </c>
      <c r="I1587">
        <v>26</v>
      </c>
      <c r="J1587" t="s">
        <v>9067</v>
      </c>
      <c r="K1587">
        <v>10029</v>
      </c>
      <c r="L1587" t="s">
        <v>9094</v>
      </c>
      <c r="M1587" t="s">
        <v>9095</v>
      </c>
      <c r="N1587" t="s">
        <v>9783</v>
      </c>
      <c r="O1587" t="s">
        <v>11128</v>
      </c>
      <c r="P1587" t="s">
        <v>11169</v>
      </c>
      <c r="R1587" t="s">
        <v>11180</v>
      </c>
      <c r="S1587" t="s">
        <v>9096</v>
      </c>
      <c r="T1587" t="s">
        <v>11183</v>
      </c>
      <c r="U1587" t="s">
        <v>11201</v>
      </c>
      <c r="V1587" t="s">
        <v>301</v>
      </c>
      <c r="W1587">
        <v>1600</v>
      </c>
      <c r="X1587" t="s">
        <v>11335</v>
      </c>
      <c r="Y1587" t="s">
        <v>11345</v>
      </c>
      <c r="Z1587" t="s">
        <v>12466</v>
      </c>
      <c r="AB1587" t="s">
        <v>16868</v>
      </c>
      <c r="AC1587">
        <v>36</v>
      </c>
      <c r="AD1587" t="s">
        <v>19566</v>
      </c>
      <c r="AE1587" t="s">
        <v>19580</v>
      </c>
      <c r="AF1587">
        <v>10</v>
      </c>
      <c r="AG1587">
        <v>1</v>
      </c>
      <c r="AH1587">
        <v>3</v>
      </c>
      <c r="AI1587">
        <v>63.52</v>
      </c>
      <c r="AL1587" t="s">
        <v>19614</v>
      </c>
      <c r="AM1587">
        <v>16356</v>
      </c>
      <c r="AS1587">
        <v>1.5</v>
      </c>
      <c r="AT1587" t="s">
        <v>301</v>
      </c>
      <c r="AU1587" t="s">
        <v>20632</v>
      </c>
      <c r="AV1587" t="s">
        <v>20733</v>
      </c>
    </row>
    <row r="1588" spans="1:48">
      <c r="A1588" s="1">
        <f>HYPERLINK("https://lsnyc.legalserver.org/matter/dynamic-profile/view/1890391","19-1890391")</f>
        <v>0</v>
      </c>
      <c r="B1588" t="s">
        <v>199</v>
      </c>
      <c r="C1588" t="s">
        <v>257</v>
      </c>
      <c r="D1588" t="s">
        <v>482</v>
      </c>
      <c r="E1588" t="s">
        <v>336</v>
      </c>
      <c r="F1588" t="s">
        <v>1779</v>
      </c>
      <c r="G1588" t="s">
        <v>4112</v>
      </c>
      <c r="H1588" t="s">
        <v>6582</v>
      </c>
      <c r="I1588">
        <v>2</v>
      </c>
      <c r="J1588" t="s">
        <v>9059</v>
      </c>
      <c r="K1588">
        <v>11208</v>
      </c>
      <c r="L1588" t="s">
        <v>9094</v>
      </c>
      <c r="M1588" t="s">
        <v>9094</v>
      </c>
      <c r="N1588" t="s">
        <v>9784</v>
      </c>
      <c r="O1588" t="s">
        <v>11129</v>
      </c>
      <c r="P1588" t="s">
        <v>11165</v>
      </c>
      <c r="Q1588" t="s">
        <v>11174</v>
      </c>
      <c r="R1588" t="s">
        <v>11180</v>
      </c>
      <c r="S1588" t="s">
        <v>9096</v>
      </c>
      <c r="T1588" t="s">
        <v>11183</v>
      </c>
      <c r="U1588" t="s">
        <v>11201</v>
      </c>
      <c r="V1588" t="s">
        <v>784</v>
      </c>
      <c r="W1588">
        <v>2257.83</v>
      </c>
      <c r="X1588" t="s">
        <v>11332</v>
      </c>
      <c r="Y1588" t="s">
        <v>11345</v>
      </c>
      <c r="Z1588" t="s">
        <v>12467</v>
      </c>
      <c r="AA1588" t="s">
        <v>15578</v>
      </c>
      <c r="AB1588" t="s">
        <v>16869</v>
      </c>
      <c r="AC1588">
        <v>2</v>
      </c>
      <c r="AD1588" t="s">
        <v>19565</v>
      </c>
      <c r="AE1588" t="s">
        <v>19586</v>
      </c>
      <c r="AF1588">
        <v>4</v>
      </c>
      <c r="AG1588">
        <v>3</v>
      </c>
      <c r="AH1588">
        <v>2</v>
      </c>
      <c r="AI1588">
        <v>63.64</v>
      </c>
      <c r="AL1588" t="s">
        <v>19614</v>
      </c>
      <c r="AM1588">
        <v>19200</v>
      </c>
      <c r="AO1588" t="s">
        <v>20292</v>
      </c>
      <c r="AP1588" t="s">
        <v>20333</v>
      </c>
      <c r="AQ1588" t="s">
        <v>20369</v>
      </c>
      <c r="AR1588" t="s">
        <v>20457</v>
      </c>
      <c r="AS1588">
        <v>46.3</v>
      </c>
      <c r="AT1588" t="s">
        <v>336</v>
      </c>
      <c r="AU1588" t="s">
        <v>20625</v>
      </c>
      <c r="AV1588" t="s">
        <v>20733</v>
      </c>
    </row>
    <row r="1589" spans="1:48">
      <c r="A1589" s="1">
        <f>HYPERLINK("https://lsnyc.legalserver.org/matter/dynamic-profile/view/1879532","18-1879532")</f>
        <v>0</v>
      </c>
      <c r="B1589" t="s">
        <v>115</v>
      </c>
      <c r="C1589" t="s">
        <v>256</v>
      </c>
      <c r="D1589" t="s">
        <v>452</v>
      </c>
      <c r="F1589" t="s">
        <v>1937</v>
      </c>
      <c r="G1589" t="s">
        <v>4113</v>
      </c>
      <c r="H1589" t="s">
        <v>6229</v>
      </c>
      <c r="I1589" t="s">
        <v>8218</v>
      </c>
      <c r="J1589" t="s">
        <v>9065</v>
      </c>
      <c r="K1589">
        <v>10453</v>
      </c>
      <c r="L1589" t="s">
        <v>9094</v>
      </c>
      <c r="M1589" t="s">
        <v>9094</v>
      </c>
      <c r="N1589" t="s">
        <v>9171</v>
      </c>
      <c r="O1589" t="s">
        <v>11136</v>
      </c>
      <c r="P1589" t="s">
        <v>11164</v>
      </c>
      <c r="R1589" t="s">
        <v>11180</v>
      </c>
      <c r="S1589" t="s">
        <v>9096</v>
      </c>
      <c r="T1589" t="s">
        <v>11183</v>
      </c>
      <c r="V1589" t="s">
        <v>452</v>
      </c>
      <c r="W1589">
        <v>1063.54</v>
      </c>
      <c r="X1589" t="s">
        <v>11333</v>
      </c>
      <c r="Y1589" t="s">
        <v>11352</v>
      </c>
      <c r="Z1589" t="s">
        <v>12468</v>
      </c>
      <c r="AA1589" t="s">
        <v>15579</v>
      </c>
      <c r="AB1589" t="s">
        <v>16870</v>
      </c>
      <c r="AC1589">
        <v>48</v>
      </c>
      <c r="AD1589" t="s">
        <v>19566</v>
      </c>
      <c r="AE1589" t="s">
        <v>9144</v>
      </c>
      <c r="AF1589">
        <v>28</v>
      </c>
      <c r="AG1589">
        <v>4</v>
      </c>
      <c r="AH1589">
        <v>6</v>
      </c>
      <c r="AI1589">
        <v>63.65</v>
      </c>
      <c r="AL1589" t="s">
        <v>19615</v>
      </c>
      <c r="AM1589">
        <v>32472</v>
      </c>
      <c r="AS1589">
        <v>32.3</v>
      </c>
      <c r="AT1589" t="s">
        <v>276</v>
      </c>
      <c r="AU1589" t="s">
        <v>20619</v>
      </c>
    </row>
    <row r="1590" spans="1:48">
      <c r="A1590" s="1">
        <f>HYPERLINK("https://lsnyc.legalserver.org/matter/dynamic-profile/view/1854880","17-1854880")</f>
        <v>0</v>
      </c>
      <c r="B1590" t="s">
        <v>101</v>
      </c>
      <c r="C1590" t="s">
        <v>256</v>
      </c>
      <c r="D1590" t="s">
        <v>558</v>
      </c>
      <c r="F1590" t="s">
        <v>1938</v>
      </c>
      <c r="G1590" t="s">
        <v>3364</v>
      </c>
      <c r="H1590" t="s">
        <v>6041</v>
      </c>
      <c r="I1590" t="s">
        <v>8124</v>
      </c>
      <c r="J1590" t="s">
        <v>9065</v>
      </c>
      <c r="K1590">
        <v>10452</v>
      </c>
      <c r="L1590" t="s">
        <v>9094</v>
      </c>
      <c r="M1590" t="s">
        <v>9095</v>
      </c>
      <c r="N1590" t="s">
        <v>9356</v>
      </c>
      <c r="O1590" t="s">
        <v>11135</v>
      </c>
      <c r="P1590" t="s">
        <v>11168</v>
      </c>
      <c r="R1590" t="s">
        <v>11180</v>
      </c>
      <c r="S1590" t="s">
        <v>9094</v>
      </c>
      <c r="T1590" t="s">
        <v>11183</v>
      </c>
      <c r="V1590" t="s">
        <v>1122</v>
      </c>
      <c r="W1590">
        <v>2006</v>
      </c>
      <c r="X1590" t="s">
        <v>11333</v>
      </c>
      <c r="Y1590" t="s">
        <v>11346</v>
      </c>
      <c r="Z1590" t="s">
        <v>12469</v>
      </c>
      <c r="AB1590" t="s">
        <v>16871</v>
      </c>
      <c r="AC1590">
        <v>62</v>
      </c>
      <c r="AD1590" t="s">
        <v>19566</v>
      </c>
      <c r="AE1590" t="s">
        <v>19580</v>
      </c>
      <c r="AF1590">
        <v>3</v>
      </c>
      <c r="AG1590">
        <v>2</v>
      </c>
      <c r="AH1590">
        <v>3</v>
      </c>
      <c r="AI1590">
        <v>63.65</v>
      </c>
      <c r="AL1590" t="s">
        <v>19614</v>
      </c>
      <c r="AM1590">
        <v>18317.52</v>
      </c>
      <c r="AS1590">
        <v>0.4</v>
      </c>
      <c r="AT1590" t="s">
        <v>558</v>
      </c>
      <c r="AU1590" t="s">
        <v>174</v>
      </c>
    </row>
    <row r="1591" spans="1:48">
      <c r="A1591" s="1">
        <f>HYPERLINK("https://lsnyc.legalserver.org/matter/dynamic-profile/view/1854975","18-1854975")</f>
        <v>0</v>
      </c>
      <c r="B1591" t="s">
        <v>101</v>
      </c>
      <c r="C1591" t="s">
        <v>256</v>
      </c>
      <c r="D1591" t="s">
        <v>792</v>
      </c>
      <c r="F1591" t="s">
        <v>1938</v>
      </c>
      <c r="G1591" t="s">
        <v>3364</v>
      </c>
      <c r="H1591" t="s">
        <v>6041</v>
      </c>
      <c r="I1591" t="s">
        <v>8124</v>
      </c>
      <c r="J1591" t="s">
        <v>9065</v>
      </c>
      <c r="K1591">
        <v>10452</v>
      </c>
      <c r="L1591" t="s">
        <v>9094</v>
      </c>
      <c r="M1591" t="s">
        <v>9095</v>
      </c>
      <c r="N1591" t="s">
        <v>9496</v>
      </c>
      <c r="O1591" t="s">
        <v>11135</v>
      </c>
      <c r="P1591" t="s">
        <v>11168</v>
      </c>
      <c r="R1591" t="s">
        <v>11180</v>
      </c>
      <c r="S1591" t="s">
        <v>9094</v>
      </c>
      <c r="T1591" t="s">
        <v>11183</v>
      </c>
      <c r="V1591" t="s">
        <v>1122</v>
      </c>
      <c r="W1591">
        <v>2006</v>
      </c>
      <c r="X1591" t="s">
        <v>11333</v>
      </c>
      <c r="Y1591" t="s">
        <v>11346</v>
      </c>
      <c r="Z1591" t="s">
        <v>12469</v>
      </c>
      <c r="AB1591" t="s">
        <v>16871</v>
      </c>
      <c r="AC1591">
        <v>62</v>
      </c>
      <c r="AD1591" t="s">
        <v>19566</v>
      </c>
      <c r="AE1591" t="s">
        <v>19580</v>
      </c>
      <c r="AF1591">
        <v>3</v>
      </c>
      <c r="AG1591">
        <v>2</v>
      </c>
      <c r="AH1591">
        <v>3</v>
      </c>
      <c r="AI1591">
        <v>63.65</v>
      </c>
      <c r="AL1591" t="s">
        <v>19614</v>
      </c>
      <c r="AM1591">
        <v>18317.52</v>
      </c>
      <c r="AS1591">
        <v>0</v>
      </c>
      <c r="AU1591" t="s">
        <v>20643</v>
      </c>
    </row>
    <row r="1592" spans="1:48">
      <c r="A1592" s="1">
        <f>HYPERLINK("https://lsnyc.legalserver.org/matter/dynamic-profile/view/1892955","19-1892955")</f>
        <v>0</v>
      </c>
      <c r="B1592" t="s">
        <v>54</v>
      </c>
      <c r="C1592" t="s">
        <v>256</v>
      </c>
      <c r="D1592" t="s">
        <v>523</v>
      </c>
      <c r="F1592" t="s">
        <v>1939</v>
      </c>
      <c r="G1592" t="s">
        <v>3928</v>
      </c>
      <c r="H1592" t="s">
        <v>6583</v>
      </c>
      <c r="I1592" t="s">
        <v>8469</v>
      </c>
      <c r="J1592" t="s">
        <v>9052</v>
      </c>
      <c r="K1592">
        <v>11373</v>
      </c>
      <c r="L1592" t="s">
        <v>9094</v>
      </c>
      <c r="M1592" t="s">
        <v>9094</v>
      </c>
      <c r="O1592" t="s">
        <v>11139</v>
      </c>
      <c r="P1592" t="s">
        <v>11166</v>
      </c>
      <c r="R1592" t="s">
        <v>11180</v>
      </c>
      <c r="S1592" t="s">
        <v>9096</v>
      </c>
      <c r="T1592" t="s">
        <v>11183</v>
      </c>
      <c r="U1592" t="s">
        <v>11200</v>
      </c>
      <c r="V1592" t="s">
        <v>316</v>
      </c>
      <c r="W1592">
        <v>947.9299999999999</v>
      </c>
      <c r="X1592" t="s">
        <v>11331</v>
      </c>
      <c r="Y1592" t="s">
        <v>11336</v>
      </c>
      <c r="Z1592" t="s">
        <v>12470</v>
      </c>
      <c r="AA1592" t="s">
        <v>15580</v>
      </c>
      <c r="AB1592" t="s">
        <v>16872</v>
      </c>
      <c r="AC1592">
        <v>125</v>
      </c>
      <c r="AD1592" t="s">
        <v>19566</v>
      </c>
      <c r="AE1592" t="s">
        <v>19587</v>
      </c>
      <c r="AF1592">
        <v>25</v>
      </c>
      <c r="AG1592">
        <v>1</v>
      </c>
      <c r="AH1592">
        <v>0</v>
      </c>
      <c r="AI1592">
        <v>63.7</v>
      </c>
      <c r="AL1592" t="s">
        <v>19614</v>
      </c>
      <c r="AM1592">
        <v>7956</v>
      </c>
      <c r="AS1592">
        <v>2.3</v>
      </c>
      <c r="AT1592" t="s">
        <v>648</v>
      </c>
      <c r="AU1592" t="s">
        <v>49</v>
      </c>
    </row>
    <row r="1593" spans="1:48">
      <c r="A1593" s="1">
        <f>HYPERLINK("https://lsnyc.legalserver.org/matter/dynamic-profile/view/1913165","19-1913165")</f>
        <v>0</v>
      </c>
      <c r="B1593" t="s">
        <v>57</v>
      </c>
      <c r="C1593" t="s">
        <v>256</v>
      </c>
      <c r="D1593" t="s">
        <v>276</v>
      </c>
      <c r="F1593" t="s">
        <v>1940</v>
      </c>
      <c r="G1593" t="s">
        <v>4114</v>
      </c>
      <c r="H1593" t="s">
        <v>6584</v>
      </c>
      <c r="J1593" t="s">
        <v>9083</v>
      </c>
      <c r="K1593">
        <v>11378</v>
      </c>
      <c r="L1593" t="s">
        <v>9094</v>
      </c>
      <c r="M1593" t="s">
        <v>9095</v>
      </c>
      <c r="N1593" t="s">
        <v>9785</v>
      </c>
      <c r="O1593" t="s">
        <v>11128</v>
      </c>
      <c r="P1593" t="s">
        <v>11167</v>
      </c>
      <c r="R1593" t="s">
        <v>11181</v>
      </c>
      <c r="S1593" t="s">
        <v>9096</v>
      </c>
      <c r="T1593" t="s">
        <v>11183</v>
      </c>
      <c r="U1593" t="s">
        <v>11201</v>
      </c>
      <c r="V1593" t="s">
        <v>276</v>
      </c>
      <c r="W1593">
        <v>800</v>
      </c>
      <c r="X1593" t="s">
        <v>11331</v>
      </c>
      <c r="Y1593" t="s">
        <v>11337</v>
      </c>
      <c r="Z1593" t="s">
        <v>12471</v>
      </c>
      <c r="AB1593" t="s">
        <v>16873</v>
      </c>
      <c r="AC1593">
        <v>3</v>
      </c>
      <c r="AF1593">
        <v>5</v>
      </c>
      <c r="AG1593">
        <v>1</v>
      </c>
      <c r="AH1593">
        <v>1</v>
      </c>
      <c r="AI1593">
        <v>63.87</v>
      </c>
      <c r="AJ1593" t="s">
        <v>19591</v>
      </c>
      <c r="AK1593" t="s">
        <v>19608</v>
      </c>
      <c r="AL1593" t="s">
        <v>19614</v>
      </c>
      <c r="AM1593">
        <v>10800</v>
      </c>
      <c r="AS1593">
        <v>3.15</v>
      </c>
      <c r="AT1593" t="s">
        <v>476</v>
      </c>
      <c r="AU1593" t="s">
        <v>57</v>
      </c>
      <c r="AV1593" t="s">
        <v>9144</v>
      </c>
    </row>
    <row r="1594" spans="1:48">
      <c r="A1594" s="1">
        <f>HYPERLINK("https://lsnyc.legalserver.org/matter/dynamic-profile/view/1856806","18-1856806")</f>
        <v>0</v>
      </c>
      <c r="B1594" t="s">
        <v>70</v>
      </c>
      <c r="C1594" t="s">
        <v>256</v>
      </c>
      <c r="D1594" t="s">
        <v>812</v>
      </c>
      <c r="F1594" t="s">
        <v>1721</v>
      </c>
      <c r="G1594" t="s">
        <v>4115</v>
      </c>
      <c r="H1594" t="s">
        <v>6223</v>
      </c>
      <c r="I1594" t="s">
        <v>8128</v>
      </c>
      <c r="J1594" t="s">
        <v>9059</v>
      </c>
      <c r="K1594">
        <v>11215</v>
      </c>
      <c r="L1594" t="s">
        <v>9094</v>
      </c>
      <c r="M1594" t="s">
        <v>9095</v>
      </c>
      <c r="N1594" t="s">
        <v>9786</v>
      </c>
      <c r="O1594" t="s">
        <v>11130</v>
      </c>
      <c r="P1594" t="s">
        <v>11165</v>
      </c>
      <c r="R1594" t="s">
        <v>11180</v>
      </c>
      <c r="S1594" t="s">
        <v>9094</v>
      </c>
      <c r="T1594" t="s">
        <v>11183</v>
      </c>
      <c r="V1594" t="s">
        <v>812</v>
      </c>
      <c r="W1594">
        <v>149</v>
      </c>
      <c r="X1594" t="s">
        <v>11332</v>
      </c>
      <c r="Y1594" t="s">
        <v>11341</v>
      </c>
      <c r="Z1594" t="s">
        <v>12472</v>
      </c>
      <c r="AC1594">
        <v>7</v>
      </c>
      <c r="AD1594" t="s">
        <v>19569</v>
      </c>
      <c r="AF1594">
        <v>42</v>
      </c>
      <c r="AG1594">
        <v>2</v>
      </c>
      <c r="AH1594">
        <v>0</v>
      </c>
      <c r="AI1594">
        <v>63.92</v>
      </c>
      <c r="AK1594" t="s">
        <v>19609</v>
      </c>
      <c r="AL1594" t="s">
        <v>19614</v>
      </c>
      <c r="AM1594">
        <v>10380</v>
      </c>
      <c r="AS1594">
        <v>6.4</v>
      </c>
      <c r="AT1594" t="s">
        <v>328</v>
      </c>
      <c r="AU1594" t="s">
        <v>76</v>
      </c>
      <c r="AV1594" t="s">
        <v>20733</v>
      </c>
    </row>
    <row r="1595" spans="1:48">
      <c r="A1595" s="1">
        <f>HYPERLINK("https://lsnyc.legalserver.org/matter/dynamic-profile/view/1890395","19-1890395")</f>
        <v>0</v>
      </c>
      <c r="B1595" t="s">
        <v>117</v>
      </c>
      <c r="C1595" t="s">
        <v>256</v>
      </c>
      <c r="D1595" t="s">
        <v>397</v>
      </c>
      <c r="F1595" t="s">
        <v>1541</v>
      </c>
      <c r="G1595" t="s">
        <v>4101</v>
      </c>
      <c r="H1595" t="s">
        <v>5888</v>
      </c>
      <c r="I1595" t="s">
        <v>8192</v>
      </c>
      <c r="J1595" t="s">
        <v>9065</v>
      </c>
      <c r="K1595">
        <v>10453</v>
      </c>
      <c r="L1595" t="s">
        <v>9094</v>
      </c>
      <c r="M1595" t="s">
        <v>9094</v>
      </c>
      <c r="N1595" t="s">
        <v>9243</v>
      </c>
      <c r="O1595" t="s">
        <v>11130</v>
      </c>
      <c r="P1595" t="s">
        <v>11165</v>
      </c>
      <c r="R1595" t="s">
        <v>11180</v>
      </c>
      <c r="S1595" t="s">
        <v>9094</v>
      </c>
      <c r="T1595" t="s">
        <v>11183</v>
      </c>
      <c r="V1595" t="s">
        <v>512</v>
      </c>
      <c r="W1595">
        <v>187</v>
      </c>
      <c r="X1595" t="s">
        <v>11333</v>
      </c>
      <c r="Y1595" t="s">
        <v>11346</v>
      </c>
      <c r="Z1595" t="s">
        <v>12448</v>
      </c>
      <c r="AB1595" t="s">
        <v>16854</v>
      </c>
      <c r="AC1595">
        <v>44</v>
      </c>
      <c r="AD1595" t="s">
        <v>19566</v>
      </c>
      <c r="AE1595" t="s">
        <v>19580</v>
      </c>
      <c r="AF1595">
        <v>25</v>
      </c>
      <c r="AG1595">
        <v>1</v>
      </c>
      <c r="AH1595">
        <v>0</v>
      </c>
      <c r="AI1595">
        <v>63.95</v>
      </c>
      <c r="AL1595" t="s">
        <v>19615</v>
      </c>
      <c r="AM1595">
        <v>7764</v>
      </c>
      <c r="AS1595">
        <v>0</v>
      </c>
      <c r="AU1595" t="s">
        <v>163</v>
      </c>
    </row>
    <row r="1596" spans="1:48">
      <c r="A1596" s="1">
        <f>HYPERLINK("https://lsnyc.legalserver.org/matter/dynamic-profile/view/1890394","18-1890394")</f>
        <v>0</v>
      </c>
      <c r="B1596" t="s">
        <v>117</v>
      </c>
      <c r="C1596" t="s">
        <v>256</v>
      </c>
      <c r="D1596" t="s">
        <v>397</v>
      </c>
      <c r="F1596" t="s">
        <v>1541</v>
      </c>
      <c r="G1596" t="s">
        <v>4101</v>
      </c>
      <c r="H1596" t="s">
        <v>5888</v>
      </c>
      <c r="I1596" t="s">
        <v>8192</v>
      </c>
      <c r="J1596" t="s">
        <v>9065</v>
      </c>
      <c r="K1596">
        <v>10453</v>
      </c>
      <c r="L1596" t="s">
        <v>9094</v>
      </c>
      <c r="M1596" t="s">
        <v>9094</v>
      </c>
      <c r="O1596" t="s">
        <v>9121</v>
      </c>
      <c r="P1596" t="s">
        <v>11166</v>
      </c>
      <c r="R1596" t="s">
        <v>11180</v>
      </c>
      <c r="S1596" t="s">
        <v>9094</v>
      </c>
      <c r="T1596" t="s">
        <v>11183</v>
      </c>
      <c r="V1596" t="s">
        <v>11254</v>
      </c>
      <c r="W1596">
        <v>187</v>
      </c>
      <c r="X1596" t="s">
        <v>11333</v>
      </c>
      <c r="Y1596" t="s">
        <v>11346</v>
      </c>
      <c r="Z1596" t="s">
        <v>12448</v>
      </c>
      <c r="AB1596" t="s">
        <v>16854</v>
      </c>
      <c r="AC1596">
        <v>44</v>
      </c>
      <c r="AD1596" t="s">
        <v>19566</v>
      </c>
      <c r="AE1596" t="s">
        <v>19580</v>
      </c>
      <c r="AF1596">
        <v>25</v>
      </c>
      <c r="AG1596">
        <v>1</v>
      </c>
      <c r="AH1596">
        <v>0</v>
      </c>
      <c r="AI1596">
        <v>63.95</v>
      </c>
      <c r="AL1596" t="s">
        <v>19615</v>
      </c>
      <c r="AM1596">
        <v>7764</v>
      </c>
      <c r="AS1596">
        <v>0</v>
      </c>
      <c r="AU1596" t="s">
        <v>163</v>
      </c>
    </row>
    <row r="1597" spans="1:48">
      <c r="A1597" s="1">
        <f>HYPERLINK("https://lsnyc.legalserver.org/matter/dynamic-profile/view/1895718","19-1895718")</f>
        <v>0</v>
      </c>
      <c r="B1597" t="s">
        <v>52</v>
      </c>
      <c r="C1597" t="s">
        <v>257</v>
      </c>
      <c r="D1597" t="s">
        <v>376</v>
      </c>
      <c r="E1597" t="s">
        <v>1016</v>
      </c>
      <c r="F1597" t="s">
        <v>1556</v>
      </c>
      <c r="G1597" t="s">
        <v>1687</v>
      </c>
      <c r="H1597" t="s">
        <v>5692</v>
      </c>
      <c r="I1597" t="s">
        <v>8470</v>
      </c>
      <c r="J1597" t="s">
        <v>9038</v>
      </c>
      <c r="K1597">
        <v>11691</v>
      </c>
      <c r="L1597" t="s">
        <v>9094</v>
      </c>
      <c r="M1597" t="s">
        <v>9094</v>
      </c>
      <c r="O1597" t="s">
        <v>11134</v>
      </c>
      <c r="P1597" t="s">
        <v>11167</v>
      </c>
      <c r="Q1597" t="s">
        <v>11173</v>
      </c>
      <c r="R1597" t="s">
        <v>11180</v>
      </c>
      <c r="S1597" t="s">
        <v>9094</v>
      </c>
      <c r="T1597" t="s">
        <v>11183</v>
      </c>
      <c r="U1597" t="s">
        <v>11201</v>
      </c>
      <c r="V1597" t="s">
        <v>376</v>
      </c>
      <c r="W1597">
        <v>637</v>
      </c>
      <c r="X1597" t="s">
        <v>11331</v>
      </c>
      <c r="Y1597" t="s">
        <v>11339</v>
      </c>
      <c r="Z1597" t="s">
        <v>12473</v>
      </c>
      <c r="AA1597" t="s">
        <v>15274</v>
      </c>
      <c r="AB1597" t="s">
        <v>16874</v>
      </c>
      <c r="AC1597">
        <v>43</v>
      </c>
      <c r="AD1597" t="s">
        <v>19566</v>
      </c>
      <c r="AE1597" t="s">
        <v>9144</v>
      </c>
      <c r="AF1597">
        <v>20</v>
      </c>
      <c r="AG1597">
        <v>1</v>
      </c>
      <c r="AH1597">
        <v>0</v>
      </c>
      <c r="AI1597">
        <v>64.05</v>
      </c>
      <c r="AL1597" t="s">
        <v>19614</v>
      </c>
      <c r="AM1597">
        <v>8000</v>
      </c>
      <c r="AS1597">
        <v>0.25</v>
      </c>
      <c r="AT1597" t="s">
        <v>1016</v>
      </c>
      <c r="AU1597" t="s">
        <v>20622</v>
      </c>
      <c r="AV1597" t="s">
        <v>20733</v>
      </c>
    </row>
    <row r="1598" spans="1:48">
      <c r="A1598" s="1">
        <f>HYPERLINK("https://lsnyc.legalserver.org/matter/dynamic-profile/view/1912431","19-1912431")</f>
        <v>0</v>
      </c>
      <c r="B1598" t="s">
        <v>52</v>
      </c>
      <c r="C1598" t="s">
        <v>256</v>
      </c>
      <c r="D1598" t="s">
        <v>744</v>
      </c>
      <c r="F1598" t="s">
        <v>1556</v>
      </c>
      <c r="G1598" t="s">
        <v>1687</v>
      </c>
      <c r="H1598" t="s">
        <v>5692</v>
      </c>
      <c r="I1598" t="s">
        <v>8308</v>
      </c>
      <c r="J1598" t="s">
        <v>9038</v>
      </c>
      <c r="K1598">
        <v>11691</v>
      </c>
      <c r="L1598" t="s">
        <v>9094</v>
      </c>
      <c r="M1598" t="s">
        <v>9095</v>
      </c>
      <c r="N1598" t="s">
        <v>9664</v>
      </c>
      <c r="O1598" t="s">
        <v>11130</v>
      </c>
      <c r="P1598" t="s">
        <v>11165</v>
      </c>
      <c r="R1598" t="s">
        <v>11180</v>
      </c>
      <c r="S1598" t="s">
        <v>9094</v>
      </c>
      <c r="T1598" t="s">
        <v>11183</v>
      </c>
      <c r="U1598" t="s">
        <v>11201</v>
      </c>
      <c r="V1598" t="s">
        <v>744</v>
      </c>
      <c r="W1598">
        <v>637</v>
      </c>
      <c r="X1598" t="s">
        <v>11331</v>
      </c>
      <c r="Y1598" t="s">
        <v>11339</v>
      </c>
      <c r="Z1598" t="s">
        <v>12473</v>
      </c>
      <c r="AB1598" t="s">
        <v>16874</v>
      </c>
      <c r="AC1598">
        <v>43</v>
      </c>
      <c r="AD1598" t="s">
        <v>19566</v>
      </c>
      <c r="AE1598" t="s">
        <v>9144</v>
      </c>
      <c r="AF1598">
        <v>20</v>
      </c>
      <c r="AG1598">
        <v>1</v>
      </c>
      <c r="AH1598">
        <v>0</v>
      </c>
      <c r="AI1598">
        <v>64.05</v>
      </c>
      <c r="AL1598" t="s">
        <v>19614</v>
      </c>
      <c r="AM1598">
        <v>8000</v>
      </c>
      <c r="AP1598" t="s">
        <v>11157</v>
      </c>
      <c r="AS1598">
        <v>6.75</v>
      </c>
      <c r="AT1598" t="s">
        <v>487</v>
      </c>
      <c r="AU1598" t="s">
        <v>20620</v>
      </c>
      <c r="AV1598" t="s">
        <v>20733</v>
      </c>
    </row>
    <row r="1599" spans="1:48">
      <c r="A1599" s="1">
        <f>HYPERLINK("https://lsnyc.legalserver.org/matter/dynamic-profile/view/1912425","19-1912425")</f>
        <v>0</v>
      </c>
      <c r="B1599" t="s">
        <v>52</v>
      </c>
      <c r="C1599" t="s">
        <v>256</v>
      </c>
      <c r="D1599" t="s">
        <v>744</v>
      </c>
      <c r="F1599" t="s">
        <v>1556</v>
      </c>
      <c r="G1599" t="s">
        <v>1687</v>
      </c>
      <c r="H1599" t="s">
        <v>5692</v>
      </c>
      <c r="I1599" t="s">
        <v>8308</v>
      </c>
      <c r="J1599" t="s">
        <v>9038</v>
      </c>
      <c r="K1599">
        <v>11691</v>
      </c>
      <c r="L1599" t="s">
        <v>9094</v>
      </c>
      <c r="M1599" t="s">
        <v>9095</v>
      </c>
      <c r="N1599" t="s">
        <v>9787</v>
      </c>
      <c r="O1599" t="s">
        <v>11129</v>
      </c>
      <c r="P1599" t="s">
        <v>11165</v>
      </c>
      <c r="R1599" t="s">
        <v>11180</v>
      </c>
      <c r="S1599" t="s">
        <v>9094</v>
      </c>
      <c r="T1599" t="s">
        <v>11183</v>
      </c>
      <c r="U1599" t="s">
        <v>11201</v>
      </c>
      <c r="V1599" t="s">
        <v>744</v>
      </c>
      <c r="W1599">
        <v>637</v>
      </c>
      <c r="X1599" t="s">
        <v>11331</v>
      </c>
      <c r="Y1599" t="s">
        <v>11339</v>
      </c>
      <c r="Z1599" t="s">
        <v>12473</v>
      </c>
      <c r="AB1599" t="s">
        <v>16874</v>
      </c>
      <c r="AC1599">
        <v>43</v>
      </c>
      <c r="AD1599" t="s">
        <v>19566</v>
      </c>
      <c r="AE1599" t="s">
        <v>9144</v>
      </c>
      <c r="AF1599">
        <v>20</v>
      </c>
      <c r="AG1599">
        <v>1</v>
      </c>
      <c r="AH1599">
        <v>0</v>
      </c>
      <c r="AI1599">
        <v>64.05</v>
      </c>
      <c r="AL1599" t="s">
        <v>19614</v>
      </c>
      <c r="AM1599">
        <v>8000</v>
      </c>
      <c r="AP1599" t="s">
        <v>11157</v>
      </c>
      <c r="AS1599">
        <v>2.5</v>
      </c>
      <c r="AT1599" t="s">
        <v>1133</v>
      </c>
      <c r="AU1599" t="s">
        <v>20620</v>
      </c>
      <c r="AV1599" t="s">
        <v>20733</v>
      </c>
    </row>
    <row r="1600" spans="1:48">
      <c r="A1600" s="1">
        <f>HYPERLINK("https://lsnyc.legalserver.org/matter/dynamic-profile/view/1895748","19-1895748")</f>
        <v>0</v>
      </c>
      <c r="B1600" t="s">
        <v>52</v>
      </c>
      <c r="C1600" t="s">
        <v>256</v>
      </c>
      <c r="D1600" t="s">
        <v>376</v>
      </c>
      <c r="F1600" t="s">
        <v>1556</v>
      </c>
      <c r="G1600" t="s">
        <v>1687</v>
      </c>
      <c r="H1600" t="s">
        <v>5692</v>
      </c>
      <c r="I1600" t="s">
        <v>8470</v>
      </c>
      <c r="J1600" t="s">
        <v>9038</v>
      </c>
      <c r="K1600">
        <v>11691</v>
      </c>
      <c r="L1600" t="s">
        <v>9094</v>
      </c>
      <c r="M1600" t="s">
        <v>9094</v>
      </c>
      <c r="O1600" t="s">
        <v>11136</v>
      </c>
      <c r="P1600" t="s">
        <v>11167</v>
      </c>
      <c r="R1600" t="s">
        <v>11180</v>
      </c>
      <c r="S1600" t="s">
        <v>9094</v>
      </c>
      <c r="T1600" t="s">
        <v>11183</v>
      </c>
      <c r="V1600" t="s">
        <v>376</v>
      </c>
      <c r="W1600">
        <v>637</v>
      </c>
      <c r="X1600" t="s">
        <v>11331</v>
      </c>
      <c r="Y1600" t="s">
        <v>11339</v>
      </c>
      <c r="Z1600" t="s">
        <v>12473</v>
      </c>
      <c r="AA1600" t="s">
        <v>15274</v>
      </c>
      <c r="AB1600" t="s">
        <v>16874</v>
      </c>
      <c r="AC1600">
        <v>43</v>
      </c>
      <c r="AD1600" t="s">
        <v>19566</v>
      </c>
      <c r="AE1600" t="s">
        <v>9144</v>
      </c>
      <c r="AF1600">
        <v>20</v>
      </c>
      <c r="AG1600">
        <v>1</v>
      </c>
      <c r="AH1600">
        <v>0</v>
      </c>
      <c r="AI1600">
        <v>64.05</v>
      </c>
      <c r="AL1600" t="s">
        <v>19614</v>
      </c>
      <c r="AM1600">
        <v>8000</v>
      </c>
      <c r="AS1600">
        <v>86.45</v>
      </c>
      <c r="AT1600" t="s">
        <v>496</v>
      </c>
      <c r="AU1600" t="s">
        <v>20622</v>
      </c>
    </row>
    <row r="1601" spans="1:48">
      <c r="A1601" s="1">
        <f>HYPERLINK("https://lsnyc.legalserver.org/matter/dynamic-profile/view/1904701","19-1904701")</f>
        <v>0</v>
      </c>
      <c r="B1601" t="s">
        <v>137</v>
      </c>
      <c r="C1601" t="s">
        <v>256</v>
      </c>
      <c r="D1601" t="s">
        <v>497</v>
      </c>
      <c r="F1601" t="s">
        <v>1332</v>
      </c>
      <c r="G1601" t="s">
        <v>3448</v>
      </c>
      <c r="H1601" t="s">
        <v>5950</v>
      </c>
      <c r="I1601">
        <v>34</v>
      </c>
      <c r="J1601" t="s">
        <v>9067</v>
      </c>
      <c r="K1601">
        <v>10034</v>
      </c>
      <c r="L1601" t="s">
        <v>9094</v>
      </c>
      <c r="M1601" t="s">
        <v>9095</v>
      </c>
      <c r="P1601" t="s">
        <v>11169</v>
      </c>
      <c r="R1601" t="s">
        <v>11180</v>
      </c>
      <c r="S1601" t="s">
        <v>9094</v>
      </c>
      <c r="T1601" t="s">
        <v>11183</v>
      </c>
      <c r="V1601" t="s">
        <v>497</v>
      </c>
      <c r="W1601">
        <v>812.02</v>
      </c>
      <c r="X1601" t="s">
        <v>11335</v>
      </c>
      <c r="Y1601" t="s">
        <v>11338</v>
      </c>
      <c r="Z1601" t="s">
        <v>12474</v>
      </c>
      <c r="AB1601" t="s">
        <v>16875</v>
      </c>
      <c r="AC1601">
        <v>25</v>
      </c>
      <c r="AD1601" t="s">
        <v>19566</v>
      </c>
      <c r="AE1601" t="s">
        <v>19587</v>
      </c>
      <c r="AF1601">
        <v>38</v>
      </c>
      <c r="AG1601">
        <v>1</v>
      </c>
      <c r="AH1601">
        <v>0</v>
      </c>
      <c r="AI1601">
        <v>64.05</v>
      </c>
      <c r="AL1601" t="s">
        <v>19614</v>
      </c>
      <c r="AM1601">
        <v>8000</v>
      </c>
      <c r="AS1601">
        <v>1.5</v>
      </c>
      <c r="AT1601" t="s">
        <v>415</v>
      </c>
      <c r="AU1601" t="s">
        <v>130</v>
      </c>
      <c r="AV1601" t="s">
        <v>20733</v>
      </c>
    </row>
    <row r="1602" spans="1:48">
      <c r="A1602" s="1">
        <f>HYPERLINK("https://lsnyc.legalserver.org/matter/dynamic-profile/view/1909040","19-1909040")</f>
        <v>0</v>
      </c>
      <c r="B1602" t="s">
        <v>134</v>
      </c>
      <c r="C1602" t="s">
        <v>256</v>
      </c>
      <c r="D1602" t="s">
        <v>669</v>
      </c>
      <c r="F1602" t="s">
        <v>1146</v>
      </c>
      <c r="G1602" t="s">
        <v>4116</v>
      </c>
      <c r="H1602" t="s">
        <v>6449</v>
      </c>
      <c r="I1602">
        <v>24</v>
      </c>
      <c r="J1602" t="s">
        <v>9067</v>
      </c>
      <c r="K1602">
        <v>10033</v>
      </c>
      <c r="L1602" t="s">
        <v>9094</v>
      </c>
      <c r="M1602" t="s">
        <v>9095</v>
      </c>
      <c r="O1602" t="s">
        <v>11130</v>
      </c>
      <c r="P1602" t="s">
        <v>11165</v>
      </c>
      <c r="R1602" t="s">
        <v>11180</v>
      </c>
      <c r="S1602" t="s">
        <v>9094</v>
      </c>
      <c r="T1602" t="s">
        <v>11183</v>
      </c>
      <c r="V1602" t="s">
        <v>669</v>
      </c>
      <c r="W1602">
        <v>838.08</v>
      </c>
      <c r="X1602" t="s">
        <v>11335</v>
      </c>
      <c r="Y1602" t="s">
        <v>11338</v>
      </c>
      <c r="Z1602" t="s">
        <v>12475</v>
      </c>
      <c r="AB1602" t="s">
        <v>16876</v>
      </c>
      <c r="AC1602">
        <v>20</v>
      </c>
      <c r="AD1602" t="s">
        <v>19566</v>
      </c>
      <c r="AE1602" t="s">
        <v>19587</v>
      </c>
      <c r="AF1602">
        <v>28</v>
      </c>
      <c r="AG1602">
        <v>1</v>
      </c>
      <c r="AH1602">
        <v>0</v>
      </c>
      <c r="AI1602">
        <v>64.05</v>
      </c>
      <c r="AL1602" t="s">
        <v>19615</v>
      </c>
      <c r="AM1602">
        <v>8000</v>
      </c>
      <c r="AS1602">
        <v>0.3</v>
      </c>
      <c r="AT1602" t="s">
        <v>295</v>
      </c>
      <c r="AU1602" t="s">
        <v>130</v>
      </c>
      <c r="AV1602" t="s">
        <v>20733</v>
      </c>
    </row>
    <row r="1603" spans="1:48">
      <c r="A1603" s="1">
        <f>HYPERLINK("https://lsnyc.legalserver.org/matter/dynamic-profile/view/1858323","18-1858323")</f>
        <v>0</v>
      </c>
      <c r="B1603" t="s">
        <v>94</v>
      </c>
      <c r="C1603" t="s">
        <v>257</v>
      </c>
      <c r="D1603" t="s">
        <v>579</v>
      </c>
      <c r="E1603" t="s">
        <v>498</v>
      </c>
      <c r="F1603" t="s">
        <v>1147</v>
      </c>
      <c r="G1603" t="s">
        <v>3370</v>
      </c>
      <c r="H1603" t="s">
        <v>5997</v>
      </c>
      <c r="I1603" t="s">
        <v>8140</v>
      </c>
      <c r="J1603" t="s">
        <v>9059</v>
      </c>
      <c r="K1603">
        <v>11213</v>
      </c>
      <c r="L1603" t="s">
        <v>9094</v>
      </c>
      <c r="M1603" t="s">
        <v>9095</v>
      </c>
      <c r="N1603" t="s">
        <v>9788</v>
      </c>
      <c r="O1603" t="s">
        <v>11130</v>
      </c>
      <c r="P1603" t="s">
        <v>11165</v>
      </c>
      <c r="Q1603" t="s">
        <v>11172</v>
      </c>
      <c r="R1603" t="s">
        <v>11180</v>
      </c>
      <c r="S1603" t="s">
        <v>9094</v>
      </c>
      <c r="T1603" t="s">
        <v>11183</v>
      </c>
      <c r="V1603" t="s">
        <v>1122</v>
      </c>
      <c r="W1603">
        <v>887</v>
      </c>
      <c r="X1603" t="s">
        <v>11332</v>
      </c>
      <c r="Y1603" t="s">
        <v>11339</v>
      </c>
      <c r="Z1603" t="s">
        <v>12476</v>
      </c>
      <c r="AB1603" t="s">
        <v>16877</v>
      </c>
      <c r="AC1603">
        <v>107</v>
      </c>
      <c r="AD1603" t="s">
        <v>19566</v>
      </c>
      <c r="AE1603" t="s">
        <v>9144</v>
      </c>
      <c r="AF1603">
        <v>25</v>
      </c>
      <c r="AG1603">
        <v>4</v>
      </c>
      <c r="AH1603">
        <v>2</v>
      </c>
      <c r="AI1603">
        <v>64.15000000000001</v>
      </c>
      <c r="AJ1603" t="s">
        <v>679</v>
      </c>
      <c r="AL1603" t="s">
        <v>19614</v>
      </c>
      <c r="AM1603">
        <v>47832</v>
      </c>
      <c r="AP1603" t="s">
        <v>11157</v>
      </c>
      <c r="AQ1603" t="s">
        <v>20369</v>
      </c>
      <c r="AR1603" t="s">
        <v>20463</v>
      </c>
      <c r="AS1603">
        <v>5</v>
      </c>
      <c r="AT1603" t="s">
        <v>397</v>
      </c>
      <c r="AU1603" t="s">
        <v>20685</v>
      </c>
    </row>
    <row r="1604" spans="1:48">
      <c r="A1604" s="1">
        <f>HYPERLINK("https://lsnyc.legalserver.org/matter/dynamic-profile/view/1915495","19-1915495")</f>
        <v>0</v>
      </c>
      <c r="B1604" t="s">
        <v>113</v>
      </c>
      <c r="C1604" t="s">
        <v>257</v>
      </c>
      <c r="D1604" t="s">
        <v>594</v>
      </c>
      <c r="E1604" t="s">
        <v>594</v>
      </c>
      <c r="F1604" t="s">
        <v>1404</v>
      </c>
      <c r="G1604" t="s">
        <v>3448</v>
      </c>
      <c r="H1604" t="s">
        <v>6585</v>
      </c>
      <c r="J1604" t="s">
        <v>9065</v>
      </c>
      <c r="K1604">
        <v>10453</v>
      </c>
      <c r="L1604" t="s">
        <v>9094</v>
      </c>
      <c r="M1604" t="s">
        <v>9095</v>
      </c>
      <c r="N1604" t="s">
        <v>9789</v>
      </c>
      <c r="O1604" t="s">
        <v>11149</v>
      </c>
      <c r="P1604" t="s">
        <v>11164</v>
      </c>
      <c r="Q1604" t="s">
        <v>11172</v>
      </c>
      <c r="R1604" t="s">
        <v>11180</v>
      </c>
      <c r="S1604" t="s">
        <v>9096</v>
      </c>
      <c r="T1604" t="s">
        <v>11183</v>
      </c>
      <c r="U1604" t="s">
        <v>11201</v>
      </c>
      <c r="W1604">
        <v>1109</v>
      </c>
      <c r="X1604" t="s">
        <v>11333</v>
      </c>
      <c r="Y1604" t="s">
        <v>11346</v>
      </c>
      <c r="Z1604" t="s">
        <v>12477</v>
      </c>
      <c r="AB1604" t="s">
        <v>16878</v>
      </c>
      <c r="AC1604">
        <v>30</v>
      </c>
      <c r="AF1604">
        <v>20</v>
      </c>
      <c r="AG1604">
        <v>1</v>
      </c>
      <c r="AH1604">
        <v>0</v>
      </c>
      <c r="AI1604">
        <v>64.18000000000001</v>
      </c>
      <c r="AL1604" t="s">
        <v>19615</v>
      </c>
      <c r="AM1604">
        <v>8016</v>
      </c>
      <c r="AS1604">
        <v>0.5</v>
      </c>
      <c r="AT1604" t="s">
        <v>594</v>
      </c>
      <c r="AU1604" t="s">
        <v>113</v>
      </c>
      <c r="AV1604" t="s">
        <v>20733</v>
      </c>
    </row>
    <row r="1605" spans="1:48">
      <c r="A1605" s="1">
        <f>HYPERLINK("https://lsnyc.legalserver.org/matter/dynamic-profile/view/1900583","19-1900583")</f>
        <v>0</v>
      </c>
      <c r="B1605" t="s">
        <v>140</v>
      </c>
      <c r="C1605" t="s">
        <v>256</v>
      </c>
      <c r="D1605" t="s">
        <v>283</v>
      </c>
      <c r="F1605" t="s">
        <v>1882</v>
      </c>
      <c r="G1605" t="s">
        <v>4117</v>
      </c>
      <c r="H1605" t="s">
        <v>6586</v>
      </c>
      <c r="I1605" t="s">
        <v>8471</v>
      </c>
      <c r="J1605" t="s">
        <v>9067</v>
      </c>
      <c r="K1605">
        <v>10034</v>
      </c>
      <c r="L1605" t="s">
        <v>9094</v>
      </c>
      <c r="M1605" t="s">
        <v>9095</v>
      </c>
      <c r="P1605" t="s">
        <v>11164</v>
      </c>
      <c r="R1605" t="s">
        <v>11180</v>
      </c>
      <c r="S1605" t="s">
        <v>9094</v>
      </c>
      <c r="T1605" t="s">
        <v>11183</v>
      </c>
      <c r="V1605" t="s">
        <v>283</v>
      </c>
      <c r="W1605">
        <v>1178.65</v>
      </c>
      <c r="X1605" t="s">
        <v>11335</v>
      </c>
      <c r="Y1605" t="s">
        <v>11338</v>
      </c>
      <c r="Z1605" t="s">
        <v>12478</v>
      </c>
      <c r="AB1605" t="s">
        <v>16879</v>
      </c>
      <c r="AC1605">
        <v>43</v>
      </c>
      <c r="AD1605" t="s">
        <v>19566</v>
      </c>
      <c r="AE1605" t="s">
        <v>9144</v>
      </c>
      <c r="AF1605">
        <v>12</v>
      </c>
      <c r="AG1605">
        <v>5</v>
      </c>
      <c r="AH1605">
        <v>1</v>
      </c>
      <c r="AI1605">
        <v>64.2</v>
      </c>
      <c r="AL1605" t="s">
        <v>19615</v>
      </c>
      <c r="AM1605">
        <v>22208</v>
      </c>
      <c r="AS1605">
        <v>0.01</v>
      </c>
      <c r="AT1605" t="s">
        <v>279</v>
      </c>
      <c r="AU1605" t="s">
        <v>130</v>
      </c>
      <c r="AV1605" t="s">
        <v>20733</v>
      </c>
    </row>
    <row r="1606" spans="1:48">
      <c r="A1606" s="1">
        <f>HYPERLINK("https://lsnyc.legalserver.org/matter/dynamic-profile/view/1863994","18-1863994")</f>
        <v>0</v>
      </c>
      <c r="B1606" t="s">
        <v>136</v>
      </c>
      <c r="C1606" t="s">
        <v>256</v>
      </c>
      <c r="D1606" t="s">
        <v>809</v>
      </c>
      <c r="F1606" t="s">
        <v>1941</v>
      </c>
      <c r="G1606" t="s">
        <v>4118</v>
      </c>
      <c r="H1606" t="s">
        <v>5961</v>
      </c>
      <c r="I1606">
        <v>305</v>
      </c>
      <c r="J1606" t="s">
        <v>9067</v>
      </c>
      <c r="K1606">
        <v>10029</v>
      </c>
      <c r="L1606" t="s">
        <v>9094</v>
      </c>
      <c r="M1606" t="s">
        <v>9094</v>
      </c>
      <c r="N1606" t="s">
        <v>9287</v>
      </c>
      <c r="O1606" t="s">
        <v>11130</v>
      </c>
      <c r="P1606" t="s">
        <v>11165</v>
      </c>
      <c r="R1606" t="s">
        <v>11180</v>
      </c>
      <c r="S1606" t="s">
        <v>9094</v>
      </c>
      <c r="T1606" t="s">
        <v>11183</v>
      </c>
      <c r="U1606" t="s">
        <v>11201</v>
      </c>
      <c r="V1606" t="s">
        <v>809</v>
      </c>
      <c r="W1606">
        <v>0</v>
      </c>
      <c r="X1606" t="s">
        <v>11335</v>
      </c>
      <c r="Y1606" t="s">
        <v>11339</v>
      </c>
      <c r="Z1606" t="s">
        <v>12479</v>
      </c>
      <c r="AB1606" t="s">
        <v>16880</v>
      </c>
      <c r="AC1606">
        <v>108</v>
      </c>
      <c r="AD1606" t="s">
        <v>19567</v>
      </c>
      <c r="AE1606" t="s">
        <v>19580</v>
      </c>
      <c r="AF1606">
        <v>2</v>
      </c>
      <c r="AG1606">
        <v>2</v>
      </c>
      <c r="AH1606">
        <v>0</v>
      </c>
      <c r="AI1606">
        <v>64.23</v>
      </c>
      <c r="AL1606" t="s">
        <v>19615</v>
      </c>
      <c r="AM1606">
        <v>10572</v>
      </c>
      <c r="AS1606">
        <v>0</v>
      </c>
      <c r="AU1606" t="s">
        <v>20657</v>
      </c>
    </row>
    <row r="1607" spans="1:48">
      <c r="A1607" s="1">
        <f>HYPERLINK("https://lsnyc.legalserver.org/matter/dynamic-profile/view/1889687","19-1889687")</f>
        <v>0</v>
      </c>
      <c r="B1607" t="s">
        <v>73</v>
      </c>
      <c r="C1607" t="s">
        <v>256</v>
      </c>
      <c r="D1607" t="s">
        <v>784</v>
      </c>
      <c r="F1607" t="s">
        <v>1942</v>
      </c>
      <c r="G1607" t="s">
        <v>4119</v>
      </c>
      <c r="H1607" t="s">
        <v>6587</v>
      </c>
      <c r="I1607" t="s">
        <v>8254</v>
      </c>
      <c r="J1607" t="s">
        <v>9059</v>
      </c>
      <c r="K1607">
        <v>11233</v>
      </c>
      <c r="L1607" t="s">
        <v>9094</v>
      </c>
      <c r="M1607" t="s">
        <v>9096</v>
      </c>
      <c r="N1607" t="s">
        <v>9790</v>
      </c>
      <c r="O1607" t="s">
        <v>11128</v>
      </c>
      <c r="P1607" t="s">
        <v>11165</v>
      </c>
      <c r="R1607" t="s">
        <v>11180</v>
      </c>
      <c r="S1607" t="s">
        <v>9096</v>
      </c>
      <c r="T1607" t="s">
        <v>11183</v>
      </c>
      <c r="U1607" t="s">
        <v>11201</v>
      </c>
      <c r="V1607" t="s">
        <v>473</v>
      </c>
      <c r="W1607">
        <v>200</v>
      </c>
      <c r="X1607" t="s">
        <v>11332</v>
      </c>
      <c r="Y1607" t="s">
        <v>11338</v>
      </c>
      <c r="Z1607" t="s">
        <v>12480</v>
      </c>
      <c r="AA1607" t="s">
        <v>9144</v>
      </c>
      <c r="AB1607" t="s">
        <v>16881</v>
      </c>
      <c r="AC1607">
        <v>100</v>
      </c>
      <c r="AD1607" t="s">
        <v>15441</v>
      </c>
      <c r="AE1607" t="s">
        <v>9144</v>
      </c>
      <c r="AF1607">
        <v>25</v>
      </c>
      <c r="AG1607">
        <v>1</v>
      </c>
      <c r="AH1607">
        <v>0</v>
      </c>
      <c r="AI1607">
        <v>64.37</v>
      </c>
      <c r="AL1607" t="s">
        <v>19622</v>
      </c>
      <c r="AM1607">
        <v>8040</v>
      </c>
      <c r="AS1607">
        <v>51.4</v>
      </c>
      <c r="AT1607" t="s">
        <v>301</v>
      </c>
      <c r="AU1607" t="s">
        <v>20627</v>
      </c>
      <c r="AV1607" t="s">
        <v>20733</v>
      </c>
    </row>
    <row r="1608" spans="1:48">
      <c r="A1608" s="1">
        <f>HYPERLINK("https://lsnyc.legalserver.org/matter/dynamic-profile/view/0799014","16-0799014")</f>
        <v>0</v>
      </c>
      <c r="B1608" t="s">
        <v>101</v>
      </c>
      <c r="C1608" t="s">
        <v>256</v>
      </c>
      <c r="D1608" t="s">
        <v>656</v>
      </c>
      <c r="F1608" t="s">
        <v>1938</v>
      </c>
      <c r="G1608" t="s">
        <v>3364</v>
      </c>
      <c r="H1608" t="s">
        <v>6041</v>
      </c>
      <c r="I1608" t="s">
        <v>8124</v>
      </c>
      <c r="J1608" t="s">
        <v>9065</v>
      </c>
      <c r="K1608">
        <v>10452</v>
      </c>
      <c r="L1608" t="s">
        <v>9094</v>
      </c>
      <c r="M1608" t="s">
        <v>9095</v>
      </c>
      <c r="N1608" t="s">
        <v>9499</v>
      </c>
      <c r="O1608" t="s">
        <v>11135</v>
      </c>
      <c r="P1608" t="s">
        <v>11168</v>
      </c>
      <c r="R1608" t="s">
        <v>11180</v>
      </c>
      <c r="S1608" t="s">
        <v>9094</v>
      </c>
      <c r="T1608" t="s">
        <v>11183</v>
      </c>
      <c r="V1608" t="s">
        <v>1094</v>
      </c>
      <c r="W1608">
        <v>2006</v>
      </c>
      <c r="X1608" t="s">
        <v>11333</v>
      </c>
      <c r="Y1608" t="s">
        <v>11346</v>
      </c>
      <c r="Z1608" t="s">
        <v>12469</v>
      </c>
      <c r="AB1608" t="s">
        <v>16871</v>
      </c>
      <c r="AC1608">
        <v>61</v>
      </c>
      <c r="AD1608" t="s">
        <v>19566</v>
      </c>
      <c r="AE1608" t="s">
        <v>19580</v>
      </c>
      <c r="AF1608">
        <v>3</v>
      </c>
      <c r="AG1608">
        <v>2</v>
      </c>
      <c r="AH1608">
        <v>3</v>
      </c>
      <c r="AI1608">
        <v>64.41</v>
      </c>
      <c r="AL1608" t="s">
        <v>19614</v>
      </c>
      <c r="AM1608">
        <v>18317.52</v>
      </c>
      <c r="AS1608">
        <v>0.6</v>
      </c>
      <c r="AT1608" t="s">
        <v>1122</v>
      </c>
      <c r="AU1608" t="s">
        <v>109</v>
      </c>
    </row>
    <row r="1609" spans="1:48">
      <c r="A1609" s="1">
        <f>HYPERLINK("https://lsnyc.legalserver.org/matter/dynamic-profile/view/0817058","16-0817058")</f>
        <v>0</v>
      </c>
      <c r="B1609" t="s">
        <v>101</v>
      </c>
      <c r="C1609" t="s">
        <v>256</v>
      </c>
      <c r="D1609" t="s">
        <v>813</v>
      </c>
      <c r="F1609" t="s">
        <v>1938</v>
      </c>
      <c r="G1609" t="s">
        <v>3364</v>
      </c>
      <c r="H1609" t="s">
        <v>6041</v>
      </c>
      <c r="I1609" t="s">
        <v>8124</v>
      </c>
      <c r="J1609" t="s">
        <v>9065</v>
      </c>
      <c r="K1609">
        <v>10452</v>
      </c>
      <c r="L1609" t="s">
        <v>9094</v>
      </c>
      <c r="M1609" t="s">
        <v>9095</v>
      </c>
      <c r="N1609" t="s">
        <v>9500</v>
      </c>
      <c r="O1609" t="s">
        <v>11135</v>
      </c>
      <c r="P1609" t="s">
        <v>11168</v>
      </c>
      <c r="R1609" t="s">
        <v>11180</v>
      </c>
      <c r="S1609" t="s">
        <v>9094</v>
      </c>
      <c r="T1609" t="s">
        <v>11183</v>
      </c>
      <c r="V1609" t="s">
        <v>1024</v>
      </c>
      <c r="W1609">
        <v>2006</v>
      </c>
      <c r="X1609" t="s">
        <v>11333</v>
      </c>
      <c r="Y1609" t="s">
        <v>11346</v>
      </c>
      <c r="Z1609" t="s">
        <v>12469</v>
      </c>
      <c r="AB1609" t="s">
        <v>16871</v>
      </c>
      <c r="AC1609">
        <v>62</v>
      </c>
      <c r="AD1609" t="s">
        <v>19566</v>
      </c>
      <c r="AE1609" t="s">
        <v>19580</v>
      </c>
      <c r="AF1609">
        <v>3</v>
      </c>
      <c r="AG1609">
        <v>2</v>
      </c>
      <c r="AH1609">
        <v>3</v>
      </c>
      <c r="AI1609">
        <v>64.41</v>
      </c>
      <c r="AL1609" t="s">
        <v>19614</v>
      </c>
      <c r="AM1609">
        <v>18317.52</v>
      </c>
      <c r="AS1609">
        <v>0.8</v>
      </c>
      <c r="AT1609" t="s">
        <v>1122</v>
      </c>
      <c r="AU1609" t="s">
        <v>20643</v>
      </c>
    </row>
    <row r="1610" spans="1:48">
      <c r="A1610" s="1">
        <f>HYPERLINK("https://lsnyc.legalserver.org/matter/dynamic-profile/view/0822558","16-0822558")</f>
        <v>0</v>
      </c>
      <c r="B1610" t="s">
        <v>101</v>
      </c>
      <c r="C1610" t="s">
        <v>256</v>
      </c>
      <c r="D1610" t="s">
        <v>657</v>
      </c>
      <c r="F1610" t="s">
        <v>1938</v>
      </c>
      <c r="G1610" t="s">
        <v>3364</v>
      </c>
      <c r="H1610" t="s">
        <v>6041</v>
      </c>
      <c r="I1610" t="s">
        <v>8124</v>
      </c>
      <c r="J1610" t="s">
        <v>9065</v>
      </c>
      <c r="K1610">
        <v>10452</v>
      </c>
      <c r="L1610" t="s">
        <v>9094</v>
      </c>
      <c r="M1610" t="s">
        <v>9095</v>
      </c>
      <c r="N1610" t="s">
        <v>9501</v>
      </c>
      <c r="O1610" t="s">
        <v>11135</v>
      </c>
      <c r="P1610" t="s">
        <v>11168</v>
      </c>
      <c r="R1610" t="s">
        <v>11180</v>
      </c>
      <c r="S1610" t="s">
        <v>9094</v>
      </c>
      <c r="T1610" t="s">
        <v>11183</v>
      </c>
      <c r="V1610" t="s">
        <v>657</v>
      </c>
      <c r="W1610">
        <v>2006</v>
      </c>
      <c r="X1610" t="s">
        <v>11333</v>
      </c>
      <c r="Y1610" t="s">
        <v>11346</v>
      </c>
      <c r="Z1610" t="s">
        <v>12469</v>
      </c>
      <c r="AB1610" t="s">
        <v>16871</v>
      </c>
      <c r="AC1610">
        <v>62</v>
      </c>
      <c r="AD1610" t="s">
        <v>19566</v>
      </c>
      <c r="AE1610" t="s">
        <v>19580</v>
      </c>
      <c r="AF1610">
        <v>3</v>
      </c>
      <c r="AG1610">
        <v>2</v>
      </c>
      <c r="AH1610">
        <v>3</v>
      </c>
      <c r="AI1610">
        <v>64.41</v>
      </c>
      <c r="AL1610" t="s">
        <v>19614</v>
      </c>
      <c r="AM1610">
        <v>18317.52</v>
      </c>
      <c r="AS1610">
        <v>0.3</v>
      </c>
      <c r="AT1610" t="s">
        <v>1122</v>
      </c>
      <c r="AU1610" t="s">
        <v>20643</v>
      </c>
    </row>
    <row r="1611" spans="1:48">
      <c r="A1611" s="1">
        <f>HYPERLINK("https://lsnyc.legalserver.org/matter/dynamic-profile/view/1889424","19-1889424")</f>
        <v>0</v>
      </c>
      <c r="B1611" t="s">
        <v>165</v>
      </c>
      <c r="C1611" t="s">
        <v>256</v>
      </c>
      <c r="D1611" t="s">
        <v>543</v>
      </c>
      <c r="F1611" t="s">
        <v>1943</v>
      </c>
      <c r="G1611" t="s">
        <v>4120</v>
      </c>
      <c r="H1611" t="s">
        <v>6588</v>
      </c>
      <c r="I1611" t="s">
        <v>8153</v>
      </c>
      <c r="J1611" t="s">
        <v>9059</v>
      </c>
      <c r="K1611">
        <v>11208</v>
      </c>
      <c r="L1611" t="s">
        <v>9094</v>
      </c>
      <c r="M1611" t="s">
        <v>9094</v>
      </c>
      <c r="N1611" t="s">
        <v>9121</v>
      </c>
      <c r="O1611" t="s">
        <v>11134</v>
      </c>
      <c r="P1611" t="s">
        <v>11168</v>
      </c>
      <c r="R1611" t="s">
        <v>11180</v>
      </c>
      <c r="S1611" t="s">
        <v>9096</v>
      </c>
      <c r="T1611" t="s">
        <v>11183</v>
      </c>
      <c r="U1611" t="s">
        <v>11201</v>
      </c>
      <c r="V1611" t="s">
        <v>287</v>
      </c>
      <c r="W1611">
        <v>1350</v>
      </c>
      <c r="X1611" t="s">
        <v>11332</v>
      </c>
      <c r="Y1611" t="s">
        <v>11340</v>
      </c>
      <c r="Z1611" t="s">
        <v>12481</v>
      </c>
      <c r="AB1611" t="s">
        <v>16882</v>
      </c>
      <c r="AC1611">
        <v>15</v>
      </c>
      <c r="AD1611" t="s">
        <v>19566</v>
      </c>
      <c r="AE1611" t="s">
        <v>9144</v>
      </c>
      <c r="AF1611">
        <v>2</v>
      </c>
      <c r="AG1611">
        <v>2</v>
      </c>
      <c r="AH1611">
        <v>3</v>
      </c>
      <c r="AI1611">
        <v>64.43000000000001</v>
      </c>
      <c r="AL1611" t="s">
        <v>19614</v>
      </c>
      <c r="AM1611">
        <v>19440</v>
      </c>
      <c r="AN1611" t="s">
        <v>19806</v>
      </c>
      <c r="AS1611">
        <v>8.6</v>
      </c>
      <c r="AT1611" t="s">
        <v>275</v>
      </c>
      <c r="AU1611" t="s">
        <v>95</v>
      </c>
      <c r="AV1611" t="s">
        <v>20733</v>
      </c>
    </row>
    <row r="1612" spans="1:48">
      <c r="A1612" s="1">
        <f>HYPERLINK("https://lsnyc.legalserver.org/matter/dynamic-profile/view/1855866","18-1855866")</f>
        <v>0</v>
      </c>
      <c r="B1612" t="s">
        <v>68</v>
      </c>
      <c r="C1612" t="s">
        <v>256</v>
      </c>
      <c r="D1612" t="s">
        <v>504</v>
      </c>
      <c r="F1612" t="s">
        <v>1143</v>
      </c>
      <c r="G1612" t="s">
        <v>3861</v>
      </c>
      <c r="H1612" t="s">
        <v>6176</v>
      </c>
      <c r="I1612" t="s">
        <v>8142</v>
      </c>
      <c r="J1612" t="s">
        <v>9059</v>
      </c>
      <c r="K1612">
        <v>11237</v>
      </c>
      <c r="L1612" t="s">
        <v>9094</v>
      </c>
      <c r="M1612" t="s">
        <v>9095</v>
      </c>
      <c r="N1612" t="s">
        <v>9791</v>
      </c>
      <c r="O1612" t="s">
        <v>11129</v>
      </c>
      <c r="P1612" t="s">
        <v>11165</v>
      </c>
      <c r="R1612" t="s">
        <v>11180</v>
      </c>
      <c r="S1612" t="s">
        <v>9096</v>
      </c>
      <c r="T1612" t="s">
        <v>11183</v>
      </c>
      <c r="U1612" t="s">
        <v>11201</v>
      </c>
      <c r="V1612" t="s">
        <v>364</v>
      </c>
      <c r="W1612">
        <v>978</v>
      </c>
      <c r="X1612" t="s">
        <v>11332</v>
      </c>
      <c r="Y1612" t="s">
        <v>11346</v>
      </c>
      <c r="Z1612" t="s">
        <v>12049</v>
      </c>
      <c r="AA1612" t="s">
        <v>15462</v>
      </c>
      <c r="AB1612" t="s">
        <v>16495</v>
      </c>
      <c r="AC1612">
        <v>8</v>
      </c>
      <c r="AD1612" t="s">
        <v>19566</v>
      </c>
      <c r="AF1612">
        <v>20</v>
      </c>
      <c r="AG1612">
        <v>1</v>
      </c>
      <c r="AH1612">
        <v>0</v>
      </c>
      <c r="AI1612">
        <v>64.55</v>
      </c>
      <c r="AM1612">
        <v>7836</v>
      </c>
      <c r="AS1612">
        <v>30.8</v>
      </c>
      <c r="AT1612" t="s">
        <v>367</v>
      </c>
      <c r="AU1612" t="s">
        <v>20699</v>
      </c>
    </row>
    <row r="1613" spans="1:48">
      <c r="A1613" s="1">
        <f>HYPERLINK("https://lsnyc.legalserver.org/matter/dynamic-profile/view/1912700","19-1912700")</f>
        <v>0</v>
      </c>
      <c r="B1613" t="s">
        <v>114</v>
      </c>
      <c r="C1613" t="s">
        <v>256</v>
      </c>
      <c r="D1613" t="s">
        <v>488</v>
      </c>
      <c r="F1613" t="s">
        <v>1944</v>
      </c>
      <c r="G1613" t="s">
        <v>3344</v>
      </c>
      <c r="H1613" t="s">
        <v>6589</v>
      </c>
      <c r="I1613" t="s">
        <v>8176</v>
      </c>
      <c r="J1613" t="s">
        <v>9065</v>
      </c>
      <c r="K1613">
        <v>10453</v>
      </c>
      <c r="L1613" t="s">
        <v>9094</v>
      </c>
      <c r="M1613" t="s">
        <v>9095</v>
      </c>
      <c r="N1613" t="s">
        <v>9792</v>
      </c>
      <c r="O1613" t="s">
        <v>11129</v>
      </c>
      <c r="R1613" t="s">
        <v>11180</v>
      </c>
      <c r="S1613" t="s">
        <v>9096</v>
      </c>
      <c r="T1613" t="s">
        <v>11183</v>
      </c>
      <c r="W1613">
        <v>1956</v>
      </c>
      <c r="X1613" t="s">
        <v>11333</v>
      </c>
      <c r="Y1613" t="s">
        <v>11340</v>
      </c>
      <c r="Z1613" t="s">
        <v>12482</v>
      </c>
      <c r="AB1613" t="s">
        <v>16883</v>
      </c>
      <c r="AC1613">
        <v>0</v>
      </c>
      <c r="AD1613" t="s">
        <v>15441</v>
      </c>
      <c r="AE1613" t="s">
        <v>19581</v>
      </c>
      <c r="AF1613">
        <v>4</v>
      </c>
      <c r="AG1613">
        <v>3</v>
      </c>
      <c r="AH1613">
        <v>4</v>
      </c>
      <c r="AI1613">
        <v>64.59999999999999</v>
      </c>
      <c r="AL1613" t="s">
        <v>19614</v>
      </c>
      <c r="AM1613">
        <v>25200</v>
      </c>
      <c r="AS1613">
        <v>4</v>
      </c>
      <c r="AT1613" t="s">
        <v>377</v>
      </c>
      <c r="AU1613" t="s">
        <v>163</v>
      </c>
      <c r="AV1613" t="s">
        <v>20733</v>
      </c>
    </row>
    <row r="1614" spans="1:48">
      <c r="A1614" s="1">
        <f>HYPERLINK("https://lsnyc.legalserver.org/matter/dynamic-profile/view/1871742","18-1871742")</f>
        <v>0</v>
      </c>
      <c r="B1614" t="s">
        <v>78</v>
      </c>
      <c r="C1614" t="s">
        <v>257</v>
      </c>
      <c r="D1614" t="s">
        <v>686</v>
      </c>
      <c r="E1614" t="s">
        <v>457</v>
      </c>
      <c r="F1614" t="s">
        <v>1270</v>
      </c>
      <c r="G1614" t="s">
        <v>4121</v>
      </c>
      <c r="H1614" t="s">
        <v>6453</v>
      </c>
      <c r="I1614" t="s">
        <v>8472</v>
      </c>
      <c r="J1614" t="s">
        <v>9059</v>
      </c>
      <c r="K1614">
        <v>11206</v>
      </c>
      <c r="L1614" t="s">
        <v>9094</v>
      </c>
      <c r="M1614" t="s">
        <v>9094</v>
      </c>
      <c r="O1614" t="s">
        <v>11134</v>
      </c>
      <c r="P1614" t="s">
        <v>11168</v>
      </c>
      <c r="Q1614" t="s">
        <v>11177</v>
      </c>
      <c r="R1614" t="s">
        <v>11180</v>
      </c>
      <c r="S1614" t="s">
        <v>9094</v>
      </c>
      <c r="T1614" t="s">
        <v>11183</v>
      </c>
      <c r="V1614" t="s">
        <v>686</v>
      </c>
      <c r="W1614">
        <v>1057.68</v>
      </c>
      <c r="X1614" t="s">
        <v>11332</v>
      </c>
      <c r="Y1614" t="s">
        <v>11157</v>
      </c>
      <c r="Z1614" t="s">
        <v>12483</v>
      </c>
      <c r="AB1614" t="s">
        <v>16884</v>
      </c>
      <c r="AC1614">
        <v>25</v>
      </c>
      <c r="AD1614" t="s">
        <v>19566</v>
      </c>
      <c r="AE1614" t="s">
        <v>19580</v>
      </c>
      <c r="AF1614">
        <v>9</v>
      </c>
      <c r="AG1614">
        <v>2</v>
      </c>
      <c r="AH1614">
        <v>0</v>
      </c>
      <c r="AI1614">
        <v>64.67</v>
      </c>
      <c r="AL1614" t="s">
        <v>19614</v>
      </c>
      <c r="AM1614">
        <v>10644</v>
      </c>
      <c r="AN1614" t="s">
        <v>19807</v>
      </c>
      <c r="AS1614">
        <v>0.5</v>
      </c>
      <c r="AT1614" t="s">
        <v>808</v>
      </c>
      <c r="AU1614" t="s">
        <v>20637</v>
      </c>
    </row>
    <row r="1615" spans="1:48">
      <c r="A1615" s="1">
        <f>HYPERLINK("https://lsnyc.legalserver.org/matter/dynamic-profile/view/1839599","17-1839599")</f>
        <v>0</v>
      </c>
      <c r="B1615" t="s">
        <v>142</v>
      </c>
      <c r="C1615" t="s">
        <v>257</v>
      </c>
      <c r="D1615" t="s">
        <v>814</v>
      </c>
      <c r="E1615" t="s">
        <v>660</v>
      </c>
      <c r="F1615" t="s">
        <v>1651</v>
      </c>
      <c r="G1615" t="s">
        <v>3809</v>
      </c>
      <c r="H1615" t="s">
        <v>6570</v>
      </c>
      <c r="I1615" t="s">
        <v>8132</v>
      </c>
      <c r="J1615" t="s">
        <v>9067</v>
      </c>
      <c r="K1615">
        <v>10128</v>
      </c>
      <c r="L1615" t="s">
        <v>9094</v>
      </c>
      <c r="M1615" t="s">
        <v>9095</v>
      </c>
      <c r="N1615" t="s">
        <v>9793</v>
      </c>
      <c r="O1615" t="s">
        <v>11129</v>
      </c>
      <c r="P1615" t="s">
        <v>11165</v>
      </c>
      <c r="Q1615" t="s">
        <v>11174</v>
      </c>
      <c r="R1615" t="s">
        <v>11181</v>
      </c>
      <c r="S1615" t="s">
        <v>9096</v>
      </c>
      <c r="T1615" t="s">
        <v>11183</v>
      </c>
      <c r="U1615" t="s">
        <v>11201</v>
      </c>
      <c r="V1615" t="s">
        <v>837</v>
      </c>
      <c r="W1615">
        <v>1660.44</v>
      </c>
      <c r="X1615" t="s">
        <v>11335</v>
      </c>
      <c r="Y1615" t="s">
        <v>11337</v>
      </c>
      <c r="Z1615" t="s">
        <v>11973</v>
      </c>
      <c r="AB1615" t="s">
        <v>16425</v>
      </c>
      <c r="AC1615">
        <v>19</v>
      </c>
      <c r="AD1615" t="s">
        <v>19566</v>
      </c>
      <c r="AE1615" t="s">
        <v>9144</v>
      </c>
      <c r="AF1615">
        <v>3</v>
      </c>
      <c r="AG1615">
        <v>1</v>
      </c>
      <c r="AH1615">
        <v>0</v>
      </c>
      <c r="AI1615">
        <v>64.68000000000001</v>
      </c>
      <c r="AJ1615" t="s">
        <v>19591</v>
      </c>
      <c r="AK1615" t="s">
        <v>19608</v>
      </c>
      <c r="AL1615" t="s">
        <v>19614</v>
      </c>
      <c r="AM1615">
        <v>7800</v>
      </c>
      <c r="AO1615" t="s">
        <v>20292</v>
      </c>
      <c r="AP1615" t="s">
        <v>20309</v>
      </c>
      <c r="AQ1615" t="s">
        <v>20369</v>
      </c>
      <c r="AR1615" t="s">
        <v>20464</v>
      </c>
      <c r="AS1615">
        <v>203.78</v>
      </c>
      <c r="AT1615" t="s">
        <v>302</v>
      </c>
      <c r="AU1615" t="s">
        <v>20682</v>
      </c>
      <c r="AV1615" t="s">
        <v>20733</v>
      </c>
    </row>
    <row r="1616" spans="1:48">
      <c r="A1616" s="1">
        <f>HYPERLINK("https://lsnyc.legalserver.org/matter/dynamic-profile/view/1848579","17-1848579")</f>
        <v>0</v>
      </c>
      <c r="B1616" t="s">
        <v>190</v>
      </c>
      <c r="C1616" t="s">
        <v>257</v>
      </c>
      <c r="D1616" t="s">
        <v>815</v>
      </c>
      <c r="E1616" t="s">
        <v>594</v>
      </c>
      <c r="F1616" t="s">
        <v>1270</v>
      </c>
      <c r="G1616" t="s">
        <v>4121</v>
      </c>
      <c r="H1616" t="s">
        <v>6453</v>
      </c>
      <c r="I1616" t="s">
        <v>8472</v>
      </c>
      <c r="J1616" t="s">
        <v>9059</v>
      </c>
      <c r="K1616">
        <v>11206</v>
      </c>
      <c r="L1616" t="s">
        <v>9094</v>
      </c>
      <c r="M1616" t="s">
        <v>9095</v>
      </c>
      <c r="N1616" t="s">
        <v>9794</v>
      </c>
      <c r="O1616" t="s">
        <v>11129</v>
      </c>
      <c r="P1616" t="s">
        <v>11165</v>
      </c>
      <c r="Q1616" t="s">
        <v>11174</v>
      </c>
      <c r="R1616" t="s">
        <v>11180</v>
      </c>
      <c r="S1616" t="s">
        <v>9094</v>
      </c>
      <c r="T1616" t="s">
        <v>11183</v>
      </c>
      <c r="V1616" t="s">
        <v>1006</v>
      </c>
      <c r="W1616">
        <v>1057.68</v>
      </c>
      <c r="X1616" t="s">
        <v>11332</v>
      </c>
      <c r="Z1616" t="s">
        <v>12483</v>
      </c>
      <c r="AA1616" t="s">
        <v>15581</v>
      </c>
      <c r="AC1616">
        <v>25</v>
      </c>
      <c r="AD1616" t="s">
        <v>19566</v>
      </c>
      <c r="AE1616" t="s">
        <v>19580</v>
      </c>
      <c r="AF1616">
        <v>9</v>
      </c>
      <c r="AG1616">
        <v>2</v>
      </c>
      <c r="AH1616">
        <v>0</v>
      </c>
      <c r="AI1616">
        <v>64.8</v>
      </c>
      <c r="AL1616" t="s">
        <v>19614</v>
      </c>
      <c r="AM1616">
        <v>10524</v>
      </c>
      <c r="AS1616">
        <v>50.4</v>
      </c>
      <c r="AT1616" t="s">
        <v>512</v>
      </c>
      <c r="AU1616" t="s">
        <v>20636</v>
      </c>
    </row>
    <row r="1617" spans="1:48">
      <c r="A1617" s="1">
        <f>HYPERLINK("https://lsnyc.legalserver.org/matter/dynamic-profile/view/1899758","19-1899758")</f>
        <v>0</v>
      </c>
      <c r="B1617" t="s">
        <v>114</v>
      </c>
      <c r="C1617" t="s">
        <v>256</v>
      </c>
      <c r="D1617" t="s">
        <v>261</v>
      </c>
      <c r="F1617" t="s">
        <v>1945</v>
      </c>
      <c r="G1617" t="s">
        <v>4122</v>
      </c>
      <c r="H1617" t="s">
        <v>5864</v>
      </c>
      <c r="I1617" t="s">
        <v>8382</v>
      </c>
      <c r="J1617" t="s">
        <v>9065</v>
      </c>
      <c r="K1617">
        <v>10460</v>
      </c>
      <c r="L1617" t="s">
        <v>9094</v>
      </c>
      <c r="M1617" t="s">
        <v>9095</v>
      </c>
      <c r="N1617" t="s">
        <v>9795</v>
      </c>
      <c r="O1617" t="s">
        <v>11129</v>
      </c>
      <c r="P1617" t="s">
        <v>11165</v>
      </c>
      <c r="R1617" t="s">
        <v>11180</v>
      </c>
      <c r="S1617" t="s">
        <v>9096</v>
      </c>
      <c r="T1617" t="s">
        <v>11183</v>
      </c>
      <c r="V1617" t="s">
        <v>11218</v>
      </c>
      <c r="W1617">
        <v>832.5</v>
      </c>
      <c r="X1617" t="s">
        <v>11333</v>
      </c>
      <c r="Y1617" t="s">
        <v>11340</v>
      </c>
      <c r="Z1617" t="s">
        <v>12484</v>
      </c>
      <c r="AB1617" t="s">
        <v>16885</v>
      </c>
      <c r="AC1617">
        <v>169</v>
      </c>
      <c r="AD1617" t="s">
        <v>19566</v>
      </c>
      <c r="AE1617" t="s">
        <v>19580</v>
      </c>
      <c r="AF1617">
        <v>15</v>
      </c>
      <c r="AG1617">
        <v>2</v>
      </c>
      <c r="AH1617">
        <v>1</v>
      </c>
      <c r="AI1617">
        <v>64.81</v>
      </c>
      <c r="AL1617" t="s">
        <v>19614</v>
      </c>
      <c r="AM1617">
        <v>13824</v>
      </c>
      <c r="AS1617">
        <v>20.5</v>
      </c>
      <c r="AT1617" t="s">
        <v>294</v>
      </c>
      <c r="AU1617" t="s">
        <v>163</v>
      </c>
      <c r="AV1617" t="s">
        <v>20733</v>
      </c>
    </row>
    <row r="1618" spans="1:48">
      <c r="A1618" s="1">
        <f>HYPERLINK("https://lsnyc.legalserver.org/matter/dynamic-profile/view/1901836","19-1901836")</f>
        <v>0</v>
      </c>
      <c r="B1618" t="s">
        <v>71</v>
      </c>
      <c r="C1618" t="s">
        <v>257</v>
      </c>
      <c r="D1618" t="s">
        <v>610</v>
      </c>
      <c r="E1618" t="s">
        <v>483</v>
      </c>
      <c r="F1618" t="s">
        <v>1187</v>
      </c>
      <c r="G1618" t="s">
        <v>3427</v>
      </c>
      <c r="H1618" t="s">
        <v>6590</v>
      </c>
      <c r="I1618" t="s">
        <v>8473</v>
      </c>
      <c r="J1618" t="s">
        <v>9059</v>
      </c>
      <c r="K1618">
        <v>11233</v>
      </c>
      <c r="L1618" t="s">
        <v>9094</v>
      </c>
      <c r="M1618" t="s">
        <v>9095</v>
      </c>
      <c r="N1618" t="s">
        <v>9796</v>
      </c>
      <c r="O1618" t="s">
        <v>11129</v>
      </c>
      <c r="P1618" t="s">
        <v>11165</v>
      </c>
      <c r="Q1618" t="s">
        <v>11174</v>
      </c>
      <c r="R1618" t="s">
        <v>11180</v>
      </c>
      <c r="S1618" t="s">
        <v>9096</v>
      </c>
      <c r="T1618" t="s">
        <v>11183</v>
      </c>
      <c r="U1618" t="s">
        <v>11200</v>
      </c>
      <c r="V1618" t="s">
        <v>493</v>
      </c>
      <c r="W1618">
        <v>146</v>
      </c>
      <c r="X1618" t="s">
        <v>11332</v>
      </c>
      <c r="Y1618" t="s">
        <v>11348</v>
      </c>
      <c r="Z1618" t="s">
        <v>12485</v>
      </c>
      <c r="AA1618" t="s">
        <v>15582</v>
      </c>
      <c r="AB1618" t="s">
        <v>16886</v>
      </c>
      <c r="AC1618">
        <v>36</v>
      </c>
      <c r="AD1618" t="s">
        <v>19566</v>
      </c>
      <c r="AE1618" t="s">
        <v>19580</v>
      </c>
      <c r="AF1618">
        <v>15</v>
      </c>
      <c r="AG1618">
        <v>2</v>
      </c>
      <c r="AH1618">
        <v>0</v>
      </c>
      <c r="AI1618">
        <v>64.87</v>
      </c>
      <c r="AL1618" t="s">
        <v>19614</v>
      </c>
      <c r="AM1618">
        <v>10970.16</v>
      </c>
      <c r="AS1618">
        <v>21.5</v>
      </c>
      <c r="AT1618" t="s">
        <v>832</v>
      </c>
      <c r="AU1618" t="s">
        <v>20629</v>
      </c>
      <c r="AV1618" t="s">
        <v>20734</v>
      </c>
    </row>
    <row r="1619" spans="1:48">
      <c r="A1619" s="1">
        <f>HYPERLINK("https://lsnyc.legalserver.org/matter/dynamic-profile/view/1900863","19-1900863")</f>
        <v>0</v>
      </c>
      <c r="B1619" t="s">
        <v>200</v>
      </c>
      <c r="C1619" t="s">
        <v>257</v>
      </c>
      <c r="D1619" t="s">
        <v>315</v>
      </c>
      <c r="E1619" t="s">
        <v>748</v>
      </c>
      <c r="F1619" t="s">
        <v>1946</v>
      </c>
      <c r="G1619" t="s">
        <v>3366</v>
      </c>
      <c r="H1619" t="s">
        <v>6591</v>
      </c>
      <c r="I1619">
        <v>303</v>
      </c>
      <c r="J1619" t="s">
        <v>9059</v>
      </c>
      <c r="K1619">
        <v>11212</v>
      </c>
      <c r="L1619" t="s">
        <v>9095</v>
      </c>
      <c r="M1619" t="s">
        <v>9095</v>
      </c>
      <c r="O1619" t="s">
        <v>9121</v>
      </c>
      <c r="Q1619" t="s">
        <v>11172</v>
      </c>
      <c r="R1619" t="s">
        <v>11180</v>
      </c>
      <c r="T1619" t="s">
        <v>11183</v>
      </c>
      <c r="W1619">
        <v>3000</v>
      </c>
      <c r="X1619" t="s">
        <v>11332</v>
      </c>
      <c r="Z1619" t="s">
        <v>12486</v>
      </c>
      <c r="AB1619" t="s">
        <v>16887</v>
      </c>
      <c r="AC1619">
        <v>0</v>
      </c>
      <c r="AE1619" t="s">
        <v>19585</v>
      </c>
      <c r="AF1619">
        <v>3</v>
      </c>
      <c r="AG1619">
        <v>1</v>
      </c>
      <c r="AH1619">
        <v>3</v>
      </c>
      <c r="AI1619">
        <v>64.87</v>
      </c>
      <c r="AL1619" t="s">
        <v>19614</v>
      </c>
      <c r="AM1619">
        <v>16704</v>
      </c>
      <c r="AS1619">
        <v>3</v>
      </c>
      <c r="AT1619" t="s">
        <v>748</v>
      </c>
      <c r="AU1619" t="s">
        <v>20660</v>
      </c>
    </row>
    <row r="1620" spans="1:48">
      <c r="A1620" s="1">
        <f>HYPERLINK("https://lsnyc.legalserver.org/matter/dynamic-profile/view/0824964","17-0824964")</f>
        <v>0</v>
      </c>
      <c r="B1620" t="s">
        <v>149</v>
      </c>
      <c r="C1620" t="s">
        <v>256</v>
      </c>
      <c r="D1620" t="s">
        <v>816</v>
      </c>
      <c r="F1620" t="s">
        <v>1947</v>
      </c>
      <c r="G1620" t="s">
        <v>4123</v>
      </c>
      <c r="H1620" t="s">
        <v>6592</v>
      </c>
      <c r="I1620">
        <v>2</v>
      </c>
      <c r="J1620" t="s">
        <v>9067</v>
      </c>
      <c r="K1620">
        <v>10035</v>
      </c>
      <c r="L1620" t="s">
        <v>9095</v>
      </c>
      <c r="M1620" t="s">
        <v>9095</v>
      </c>
      <c r="O1620" t="s">
        <v>9121</v>
      </c>
      <c r="P1620" t="s">
        <v>11165</v>
      </c>
      <c r="R1620" t="s">
        <v>11180</v>
      </c>
      <c r="S1620" t="s">
        <v>9096</v>
      </c>
      <c r="T1620" t="s">
        <v>11183</v>
      </c>
      <c r="V1620" t="s">
        <v>816</v>
      </c>
      <c r="W1620">
        <v>1020</v>
      </c>
      <c r="X1620" t="s">
        <v>11335</v>
      </c>
      <c r="Y1620" t="s">
        <v>11338</v>
      </c>
      <c r="Z1620" t="s">
        <v>12487</v>
      </c>
      <c r="AB1620" t="s">
        <v>16888</v>
      </c>
      <c r="AC1620">
        <v>6</v>
      </c>
      <c r="AD1620" t="s">
        <v>19566</v>
      </c>
      <c r="AE1620" t="s">
        <v>9144</v>
      </c>
      <c r="AF1620">
        <v>12</v>
      </c>
      <c r="AG1620">
        <v>1</v>
      </c>
      <c r="AH1620">
        <v>1</v>
      </c>
      <c r="AI1620">
        <v>64.92</v>
      </c>
      <c r="AL1620" t="s">
        <v>19614</v>
      </c>
      <c r="AM1620">
        <v>10400</v>
      </c>
      <c r="AS1620">
        <v>12.02</v>
      </c>
      <c r="AT1620" t="s">
        <v>894</v>
      </c>
      <c r="AU1620" t="s">
        <v>20657</v>
      </c>
    </row>
    <row r="1621" spans="1:48">
      <c r="A1621" s="1">
        <f>HYPERLINK("https://lsnyc.legalserver.org/matter/dynamic-profile/view/1875069","18-1875069")</f>
        <v>0</v>
      </c>
      <c r="B1621" t="s">
        <v>72</v>
      </c>
      <c r="C1621" t="s">
        <v>256</v>
      </c>
      <c r="D1621" t="s">
        <v>817</v>
      </c>
      <c r="F1621" t="s">
        <v>1611</v>
      </c>
      <c r="G1621" t="s">
        <v>4042</v>
      </c>
      <c r="H1621" t="s">
        <v>6593</v>
      </c>
      <c r="I1621" t="s">
        <v>8372</v>
      </c>
      <c r="J1621" t="s">
        <v>9059</v>
      </c>
      <c r="K1621">
        <v>11233</v>
      </c>
      <c r="L1621" t="s">
        <v>9094</v>
      </c>
      <c r="M1621" t="s">
        <v>9094</v>
      </c>
      <c r="N1621" t="s">
        <v>9797</v>
      </c>
      <c r="O1621" t="s">
        <v>11129</v>
      </c>
      <c r="P1621" t="s">
        <v>11165</v>
      </c>
      <c r="R1621" t="s">
        <v>11180</v>
      </c>
      <c r="S1621" t="s">
        <v>9096</v>
      </c>
      <c r="T1621" t="s">
        <v>11183</v>
      </c>
      <c r="V1621" t="s">
        <v>817</v>
      </c>
      <c r="W1621">
        <v>925</v>
      </c>
      <c r="X1621" t="s">
        <v>11332</v>
      </c>
      <c r="Y1621" t="s">
        <v>11341</v>
      </c>
      <c r="Z1621" t="s">
        <v>12488</v>
      </c>
      <c r="AB1621" t="s">
        <v>16889</v>
      </c>
      <c r="AC1621">
        <v>101</v>
      </c>
      <c r="AD1621" t="s">
        <v>15441</v>
      </c>
      <c r="AE1621" t="s">
        <v>9144</v>
      </c>
      <c r="AF1621">
        <v>1</v>
      </c>
      <c r="AG1621">
        <v>2</v>
      </c>
      <c r="AH1621">
        <v>1</v>
      </c>
      <c r="AI1621">
        <v>64.97</v>
      </c>
      <c r="AL1621" t="s">
        <v>19615</v>
      </c>
      <c r="AM1621">
        <v>13500</v>
      </c>
      <c r="AS1621">
        <v>37.25</v>
      </c>
      <c r="AT1621" t="s">
        <v>370</v>
      </c>
      <c r="AU1621" t="s">
        <v>95</v>
      </c>
    </row>
    <row r="1622" spans="1:48">
      <c r="A1622" s="1">
        <f>HYPERLINK("https://lsnyc.legalserver.org/matter/dynamic-profile/view/1855943","18-1855943")</f>
        <v>0</v>
      </c>
      <c r="B1622" t="s">
        <v>76</v>
      </c>
      <c r="C1622" t="s">
        <v>257</v>
      </c>
      <c r="D1622" t="s">
        <v>818</v>
      </c>
      <c r="E1622" t="s">
        <v>328</v>
      </c>
      <c r="F1622" t="s">
        <v>1143</v>
      </c>
      <c r="G1622" t="s">
        <v>3861</v>
      </c>
      <c r="H1622" t="s">
        <v>6176</v>
      </c>
      <c r="I1622" t="s">
        <v>8142</v>
      </c>
      <c r="J1622" t="s">
        <v>9059</v>
      </c>
      <c r="K1622">
        <v>11237</v>
      </c>
      <c r="L1622" t="s">
        <v>9094</v>
      </c>
      <c r="M1622" t="s">
        <v>9095</v>
      </c>
      <c r="O1622" t="s">
        <v>11130</v>
      </c>
      <c r="P1622" t="s">
        <v>11164</v>
      </c>
      <c r="Q1622" t="s">
        <v>11172</v>
      </c>
      <c r="R1622" t="s">
        <v>11180</v>
      </c>
      <c r="S1622" t="s">
        <v>9094</v>
      </c>
      <c r="T1622" t="s">
        <v>11183</v>
      </c>
      <c r="V1622" t="s">
        <v>364</v>
      </c>
      <c r="W1622">
        <v>978</v>
      </c>
      <c r="X1622" t="s">
        <v>11332</v>
      </c>
      <c r="Y1622" t="s">
        <v>11346</v>
      </c>
      <c r="Z1622" t="s">
        <v>12049</v>
      </c>
      <c r="AA1622" t="s">
        <v>15462</v>
      </c>
      <c r="AB1622" t="s">
        <v>16495</v>
      </c>
      <c r="AC1622">
        <v>8</v>
      </c>
      <c r="AD1622" t="s">
        <v>19566</v>
      </c>
      <c r="AF1622">
        <v>20</v>
      </c>
      <c r="AG1622">
        <v>1</v>
      </c>
      <c r="AH1622">
        <v>0</v>
      </c>
      <c r="AI1622">
        <v>64.98</v>
      </c>
      <c r="AL1622" t="s">
        <v>19614</v>
      </c>
      <c r="AM1622">
        <v>7836</v>
      </c>
      <c r="AS1622">
        <v>26.7</v>
      </c>
      <c r="AT1622" t="s">
        <v>440</v>
      </c>
      <c r="AU1622" t="s">
        <v>95</v>
      </c>
      <c r="AV1622" t="s">
        <v>20734</v>
      </c>
    </row>
    <row r="1623" spans="1:48">
      <c r="A1623" s="1">
        <f>HYPERLINK("https://lsnyc.legalserver.org/matter/dynamic-profile/view/1908970","19-1908970")</f>
        <v>0</v>
      </c>
      <c r="B1623" t="s">
        <v>54</v>
      </c>
      <c r="C1623" t="s">
        <v>256</v>
      </c>
      <c r="D1623" t="s">
        <v>806</v>
      </c>
      <c r="F1623" t="s">
        <v>1721</v>
      </c>
      <c r="G1623" t="s">
        <v>3720</v>
      </c>
      <c r="H1623" t="s">
        <v>6594</v>
      </c>
      <c r="J1623" t="s">
        <v>9038</v>
      </c>
      <c r="K1623">
        <v>11691</v>
      </c>
      <c r="L1623" t="s">
        <v>9094</v>
      </c>
      <c r="M1623" t="s">
        <v>9095</v>
      </c>
      <c r="N1623" t="s">
        <v>9798</v>
      </c>
      <c r="O1623" t="s">
        <v>11129</v>
      </c>
      <c r="P1623" t="s">
        <v>11169</v>
      </c>
      <c r="R1623" t="s">
        <v>11180</v>
      </c>
      <c r="S1623" t="s">
        <v>9096</v>
      </c>
      <c r="T1623" t="s">
        <v>11183</v>
      </c>
      <c r="V1623" t="s">
        <v>806</v>
      </c>
      <c r="W1623">
        <v>2100</v>
      </c>
      <c r="X1623" t="s">
        <v>11331</v>
      </c>
      <c r="Y1623" t="s">
        <v>11336</v>
      </c>
      <c r="Z1623" t="s">
        <v>12489</v>
      </c>
      <c r="AB1623" t="s">
        <v>16890</v>
      </c>
      <c r="AC1623">
        <v>2</v>
      </c>
      <c r="AD1623" t="s">
        <v>15441</v>
      </c>
      <c r="AE1623" t="s">
        <v>19580</v>
      </c>
      <c r="AF1623">
        <v>4</v>
      </c>
      <c r="AG1623">
        <v>2</v>
      </c>
      <c r="AH1623">
        <v>1</v>
      </c>
      <c r="AI1623">
        <v>65.04000000000001</v>
      </c>
      <c r="AL1623" t="s">
        <v>19614</v>
      </c>
      <c r="AM1623">
        <v>13872</v>
      </c>
      <c r="AS1623">
        <v>1.15</v>
      </c>
      <c r="AT1623" t="s">
        <v>377</v>
      </c>
      <c r="AU1623" t="s">
        <v>20620</v>
      </c>
      <c r="AV1623" t="s">
        <v>20733</v>
      </c>
    </row>
    <row r="1624" spans="1:48">
      <c r="A1624" s="1">
        <f>HYPERLINK("https://lsnyc.legalserver.org/matter/dynamic-profile/view/1857002","18-1857002")</f>
        <v>0</v>
      </c>
      <c r="B1624" t="s">
        <v>119</v>
      </c>
      <c r="C1624" t="s">
        <v>256</v>
      </c>
      <c r="D1624" t="s">
        <v>465</v>
      </c>
      <c r="F1624" t="s">
        <v>1948</v>
      </c>
      <c r="G1624" t="s">
        <v>4124</v>
      </c>
      <c r="H1624" t="s">
        <v>5897</v>
      </c>
      <c r="I1624" t="s">
        <v>8474</v>
      </c>
      <c r="J1624" t="s">
        <v>9065</v>
      </c>
      <c r="K1624">
        <v>10452</v>
      </c>
      <c r="L1624" t="s">
        <v>9094</v>
      </c>
      <c r="M1624" t="s">
        <v>9095</v>
      </c>
      <c r="N1624" t="s">
        <v>9252</v>
      </c>
      <c r="O1624" t="s">
        <v>11135</v>
      </c>
      <c r="P1624" t="s">
        <v>11168</v>
      </c>
      <c r="R1624" t="s">
        <v>11180</v>
      </c>
      <c r="S1624" t="s">
        <v>9094</v>
      </c>
      <c r="T1624" t="s">
        <v>11183</v>
      </c>
      <c r="V1624" t="s">
        <v>364</v>
      </c>
      <c r="W1624">
        <v>1050</v>
      </c>
      <c r="X1624" t="s">
        <v>11333</v>
      </c>
      <c r="Y1624" t="s">
        <v>11346</v>
      </c>
      <c r="Z1624" t="s">
        <v>12490</v>
      </c>
      <c r="AB1624" t="s">
        <v>16891</v>
      </c>
      <c r="AC1624">
        <v>122</v>
      </c>
      <c r="AD1624" t="s">
        <v>19566</v>
      </c>
      <c r="AE1624" t="s">
        <v>9144</v>
      </c>
      <c r="AF1624">
        <v>14</v>
      </c>
      <c r="AG1624">
        <v>3</v>
      </c>
      <c r="AH1624">
        <v>1</v>
      </c>
      <c r="AI1624">
        <v>65.04000000000001</v>
      </c>
      <c r="AL1624" t="s">
        <v>19614</v>
      </c>
      <c r="AM1624">
        <v>15999.96</v>
      </c>
      <c r="AS1624">
        <v>0</v>
      </c>
      <c r="AU1624" t="s">
        <v>20647</v>
      </c>
    </row>
    <row r="1625" spans="1:48">
      <c r="A1625" s="1">
        <f>HYPERLINK("https://lsnyc.legalserver.org/matter/dynamic-profile/view/1857470","18-1857470")</f>
        <v>0</v>
      </c>
      <c r="B1625" t="s">
        <v>119</v>
      </c>
      <c r="C1625" t="s">
        <v>256</v>
      </c>
      <c r="D1625" t="s">
        <v>468</v>
      </c>
      <c r="F1625" t="s">
        <v>1948</v>
      </c>
      <c r="G1625" t="s">
        <v>4124</v>
      </c>
      <c r="H1625" t="s">
        <v>5897</v>
      </c>
      <c r="I1625" t="s">
        <v>8474</v>
      </c>
      <c r="J1625" t="s">
        <v>9065</v>
      </c>
      <c r="K1625">
        <v>10452</v>
      </c>
      <c r="L1625" t="s">
        <v>9094</v>
      </c>
      <c r="M1625" t="s">
        <v>9095</v>
      </c>
      <c r="N1625" t="s">
        <v>9253</v>
      </c>
      <c r="O1625" t="s">
        <v>11135</v>
      </c>
      <c r="P1625" t="s">
        <v>11168</v>
      </c>
      <c r="R1625" t="s">
        <v>11180</v>
      </c>
      <c r="S1625" t="s">
        <v>9094</v>
      </c>
      <c r="T1625" t="s">
        <v>11183</v>
      </c>
      <c r="V1625" t="s">
        <v>11229</v>
      </c>
      <c r="W1625">
        <v>1050</v>
      </c>
      <c r="X1625" t="s">
        <v>11333</v>
      </c>
      <c r="Y1625" t="s">
        <v>11346</v>
      </c>
      <c r="Z1625" t="s">
        <v>12490</v>
      </c>
      <c r="AB1625" t="s">
        <v>16891</v>
      </c>
      <c r="AC1625">
        <v>122</v>
      </c>
      <c r="AD1625" t="s">
        <v>19566</v>
      </c>
      <c r="AE1625" t="s">
        <v>9144</v>
      </c>
      <c r="AF1625">
        <v>16</v>
      </c>
      <c r="AG1625">
        <v>3</v>
      </c>
      <c r="AH1625">
        <v>1</v>
      </c>
      <c r="AI1625">
        <v>65.04000000000001</v>
      </c>
      <c r="AL1625" t="s">
        <v>19614</v>
      </c>
      <c r="AM1625">
        <v>16000</v>
      </c>
      <c r="AN1625" t="s">
        <v>19808</v>
      </c>
      <c r="AS1625">
        <v>0</v>
      </c>
      <c r="AU1625" t="s">
        <v>20647</v>
      </c>
    </row>
    <row r="1626" spans="1:48">
      <c r="A1626" s="1">
        <f>HYPERLINK("https://lsnyc.legalserver.org/matter/dynamic-profile/view/1900072","19-1900072")</f>
        <v>0</v>
      </c>
      <c r="B1626" t="s">
        <v>100</v>
      </c>
      <c r="C1626" t="s">
        <v>257</v>
      </c>
      <c r="D1626" t="s">
        <v>551</v>
      </c>
      <c r="E1626" t="s">
        <v>551</v>
      </c>
      <c r="F1626" t="s">
        <v>1700</v>
      </c>
      <c r="G1626" t="s">
        <v>4125</v>
      </c>
      <c r="H1626" t="s">
        <v>6595</v>
      </c>
      <c r="I1626" t="s">
        <v>8267</v>
      </c>
      <c r="J1626" t="s">
        <v>9065</v>
      </c>
      <c r="K1626">
        <v>10461</v>
      </c>
      <c r="L1626" t="s">
        <v>9095</v>
      </c>
      <c r="M1626" t="s">
        <v>9095</v>
      </c>
      <c r="P1626" t="s">
        <v>11164</v>
      </c>
      <c r="Q1626" t="s">
        <v>11172</v>
      </c>
      <c r="R1626" t="s">
        <v>11180</v>
      </c>
      <c r="T1626" t="s">
        <v>11183</v>
      </c>
      <c r="W1626">
        <v>1091.07</v>
      </c>
      <c r="X1626" t="s">
        <v>11333</v>
      </c>
      <c r="Y1626" t="s">
        <v>11352</v>
      </c>
      <c r="Z1626" t="s">
        <v>12491</v>
      </c>
      <c r="AC1626">
        <v>0</v>
      </c>
      <c r="AD1626" t="s">
        <v>19566</v>
      </c>
      <c r="AE1626" t="s">
        <v>9144</v>
      </c>
      <c r="AF1626">
        <v>4</v>
      </c>
      <c r="AG1626">
        <v>1</v>
      </c>
      <c r="AH1626">
        <v>1</v>
      </c>
      <c r="AI1626">
        <v>65.05</v>
      </c>
      <c r="AL1626" t="s">
        <v>19615</v>
      </c>
      <c r="AM1626">
        <v>11000</v>
      </c>
      <c r="AS1626">
        <v>0.5</v>
      </c>
      <c r="AT1626" t="s">
        <v>551</v>
      </c>
      <c r="AU1626" t="s">
        <v>100</v>
      </c>
    </row>
    <row r="1627" spans="1:48">
      <c r="A1627" s="1">
        <f>HYPERLINK("https://lsnyc.legalserver.org/matter/dynamic-profile/view/1914873","19-1914873")</f>
        <v>0</v>
      </c>
      <c r="B1627" t="s">
        <v>142</v>
      </c>
      <c r="C1627" t="s">
        <v>256</v>
      </c>
      <c r="D1627" t="s">
        <v>331</v>
      </c>
      <c r="F1627" t="s">
        <v>1949</v>
      </c>
      <c r="G1627" t="s">
        <v>4126</v>
      </c>
      <c r="H1627" t="s">
        <v>6596</v>
      </c>
      <c r="I1627" t="s">
        <v>8176</v>
      </c>
      <c r="J1627" t="s">
        <v>9067</v>
      </c>
      <c r="K1627">
        <v>10035</v>
      </c>
      <c r="L1627" t="s">
        <v>9094</v>
      </c>
      <c r="M1627" t="s">
        <v>9095</v>
      </c>
      <c r="O1627" t="s">
        <v>11130</v>
      </c>
      <c r="P1627" t="s">
        <v>11165</v>
      </c>
      <c r="R1627" t="s">
        <v>11180</v>
      </c>
      <c r="S1627" t="s">
        <v>9094</v>
      </c>
      <c r="T1627" t="s">
        <v>11183</v>
      </c>
      <c r="U1627" t="s">
        <v>11201</v>
      </c>
      <c r="V1627" t="s">
        <v>632</v>
      </c>
      <c r="W1627">
        <v>1350</v>
      </c>
      <c r="X1627" t="s">
        <v>11335</v>
      </c>
      <c r="Y1627" t="s">
        <v>11340</v>
      </c>
      <c r="Z1627" t="s">
        <v>12492</v>
      </c>
      <c r="AB1627" t="s">
        <v>16892</v>
      </c>
      <c r="AC1627">
        <v>60</v>
      </c>
      <c r="AD1627" t="s">
        <v>19566</v>
      </c>
      <c r="AE1627" t="s">
        <v>9144</v>
      </c>
      <c r="AF1627">
        <v>7</v>
      </c>
      <c r="AG1627">
        <v>2</v>
      </c>
      <c r="AH1627">
        <v>4</v>
      </c>
      <c r="AI1627">
        <v>65.05</v>
      </c>
      <c r="AL1627" t="s">
        <v>19614</v>
      </c>
      <c r="AM1627">
        <v>22500</v>
      </c>
      <c r="AS1627">
        <v>0</v>
      </c>
      <c r="AU1627" t="s">
        <v>20657</v>
      </c>
      <c r="AV1627" t="s">
        <v>20733</v>
      </c>
    </row>
    <row r="1628" spans="1:48">
      <c r="A1628" s="1">
        <f>HYPERLINK("https://lsnyc.legalserver.org/matter/dynamic-profile/view/1899633","19-1899633")</f>
        <v>0</v>
      </c>
      <c r="B1628" t="s">
        <v>102</v>
      </c>
      <c r="C1628" t="s">
        <v>256</v>
      </c>
      <c r="D1628" t="s">
        <v>418</v>
      </c>
      <c r="F1628" t="s">
        <v>1682</v>
      </c>
      <c r="G1628" t="s">
        <v>4127</v>
      </c>
      <c r="H1628" t="s">
        <v>6597</v>
      </c>
      <c r="I1628" t="s">
        <v>8475</v>
      </c>
      <c r="J1628" t="s">
        <v>9065</v>
      </c>
      <c r="K1628">
        <v>10467</v>
      </c>
      <c r="L1628" t="s">
        <v>9094</v>
      </c>
      <c r="M1628" t="s">
        <v>9095</v>
      </c>
      <c r="P1628" t="s">
        <v>11164</v>
      </c>
      <c r="R1628" t="s">
        <v>11180</v>
      </c>
      <c r="S1628" t="s">
        <v>9096</v>
      </c>
      <c r="T1628" t="s">
        <v>11183</v>
      </c>
      <c r="V1628" t="s">
        <v>11218</v>
      </c>
      <c r="W1628">
        <v>1531.65</v>
      </c>
      <c r="X1628" t="s">
        <v>11333</v>
      </c>
      <c r="Y1628" t="s">
        <v>11339</v>
      </c>
      <c r="Z1628" t="s">
        <v>12493</v>
      </c>
      <c r="AA1628">
        <v>4043580</v>
      </c>
      <c r="AB1628" t="s">
        <v>16893</v>
      </c>
      <c r="AC1628">
        <v>65</v>
      </c>
      <c r="AD1628" t="s">
        <v>19566</v>
      </c>
      <c r="AE1628" t="s">
        <v>19580</v>
      </c>
      <c r="AF1628">
        <v>15</v>
      </c>
      <c r="AG1628">
        <v>2</v>
      </c>
      <c r="AH1628">
        <v>0</v>
      </c>
      <c r="AI1628">
        <v>65.06999999999999</v>
      </c>
      <c r="AL1628" t="s">
        <v>19614</v>
      </c>
      <c r="AM1628">
        <v>11004</v>
      </c>
      <c r="AS1628">
        <v>0</v>
      </c>
      <c r="AU1628" t="s">
        <v>20642</v>
      </c>
      <c r="AV1628" t="s">
        <v>20733</v>
      </c>
    </row>
    <row r="1629" spans="1:48">
      <c r="A1629" s="1">
        <f>HYPERLINK("https://lsnyc.legalserver.org/matter/dynamic-profile/view/1904509","19-1904509")</f>
        <v>0</v>
      </c>
      <c r="B1629" t="s">
        <v>115</v>
      </c>
      <c r="C1629" t="s">
        <v>256</v>
      </c>
      <c r="D1629" t="s">
        <v>615</v>
      </c>
      <c r="F1629" t="s">
        <v>1950</v>
      </c>
      <c r="G1629" t="s">
        <v>4128</v>
      </c>
      <c r="H1629" t="s">
        <v>6092</v>
      </c>
      <c r="I1629" t="s">
        <v>8279</v>
      </c>
      <c r="J1629" t="s">
        <v>9065</v>
      </c>
      <c r="K1629">
        <v>10459</v>
      </c>
      <c r="L1629" t="s">
        <v>9094</v>
      </c>
      <c r="M1629" t="s">
        <v>9095</v>
      </c>
      <c r="N1629" t="s">
        <v>9799</v>
      </c>
      <c r="O1629" t="s">
        <v>11129</v>
      </c>
      <c r="P1629" t="s">
        <v>11165</v>
      </c>
      <c r="R1629" t="s">
        <v>11180</v>
      </c>
      <c r="S1629" t="s">
        <v>9094</v>
      </c>
      <c r="T1629" t="s">
        <v>11183</v>
      </c>
      <c r="U1629" t="s">
        <v>11201</v>
      </c>
      <c r="W1629">
        <v>450</v>
      </c>
      <c r="X1629" t="s">
        <v>11333</v>
      </c>
      <c r="Y1629" t="s">
        <v>11340</v>
      </c>
      <c r="Z1629" t="s">
        <v>12494</v>
      </c>
      <c r="AA1629" t="s">
        <v>15583</v>
      </c>
      <c r="AB1629" t="s">
        <v>16894</v>
      </c>
      <c r="AC1629">
        <v>0</v>
      </c>
      <c r="AD1629" t="s">
        <v>19567</v>
      </c>
      <c r="AE1629" t="s">
        <v>19580</v>
      </c>
      <c r="AF1629">
        <v>23</v>
      </c>
      <c r="AG1629">
        <v>2</v>
      </c>
      <c r="AH1629">
        <v>2</v>
      </c>
      <c r="AI1629">
        <v>65.23999999999999</v>
      </c>
      <c r="AL1629" t="s">
        <v>19614</v>
      </c>
      <c r="AM1629">
        <v>16800</v>
      </c>
      <c r="AS1629">
        <v>4.4</v>
      </c>
      <c r="AT1629" t="s">
        <v>334</v>
      </c>
      <c r="AU1629" t="s">
        <v>115</v>
      </c>
      <c r="AV1629" t="s">
        <v>20734</v>
      </c>
    </row>
    <row r="1630" spans="1:48">
      <c r="A1630" s="1">
        <f>HYPERLINK("https://lsnyc.legalserver.org/matter/dynamic-profile/view/1861974","18-1861974")</f>
        <v>0</v>
      </c>
      <c r="B1630" t="s">
        <v>101</v>
      </c>
      <c r="C1630" t="s">
        <v>256</v>
      </c>
      <c r="D1630" t="s">
        <v>451</v>
      </c>
      <c r="F1630" t="s">
        <v>1951</v>
      </c>
      <c r="G1630" t="s">
        <v>4129</v>
      </c>
      <c r="H1630" t="s">
        <v>5890</v>
      </c>
      <c r="I1630" t="s">
        <v>8229</v>
      </c>
      <c r="J1630" t="s">
        <v>9065</v>
      </c>
      <c r="K1630">
        <v>10453</v>
      </c>
      <c r="L1630" t="s">
        <v>9094</v>
      </c>
      <c r="M1630" t="s">
        <v>9095</v>
      </c>
      <c r="N1630" t="s">
        <v>9242</v>
      </c>
      <c r="O1630" t="s">
        <v>11130</v>
      </c>
      <c r="P1630" t="s">
        <v>11165</v>
      </c>
      <c r="R1630" t="s">
        <v>11180</v>
      </c>
      <c r="S1630" t="s">
        <v>9094</v>
      </c>
      <c r="T1630" t="s">
        <v>11183</v>
      </c>
      <c r="V1630" t="s">
        <v>874</v>
      </c>
      <c r="W1630">
        <v>0</v>
      </c>
      <c r="X1630" t="s">
        <v>11333</v>
      </c>
      <c r="Y1630" t="s">
        <v>11338</v>
      </c>
      <c r="Z1630" t="s">
        <v>12495</v>
      </c>
      <c r="AA1630">
        <v>4596013</v>
      </c>
      <c r="AC1630">
        <v>46</v>
      </c>
      <c r="AD1630" t="s">
        <v>19566</v>
      </c>
      <c r="AE1630" t="s">
        <v>19580</v>
      </c>
      <c r="AF1630">
        <v>38</v>
      </c>
      <c r="AG1630">
        <v>1</v>
      </c>
      <c r="AH1630">
        <v>0</v>
      </c>
      <c r="AI1630">
        <v>65.23999999999999</v>
      </c>
      <c r="AL1630" t="s">
        <v>19614</v>
      </c>
      <c r="AM1630">
        <v>7920</v>
      </c>
      <c r="AS1630">
        <v>0</v>
      </c>
      <c r="AU1630" t="s">
        <v>174</v>
      </c>
    </row>
    <row r="1631" spans="1:48">
      <c r="A1631" s="1">
        <f>HYPERLINK("https://lsnyc.legalserver.org/matter/dynamic-profile/view/1890831","19-1890831")</f>
        <v>0</v>
      </c>
      <c r="B1631" t="s">
        <v>64</v>
      </c>
      <c r="C1631" t="s">
        <v>257</v>
      </c>
      <c r="D1631" t="s">
        <v>267</v>
      </c>
      <c r="E1631" t="s">
        <v>339</v>
      </c>
      <c r="F1631" t="s">
        <v>1928</v>
      </c>
      <c r="G1631" t="s">
        <v>4130</v>
      </c>
      <c r="H1631" t="s">
        <v>6598</v>
      </c>
      <c r="I1631" t="s">
        <v>8112</v>
      </c>
      <c r="J1631" t="s">
        <v>9059</v>
      </c>
      <c r="K1631">
        <v>11207</v>
      </c>
      <c r="L1631" t="s">
        <v>9094</v>
      </c>
      <c r="M1631" t="s">
        <v>9094</v>
      </c>
      <c r="N1631" t="s">
        <v>9800</v>
      </c>
      <c r="O1631" t="s">
        <v>11129</v>
      </c>
      <c r="P1631" t="s">
        <v>11165</v>
      </c>
      <c r="Q1631" t="s">
        <v>11174</v>
      </c>
      <c r="R1631" t="s">
        <v>11180</v>
      </c>
      <c r="S1631" t="s">
        <v>9096</v>
      </c>
      <c r="T1631" t="s">
        <v>11183</v>
      </c>
      <c r="V1631" t="s">
        <v>635</v>
      </c>
      <c r="W1631">
        <v>160</v>
      </c>
      <c r="X1631" t="s">
        <v>11332</v>
      </c>
      <c r="Y1631" t="s">
        <v>11352</v>
      </c>
      <c r="Z1631" t="s">
        <v>12496</v>
      </c>
      <c r="AB1631" t="s">
        <v>16895</v>
      </c>
      <c r="AC1631">
        <v>4</v>
      </c>
      <c r="AD1631" t="s">
        <v>19567</v>
      </c>
      <c r="AF1631">
        <v>14</v>
      </c>
      <c r="AG1631">
        <v>2</v>
      </c>
      <c r="AH1631">
        <v>0</v>
      </c>
      <c r="AI1631">
        <v>65.29000000000001</v>
      </c>
      <c r="AL1631" t="s">
        <v>19615</v>
      </c>
      <c r="AM1631">
        <v>11040</v>
      </c>
      <c r="AP1631" t="s">
        <v>20309</v>
      </c>
      <c r="AQ1631" t="s">
        <v>20369</v>
      </c>
      <c r="AR1631" t="s">
        <v>20465</v>
      </c>
      <c r="AS1631">
        <v>24.95</v>
      </c>
      <c r="AT1631" t="s">
        <v>832</v>
      </c>
      <c r="AU1631" t="s">
        <v>20635</v>
      </c>
      <c r="AV1631" t="s">
        <v>20733</v>
      </c>
    </row>
    <row r="1632" spans="1:48">
      <c r="A1632" s="1">
        <f>HYPERLINK("https://lsnyc.legalserver.org/matter/dynamic-profile/view/1860610","18-1860610")</f>
        <v>0</v>
      </c>
      <c r="B1632" t="s">
        <v>136</v>
      </c>
      <c r="C1632" t="s">
        <v>256</v>
      </c>
      <c r="D1632" t="s">
        <v>683</v>
      </c>
      <c r="F1632" t="s">
        <v>1952</v>
      </c>
      <c r="G1632" t="s">
        <v>4131</v>
      </c>
      <c r="H1632" t="s">
        <v>6119</v>
      </c>
      <c r="I1632" t="s">
        <v>8223</v>
      </c>
      <c r="J1632" t="s">
        <v>9067</v>
      </c>
      <c r="K1632">
        <v>10031</v>
      </c>
      <c r="L1632" t="s">
        <v>9094</v>
      </c>
      <c r="M1632" t="s">
        <v>9095</v>
      </c>
      <c r="O1632" t="s">
        <v>11130</v>
      </c>
      <c r="P1632" t="s">
        <v>11167</v>
      </c>
      <c r="R1632" t="s">
        <v>11180</v>
      </c>
      <c r="S1632" t="s">
        <v>9094</v>
      </c>
      <c r="T1632" t="s">
        <v>11183</v>
      </c>
      <c r="U1632" t="s">
        <v>11201</v>
      </c>
      <c r="V1632" t="s">
        <v>638</v>
      </c>
      <c r="W1632">
        <v>2126</v>
      </c>
      <c r="X1632" t="s">
        <v>11335</v>
      </c>
      <c r="Y1632" t="s">
        <v>11339</v>
      </c>
      <c r="Z1632" t="s">
        <v>12497</v>
      </c>
      <c r="AB1632" t="s">
        <v>16896</v>
      </c>
      <c r="AC1632">
        <v>44</v>
      </c>
      <c r="AD1632" t="s">
        <v>19567</v>
      </c>
      <c r="AE1632" t="s">
        <v>19580</v>
      </c>
      <c r="AF1632">
        <v>23</v>
      </c>
      <c r="AG1632">
        <v>2</v>
      </c>
      <c r="AH1632">
        <v>0</v>
      </c>
      <c r="AI1632">
        <v>65.39</v>
      </c>
      <c r="AL1632" t="s">
        <v>19615</v>
      </c>
      <c r="AM1632">
        <v>10764</v>
      </c>
      <c r="AS1632">
        <v>140.9</v>
      </c>
      <c r="AT1632" t="s">
        <v>1130</v>
      </c>
      <c r="AU1632" t="s">
        <v>20657</v>
      </c>
    </row>
    <row r="1633" spans="1:48">
      <c r="A1633" s="1">
        <f>HYPERLINK("https://lsnyc.legalserver.org/matter/dynamic-profile/view/1886801","19-1886801")</f>
        <v>0</v>
      </c>
      <c r="B1633" t="s">
        <v>136</v>
      </c>
      <c r="C1633" t="s">
        <v>256</v>
      </c>
      <c r="D1633" t="s">
        <v>611</v>
      </c>
      <c r="F1633" t="s">
        <v>1952</v>
      </c>
      <c r="G1633" t="s">
        <v>4131</v>
      </c>
      <c r="H1633" t="s">
        <v>6119</v>
      </c>
      <c r="I1633" t="s">
        <v>8223</v>
      </c>
      <c r="J1633" t="s">
        <v>9067</v>
      </c>
      <c r="K1633">
        <v>10031</v>
      </c>
      <c r="L1633" t="s">
        <v>9094</v>
      </c>
      <c r="M1633" t="s">
        <v>9094</v>
      </c>
      <c r="N1633" t="s">
        <v>9801</v>
      </c>
      <c r="O1633" t="s">
        <v>11129</v>
      </c>
      <c r="P1633" t="s">
        <v>11165</v>
      </c>
      <c r="R1633" t="s">
        <v>11180</v>
      </c>
      <c r="S1633" t="s">
        <v>9096</v>
      </c>
      <c r="T1633" t="s">
        <v>11183</v>
      </c>
      <c r="U1633" t="s">
        <v>11201</v>
      </c>
      <c r="V1633" t="s">
        <v>611</v>
      </c>
      <c r="W1633">
        <v>2126</v>
      </c>
      <c r="X1633" t="s">
        <v>11335</v>
      </c>
      <c r="Y1633" t="s">
        <v>11340</v>
      </c>
      <c r="Z1633" t="s">
        <v>12497</v>
      </c>
      <c r="AB1633" t="s">
        <v>16896</v>
      </c>
      <c r="AC1633">
        <v>44</v>
      </c>
      <c r="AD1633" t="s">
        <v>19567</v>
      </c>
      <c r="AE1633" t="s">
        <v>19580</v>
      </c>
      <c r="AF1633">
        <v>23</v>
      </c>
      <c r="AG1633">
        <v>2</v>
      </c>
      <c r="AH1633">
        <v>0</v>
      </c>
      <c r="AI1633">
        <v>65.39</v>
      </c>
      <c r="AL1633" t="s">
        <v>19615</v>
      </c>
      <c r="AM1633">
        <v>10764</v>
      </c>
      <c r="AS1633">
        <v>22.1</v>
      </c>
      <c r="AT1633" t="s">
        <v>632</v>
      </c>
      <c r="AU1633" t="s">
        <v>20657</v>
      </c>
    </row>
    <row r="1634" spans="1:48">
      <c r="A1634" s="1">
        <f>HYPERLINK("https://lsnyc.legalserver.org/matter/dynamic-profile/view/1863708","18-1863708")</f>
        <v>0</v>
      </c>
      <c r="B1634" t="s">
        <v>136</v>
      </c>
      <c r="C1634" t="s">
        <v>256</v>
      </c>
      <c r="D1634" t="s">
        <v>651</v>
      </c>
      <c r="F1634" t="s">
        <v>1953</v>
      </c>
      <c r="G1634" t="s">
        <v>3699</v>
      </c>
      <c r="H1634" t="s">
        <v>5961</v>
      </c>
      <c r="I1634">
        <v>504</v>
      </c>
      <c r="J1634" t="s">
        <v>9067</v>
      </c>
      <c r="K1634">
        <v>10029</v>
      </c>
      <c r="L1634" t="s">
        <v>9094</v>
      </c>
      <c r="M1634" t="s">
        <v>9094</v>
      </c>
      <c r="O1634" t="s">
        <v>11130</v>
      </c>
      <c r="P1634" t="s">
        <v>11167</v>
      </c>
      <c r="R1634" t="s">
        <v>11180</v>
      </c>
      <c r="S1634" t="s">
        <v>9096</v>
      </c>
      <c r="T1634" t="s">
        <v>11183</v>
      </c>
      <c r="U1634" t="s">
        <v>11201</v>
      </c>
      <c r="V1634" t="s">
        <v>651</v>
      </c>
      <c r="W1634">
        <v>0</v>
      </c>
      <c r="X1634" t="s">
        <v>11335</v>
      </c>
      <c r="Y1634" t="s">
        <v>11339</v>
      </c>
      <c r="Z1634" t="s">
        <v>12498</v>
      </c>
      <c r="AC1634">
        <v>108</v>
      </c>
      <c r="AD1634" t="s">
        <v>19567</v>
      </c>
      <c r="AE1634" t="s">
        <v>19580</v>
      </c>
      <c r="AF1634">
        <v>26</v>
      </c>
      <c r="AG1634">
        <v>2</v>
      </c>
      <c r="AH1634">
        <v>0</v>
      </c>
      <c r="AI1634">
        <v>65.39</v>
      </c>
      <c r="AL1634" t="s">
        <v>19615</v>
      </c>
      <c r="AM1634">
        <v>10764</v>
      </c>
      <c r="AS1634">
        <v>0</v>
      </c>
      <c r="AU1634" t="s">
        <v>20657</v>
      </c>
    </row>
    <row r="1635" spans="1:48">
      <c r="A1635" s="1">
        <f>HYPERLINK("https://lsnyc.legalserver.org/matter/dynamic-profile/view/1857562","18-1857562")</f>
        <v>0</v>
      </c>
      <c r="B1635" t="s">
        <v>78</v>
      </c>
      <c r="C1635" t="s">
        <v>256</v>
      </c>
      <c r="D1635" t="s">
        <v>468</v>
      </c>
      <c r="F1635" t="s">
        <v>1270</v>
      </c>
      <c r="G1635" t="s">
        <v>4121</v>
      </c>
      <c r="H1635" t="s">
        <v>6453</v>
      </c>
      <c r="I1635" t="s">
        <v>8472</v>
      </c>
      <c r="J1635" t="s">
        <v>9059</v>
      </c>
      <c r="K1635">
        <v>11206</v>
      </c>
      <c r="L1635" t="s">
        <v>9094</v>
      </c>
      <c r="M1635" t="s">
        <v>9095</v>
      </c>
      <c r="O1635" t="s">
        <v>11130</v>
      </c>
      <c r="P1635" t="s">
        <v>11165</v>
      </c>
      <c r="R1635" t="s">
        <v>11180</v>
      </c>
      <c r="S1635" t="s">
        <v>9094</v>
      </c>
      <c r="T1635" t="s">
        <v>11183</v>
      </c>
      <c r="V1635" t="s">
        <v>844</v>
      </c>
      <c r="W1635">
        <v>1057.68</v>
      </c>
      <c r="X1635" t="s">
        <v>11332</v>
      </c>
      <c r="Y1635" t="s">
        <v>11157</v>
      </c>
      <c r="Z1635" t="s">
        <v>12483</v>
      </c>
      <c r="AB1635" t="s">
        <v>16884</v>
      </c>
      <c r="AC1635">
        <v>25</v>
      </c>
      <c r="AD1635" t="s">
        <v>19566</v>
      </c>
      <c r="AE1635" t="s">
        <v>19580</v>
      </c>
      <c r="AF1635">
        <v>9</v>
      </c>
      <c r="AG1635">
        <v>2</v>
      </c>
      <c r="AH1635">
        <v>0</v>
      </c>
      <c r="AI1635">
        <v>65.54000000000001</v>
      </c>
      <c r="AL1635" t="s">
        <v>19614</v>
      </c>
      <c r="AM1635">
        <v>10644</v>
      </c>
      <c r="AS1635">
        <v>3.75</v>
      </c>
      <c r="AT1635" t="s">
        <v>721</v>
      </c>
      <c r="AU1635" t="s">
        <v>95</v>
      </c>
    </row>
    <row r="1636" spans="1:48">
      <c r="A1636" s="1">
        <f>HYPERLINK("https://lsnyc.legalserver.org/matter/dynamic-profile/view/1893532","19-1893532")</f>
        <v>0</v>
      </c>
      <c r="B1636" t="s">
        <v>138</v>
      </c>
      <c r="C1636" t="s">
        <v>256</v>
      </c>
      <c r="D1636" t="s">
        <v>573</v>
      </c>
      <c r="F1636" t="s">
        <v>1146</v>
      </c>
      <c r="G1636" t="s">
        <v>3749</v>
      </c>
      <c r="H1636" t="s">
        <v>6599</v>
      </c>
      <c r="I1636">
        <v>7</v>
      </c>
      <c r="J1636" t="s">
        <v>9067</v>
      </c>
      <c r="K1636">
        <v>10034</v>
      </c>
      <c r="L1636" t="s">
        <v>9094</v>
      </c>
      <c r="M1636" t="s">
        <v>9094</v>
      </c>
      <c r="O1636" t="s">
        <v>9121</v>
      </c>
      <c r="P1636" t="s">
        <v>11167</v>
      </c>
      <c r="R1636" t="s">
        <v>11180</v>
      </c>
      <c r="S1636" t="s">
        <v>9096</v>
      </c>
      <c r="T1636" t="s">
        <v>11183</v>
      </c>
      <c r="V1636" t="s">
        <v>573</v>
      </c>
      <c r="W1636">
        <v>2200</v>
      </c>
      <c r="X1636" t="s">
        <v>11335</v>
      </c>
      <c r="Y1636" t="s">
        <v>11338</v>
      </c>
      <c r="Z1636" t="s">
        <v>12499</v>
      </c>
      <c r="AB1636" t="s">
        <v>16897</v>
      </c>
      <c r="AC1636">
        <v>25</v>
      </c>
      <c r="AD1636" t="s">
        <v>19566</v>
      </c>
      <c r="AE1636" t="s">
        <v>9144</v>
      </c>
      <c r="AF1636">
        <v>1</v>
      </c>
      <c r="AG1636">
        <v>1</v>
      </c>
      <c r="AH1636">
        <v>0</v>
      </c>
      <c r="AI1636">
        <v>65.62</v>
      </c>
      <c r="AL1636" t="s">
        <v>19615</v>
      </c>
      <c r="AM1636">
        <v>8196</v>
      </c>
      <c r="AS1636">
        <v>1.4</v>
      </c>
      <c r="AT1636" t="s">
        <v>700</v>
      </c>
      <c r="AU1636" t="s">
        <v>130</v>
      </c>
      <c r="AV1636" t="s">
        <v>20733</v>
      </c>
    </row>
    <row r="1637" spans="1:48">
      <c r="A1637" s="1">
        <f>HYPERLINK("https://lsnyc.legalserver.org/matter/dynamic-profile/view/1907752","19-1907752")</f>
        <v>0</v>
      </c>
      <c r="B1637" t="s">
        <v>117</v>
      </c>
      <c r="C1637" t="s">
        <v>257</v>
      </c>
      <c r="D1637" t="s">
        <v>396</v>
      </c>
      <c r="E1637" t="s">
        <v>339</v>
      </c>
      <c r="F1637" t="s">
        <v>1954</v>
      </c>
      <c r="G1637" t="s">
        <v>3674</v>
      </c>
      <c r="H1637" t="s">
        <v>6600</v>
      </c>
      <c r="I1637" t="s">
        <v>8476</v>
      </c>
      <c r="J1637" t="s">
        <v>9065</v>
      </c>
      <c r="K1637">
        <v>10456</v>
      </c>
      <c r="L1637" t="s">
        <v>9094</v>
      </c>
      <c r="M1637" t="s">
        <v>9095</v>
      </c>
      <c r="P1637" t="s">
        <v>11164</v>
      </c>
      <c r="Q1637" t="s">
        <v>11172</v>
      </c>
      <c r="R1637" t="s">
        <v>11180</v>
      </c>
      <c r="S1637" t="s">
        <v>9096</v>
      </c>
      <c r="T1637" t="s">
        <v>11183</v>
      </c>
      <c r="W1637">
        <v>845</v>
      </c>
      <c r="X1637" t="s">
        <v>11333</v>
      </c>
      <c r="Y1637" t="s">
        <v>11346</v>
      </c>
      <c r="Z1637" t="s">
        <v>12500</v>
      </c>
      <c r="AB1637" t="s">
        <v>16898</v>
      </c>
      <c r="AC1637">
        <v>112</v>
      </c>
      <c r="AD1637" t="s">
        <v>19566</v>
      </c>
      <c r="AE1637" t="s">
        <v>9144</v>
      </c>
      <c r="AF1637">
        <v>6</v>
      </c>
      <c r="AG1637">
        <v>1</v>
      </c>
      <c r="AH1637">
        <v>2</v>
      </c>
      <c r="AI1637">
        <v>65.64</v>
      </c>
      <c r="AL1637" t="s">
        <v>19614</v>
      </c>
      <c r="AM1637">
        <v>14000</v>
      </c>
      <c r="AS1637">
        <v>0.25</v>
      </c>
      <c r="AT1637" t="s">
        <v>339</v>
      </c>
      <c r="AU1637" t="s">
        <v>20642</v>
      </c>
      <c r="AV1637" t="s">
        <v>20733</v>
      </c>
    </row>
    <row r="1638" spans="1:48">
      <c r="A1638" s="1">
        <f>HYPERLINK("https://lsnyc.legalserver.org/matter/dynamic-profile/view/0802051","16-0802051")</f>
        <v>0</v>
      </c>
      <c r="B1638" t="s">
        <v>80</v>
      </c>
      <c r="C1638" t="s">
        <v>256</v>
      </c>
      <c r="D1638" t="s">
        <v>819</v>
      </c>
      <c r="F1638" t="s">
        <v>1603</v>
      </c>
      <c r="G1638" t="s">
        <v>4132</v>
      </c>
      <c r="H1638" t="s">
        <v>6601</v>
      </c>
      <c r="I1638" t="s">
        <v>8199</v>
      </c>
      <c r="J1638" t="s">
        <v>9059</v>
      </c>
      <c r="K1638">
        <v>11225</v>
      </c>
      <c r="L1638" t="s">
        <v>9094</v>
      </c>
      <c r="M1638" t="s">
        <v>9095</v>
      </c>
      <c r="N1638" t="s">
        <v>9802</v>
      </c>
      <c r="O1638" t="s">
        <v>11128</v>
      </c>
      <c r="P1638" t="s">
        <v>11165</v>
      </c>
      <c r="R1638" t="s">
        <v>11180</v>
      </c>
      <c r="S1638" t="s">
        <v>9096</v>
      </c>
      <c r="T1638" t="s">
        <v>11183</v>
      </c>
      <c r="W1638">
        <v>143</v>
      </c>
      <c r="X1638" t="s">
        <v>11332</v>
      </c>
      <c r="Y1638" t="s">
        <v>11349</v>
      </c>
      <c r="Z1638" t="s">
        <v>12501</v>
      </c>
      <c r="AA1638" t="s">
        <v>15584</v>
      </c>
      <c r="AB1638" t="s">
        <v>16899</v>
      </c>
      <c r="AC1638">
        <v>0</v>
      </c>
      <c r="AD1638" t="s">
        <v>19569</v>
      </c>
      <c r="AF1638">
        <v>9</v>
      </c>
      <c r="AG1638">
        <v>1</v>
      </c>
      <c r="AH1638">
        <v>0</v>
      </c>
      <c r="AI1638">
        <v>65.66</v>
      </c>
      <c r="AL1638" t="s">
        <v>19614</v>
      </c>
      <c r="AM1638">
        <v>7800</v>
      </c>
      <c r="AS1638">
        <v>30.6</v>
      </c>
      <c r="AT1638" t="s">
        <v>738</v>
      </c>
      <c r="AU1638" t="s">
        <v>20630</v>
      </c>
      <c r="AV1638" t="s">
        <v>20734</v>
      </c>
    </row>
    <row r="1639" spans="1:48">
      <c r="A1639" s="1">
        <f>HYPERLINK("https://lsnyc.legalserver.org/matter/dynamic-profile/view/1843444","17-1843444")</f>
        <v>0</v>
      </c>
      <c r="B1639" t="s">
        <v>132</v>
      </c>
      <c r="C1639" t="s">
        <v>256</v>
      </c>
      <c r="D1639" t="s">
        <v>820</v>
      </c>
      <c r="F1639" t="s">
        <v>1955</v>
      </c>
      <c r="G1639" t="s">
        <v>4133</v>
      </c>
      <c r="H1639" t="s">
        <v>5936</v>
      </c>
      <c r="I1639" t="s">
        <v>8212</v>
      </c>
      <c r="J1639" t="s">
        <v>9067</v>
      </c>
      <c r="K1639">
        <v>10040</v>
      </c>
      <c r="L1639" t="s">
        <v>9094</v>
      </c>
      <c r="M1639" t="s">
        <v>9095</v>
      </c>
      <c r="O1639" t="s">
        <v>11130</v>
      </c>
      <c r="P1639" t="s">
        <v>11165</v>
      </c>
      <c r="R1639" t="s">
        <v>11180</v>
      </c>
      <c r="S1639" t="s">
        <v>9094</v>
      </c>
      <c r="T1639" t="s">
        <v>11183</v>
      </c>
      <c r="V1639" t="s">
        <v>856</v>
      </c>
      <c r="W1639">
        <v>800</v>
      </c>
      <c r="X1639" t="s">
        <v>11335</v>
      </c>
      <c r="Y1639" t="s">
        <v>11338</v>
      </c>
      <c r="Z1639" t="s">
        <v>12502</v>
      </c>
      <c r="AB1639" t="s">
        <v>16900</v>
      </c>
      <c r="AC1639">
        <v>42</v>
      </c>
      <c r="AD1639" t="s">
        <v>19566</v>
      </c>
      <c r="AE1639" t="s">
        <v>19580</v>
      </c>
      <c r="AF1639">
        <v>40</v>
      </c>
      <c r="AG1639">
        <v>1</v>
      </c>
      <c r="AH1639">
        <v>0</v>
      </c>
      <c r="AI1639">
        <v>65.67</v>
      </c>
      <c r="AJ1639" t="s">
        <v>527</v>
      </c>
      <c r="AL1639" t="s">
        <v>19615</v>
      </c>
      <c r="AM1639">
        <v>7920</v>
      </c>
      <c r="AS1639">
        <v>0.2</v>
      </c>
      <c r="AT1639" t="s">
        <v>422</v>
      </c>
      <c r="AU1639" t="s">
        <v>130</v>
      </c>
    </row>
    <row r="1640" spans="1:48">
      <c r="A1640" s="1">
        <f>HYPERLINK("https://lsnyc.legalserver.org/matter/dynamic-profile/view/1835987","17-1835987")</f>
        <v>0</v>
      </c>
      <c r="B1640" t="s">
        <v>56</v>
      </c>
      <c r="C1640" t="s">
        <v>257</v>
      </c>
      <c r="D1640" t="s">
        <v>821</v>
      </c>
      <c r="E1640" t="s">
        <v>307</v>
      </c>
      <c r="F1640" t="s">
        <v>1274</v>
      </c>
      <c r="G1640" t="s">
        <v>3732</v>
      </c>
      <c r="H1640" t="s">
        <v>6602</v>
      </c>
      <c r="I1640" t="s">
        <v>8477</v>
      </c>
      <c r="J1640" t="s">
        <v>9054</v>
      </c>
      <c r="K1640">
        <v>11368</v>
      </c>
      <c r="L1640" t="s">
        <v>9094</v>
      </c>
      <c r="M1640" t="s">
        <v>9095</v>
      </c>
      <c r="N1640" t="s">
        <v>9803</v>
      </c>
      <c r="O1640" t="s">
        <v>11129</v>
      </c>
      <c r="P1640" t="s">
        <v>11165</v>
      </c>
      <c r="Q1640" t="s">
        <v>11174</v>
      </c>
      <c r="R1640" t="s">
        <v>11180</v>
      </c>
      <c r="S1640" t="s">
        <v>9096</v>
      </c>
      <c r="T1640" t="s">
        <v>11183</v>
      </c>
      <c r="V1640" t="s">
        <v>1048</v>
      </c>
      <c r="W1640">
        <v>815.62</v>
      </c>
      <c r="X1640" t="s">
        <v>11331</v>
      </c>
      <c r="Y1640" t="s">
        <v>11349</v>
      </c>
      <c r="Z1640" t="s">
        <v>12503</v>
      </c>
      <c r="AB1640" t="s">
        <v>16901</v>
      </c>
      <c r="AC1640">
        <v>192</v>
      </c>
      <c r="AD1640" t="s">
        <v>19568</v>
      </c>
      <c r="AE1640" t="s">
        <v>19580</v>
      </c>
      <c r="AF1640">
        <v>30</v>
      </c>
      <c r="AG1640">
        <v>2</v>
      </c>
      <c r="AH1640">
        <v>0</v>
      </c>
      <c r="AI1640">
        <v>65.69</v>
      </c>
      <c r="AJ1640" t="s">
        <v>11269</v>
      </c>
      <c r="AK1640" t="s">
        <v>19609</v>
      </c>
      <c r="AL1640" t="s">
        <v>19615</v>
      </c>
      <c r="AM1640">
        <v>10668</v>
      </c>
      <c r="AO1640" t="s">
        <v>20293</v>
      </c>
      <c r="AP1640" t="s">
        <v>20309</v>
      </c>
      <c r="AQ1640" t="s">
        <v>20369</v>
      </c>
      <c r="AR1640" t="s">
        <v>20466</v>
      </c>
      <c r="AS1640">
        <v>53.29</v>
      </c>
      <c r="AT1640" t="s">
        <v>603</v>
      </c>
      <c r="AU1640" t="s">
        <v>153</v>
      </c>
    </row>
    <row r="1641" spans="1:48">
      <c r="A1641" s="1">
        <f>HYPERLINK("https://lsnyc.legalserver.org/matter/dynamic-profile/view/1906820","19-1906820")</f>
        <v>0</v>
      </c>
      <c r="B1641" t="s">
        <v>123</v>
      </c>
      <c r="C1641" t="s">
        <v>257</v>
      </c>
      <c r="D1641" t="s">
        <v>676</v>
      </c>
      <c r="E1641" t="s">
        <v>404</v>
      </c>
      <c r="F1641" t="s">
        <v>1580</v>
      </c>
      <c r="G1641" t="s">
        <v>4134</v>
      </c>
      <c r="H1641" t="s">
        <v>6603</v>
      </c>
      <c r="I1641" t="s">
        <v>8478</v>
      </c>
      <c r="J1641" t="s">
        <v>9066</v>
      </c>
      <c r="K1641">
        <v>10306</v>
      </c>
      <c r="L1641" t="s">
        <v>9094</v>
      </c>
      <c r="M1641" t="s">
        <v>9095</v>
      </c>
      <c r="N1641" t="s">
        <v>9804</v>
      </c>
      <c r="O1641" t="s">
        <v>11129</v>
      </c>
      <c r="P1641" t="s">
        <v>11165</v>
      </c>
      <c r="Q1641" t="s">
        <v>11179</v>
      </c>
      <c r="R1641" t="s">
        <v>11180</v>
      </c>
      <c r="S1641" t="s">
        <v>9096</v>
      </c>
      <c r="T1641" t="s">
        <v>11183</v>
      </c>
      <c r="U1641" t="s">
        <v>11201</v>
      </c>
      <c r="V1641" t="s">
        <v>676</v>
      </c>
      <c r="W1641">
        <v>1820</v>
      </c>
      <c r="X1641" t="s">
        <v>11334</v>
      </c>
      <c r="Y1641" t="s">
        <v>11345</v>
      </c>
      <c r="Z1641" t="s">
        <v>12504</v>
      </c>
      <c r="AB1641" t="s">
        <v>16902</v>
      </c>
      <c r="AC1641">
        <v>3</v>
      </c>
      <c r="AD1641" t="s">
        <v>19565</v>
      </c>
      <c r="AE1641" t="s">
        <v>19580</v>
      </c>
      <c r="AF1641">
        <v>-1</v>
      </c>
      <c r="AG1641">
        <v>2</v>
      </c>
      <c r="AH1641">
        <v>0</v>
      </c>
      <c r="AI1641">
        <v>65.70999999999999</v>
      </c>
      <c r="AL1641" t="s">
        <v>19614</v>
      </c>
      <c r="AM1641">
        <v>11112</v>
      </c>
      <c r="AO1641" t="s">
        <v>20292</v>
      </c>
      <c r="AP1641" t="s">
        <v>20313</v>
      </c>
      <c r="AQ1641" t="s">
        <v>20369</v>
      </c>
      <c r="AR1641" t="s">
        <v>20467</v>
      </c>
      <c r="AS1641">
        <v>26.4</v>
      </c>
      <c r="AT1641" t="s">
        <v>404</v>
      </c>
      <c r="AU1641" t="s">
        <v>20653</v>
      </c>
      <c r="AV1641" t="s">
        <v>20733</v>
      </c>
    </row>
    <row r="1642" spans="1:48">
      <c r="A1642" s="1">
        <f>HYPERLINK("https://lsnyc.legalserver.org/matter/dynamic-profile/view/1891662","19-1891662")</f>
        <v>0</v>
      </c>
      <c r="B1642" t="s">
        <v>70</v>
      </c>
      <c r="C1642" t="s">
        <v>256</v>
      </c>
      <c r="D1642" t="s">
        <v>788</v>
      </c>
      <c r="F1642" t="s">
        <v>1956</v>
      </c>
      <c r="G1642" t="s">
        <v>4135</v>
      </c>
      <c r="H1642" t="s">
        <v>5749</v>
      </c>
      <c r="I1642" t="s">
        <v>8479</v>
      </c>
      <c r="J1642" t="s">
        <v>9059</v>
      </c>
      <c r="K1642">
        <v>11233</v>
      </c>
      <c r="L1642" t="s">
        <v>9094</v>
      </c>
      <c r="M1642" t="s">
        <v>9096</v>
      </c>
      <c r="N1642" t="s">
        <v>9146</v>
      </c>
      <c r="O1642" t="s">
        <v>11134</v>
      </c>
      <c r="P1642" t="s">
        <v>11168</v>
      </c>
      <c r="R1642" t="s">
        <v>11180</v>
      </c>
      <c r="S1642" t="s">
        <v>9094</v>
      </c>
      <c r="T1642" t="s">
        <v>11183</v>
      </c>
      <c r="U1642" t="s">
        <v>11201</v>
      </c>
      <c r="V1642" t="s">
        <v>482</v>
      </c>
      <c r="W1642">
        <v>802</v>
      </c>
      <c r="X1642" t="s">
        <v>11332</v>
      </c>
      <c r="Z1642" t="s">
        <v>12505</v>
      </c>
      <c r="AC1642">
        <v>359</v>
      </c>
      <c r="AD1642" t="s">
        <v>19566</v>
      </c>
      <c r="AF1642">
        <v>12</v>
      </c>
      <c r="AG1642">
        <v>2</v>
      </c>
      <c r="AH1642">
        <v>0</v>
      </c>
      <c r="AI1642">
        <v>65.78</v>
      </c>
      <c r="AL1642" t="s">
        <v>19614</v>
      </c>
      <c r="AM1642">
        <v>11124</v>
      </c>
      <c r="AN1642" t="s">
        <v>19641</v>
      </c>
      <c r="AS1642">
        <v>0</v>
      </c>
      <c r="AU1642" t="s">
        <v>95</v>
      </c>
    </row>
    <row r="1643" spans="1:48">
      <c r="A1643" s="1">
        <f>HYPERLINK("https://lsnyc.legalserver.org/matter/dynamic-profile/view/1891663","19-1891663")</f>
        <v>0</v>
      </c>
      <c r="B1643" t="s">
        <v>70</v>
      </c>
      <c r="C1643" t="s">
        <v>256</v>
      </c>
      <c r="D1643" t="s">
        <v>788</v>
      </c>
      <c r="F1643" t="s">
        <v>1956</v>
      </c>
      <c r="G1643" t="s">
        <v>4135</v>
      </c>
      <c r="H1643" t="s">
        <v>5749</v>
      </c>
      <c r="I1643" t="s">
        <v>8479</v>
      </c>
      <c r="J1643" t="s">
        <v>9059</v>
      </c>
      <c r="K1643">
        <v>11233</v>
      </c>
      <c r="L1643" t="s">
        <v>9094</v>
      </c>
      <c r="M1643" t="s">
        <v>9096</v>
      </c>
      <c r="N1643" t="s">
        <v>9144</v>
      </c>
      <c r="O1643" t="s">
        <v>11137</v>
      </c>
      <c r="P1643" t="s">
        <v>11167</v>
      </c>
      <c r="R1643" t="s">
        <v>11180</v>
      </c>
      <c r="S1643" t="s">
        <v>9094</v>
      </c>
      <c r="T1643" t="s">
        <v>11183</v>
      </c>
      <c r="U1643" t="s">
        <v>11201</v>
      </c>
      <c r="V1643" t="s">
        <v>749</v>
      </c>
      <c r="W1643">
        <v>802</v>
      </c>
      <c r="X1643" t="s">
        <v>11332</v>
      </c>
      <c r="Z1643" t="s">
        <v>12505</v>
      </c>
      <c r="AC1643">
        <v>359</v>
      </c>
      <c r="AD1643" t="s">
        <v>19566</v>
      </c>
      <c r="AF1643">
        <v>12</v>
      </c>
      <c r="AG1643">
        <v>2</v>
      </c>
      <c r="AH1643">
        <v>0</v>
      </c>
      <c r="AI1643">
        <v>65.78</v>
      </c>
      <c r="AL1643" t="s">
        <v>19614</v>
      </c>
      <c r="AM1643">
        <v>11124</v>
      </c>
      <c r="AN1643" t="s">
        <v>19809</v>
      </c>
      <c r="AS1643">
        <v>0</v>
      </c>
      <c r="AU1643" t="s">
        <v>95</v>
      </c>
    </row>
    <row r="1644" spans="1:48">
      <c r="A1644" s="1">
        <f>HYPERLINK("https://lsnyc.legalserver.org/matter/dynamic-profile/view/1887824","19-1887824")</f>
        <v>0</v>
      </c>
      <c r="B1644" t="s">
        <v>78</v>
      </c>
      <c r="C1644" t="s">
        <v>256</v>
      </c>
      <c r="D1644" t="s">
        <v>363</v>
      </c>
      <c r="F1644" t="s">
        <v>1957</v>
      </c>
      <c r="G1644" t="s">
        <v>4136</v>
      </c>
      <c r="H1644" t="s">
        <v>5785</v>
      </c>
      <c r="I1644" t="s">
        <v>8480</v>
      </c>
      <c r="J1644" t="s">
        <v>9059</v>
      </c>
      <c r="K1644">
        <v>11225</v>
      </c>
      <c r="L1644" t="s">
        <v>9094</v>
      </c>
      <c r="M1644" t="s">
        <v>9095</v>
      </c>
      <c r="O1644" t="s">
        <v>11134</v>
      </c>
      <c r="P1644" t="s">
        <v>11168</v>
      </c>
      <c r="R1644" t="s">
        <v>11180</v>
      </c>
      <c r="S1644" t="s">
        <v>9094</v>
      </c>
      <c r="T1644" t="s">
        <v>11183</v>
      </c>
      <c r="V1644" t="s">
        <v>412</v>
      </c>
      <c r="W1644">
        <v>432.05</v>
      </c>
      <c r="X1644" t="s">
        <v>11332</v>
      </c>
      <c r="Y1644" t="s">
        <v>11339</v>
      </c>
      <c r="Z1644" t="s">
        <v>12506</v>
      </c>
      <c r="AB1644" t="s">
        <v>16903</v>
      </c>
      <c r="AC1644">
        <v>89</v>
      </c>
      <c r="AD1644" t="s">
        <v>19566</v>
      </c>
      <c r="AE1644" t="s">
        <v>19587</v>
      </c>
      <c r="AF1644">
        <v>34</v>
      </c>
      <c r="AG1644">
        <v>2</v>
      </c>
      <c r="AH1644">
        <v>0</v>
      </c>
      <c r="AI1644">
        <v>65.83</v>
      </c>
      <c r="AL1644" t="s">
        <v>19614</v>
      </c>
      <c r="AM1644">
        <v>10836</v>
      </c>
      <c r="AS1644">
        <v>0</v>
      </c>
      <c r="AU1644" t="s">
        <v>79</v>
      </c>
    </row>
    <row r="1645" spans="1:48">
      <c r="A1645" s="1">
        <f>HYPERLINK("https://lsnyc.legalserver.org/matter/dynamic-profile/view/1872527","18-1872527")</f>
        <v>0</v>
      </c>
      <c r="B1645" t="s">
        <v>78</v>
      </c>
      <c r="C1645" t="s">
        <v>256</v>
      </c>
      <c r="D1645" t="s">
        <v>822</v>
      </c>
      <c r="F1645" t="s">
        <v>1957</v>
      </c>
      <c r="G1645" t="s">
        <v>4136</v>
      </c>
      <c r="H1645" t="s">
        <v>5785</v>
      </c>
      <c r="I1645" t="s">
        <v>8480</v>
      </c>
      <c r="J1645" t="s">
        <v>9059</v>
      </c>
      <c r="K1645">
        <v>11225</v>
      </c>
      <c r="L1645" t="s">
        <v>9094</v>
      </c>
      <c r="M1645" t="s">
        <v>9095</v>
      </c>
      <c r="O1645" t="s">
        <v>11137</v>
      </c>
      <c r="P1645" t="s">
        <v>11167</v>
      </c>
      <c r="R1645" t="s">
        <v>11180</v>
      </c>
      <c r="S1645" t="s">
        <v>9094</v>
      </c>
      <c r="T1645" t="s">
        <v>11183</v>
      </c>
      <c r="V1645" t="s">
        <v>412</v>
      </c>
      <c r="W1645">
        <v>432.05</v>
      </c>
      <c r="X1645" t="s">
        <v>11332</v>
      </c>
      <c r="Y1645" t="s">
        <v>11339</v>
      </c>
      <c r="Z1645" t="s">
        <v>12506</v>
      </c>
      <c r="AA1645" t="s">
        <v>15487</v>
      </c>
      <c r="AB1645" t="s">
        <v>16903</v>
      </c>
      <c r="AC1645">
        <v>89</v>
      </c>
      <c r="AD1645" t="s">
        <v>19566</v>
      </c>
      <c r="AE1645" t="s">
        <v>19587</v>
      </c>
      <c r="AF1645">
        <v>34</v>
      </c>
      <c r="AG1645">
        <v>2</v>
      </c>
      <c r="AH1645">
        <v>0</v>
      </c>
      <c r="AI1645">
        <v>65.83</v>
      </c>
      <c r="AL1645" t="s">
        <v>19614</v>
      </c>
      <c r="AM1645">
        <v>10836</v>
      </c>
      <c r="AS1645">
        <v>0</v>
      </c>
      <c r="AU1645" t="s">
        <v>95</v>
      </c>
    </row>
    <row r="1646" spans="1:48">
      <c r="A1646" s="1">
        <f>HYPERLINK("https://lsnyc.legalserver.org/matter/dynamic-profile/view/1849475","17-1849475")</f>
        <v>0</v>
      </c>
      <c r="B1646" t="s">
        <v>123</v>
      </c>
      <c r="C1646" t="s">
        <v>256</v>
      </c>
      <c r="D1646" t="s">
        <v>823</v>
      </c>
      <c r="F1646" t="s">
        <v>1804</v>
      </c>
      <c r="G1646" t="s">
        <v>3934</v>
      </c>
      <c r="H1646" t="s">
        <v>6604</v>
      </c>
      <c r="I1646" t="s">
        <v>8160</v>
      </c>
      <c r="J1646" t="s">
        <v>9066</v>
      </c>
      <c r="K1646">
        <v>10301</v>
      </c>
      <c r="L1646" t="s">
        <v>9094</v>
      </c>
      <c r="M1646" t="s">
        <v>9095</v>
      </c>
      <c r="N1646" t="s">
        <v>9805</v>
      </c>
      <c r="O1646" t="s">
        <v>11128</v>
      </c>
      <c r="P1646" t="s">
        <v>11165</v>
      </c>
      <c r="R1646" t="s">
        <v>11180</v>
      </c>
      <c r="S1646" t="s">
        <v>9096</v>
      </c>
      <c r="T1646" t="s">
        <v>11183</v>
      </c>
      <c r="V1646" t="s">
        <v>823</v>
      </c>
      <c r="W1646">
        <v>1024</v>
      </c>
      <c r="X1646" t="s">
        <v>11334</v>
      </c>
      <c r="Y1646" t="s">
        <v>11337</v>
      </c>
      <c r="Z1646" t="s">
        <v>12507</v>
      </c>
      <c r="AA1646" t="s">
        <v>15585</v>
      </c>
      <c r="AB1646" t="s">
        <v>16904</v>
      </c>
      <c r="AC1646">
        <v>17</v>
      </c>
      <c r="AD1646" t="s">
        <v>19566</v>
      </c>
      <c r="AE1646" t="s">
        <v>19585</v>
      </c>
      <c r="AF1646">
        <v>4</v>
      </c>
      <c r="AG1646">
        <v>1</v>
      </c>
      <c r="AH1646">
        <v>0</v>
      </c>
      <c r="AI1646">
        <v>65.97</v>
      </c>
      <c r="AL1646" t="s">
        <v>19614</v>
      </c>
      <c r="AM1646">
        <v>7956</v>
      </c>
      <c r="AO1646" t="s">
        <v>20293</v>
      </c>
      <c r="AP1646" t="s">
        <v>20334</v>
      </c>
      <c r="AS1646">
        <v>82.7</v>
      </c>
      <c r="AT1646" t="s">
        <v>899</v>
      </c>
      <c r="AU1646" t="s">
        <v>20652</v>
      </c>
    </row>
    <row r="1647" spans="1:48">
      <c r="A1647" s="1">
        <f>HYPERLINK("https://lsnyc.legalserver.org/matter/dynamic-profile/view/1904669","19-1904669")</f>
        <v>0</v>
      </c>
      <c r="B1647" t="s">
        <v>71</v>
      </c>
      <c r="C1647" t="s">
        <v>256</v>
      </c>
      <c r="D1647" t="s">
        <v>497</v>
      </c>
      <c r="F1647" t="s">
        <v>1793</v>
      </c>
      <c r="G1647" t="s">
        <v>4137</v>
      </c>
      <c r="H1647" t="s">
        <v>5998</v>
      </c>
      <c r="I1647" t="s">
        <v>8158</v>
      </c>
      <c r="J1647" t="s">
        <v>9059</v>
      </c>
      <c r="K1647">
        <v>11208</v>
      </c>
      <c r="L1647" t="s">
        <v>9094</v>
      </c>
      <c r="M1647" t="s">
        <v>9095</v>
      </c>
      <c r="N1647" t="s">
        <v>9806</v>
      </c>
      <c r="O1647" t="s">
        <v>11128</v>
      </c>
      <c r="P1647" t="s">
        <v>11165</v>
      </c>
      <c r="R1647" t="s">
        <v>11180</v>
      </c>
      <c r="S1647" t="s">
        <v>9096</v>
      </c>
      <c r="T1647" t="s">
        <v>11183</v>
      </c>
      <c r="U1647" t="s">
        <v>11200</v>
      </c>
      <c r="V1647" t="s">
        <v>615</v>
      </c>
      <c r="W1647">
        <v>0</v>
      </c>
      <c r="X1647" t="s">
        <v>11332</v>
      </c>
      <c r="Y1647" t="s">
        <v>11355</v>
      </c>
      <c r="Z1647" t="s">
        <v>12508</v>
      </c>
      <c r="AA1647" t="s">
        <v>15586</v>
      </c>
      <c r="AB1647" t="s">
        <v>16905</v>
      </c>
      <c r="AC1647">
        <v>319</v>
      </c>
      <c r="AD1647" t="s">
        <v>19566</v>
      </c>
      <c r="AE1647" t="s">
        <v>19582</v>
      </c>
      <c r="AF1647">
        <v>0</v>
      </c>
      <c r="AG1647">
        <v>1</v>
      </c>
      <c r="AH1647">
        <v>7</v>
      </c>
      <c r="AI1647">
        <v>65.98</v>
      </c>
      <c r="AL1647" t="s">
        <v>19614</v>
      </c>
      <c r="AM1647">
        <v>28656</v>
      </c>
      <c r="AS1647">
        <v>40.5</v>
      </c>
      <c r="AT1647" t="s">
        <v>270</v>
      </c>
      <c r="AU1647" t="s">
        <v>95</v>
      </c>
      <c r="AV1647" t="s">
        <v>20734</v>
      </c>
    </row>
    <row r="1648" spans="1:48">
      <c r="A1648" s="1">
        <f>HYPERLINK("https://lsnyc.legalserver.org/matter/dynamic-profile/view/1908418","19-1908418")</f>
        <v>0</v>
      </c>
      <c r="B1648" t="s">
        <v>69</v>
      </c>
      <c r="C1648" t="s">
        <v>256</v>
      </c>
      <c r="D1648" t="s">
        <v>314</v>
      </c>
      <c r="F1648" t="s">
        <v>1793</v>
      </c>
      <c r="G1648" t="s">
        <v>4137</v>
      </c>
      <c r="H1648" t="s">
        <v>5998</v>
      </c>
      <c r="I1648" t="s">
        <v>8158</v>
      </c>
      <c r="J1648" t="s">
        <v>9059</v>
      </c>
      <c r="K1648">
        <v>11208</v>
      </c>
      <c r="L1648" t="s">
        <v>9094</v>
      </c>
      <c r="M1648" t="s">
        <v>9095</v>
      </c>
      <c r="N1648" t="s">
        <v>9144</v>
      </c>
      <c r="O1648" t="s">
        <v>11131</v>
      </c>
      <c r="P1648" t="s">
        <v>11168</v>
      </c>
      <c r="R1648" t="s">
        <v>11180</v>
      </c>
      <c r="S1648" t="s">
        <v>9096</v>
      </c>
      <c r="T1648" t="s">
        <v>11184</v>
      </c>
      <c r="W1648">
        <v>273</v>
      </c>
      <c r="X1648" t="s">
        <v>11332</v>
      </c>
      <c r="Y1648" t="s">
        <v>11355</v>
      </c>
      <c r="Z1648" t="s">
        <v>12508</v>
      </c>
      <c r="AA1648" t="s">
        <v>15586</v>
      </c>
      <c r="AB1648" t="s">
        <v>16905</v>
      </c>
      <c r="AC1648">
        <v>322</v>
      </c>
      <c r="AD1648" t="s">
        <v>19566</v>
      </c>
      <c r="AE1648" t="s">
        <v>19582</v>
      </c>
      <c r="AF1648">
        <v>0</v>
      </c>
      <c r="AG1648">
        <v>1</v>
      </c>
      <c r="AH1648">
        <v>7</v>
      </c>
      <c r="AI1648">
        <v>65.98</v>
      </c>
      <c r="AL1648" t="s">
        <v>19614</v>
      </c>
      <c r="AM1648">
        <v>28656</v>
      </c>
      <c r="AN1648" t="s">
        <v>19810</v>
      </c>
      <c r="AS1648">
        <v>8.25</v>
      </c>
      <c r="AT1648" t="s">
        <v>632</v>
      </c>
      <c r="AU1648" t="s">
        <v>79</v>
      </c>
      <c r="AV1648" t="s">
        <v>20733</v>
      </c>
    </row>
    <row r="1649" spans="1:48">
      <c r="A1649" s="1">
        <f>HYPERLINK("https://lsnyc.legalserver.org/matter/dynamic-profile/view/0785673","15-0785673")</f>
        <v>0</v>
      </c>
      <c r="B1649" t="s">
        <v>119</v>
      </c>
      <c r="C1649" t="s">
        <v>256</v>
      </c>
      <c r="D1649" t="s">
        <v>824</v>
      </c>
      <c r="F1649" t="s">
        <v>1948</v>
      </c>
      <c r="G1649" t="s">
        <v>4124</v>
      </c>
      <c r="H1649" t="s">
        <v>5897</v>
      </c>
      <c r="I1649" t="s">
        <v>8474</v>
      </c>
      <c r="J1649" t="s">
        <v>9065</v>
      </c>
      <c r="K1649">
        <v>10452</v>
      </c>
      <c r="L1649" t="s">
        <v>9094</v>
      </c>
      <c r="M1649" t="s">
        <v>9095</v>
      </c>
      <c r="N1649" t="s">
        <v>9250</v>
      </c>
      <c r="O1649" t="s">
        <v>11132</v>
      </c>
      <c r="P1649" t="s">
        <v>11165</v>
      </c>
      <c r="R1649" t="s">
        <v>11180</v>
      </c>
      <c r="S1649" t="s">
        <v>9094</v>
      </c>
      <c r="T1649" t="s">
        <v>11183</v>
      </c>
      <c r="V1649" t="s">
        <v>824</v>
      </c>
      <c r="W1649">
        <v>1050</v>
      </c>
      <c r="X1649" t="s">
        <v>11333</v>
      </c>
      <c r="Y1649" t="s">
        <v>11338</v>
      </c>
      <c r="Z1649" t="s">
        <v>12490</v>
      </c>
      <c r="AB1649" t="s">
        <v>16891</v>
      </c>
      <c r="AC1649">
        <v>0</v>
      </c>
      <c r="AD1649" t="s">
        <v>19566</v>
      </c>
      <c r="AF1649">
        <v>14</v>
      </c>
      <c r="AG1649">
        <v>3</v>
      </c>
      <c r="AH1649">
        <v>1</v>
      </c>
      <c r="AI1649">
        <v>65.98</v>
      </c>
      <c r="AL1649" t="s">
        <v>19614</v>
      </c>
      <c r="AM1649">
        <v>16000</v>
      </c>
      <c r="AS1649">
        <v>0.1</v>
      </c>
      <c r="AT1649" t="s">
        <v>20594</v>
      </c>
      <c r="AU1649" t="s">
        <v>20645</v>
      </c>
    </row>
    <row r="1650" spans="1:48">
      <c r="A1650" s="1">
        <f>HYPERLINK("https://lsnyc.legalserver.org/matter/dynamic-profile/view/0816578","16-0816578")</f>
        <v>0</v>
      </c>
      <c r="B1650" t="s">
        <v>139</v>
      </c>
      <c r="C1650" t="s">
        <v>256</v>
      </c>
      <c r="D1650" t="s">
        <v>825</v>
      </c>
      <c r="F1650" t="s">
        <v>1760</v>
      </c>
      <c r="G1650" t="s">
        <v>3825</v>
      </c>
      <c r="H1650" t="s">
        <v>5959</v>
      </c>
      <c r="I1650">
        <v>63</v>
      </c>
      <c r="J1650" t="s">
        <v>9067</v>
      </c>
      <c r="K1650">
        <v>10032</v>
      </c>
      <c r="L1650" t="s">
        <v>9094</v>
      </c>
      <c r="M1650" t="s">
        <v>9095</v>
      </c>
      <c r="N1650" t="s">
        <v>9807</v>
      </c>
      <c r="O1650" t="s">
        <v>9121</v>
      </c>
      <c r="P1650" t="s">
        <v>11165</v>
      </c>
      <c r="R1650" t="s">
        <v>11180</v>
      </c>
      <c r="S1650" t="s">
        <v>9096</v>
      </c>
      <c r="T1650" t="s">
        <v>11183</v>
      </c>
      <c r="V1650" t="s">
        <v>825</v>
      </c>
      <c r="W1650">
        <v>333.87</v>
      </c>
      <c r="X1650" t="s">
        <v>11335</v>
      </c>
      <c r="Y1650" t="s">
        <v>11339</v>
      </c>
      <c r="Z1650" t="s">
        <v>12166</v>
      </c>
      <c r="AB1650" t="s">
        <v>16600</v>
      </c>
      <c r="AC1650">
        <v>35</v>
      </c>
      <c r="AD1650" t="s">
        <v>19569</v>
      </c>
      <c r="AE1650" t="s">
        <v>9144</v>
      </c>
      <c r="AF1650">
        <v>50</v>
      </c>
      <c r="AG1650">
        <v>1</v>
      </c>
      <c r="AH1650">
        <v>0</v>
      </c>
      <c r="AI1650">
        <v>66.17</v>
      </c>
      <c r="AJ1650" t="s">
        <v>704</v>
      </c>
      <c r="AL1650" t="s">
        <v>19614</v>
      </c>
      <c r="AM1650">
        <v>7861</v>
      </c>
      <c r="AS1650">
        <v>183.86</v>
      </c>
      <c r="AT1650" t="s">
        <v>350</v>
      </c>
      <c r="AU1650" t="s">
        <v>20663</v>
      </c>
    </row>
    <row r="1651" spans="1:48">
      <c r="A1651" s="1">
        <f>HYPERLINK("https://lsnyc.legalserver.org/matter/dynamic-profile/view/1895526","19-1895526")</f>
        <v>0</v>
      </c>
      <c r="B1651" t="s">
        <v>106</v>
      </c>
      <c r="C1651" t="s">
        <v>256</v>
      </c>
      <c r="D1651" t="s">
        <v>278</v>
      </c>
      <c r="F1651" t="s">
        <v>1562</v>
      </c>
      <c r="G1651" t="s">
        <v>4138</v>
      </c>
      <c r="H1651" t="s">
        <v>6605</v>
      </c>
      <c r="I1651" t="s">
        <v>8266</v>
      </c>
      <c r="J1651" t="s">
        <v>9065</v>
      </c>
      <c r="K1651">
        <v>10452</v>
      </c>
      <c r="L1651" t="s">
        <v>9094</v>
      </c>
      <c r="M1651" t="s">
        <v>9094</v>
      </c>
      <c r="N1651" t="s">
        <v>9808</v>
      </c>
      <c r="O1651" t="s">
        <v>11128</v>
      </c>
      <c r="P1651" t="s">
        <v>11166</v>
      </c>
      <c r="R1651" t="s">
        <v>11180</v>
      </c>
      <c r="S1651" t="s">
        <v>9096</v>
      </c>
      <c r="T1651" t="s">
        <v>11183</v>
      </c>
      <c r="U1651" t="s">
        <v>11199</v>
      </c>
      <c r="V1651" t="s">
        <v>278</v>
      </c>
      <c r="W1651">
        <v>1477</v>
      </c>
      <c r="X1651" t="s">
        <v>11333</v>
      </c>
      <c r="Y1651" t="s">
        <v>11346</v>
      </c>
      <c r="Z1651" t="s">
        <v>12509</v>
      </c>
      <c r="AA1651" t="s">
        <v>15587</v>
      </c>
      <c r="AB1651" t="s">
        <v>16906</v>
      </c>
      <c r="AC1651">
        <v>82</v>
      </c>
      <c r="AD1651" t="s">
        <v>19566</v>
      </c>
      <c r="AE1651" t="s">
        <v>19580</v>
      </c>
      <c r="AF1651">
        <v>10</v>
      </c>
      <c r="AG1651">
        <v>1</v>
      </c>
      <c r="AH1651">
        <v>0</v>
      </c>
      <c r="AI1651">
        <v>66.2</v>
      </c>
      <c r="AL1651" t="s">
        <v>19614</v>
      </c>
      <c r="AM1651">
        <v>8268</v>
      </c>
      <c r="AN1651" t="s">
        <v>19811</v>
      </c>
      <c r="AS1651">
        <v>22.75</v>
      </c>
      <c r="AT1651" t="s">
        <v>429</v>
      </c>
      <c r="AU1651" t="s">
        <v>106</v>
      </c>
      <c r="AV1651" t="s">
        <v>20734</v>
      </c>
    </row>
    <row r="1652" spans="1:48">
      <c r="A1652" s="1">
        <f>HYPERLINK("https://lsnyc.legalserver.org/matter/dynamic-profile/view/1907493","19-1907493")</f>
        <v>0</v>
      </c>
      <c r="B1652" t="s">
        <v>100</v>
      </c>
      <c r="C1652" t="s">
        <v>256</v>
      </c>
      <c r="D1652" t="s">
        <v>275</v>
      </c>
      <c r="F1652" t="s">
        <v>1706</v>
      </c>
      <c r="G1652" t="s">
        <v>3880</v>
      </c>
      <c r="H1652" t="s">
        <v>6296</v>
      </c>
      <c r="I1652" t="s">
        <v>8372</v>
      </c>
      <c r="J1652" t="s">
        <v>9065</v>
      </c>
      <c r="K1652">
        <v>10452</v>
      </c>
      <c r="L1652" t="s">
        <v>9095</v>
      </c>
      <c r="M1652" t="s">
        <v>9095</v>
      </c>
      <c r="O1652" t="s">
        <v>9121</v>
      </c>
      <c r="P1652" t="s">
        <v>11164</v>
      </c>
      <c r="R1652" t="s">
        <v>11180</v>
      </c>
      <c r="S1652" t="s">
        <v>9094</v>
      </c>
      <c r="T1652" t="s">
        <v>11183</v>
      </c>
      <c r="U1652" t="s">
        <v>11201</v>
      </c>
      <c r="W1652">
        <v>1400</v>
      </c>
      <c r="X1652" t="s">
        <v>11333</v>
      </c>
      <c r="Y1652" t="s">
        <v>11340</v>
      </c>
      <c r="Z1652" t="s">
        <v>12070</v>
      </c>
      <c r="AB1652" t="s">
        <v>16907</v>
      </c>
      <c r="AC1652">
        <v>0</v>
      </c>
      <c r="AD1652" t="s">
        <v>19566</v>
      </c>
      <c r="AE1652" t="s">
        <v>19582</v>
      </c>
      <c r="AF1652">
        <v>5</v>
      </c>
      <c r="AG1652">
        <v>2</v>
      </c>
      <c r="AH1652">
        <v>3</v>
      </c>
      <c r="AI1652">
        <v>66.29000000000001</v>
      </c>
      <c r="AL1652" t="s">
        <v>19614</v>
      </c>
      <c r="AM1652">
        <v>20000</v>
      </c>
      <c r="AS1652">
        <v>0</v>
      </c>
      <c r="AU1652" t="s">
        <v>100</v>
      </c>
    </row>
    <row r="1653" spans="1:48">
      <c r="A1653" s="1">
        <f>HYPERLINK("https://lsnyc.legalserver.org/matter/dynamic-profile/view/1907807","19-1907807")</f>
        <v>0</v>
      </c>
      <c r="B1653" t="s">
        <v>119</v>
      </c>
      <c r="C1653" t="s">
        <v>256</v>
      </c>
      <c r="D1653" t="s">
        <v>396</v>
      </c>
      <c r="F1653" t="s">
        <v>1682</v>
      </c>
      <c r="G1653" t="s">
        <v>4139</v>
      </c>
      <c r="H1653" t="s">
        <v>6597</v>
      </c>
      <c r="I1653" t="s">
        <v>8475</v>
      </c>
      <c r="J1653" t="s">
        <v>9065</v>
      </c>
      <c r="K1653">
        <v>10467</v>
      </c>
      <c r="L1653" t="s">
        <v>9094</v>
      </c>
      <c r="M1653" t="s">
        <v>9095</v>
      </c>
      <c r="R1653" t="s">
        <v>11180</v>
      </c>
      <c r="S1653" t="s">
        <v>9094</v>
      </c>
      <c r="T1653" t="s">
        <v>11183</v>
      </c>
      <c r="W1653">
        <v>1531.65</v>
      </c>
      <c r="X1653" t="s">
        <v>11333</v>
      </c>
      <c r="Y1653" t="s">
        <v>11346</v>
      </c>
      <c r="Z1653" t="s">
        <v>12493</v>
      </c>
      <c r="AA1653">
        <v>4043580</v>
      </c>
      <c r="AB1653" t="s">
        <v>16893</v>
      </c>
      <c r="AC1653">
        <v>0</v>
      </c>
      <c r="AD1653" t="s">
        <v>19566</v>
      </c>
      <c r="AE1653" t="s">
        <v>19580</v>
      </c>
      <c r="AF1653">
        <v>15</v>
      </c>
      <c r="AG1653">
        <v>2</v>
      </c>
      <c r="AH1653">
        <v>0</v>
      </c>
      <c r="AI1653">
        <v>66.48999999999999</v>
      </c>
      <c r="AL1653" t="s">
        <v>19614</v>
      </c>
      <c r="AM1653">
        <v>11244</v>
      </c>
      <c r="AS1653">
        <v>0</v>
      </c>
      <c r="AU1653" t="s">
        <v>20647</v>
      </c>
      <c r="AV1653" t="s">
        <v>20733</v>
      </c>
    </row>
    <row r="1654" spans="1:48">
      <c r="A1654" s="1">
        <f>HYPERLINK("https://lsnyc.legalserver.org/matter/dynamic-profile/view/1860899","18-1860899")</f>
        <v>0</v>
      </c>
      <c r="B1654" t="s">
        <v>111</v>
      </c>
      <c r="C1654" t="s">
        <v>256</v>
      </c>
      <c r="D1654" t="s">
        <v>450</v>
      </c>
      <c r="F1654" t="s">
        <v>1238</v>
      </c>
      <c r="G1654" t="s">
        <v>3838</v>
      </c>
      <c r="H1654" t="s">
        <v>6606</v>
      </c>
      <c r="I1654" t="s">
        <v>8124</v>
      </c>
      <c r="J1654" t="s">
        <v>9065</v>
      </c>
      <c r="K1654">
        <v>10453</v>
      </c>
      <c r="L1654" t="s">
        <v>9094</v>
      </c>
      <c r="M1654" t="s">
        <v>9095</v>
      </c>
      <c r="N1654" t="s">
        <v>9809</v>
      </c>
      <c r="O1654" t="s">
        <v>11129</v>
      </c>
      <c r="P1654" t="s">
        <v>11165</v>
      </c>
      <c r="R1654" t="s">
        <v>11180</v>
      </c>
      <c r="S1654" t="s">
        <v>9096</v>
      </c>
      <c r="T1654" t="s">
        <v>11183</v>
      </c>
      <c r="V1654" t="s">
        <v>882</v>
      </c>
      <c r="W1654">
        <v>1437.99</v>
      </c>
      <c r="X1654" t="s">
        <v>11333</v>
      </c>
      <c r="Y1654" t="s">
        <v>11340</v>
      </c>
      <c r="Z1654" t="s">
        <v>12510</v>
      </c>
      <c r="AA1654" t="s">
        <v>15588</v>
      </c>
      <c r="AC1654">
        <v>101</v>
      </c>
      <c r="AD1654" t="s">
        <v>19566</v>
      </c>
      <c r="AE1654" t="s">
        <v>19580</v>
      </c>
      <c r="AF1654">
        <v>13</v>
      </c>
      <c r="AG1654">
        <v>1</v>
      </c>
      <c r="AH1654">
        <v>3</v>
      </c>
      <c r="AI1654">
        <v>66.5</v>
      </c>
      <c r="AL1654" t="s">
        <v>19614</v>
      </c>
      <c r="AM1654">
        <v>25488</v>
      </c>
      <c r="AS1654">
        <v>137.85</v>
      </c>
      <c r="AT1654" t="s">
        <v>598</v>
      </c>
      <c r="AU1654" t="s">
        <v>20642</v>
      </c>
    </row>
    <row r="1655" spans="1:48">
      <c r="A1655" s="1">
        <f>HYPERLINK("https://lsnyc.legalserver.org/matter/dynamic-profile/view/1860927","18-1860927")</f>
        <v>0</v>
      </c>
      <c r="B1655" t="s">
        <v>111</v>
      </c>
      <c r="C1655" t="s">
        <v>256</v>
      </c>
      <c r="D1655" t="s">
        <v>450</v>
      </c>
      <c r="F1655" t="s">
        <v>1238</v>
      </c>
      <c r="G1655" t="s">
        <v>3838</v>
      </c>
      <c r="H1655" t="s">
        <v>6606</v>
      </c>
      <c r="I1655" t="s">
        <v>8124</v>
      </c>
      <c r="J1655" t="s">
        <v>9065</v>
      </c>
      <c r="K1655">
        <v>10453</v>
      </c>
      <c r="L1655" t="s">
        <v>9094</v>
      </c>
      <c r="M1655" t="s">
        <v>9095</v>
      </c>
      <c r="O1655" t="s">
        <v>11139</v>
      </c>
      <c r="P1655" t="s">
        <v>11166</v>
      </c>
      <c r="R1655" t="s">
        <v>11180</v>
      </c>
      <c r="T1655" t="s">
        <v>11184</v>
      </c>
      <c r="V1655" t="s">
        <v>745</v>
      </c>
      <c r="W1655">
        <v>0</v>
      </c>
      <c r="X1655" t="s">
        <v>11333</v>
      </c>
      <c r="Z1655" t="s">
        <v>12510</v>
      </c>
      <c r="AA1655" t="s">
        <v>15588</v>
      </c>
      <c r="AC1655">
        <v>0</v>
      </c>
      <c r="AD1655" t="s">
        <v>19566</v>
      </c>
      <c r="AF1655">
        <v>15</v>
      </c>
      <c r="AG1655">
        <v>1</v>
      </c>
      <c r="AH1655">
        <v>3</v>
      </c>
      <c r="AI1655">
        <v>66.5</v>
      </c>
      <c r="AL1655" t="s">
        <v>19614</v>
      </c>
      <c r="AM1655">
        <v>25488</v>
      </c>
      <c r="AS1655">
        <v>18.9</v>
      </c>
      <c r="AT1655" t="s">
        <v>906</v>
      </c>
      <c r="AU1655" t="s">
        <v>20642</v>
      </c>
    </row>
    <row r="1656" spans="1:48">
      <c r="A1656" s="1">
        <f>HYPERLINK("https://lsnyc.legalserver.org/matter/dynamic-profile/view/1886876","19-1886876")</f>
        <v>0</v>
      </c>
      <c r="B1656" t="s">
        <v>113</v>
      </c>
      <c r="C1656" t="s">
        <v>256</v>
      </c>
      <c r="D1656" t="s">
        <v>611</v>
      </c>
      <c r="F1656" t="s">
        <v>1945</v>
      </c>
      <c r="G1656" t="s">
        <v>4122</v>
      </c>
      <c r="H1656" t="s">
        <v>5864</v>
      </c>
      <c r="I1656" t="s">
        <v>8382</v>
      </c>
      <c r="J1656" t="s">
        <v>9065</v>
      </c>
      <c r="K1656">
        <v>10460</v>
      </c>
      <c r="L1656" t="s">
        <v>9094</v>
      </c>
      <c r="M1656" t="s">
        <v>9096</v>
      </c>
      <c r="N1656" t="s">
        <v>9222</v>
      </c>
      <c r="O1656" t="s">
        <v>11130</v>
      </c>
      <c r="P1656" t="s">
        <v>11165</v>
      </c>
      <c r="R1656" t="s">
        <v>11180</v>
      </c>
      <c r="S1656" t="s">
        <v>9094</v>
      </c>
      <c r="T1656" t="s">
        <v>11183</v>
      </c>
      <c r="V1656" t="s">
        <v>11218</v>
      </c>
      <c r="W1656">
        <v>832.5</v>
      </c>
      <c r="X1656" t="s">
        <v>11333</v>
      </c>
      <c r="Y1656" t="s">
        <v>11346</v>
      </c>
      <c r="Z1656" t="s">
        <v>12484</v>
      </c>
      <c r="AB1656" t="s">
        <v>16885</v>
      </c>
      <c r="AC1656">
        <v>169</v>
      </c>
      <c r="AD1656" t="s">
        <v>19566</v>
      </c>
      <c r="AE1656" t="s">
        <v>19580</v>
      </c>
      <c r="AF1656">
        <v>15</v>
      </c>
      <c r="AG1656">
        <v>2</v>
      </c>
      <c r="AH1656">
        <v>1</v>
      </c>
      <c r="AI1656">
        <v>66.53</v>
      </c>
      <c r="AL1656" t="s">
        <v>19614</v>
      </c>
      <c r="AM1656">
        <v>13824</v>
      </c>
      <c r="AN1656" t="s">
        <v>19812</v>
      </c>
      <c r="AS1656">
        <v>0</v>
      </c>
      <c r="AU1656" t="s">
        <v>163</v>
      </c>
      <c r="AV1656" t="s">
        <v>20733</v>
      </c>
    </row>
    <row r="1657" spans="1:48">
      <c r="A1657" s="1">
        <f>HYPERLINK("https://lsnyc.legalserver.org/matter/dynamic-profile/view/1911480","19-1911480")</f>
        <v>0</v>
      </c>
      <c r="B1657" t="s">
        <v>137</v>
      </c>
      <c r="C1657" t="s">
        <v>256</v>
      </c>
      <c r="D1657" t="s">
        <v>362</v>
      </c>
      <c r="F1657" t="s">
        <v>1958</v>
      </c>
      <c r="G1657" t="s">
        <v>4140</v>
      </c>
      <c r="H1657" t="s">
        <v>6607</v>
      </c>
      <c r="I1657">
        <v>611</v>
      </c>
      <c r="J1657" t="s">
        <v>9067</v>
      </c>
      <c r="K1657">
        <v>10032</v>
      </c>
      <c r="L1657" t="s">
        <v>9094</v>
      </c>
      <c r="M1657" t="s">
        <v>9095</v>
      </c>
      <c r="N1657" t="s">
        <v>9810</v>
      </c>
      <c r="O1657" t="s">
        <v>11128</v>
      </c>
      <c r="P1657" t="s">
        <v>11169</v>
      </c>
      <c r="R1657" t="s">
        <v>11180</v>
      </c>
      <c r="S1657" t="s">
        <v>9096</v>
      </c>
      <c r="T1657" t="s">
        <v>11183</v>
      </c>
      <c r="V1657" t="s">
        <v>362</v>
      </c>
      <c r="W1657">
        <v>156</v>
      </c>
      <c r="X1657" t="s">
        <v>11335</v>
      </c>
      <c r="Y1657" t="s">
        <v>11338</v>
      </c>
      <c r="Z1657" t="s">
        <v>12511</v>
      </c>
      <c r="AB1657" t="s">
        <v>16908</v>
      </c>
      <c r="AC1657">
        <v>13</v>
      </c>
      <c r="AD1657" t="s">
        <v>19566</v>
      </c>
      <c r="AE1657" t="s">
        <v>19580</v>
      </c>
      <c r="AF1657">
        <v>4</v>
      </c>
      <c r="AG1657">
        <v>1</v>
      </c>
      <c r="AH1657">
        <v>0</v>
      </c>
      <c r="AI1657">
        <v>66.58</v>
      </c>
      <c r="AL1657" t="s">
        <v>19614</v>
      </c>
      <c r="AM1657">
        <v>8316</v>
      </c>
      <c r="AS1657">
        <v>4.2</v>
      </c>
      <c r="AT1657" t="s">
        <v>331</v>
      </c>
      <c r="AU1657" t="s">
        <v>130</v>
      </c>
      <c r="AV1657" t="s">
        <v>20733</v>
      </c>
    </row>
    <row r="1658" spans="1:48">
      <c r="A1658" s="1">
        <f>HYPERLINK("https://lsnyc.legalserver.org/matter/dynamic-profile/view/1914602","19-1914602")</f>
        <v>0</v>
      </c>
      <c r="B1658" t="s">
        <v>117</v>
      </c>
      <c r="C1658" t="s">
        <v>256</v>
      </c>
      <c r="D1658" t="s">
        <v>301</v>
      </c>
      <c r="F1658" t="s">
        <v>1959</v>
      </c>
      <c r="G1658" t="s">
        <v>4141</v>
      </c>
      <c r="H1658" t="s">
        <v>5983</v>
      </c>
      <c r="I1658" t="s">
        <v>8410</v>
      </c>
      <c r="J1658" t="s">
        <v>9065</v>
      </c>
      <c r="K1658">
        <v>10453</v>
      </c>
      <c r="L1658" t="s">
        <v>9094</v>
      </c>
      <c r="M1658" t="s">
        <v>9095</v>
      </c>
      <c r="P1658" t="s">
        <v>11164</v>
      </c>
      <c r="R1658" t="s">
        <v>11180</v>
      </c>
      <c r="S1658" t="s">
        <v>9096</v>
      </c>
      <c r="T1658" t="s">
        <v>11183</v>
      </c>
      <c r="W1658">
        <v>0</v>
      </c>
      <c r="X1658" t="s">
        <v>11333</v>
      </c>
      <c r="Y1658" t="s">
        <v>11346</v>
      </c>
      <c r="AB1658" t="s">
        <v>16175</v>
      </c>
      <c r="AC1658">
        <v>31</v>
      </c>
      <c r="AF1658">
        <v>0</v>
      </c>
      <c r="AG1658">
        <v>2</v>
      </c>
      <c r="AH1658">
        <v>0</v>
      </c>
      <c r="AI1658">
        <v>66.70999999999999</v>
      </c>
      <c r="AL1658" t="s">
        <v>19615</v>
      </c>
      <c r="AM1658">
        <v>11280</v>
      </c>
      <c r="AS1658">
        <v>0</v>
      </c>
      <c r="AU1658" t="s">
        <v>163</v>
      </c>
      <c r="AV1658" t="s">
        <v>20733</v>
      </c>
    </row>
    <row r="1659" spans="1:48">
      <c r="A1659" s="1">
        <f>HYPERLINK("https://lsnyc.legalserver.org/matter/dynamic-profile/view/1909961","19-1909961")</f>
        <v>0</v>
      </c>
      <c r="B1659" t="s">
        <v>117</v>
      </c>
      <c r="C1659" t="s">
        <v>257</v>
      </c>
      <c r="D1659" t="s">
        <v>806</v>
      </c>
      <c r="E1659" t="s">
        <v>341</v>
      </c>
      <c r="F1659" t="s">
        <v>1902</v>
      </c>
      <c r="G1659" t="s">
        <v>4142</v>
      </c>
      <c r="H1659" t="s">
        <v>6608</v>
      </c>
      <c r="I1659" t="s">
        <v>8151</v>
      </c>
      <c r="J1659" t="s">
        <v>9065</v>
      </c>
      <c r="K1659">
        <v>10452</v>
      </c>
      <c r="L1659" t="s">
        <v>9094</v>
      </c>
      <c r="M1659" t="s">
        <v>9095</v>
      </c>
      <c r="P1659" t="s">
        <v>11164</v>
      </c>
      <c r="Q1659" t="s">
        <v>11172</v>
      </c>
      <c r="R1659" t="s">
        <v>11180</v>
      </c>
      <c r="S1659" t="s">
        <v>9096</v>
      </c>
      <c r="T1659" t="s">
        <v>11183</v>
      </c>
      <c r="W1659">
        <v>0</v>
      </c>
      <c r="X1659" t="s">
        <v>11333</v>
      </c>
      <c r="Y1659" t="s">
        <v>11346</v>
      </c>
      <c r="Z1659" t="s">
        <v>12512</v>
      </c>
      <c r="AC1659">
        <v>63</v>
      </c>
      <c r="AD1659" t="s">
        <v>19566</v>
      </c>
      <c r="AE1659" t="s">
        <v>19582</v>
      </c>
      <c r="AF1659">
        <v>15</v>
      </c>
      <c r="AG1659">
        <v>2</v>
      </c>
      <c r="AH1659">
        <v>0</v>
      </c>
      <c r="AI1659">
        <v>66.70999999999999</v>
      </c>
      <c r="AL1659" t="s">
        <v>19615</v>
      </c>
      <c r="AM1659">
        <v>11280</v>
      </c>
      <c r="AS1659">
        <v>0.25</v>
      </c>
      <c r="AT1659" t="s">
        <v>425</v>
      </c>
      <c r="AU1659" t="s">
        <v>163</v>
      </c>
      <c r="AV1659" t="s">
        <v>20733</v>
      </c>
    </row>
    <row r="1660" spans="1:48">
      <c r="A1660" s="1">
        <f>HYPERLINK("https://lsnyc.legalserver.org/matter/dynamic-profile/view/1880652","18-1880652")</f>
        <v>0</v>
      </c>
      <c r="B1660" t="s">
        <v>68</v>
      </c>
      <c r="C1660" t="s">
        <v>256</v>
      </c>
      <c r="D1660" t="s">
        <v>477</v>
      </c>
      <c r="F1660" t="s">
        <v>1960</v>
      </c>
      <c r="G1660" t="s">
        <v>3507</v>
      </c>
      <c r="H1660" t="s">
        <v>6609</v>
      </c>
      <c r="I1660" t="s">
        <v>8481</v>
      </c>
      <c r="J1660" t="s">
        <v>9059</v>
      </c>
      <c r="K1660">
        <v>11233</v>
      </c>
      <c r="L1660" t="s">
        <v>9094</v>
      </c>
      <c r="M1660" t="s">
        <v>9094</v>
      </c>
      <c r="N1660" t="s">
        <v>9811</v>
      </c>
      <c r="O1660" t="s">
        <v>11128</v>
      </c>
      <c r="P1660" t="s">
        <v>11165</v>
      </c>
      <c r="R1660" t="s">
        <v>11180</v>
      </c>
      <c r="S1660" t="s">
        <v>9096</v>
      </c>
      <c r="T1660" t="s">
        <v>11183</v>
      </c>
      <c r="U1660" t="s">
        <v>11200</v>
      </c>
      <c r="V1660" t="s">
        <v>493</v>
      </c>
      <c r="W1660">
        <v>700</v>
      </c>
      <c r="X1660" t="s">
        <v>11332</v>
      </c>
      <c r="Y1660" t="s">
        <v>11345</v>
      </c>
      <c r="Z1660" t="s">
        <v>12513</v>
      </c>
      <c r="AB1660" t="s">
        <v>16909</v>
      </c>
      <c r="AC1660">
        <v>27</v>
      </c>
      <c r="AF1660">
        <v>10</v>
      </c>
      <c r="AG1660">
        <v>1</v>
      </c>
      <c r="AH1660">
        <v>0</v>
      </c>
      <c r="AI1660">
        <v>66.72</v>
      </c>
      <c r="AL1660" t="s">
        <v>19614</v>
      </c>
      <c r="AM1660">
        <v>8100</v>
      </c>
      <c r="AN1660" t="s">
        <v>19813</v>
      </c>
      <c r="AS1660">
        <v>37</v>
      </c>
      <c r="AT1660" t="s">
        <v>395</v>
      </c>
      <c r="AU1660" t="s">
        <v>20631</v>
      </c>
      <c r="AV1660" t="s">
        <v>20733</v>
      </c>
    </row>
    <row r="1661" spans="1:48">
      <c r="A1661" s="1">
        <f>HYPERLINK("https://lsnyc.legalserver.org/matter/dynamic-profile/view/1845259","17-1845259")</f>
        <v>0</v>
      </c>
      <c r="B1661" t="s">
        <v>76</v>
      </c>
      <c r="C1661" t="s">
        <v>257</v>
      </c>
      <c r="D1661" t="s">
        <v>399</v>
      </c>
      <c r="E1661" t="s">
        <v>328</v>
      </c>
      <c r="F1661" t="s">
        <v>1145</v>
      </c>
      <c r="G1661" t="s">
        <v>3740</v>
      </c>
      <c r="H1661" t="s">
        <v>5820</v>
      </c>
      <c r="I1661" t="s">
        <v>8181</v>
      </c>
      <c r="J1661" t="s">
        <v>9059</v>
      </c>
      <c r="K1661">
        <v>11208</v>
      </c>
      <c r="L1661" t="s">
        <v>9094</v>
      </c>
      <c r="M1661" t="s">
        <v>9095</v>
      </c>
      <c r="O1661" t="s">
        <v>11136</v>
      </c>
      <c r="P1661" t="s">
        <v>11166</v>
      </c>
      <c r="Q1661" t="s">
        <v>11173</v>
      </c>
      <c r="R1661" t="s">
        <v>11180</v>
      </c>
      <c r="S1661" t="s">
        <v>9094</v>
      </c>
      <c r="T1661" t="s">
        <v>11183</v>
      </c>
      <c r="V1661" t="s">
        <v>731</v>
      </c>
      <c r="W1661">
        <v>1034.75</v>
      </c>
      <c r="X1661" t="s">
        <v>11332</v>
      </c>
      <c r="Y1661" t="s">
        <v>11340</v>
      </c>
      <c r="Z1661" t="s">
        <v>12514</v>
      </c>
      <c r="AA1661">
        <v>4312942</v>
      </c>
      <c r="AB1661" t="s">
        <v>16910</v>
      </c>
      <c r="AC1661">
        <v>16</v>
      </c>
      <c r="AD1661" t="s">
        <v>19566</v>
      </c>
      <c r="AE1661" t="s">
        <v>19588</v>
      </c>
      <c r="AF1661">
        <v>6</v>
      </c>
      <c r="AG1661">
        <v>2</v>
      </c>
      <c r="AH1661">
        <v>0</v>
      </c>
      <c r="AI1661">
        <v>66.72</v>
      </c>
      <c r="AL1661" t="s">
        <v>19614</v>
      </c>
      <c r="AM1661">
        <v>10834.8</v>
      </c>
      <c r="AS1661">
        <v>4.33</v>
      </c>
      <c r="AT1661" t="s">
        <v>328</v>
      </c>
      <c r="AU1661" t="s">
        <v>95</v>
      </c>
    </row>
    <row r="1662" spans="1:48">
      <c r="A1662" s="1">
        <f>HYPERLINK("https://lsnyc.legalserver.org/matter/dynamic-profile/view/1882722","18-1882722")</f>
        <v>0</v>
      </c>
      <c r="B1662" t="s">
        <v>106</v>
      </c>
      <c r="C1662" t="s">
        <v>256</v>
      </c>
      <c r="D1662" t="s">
        <v>433</v>
      </c>
      <c r="F1662" t="s">
        <v>1961</v>
      </c>
      <c r="G1662" t="s">
        <v>4011</v>
      </c>
      <c r="H1662" t="s">
        <v>5874</v>
      </c>
      <c r="J1662" t="s">
        <v>9065</v>
      </c>
      <c r="K1662">
        <v>10457</v>
      </c>
      <c r="L1662" t="s">
        <v>9094</v>
      </c>
      <c r="M1662" t="s">
        <v>9094</v>
      </c>
      <c r="N1662" t="s">
        <v>9230</v>
      </c>
      <c r="O1662" t="s">
        <v>11134</v>
      </c>
      <c r="P1662" t="s">
        <v>11168</v>
      </c>
      <c r="R1662" t="s">
        <v>11180</v>
      </c>
      <c r="S1662" t="s">
        <v>9094</v>
      </c>
      <c r="T1662" t="s">
        <v>11183</v>
      </c>
      <c r="V1662" t="s">
        <v>738</v>
      </c>
      <c r="W1662">
        <v>579.97</v>
      </c>
      <c r="X1662" t="s">
        <v>11333</v>
      </c>
      <c r="Y1662" t="s">
        <v>11346</v>
      </c>
      <c r="Z1662" t="s">
        <v>12515</v>
      </c>
      <c r="AC1662">
        <v>0</v>
      </c>
      <c r="AD1662" t="s">
        <v>19566</v>
      </c>
      <c r="AE1662" t="s">
        <v>19587</v>
      </c>
      <c r="AF1662">
        <v>9</v>
      </c>
      <c r="AG1662">
        <v>1</v>
      </c>
      <c r="AH1662">
        <v>0</v>
      </c>
      <c r="AI1662">
        <v>66.72</v>
      </c>
      <c r="AL1662" t="s">
        <v>19615</v>
      </c>
      <c r="AM1662">
        <v>8100</v>
      </c>
      <c r="AS1662">
        <v>0.1</v>
      </c>
      <c r="AT1662" t="s">
        <v>492</v>
      </c>
      <c r="AU1662" t="s">
        <v>20642</v>
      </c>
    </row>
    <row r="1663" spans="1:48">
      <c r="A1663" s="1">
        <f>HYPERLINK("https://lsnyc.legalserver.org/matter/dynamic-profile/view/1882717","18-1882717")</f>
        <v>0</v>
      </c>
      <c r="B1663" t="s">
        <v>106</v>
      </c>
      <c r="C1663" t="s">
        <v>256</v>
      </c>
      <c r="D1663" t="s">
        <v>433</v>
      </c>
      <c r="F1663" t="s">
        <v>1961</v>
      </c>
      <c r="G1663" t="s">
        <v>4011</v>
      </c>
      <c r="H1663" t="s">
        <v>5874</v>
      </c>
      <c r="J1663" t="s">
        <v>9065</v>
      </c>
      <c r="K1663">
        <v>10457</v>
      </c>
      <c r="L1663" t="s">
        <v>9094</v>
      </c>
      <c r="M1663" t="s">
        <v>9094</v>
      </c>
      <c r="N1663" t="s">
        <v>9231</v>
      </c>
      <c r="O1663" t="s">
        <v>11130</v>
      </c>
      <c r="P1663" t="s">
        <v>11165</v>
      </c>
      <c r="R1663" t="s">
        <v>11180</v>
      </c>
      <c r="S1663" t="s">
        <v>9094</v>
      </c>
      <c r="T1663" t="s">
        <v>11183</v>
      </c>
      <c r="V1663" t="s">
        <v>738</v>
      </c>
      <c r="W1663">
        <v>529.97</v>
      </c>
      <c r="X1663" t="s">
        <v>11333</v>
      </c>
      <c r="Y1663" t="s">
        <v>11346</v>
      </c>
      <c r="Z1663" t="s">
        <v>12515</v>
      </c>
      <c r="AC1663">
        <v>47</v>
      </c>
      <c r="AD1663" t="s">
        <v>19566</v>
      </c>
      <c r="AE1663" t="s">
        <v>19587</v>
      </c>
      <c r="AF1663">
        <v>9</v>
      </c>
      <c r="AG1663">
        <v>1</v>
      </c>
      <c r="AH1663">
        <v>0</v>
      </c>
      <c r="AI1663">
        <v>66.72</v>
      </c>
      <c r="AL1663" t="s">
        <v>19615</v>
      </c>
      <c r="AM1663">
        <v>8100</v>
      </c>
      <c r="AS1663">
        <v>0.5</v>
      </c>
      <c r="AT1663" t="s">
        <v>403</v>
      </c>
      <c r="AU1663" t="s">
        <v>20642</v>
      </c>
    </row>
    <row r="1664" spans="1:48">
      <c r="A1664" s="1">
        <f>HYPERLINK("https://lsnyc.legalserver.org/matter/dynamic-profile/view/1888465","19-1888465")</f>
        <v>0</v>
      </c>
      <c r="B1664" t="s">
        <v>119</v>
      </c>
      <c r="C1664" t="s">
        <v>257</v>
      </c>
      <c r="D1664" t="s">
        <v>582</v>
      </c>
      <c r="E1664" t="s">
        <v>664</v>
      </c>
      <c r="F1664" t="s">
        <v>1411</v>
      </c>
      <c r="G1664" t="s">
        <v>3550</v>
      </c>
      <c r="H1664" t="s">
        <v>6610</v>
      </c>
      <c r="I1664" t="s">
        <v>8482</v>
      </c>
      <c r="J1664" t="s">
        <v>9065</v>
      </c>
      <c r="K1664">
        <v>10452</v>
      </c>
      <c r="L1664" t="s">
        <v>9094</v>
      </c>
      <c r="M1664" t="s">
        <v>9094</v>
      </c>
      <c r="O1664" t="s">
        <v>11130</v>
      </c>
      <c r="P1664" t="s">
        <v>11164</v>
      </c>
      <c r="Q1664" t="s">
        <v>11172</v>
      </c>
      <c r="R1664" t="s">
        <v>11180</v>
      </c>
      <c r="S1664" t="s">
        <v>9096</v>
      </c>
      <c r="T1664" t="s">
        <v>11183</v>
      </c>
      <c r="V1664" t="s">
        <v>582</v>
      </c>
      <c r="W1664">
        <v>1793.98</v>
      </c>
      <c r="X1664" t="s">
        <v>11333</v>
      </c>
      <c r="Y1664" t="s">
        <v>11346</v>
      </c>
      <c r="Z1664" t="s">
        <v>12516</v>
      </c>
      <c r="AA1664">
        <v>16069736</v>
      </c>
      <c r="AB1664" t="s">
        <v>16911</v>
      </c>
      <c r="AC1664">
        <v>211</v>
      </c>
      <c r="AD1664" t="s">
        <v>19566</v>
      </c>
      <c r="AE1664" t="s">
        <v>19580</v>
      </c>
      <c r="AF1664">
        <v>16</v>
      </c>
      <c r="AG1664">
        <v>1</v>
      </c>
      <c r="AH1664">
        <v>0</v>
      </c>
      <c r="AI1664">
        <v>66.72</v>
      </c>
      <c r="AL1664" t="s">
        <v>19614</v>
      </c>
      <c r="AM1664">
        <v>8100</v>
      </c>
      <c r="AS1664">
        <v>0.5</v>
      </c>
      <c r="AT1664" t="s">
        <v>664</v>
      </c>
      <c r="AU1664" t="s">
        <v>163</v>
      </c>
    </row>
    <row r="1665" spans="1:48">
      <c r="A1665" s="1">
        <f>HYPERLINK("https://lsnyc.legalserver.org/matter/dynamic-profile/view/1864819","18-1864819")</f>
        <v>0</v>
      </c>
      <c r="B1665" t="s">
        <v>136</v>
      </c>
      <c r="C1665" t="s">
        <v>256</v>
      </c>
      <c r="D1665" t="s">
        <v>518</v>
      </c>
      <c r="F1665" t="s">
        <v>1962</v>
      </c>
      <c r="G1665" t="s">
        <v>3486</v>
      </c>
      <c r="H1665" t="s">
        <v>5961</v>
      </c>
      <c r="I1665">
        <v>707</v>
      </c>
      <c r="J1665" t="s">
        <v>9067</v>
      </c>
      <c r="K1665">
        <v>10029</v>
      </c>
      <c r="L1665" t="s">
        <v>9094</v>
      </c>
      <c r="M1665" t="s">
        <v>9094</v>
      </c>
      <c r="N1665" t="s">
        <v>9287</v>
      </c>
      <c r="O1665" t="s">
        <v>11130</v>
      </c>
      <c r="P1665" t="s">
        <v>11165</v>
      </c>
      <c r="R1665" t="s">
        <v>11180</v>
      </c>
      <c r="S1665" t="s">
        <v>9094</v>
      </c>
      <c r="T1665" t="s">
        <v>11183</v>
      </c>
      <c r="U1665" t="s">
        <v>11201</v>
      </c>
      <c r="V1665" t="s">
        <v>518</v>
      </c>
      <c r="W1665">
        <v>2100</v>
      </c>
      <c r="X1665" t="s">
        <v>11335</v>
      </c>
      <c r="Y1665" t="s">
        <v>11339</v>
      </c>
      <c r="Z1665" t="s">
        <v>11362</v>
      </c>
      <c r="AB1665" t="s">
        <v>16912</v>
      </c>
      <c r="AC1665">
        <v>108</v>
      </c>
      <c r="AD1665" t="s">
        <v>19567</v>
      </c>
      <c r="AE1665" t="s">
        <v>19580</v>
      </c>
      <c r="AF1665">
        <v>2</v>
      </c>
      <c r="AG1665">
        <v>1</v>
      </c>
      <c r="AH1665">
        <v>1</v>
      </c>
      <c r="AI1665">
        <v>66.83</v>
      </c>
      <c r="AL1665" t="s">
        <v>19614</v>
      </c>
      <c r="AM1665">
        <v>11000</v>
      </c>
      <c r="AS1665">
        <v>0</v>
      </c>
      <c r="AU1665" t="s">
        <v>20657</v>
      </c>
    </row>
    <row r="1666" spans="1:48">
      <c r="A1666" s="1">
        <f>HYPERLINK("https://lsnyc.legalserver.org/matter/dynamic-profile/view/1912655","19-1912655")</f>
        <v>0</v>
      </c>
      <c r="B1666" t="s">
        <v>110</v>
      </c>
      <c r="C1666" t="s">
        <v>256</v>
      </c>
      <c r="D1666" t="s">
        <v>570</v>
      </c>
      <c r="F1666" t="s">
        <v>1963</v>
      </c>
      <c r="G1666" t="s">
        <v>3419</v>
      </c>
      <c r="H1666" t="s">
        <v>6611</v>
      </c>
      <c r="I1666" t="s">
        <v>8212</v>
      </c>
      <c r="J1666" t="s">
        <v>9065</v>
      </c>
      <c r="K1666">
        <v>10472</v>
      </c>
      <c r="L1666" t="s">
        <v>9094</v>
      </c>
      <c r="M1666" t="s">
        <v>9095</v>
      </c>
      <c r="O1666" t="s">
        <v>9121</v>
      </c>
      <c r="P1666" t="s">
        <v>11164</v>
      </c>
      <c r="R1666" t="s">
        <v>11180</v>
      </c>
      <c r="S1666" t="s">
        <v>9096</v>
      </c>
      <c r="T1666" t="s">
        <v>11183</v>
      </c>
      <c r="W1666">
        <v>905.4</v>
      </c>
      <c r="X1666" t="s">
        <v>11333</v>
      </c>
      <c r="Y1666" t="s">
        <v>11346</v>
      </c>
      <c r="Z1666" t="s">
        <v>12190</v>
      </c>
      <c r="AB1666" t="s">
        <v>16913</v>
      </c>
      <c r="AC1666">
        <v>54</v>
      </c>
      <c r="AD1666" t="s">
        <v>19566</v>
      </c>
      <c r="AE1666" t="s">
        <v>9144</v>
      </c>
      <c r="AF1666">
        <v>26</v>
      </c>
      <c r="AG1666">
        <v>2</v>
      </c>
      <c r="AH1666">
        <v>0</v>
      </c>
      <c r="AI1666">
        <v>66.84999999999999</v>
      </c>
      <c r="AL1666" t="s">
        <v>19614</v>
      </c>
      <c r="AM1666">
        <v>11304.7</v>
      </c>
      <c r="AS1666">
        <v>1</v>
      </c>
      <c r="AT1666" t="s">
        <v>570</v>
      </c>
      <c r="AU1666" t="s">
        <v>110</v>
      </c>
      <c r="AV1666" t="s">
        <v>20733</v>
      </c>
    </row>
    <row r="1667" spans="1:48">
      <c r="A1667" s="1">
        <f>HYPERLINK("https://lsnyc.legalserver.org/matter/dynamic-profile/view/1887301","19-1887301")</f>
        <v>0</v>
      </c>
      <c r="B1667" t="s">
        <v>115</v>
      </c>
      <c r="C1667" t="s">
        <v>257</v>
      </c>
      <c r="D1667" t="s">
        <v>402</v>
      </c>
      <c r="E1667" t="s">
        <v>410</v>
      </c>
      <c r="F1667" t="s">
        <v>1950</v>
      </c>
      <c r="G1667" t="s">
        <v>4128</v>
      </c>
      <c r="H1667" t="s">
        <v>6092</v>
      </c>
      <c r="I1667" t="s">
        <v>8279</v>
      </c>
      <c r="J1667" t="s">
        <v>9065</v>
      </c>
      <c r="K1667">
        <v>10459</v>
      </c>
      <c r="L1667" t="s">
        <v>9094</v>
      </c>
      <c r="M1667" t="s">
        <v>9094</v>
      </c>
      <c r="N1667" t="s">
        <v>9812</v>
      </c>
      <c r="O1667" t="s">
        <v>11130</v>
      </c>
      <c r="P1667" t="s">
        <v>11165</v>
      </c>
      <c r="Q1667" t="s">
        <v>11174</v>
      </c>
      <c r="R1667" t="s">
        <v>11180</v>
      </c>
      <c r="S1667" t="s">
        <v>9094</v>
      </c>
      <c r="T1667" t="s">
        <v>11183</v>
      </c>
      <c r="V1667" t="s">
        <v>553</v>
      </c>
      <c r="W1667">
        <v>1442</v>
      </c>
      <c r="X1667" t="s">
        <v>11333</v>
      </c>
      <c r="Y1667" t="s">
        <v>11346</v>
      </c>
      <c r="Z1667" t="s">
        <v>12494</v>
      </c>
      <c r="AA1667" t="s">
        <v>15583</v>
      </c>
      <c r="AB1667" t="s">
        <v>16894</v>
      </c>
      <c r="AC1667">
        <v>42</v>
      </c>
      <c r="AD1667" t="s">
        <v>19571</v>
      </c>
      <c r="AE1667" t="s">
        <v>19584</v>
      </c>
      <c r="AF1667">
        <v>23</v>
      </c>
      <c r="AG1667">
        <v>2</v>
      </c>
      <c r="AH1667">
        <v>2</v>
      </c>
      <c r="AI1667">
        <v>66.93000000000001</v>
      </c>
      <c r="AL1667" t="s">
        <v>19614</v>
      </c>
      <c r="AM1667">
        <v>16800</v>
      </c>
      <c r="AS1667">
        <v>3.9</v>
      </c>
      <c r="AT1667" t="s">
        <v>410</v>
      </c>
      <c r="AU1667" t="s">
        <v>163</v>
      </c>
      <c r="AV1667" t="s">
        <v>20734</v>
      </c>
    </row>
    <row r="1668" spans="1:48">
      <c r="A1668" s="1">
        <f>HYPERLINK("https://lsnyc.legalserver.org/matter/dynamic-profile/view/1886203","18-1886203")</f>
        <v>0</v>
      </c>
      <c r="B1668" t="s">
        <v>115</v>
      </c>
      <c r="C1668" t="s">
        <v>256</v>
      </c>
      <c r="D1668" t="s">
        <v>516</v>
      </c>
      <c r="F1668" t="s">
        <v>1950</v>
      </c>
      <c r="G1668" t="s">
        <v>4128</v>
      </c>
      <c r="H1668" t="s">
        <v>6092</v>
      </c>
      <c r="I1668" t="s">
        <v>8279</v>
      </c>
      <c r="J1668" t="s">
        <v>9065</v>
      </c>
      <c r="K1668">
        <v>10459</v>
      </c>
      <c r="L1668" t="s">
        <v>9094</v>
      </c>
      <c r="M1668" t="s">
        <v>9094</v>
      </c>
      <c r="N1668" t="s">
        <v>9813</v>
      </c>
      <c r="O1668" t="s">
        <v>11129</v>
      </c>
      <c r="P1668" t="s">
        <v>11165</v>
      </c>
      <c r="R1668" t="s">
        <v>11180</v>
      </c>
      <c r="S1668" t="s">
        <v>9096</v>
      </c>
      <c r="T1668" t="s">
        <v>11183</v>
      </c>
      <c r="V1668" t="s">
        <v>516</v>
      </c>
      <c r="W1668">
        <v>1442</v>
      </c>
      <c r="X1668" t="s">
        <v>11333</v>
      </c>
      <c r="Y1668" t="s">
        <v>11346</v>
      </c>
      <c r="Z1668" t="s">
        <v>12494</v>
      </c>
      <c r="AA1668" t="s">
        <v>15583</v>
      </c>
      <c r="AB1668" t="s">
        <v>16894</v>
      </c>
      <c r="AC1668">
        <v>42</v>
      </c>
      <c r="AD1668" t="s">
        <v>19571</v>
      </c>
      <c r="AE1668" t="s">
        <v>19584</v>
      </c>
      <c r="AF1668">
        <v>23</v>
      </c>
      <c r="AG1668">
        <v>2</v>
      </c>
      <c r="AH1668">
        <v>2</v>
      </c>
      <c r="AI1668">
        <v>66.93000000000001</v>
      </c>
      <c r="AL1668" t="s">
        <v>19614</v>
      </c>
      <c r="AM1668">
        <v>16800</v>
      </c>
      <c r="AS1668">
        <v>70.59999999999999</v>
      </c>
      <c r="AT1668" t="s">
        <v>487</v>
      </c>
      <c r="AU1668" t="s">
        <v>163</v>
      </c>
    </row>
    <row r="1669" spans="1:48">
      <c r="A1669" s="1">
        <f>HYPERLINK("https://lsnyc.legalserver.org/matter/dynamic-profile/view/1870205","18-1870205")</f>
        <v>0</v>
      </c>
      <c r="B1669" t="s">
        <v>111</v>
      </c>
      <c r="C1669" t="s">
        <v>256</v>
      </c>
      <c r="D1669" t="s">
        <v>365</v>
      </c>
      <c r="F1669" t="s">
        <v>1964</v>
      </c>
      <c r="G1669" t="s">
        <v>4143</v>
      </c>
      <c r="H1669" t="s">
        <v>6612</v>
      </c>
      <c r="I1669">
        <v>5</v>
      </c>
      <c r="J1669" t="s">
        <v>9065</v>
      </c>
      <c r="K1669">
        <v>10452</v>
      </c>
      <c r="L1669" t="s">
        <v>9094</v>
      </c>
      <c r="M1669" t="s">
        <v>9094</v>
      </c>
      <c r="N1669" t="s">
        <v>9814</v>
      </c>
      <c r="O1669" t="s">
        <v>11151</v>
      </c>
      <c r="P1669" t="s">
        <v>11168</v>
      </c>
      <c r="R1669" t="s">
        <v>11180</v>
      </c>
      <c r="S1669" t="s">
        <v>9096</v>
      </c>
      <c r="T1669" t="s">
        <v>11183</v>
      </c>
      <c r="U1669" t="s">
        <v>11201</v>
      </c>
      <c r="V1669" t="s">
        <v>572</v>
      </c>
      <c r="W1669">
        <v>1396.61</v>
      </c>
      <c r="X1669" t="s">
        <v>11333</v>
      </c>
      <c r="Y1669" t="s">
        <v>11340</v>
      </c>
      <c r="Z1669" t="s">
        <v>11965</v>
      </c>
      <c r="AA1669" t="s">
        <v>15589</v>
      </c>
      <c r="AB1669" t="s">
        <v>16914</v>
      </c>
      <c r="AC1669">
        <v>35</v>
      </c>
      <c r="AD1669" t="s">
        <v>15441</v>
      </c>
      <c r="AE1669" t="s">
        <v>19580</v>
      </c>
      <c r="AF1669">
        <v>18</v>
      </c>
      <c r="AG1669">
        <v>1</v>
      </c>
      <c r="AH1669">
        <v>1</v>
      </c>
      <c r="AI1669">
        <v>66.93000000000001</v>
      </c>
      <c r="AL1669" t="s">
        <v>19614</v>
      </c>
      <c r="AM1669">
        <v>11016</v>
      </c>
      <c r="AS1669">
        <v>12.9</v>
      </c>
      <c r="AT1669" t="s">
        <v>554</v>
      </c>
      <c r="AU1669" t="s">
        <v>20635</v>
      </c>
    </row>
    <row r="1670" spans="1:48">
      <c r="A1670" s="1">
        <f>HYPERLINK("https://lsnyc.legalserver.org/matter/dynamic-profile/view/1913384","19-1913384")</f>
        <v>0</v>
      </c>
      <c r="B1670" t="s">
        <v>115</v>
      </c>
      <c r="C1670" t="s">
        <v>256</v>
      </c>
      <c r="D1670" t="s">
        <v>286</v>
      </c>
      <c r="F1670" t="s">
        <v>1146</v>
      </c>
      <c r="G1670" t="s">
        <v>3419</v>
      </c>
      <c r="H1670" t="s">
        <v>5887</v>
      </c>
      <c r="I1670" t="s">
        <v>8483</v>
      </c>
      <c r="J1670" t="s">
        <v>9065</v>
      </c>
      <c r="K1670">
        <v>10453</v>
      </c>
      <c r="L1670" t="s">
        <v>9094</v>
      </c>
      <c r="M1670" t="s">
        <v>9095</v>
      </c>
      <c r="P1670" t="s">
        <v>11164</v>
      </c>
      <c r="R1670" t="s">
        <v>11180</v>
      </c>
      <c r="S1670" t="s">
        <v>9096</v>
      </c>
      <c r="T1670" t="s">
        <v>11183</v>
      </c>
      <c r="U1670" t="s">
        <v>11201</v>
      </c>
      <c r="W1670">
        <v>750.73</v>
      </c>
      <c r="X1670" t="s">
        <v>11333</v>
      </c>
      <c r="Y1670" t="s">
        <v>11339</v>
      </c>
      <c r="Z1670" t="s">
        <v>11927</v>
      </c>
      <c r="AB1670" t="s">
        <v>16915</v>
      </c>
      <c r="AC1670">
        <v>0</v>
      </c>
      <c r="AD1670" t="s">
        <v>19566</v>
      </c>
      <c r="AE1670" t="s">
        <v>19580</v>
      </c>
      <c r="AF1670">
        <v>2</v>
      </c>
      <c r="AG1670">
        <v>2</v>
      </c>
      <c r="AH1670">
        <v>1</v>
      </c>
      <c r="AI1670">
        <v>67.04000000000001</v>
      </c>
      <c r="AL1670" t="s">
        <v>19614</v>
      </c>
      <c r="AM1670">
        <v>14300</v>
      </c>
      <c r="AS1670">
        <v>0.1</v>
      </c>
      <c r="AT1670" t="s">
        <v>484</v>
      </c>
      <c r="AU1670" t="s">
        <v>115</v>
      </c>
      <c r="AV1670" t="s">
        <v>20733</v>
      </c>
    </row>
    <row r="1671" spans="1:48">
      <c r="A1671" s="1">
        <f>HYPERLINK("https://lsnyc.legalserver.org/matter/dynamic-profile/view/1896321","19-1896321")</f>
        <v>0</v>
      </c>
      <c r="B1671" t="s">
        <v>82</v>
      </c>
      <c r="C1671" t="s">
        <v>256</v>
      </c>
      <c r="D1671" t="s">
        <v>350</v>
      </c>
      <c r="F1671" t="s">
        <v>1951</v>
      </c>
      <c r="G1671" t="s">
        <v>4144</v>
      </c>
      <c r="H1671" t="s">
        <v>6613</v>
      </c>
      <c r="I1671">
        <v>3</v>
      </c>
      <c r="J1671" t="s">
        <v>9059</v>
      </c>
      <c r="K1671">
        <v>11203</v>
      </c>
      <c r="L1671" t="s">
        <v>9094</v>
      </c>
      <c r="M1671" t="s">
        <v>9094</v>
      </c>
      <c r="O1671" t="s">
        <v>9121</v>
      </c>
      <c r="P1671" t="s">
        <v>11164</v>
      </c>
      <c r="R1671" t="s">
        <v>11180</v>
      </c>
      <c r="S1671" t="s">
        <v>9096</v>
      </c>
      <c r="T1671" t="s">
        <v>11183</v>
      </c>
      <c r="U1671" t="s">
        <v>11201</v>
      </c>
      <c r="V1671" t="s">
        <v>512</v>
      </c>
      <c r="W1671">
        <v>796.83</v>
      </c>
      <c r="X1671" t="s">
        <v>11332</v>
      </c>
      <c r="Y1671" t="s">
        <v>11346</v>
      </c>
      <c r="Z1671" t="s">
        <v>12517</v>
      </c>
      <c r="AC1671">
        <v>6</v>
      </c>
      <c r="AD1671" t="s">
        <v>19566</v>
      </c>
      <c r="AF1671">
        <v>42</v>
      </c>
      <c r="AG1671">
        <v>1</v>
      </c>
      <c r="AH1671">
        <v>0</v>
      </c>
      <c r="AI1671">
        <v>67.06</v>
      </c>
      <c r="AL1671" t="s">
        <v>19614</v>
      </c>
      <c r="AM1671">
        <v>8376</v>
      </c>
      <c r="AS1671">
        <v>0.1</v>
      </c>
      <c r="AT1671" t="s">
        <v>299</v>
      </c>
      <c r="AU1671" t="s">
        <v>215</v>
      </c>
      <c r="AV1671" t="s">
        <v>20733</v>
      </c>
    </row>
    <row r="1672" spans="1:48">
      <c r="A1672" s="1">
        <f>HYPERLINK("https://lsnyc.legalserver.org/matter/dynamic-profile/view/0799752","16-0799752")</f>
        <v>0</v>
      </c>
      <c r="B1672" t="s">
        <v>101</v>
      </c>
      <c r="C1672" t="s">
        <v>256</v>
      </c>
      <c r="D1672" t="s">
        <v>826</v>
      </c>
      <c r="F1672" t="s">
        <v>1760</v>
      </c>
      <c r="G1672" t="s">
        <v>4145</v>
      </c>
      <c r="H1672" t="s">
        <v>5890</v>
      </c>
      <c r="I1672" t="s">
        <v>8184</v>
      </c>
      <c r="J1672" t="s">
        <v>9065</v>
      </c>
      <c r="K1672">
        <v>10453</v>
      </c>
      <c r="L1672" t="s">
        <v>9094</v>
      </c>
      <c r="M1672" t="s">
        <v>9095</v>
      </c>
      <c r="N1672" t="s">
        <v>9310</v>
      </c>
      <c r="O1672" t="s">
        <v>11147</v>
      </c>
      <c r="P1672" t="s">
        <v>11165</v>
      </c>
      <c r="R1672" t="s">
        <v>11180</v>
      </c>
      <c r="S1672" t="s">
        <v>9094</v>
      </c>
      <c r="T1672" t="s">
        <v>11183</v>
      </c>
      <c r="V1672" t="s">
        <v>1113</v>
      </c>
      <c r="W1672">
        <v>1050</v>
      </c>
      <c r="X1672" t="s">
        <v>11333</v>
      </c>
      <c r="Y1672" t="s">
        <v>11346</v>
      </c>
      <c r="Z1672" t="s">
        <v>12518</v>
      </c>
      <c r="AC1672">
        <v>0</v>
      </c>
      <c r="AD1672" t="s">
        <v>19566</v>
      </c>
      <c r="AF1672">
        <v>1</v>
      </c>
      <c r="AG1672">
        <v>1</v>
      </c>
      <c r="AH1672">
        <v>2</v>
      </c>
      <c r="AI1672">
        <v>67.06</v>
      </c>
      <c r="AL1672" t="s">
        <v>19614</v>
      </c>
      <c r="AM1672">
        <v>13520</v>
      </c>
      <c r="AS1672">
        <v>0.5</v>
      </c>
      <c r="AT1672" t="s">
        <v>633</v>
      </c>
      <c r="AU1672" t="s">
        <v>109</v>
      </c>
    </row>
    <row r="1673" spans="1:48">
      <c r="A1673" s="1">
        <f>HYPERLINK("https://lsnyc.legalserver.org/matter/dynamic-profile/view/1897018","19-1897018")</f>
        <v>0</v>
      </c>
      <c r="B1673" t="s">
        <v>72</v>
      </c>
      <c r="C1673" t="s">
        <v>257</v>
      </c>
      <c r="D1673" t="s">
        <v>296</v>
      </c>
      <c r="E1673" t="s">
        <v>329</v>
      </c>
      <c r="F1673" t="s">
        <v>1965</v>
      </c>
      <c r="G1673" t="s">
        <v>3058</v>
      </c>
      <c r="H1673" t="s">
        <v>6614</v>
      </c>
      <c r="I1673" t="s">
        <v>8352</v>
      </c>
      <c r="J1673" t="s">
        <v>9059</v>
      </c>
      <c r="K1673">
        <v>11217</v>
      </c>
      <c r="L1673" t="s">
        <v>9094</v>
      </c>
      <c r="M1673" t="s">
        <v>9096</v>
      </c>
      <c r="N1673" t="s">
        <v>9154</v>
      </c>
      <c r="O1673" t="s">
        <v>11136</v>
      </c>
      <c r="P1673" t="s">
        <v>11167</v>
      </c>
      <c r="Q1673" t="s">
        <v>11172</v>
      </c>
      <c r="R1673" t="s">
        <v>11180</v>
      </c>
      <c r="S1673" t="s">
        <v>9096</v>
      </c>
      <c r="T1673" t="s">
        <v>11183</v>
      </c>
      <c r="U1673" t="s">
        <v>11201</v>
      </c>
      <c r="V1673" t="s">
        <v>493</v>
      </c>
      <c r="W1673">
        <v>2019.37</v>
      </c>
      <c r="X1673" t="s">
        <v>11332</v>
      </c>
      <c r="Y1673" t="s">
        <v>11337</v>
      </c>
      <c r="Z1673" t="s">
        <v>12519</v>
      </c>
      <c r="AB1673" t="s">
        <v>16916</v>
      </c>
      <c r="AC1673">
        <v>363</v>
      </c>
      <c r="AD1673" t="s">
        <v>19566</v>
      </c>
      <c r="AE1673" t="s">
        <v>19586</v>
      </c>
      <c r="AF1673">
        <v>2</v>
      </c>
      <c r="AG1673">
        <v>1</v>
      </c>
      <c r="AH1673">
        <v>0</v>
      </c>
      <c r="AI1673">
        <v>67.25</v>
      </c>
      <c r="AL1673" t="s">
        <v>19614</v>
      </c>
      <c r="AM1673">
        <v>8400</v>
      </c>
      <c r="AS1673">
        <v>5.45</v>
      </c>
      <c r="AT1673" t="s">
        <v>329</v>
      </c>
      <c r="AU1673" t="s">
        <v>95</v>
      </c>
      <c r="AV1673" t="s">
        <v>20733</v>
      </c>
    </row>
    <row r="1674" spans="1:48">
      <c r="A1674" s="1">
        <f>HYPERLINK("https://lsnyc.legalserver.org/matter/dynamic-profile/view/1890137","19-1890137")</f>
        <v>0</v>
      </c>
      <c r="B1674" t="s">
        <v>165</v>
      </c>
      <c r="C1674" t="s">
        <v>257</v>
      </c>
      <c r="D1674" t="s">
        <v>577</v>
      </c>
      <c r="E1674" t="s">
        <v>457</v>
      </c>
      <c r="F1674" t="s">
        <v>1442</v>
      </c>
      <c r="G1674" t="s">
        <v>4146</v>
      </c>
      <c r="H1674" t="s">
        <v>6615</v>
      </c>
      <c r="I1674" t="s">
        <v>8259</v>
      </c>
      <c r="J1674" t="s">
        <v>9059</v>
      </c>
      <c r="K1674">
        <v>11212</v>
      </c>
      <c r="L1674" t="s">
        <v>9094</v>
      </c>
      <c r="M1674" t="s">
        <v>9094</v>
      </c>
      <c r="N1674" t="s">
        <v>9171</v>
      </c>
      <c r="O1674" t="s">
        <v>11130</v>
      </c>
      <c r="P1674" t="s">
        <v>11164</v>
      </c>
      <c r="Q1674" t="s">
        <v>11172</v>
      </c>
      <c r="R1674" t="s">
        <v>11180</v>
      </c>
      <c r="S1674" t="s">
        <v>9094</v>
      </c>
      <c r="T1674" t="s">
        <v>11183</v>
      </c>
      <c r="U1674" t="s">
        <v>11201</v>
      </c>
      <c r="V1674" t="s">
        <v>391</v>
      </c>
      <c r="W1674">
        <v>1000</v>
      </c>
      <c r="X1674" t="s">
        <v>11332</v>
      </c>
      <c r="Y1674" t="s">
        <v>11346</v>
      </c>
      <c r="Z1674" t="s">
        <v>12520</v>
      </c>
      <c r="AC1674">
        <v>71</v>
      </c>
      <c r="AD1674" t="s">
        <v>19566</v>
      </c>
      <c r="AE1674" t="s">
        <v>19580</v>
      </c>
      <c r="AF1674">
        <v>45</v>
      </c>
      <c r="AG1674">
        <v>1</v>
      </c>
      <c r="AH1674">
        <v>0</v>
      </c>
      <c r="AI1674">
        <v>67.25</v>
      </c>
      <c r="AL1674" t="s">
        <v>19614</v>
      </c>
      <c r="AM1674">
        <v>8400</v>
      </c>
      <c r="AS1674">
        <v>0.1</v>
      </c>
      <c r="AT1674" t="s">
        <v>457</v>
      </c>
      <c r="AU1674" t="s">
        <v>95</v>
      </c>
    </row>
    <row r="1675" spans="1:48">
      <c r="A1675" s="1">
        <f>HYPERLINK("https://lsnyc.legalserver.org/matter/dynamic-profile/view/1907513","19-1907513")</f>
        <v>0</v>
      </c>
      <c r="B1675" t="s">
        <v>174</v>
      </c>
      <c r="C1675" t="s">
        <v>256</v>
      </c>
      <c r="D1675" t="s">
        <v>275</v>
      </c>
      <c r="F1675" t="s">
        <v>1545</v>
      </c>
      <c r="G1675" t="s">
        <v>3477</v>
      </c>
      <c r="H1675" t="s">
        <v>6616</v>
      </c>
      <c r="I1675" t="s">
        <v>8178</v>
      </c>
      <c r="J1675" t="s">
        <v>9065</v>
      </c>
      <c r="K1675">
        <v>10452</v>
      </c>
      <c r="L1675" t="s">
        <v>9094</v>
      </c>
      <c r="M1675" t="s">
        <v>9095</v>
      </c>
      <c r="N1675" t="s">
        <v>9171</v>
      </c>
      <c r="O1675" t="s">
        <v>9121</v>
      </c>
      <c r="P1675" t="s">
        <v>11164</v>
      </c>
      <c r="R1675" t="s">
        <v>11180</v>
      </c>
      <c r="S1675" t="s">
        <v>9096</v>
      </c>
      <c r="T1675" t="s">
        <v>11183</v>
      </c>
      <c r="V1675" t="s">
        <v>11207</v>
      </c>
      <c r="W1675">
        <v>125</v>
      </c>
      <c r="X1675" t="s">
        <v>11333</v>
      </c>
      <c r="Y1675" t="s">
        <v>11340</v>
      </c>
      <c r="Z1675" t="s">
        <v>12521</v>
      </c>
      <c r="AB1675" t="s">
        <v>16917</v>
      </c>
      <c r="AC1675">
        <v>42</v>
      </c>
      <c r="AD1675" t="s">
        <v>19566</v>
      </c>
      <c r="AE1675" t="s">
        <v>19584</v>
      </c>
      <c r="AF1675">
        <v>25</v>
      </c>
      <c r="AG1675">
        <v>1</v>
      </c>
      <c r="AH1675">
        <v>0</v>
      </c>
      <c r="AI1675">
        <v>67.25</v>
      </c>
      <c r="AL1675" t="s">
        <v>19614</v>
      </c>
      <c r="AM1675">
        <v>8400</v>
      </c>
      <c r="AS1675">
        <v>0.6</v>
      </c>
      <c r="AT1675" t="s">
        <v>275</v>
      </c>
      <c r="AU1675" t="s">
        <v>174</v>
      </c>
      <c r="AV1675" t="s">
        <v>20733</v>
      </c>
    </row>
    <row r="1676" spans="1:48">
      <c r="A1676" s="1">
        <f>HYPERLINK("https://lsnyc.legalserver.org/matter/dynamic-profile/view/1895976","19-1895976")</f>
        <v>0</v>
      </c>
      <c r="B1676" t="s">
        <v>108</v>
      </c>
      <c r="C1676" t="s">
        <v>257</v>
      </c>
      <c r="D1676" t="s">
        <v>300</v>
      </c>
      <c r="E1676" t="s">
        <v>832</v>
      </c>
      <c r="F1676" t="s">
        <v>1545</v>
      </c>
      <c r="G1676" t="s">
        <v>3477</v>
      </c>
      <c r="H1676" t="s">
        <v>6616</v>
      </c>
      <c r="I1676" t="s">
        <v>8178</v>
      </c>
      <c r="J1676" t="s">
        <v>9065</v>
      </c>
      <c r="K1676">
        <v>10452</v>
      </c>
      <c r="L1676" t="s">
        <v>9094</v>
      </c>
      <c r="M1676" t="s">
        <v>9095</v>
      </c>
      <c r="N1676" t="s">
        <v>9815</v>
      </c>
      <c r="O1676" t="s">
        <v>11129</v>
      </c>
      <c r="P1676" t="s">
        <v>11164</v>
      </c>
      <c r="Q1676" t="s">
        <v>11172</v>
      </c>
      <c r="R1676" t="s">
        <v>11180</v>
      </c>
      <c r="T1676" t="s">
        <v>11183</v>
      </c>
      <c r="U1676" t="s">
        <v>11199</v>
      </c>
      <c r="V1676" t="s">
        <v>11218</v>
      </c>
      <c r="W1676">
        <v>0</v>
      </c>
      <c r="X1676" t="s">
        <v>11333</v>
      </c>
      <c r="Z1676" t="s">
        <v>12521</v>
      </c>
      <c r="AB1676" t="s">
        <v>16917</v>
      </c>
      <c r="AC1676">
        <v>0</v>
      </c>
      <c r="AF1676">
        <v>0</v>
      </c>
      <c r="AG1676">
        <v>1</v>
      </c>
      <c r="AH1676">
        <v>0</v>
      </c>
      <c r="AI1676">
        <v>67.25</v>
      </c>
      <c r="AM1676">
        <v>8400</v>
      </c>
      <c r="AS1676">
        <v>0.6</v>
      </c>
      <c r="AT1676" t="s">
        <v>832</v>
      </c>
      <c r="AU1676" t="s">
        <v>108</v>
      </c>
      <c r="AV1676" t="s">
        <v>20733</v>
      </c>
    </row>
    <row r="1677" spans="1:48">
      <c r="A1677" s="1">
        <f>HYPERLINK("https://lsnyc.legalserver.org/matter/dynamic-profile/view/1906591","19-1906591")</f>
        <v>0</v>
      </c>
      <c r="B1677" t="s">
        <v>117</v>
      </c>
      <c r="C1677" t="s">
        <v>256</v>
      </c>
      <c r="D1677" t="s">
        <v>333</v>
      </c>
      <c r="F1677" t="s">
        <v>1632</v>
      </c>
      <c r="G1677" t="s">
        <v>3630</v>
      </c>
      <c r="H1677" t="s">
        <v>5899</v>
      </c>
      <c r="I1677" t="s">
        <v>8192</v>
      </c>
      <c r="J1677" t="s">
        <v>9065</v>
      </c>
      <c r="K1677">
        <v>10452</v>
      </c>
      <c r="L1677" t="s">
        <v>9094</v>
      </c>
      <c r="M1677" t="s">
        <v>9095</v>
      </c>
      <c r="R1677" t="s">
        <v>11180</v>
      </c>
      <c r="S1677" t="s">
        <v>9094</v>
      </c>
      <c r="T1677" t="s">
        <v>11183</v>
      </c>
      <c r="W1677">
        <v>1260</v>
      </c>
      <c r="X1677" t="s">
        <v>11333</v>
      </c>
      <c r="Y1677" t="s">
        <v>11339</v>
      </c>
      <c r="Z1677" t="s">
        <v>12522</v>
      </c>
      <c r="AB1677" t="s">
        <v>16918</v>
      </c>
      <c r="AC1677">
        <v>65</v>
      </c>
      <c r="AD1677" t="s">
        <v>19566</v>
      </c>
      <c r="AE1677" t="s">
        <v>19582</v>
      </c>
      <c r="AF1677">
        <v>44</v>
      </c>
      <c r="AG1677">
        <v>1</v>
      </c>
      <c r="AH1677">
        <v>0</v>
      </c>
      <c r="AI1677">
        <v>67.25</v>
      </c>
      <c r="AL1677" t="s">
        <v>19615</v>
      </c>
      <c r="AM1677">
        <v>8400</v>
      </c>
      <c r="AS1677">
        <v>142.95</v>
      </c>
      <c r="AT1677" t="s">
        <v>487</v>
      </c>
      <c r="AU1677" t="s">
        <v>220</v>
      </c>
    </row>
    <row r="1678" spans="1:48">
      <c r="A1678" s="1">
        <f>HYPERLINK("https://lsnyc.legalserver.org/matter/dynamic-profile/view/1906891","19-1906891")</f>
        <v>0</v>
      </c>
      <c r="B1678" t="s">
        <v>117</v>
      </c>
      <c r="C1678" t="s">
        <v>256</v>
      </c>
      <c r="D1678" t="s">
        <v>370</v>
      </c>
      <c r="F1678" t="s">
        <v>1439</v>
      </c>
      <c r="G1678" t="s">
        <v>3621</v>
      </c>
      <c r="H1678" t="s">
        <v>5899</v>
      </c>
      <c r="I1678" t="s">
        <v>8124</v>
      </c>
      <c r="J1678" t="s">
        <v>9065</v>
      </c>
      <c r="K1678">
        <v>10452</v>
      </c>
      <c r="L1678" t="s">
        <v>9094</v>
      </c>
      <c r="M1678" t="s">
        <v>9095</v>
      </c>
      <c r="R1678" t="s">
        <v>11180</v>
      </c>
      <c r="S1678" t="s">
        <v>9094</v>
      </c>
      <c r="T1678" t="s">
        <v>11183</v>
      </c>
      <c r="W1678">
        <v>0</v>
      </c>
      <c r="X1678" t="s">
        <v>11333</v>
      </c>
      <c r="Y1678" t="s">
        <v>11340</v>
      </c>
      <c r="Z1678" t="s">
        <v>11439</v>
      </c>
      <c r="AB1678" t="s">
        <v>16173</v>
      </c>
      <c r="AC1678">
        <v>65</v>
      </c>
      <c r="AD1678" t="s">
        <v>15441</v>
      </c>
      <c r="AE1678" t="s">
        <v>19580</v>
      </c>
      <c r="AF1678">
        <v>18</v>
      </c>
      <c r="AG1678">
        <v>1</v>
      </c>
      <c r="AH1678">
        <v>0</v>
      </c>
      <c r="AI1678">
        <v>67.25</v>
      </c>
      <c r="AL1678" t="s">
        <v>19615</v>
      </c>
      <c r="AM1678">
        <v>8400</v>
      </c>
      <c r="AS1678">
        <v>1</v>
      </c>
      <c r="AT1678" t="s">
        <v>487</v>
      </c>
      <c r="AU1678" t="s">
        <v>220</v>
      </c>
    </row>
    <row r="1679" spans="1:48">
      <c r="A1679" s="1">
        <f>HYPERLINK("https://lsnyc.legalserver.org/matter/dynamic-profile/view/1914800","19-1914800")</f>
        <v>0</v>
      </c>
      <c r="B1679" t="s">
        <v>201</v>
      </c>
      <c r="C1679" t="s">
        <v>256</v>
      </c>
      <c r="D1679" t="s">
        <v>632</v>
      </c>
      <c r="F1679" t="s">
        <v>1439</v>
      </c>
      <c r="G1679" t="s">
        <v>3621</v>
      </c>
      <c r="H1679" t="s">
        <v>5899</v>
      </c>
      <c r="I1679" t="s">
        <v>8124</v>
      </c>
      <c r="J1679" t="s">
        <v>9065</v>
      </c>
      <c r="K1679">
        <v>10452</v>
      </c>
      <c r="L1679" t="s">
        <v>9094</v>
      </c>
      <c r="M1679" t="s">
        <v>9095</v>
      </c>
      <c r="R1679" t="s">
        <v>11180</v>
      </c>
      <c r="S1679" t="s">
        <v>9094</v>
      </c>
      <c r="T1679" t="s">
        <v>11183</v>
      </c>
      <c r="W1679">
        <v>0</v>
      </c>
      <c r="X1679" t="s">
        <v>11333</v>
      </c>
      <c r="Y1679" t="s">
        <v>11340</v>
      </c>
      <c r="Z1679" t="s">
        <v>11439</v>
      </c>
      <c r="AB1679" t="s">
        <v>16173</v>
      </c>
      <c r="AC1679">
        <v>65</v>
      </c>
      <c r="AE1679" t="s">
        <v>19580</v>
      </c>
      <c r="AF1679">
        <v>18</v>
      </c>
      <c r="AG1679">
        <v>1</v>
      </c>
      <c r="AH1679">
        <v>0</v>
      </c>
      <c r="AI1679">
        <v>67.25</v>
      </c>
      <c r="AL1679" t="s">
        <v>19615</v>
      </c>
      <c r="AM1679">
        <v>8400</v>
      </c>
      <c r="AS1679">
        <v>0</v>
      </c>
      <c r="AU1679" t="s">
        <v>163</v>
      </c>
      <c r="AV1679" t="s">
        <v>20733</v>
      </c>
    </row>
    <row r="1680" spans="1:48">
      <c r="A1680" s="1">
        <f>HYPERLINK("https://lsnyc.legalserver.org/matter/dynamic-profile/view/1906452","19-1906452")</f>
        <v>0</v>
      </c>
      <c r="B1680" t="s">
        <v>98</v>
      </c>
      <c r="C1680" t="s">
        <v>257</v>
      </c>
      <c r="D1680" t="s">
        <v>335</v>
      </c>
      <c r="E1680" t="s">
        <v>335</v>
      </c>
      <c r="F1680" t="s">
        <v>1861</v>
      </c>
      <c r="G1680" t="s">
        <v>4147</v>
      </c>
      <c r="H1680" t="s">
        <v>6617</v>
      </c>
      <c r="J1680" t="s">
        <v>9065</v>
      </c>
      <c r="K1680">
        <v>10451</v>
      </c>
      <c r="L1680" t="s">
        <v>9094</v>
      </c>
      <c r="M1680" t="s">
        <v>9095</v>
      </c>
      <c r="O1680" t="s">
        <v>11134</v>
      </c>
      <c r="P1680" t="s">
        <v>11167</v>
      </c>
      <c r="Q1680" t="s">
        <v>11172</v>
      </c>
      <c r="R1680" t="s">
        <v>11180</v>
      </c>
      <c r="T1680" t="s">
        <v>11183</v>
      </c>
      <c r="W1680">
        <v>850</v>
      </c>
      <c r="X1680" t="s">
        <v>11333</v>
      </c>
      <c r="Z1680" t="s">
        <v>12523</v>
      </c>
      <c r="AC1680">
        <v>101</v>
      </c>
      <c r="AD1680" t="s">
        <v>19566</v>
      </c>
      <c r="AF1680">
        <v>20</v>
      </c>
      <c r="AG1680">
        <v>1</v>
      </c>
      <c r="AH1680">
        <v>0</v>
      </c>
      <c r="AI1680">
        <v>67.25</v>
      </c>
      <c r="AL1680" t="s">
        <v>19614</v>
      </c>
      <c r="AM1680">
        <v>8400</v>
      </c>
      <c r="AS1680">
        <v>3.75</v>
      </c>
      <c r="AT1680" t="s">
        <v>335</v>
      </c>
      <c r="AU1680" t="s">
        <v>109</v>
      </c>
      <c r="AV1680" t="s">
        <v>20733</v>
      </c>
    </row>
    <row r="1681" spans="1:48">
      <c r="A1681" s="1">
        <f>HYPERLINK("https://lsnyc.legalserver.org/matter/dynamic-profile/view/1898772","19-1898772")</f>
        <v>0</v>
      </c>
      <c r="B1681" t="s">
        <v>71</v>
      </c>
      <c r="C1681" t="s">
        <v>256</v>
      </c>
      <c r="D1681" t="s">
        <v>337</v>
      </c>
      <c r="F1681" t="s">
        <v>1966</v>
      </c>
      <c r="G1681" t="s">
        <v>3911</v>
      </c>
      <c r="H1681" t="s">
        <v>6618</v>
      </c>
      <c r="I1681" t="s">
        <v>8134</v>
      </c>
      <c r="J1681" t="s">
        <v>9059</v>
      </c>
      <c r="K1681">
        <v>11233</v>
      </c>
      <c r="L1681" t="s">
        <v>9094</v>
      </c>
      <c r="M1681" t="s">
        <v>9096</v>
      </c>
      <c r="N1681" t="s">
        <v>9816</v>
      </c>
      <c r="O1681" t="s">
        <v>11129</v>
      </c>
      <c r="P1681" t="s">
        <v>11165</v>
      </c>
      <c r="R1681" t="s">
        <v>11180</v>
      </c>
      <c r="S1681" t="s">
        <v>9094</v>
      </c>
      <c r="T1681" t="s">
        <v>11183</v>
      </c>
      <c r="U1681" t="s">
        <v>11201</v>
      </c>
      <c r="V1681" t="s">
        <v>394</v>
      </c>
      <c r="W1681">
        <v>944</v>
      </c>
      <c r="X1681" t="s">
        <v>11332</v>
      </c>
      <c r="Y1681" t="s">
        <v>11353</v>
      </c>
      <c r="Z1681" t="s">
        <v>12524</v>
      </c>
      <c r="AA1681" t="s">
        <v>15590</v>
      </c>
      <c r="AB1681" t="s">
        <v>16919</v>
      </c>
      <c r="AC1681">
        <v>20</v>
      </c>
      <c r="AD1681" t="s">
        <v>19566</v>
      </c>
      <c r="AE1681" t="s">
        <v>11157</v>
      </c>
      <c r="AF1681">
        <v>3</v>
      </c>
      <c r="AG1681">
        <v>1</v>
      </c>
      <c r="AH1681">
        <v>1</v>
      </c>
      <c r="AI1681">
        <v>67.42</v>
      </c>
      <c r="AL1681" t="s">
        <v>19614</v>
      </c>
      <c r="AM1681">
        <v>11400</v>
      </c>
      <c r="AS1681">
        <v>4.25</v>
      </c>
      <c r="AT1681" t="s">
        <v>457</v>
      </c>
      <c r="AU1681" t="s">
        <v>95</v>
      </c>
      <c r="AV1681" t="s">
        <v>20733</v>
      </c>
    </row>
    <row r="1682" spans="1:48">
      <c r="A1682" s="1">
        <f>HYPERLINK("https://lsnyc.legalserver.org/matter/dynamic-profile/view/1901364","19-1901364")</f>
        <v>0</v>
      </c>
      <c r="B1682" t="s">
        <v>69</v>
      </c>
      <c r="C1682" t="s">
        <v>257</v>
      </c>
      <c r="D1682" t="s">
        <v>471</v>
      </c>
      <c r="E1682" t="s">
        <v>410</v>
      </c>
      <c r="F1682" t="s">
        <v>1966</v>
      </c>
      <c r="G1682" t="s">
        <v>3911</v>
      </c>
      <c r="H1682" t="s">
        <v>6618</v>
      </c>
      <c r="I1682" t="s">
        <v>8134</v>
      </c>
      <c r="J1682" t="s">
        <v>9059</v>
      </c>
      <c r="K1682">
        <v>11233</v>
      </c>
      <c r="L1682" t="s">
        <v>9094</v>
      </c>
      <c r="M1682" t="s">
        <v>9095</v>
      </c>
      <c r="N1682" t="s">
        <v>9816</v>
      </c>
      <c r="O1682" t="s">
        <v>11138</v>
      </c>
      <c r="P1682" t="s">
        <v>11168</v>
      </c>
      <c r="Q1682" t="s">
        <v>11177</v>
      </c>
      <c r="R1682" t="s">
        <v>11180</v>
      </c>
      <c r="S1682" t="s">
        <v>9096</v>
      </c>
      <c r="T1682" t="s">
        <v>11184</v>
      </c>
      <c r="U1682" t="s">
        <v>11201</v>
      </c>
      <c r="V1682" t="s">
        <v>338</v>
      </c>
      <c r="W1682">
        <v>944</v>
      </c>
      <c r="X1682" t="s">
        <v>11332</v>
      </c>
      <c r="Y1682" t="s">
        <v>11353</v>
      </c>
      <c r="Z1682" t="s">
        <v>12524</v>
      </c>
      <c r="AA1682" t="s">
        <v>15590</v>
      </c>
      <c r="AB1682" t="s">
        <v>16919</v>
      </c>
      <c r="AC1682">
        <v>20</v>
      </c>
      <c r="AD1682" t="s">
        <v>19566</v>
      </c>
      <c r="AE1682" t="s">
        <v>11157</v>
      </c>
      <c r="AF1682">
        <v>3</v>
      </c>
      <c r="AG1682">
        <v>1</v>
      </c>
      <c r="AH1682">
        <v>1</v>
      </c>
      <c r="AI1682">
        <v>67.42</v>
      </c>
      <c r="AL1682" t="s">
        <v>19614</v>
      </c>
      <c r="AM1682">
        <v>11400</v>
      </c>
      <c r="AS1682">
        <v>14.5</v>
      </c>
      <c r="AT1682" t="s">
        <v>410</v>
      </c>
      <c r="AU1682" t="s">
        <v>95</v>
      </c>
      <c r="AV1682" t="s">
        <v>20734</v>
      </c>
    </row>
    <row r="1683" spans="1:48">
      <c r="A1683" s="1">
        <f>HYPERLINK("https://lsnyc.legalserver.org/matter/dynamic-profile/view/0823235","16-0823235")</f>
        <v>0</v>
      </c>
      <c r="B1683" t="s">
        <v>155</v>
      </c>
      <c r="C1683" t="s">
        <v>256</v>
      </c>
      <c r="D1683" t="s">
        <v>567</v>
      </c>
      <c r="F1683" t="s">
        <v>1777</v>
      </c>
      <c r="G1683" t="s">
        <v>3915</v>
      </c>
      <c r="H1683" t="s">
        <v>6619</v>
      </c>
      <c r="I1683">
        <v>2</v>
      </c>
      <c r="J1683" t="s">
        <v>9059</v>
      </c>
      <c r="K1683">
        <v>11225</v>
      </c>
      <c r="L1683" t="s">
        <v>9094</v>
      </c>
      <c r="M1683" t="s">
        <v>9095</v>
      </c>
      <c r="O1683" t="s">
        <v>11137</v>
      </c>
      <c r="P1683" t="s">
        <v>11167</v>
      </c>
      <c r="R1683" t="s">
        <v>11180</v>
      </c>
      <c r="S1683" t="s">
        <v>9094</v>
      </c>
      <c r="T1683" t="s">
        <v>11183</v>
      </c>
      <c r="V1683" t="s">
        <v>437</v>
      </c>
      <c r="W1683">
        <v>900.65</v>
      </c>
      <c r="X1683" t="s">
        <v>11332</v>
      </c>
      <c r="Y1683" t="s">
        <v>11346</v>
      </c>
      <c r="Z1683" t="s">
        <v>12525</v>
      </c>
      <c r="AB1683" t="s">
        <v>16920</v>
      </c>
      <c r="AC1683">
        <v>3</v>
      </c>
      <c r="AD1683" t="s">
        <v>19566</v>
      </c>
      <c r="AF1683">
        <v>18</v>
      </c>
      <c r="AG1683">
        <v>1</v>
      </c>
      <c r="AH1683">
        <v>1</v>
      </c>
      <c r="AI1683">
        <v>67.42</v>
      </c>
      <c r="AJ1683" t="s">
        <v>19596</v>
      </c>
      <c r="AL1683" t="s">
        <v>19614</v>
      </c>
      <c r="AM1683">
        <v>10800</v>
      </c>
      <c r="AN1683" t="s">
        <v>19814</v>
      </c>
      <c r="AS1683">
        <v>0</v>
      </c>
      <c r="AU1683" t="s">
        <v>20636</v>
      </c>
    </row>
    <row r="1684" spans="1:48">
      <c r="A1684" s="1">
        <f>HYPERLINK("https://lsnyc.legalserver.org/matter/dynamic-profile/view/1896382","19-1896382")</f>
        <v>0</v>
      </c>
      <c r="B1684" t="s">
        <v>65</v>
      </c>
      <c r="C1684" t="s">
        <v>256</v>
      </c>
      <c r="D1684" t="s">
        <v>350</v>
      </c>
      <c r="F1684" t="s">
        <v>1370</v>
      </c>
      <c r="G1684" t="s">
        <v>4148</v>
      </c>
      <c r="H1684" t="s">
        <v>6620</v>
      </c>
      <c r="I1684" t="s">
        <v>8142</v>
      </c>
      <c r="J1684" t="s">
        <v>9059</v>
      </c>
      <c r="K1684">
        <v>11216</v>
      </c>
      <c r="L1684" t="s">
        <v>9094</v>
      </c>
      <c r="M1684" t="s">
        <v>9094</v>
      </c>
      <c r="O1684" t="s">
        <v>11134</v>
      </c>
      <c r="P1684" t="s">
        <v>11168</v>
      </c>
      <c r="R1684" t="s">
        <v>11180</v>
      </c>
      <c r="S1684" t="s">
        <v>9096</v>
      </c>
      <c r="T1684" t="s">
        <v>11183</v>
      </c>
      <c r="U1684" t="s">
        <v>11201</v>
      </c>
      <c r="V1684" t="s">
        <v>350</v>
      </c>
      <c r="W1684">
        <v>1414.37</v>
      </c>
      <c r="X1684" t="s">
        <v>11332</v>
      </c>
      <c r="Y1684" t="s">
        <v>11340</v>
      </c>
      <c r="Z1684" t="s">
        <v>12526</v>
      </c>
      <c r="AA1684" t="s">
        <v>15591</v>
      </c>
      <c r="AB1684" t="s">
        <v>16921</v>
      </c>
      <c r="AC1684">
        <v>6</v>
      </c>
      <c r="AD1684" t="s">
        <v>19566</v>
      </c>
      <c r="AF1684">
        <v>8</v>
      </c>
      <c r="AG1684">
        <v>2</v>
      </c>
      <c r="AH1684">
        <v>7</v>
      </c>
      <c r="AI1684">
        <v>67.51000000000001</v>
      </c>
      <c r="AL1684" t="s">
        <v>19615</v>
      </c>
      <c r="AM1684">
        <v>32304</v>
      </c>
      <c r="AS1684">
        <v>7.1</v>
      </c>
      <c r="AT1684" t="s">
        <v>426</v>
      </c>
      <c r="AU1684" t="s">
        <v>65</v>
      </c>
    </row>
    <row r="1685" spans="1:48">
      <c r="A1685" s="1">
        <f>HYPERLINK("https://lsnyc.legalserver.org/matter/dynamic-profile/view/1913581","19-1913581")</f>
        <v>0</v>
      </c>
      <c r="B1685" t="s">
        <v>202</v>
      </c>
      <c r="C1685" t="s">
        <v>256</v>
      </c>
      <c r="D1685" t="s">
        <v>521</v>
      </c>
      <c r="F1685" t="s">
        <v>1967</v>
      </c>
      <c r="G1685" t="s">
        <v>4149</v>
      </c>
      <c r="H1685" t="s">
        <v>6621</v>
      </c>
      <c r="I1685">
        <v>5</v>
      </c>
      <c r="J1685" t="s">
        <v>9059</v>
      </c>
      <c r="K1685">
        <v>11213</v>
      </c>
      <c r="L1685" t="s">
        <v>9094</v>
      </c>
      <c r="M1685" t="s">
        <v>9095</v>
      </c>
      <c r="N1685" t="s">
        <v>9144</v>
      </c>
      <c r="O1685" t="s">
        <v>9121</v>
      </c>
      <c r="P1685" t="s">
        <v>11167</v>
      </c>
      <c r="R1685" t="s">
        <v>11180</v>
      </c>
      <c r="S1685" t="s">
        <v>9094</v>
      </c>
      <c r="T1685" t="s">
        <v>11183</v>
      </c>
      <c r="V1685" t="s">
        <v>521</v>
      </c>
      <c r="W1685">
        <v>785.95</v>
      </c>
      <c r="X1685" t="s">
        <v>11332</v>
      </c>
      <c r="Y1685" t="s">
        <v>11339</v>
      </c>
      <c r="Z1685" t="s">
        <v>12527</v>
      </c>
      <c r="AB1685" t="s">
        <v>15274</v>
      </c>
      <c r="AC1685">
        <v>31</v>
      </c>
      <c r="AD1685" t="s">
        <v>19566</v>
      </c>
      <c r="AF1685">
        <v>23</v>
      </c>
      <c r="AG1685">
        <v>2</v>
      </c>
      <c r="AH1685">
        <v>1</v>
      </c>
      <c r="AI1685">
        <v>67.51000000000001</v>
      </c>
      <c r="AL1685" t="s">
        <v>19614</v>
      </c>
      <c r="AM1685">
        <v>14400</v>
      </c>
      <c r="AS1685">
        <v>1.5</v>
      </c>
      <c r="AT1685" t="s">
        <v>521</v>
      </c>
      <c r="AU1685" t="s">
        <v>202</v>
      </c>
      <c r="AV1685" t="s">
        <v>20733</v>
      </c>
    </row>
    <row r="1686" spans="1:48">
      <c r="A1686" s="1">
        <f>HYPERLINK("https://lsnyc.legalserver.org/matter/dynamic-profile/view/1906859","19-1906859")</f>
        <v>0</v>
      </c>
      <c r="B1686" t="s">
        <v>147</v>
      </c>
      <c r="C1686" t="s">
        <v>257</v>
      </c>
      <c r="D1686" t="s">
        <v>676</v>
      </c>
      <c r="E1686" t="s">
        <v>370</v>
      </c>
      <c r="F1686" t="s">
        <v>1566</v>
      </c>
      <c r="G1686" t="s">
        <v>4150</v>
      </c>
      <c r="H1686" t="s">
        <v>6622</v>
      </c>
      <c r="I1686">
        <v>2</v>
      </c>
      <c r="J1686" t="s">
        <v>9066</v>
      </c>
      <c r="K1686">
        <v>10306</v>
      </c>
      <c r="L1686" t="s">
        <v>9094</v>
      </c>
      <c r="M1686" t="s">
        <v>9095</v>
      </c>
      <c r="O1686" t="s">
        <v>9121</v>
      </c>
      <c r="P1686" t="s">
        <v>11164</v>
      </c>
      <c r="Q1686" t="s">
        <v>11172</v>
      </c>
      <c r="R1686" t="s">
        <v>11181</v>
      </c>
      <c r="S1686" t="s">
        <v>9096</v>
      </c>
      <c r="T1686" t="s">
        <v>11183</v>
      </c>
      <c r="U1686" t="s">
        <v>11201</v>
      </c>
      <c r="V1686" t="s">
        <v>676</v>
      </c>
      <c r="W1686">
        <v>1200</v>
      </c>
      <c r="X1686" t="s">
        <v>11334</v>
      </c>
      <c r="Y1686" t="s">
        <v>11337</v>
      </c>
      <c r="Z1686" t="s">
        <v>11408</v>
      </c>
      <c r="AB1686" t="s">
        <v>16922</v>
      </c>
      <c r="AC1686">
        <v>2</v>
      </c>
      <c r="AD1686" t="s">
        <v>19565</v>
      </c>
      <c r="AE1686" t="s">
        <v>9144</v>
      </c>
      <c r="AF1686">
        <v>1</v>
      </c>
      <c r="AG1686">
        <v>3</v>
      </c>
      <c r="AH1686">
        <v>0</v>
      </c>
      <c r="AI1686">
        <v>67.51000000000001</v>
      </c>
      <c r="AJ1686" t="s">
        <v>19591</v>
      </c>
      <c r="AK1686" t="s">
        <v>19608</v>
      </c>
      <c r="AL1686" t="s">
        <v>19614</v>
      </c>
      <c r="AM1686">
        <v>14400</v>
      </c>
      <c r="AS1686">
        <v>1.5</v>
      </c>
      <c r="AT1686" t="s">
        <v>676</v>
      </c>
      <c r="AU1686" t="s">
        <v>147</v>
      </c>
      <c r="AV1686" t="s">
        <v>20733</v>
      </c>
    </row>
    <row r="1687" spans="1:48">
      <c r="A1687" s="1">
        <f>HYPERLINK("https://lsnyc.legalserver.org/matter/dynamic-profile/view/1893147","19-1893147")</f>
        <v>0</v>
      </c>
      <c r="B1687" t="s">
        <v>126</v>
      </c>
      <c r="C1687" t="s">
        <v>256</v>
      </c>
      <c r="D1687" t="s">
        <v>719</v>
      </c>
      <c r="F1687" t="s">
        <v>1968</v>
      </c>
      <c r="G1687" t="s">
        <v>3846</v>
      </c>
      <c r="H1687" t="s">
        <v>6623</v>
      </c>
      <c r="I1687" t="s">
        <v>8484</v>
      </c>
      <c r="J1687" t="s">
        <v>9066</v>
      </c>
      <c r="K1687">
        <v>10304</v>
      </c>
      <c r="L1687" t="s">
        <v>9094</v>
      </c>
      <c r="M1687" t="s">
        <v>9094</v>
      </c>
      <c r="N1687" t="s">
        <v>9817</v>
      </c>
      <c r="O1687" t="s">
        <v>11129</v>
      </c>
      <c r="P1687" t="s">
        <v>11165</v>
      </c>
      <c r="R1687" t="s">
        <v>11180</v>
      </c>
      <c r="S1687" t="s">
        <v>9096</v>
      </c>
      <c r="T1687" t="s">
        <v>11183</v>
      </c>
      <c r="U1687" t="s">
        <v>11201</v>
      </c>
      <c r="V1687" t="s">
        <v>719</v>
      </c>
      <c r="W1687">
        <v>825</v>
      </c>
      <c r="X1687" t="s">
        <v>11334</v>
      </c>
      <c r="Y1687" t="s">
        <v>11345</v>
      </c>
      <c r="Z1687" t="s">
        <v>12528</v>
      </c>
      <c r="AB1687" t="s">
        <v>16923</v>
      </c>
      <c r="AC1687">
        <v>2</v>
      </c>
      <c r="AD1687" t="s">
        <v>19565</v>
      </c>
      <c r="AE1687" t="s">
        <v>9144</v>
      </c>
      <c r="AF1687">
        <v>4</v>
      </c>
      <c r="AG1687">
        <v>3</v>
      </c>
      <c r="AH1687">
        <v>1</v>
      </c>
      <c r="AI1687">
        <v>67.51000000000001</v>
      </c>
      <c r="AL1687" t="s">
        <v>19614</v>
      </c>
      <c r="AM1687">
        <v>17384</v>
      </c>
      <c r="AS1687">
        <v>22.15</v>
      </c>
      <c r="AT1687" t="s">
        <v>326</v>
      </c>
      <c r="AU1687" t="s">
        <v>20653</v>
      </c>
      <c r="AV1687" t="s">
        <v>20733</v>
      </c>
    </row>
    <row r="1688" spans="1:48">
      <c r="A1688" s="1">
        <f>HYPERLINK("https://lsnyc.legalserver.org/matter/dynamic-profile/view/1884972","18-1884972")</f>
        <v>0</v>
      </c>
      <c r="B1688" t="s">
        <v>108</v>
      </c>
      <c r="C1688" t="s">
        <v>257</v>
      </c>
      <c r="D1688" t="s">
        <v>359</v>
      </c>
      <c r="E1688" t="s">
        <v>496</v>
      </c>
      <c r="F1688" t="s">
        <v>1682</v>
      </c>
      <c r="G1688" t="s">
        <v>4127</v>
      </c>
      <c r="H1688" t="s">
        <v>6597</v>
      </c>
      <c r="I1688" t="s">
        <v>8475</v>
      </c>
      <c r="J1688" t="s">
        <v>9065</v>
      </c>
      <c r="K1688">
        <v>10467</v>
      </c>
      <c r="L1688" t="s">
        <v>9094</v>
      </c>
      <c r="M1688" t="s">
        <v>9094</v>
      </c>
      <c r="N1688" t="s">
        <v>9818</v>
      </c>
      <c r="O1688" t="s">
        <v>11130</v>
      </c>
      <c r="P1688" t="s">
        <v>11164</v>
      </c>
      <c r="Q1688" t="s">
        <v>11172</v>
      </c>
      <c r="R1688" t="s">
        <v>11180</v>
      </c>
      <c r="S1688" t="s">
        <v>9096</v>
      </c>
      <c r="T1688" t="s">
        <v>11183</v>
      </c>
      <c r="U1688" t="s">
        <v>11201</v>
      </c>
      <c r="V1688" t="s">
        <v>359</v>
      </c>
      <c r="W1688">
        <v>1509</v>
      </c>
      <c r="X1688" t="s">
        <v>11333</v>
      </c>
      <c r="Y1688" t="s">
        <v>11338</v>
      </c>
      <c r="Z1688" t="s">
        <v>12493</v>
      </c>
      <c r="AA1688">
        <v>4043580</v>
      </c>
      <c r="AB1688" t="s">
        <v>16893</v>
      </c>
      <c r="AC1688">
        <v>0</v>
      </c>
      <c r="AD1688" t="s">
        <v>19566</v>
      </c>
      <c r="AE1688" t="s">
        <v>19580</v>
      </c>
      <c r="AF1688">
        <v>0</v>
      </c>
      <c r="AG1688">
        <v>2</v>
      </c>
      <c r="AH1688">
        <v>0</v>
      </c>
      <c r="AI1688">
        <v>67.52</v>
      </c>
      <c r="AL1688" t="s">
        <v>19614</v>
      </c>
      <c r="AM1688">
        <v>11114</v>
      </c>
      <c r="AS1688">
        <v>1.1</v>
      </c>
      <c r="AT1688" t="s">
        <v>664</v>
      </c>
      <c r="AU1688" t="s">
        <v>108</v>
      </c>
    </row>
    <row r="1689" spans="1:48">
      <c r="A1689" s="1">
        <f>HYPERLINK("https://lsnyc.legalserver.org/matter/dynamic-profile/view/1896081","19-1896081")</f>
        <v>0</v>
      </c>
      <c r="B1689" t="s">
        <v>106</v>
      </c>
      <c r="C1689" t="s">
        <v>256</v>
      </c>
      <c r="D1689" t="s">
        <v>545</v>
      </c>
      <c r="F1689" t="s">
        <v>1231</v>
      </c>
      <c r="G1689" t="s">
        <v>3588</v>
      </c>
      <c r="H1689" t="s">
        <v>6624</v>
      </c>
      <c r="I1689" t="s">
        <v>8485</v>
      </c>
      <c r="J1689" t="s">
        <v>9065</v>
      </c>
      <c r="K1689">
        <v>10458</v>
      </c>
      <c r="L1689" t="s">
        <v>9094</v>
      </c>
      <c r="M1689" t="s">
        <v>9094</v>
      </c>
      <c r="N1689" t="s">
        <v>9819</v>
      </c>
      <c r="O1689" t="s">
        <v>11134</v>
      </c>
      <c r="P1689" t="s">
        <v>11168</v>
      </c>
      <c r="R1689" t="s">
        <v>11180</v>
      </c>
      <c r="S1689" t="s">
        <v>9094</v>
      </c>
      <c r="T1689" t="s">
        <v>11183</v>
      </c>
      <c r="V1689" t="s">
        <v>11212</v>
      </c>
      <c r="W1689">
        <v>1127.78</v>
      </c>
      <c r="X1689" t="s">
        <v>11333</v>
      </c>
      <c r="Y1689" t="s">
        <v>11346</v>
      </c>
      <c r="Z1689" t="s">
        <v>12529</v>
      </c>
      <c r="AA1689" t="s">
        <v>15592</v>
      </c>
      <c r="AB1689" t="s">
        <v>16924</v>
      </c>
      <c r="AC1689">
        <v>142</v>
      </c>
      <c r="AD1689" t="s">
        <v>19566</v>
      </c>
      <c r="AE1689" t="s">
        <v>19582</v>
      </c>
      <c r="AF1689">
        <v>10</v>
      </c>
      <c r="AG1689">
        <v>1</v>
      </c>
      <c r="AH1689">
        <v>2</v>
      </c>
      <c r="AI1689">
        <v>67.56</v>
      </c>
      <c r="AL1689" t="s">
        <v>19615</v>
      </c>
      <c r="AM1689">
        <v>14040</v>
      </c>
      <c r="AS1689">
        <v>0.1</v>
      </c>
      <c r="AT1689" t="s">
        <v>350</v>
      </c>
      <c r="AU1689" t="s">
        <v>220</v>
      </c>
      <c r="AV1689" t="s">
        <v>20734</v>
      </c>
    </row>
    <row r="1690" spans="1:48">
      <c r="A1690" s="1">
        <f>HYPERLINK("https://lsnyc.legalserver.org/matter/dynamic-profile/view/1883887","18-1883887")</f>
        <v>0</v>
      </c>
      <c r="B1690" t="s">
        <v>67</v>
      </c>
      <c r="C1690" t="s">
        <v>256</v>
      </c>
      <c r="D1690" t="s">
        <v>353</v>
      </c>
      <c r="F1690" t="s">
        <v>1969</v>
      </c>
      <c r="G1690" t="s">
        <v>4151</v>
      </c>
      <c r="H1690" t="s">
        <v>5774</v>
      </c>
      <c r="I1690" t="s">
        <v>8178</v>
      </c>
      <c r="J1690" t="s">
        <v>9059</v>
      </c>
      <c r="K1690">
        <v>11226</v>
      </c>
      <c r="L1690" t="s">
        <v>9095</v>
      </c>
      <c r="M1690" t="s">
        <v>9095</v>
      </c>
      <c r="R1690" t="s">
        <v>11180</v>
      </c>
      <c r="T1690" t="s">
        <v>11183</v>
      </c>
      <c r="W1690">
        <v>0</v>
      </c>
      <c r="X1690" t="s">
        <v>11332</v>
      </c>
      <c r="Z1690" t="s">
        <v>12530</v>
      </c>
      <c r="AB1690" t="s">
        <v>16925</v>
      </c>
      <c r="AC1690">
        <v>0</v>
      </c>
      <c r="AF1690">
        <v>0</v>
      </c>
      <c r="AG1690">
        <v>2</v>
      </c>
      <c r="AH1690">
        <v>0</v>
      </c>
      <c r="AI1690">
        <v>67.58</v>
      </c>
      <c r="AL1690" t="s">
        <v>19614</v>
      </c>
      <c r="AM1690">
        <v>11124</v>
      </c>
      <c r="AS1690">
        <v>12.7</v>
      </c>
      <c r="AT1690" t="s">
        <v>288</v>
      </c>
      <c r="AU1690" t="s">
        <v>67</v>
      </c>
    </row>
    <row r="1691" spans="1:48">
      <c r="A1691" s="1">
        <f>HYPERLINK("https://lsnyc.legalserver.org/matter/dynamic-profile/view/1892877","19-1892877")</f>
        <v>0</v>
      </c>
      <c r="B1691" t="s">
        <v>137</v>
      </c>
      <c r="C1691" t="s">
        <v>256</v>
      </c>
      <c r="D1691" t="s">
        <v>523</v>
      </c>
      <c r="F1691" t="s">
        <v>1502</v>
      </c>
      <c r="G1691" t="s">
        <v>4152</v>
      </c>
      <c r="H1691" t="s">
        <v>6625</v>
      </c>
      <c r="I1691">
        <v>2</v>
      </c>
      <c r="J1691" t="s">
        <v>9067</v>
      </c>
      <c r="K1691">
        <v>10034</v>
      </c>
      <c r="L1691" t="s">
        <v>9094</v>
      </c>
      <c r="M1691" t="s">
        <v>9094</v>
      </c>
      <c r="P1691" t="s">
        <v>11164</v>
      </c>
      <c r="R1691" t="s">
        <v>11180</v>
      </c>
      <c r="S1691" t="s">
        <v>9094</v>
      </c>
      <c r="T1691" t="s">
        <v>11183</v>
      </c>
      <c r="V1691" t="s">
        <v>523</v>
      </c>
      <c r="W1691">
        <v>803</v>
      </c>
      <c r="X1691" t="s">
        <v>11335</v>
      </c>
      <c r="Y1691" t="s">
        <v>11340</v>
      </c>
      <c r="Z1691" t="s">
        <v>12531</v>
      </c>
      <c r="AA1691" t="s">
        <v>15593</v>
      </c>
      <c r="AB1691" t="s">
        <v>16926</v>
      </c>
      <c r="AC1691">
        <v>25</v>
      </c>
      <c r="AD1691" t="s">
        <v>19566</v>
      </c>
      <c r="AE1691" t="s">
        <v>19587</v>
      </c>
      <c r="AF1691">
        <v>14</v>
      </c>
      <c r="AG1691">
        <v>1</v>
      </c>
      <c r="AH1691">
        <v>1</v>
      </c>
      <c r="AI1691">
        <v>67.63</v>
      </c>
      <c r="AL1691" t="s">
        <v>19615</v>
      </c>
      <c r="AM1691">
        <v>11436</v>
      </c>
      <c r="AS1691">
        <v>0</v>
      </c>
      <c r="AU1691" t="s">
        <v>130</v>
      </c>
    </row>
    <row r="1692" spans="1:48">
      <c r="A1692" s="1">
        <f>HYPERLINK("https://lsnyc.legalserver.org/matter/dynamic-profile/view/1900059","19-1900059")</f>
        <v>0</v>
      </c>
      <c r="B1692" t="s">
        <v>100</v>
      </c>
      <c r="C1692" t="s">
        <v>257</v>
      </c>
      <c r="D1692" t="s">
        <v>551</v>
      </c>
      <c r="E1692" t="s">
        <v>551</v>
      </c>
      <c r="F1692" t="s">
        <v>1227</v>
      </c>
      <c r="G1692" t="s">
        <v>4153</v>
      </c>
      <c r="H1692" t="s">
        <v>6626</v>
      </c>
      <c r="I1692" t="s">
        <v>8486</v>
      </c>
      <c r="J1692" t="s">
        <v>9065</v>
      </c>
      <c r="K1692">
        <v>10458</v>
      </c>
      <c r="L1692" t="s">
        <v>9095</v>
      </c>
      <c r="M1692" t="s">
        <v>9095</v>
      </c>
      <c r="P1692" t="s">
        <v>11164</v>
      </c>
      <c r="Q1692" t="s">
        <v>11172</v>
      </c>
      <c r="R1692" t="s">
        <v>11180</v>
      </c>
      <c r="T1692" t="s">
        <v>11183</v>
      </c>
      <c r="W1692">
        <v>170.4</v>
      </c>
      <c r="X1692" t="s">
        <v>11333</v>
      </c>
      <c r="Y1692" t="s">
        <v>11346</v>
      </c>
      <c r="Z1692" t="s">
        <v>12532</v>
      </c>
      <c r="AB1692" t="s">
        <v>16927</v>
      </c>
      <c r="AC1692">
        <v>0</v>
      </c>
      <c r="AD1692" t="s">
        <v>19575</v>
      </c>
      <c r="AE1692" t="s">
        <v>11157</v>
      </c>
      <c r="AF1692">
        <v>6</v>
      </c>
      <c r="AG1692">
        <v>1</v>
      </c>
      <c r="AH1692">
        <v>0</v>
      </c>
      <c r="AI1692">
        <v>67.73</v>
      </c>
      <c r="AL1692" t="s">
        <v>19614</v>
      </c>
      <c r="AM1692">
        <v>8460</v>
      </c>
      <c r="AS1692">
        <v>0.5</v>
      </c>
      <c r="AT1692" t="s">
        <v>551</v>
      </c>
      <c r="AU1692" t="s">
        <v>100</v>
      </c>
    </row>
    <row r="1693" spans="1:48">
      <c r="A1693" s="1">
        <f>HYPERLINK("https://lsnyc.legalserver.org/matter/dynamic-profile/view/0813904","16-0813904")</f>
        <v>0</v>
      </c>
      <c r="B1693" t="s">
        <v>93</v>
      </c>
      <c r="C1693" t="s">
        <v>256</v>
      </c>
      <c r="D1693" t="s">
        <v>827</v>
      </c>
      <c r="F1693" t="s">
        <v>1864</v>
      </c>
      <c r="G1693" t="s">
        <v>4036</v>
      </c>
      <c r="H1693" t="s">
        <v>6072</v>
      </c>
      <c r="I1693" t="s">
        <v>8112</v>
      </c>
      <c r="J1693" t="s">
        <v>9059</v>
      </c>
      <c r="K1693">
        <v>11208</v>
      </c>
      <c r="L1693" t="s">
        <v>9094</v>
      </c>
      <c r="M1693" t="s">
        <v>9095</v>
      </c>
      <c r="N1693" t="s">
        <v>9820</v>
      </c>
      <c r="O1693" t="s">
        <v>11129</v>
      </c>
      <c r="P1693" t="s">
        <v>11165</v>
      </c>
      <c r="R1693" t="s">
        <v>11180</v>
      </c>
      <c r="S1693" t="s">
        <v>9096</v>
      </c>
      <c r="T1693" t="s">
        <v>11183</v>
      </c>
      <c r="V1693" t="s">
        <v>11255</v>
      </c>
      <c r="W1693">
        <v>984.01</v>
      </c>
      <c r="X1693" t="s">
        <v>11332</v>
      </c>
      <c r="Y1693" t="s">
        <v>11340</v>
      </c>
      <c r="Z1693" t="s">
        <v>12340</v>
      </c>
      <c r="AA1693" t="s">
        <v>15543</v>
      </c>
      <c r="AB1693" t="s">
        <v>16755</v>
      </c>
      <c r="AC1693">
        <v>53</v>
      </c>
      <c r="AD1693" t="s">
        <v>19566</v>
      </c>
      <c r="AE1693" t="s">
        <v>9144</v>
      </c>
      <c r="AF1693">
        <v>11</v>
      </c>
      <c r="AG1693">
        <v>1</v>
      </c>
      <c r="AH1693">
        <v>1</v>
      </c>
      <c r="AI1693">
        <v>67.75</v>
      </c>
      <c r="AL1693" t="s">
        <v>19614</v>
      </c>
      <c r="AM1693">
        <v>10853.04</v>
      </c>
      <c r="AS1693">
        <v>90.95</v>
      </c>
      <c r="AT1693" t="s">
        <v>501</v>
      </c>
      <c r="AU1693" t="s">
        <v>150</v>
      </c>
    </row>
    <row r="1694" spans="1:48">
      <c r="A1694" s="1">
        <f>HYPERLINK("https://lsnyc.legalserver.org/matter/dynamic-profile/view/1860272","18-1860272")</f>
        <v>0</v>
      </c>
      <c r="B1694" t="s">
        <v>141</v>
      </c>
      <c r="C1694" t="s">
        <v>256</v>
      </c>
      <c r="D1694" t="s">
        <v>828</v>
      </c>
      <c r="F1694" t="s">
        <v>1970</v>
      </c>
      <c r="G1694" t="s">
        <v>3419</v>
      </c>
      <c r="H1694" t="s">
        <v>6382</v>
      </c>
      <c r="I1694" t="s">
        <v>8187</v>
      </c>
      <c r="J1694" t="s">
        <v>9067</v>
      </c>
      <c r="K1694">
        <v>10034</v>
      </c>
      <c r="L1694" t="s">
        <v>9094</v>
      </c>
      <c r="M1694" t="s">
        <v>9095</v>
      </c>
      <c r="O1694" t="s">
        <v>9121</v>
      </c>
      <c r="P1694" t="s">
        <v>11166</v>
      </c>
      <c r="R1694" t="s">
        <v>11180</v>
      </c>
      <c r="S1694" t="s">
        <v>9096</v>
      </c>
      <c r="T1694" t="s">
        <v>11183</v>
      </c>
      <c r="V1694" t="s">
        <v>828</v>
      </c>
      <c r="W1694">
        <v>986</v>
      </c>
      <c r="X1694" t="s">
        <v>11335</v>
      </c>
      <c r="Y1694" t="s">
        <v>11340</v>
      </c>
      <c r="Z1694" t="s">
        <v>12533</v>
      </c>
      <c r="AB1694" t="s">
        <v>16928</v>
      </c>
      <c r="AC1694">
        <v>44</v>
      </c>
      <c r="AD1694" t="s">
        <v>19566</v>
      </c>
      <c r="AE1694" t="s">
        <v>19587</v>
      </c>
      <c r="AF1694">
        <v>22</v>
      </c>
      <c r="AG1694">
        <v>4</v>
      </c>
      <c r="AH1694">
        <v>2</v>
      </c>
      <c r="AI1694">
        <v>67.75</v>
      </c>
      <c r="AL1694" t="s">
        <v>19615</v>
      </c>
      <c r="AM1694">
        <v>37044</v>
      </c>
      <c r="AS1694">
        <v>15.2</v>
      </c>
      <c r="AT1694" t="s">
        <v>1135</v>
      </c>
      <c r="AU1694" t="s">
        <v>130</v>
      </c>
    </row>
    <row r="1695" spans="1:48">
      <c r="A1695" s="1">
        <f>HYPERLINK("https://lsnyc.legalserver.org/matter/dynamic-profile/view/0795762","16-0795762")</f>
        <v>0</v>
      </c>
      <c r="B1695" t="s">
        <v>102</v>
      </c>
      <c r="C1695" t="s">
        <v>256</v>
      </c>
      <c r="D1695" t="s">
        <v>829</v>
      </c>
      <c r="F1695" t="s">
        <v>1146</v>
      </c>
      <c r="G1695" t="s">
        <v>3674</v>
      </c>
      <c r="H1695" t="s">
        <v>6627</v>
      </c>
      <c r="I1695" t="s">
        <v>8265</v>
      </c>
      <c r="J1695" t="s">
        <v>9065</v>
      </c>
      <c r="K1695">
        <v>10453</v>
      </c>
      <c r="L1695" t="s">
        <v>9094</v>
      </c>
      <c r="M1695" t="s">
        <v>9095</v>
      </c>
      <c r="N1695" t="s">
        <v>9821</v>
      </c>
      <c r="O1695" t="s">
        <v>11129</v>
      </c>
      <c r="P1695" t="s">
        <v>11165</v>
      </c>
      <c r="R1695" t="s">
        <v>11180</v>
      </c>
      <c r="T1695" t="s">
        <v>11183</v>
      </c>
      <c r="V1695" t="s">
        <v>11221</v>
      </c>
      <c r="W1695">
        <v>652</v>
      </c>
      <c r="X1695" t="s">
        <v>11333</v>
      </c>
      <c r="Y1695" t="s">
        <v>11349</v>
      </c>
      <c r="Z1695" t="s">
        <v>12534</v>
      </c>
      <c r="AB1695" t="s">
        <v>16929</v>
      </c>
      <c r="AC1695">
        <v>0</v>
      </c>
      <c r="AD1695" t="s">
        <v>19566</v>
      </c>
      <c r="AE1695" t="s">
        <v>19587</v>
      </c>
      <c r="AF1695">
        <v>45</v>
      </c>
      <c r="AG1695">
        <v>2</v>
      </c>
      <c r="AH1695">
        <v>0</v>
      </c>
      <c r="AI1695">
        <v>67.8</v>
      </c>
      <c r="AL1695" t="s">
        <v>19615</v>
      </c>
      <c r="AM1695">
        <v>10800</v>
      </c>
      <c r="AO1695" t="s">
        <v>20293</v>
      </c>
      <c r="AP1695" t="s">
        <v>20317</v>
      </c>
      <c r="AQ1695" t="s">
        <v>20369</v>
      </c>
      <c r="AR1695" t="s">
        <v>20468</v>
      </c>
      <c r="AS1695">
        <v>317.65</v>
      </c>
      <c r="AT1695" t="s">
        <v>433</v>
      </c>
      <c r="AU1695" t="s">
        <v>20660</v>
      </c>
    </row>
    <row r="1696" spans="1:48">
      <c r="A1696" s="1">
        <f>HYPERLINK("https://lsnyc.legalserver.org/matter/dynamic-profile/view/1911004","19-1911004")</f>
        <v>0</v>
      </c>
      <c r="B1696" t="s">
        <v>142</v>
      </c>
      <c r="C1696" t="s">
        <v>256</v>
      </c>
      <c r="D1696" t="s">
        <v>648</v>
      </c>
      <c r="F1696" t="s">
        <v>1700</v>
      </c>
      <c r="G1696" t="s">
        <v>3498</v>
      </c>
      <c r="H1696" t="s">
        <v>6628</v>
      </c>
      <c r="I1696" t="s">
        <v>8187</v>
      </c>
      <c r="J1696" t="s">
        <v>9067</v>
      </c>
      <c r="K1696">
        <v>10029</v>
      </c>
      <c r="L1696" t="s">
        <v>9094</v>
      </c>
      <c r="M1696" t="s">
        <v>9095</v>
      </c>
      <c r="N1696" t="s">
        <v>9822</v>
      </c>
      <c r="O1696" t="s">
        <v>11134</v>
      </c>
      <c r="P1696" t="s">
        <v>11165</v>
      </c>
      <c r="R1696" t="s">
        <v>11180</v>
      </c>
      <c r="S1696" t="s">
        <v>9096</v>
      </c>
      <c r="T1696" t="s">
        <v>11183</v>
      </c>
      <c r="U1696" t="s">
        <v>11201</v>
      </c>
      <c r="V1696" t="s">
        <v>648</v>
      </c>
      <c r="W1696">
        <v>404.29</v>
      </c>
      <c r="X1696" t="s">
        <v>11335</v>
      </c>
      <c r="Y1696" t="s">
        <v>11340</v>
      </c>
      <c r="Z1696" t="s">
        <v>12535</v>
      </c>
      <c r="AB1696" t="s">
        <v>16930</v>
      </c>
      <c r="AC1696">
        <v>13</v>
      </c>
      <c r="AD1696" t="s">
        <v>19566</v>
      </c>
      <c r="AE1696" t="s">
        <v>9144</v>
      </c>
      <c r="AF1696">
        <v>40</v>
      </c>
      <c r="AG1696">
        <v>1</v>
      </c>
      <c r="AH1696">
        <v>1</v>
      </c>
      <c r="AI1696">
        <v>67.95999999999999</v>
      </c>
      <c r="AL1696" t="s">
        <v>19614</v>
      </c>
      <c r="AM1696">
        <v>11492</v>
      </c>
      <c r="AS1696">
        <v>0</v>
      </c>
      <c r="AU1696" t="s">
        <v>20657</v>
      </c>
      <c r="AV1696" t="s">
        <v>20733</v>
      </c>
    </row>
    <row r="1697" spans="1:48">
      <c r="A1697" s="1">
        <f>HYPERLINK("https://lsnyc.legalserver.org/matter/dynamic-profile/view/1897842","19-1897842")</f>
        <v>0</v>
      </c>
      <c r="B1697" t="s">
        <v>136</v>
      </c>
      <c r="C1697" t="s">
        <v>256</v>
      </c>
      <c r="D1697" t="s">
        <v>499</v>
      </c>
      <c r="F1697" t="s">
        <v>1971</v>
      </c>
      <c r="G1697" t="s">
        <v>4154</v>
      </c>
      <c r="H1697" t="s">
        <v>6119</v>
      </c>
      <c r="I1697" t="s">
        <v>8133</v>
      </c>
      <c r="J1697" t="s">
        <v>9067</v>
      </c>
      <c r="K1697">
        <v>10031</v>
      </c>
      <c r="L1697" t="s">
        <v>9094</v>
      </c>
      <c r="M1697" t="s">
        <v>9094</v>
      </c>
      <c r="N1697" t="s">
        <v>9823</v>
      </c>
      <c r="O1697" t="s">
        <v>11130</v>
      </c>
      <c r="P1697" t="s">
        <v>11165</v>
      </c>
      <c r="R1697" t="s">
        <v>11180</v>
      </c>
      <c r="S1697" t="s">
        <v>9096</v>
      </c>
      <c r="T1697" t="s">
        <v>11183</v>
      </c>
      <c r="U1697" t="s">
        <v>11201</v>
      </c>
      <c r="V1697" t="s">
        <v>317</v>
      </c>
      <c r="W1697">
        <v>2130</v>
      </c>
      <c r="X1697" t="s">
        <v>11335</v>
      </c>
      <c r="Y1697" t="s">
        <v>11339</v>
      </c>
      <c r="Z1697" t="s">
        <v>12536</v>
      </c>
      <c r="AB1697" t="s">
        <v>16931</v>
      </c>
      <c r="AC1697">
        <v>44</v>
      </c>
      <c r="AD1697" t="s">
        <v>19566</v>
      </c>
      <c r="AE1697" t="s">
        <v>19580</v>
      </c>
      <c r="AF1697">
        <v>22</v>
      </c>
      <c r="AG1697">
        <v>3</v>
      </c>
      <c r="AH1697">
        <v>0</v>
      </c>
      <c r="AI1697">
        <v>68.06999999999999</v>
      </c>
      <c r="AL1697" t="s">
        <v>19615</v>
      </c>
      <c r="AM1697">
        <v>14520</v>
      </c>
      <c r="AS1697">
        <v>0</v>
      </c>
      <c r="AU1697" t="s">
        <v>20657</v>
      </c>
    </row>
    <row r="1698" spans="1:48">
      <c r="A1698" s="1">
        <f>HYPERLINK("https://lsnyc.legalserver.org/matter/dynamic-profile/view/1860598","18-1860598")</f>
        <v>0</v>
      </c>
      <c r="B1698" t="s">
        <v>114</v>
      </c>
      <c r="C1698" t="s">
        <v>256</v>
      </c>
      <c r="D1698" t="s">
        <v>683</v>
      </c>
      <c r="F1698" t="s">
        <v>1550</v>
      </c>
      <c r="G1698" t="s">
        <v>3534</v>
      </c>
      <c r="H1698" t="s">
        <v>6629</v>
      </c>
      <c r="I1698" t="s">
        <v>8153</v>
      </c>
      <c r="J1698" t="s">
        <v>9065</v>
      </c>
      <c r="K1698">
        <v>10452</v>
      </c>
      <c r="L1698" t="s">
        <v>9094</v>
      </c>
      <c r="M1698" t="s">
        <v>9095</v>
      </c>
      <c r="P1698" t="s">
        <v>11166</v>
      </c>
      <c r="R1698" t="s">
        <v>11180</v>
      </c>
      <c r="T1698" t="s">
        <v>11183</v>
      </c>
      <c r="V1698" t="s">
        <v>11219</v>
      </c>
      <c r="W1698">
        <v>0</v>
      </c>
      <c r="X1698" t="s">
        <v>11333</v>
      </c>
      <c r="Z1698" t="s">
        <v>12537</v>
      </c>
      <c r="AB1698" t="s">
        <v>16932</v>
      </c>
      <c r="AC1698">
        <v>0</v>
      </c>
      <c r="AF1698">
        <v>0</v>
      </c>
      <c r="AG1698">
        <v>1</v>
      </c>
      <c r="AH1698">
        <v>0</v>
      </c>
      <c r="AI1698">
        <v>68.11</v>
      </c>
      <c r="AL1698" t="s">
        <v>19614</v>
      </c>
      <c r="AM1698">
        <v>8268</v>
      </c>
      <c r="AN1698" t="s">
        <v>19699</v>
      </c>
      <c r="AS1698">
        <v>6</v>
      </c>
      <c r="AT1698" t="s">
        <v>649</v>
      </c>
      <c r="AU1698" t="s">
        <v>247</v>
      </c>
    </row>
    <row r="1699" spans="1:48">
      <c r="A1699" s="1">
        <f>HYPERLINK("https://lsnyc.legalserver.org/matter/dynamic-profile/view/1861830","18-1861830")</f>
        <v>0</v>
      </c>
      <c r="B1699" t="s">
        <v>65</v>
      </c>
      <c r="C1699" t="s">
        <v>256</v>
      </c>
      <c r="D1699" t="s">
        <v>733</v>
      </c>
      <c r="F1699" t="s">
        <v>1972</v>
      </c>
      <c r="G1699" t="s">
        <v>4155</v>
      </c>
      <c r="H1699" t="s">
        <v>6630</v>
      </c>
      <c r="I1699">
        <v>415</v>
      </c>
      <c r="J1699" t="s">
        <v>9059</v>
      </c>
      <c r="K1699">
        <v>11225</v>
      </c>
      <c r="L1699" t="s">
        <v>9094</v>
      </c>
      <c r="M1699" t="s">
        <v>9094</v>
      </c>
      <c r="O1699" t="s">
        <v>11155</v>
      </c>
      <c r="P1699" t="s">
        <v>11168</v>
      </c>
      <c r="R1699" t="s">
        <v>11180</v>
      </c>
      <c r="S1699" t="s">
        <v>9096</v>
      </c>
      <c r="T1699" t="s">
        <v>11183</v>
      </c>
      <c r="V1699" t="s">
        <v>675</v>
      </c>
      <c r="W1699">
        <v>1100</v>
      </c>
      <c r="X1699" t="s">
        <v>11332</v>
      </c>
      <c r="Y1699" t="s">
        <v>11346</v>
      </c>
      <c r="Z1699" t="s">
        <v>12538</v>
      </c>
      <c r="AC1699">
        <v>42</v>
      </c>
      <c r="AD1699" t="s">
        <v>19566</v>
      </c>
      <c r="AE1699" t="s">
        <v>19580</v>
      </c>
      <c r="AF1699">
        <v>28</v>
      </c>
      <c r="AG1699">
        <v>2</v>
      </c>
      <c r="AH1699">
        <v>0</v>
      </c>
      <c r="AI1699">
        <v>68.17</v>
      </c>
      <c r="AL1699" t="s">
        <v>19614</v>
      </c>
      <c r="AM1699">
        <v>11220</v>
      </c>
      <c r="AS1699">
        <v>5.65</v>
      </c>
      <c r="AT1699" t="s">
        <v>426</v>
      </c>
      <c r="AU1699" t="s">
        <v>20630</v>
      </c>
    </row>
    <row r="1700" spans="1:48">
      <c r="A1700" s="1">
        <f>HYPERLINK("https://lsnyc.legalserver.org/matter/dynamic-profile/view/1874240","18-1874240")</f>
        <v>0</v>
      </c>
      <c r="B1700" t="s">
        <v>65</v>
      </c>
      <c r="C1700" t="s">
        <v>256</v>
      </c>
      <c r="D1700" t="s">
        <v>585</v>
      </c>
      <c r="F1700" t="s">
        <v>1972</v>
      </c>
      <c r="G1700" t="s">
        <v>4155</v>
      </c>
      <c r="H1700" t="s">
        <v>6630</v>
      </c>
      <c r="I1700">
        <v>415</v>
      </c>
      <c r="J1700" t="s">
        <v>9059</v>
      </c>
      <c r="K1700">
        <v>11225</v>
      </c>
      <c r="L1700" t="s">
        <v>9094</v>
      </c>
      <c r="M1700" t="s">
        <v>9094</v>
      </c>
      <c r="O1700" t="s">
        <v>11136</v>
      </c>
      <c r="P1700" t="s">
        <v>11166</v>
      </c>
      <c r="R1700" t="s">
        <v>11180</v>
      </c>
      <c r="S1700" t="s">
        <v>9096</v>
      </c>
      <c r="T1700" t="s">
        <v>11183</v>
      </c>
      <c r="V1700" t="s">
        <v>553</v>
      </c>
      <c r="W1700">
        <v>257.3</v>
      </c>
      <c r="X1700" t="s">
        <v>11332</v>
      </c>
      <c r="Y1700" t="s">
        <v>11346</v>
      </c>
      <c r="Z1700" t="s">
        <v>12538</v>
      </c>
      <c r="AC1700">
        <v>42</v>
      </c>
      <c r="AD1700" t="s">
        <v>19566</v>
      </c>
      <c r="AE1700" t="s">
        <v>19580</v>
      </c>
      <c r="AF1700">
        <v>28</v>
      </c>
      <c r="AG1700">
        <v>2</v>
      </c>
      <c r="AH1700">
        <v>0</v>
      </c>
      <c r="AI1700">
        <v>68.17</v>
      </c>
      <c r="AL1700" t="s">
        <v>19614</v>
      </c>
      <c r="AM1700">
        <v>11220</v>
      </c>
      <c r="AS1700">
        <v>1.7</v>
      </c>
      <c r="AT1700" t="s">
        <v>319</v>
      </c>
      <c r="AU1700" t="s">
        <v>20630</v>
      </c>
    </row>
    <row r="1701" spans="1:48">
      <c r="A1701" s="1">
        <f>HYPERLINK("https://lsnyc.legalserver.org/matter/dynamic-profile/view/1899865","19-1899865")</f>
        <v>0</v>
      </c>
      <c r="B1701" t="s">
        <v>113</v>
      </c>
      <c r="C1701" t="s">
        <v>256</v>
      </c>
      <c r="D1701" t="s">
        <v>411</v>
      </c>
      <c r="F1701" t="s">
        <v>1973</v>
      </c>
      <c r="G1701" t="s">
        <v>3873</v>
      </c>
      <c r="H1701" t="s">
        <v>5864</v>
      </c>
      <c r="I1701" t="s">
        <v>8139</v>
      </c>
      <c r="J1701" t="s">
        <v>9065</v>
      </c>
      <c r="K1701">
        <v>10460</v>
      </c>
      <c r="L1701" t="s">
        <v>9094</v>
      </c>
      <c r="M1701" t="s">
        <v>9095</v>
      </c>
      <c r="O1701" t="s">
        <v>9121</v>
      </c>
      <c r="P1701" t="s">
        <v>11166</v>
      </c>
      <c r="R1701" t="s">
        <v>11180</v>
      </c>
      <c r="S1701" t="s">
        <v>9094</v>
      </c>
      <c r="T1701" t="s">
        <v>11183</v>
      </c>
      <c r="V1701" t="s">
        <v>11218</v>
      </c>
      <c r="W1701">
        <v>266.5</v>
      </c>
      <c r="X1701" t="s">
        <v>11333</v>
      </c>
      <c r="Y1701" t="s">
        <v>11346</v>
      </c>
      <c r="Z1701" t="s">
        <v>12539</v>
      </c>
      <c r="AB1701" t="s">
        <v>16933</v>
      </c>
      <c r="AC1701">
        <v>168</v>
      </c>
      <c r="AD1701" t="s">
        <v>19566</v>
      </c>
      <c r="AE1701" t="s">
        <v>19580</v>
      </c>
      <c r="AF1701">
        <v>8</v>
      </c>
      <c r="AG1701">
        <v>1</v>
      </c>
      <c r="AH1701">
        <v>0</v>
      </c>
      <c r="AI1701">
        <v>68.20999999999999</v>
      </c>
      <c r="AL1701" t="s">
        <v>19615</v>
      </c>
      <c r="AM1701">
        <v>8520</v>
      </c>
      <c r="AS1701">
        <v>0</v>
      </c>
      <c r="AU1701" t="s">
        <v>20647</v>
      </c>
      <c r="AV1701" t="s">
        <v>20733</v>
      </c>
    </row>
    <row r="1702" spans="1:48">
      <c r="A1702" s="1">
        <f>HYPERLINK("https://lsnyc.legalserver.org/matter/dynamic-profile/view/1848912","17-1848912")</f>
        <v>0</v>
      </c>
      <c r="B1702" t="s">
        <v>203</v>
      </c>
      <c r="C1702" t="s">
        <v>256</v>
      </c>
      <c r="D1702" t="s">
        <v>531</v>
      </c>
      <c r="F1702" t="s">
        <v>1974</v>
      </c>
      <c r="G1702" t="s">
        <v>4156</v>
      </c>
      <c r="H1702" t="s">
        <v>6631</v>
      </c>
      <c r="J1702" t="s">
        <v>9059</v>
      </c>
      <c r="K1702">
        <v>11215</v>
      </c>
      <c r="L1702" t="s">
        <v>9094</v>
      </c>
      <c r="M1702" t="s">
        <v>9095</v>
      </c>
      <c r="N1702" t="s">
        <v>9824</v>
      </c>
      <c r="O1702" t="s">
        <v>11130</v>
      </c>
      <c r="P1702" t="s">
        <v>11165</v>
      </c>
      <c r="R1702" t="s">
        <v>11180</v>
      </c>
      <c r="S1702" t="s">
        <v>9096</v>
      </c>
      <c r="T1702" t="s">
        <v>11183</v>
      </c>
      <c r="V1702" t="s">
        <v>734</v>
      </c>
      <c r="W1702">
        <v>1046</v>
      </c>
      <c r="X1702" t="s">
        <v>11332</v>
      </c>
      <c r="Z1702" t="s">
        <v>12540</v>
      </c>
      <c r="AC1702">
        <v>8</v>
      </c>
      <c r="AF1702">
        <v>27</v>
      </c>
      <c r="AG1702">
        <v>4</v>
      </c>
      <c r="AH1702">
        <v>0</v>
      </c>
      <c r="AI1702">
        <v>68.29000000000001</v>
      </c>
      <c r="AL1702" t="s">
        <v>19615</v>
      </c>
      <c r="AM1702">
        <v>16800</v>
      </c>
      <c r="AN1702" t="s">
        <v>19815</v>
      </c>
      <c r="AS1702">
        <v>18.75</v>
      </c>
      <c r="AT1702" t="s">
        <v>576</v>
      </c>
      <c r="AU1702" t="s">
        <v>203</v>
      </c>
    </row>
    <row r="1703" spans="1:48">
      <c r="A1703" s="1">
        <f>HYPERLINK("https://lsnyc.legalserver.org/matter/dynamic-profile/view/0799602","16-0799602")</f>
        <v>0</v>
      </c>
      <c r="B1703" t="s">
        <v>101</v>
      </c>
      <c r="C1703" t="s">
        <v>256</v>
      </c>
      <c r="D1703" t="s">
        <v>830</v>
      </c>
      <c r="F1703" t="s">
        <v>1975</v>
      </c>
      <c r="G1703" t="s">
        <v>3220</v>
      </c>
      <c r="H1703" t="s">
        <v>5890</v>
      </c>
      <c r="I1703" t="s">
        <v>8487</v>
      </c>
      <c r="J1703" t="s">
        <v>9065</v>
      </c>
      <c r="K1703">
        <v>10453</v>
      </c>
      <c r="L1703" t="s">
        <v>9094</v>
      </c>
      <c r="M1703" t="s">
        <v>9095</v>
      </c>
      <c r="N1703" t="s">
        <v>9310</v>
      </c>
      <c r="O1703" t="s">
        <v>11132</v>
      </c>
      <c r="P1703" t="s">
        <v>11165</v>
      </c>
      <c r="R1703" t="s">
        <v>11180</v>
      </c>
      <c r="S1703" t="s">
        <v>9094</v>
      </c>
      <c r="T1703" t="s">
        <v>11183</v>
      </c>
      <c r="V1703" t="s">
        <v>884</v>
      </c>
      <c r="W1703">
        <v>1325</v>
      </c>
      <c r="X1703" t="s">
        <v>11333</v>
      </c>
      <c r="Y1703" t="s">
        <v>11338</v>
      </c>
      <c r="Z1703" t="s">
        <v>12541</v>
      </c>
      <c r="AB1703" t="s">
        <v>16934</v>
      </c>
      <c r="AC1703">
        <v>0</v>
      </c>
      <c r="AD1703" t="s">
        <v>19566</v>
      </c>
      <c r="AE1703" t="s">
        <v>19582</v>
      </c>
      <c r="AF1703">
        <v>2</v>
      </c>
      <c r="AG1703">
        <v>2</v>
      </c>
      <c r="AH1703">
        <v>3</v>
      </c>
      <c r="AI1703">
        <v>68.3</v>
      </c>
      <c r="AL1703" t="s">
        <v>19614</v>
      </c>
      <c r="AM1703">
        <v>19424.4</v>
      </c>
      <c r="AS1703">
        <v>2.5</v>
      </c>
      <c r="AT1703" t="s">
        <v>616</v>
      </c>
      <c r="AU1703" t="s">
        <v>109</v>
      </c>
    </row>
    <row r="1704" spans="1:48">
      <c r="A1704" s="1">
        <f>HYPERLINK("https://lsnyc.legalserver.org/matter/dynamic-profile/view/1887538","19-1887538")</f>
        <v>0</v>
      </c>
      <c r="B1704" t="s">
        <v>204</v>
      </c>
      <c r="C1704" t="s">
        <v>257</v>
      </c>
      <c r="D1704" t="s">
        <v>516</v>
      </c>
      <c r="E1704" t="s">
        <v>551</v>
      </c>
      <c r="F1704" t="s">
        <v>1976</v>
      </c>
      <c r="G1704" t="s">
        <v>3644</v>
      </c>
      <c r="H1704" t="s">
        <v>6632</v>
      </c>
      <c r="I1704" t="s">
        <v>8293</v>
      </c>
      <c r="J1704" t="s">
        <v>9059</v>
      </c>
      <c r="K1704">
        <v>11233</v>
      </c>
      <c r="L1704" t="s">
        <v>9094</v>
      </c>
      <c r="M1704" t="s">
        <v>9095</v>
      </c>
      <c r="O1704" t="s">
        <v>11128</v>
      </c>
      <c r="P1704" t="s">
        <v>11165</v>
      </c>
      <c r="Q1704" t="s">
        <v>11174</v>
      </c>
      <c r="R1704" t="s">
        <v>11180</v>
      </c>
      <c r="S1704" t="s">
        <v>9096</v>
      </c>
      <c r="T1704" t="s">
        <v>11183</v>
      </c>
      <c r="V1704" t="s">
        <v>516</v>
      </c>
      <c r="W1704">
        <v>1550</v>
      </c>
      <c r="X1704" t="s">
        <v>11332</v>
      </c>
      <c r="Y1704" t="s">
        <v>11340</v>
      </c>
      <c r="Z1704" t="s">
        <v>12542</v>
      </c>
      <c r="AB1704" t="s">
        <v>16935</v>
      </c>
      <c r="AC1704">
        <v>0</v>
      </c>
      <c r="AF1704">
        <v>9</v>
      </c>
      <c r="AG1704">
        <v>2</v>
      </c>
      <c r="AH1704">
        <v>0</v>
      </c>
      <c r="AI1704">
        <v>68.38</v>
      </c>
      <c r="AL1704" t="s">
        <v>19614</v>
      </c>
      <c r="AM1704">
        <v>11256</v>
      </c>
      <c r="AO1704" t="s">
        <v>20292</v>
      </c>
      <c r="AP1704" t="s">
        <v>20335</v>
      </c>
      <c r="AQ1704" t="s">
        <v>20369</v>
      </c>
      <c r="AR1704" t="s">
        <v>20454</v>
      </c>
      <c r="AS1704">
        <v>7</v>
      </c>
      <c r="AT1704" t="s">
        <v>551</v>
      </c>
      <c r="AU1704" t="s">
        <v>20678</v>
      </c>
      <c r="AV1704" t="s">
        <v>9144</v>
      </c>
    </row>
    <row r="1705" spans="1:48">
      <c r="A1705" s="1">
        <f>HYPERLINK("https://lsnyc.legalserver.org/matter/dynamic-profile/view/1896074","19-1896074")</f>
        <v>0</v>
      </c>
      <c r="B1705" t="s">
        <v>106</v>
      </c>
      <c r="C1705" t="s">
        <v>256</v>
      </c>
      <c r="D1705" t="s">
        <v>545</v>
      </c>
      <c r="F1705" t="s">
        <v>1374</v>
      </c>
      <c r="G1705" t="s">
        <v>2961</v>
      </c>
      <c r="H1705" t="s">
        <v>6624</v>
      </c>
      <c r="I1705" t="s">
        <v>8488</v>
      </c>
      <c r="J1705" t="s">
        <v>9065</v>
      </c>
      <c r="K1705">
        <v>10458</v>
      </c>
      <c r="L1705" t="s">
        <v>9094</v>
      </c>
      <c r="M1705" t="s">
        <v>9094</v>
      </c>
      <c r="N1705" t="s">
        <v>9819</v>
      </c>
      <c r="O1705" t="s">
        <v>11134</v>
      </c>
      <c r="P1705" t="s">
        <v>11168</v>
      </c>
      <c r="R1705" t="s">
        <v>11180</v>
      </c>
      <c r="S1705" t="s">
        <v>9094</v>
      </c>
      <c r="T1705" t="s">
        <v>11183</v>
      </c>
      <c r="V1705" t="s">
        <v>11212</v>
      </c>
      <c r="W1705">
        <v>1071</v>
      </c>
      <c r="X1705" t="s">
        <v>11333</v>
      </c>
      <c r="Y1705" t="s">
        <v>11346</v>
      </c>
      <c r="Z1705" t="s">
        <v>12543</v>
      </c>
      <c r="AB1705" t="s">
        <v>16936</v>
      </c>
      <c r="AC1705">
        <v>142</v>
      </c>
      <c r="AD1705" t="s">
        <v>19565</v>
      </c>
      <c r="AE1705" t="s">
        <v>9144</v>
      </c>
      <c r="AF1705">
        <v>18</v>
      </c>
      <c r="AG1705">
        <v>1</v>
      </c>
      <c r="AH1705">
        <v>0</v>
      </c>
      <c r="AI1705">
        <v>68.5</v>
      </c>
      <c r="AL1705" t="s">
        <v>19615</v>
      </c>
      <c r="AM1705">
        <v>8316</v>
      </c>
      <c r="AS1705">
        <v>0.1</v>
      </c>
      <c r="AT1705" t="s">
        <v>492</v>
      </c>
      <c r="AU1705" t="s">
        <v>220</v>
      </c>
      <c r="AV1705" t="s">
        <v>20733</v>
      </c>
    </row>
    <row r="1706" spans="1:48">
      <c r="A1706" s="1">
        <f>HYPERLINK("https://lsnyc.legalserver.org/matter/dynamic-profile/view/1882944","18-1882944")</f>
        <v>0</v>
      </c>
      <c r="B1706" t="s">
        <v>106</v>
      </c>
      <c r="C1706" t="s">
        <v>257</v>
      </c>
      <c r="D1706" t="s">
        <v>831</v>
      </c>
      <c r="E1706" t="s">
        <v>429</v>
      </c>
      <c r="F1706" t="s">
        <v>1374</v>
      </c>
      <c r="G1706" t="s">
        <v>2961</v>
      </c>
      <c r="H1706" t="s">
        <v>6624</v>
      </c>
      <c r="I1706" t="s">
        <v>8488</v>
      </c>
      <c r="J1706" t="s">
        <v>9065</v>
      </c>
      <c r="K1706">
        <v>10458</v>
      </c>
      <c r="L1706" t="s">
        <v>9094</v>
      </c>
      <c r="M1706" t="s">
        <v>9094</v>
      </c>
      <c r="N1706" t="s">
        <v>9825</v>
      </c>
      <c r="O1706" t="s">
        <v>11130</v>
      </c>
      <c r="P1706" t="s">
        <v>11165</v>
      </c>
      <c r="Q1706" t="s">
        <v>11179</v>
      </c>
      <c r="R1706" t="s">
        <v>11180</v>
      </c>
      <c r="S1706" t="s">
        <v>9094</v>
      </c>
      <c r="T1706" t="s">
        <v>11183</v>
      </c>
      <c r="V1706" t="s">
        <v>11212</v>
      </c>
      <c r="W1706">
        <v>1587</v>
      </c>
      <c r="X1706" t="s">
        <v>11333</v>
      </c>
      <c r="Y1706" t="s">
        <v>11346</v>
      </c>
      <c r="Z1706" t="s">
        <v>12543</v>
      </c>
      <c r="AB1706" t="s">
        <v>16936</v>
      </c>
      <c r="AC1706">
        <v>0</v>
      </c>
      <c r="AD1706" t="s">
        <v>19565</v>
      </c>
      <c r="AE1706" t="s">
        <v>19580</v>
      </c>
      <c r="AF1706">
        <v>11</v>
      </c>
      <c r="AG1706">
        <v>1</v>
      </c>
      <c r="AH1706">
        <v>0</v>
      </c>
      <c r="AI1706">
        <v>68.5</v>
      </c>
      <c r="AL1706" t="s">
        <v>19615</v>
      </c>
      <c r="AM1706">
        <v>8316</v>
      </c>
      <c r="AS1706">
        <v>0.8</v>
      </c>
      <c r="AT1706" t="s">
        <v>429</v>
      </c>
      <c r="AU1706" t="s">
        <v>163</v>
      </c>
      <c r="AV1706" t="s">
        <v>20733</v>
      </c>
    </row>
    <row r="1707" spans="1:48">
      <c r="A1707" s="1">
        <f>HYPERLINK("https://lsnyc.legalserver.org/matter/dynamic-profile/view/0806925","16-0806925")</f>
        <v>0</v>
      </c>
      <c r="B1707" t="s">
        <v>141</v>
      </c>
      <c r="C1707" t="s">
        <v>256</v>
      </c>
      <c r="D1707" t="s">
        <v>590</v>
      </c>
      <c r="F1707" t="s">
        <v>1970</v>
      </c>
      <c r="G1707" t="s">
        <v>3419</v>
      </c>
      <c r="H1707" t="s">
        <v>6382</v>
      </c>
      <c r="I1707" t="s">
        <v>8187</v>
      </c>
      <c r="J1707" t="s">
        <v>9067</v>
      </c>
      <c r="K1707">
        <v>10034</v>
      </c>
      <c r="L1707" t="s">
        <v>9094</v>
      </c>
      <c r="M1707" t="s">
        <v>9095</v>
      </c>
      <c r="N1707" t="s">
        <v>9628</v>
      </c>
      <c r="O1707" t="s">
        <v>11130</v>
      </c>
      <c r="P1707" t="s">
        <v>11165</v>
      </c>
      <c r="R1707" t="s">
        <v>11180</v>
      </c>
      <c r="S1707" t="s">
        <v>9094</v>
      </c>
      <c r="T1707" t="s">
        <v>11183</v>
      </c>
      <c r="V1707" t="s">
        <v>956</v>
      </c>
      <c r="W1707">
        <v>986</v>
      </c>
      <c r="X1707" t="s">
        <v>11335</v>
      </c>
      <c r="Y1707" t="s">
        <v>11346</v>
      </c>
      <c r="Z1707" t="s">
        <v>12533</v>
      </c>
      <c r="AB1707" t="s">
        <v>16928</v>
      </c>
      <c r="AC1707">
        <v>44</v>
      </c>
      <c r="AD1707" t="s">
        <v>19566</v>
      </c>
      <c r="AE1707" t="s">
        <v>19587</v>
      </c>
      <c r="AF1707">
        <v>22</v>
      </c>
      <c r="AG1707">
        <v>4</v>
      </c>
      <c r="AH1707">
        <v>2</v>
      </c>
      <c r="AI1707">
        <v>68.55</v>
      </c>
      <c r="AL1707" t="s">
        <v>19615</v>
      </c>
      <c r="AM1707">
        <v>22332</v>
      </c>
      <c r="AS1707">
        <v>306.05</v>
      </c>
      <c r="AT1707" t="s">
        <v>833</v>
      </c>
      <c r="AU1707" t="s">
        <v>20657</v>
      </c>
    </row>
    <row r="1708" spans="1:48">
      <c r="A1708" s="1">
        <f>HYPERLINK("https://lsnyc.legalserver.org/matter/dynamic-profile/view/1854940","18-1854940")</f>
        <v>0</v>
      </c>
      <c r="B1708" t="s">
        <v>101</v>
      </c>
      <c r="C1708" t="s">
        <v>256</v>
      </c>
      <c r="D1708" t="s">
        <v>792</v>
      </c>
      <c r="F1708" t="s">
        <v>1527</v>
      </c>
      <c r="G1708" t="s">
        <v>4157</v>
      </c>
      <c r="H1708" t="s">
        <v>6041</v>
      </c>
      <c r="I1708" t="s">
        <v>8192</v>
      </c>
      <c r="J1708" t="s">
        <v>9065</v>
      </c>
      <c r="K1708">
        <v>10452</v>
      </c>
      <c r="L1708" t="s">
        <v>9094</v>
      </c>
      <c r="M1708" t="s">
        <v>9095</v>
      </c>
      <c r="N1708" t="s">
        <v>9496</v>
      </c>
      <c r="O1708" t="s">
        <v>11135</v>
      </c>
      <c r="P1708" t="s">
        <v>11168</v>
      </c>
      <c r="R1708" t="s">
        <v>11180</v>
      </c>
      <c r="S1708" t="s">
        <v>9094</v>
      </c>
      <c r="T1708" t="s">
        <v>11183</v>
      </c>
      <c r="V1708" t="s">
        <v>1122</v>
      </c>
      <c r="W1708">
        <v>1906</v>
      </c>
      <c r="X1708" t="s">
        <v>11333</v>
      </c>
      <c r="Y1708" t="s">
        <v>11346</v>
      </c>
      <c r="Z1708" t="s">
        <v>12544</v>
      </c>
      <c r="AB1708" t="s">
        <v>16937</v>
      </c>
      <c r="AC1708">
        <v>62</v>
      </c>
      <c r="AD1708" t="s">
        <v>19566</v>
      </c>
      <c r="AE1708" t="s">
        <v>9144</v>
      </c>
      <c r="AF1708">
        <v>10</v>
      </c>
      <c r="AG1708">
        <v>3</v>
      </c>
      <c r="AH1708">
        <v>0</v>
      </c>
      <c r="AI1708">
        <v>68.56</v>
      </c>
      <c r="AL1708" t="s">
        <v>19615</v>
      </c>
      <c r="AM1708">
        <v>14000</v>
      </c>
      <c r="AS1708">
        <v>0</v>
      </c>
      <c r="AU1708" t="s">
        <v>20643</v>
      </c>
    </row>
    <row r="1709" spans="1:48">
      <c r="A1709" s="1">
        <f>HYPERLINK("https://lsnyc.legalserver.org/matter/dynamic-profile/view/1892835","19-1892835")</f>
        <v>0</v>
      </c>
      <c r="B1709" t="s">
        <v>147</v>
      </c>
      <c r="C1709" t="s">
        <v>257</v>
      </c>
      <c r="D1709" t="s">
        <v>507</v>
      </c>
      <c r="E1709" t="s">
        <v>806</v>
      </c>
      <c r="F1709" t="s">
        <v>1641</v>
      </c>
      <c r="G1709" t="s">
        <v>4158</v>
      </c>
      <c r="H1709" t="s">
        <v>6633</v>
      </c>
      <c r="J1709" t="s">
        <v>9066</v>
      </c>
      <c r="K1709">
        <v>10304</v>
      </c>
      <c r="L1709" t="s">
        <v>9094</v>
      </c>
      <c r="M1709" t="s">
        <v>9095</v>
      </c>
      <c r="N1709" t="s">
        <v>9826</v>
      </c>
      <c r="O1709" t="s">
        <v>11129</v>
      </c>
      <c r="P1709" t="s">
        <v>11165</v>
      </c>
      <c r="Q1709" t="s">
        <v>11174</v>
      </c>
      <c r="R1709" t="s">
        <v>11180</v>
      </c>
      <c r="S1709" t="s">
        <v>9096</v>
      </c>
      <c r="T1709" t="s">
        <v>11183</v>
      </c>
      <c r="V1709" t="s">
        <v>507</v>
      </c>
      <c r="W1709">
        <v>0</v>
      </c>
      <c r="X1709" t="s">
        <v>11334</v>
      </c>
      <c r="Z1709" t="s">
        <v>12545</v>
      </c>
      <c r="AB1709" t="s">
        <v>16938</v>
      </c>
      <c r="AC1709">
        <v>0</v>
      </c>
      <c r="AD1709" t="s">
        <v>19565</v>
      </c>
      <c r="AF1709">
        <v>0</v>
      </c>
      <c r="AG1709">
        <v>4</v>
      </c>
      <c r="AH1709">
        <v>1</v>
      </c>
      <c r="AI1709">
        <v>68.61</v>
      </c>
      <c r="AL1709" t="s">
        <v>19614</v>
      </c>
      <c r="AM1709">
        <v>20700</v>
      </c>
      <c r="AS1709">
        <v>9.6</v>
      </c>
      <c r="AT1709" t="s">
        <v>806</v>
      </c>
      <c r="AU1709" t="s">
        <v>20654</v>
      </c>
      <c r="AV1709" t="s">
        <v>20733</v>
      </c>
    </row>
    <row r="1710" spans="1:48">
      <c r="A1710" s="1">
        <f>HYPERLINK("https://lsnyc.legalserver.org/matter/dynamic-profile/view/1908571","19-1908571")</f>
        <v>0</v>
      </c>
      <c r="B1710" t="s">
        <v>72</v>
      </c>
      <c r="C1710" t="s">
        <v>256</v>
      </c>
      <c r="D1710" t="s">
        <v>410</v>
      </c>
      <c r="F1710" t="s">
        <v>1177</v>
      </c>
      <c r="G1710" t="s">
        <v>4159</v>
      </c>
      <c r="H1710" t="s">
        <v>6634</v>
      </c>
      <c r="I1710" t="s">
        <v>8433</v>
      </c>
      <c r="J1710" t="s">
        <v>9059</v>
      </c>
      <c r="K1710">
        <v>11208</v>
      </c>
      <c r="L1710" t="s">
        <v>9094</v>
      </c>
      <c r="M1710" t="s">
        <v>9095</v>
      </c>
      <c r="N1710" t="s">
        <v>9827</v>
      </c>
      <c r="O1710" t="s">
        <v>11128</v>
      </c>
      <c r="P1710" t="s">
        <v>11164</v>
      </c>
      <c r="R1710" t="s">
        <v>11180</v>
      </c>
      <c r="T1710" t="s">
        <v>11183</v>
      </c>
      <c r="V1710" t="s">
        <v>410</v>
      </c>
      <c r="W1710">
        <v>2199.98</v>
      </c>
      <c r="X1710" t="s">
        <v>11332</v>
      </c>
      <c r="Y1710" t="s">
        <v>11336</v>
      </c>
      <c r="Z1710" t="s">
        <v>12546</v>
      </c>
      <c r="AA1710" t="s">
        <v>15594</v>
      </c>
      <c r="AB1710" t="s">
        <v>16939</v>
      </c>
      <c r="AC1710">
        <v>4</v>
      </c>
      <c r="AF1710">
        <v>0</v>
      </c>
      <c r="AG1710">
        <v>1</v>
      </c>
      <c r="AH1710">
        <v>3</v>
      </c>
      <c r="AI1710">
        <v>68.66</v>
      </c>
      <c r="AL1710" t="s">
        <v>19614</v>
      </c>
      <c r="AM1710">
        <v>17680</v>
      </c>
      <c r="AS1710">
        <v>1.25</v>
      </c>
      <c r="AT1710" t="s">
        <v>410</v>
      </c>
      <c r="AU1710" t="s">
        <v>20626</v>
      </c>
      <c r="AV1710" t="s">
        <v>20733</v>
      </c>
    </row>
    <row r="1711" spans="1:48">
      <c r="A1711" s="1">
        <f>HYPERLINK("https://lsnyc.legalserver.org/matter/dynamic-profile/view/1905118","19-1905118")</f>
        <v>0</v>
      </c>
      <c r="B1711" t="s">
        <v>71</v>
      </c>
      <c r="C1711" t="s">
        <v>256</v>
      </c>
      <c r="D1711" t="s">
        <v>367</v>
      </c>
      <c r="F1711" t="s">
        <v>1884</v>
      </c>
      <c r="G1711" t="s">
        <v>1362</v>
      </c>
      <c r="H1711" t="s">
        <v>6153</v>
      </c>
      <c r="I1711" t="s">
        <v>8302</v>
      </c>
      <c r="J1711" t="s">
        <v>9059</v>
      </c>
      <c r="K1711">
        <v>11233</v>
      </c>
      <c r="L1711" t="s">
        <v>9094</v>
      </c>
      <c r="M1711" t="s">
        <v>9095</v>
      </c>
      <c r="N1711" t="s">
        <v>9828</v>
      </c>
      <c r="O1711" t="s">
        <v>11129</v>
      </c>
      <c r="P1711" t="s">
        <v>11165</v>
      </c>
      <c r="R1711" t="s">
        <v>11180</v>
      </c>
      <c r="S1711" t="s">
        <v>9096</v>
      </c>
      <c r="T1711" t="s">
        <v>11183</v>
      </c>
      <c r="U1711" t="s">
        <v>11201</v>
      </c>
      <c r="V1711" t="s">
        <v>493</v>
      </c>
      <c r="W1711">
        <v>826</v>
      </c>
      <c r="X1711" t="s">
        <v>11332</v>
      </c>
      <c r="Y1711" t="s">
        <v>11340</v>
      </c>
      <c r="Z1711" t="s">
        <v>12547</v>
      </c>
      <c r="AA1711" t="s">
        <v>9171</v>
      </c>
      <c r="AB1711" t="s">
        <v>16940</v>
      </c>
      <c r="AC1711">
        <v>42</v>
      </c>
      <c r="AD1711" t="s">
        <v>19566</v>
      </c>
      <c r="AE1711" t="s">
        <v>19587</v>
      </c>
      <c r="AF1711">
        <v>14</v>
      </c>
      <c r="AG1711">
        <v>1</v>
      </c>
      <c r="AH1711">
        <v>0</v>
      </c>
      <c r="AI1711">
        <v>68.69</v>
      </c>
      <c r="AL1711" t="s">
        <v>19614</v>
      </c>
      <c r="AM1711">
        <v>8580</v>
      </c>
      <c r="AS1711">
        <v>27</v>
      </c>
      <c r="AT1711" t="s">
        <v>377</v>
      </c>
      <c r="AU1711" t="s">
        <v>95</v>
      </c>
      <c r="AV1711" t="s">
        <v>20733</v>
      </c>
    </row>
    <row r="1712" spans="1:48">
      <c r="A1712" s="1">
        <f>HYPERLINK("https://lsnyc.legalserver.org/matter/dynamic-profile/view/0816037","16-0816037")</f>
        <v>0</v>
      </c>
      <c r="B1712" t="s">
        <v>111</v>
      </c>
      <c r="C1712" t="s">
        <v>256</v>
      </c>
      <c r="D1712" t="s">
        <v>704</v>
      </c>
      <c r="F1712" t="s">
        <v>1238</v>
      </c>
      <c r="G1712" t="s">
        <v>3838</v>
      </c>
      <c r="H1712" t="s">
        <v>6606</v>
      </c>
      <c r="I1712" t="s">
        <v>8124</v>
      </c>
      <c r="J1712" t="s">
        <v>9065</v>
      </c>
      <c r="K1712">
        <v>10453</v>
      </c>
      <c r="L1712" t="s">
        <v>9094</v>
      </c>
      <c r="M1712" t="s">
        <v>9095</v>
      </c>
      <c r="N1712" t="s">
        <v>9829</v>
      </c>
      <c r="O1712" t="s">
        <v>11129</v>
      </c>
      <c r="P1712" t="s">
        <v>11165</v>
      </c>
      <c r="R1712" t="s">
        <v>11180</v>
      </c>
      <c r="T1712" t="s">
        <v>11183</v>
      </c>
      <c r="V1712" t="s">
        <v>517</v>
      </c>
      <c r="W1712">
        <v>1437.99</v>
      </c>
      <c r="X1712" t="s">
        <v>11333</v>
      </c>
      <c r="Y1712" t="s">
        <v>11341</v>
      </c>
      <c r="Z1712" t="s">
        <v>12510</v>
      </c>
      <c r="AA1712" t="s">
        <v>15588</v>
      </c>
      <c r="AC1712">
        <v>101</v>
      </c>
      <c r="AD1712" t="s">
        <v>19566</v>
      </c>
      <c r="AE1712" t="s">
        <v>19580</v>
      </c>
      <c r="AF1712">
        <v>13</v>
      </c>
      <c r="AG1712">
        <v>1</v>
      </c>
      <c r="AH1712">
        <v>3</v>
      </c>
      <c r="AI1712">
        <v>68.69</v>
      </c>
      <c r="AL1712" t="s">
        <v>19614</v>
      </c>
      <c r="AM1712">
        <v>25488</v>
      </c>
      <c r="AR1712" t="s">
        <v>20405</v>
      </c>
      <c r="AS1712">
        <v>39.75</v>
      </c>
      <c r="AT1712" t="s">
        <v>666</v>
      </c>
      <c r="AU1712" t="s">
        <v>111</v>
      </c>
    </row>
    <row r="1713" spans="1:48">
      <c r="A1713" s="1">
        <f>HYPERLINK("https://lsnyc.legalserver.org/matter/dynamic-profile/view/1894948","19-1894948")</f>
        <v>0</v>
      </c>
      <c r="B1713" t="s">
        <v>115</v>
      </c>
      <c r="C1713" t="s">
        <v>256</v>
      </c>
      <c r="D1713" t="s">
        <v>718</v>
      </c>
      <c r="F1713" t="s">
        <v>1152</v>
      </c>
      <c r="G1713" t="s">
        <v>4160</v>
      </c>
      <c r="H1713" t="s">
        <v>6635</v>
      </c>
      <c r="I1713">
        <v>1</v>
      </c>
      <c r="J1713" t="s">
        <v>9065</v>
      </c>
      <c r="K1713">
        <v>10459</v>
      </c>
      <c r="L1713" t="s">
        <v>9094</v>
      </c>
      <c r="M1713" t="s">
        <v>9094</v>
      </c>
      <c r="N1713" t="s">
        <v>9830</v>
      </c>
      <c r="O1713" t="s">
        <v>11129</v>
      </c>
      <c r="P1713" t="s">
        <v>11165</v>
      </c>
      <c r="R1713" t="s">
        <v>11180</v>
      </c>
      <c r="S1713" t="s">
        <v>9096</v>
      </c>
      <c r="T1713" t="s">
        <v>11183</v>
      </c>
      <c r="V1713" t="s">
        <v>718</v>
      </c>
      <c r="W1713">
        <v>1545</v>
      </c>
      <c r="X1713" t="s">
        <v>11333</v>
      </c>
      <c r="Y1713" t="s">
        <v>11336</v>
      </c>
      <c r="Z1713" t="s">
        <v>12548</v>
      </c>
      <c r="AA1713" t="s">
        <v>15595</v>
      </c>
      <c r="AB1713" t="s">
        <v>16941</v>
      </c>
      <c r="AC1713">
        <v>0</v>
      </c>
      <c r="AD1713" t="s">
        <v>15441</v>
      </c>
      <c r="AE1713" t="s">
        <v>19586</v>
      </c>
      <c r="AF1713">
        <v>3</v>
      </c>
      <c r="AG1713">
        <v>2</v>
      </c>
      <c r="AH1713">
        <v>1</v>
      </c>
      <c r="AI1713">
        <v>68.75</v>
      </c>
      <c r="AL1713" t="s">
        <v>19614</v>
      </c>
      <c r="AM1713">
        <v>14664</v>
      </c>
      <c r="AN1713" t="s">
        <v>19816</v>
      </c>
      <c r="AS1713">
        <v>16.8</v>
      </c>
      <c r="AT1713" t="s">
        <v>484</v>
      </c>
      <c r="AU1713" t="s">
        <v>220</v>
      </c>
      <c r="AV1713" t="s">
        <v>20734</v>
      </c>
    </row>
    <row r="1714" spans="1:48">
      <c r="A1714" s="1">
        <f>HYPERLINK("https://lsnyc.legalserver.org/matter/dynamic-profile/view/1904778","19-1904778")</f>
        <v>0</v>
      </c>
      <c r="B1714" t="s">
        <v>123</v>
      </c>
      <c r="C1714" t="s">
        <v>256</v>
      </c>
      <c r="D1714" t="s">
        <v>457</v>
      </c>
      <c r="F1714" t="s">
        <v>1886</v>
      </c>
      <c r="G1714" t="s">
        <v>2505</v>
      </c>
      <c r="H1714" t="s">
        <v>6636</v>
      </c>
      <c r="I1714" t="s">
        <v>8132</v>
      </c>
      <c r="J1714" t="s">
        <v>9066</v>
      </c>
      <c r="K1714">
        <v>10301</v>
      </c>
      <c r="L1714" t="s">
        <v>9094</v>
      </c>
      <c r="M1714" t="s">
        <v>9095</v>
      </c>
      <c r="N1714" t="s">
        <v>9831</v>
      </c>
      <c r="O1714" t="s">
        <v>11128</v>
      </c>
      <c r="P1714" t="s">
        <v>11165</v>
      </c>
      <c r="R1714" t="s">
        <v>11180</v>
      </c>
      <c r="S1714" t="s">
        <v>9096</v>
      </c>
      <c r="T1714" t="s">
        <v>11190</v>
      </c>
      <c r="U1714" t="s">
        <v>11201</v>
      </c>
      <c r="W1714">
        <v>243</v>
      </c>
      <c r="X1714" t="s">
        <v>11334</v>
      </c>
      <c r="Z1714" t="s">
        <v>12549</v>
      </c>
      <c r="AB1714" t="s">
        <v>16942</v>
      </c>
      <c r="AC1714">
        <v>0</v>
      </c>
      <c r="AD1714" t="s">
        <v>19567</v>
      </c>
      <c r="AE1714" t="s">
        <v>9144</v>
      </c>
      <c r="AF1714">
        <v>3</v>
      </c>
      <c r="AG1714">
        <v>1</v>
      </c>
      <c r="AH1714">
        <v>0</v>
      </c>
      <c r="AI1714">
        <v>68.89</v>
      </c>
      <c r="AL1714" t="s">
        <v>19614</v>
      </c>
      <c r="AM1714">
        <v>8604</v>
      </c>
      <c r="AS1714">
        <v>28.9</v>
      </c>
      <c r="AT1714" t="s">
        <v>321</v>
      </c>
      <c r="AU1714" t="s">
        <v>20653</v>
      </c>
      <c r="AV1714" t="s">
        <v>20733</v>
      </c>
    </row>
    <row r="1715" spans="1:48">
      <c r="A1715" s="1">
        <f>HYPERLINK("https://lsnyc.legalserver.org/matter/dynamic-profile/view/1891390","19-1891390")</f>
        <v>0</v>
      </c>
      <c r="B1715" t="s">
        <v>103</v>
      </c>
      <c r="C1715" t="s">
        <v>256</v>
      </c>
      <c r="D1715" t="s">
        <v>543</v>
      </c>
      <c r="F1715" t="s">
        <v>1977</v>
      </c>
      <c r="G1715" t="s">
        <v>3479</v>
      </c>
      <c r="H1715" t="s">
        <v>5887</v>
      </c>
      <c r="I1715" t="s">
        <v>8445</v>
      </c>
      <c r="J1715" t="s">
        <v>9065</v>
      </c>
      <c r="K1715">
        <v>10453</v>
      </c>
      <c r="L1715" t="s">
        <v>9094</v>
      </c>
      <c r="M1715" t="s">
        <v>9094</v>
      </c>
      <c r="O1715" t="s">
        <v>11134</v>
      </c>
      <c r="P1715" t="s">
        <v>11168</v>
      </c>
      <c r="R1715" t="s">
        <v>11180</v>
      </c>
      <c r="S1715" t="s">
        <v>9094</v>
      </c>
      <c r="T1715" t="s">
        <v>11183</v>
      </c>
      <c r="V1715" t="s">
        <v>512</v>
      </c>
      <c r="W1715">
        <v>1306.45</v>
      </c>
      <c r="X1715" t="s">
        <v>11333</v>
      </c>
      <c r="Y1715" t="s">
        <v>11346</v>
      </c>
      <c r="Z1715" t="s">
        <v>12550</v>
      </c>
      <c r="AB1715" t="s">
        <v>16943</v>
      </c>
      <c r="AC1715">
        <v>170</v>
      </c>
      <c r="AD1715" t="s">
        <v>19566</v>
      </c>
      <c r="AE1715" t="s">
        <v>9144</v>
      </c>
      <c r="AF1715">
        <v>10</v>
      </c>
      <c r="AG1715">
        <v>3</v>
      </c>
      <c r="AH1715">
        <v>2</v>
      </c>
      <c r="AI1715">
        <v>68.94</v>
      </c>
      <c r="AL1715" t="s">
        <v>19615</v>
      </c>
      <c r="AM1715">
        <v>20800</v>
      </c>
      <c r="AS1715">
        <v>0</v>
      </c>
      <c r="AU1715" t="s">
        <v>163</v>
      </c>
    </row>
    <row r="1716" spans="1:48">
      <c r="A1716" s="1">
        <f>HYPERLINK("https://lsnyc.legalserver.org/matter/dynamic-profile/view/1904955","19-1904955")</f>
        <v>0</v>
      </c>
      <c r="B1716" t="s">
        <v>103</v>
      </c>
      <c r="C1716" t="s">
        <v>256</v>
      </c>
      <c r="D1716" t="s">
        <v>660</v>
      </c>
      <c r="F1716" t="s">
        <v>1977</v>
      </c>
      <c r="G1716" t="s">
        <v>3479</v>
      </c>
      <c r="H1716" t="s">
        <v>5887</v>
      </c>
      <c r="I1716" t="s">
        <v>8445</v>
      </c>
      <c r="J1716" t="s">
        <v>9065</v>
      </c>
      <c r="K1716">
        <v>10453</v>
      </c>
      <c r="L1716" t="s">
        <v>9094</v>
      </c>
      <c r="M1716" t="s">
        <v>9095</v>
      </c>
      <c r="N1716" t="s">
        <v>9240</v>
      </c>
      <c r="O1716" t="s">
        <v>11134</v>
      </c>
      <c r="P1716" t="s">
        <v>11168</v>
      </c>
      <c r="R1716" t="s">
        <v>11180</v>
      </c>
      <c r="S1716" t="s">
        <v>9094</v>
      </c>
      <c r="T1716" t="s">
        <v>11183</v>
      </c>
      <c r="V1716" t="s">
        <v>422</v>
      </c>
      <c r="W1716">
        <v>1306.45</v>
      </c>
      <c r="X1716" t="s">
        <v>11333</v>
      </c>
      <c r="Y1716" t="s">
        <v>11346</v>
      </c>
      <c r="Z1716" t="s">
        <v>12550</v>
      </c>
      <c r="AB1716" t="s">
        <v>16943</v>
      </c>
      <c r="AC1716">
        <v>170</v>
      </c>
      <c r="AD1716" t="s">
        <v>19566</v>
      </c>
      <c r="AE1716" t="s">
        <v>9144</v>
      </c>
      <c r="AF1716">
        <v>10</v>
      </c>
      <c r="AG1716">
        <v>3</v>
      </c>
      <c r="AH1716">
        <v>2</v>
      </c>
      <c r="AI1716">
        <v>68.94</v>
      </c>
      <c r="AL1716" t="s">
        <v>19615</v>
      </c>
      <c r="AM1716">
        <v>20800</v>
      </c>
      <c r="AS1716">
        <v>0</v>
      </c>
      <c r="AU1716" t="s">
        <v>220</v>
      </c>
      <c r="AV1716" t="s">
        <v>20733</v>
      </c>
    </row>
    <row r="1717" spans="1:48">
      <c r="A1717" s="1">
        <f>HYPERLINK("https://lsnyc.legalserver.org/matter/dynamic-profile/view/1891378","19-1891378")</f>
        <v>0</v>
      </c>
      <c r="B1717" t="s">
        <v>103</v>
      </c>
      <c r="C1717" t="s">
        <v>256</v>
      </c>
      <c r="D1717" t="s">
        <v>543</v>
      </c>
      <c r="F1717" t="s">
        <v>1977</v>
      </c>
      <c r="G1717" t="s">
        <v>3479</v>
      </c>
      <c r="H1717" t="s">
        <v>5887</v>
      </c>
      <c r="I1717" t="s">
        <v>8445</v>
      </c>
      <c r="J1717" t="s">
        <v>9065</v>
      </c>
      <c r="K1717">
        <v>10453</v>
      </c>
      <c r="L1717" t="s">
        <v>9094</v>
      </c>
      <c r="M1717" t="s">
        <v>9094</v>
      </c>
      <c r="N1717" t="s">
        <v>9352</v>
      </c>
      <c r="O1717" t="s">
        <v>11130</v>
      </c>
      <c r="P1717" t="s">
        <v>11165</v>
      </c>
      <c r="R1717" t="s">
        <v>11180</v>
      </c>
      <c r="S1717" t="s">
        <v>9094</v>
      </c>
      <c r="T1717" t="s">
        <v>11183</v>
      </c>
      <c r="V1717" t="s">
        <v>512</v>
      </c>
      <c r="W1717">
        <v>1306.45</v>
      </c>
      <c r="X1717" t="s">
        <v>11333</v>
      </c>
      <c r="Y1717" t="s">
        <v>11346</v>
      </c>
      <c r="Z1717" t="s">
        <v>12550</v>
      </c>
      <c r="AB1717" t="s">
        <v>16943</v>
      </c>
      <c r="AC1717">
        <v>170</v>
      </c>
      <c r="AD1717" t="s">
        <v>19566</v>
      </c>
      <c r="AE1717" t="s">
        <v>9144</v>
      </c>
      <c r="AF1717">
        <v>10</v>
      </c>
      <c r="AG1717">
        <v>3</v>
      </c>
      <c r="AH1717">
        <v>2</v>
      </c>
      <c r="AI1717">
        <v>68.94</v>
      </c>
      <c r="AL1717" t="s">
        <v>19615</v>
      </c>
      <c r="AM1717">
        <v>20800</v>
      </c>
      <c r="AS1717">
        <v>0</v>
      </c>
      <c r="AU1717" t="s">
        <v>163</v>
      </c>
    </row>
    <row r="1718" spans="1:48">
      <c r="A1718" s="1">
        <f>HYPERLINK("https://lsnyc.legalserver.org/matter/dynamic-profile/view/1915411","19-1915411")</f>
        <v>0</v>
      </c>
      <c r="B1718" t="s">
        <v>135</v>
      </c>
      <c r="C1718" t="s">
        <v>256</v>
      </c>
      <c r="D1718" t="s">
        <v>487</v>
      </c>
      <c r="F1718" t="s">
        <v>1917</v>
      </c>
      <c r="G1718" t="s">
        <v>3419</v>
      </c>
      <c r="H1718" t="s">
        <v>6637</v>
      </c>
      <c r="I1718" t="s">
        <v>8257</v>
      </c>
      <c r="J1718" t="s">
        <v>9067</v>
      </c>
      <c r="K1718">
        <v>10029</v>
      </c>
      <c r="L1718" t="s">
        <v>9094</v>
      </c>
      <c r="M1718" t="s">
        <v>9095</v>
      </c>
      <c r="O1718" t="s">
        <v>11134</v>
      </c>
      <c r="P1718" t="s">
        <v>11165</v>
      </c>
      <c r="R1718" t="s">
        <v>11180</v>
      </c>
      <c r="S1718" t="s">
        <v>9094</v>
      </c>
      <c r="T1718" t="s">
        <v>11183</v>
      </c>
      <c r="U1718" t="s">
        <v>11201</v>
      </c>
      <c r="V1718" t="s">
        <v>487</v>
      </c>
      <c r="W1718">
        <v>1085</v>
      </c>
      <c r="X1718" t="s">
        <v>11335</v>
      </c>
      <c r="Y1718" t="s">
        <v>11340</v>
      </c>
      <c r="Z1718" t="s">
        <v>12551</v>
      </c>
      <c r="AB1718" t="s">
        <v>15274</v>
      </c>
      <c r="AC1718">
        <v>10</v>
      </c>
      <c r="AD1718" t="s">
        <v>19566</v>
      </c>
      <c r="AE1718" t="s">
        <v>9144</v>
      </c>
      <c r="AF1718">
        <v>21</v>
      </c>
      <c r="AG1718">
        <v>4</v>
      </c>
      <c r="AH1718">
        <v>1</v>
      </c>
      <c r="AI1718">
        <v>68.94</v>
      </c>
      <c r="AL1718" t="s">
        <v>19615</v>
      </c>
      <c r="AM1718">
        <v>20800</v>
      </c>
      <c r="AS1718">
        <v>0</v>
      </c>
      <c r="AU1718" t="s">
        <v>20657</v>
      </c>
      <c r="AV1718" t="s">
        <v>20733</v>
      </c>
    </row>
    <row r="1719" spans="1:48">
      <c r="A1719" s="1">
        <f>HYPERLINK("https://lsnyc.legalserver.org/matter/dynamic-profile/view/1915418","19-1915418")</f>
        <v>0</v>
      </c>
      <c r="B1719" t="s">
        <v>135</v>
      </c>
      <c r="C1719" t="s">
        <v>256</v>
      </c>
      <c r="D1719" t="s">
        <v>487</v>
      </c>
      <c r="F1719" t="s">
        <v>1917</v>
      </c>
      <c r="G1719" t="s">
        <v>3419</v>
      </c>
      <c r="H1719" t="s">
        <v>6637</v>
      </c>
      <c r="I1719" t="s">
        <v>8257</v>
      </c>
      <c r="J1719" t="s">
        <v>9067</v>
      </c>
      <c r="K1719">
        <v>10029</v>
      </c>
      <c r="L1719" t="s">
        <v>9094</v>
      </c>
      <c r="M1719" t="s">
        <v>9095</v>
      </c>
      <c r="O1719" t="s">
        <v>11134</v>
      </c>
      <c r="P1719" t="s">
        <v>11165</v>
      </c>
      <c r="R1719" t="s">
        <v>11180</v>
      </c>
      <c r="S1719" t="s">
        <v>9094</v>
      </c>
      <c r="T1719" t="s">
        <v>11183</v>
      </c>
      <c r="V1719" t="s">
        <v>487</v>
      </c>
      <c r="W1719">
        <v>1085</v>
      </c>
      <c r="X1719" t="s">
        <v>11335</v>
      </c>
      <c r="Y1719" t="s">
        <v>11340</v>
      </c>
      <c r="Z1719" t="s">
        <v>12551</v>
      </c>
      <c r="AB1719" t="s">
        <v>15274</v>
      </c>
      <c r="AC1719">
        <v>10</v>
      </c>
      <c r="AD1719" t="s">
        <v>19566</v>
      </c>
      <c r="AE1719" t="s">
        <v>9144</v>
      </c>
      <c r="AF1719">
        <v>21</v>
      </c>
      <c r="AG1719">
        <v>4</v>
      </c>
      <c r="AH1719">
        <v>1</v>
      </c>
      <c r="AI1719">
        <v>68.94</v>
      </c>
      <c r="AL1719" t="s">
        <v>19615</v>
      </c>
      <c r="AM1719">
        <v>20800</v>
      </c>
      <c r="AS1719">
        <v>0</v>
      </c>
      <c r="AU1719" t="s">
        <v>20657</v>
      </c>
      <c r="AV1719" t="s">
        <v>20733</v>
      </c>
    </row>
    <row r="1720" spans="1:48">
      <c r="A1720" s="1">
        <f>HYPERLINK("https://lsnyc.legalserver.org/matter/dynamic-profile/view/1915421","19-1915421")</f>
        <v>0</v>
      </c>
      <c r="B1720" t="s">
        <v>135</v>
      </c>
      <c r="C1720" t="s">
        <v>256</v>
      </c>
      <c r="D1720" t="s">
        <v>487</v>
      </c>
      <c r="F1720" t="s">
        <v>1917</v>
      </c>
      <c r="G1720" t="s">
        <v>3419</v>
      </c>
      <c r="H1720" t="s">
        <v>6637</v>
      </c>
      <c r="I1720" t="s">
        <v>8257</v>
      </c>
      <c r="J1720" t="s">
        <v>9067</v>
      </c>
      <c r="K1720">
        <v>10029</v>
      </c>
      <c r="L1720" t="s">
        <v>9094</v>
      </c>
      <c r="M1720" t="s">
        <v>9095</v>
      </c>
      <c r="O1720" t="s">
        <v>11128</v>
      </c>
      <c r="P1720" t="s">
        <v>11167</v>
      </c>
      <c r="R1720" t="s">
        <v>11180</v>
      </c>
      <c r="S1720" t="s">
        <v>9096</v>
      </c>
      <c r="T1720" t="s">
        <v>11183</v>
      </c>
      <c r="U1720" t="s">
        <v>11201</v>
      </c>
      <c r="V1720" t="s">
        <v>487</v>
      </c>
      <c r="W1720">
        <v>1085</v>
      </c>
      <c r="X1720" t="s">
        <v>11335</v>
      </c>
      <c r="Y1720" t="s">
        <v>11340</v>
      </c>
      <c r="Z1720" t="s">
        <v>12551</v>
      </c>
      <c r="AB1720" t="s">
        <v>15274</v>
      </c>
      <c r="AC1720">
        <v>10</v>
      </c>
      <c r="AE1720" t="s">
        <v>9144</v>
      </c>
      <c r="AF1720">
        <v>21</v>
      </c>
      <c r="AG1720">
        <v>4</v>
      </c>
      <c r="AH1720">
        <v>1</v>
      </c>
      <c r="AI1720">
        <v>68.94</v>
      </c>
      <c r="AL1720" t="s">
        <v>19615</v>
      </c>
      <c r="AM1720">
        <v>20800</v>
      </c>
      <c r="AS1720">
        <v>0</v>
      </c>
      <c r="AU1720" t="s">
        <v>20657</v>
      </c>
      <c r="AV1720" t="s">
        <v>20733</v>
      </c>
    </row>
    <row r="1721" spans="1:48">
      <c r="A1721" s="1">
        <f>HYPERLINK("https://lsnyc.legalserver.org/matter/dynamic-profile/view/1900563","19-1900563")</f>
        <v>0</v>
      </c>
      <c r="B1721" t="s">
        <v>135</v>
      </c>
      <c r="C1721" t="s">
        <v>256</v>
      </c>
      <c r="D1721" t="s">
        <v>283</v>
      </c>
      <c r="F1721" t="s">
        <v>1917</v>
      </c>
      <c r="G1721" t="s">
        <v>3419</v>
      </c>
      <c r="H1721" t="s">
        <v>6637</v>
      </c>
      <c r="I1721" t="s">
        <v>8257</v>
      </c>
      <c r="J1721" t="s">
        <v>9067</v>
      </c>
      <c r="K1721">
        <v>10029</v>
      </c>
      <c r="L1721" t="s">
        <v>9094</v>
      </c>
      <c r="M1721" t="s">
        <v>9095</v>
      </c>
      <c r="O1721" t="s">
        <v>11130</v>
      </c>
      <c r="P1721" t="s">
        <v>11168</v>
      </c>
      <c r="R1721" t="s">
        <v>11180</v>
      </c>
      <c r="S1721" t="s">
        <v>9096</v>
      </c>
      <c r="T1721" t="s">
        <v>11183</v>
      </c>
      <c r="U1721" t="s">
        <v>11201</v>
      </c>
      <c r="V1721" t="s">
        <v>486</v>
      </c>
      <c r="W1721">
        <v>1085</v>
      </c>
      <c r="X1721" t="s">
        <v>11335</v>
      </c>
      <c r="Y1721" t="s">
        <v>11339</v>
      </c>
      <c r="Z1721" t="s">
        <v>12551</v>
      </c>
      <c r="AB1721" t="s">
        <v>15274</v>
      </c>
      <c r="AC1721">
        <v>10</v>
      </c>
      <c r="AD1721" t="s">
        <v>19566</v>
      </c>
      <c r="AE1721" t="s">
        <v>9144</v>
      </c>
      <c r="AF1721">
        <v>21</v>
      </c>
      <c r="AG1721">
        <v>4</v>
      </c>
      <c r="AH1721">
        <v>1</v>
      </c>
      <c r="AI1721">
        <v>68.94</v>
      </c>
      <c r="AL1721" t="s">
        <v>19615</v>
      </c>
      <c r="AM1721">
        <v>20800</v>
      </c>
      <c r="AN1721" t="s">
        <v>19817</v>
      </c>
      <c r="AS1721">
        <v>58.5</v>
      </c>
      <c r="AT1721" t="s">
        <v>321</v>
      </c>
      <c r="AU1721" t="s">
        <v>20657</v>
      </c>
      <c r="AV1721" t="s">
        <v>20733</v>
      </c>
    </row>
    <row r="1722" spans="1:48">
      <c r="A1722" s="1">
        <f>HYPERLINK("https://lsnyc.legalserver.org/matter/dynamic-profile/view/1887364","19-1887364")</f>
        <v>0</v>
      </c>
      <c r="B1722" t="s">
        <v>67</v>
      </c>
      <c r="C1722" t="s">
        <v>256</v>
      </c>
      <c r="D1722" t="s">
        <v>402</v>
      </c>
      <c r="F1722" t="s">
        <v>1370</v>
      </c>
      <c r="G1722" t="s">
        <v>4148</v>
      </c>
      <c r="H1722" t="s">
        <v>6620</v>
      </c>
      <c r="I1722" t="s">
        <v>8142</v>
      </c>
      <c r="J1722" t="s">
        <v>9059</v>
      </c>
      <c r="K1722">
        <v>11216</v>
      </c>
      <c r="L1722" t="s">
        <v>9095</v>
      </c>
      <c r="M1722" t="s">
        <v>9095</v>
      </c>
      <c r="R1722" t="s">
        <v>11180</v>
      </c>
      <c r="T1722" t="s">
        <v>11184</v>
      </c>
      <c r="W1722">
        <v>0</v>
      </c>
      <c r="X1722" t="s">
        <v>11332</v>
      </c>
      <c r="Z1722" t="s">
        <v>12526</v>
      </c>
      <c r="AB1722" t="s">
        <v>16921</v>
      </c>
      <c r="AC1722">
        <v>0</v>
      </c>
      <c r="AF1722">
        <v>0</v>
      </c>
      <c r="AG1722">
        <v>2</v>
      </c>
      <c r="AH1722">
        <v>7</v>
      </c>
      <c r="AI1722">
        <v>69.17</v>
      </c>
      <c r="AL1722" t="s">
        <v>19615</v>
      </c>
      <c r="AM1722">
        <v>32304</v>
      </c>
      <c r="AS1722">
        <v>2</v>
      </c>
      <c r="AT1722" t="s">
        <v>414</v>
      </c>
      <c r="AU1722" t="s">
        <v>67</v>
      </c>
    </row>
    <row r="1723" spans="1:48">
      <c r="A1723" s="1">
        <f>HYPERLINK("https://lsnyc.legalserver.org/matter/dynamic-profile/view/1910793","19-1910793")</f>
        <v>0</v>
      </c>
      <c r="B1723" t="s">
        <v>69</v>
      </c>
      <c r="C1723" t="s">
        <v>257</v>
      </c>
      <c r="D1723" t="s">
        <v>308</v>
      </c>
      <c r="E1723" t="s">
        <v>570</v>
      </c>
      <c r="F1723" t="s">
        <v>1894</v>
      </c>
      <c r="G1723" t="s">
        <v>4161</v>
      </c>
      <c r="H1723" t="s">
        <v>6638</v>
      </c>
      <c r="J1723" t="s">
        <v>9059</v>
      </c>
      <c r="K1723">
        <v>11233</v>
      </c>
      <c r="L1723" t="s">
        <v>9094</v>
      </c>
      <c r="M1723" t="s">
        <v>9095</v>
      </c>
      <c r="N1723" t="s">
        <v>9121</v>
      </c>
      <c r="O1723" t="s">
        <v>9121</v>
      </c>
      <c r="P1723" t="s">
        <v>11164</v>
      </c>
      <c r="Q1723" t="s">
        <v>11172</v>
      </c>
      <c r="R1723" t="s">
        <v>11180</v>
      </c>
      <c r="S1723" t="s">
        <v>9096</v>
      </c>
      <c r="T1723" t="s">
        <v>11183</v>
      </c>
      <c r="U1723" t="s">
        <v>11201</v>
      </c>
      <c r="V1723" t="s">
        <v>308</v>
      </c>
      <c r="W1723">
        <v>330</v>
      </c>
      <c r="X1723" t="s">
        <v>11332</v>
      </c>
      <c r="Y1723" t="s">
        <v>11351</v>
      </c>
      <c r="Z1723" t="s">
        <v>12552</v>
      </c>
      <c r="AA1723" t="s">
        <v>15290</v>
      </c>
      <c r="AB1723" t="s">
        <v>16944</v>
      </c>
      <c r="AC1723">
        <v>27</v>
      </c>
      <c r="AD1723" t="s">
        <v>19567</v>
      </c>
      <c r="AE1723" t="s">
        <v>19584</v>
      </c>
      <c r="AF1723">
        <v>9</v>
      </c>
      <c r="AG1723">
        <v>1</v>
      </c>
      <c r="AH1723">
        <v>0</v>
      </c>
      <c r="AI1723">
        <v>69.18000000000001</v>
      </c>
      <c r="AL1723" t="s">
        <v>19614</v>
      </c>
      <c r="AM1723">
        <v>8640</v>
      </c>
      <c r="AS1723">
        <v>1.75</v>
      </c>
      <c r="AT1723" t="s">
        <v>570</v>
      </c>
      <c r="AU1723" t="s">
        <v>95</v>
      </c>
      <c r="AV1723" t="s">
        <v>20733</v>
      </c>
    </row>
    <row r="1724" spans="1:48">
      <c r="A1724" s="1">
        <f>HYPERLINK("https://lsnyc.legalserver.org/matter/dynamic-profile/view/1911375","19-1911375")</f>
        <v>0</v>
      </c>
      <c r="B1724" t="s">
        <v>64</v>
      </c>
      <c r="C1724" t="s">
        <v>257</v>
      </c>
      <c r="D1724" t="s">
        <v>832</v>
      </c>
      <c r="E1724" t="s">
        <v>632</v>
      </c>
      <c r="F1724" t="s">
        <v>1894</v>
      </c>
      <c r="G1724" t="s">
        <v>4161</v>
      </c>
      <c r="H1724" t="s">
        <v>6638</v>
      </c>
      <c r="J1724" t="s">
        <v>9059</v>
      </c>
      <c r="K1724">
        <v>11233</v>
      </c>
      <c r="L1724" t="s">
        <v>9094</v>
      </c>
      <c r="M1724" t="s">
        <v>9095</v>
      </c>
      <c r="N1724" t="s">
        <v>9154</v>
      </c>
      <c r="O1724" t="s">
        <v>9121</v>
      </c>
      <c r="Q1724" t="s">
        <v>11172</v>
      </c>
      <c r="R1724" t="s">
        <v>11180</v>
      </c>
      <c r="S1724" t="s">
        <v>9096</v>
      </c>
      <c r="T1724" t="s">
        <v>11183</v>
      </c>
      <c r="W1724">
        <v>330</v>
      </c>
      <c r="X1724" t="s">
        <v>11332</v>
      </c>
      <c r="Y1724" t="s">
        <v>11351</v>
      </c>
      <c r="Z1724" t="s">
        <v>12552</v>
      </c>
      <c r="AA1724" t="s">
        <v>15596</v>
      </c>
      <c r="AB1724" t="s">
        <v>16944</v>
      </c>
      <c r="AC1724">
        <v>27</v>
      </c>
      <c r="AD1724" t="s">
        <v>19567</v>
      </c>
      <c r="AE1724" t="s">
        <v>19584</v>
      </c>
      <c r="AF1724">
        <v>9</v>
      </c>
      <c r="AG1724">
        <v>1</v>
      </c>
      <c r="AH1724">
        <v>0</v>
      </c>
      <c r="AI1724">
        <v>69.18000000000001</v>
      </c>
      <c r="AL1724" t="s">
        <v>19614</v>
      </c>
      <c r="AM1724">
        <v>8640</v>
      </c>
      <c r="AS1724">
        <v>1</v>
      </c>
      <c r="AT1724" t="s">
        <v>612</v>
      </c>
      <c r="AU1724" t="s">
        <v>95</v>
      </c>
      <c r="AV1724" t="s">
        <v>20733</v>
      </c>
    </row>
    <row r="1725" spans="1:48">
      <c r="A1725" s="1">
        <f>HYPERLINK("https://lsnyc.legalserver.org/matter/dynamic-profile/view/1913022","19-1913022")</f>
        <v>0</v>
      </c>
      <c r="B1725" t="s">
        <v>136</v>
      </c>
      <c r="C1725" t="s">
        <v>256</v>
      </c>
      <c r="D1725" t="s">
        <v>833</v>
      </c>
      <c r="F1725" t="s">
        <v>1266</v>
      </c>
      <c r="G1725" t="s">
        <v>4162</v>
      </c>
      <c r="H1725" t="s">
        <v>6639</v>
      </c>
      <c r="I1725" t="s">
        <v>8489</v>
      </c>
      <c r="J1725" t="s">
        <v>9067</v>
      </c>
      <c r="K1725">
        <v>10065</v>
      </c>
      <c r="L1725" t="s">
        <v>9094</v>
      </c>
      <c r="M1725" t="s">
        <v>9095</v>
      </c>
      <c r="O1725" t="s">
        <v>11137</v>
      </c>
      <c r="P1725" t="s">
        <v>11166</v>
      </c>
      <c r="R1725" t="s">
        <v>11180</v>
      </c>
      <c r="S1725" t="s">
        <v>9096</v>
      </c>
      <c r="T1725" t="s">
        <v>11191</v>
      </c>
      <c r="U1725" t="s">
        <v>11201</v>
      </c>
      <c r="V1725" t="s">
        <v>294</v>
      </c>
      <c r="W1725">
        <v>1071.34</v>
      </c>
      <c r="X1725" t="s">
        <v>11335</v>
      </c>
      <c r="Y1725" t="s">
        <v>11340</v>
      </c>
      <c r="Z1725" t="s">
        <v>12010</v>
      </c>
      <c r="AB1725" t="s">
        <v>16945</v>
      </c>
      <c r="AC1725">
        <v>45</v>
      </c>
      <c r="AD1725" t="s">
        <v>19566</v>
      </c>
      <c r="AF1725">
        <v>4</v>
      </c>
      <c r="AG1725">
        <v>1</v>
      </c>
      <c r="AH1725">
        <v>0</v>
      </c>
      <c r="AI1725">
        <v>69.18000000000001</v>
      </c>
      <c r="AL1725" t="s">
        <v>19614</v>
      </c>
      <c r="AM1725">
        <v>8640</v>
      </c>
      <c r="AS1725">
        <v>0.6</v>
      </c>
      <c r="AT1725" t="s">
        <v>632</v>
      </c>
      <c r="AU1725" t="s">
        <v>20657</v>
      </c>
      <c r="AV1725" t="s">
        <v>20733</v>
      </c>
    </row>
    <row r="1726" spans="1:48">
      <c r="A1726" s="1">
        <f>HYPERLINK("https://lsnyc.legalserver.org/matter/dynamic-profile/view/1871940","18-1871940")</f>
        <v>0</v>
      </c>
      <c r="B1726" t="s">
        <v>120</v>
      </c>
      <c r="C1726" t="s">
        <v>257</v>
      </c>
      <c r="D1726" t="s">
        <v>515</v>
      </c>
      <c r="E1726" t="s">
        <v>259</v>
      </c>
      <c r="F1726" t="s">
        <v>1252</v>
      </c>
      <c r="G1726" t="s">
        <v>4163</v>
      </c>
      <c r="H1726" t="s">
        <v>6640</v>
      </c>
      <c r="I1726">
        <v>3</v>
      </c>
      <c r="J1726" t="s">
        <v>9065</v>
      </c>
      <c r="K1726">
        <v>10459</v>
      </c>
      <c r="L1726" t="s">
        <v>9094</v>
      </c>
      <c r="M1726" t="s">
        <v>9094</v>
      </c>
      <c r="N1726" t="s">
        <v>9832</v>
      </c>
      <c r="O1726" t="s">
        <v>11128</v>
      </c>
      <c r="P1726" t="s">
        <v>11165</v>
      </c>
      <c r="Q1726" t="s">
        <v>11174</v>
      </c>
      <c r="R1726" t="s">
        <v>11180</v>
      </c>
      <c r="S1726" t="s">
        <v>9096</v>
      </c>
      <c r="T1726" t="s">
        <v>11183</v>
      </c>
      <c r="U1726" t="s">
        <v>11201</v>
      </c>
      <c r="V1726" t="s">
        <v>808</v>
      </c>
      <c r="W1726">
        <v>1400</v>
      </c>
      <c r="X1726" t="s">
        <v>11333</v>
      </c>
      <c r="Y1726" t="s">
        <v>11336</v>
      </c>
      <c r="Z1726" t="s">
        <v>12553</v>
      </c>
      <c r="AA1726" t="s">
        <v>15597</v>
      </c>
      <c r="AB1726" t="s">
        <v>16946</v>
      </c>
      <c r="AC1726">
        <v>3</v>
      </c>
      <c r="AD1726" t="s">
        <v>19566</v>
      </c>
      <c r="AE1726" t="s">
        <v>19585</v>
      </c>
      <c r="AF1726">
        <v>7</v>
      </c>
      <c r="AG1726">
        <v>1</v>
      </c>
      <c r="AH1726">
        <v>0</v>
      </c>
      <c r="AI1726">
        <v>69.19</v>
      </c>
      <c r="AL1726" t="s">
        <v>19614</v>
      </c>
      <c r="AM1726">
        <v>8400</v>
      </c>
      <c r="AO1726" t="s">
        <v>20290</v>
      </c>
      <c r="AP1726" t="s">
        <v>20309</v>
      </c>
      <c r="AQ1726" t="s">
        <v>20369</v>
      </c>
      <c r="AR1726" t="s">
        <v>20469</v>
      </c>
      <c r="AS1726">
        <v>7.35</v>
      </c>
      <c r="AT1726" t="s">
        <v>540</v>
      </c>
      <c r="AU1726" t="s">
        <v>163</v>
      </c>
    </row>
    <row r="1727" spans="1:48">
      <c r="A1727" s="1">
        <f>HYPERLINK("https://lsnyc.legalserver.org/matter/dynamic-profile/view/1881514","18-1881514")</f>
        <v>0</v>
      </c>
      <c r="B1727" t="s">
        <v>119</v>
      </c>
      <c r="C1727" t="s">
        <v>257</v>
      </c>
      <c r="D1727" t="s">
        <v>834</v>
      </c>
      <c r="E1727" t="s">
        <v>301</v>
      </c>
      <c r="F1727" t="s">
        <v>1282</v>
      </c>
      <c r="G1727" t="s">
        <v>3498</v>
      </c>
      <c r="H1727" t="s">
        <v>6641</v>
      </c>
      <c r="I1727" t="s">
        <v>8490</v>
      </c>
      <c r="J1727" t="s">
        <v>9065</v>
      </c>
      <c r="K1727">
        <v>10459</v>
      </c>
      <c r="L1727" t="s">
        <v>9094</v>
      </c>
      <c r="M1727" t="s">
        <v>9094</v>
      </c>
      <c r="N1727" t="s">
        <v>9833</v>
      </c>
      <c r="O1727" t="s">
        <v>11129</v>
      </c>
      <c r="P1727" t="s">
        <v>11164</v>
      </c>
      <c r="Q1727" t="s">
        <v>11172</v>
      </c>
      <c r="R1727" t="s">
        <v>11180</v>
      </c>
      <c r="T1727" t="s">
        <v>11183</v>
      </c>
      <c r="V1727" t="s">
        <v>11208</v>
      </c>
      <c r="W1727">
        <v>242</v>
      </c>
      <c r="X1727" t="s">
        <v>11333</v>
      </c>
      <c r="Y1727" t="s">
        <v>11352</v>
      </c>
      <c r="Z1727" t="s">
        <v>12554</v>
      </c>
      <c r="AB1727" t="s">
        <v>16947</v>
      </c>
      <c r="AC1727">
        <v>48</v>
      </c>
      <c r="AD1727" t="s">
        <v>19566</v>
      </c>
      <c r="AE1727" t="s">
        <v>11157</v>
      </c>
      <c r="AF1727">
        <v>6</v>
      </c>
      <c r="AG1727">
        <v>1</v>
      </c>
      <c r="AH1727">
        <v>0</v>
      </c>
      <c r="AI1727">
        <v>69.19</v>
      </c>
      <c r="AL1727" t="s">
        <v>19615</v>
      </c>
      <c r="AM1727">
        <v>8400</v>
      </c>
      <c r="AQ1727" t="s">
        <v>20368</v>
      </c>
      <c r="AR1727" t="s">
        <v>20470</v>
      </c>
      <c r="AS1727">
        <v>2.7</v>
      </c>
      <c r="AT1727" t="s">
        <v>358</v>
      </c>
      <c r="AU1727" t="s">
        <v>20640</v>
      </c>
    </row>
    <row r="1728" spans="1:48">
      <c r="A1728" s="1">
        <f>HYPERLINK("https://lsnyc.legalserver.org/matter/dynamic-profile/view/1913383","19-1913383")</f>
        <v>0</v>
      </c>
      <c r="B1728" t="s">
        <v>108</v>
      </c>
      <c r="C1728" t="s">
        <v>256</v>
      </c>
      <c r="D1728" t="s">
        <v>286</v>
      </c>
      <c r="F1728" t="s">
        <v>1978</v>
      </c>
      <c r="G1728" t="s">
        <v>4164</v>
      </c>
      <c r="H1728" t="s">
        <v>6642</v>
      </c>
      <c r="I1728" t="s">
        <v>8491</v>
      </c>
      <c r="J1728" t="s">
        <v>9067</v>
      </c>
      <c r="K1728">
        <v>10025</v>
      </c>
      <c r="L1728" t="s">
        <v>9094</v>
      </c>
      <c r="M1728" t="s">
        <v>9095</v>
      </c>
      <c r="N1728" t="s">
        <v>9834</v>
      </c>
      <c r="O1728" t="s">
        <v>11155</v>
      </c>
      <c r="P1728" t="s">
        <v>11165</v>
      </c>
      <c r="R1728" t="s">
        <v>11180</v>
      </c>
      <c r="S1728" t="s">
        <v>9094</v>
      </c>
      <c r="T1728" t="s">
        <v>11192</v>
      </c>
      <c r="U1728" t="s">
        <v>11201</v>
      </c>
      <c r="W1728">
        <v>0</v>
      </c>
      <c r="X1728" t="s">
        <v>11333</v>
      </c>
      <c r="Y1728" t="s">
        <v>11350</v>
      </c>
      <c r="Z1728" t="s">
        <v>12555</v>
      </c>
      <c r="AB1728" t="s">
        <v>16948</v>
      </c>
      <c r="AC1728">
        <v>899</v>
      </c>
      <c r="AD1728" t="s">
        <v>15441</v>
      </c>
      <c r="AE1728" t="s">
        <v>19585</v>
      </c>
      <c r="AF1728">
        <v>5</v>
      </c>
      <c r="AG1728">
        <v>2</v>
      </c>
      <c r="AH1728">
        <v>0</v>
      </c>
      <c r="AI1728">
        <v>69.19</v>
      </c>
      <c r="AL1728" t="s">
        <v>19614</v>
      </c>
      <c r="AM1728">
        <v>11700</v>
      </c>
      <c r="AS1728">
        <v>1.9</v>
      </c>
      <c r="AT1728" t="s">
        <v>487</v>
      </c>
      <c r="AU1728" t="s">
        <v>220</v>
      </c>
      <c r="AV1728" t="s">
        <v>20733</v>
      </c>
    </row>
    <row r="1729" spans="1:48">
      <c r="A1729" s="1">
        <f>HYPERLINK("https://lsnyc.legalserver.org/matter/dynamic-profile/view/1912726","19-1912726")</f>
        <v>0</v>
      </c>
      <c r="B1729" t="s">
        <v>72</v>
      </c>
      <c r="C1729" t="s">
        <v>256</v>
      </c>
      <c r="D1729" t="s">
        <v>488</v>
      </c>
      <c r="F1729" t="s">
        <v>1979</v>
      </c>
      <c r="G1729" t="s">
        <v>4165</v>
      </c>
      <c r="H1729" t="s">
        <v>6643</v>
      </c>
      <c r="I1729" t="s">
        <v>8140</v>
      </c>
      <c r="J1729" t="s">
        <v>9059</v>
      </c>
      <c r="K1729">
        <v>11212</v>
      </c>
      <c r="L1729" t="s">
        <v>9094</v>
      </c>
      <c r="M1729" t="s">
        <v>9095</v>
      </c>
      <c r="N1729" t="s">
        <v>9835</v>
      </c>
      <c r="O1729" t="s">
        <v>11129</v>
      </c>
      <c r="P1729" t="s">
        <v>11169</v>
      </c>
      <c r="R1729" t="s">
        <v>11180</v>
      </c>
      <c r="S1729" t="s">
        <v>9096</v>
      </c>
      <c r="T1729" t="s">
        <v>11183</v>
      </c>
      <c r="V1729" t="s">
        <v>570</v>
      </c>
      <c r="W1729">
        <v>1450</v>
      </c>
      <c r="X1729" t="s">
        <v>11332</v>
      </c>
      <c r="Y1729" t="s">
        <v>11345</v>
      </c>
      <c r="Z1729" t="s">
        <v>12556</v>
      </c>
      <c r="AA1729" t="s">
        <v>15598</v>
      </c>
      <c r="AB1729" t="s">
        <v>16949</v>
      </c>
      <c r="AC1729">
        <v>43</v>
      </c>
      <c r="AD1729" t="s">
        <v>19566</v>
      </c>
      <c r="AE1729" t="s">
        <v>9144</v>
      </c>
      <c r="AF1729">
        <v>4</v>
      </c>
      <c r="AG1729">
        <v>1</v>
      </c>
      <c r="AH1729">
        <v>3</v>
      </c>
      <c r="AI1729">
        <v>69.27</v>
      </c>
      <c r="AL1729" t="s">
        <v>19614</v>
      </c>
      <c r="AM1729">
        <v>17836</v>
      </c>
      <c r="AS1729">
        <v>2.25</v>
      </c>
      <c r="AT1729" t="s">
        <v>703</v>
      </c>
      <c r="AU1729" t="s">
        <v>79</v>
      </c>
      <c r="AV1729" t="s">
        <v>20733</v>
      </c>
    </row>
    <row r="1730" spans="1:48">
      <c r="A1730" s="1">
        <f>HYPERLINK("https://lsnyc.legalserver.org/matter/dynamic-profile/view/1859656","18-1859656")</f>
        <v>0</v>
      </c>
      <c r="B1730" t="s">
        <v>120</v>
      </c>
      <c r="C1730" t="s">
        <v>256</v>
      </c>
      <c r="D1730" t="s">
        <v>412</v>
      </c>
      <c r="F1730" t="s">
        <v>1980</v>
      </c>
      <c r="G1730" t="s">
        <v>4166</v>
      </c>
      <c r="H1730" t="s">
        <v>6356</v>
      </c>
      <c r="I1730">
        <v>516</v>
      </c>
      <c r="J1730" t="s">
        <v>9065</v>
      </c>
      <c r="K1730">
        <v>10453</v>
      </c>
      <c r="L1730" t="s">
        <v>9094</v>
      </c>
      <c r="M1730" t="s">
        <v>9095</v>
      </c>
      <c r="O1730" t="s">
        <v>11135</v>
      </c>
      <c r="P1730" t="s">
        <v>11168</v>
      </c>
      <c r="R1730" t="s">
        <v>11180</v>
      </c>
      <c r="S1730" t="s">
        <v>9094</v>
      </c>
      <c r="T1730" t="s">
        <v>11183</v>
      </c>
      <c r="V1730" t="s">
        <v>595</v>
      </c>
      <c r="W1730">
        <v>965</v>
      </c>
      <c r="X1730" t="s">
        <v>11333</v>
      </c>
      <c r="Y1730" t="s">
        <v>11339</v>
      </c>
      <c r="Z1730" t="s">
        <v>11569</v>
      </c>
      <c r="AB1730" t="s">
        <v>16950</v>
      </c>
      <c r="AC1730">
        <v>146</v>
      </c>
      <c r="AD1730" t="s">
        <v>19566</v>
      </c>
      <c r="AE1730" t="s">
        <v>19586</v>
      </c>
      <c r="AF1730">
        <v>11</v>
      </c>
      <c r="AG1730">
        <v>1</v>
      </c>
      <c r="AH1730">
        <v>2</v>
      </c>
      <c r="AI1730">
        <v>69.27</v>
      </c>
      <c r="AL1730" t="s">
        <v>19615</v>
      </c>
      <c r="AM1730">
        <v>14144</v>
      </c>
      <c r="AS1730">
        <v>1.1</v>
      </c>
      <c r="AT1730" t="s">
        <v>693</v>
      </c>
      <c r="AU1730" t="s">
        <v>20647</v>
      </c>
    </row>
    <row r="1731" spans="1:48">
      <c r="A1731" s="1">
        <f>HYPERLINK("https://lsnyc.legalserver.org/matter/dynamic-profile/view/1864189","18-1864189")</f>
        <v>0</v>
      </c>
      <c r="B1731" t="s">
        <v>140</v>
      </c>
      <c r="C1731" t="s">
        <v>256</v>
      </c>
      <c r="D1731" t="s">
        <v>505</v>
      </c>
      <c r="F1731" t="s">
        <v>1846</v>
      </c>
      <c r="G1731" t="s">
        <v>4167</v>
      </c>
      <c r="H1731" t="s">
        <v>5942</v>
      </c>
      <c r="I1731" t="s">
        <v>8492</v>
      </c>
      <c r="J1731" t="s">
        <v>9067</v>
      </c>
      <c r="K1731">
        <v>10034</v>
      </c>
      <c r="L1731" t="s">
        <v>9094</v>
      </c>
      <c r="M1731" t="s">
        <v>9095</v>
      </c>
      <c r="N1731" t="s">
        <v>9314</v>
      </c>
      <c r="O1731" t="s">
        <v>11130</v>
      </c>
      <c r="P1731" t="s">
        <v>11165</v>
      </c>
      <c r="R1731" t="s">
        <v>11180</v>
      </c>
      <c r="S1731" t="s">
        <v>9094</v>
      </c>
      <c r="T1731" t="s">
        <v>11183</v>
      </c>
      <c r="V1731" t="s">
        <v>505</v>
      </c>
      <c r="W1731">
        <v>1023.97</v>
      </c>
      <c r="X1731" t="s">
        <v>11335</v>
      </c>
      <c r="Y1731" t="s">
        <v>11340</v>
      </c>
      <c r="Z1731" t="s">
        <v>12557</v>
      </c>
      <c r="AB1731" t="s">
        <v>16951</v>
      </c>
      <c r="AC1731">
        <v>60</v>
      </c>
      <c r="AD1731" t="s">
        <v>19567</v>
      </c>
      <c r="AE1731" t="s">
        <v>19580</v>
      </c>
      <c r="AF1731">
        <v>14</v>
      </c>
      <c r="AG1731">
        <v>1</v>
      </c>
      <c r="AH1731">
        <v>0</v>
      </c>
      <c r="AI1731">
        <v>69.28</v>
      </c>
      <c r="AL1731" t="s">
        <v>19615</v>
      </c>
      <c r="AM1731">
        <v>8410.440000000001</v>
      </c>
      <c r="AS1731">
        <v>6.01</v>
      </c>
      <c r="AT1731" t="s">
        <v>472</v>
      </c>
      <c r="AU1731" t="s">
        <v>130</v>
      </c>
    </row>
    <row r="1732" spans="1:48">
      <c r="A1732" s="1">
        <f>HYPERLINK("https://lsnyc.legalserver.org/matter/dynamic-profile/view/1845306","17-1845306")</f>
        <v>0</v>
      </c>
      <c r="B1732" t="s">
        <v>165</v>
      </c>
      <c r="C1732" t="s">
        <v>256</v>
      </c>
      <c r="D1732" t="s">
        <v>399</v>
      </c>
      <c r="F1732" t="s">
        <v>1981</v>
      </c>
      <c r="G1732" t="s">
        <v>4168</v>
      </c>
      <c r="H1732" t="s">
        <v>6644</v>
      </c>
      <c r="I1732">
        <v>21</v>
      </c>
      <c r="J1732" t="s">
        <v>9059</v>
      </c>
      <c r="K1732">
        <v>11201</v>
      </c>
      <c r="L1732" t="s">
        <v>9094</v>
      </c>
      <c r="M1732" t="s">
        <v>9095</v>
      </c>
      <c r="N1732" t="s">
        <v>9836</v>
      </c>
      <c r="O1732" t="s">
        <v>11129</v>
      </c>
      <c r="P1732" t="s">
        <v>11165</v>
      </c>
      <c r="R1732" t="s">
        <v>11180</v>
      </c>
      <c r="S1732" t="s">
        <v>9096</v>
      </c>
      <c r="T1732" t="s">
        <v>11183</v>
      </c>
      <c r="V1732" t="s">
        <v>1112</v>
      </c>
      <c r="W1732">
        <v>733</v>
      </c>
      <c r="X1732" t="s">
        <v>11332</v>
      </c>
      <c r="Y1732" t="s">
        <v>11340</v>
      </c>
      <c r="Z1732" t="s">
        <v>12558</v>
      </c>
      <c r="AA1732" t="s">
        <v>15599</v>
      </c>
      <c r="AB1732" t="s">
        <v>16952</v>
      </c>
      <c r="AC1732">
        <v>25</v>
      </c>
      <c r="AD1732" t="s">
        <v>19569</v>
      </c>
      <c r="AE1732" t="s">
        <v>19587</v>
      </c>
      <c r="AF1732">
        <v>48</v>
      </c>
      <c r="AG1732">
        <v>2</v>
      </c>
      <c r="AH1732">
        <v>0</v>
      </c>
      <c r="AI1732">
        <v>69.31</v>
      </c>
      <c r="AJ1732" t="s">
        <v>1112</v>
      </c>
      <c r="AL1732" t="s">
        <v>19615</v>
      </c>
      <c r="AM1732">
        <v>11256</v>
      </c>
      <c r="AS1732">
        <v>46</v>
      </c>
      <c r="AT1732" t="s">
        <v>798</v>
      </c>
      <c r="AU1732" t="s">
        <v>95</v>
      </c>
    </row>
    <row r="1733" spans="1:48">
      <c r="A1733" s="1">
        <f>HYPERLINK("https://lsnyc.legalserver.org/matter/dynamic-profile/view/1860213","18-1860213")</f>
        <v>0</v>
      </c>
      <c r="B1733" t="s">
        <v>56</v>
      </c>
      <c r="C1733" t="s">
        <v>256</v>
      </c>
      <c r="D1733" t="s">
        <v>828</v>
      </c>
      <c r="F1733" t="s">
        <v>1982</v>
      </c>
      <c r="G1733" t="s">
        <v>2212</v>
      </c>
      <c r="H1733" t="s">
        <v>6645</v>
      </c>
      <c r="I1733" t="s">
        <v>8151</v>
      </c>
      <c r="J1733" t="s">
        <v>9055</v>
      </c>
      <c r="K1733">
        <v>11355</v>
      </c>
      <c r="L1733" t="s">
        <v>9094</v>
      </c>
      <c r="M1733" t="s">
        <v>9095</v>
      </c>
      <c r="N1733" t="s">
        <v>9837</v>
      </c>
      <c r="O1733" t="s">
        <v>11128</v>
      </c>
      <c r="P1733" t="s">
        <v>11165</v>
      </c>
      <c r="R1733" t="s">
        <v>11180</v>
      </c>
      <c r="S1733" t="s">
        <v>9096</v>
      </c>
      <c r="T1733" t="s">
        <v>11183</v>
      </c>
      <c r="V1733" t="s">
        <v>828</v>
      </c>
      <c r="W1733">
        <v>966</v>
      </c>
      <c r="X1733" t="s">
        <v>11331</v>
      </c>
      <c r="Y1733" t="s">
        <v>11336</v>
      </c>
      <c r="Z1733" t="s">
        <v>12559</v>
      </c>
      <c r="AA1733" t="s">
        <v>15600</v>
      </c>
      <c r="AB1733" t="s">
        <v>16953</v>
      </c>
      <c r="AC1733">
        <v>50</v>
      </c>
      <c r="AD1733" t="s">
        <v>19566</v>
      </c>
      <c r="AE1733" t="s">
        <v>9144</v>
      </c>
      <c r="AF1733">
        <v>31</v>
      </c>
      <c r="AG1733">
        <v>1</v>
      </c>
      <c r="AH1733">
        <v>1</v>
      </c>
      <c r="AI1733">
        <v>69.45999999999999</v>
      </c>
      <c r="AL1733" t="s">
        <v>19614</v>
      </c>
      <c r="AM1733">
        <v>11280</v>
      </c>
      <c r="AS1733">
        <v>108.55</v>
      </c>
      <c r="AT1733" t="s">
        <v>423</v>
      </c>
      <c r="AU1733" t="s">
        <v>20620</v>
      </c>
    </row>
    <row r="1734" spans="1:48">
      <c r="A1734" s="1">
        <f>HYPERLINK("https://lsnyc.legalserver.org/matter/dynamic-profile/view/1910142","19-1910142")</f>
        <v>0</v>
      </c>
      <c r="B1734" t="s">
        <v>118</v>
      </c>
      <c r="C1734" t="s">
        <v>256</v>
      </c>
      <c r="D1734" t="s">
        <v>435</v>
      </c>
      <c r="F1734" t="s">
        <v>1450</v>
      </c>
      <c r="G1734" t="s">
        <v>3448</v>
      </c>
      <c r="H1734" t="s">
        <v>6646</v>
      </c>
      <c r="I1734" t="s">
        <v>8153</v>
      </c>
      <c r="J1734" t="s">
        <v>9065</v>
      </c>
      <c r="K1734">
        <v>10452</v>
      </c>
      <c r="L1734" t="s">
        <v>9094</v>
      </c>
      <c r="M1734" t="s">
        <v>9095</v>
      </c>
      <c r="N1734" t="s">
        <v>9838</v>
      </c>
      <c r="O1734" t="s">
        <v>11129</v>
      </c>
      <c r="P1734" t="s">
        <v>11164</v>
      </c>
      <c r="R1734" t="s">
        <v>11180</v>
      </c>
      <c r="S1734" t="s">
        <v>9096</v>
      </c>
      <c r="T1734" t="s">
        <v>11183</v>
      </c>
      <c r="V1734" t="s">
        <v>294</v>
      </c>
      <c r="W1734">
        <v>1169.2</v>
      </c>
      <c r="X1734" t="s">
        <v>11333</v>
      </c>
      <c r="Y1734" t="s">
        <v>11346</v>
      </c>
      <c r="Z1734" t="s">
        <v>12159</v>
      </c>
      <c r="AB1734" t="s">
        <v>16954</v>
      </c>
      <c r="AC1734">
        <v>61</v>
      </c>
      <c r="AE1734" t="s">
        <v>19587</v>
      </c>
      <c r="AF1734">
        <v>30</v>
      </c>
      <c r="AG1734">
        <v>2</v>
      </c>
      <c r="AH1734">
        <v>0</v>
      </c>
      <c r="AI1734">
        <v>69.47</v>
      </c>
      <c r="AL1734" t="s">
        <v>19615</v>
      </c>
      <c r="AM1734">
        <v>11748</v>
      </c>
      <c r="AS1734">
        <v>0</v>
      </c>
      <c r="AU1734" t="s">
        <v>118</v>
      </c>
      <c r="AV1734" t="s">
        <v>20733</v>
      </c>
    </row>
    <row r="1735" spans="1:48">
      <c r="A1735" s="1">
        <f>HYPERLINK("https://lsnyc.legalserver.org/matter/dynamic-profile/view/1861239","18-1861239")</f>
        <v>0</v>
      </c>
      <c r="B1735" t="s">
        <v>138</v>
      </c>
      <c r="C1735" t="s">
        <v>256</v>
      </c>
      <c r="D1735" t="s">
        <v>835</v>
      </c>
      <c r="F1735" t="s">
        <v>1404</v>
      </c>
      <c r="G1735" t="s">
        <v>3418</v>
      </c>
      <c r="H1735" t="s">
        <v>6647</v>
      </c>
      <c r="I1735">
        <v>73</v>
      </c>
      <c r="J1735" t="s">
        <v>9067</v>
      </c>
      <c r="K1735">
        <v>10031</v>
      </c>
      <c r="L1735" t="s">
        <v>9096</v>
      </c>
      <c r="M1735" t="s">
        <v>9094</v>
      </c>
      <c r="O1735" t="s">
        <v>11132</v>
      </c>
      <c r="P1735" t="s">
        <v>11165</v>
      </c>
      <c r="R1735" t="s">
        <v>11180</v>
      </c>
      <c r="S1735" t="s">
        <v>9096</v>
      </c>
      <c r="T1735" t="s">
        <v>11183</v>
      </c>
      <c r="V1735" t="s">
        <v>11229</v>
      </c>
      <c r="W1735">
        <v>0</v>
      </c>
      <c r="X1735" t="s">
        <v>11335</v>
      </c>
      <c r="Y1735" t="s">
        <v>11340</v>
      </c>
      <c r="Z1735" t="s">
        <v>12560</v>
      </c>
      <c r="AB1735" t="s">
        <v>16955</v>
      </c>
      <c r="AC1735">
        <v>30</v>
      </c>
      <c r="AD1735" t="s">
        <v>19566</v>
      </c>
      <c r="AE1735" t="s">
        <v>9144</v>
      </c>
      <c r="AF1735">
        <v>5</v>
      </c>
      <c r="AG1735">
        <v>1</v>
      </c>
      <c r="AH1735">
        <v>3</v>
      </c>
      <c r="AI1735">
        <v>69.47</v>
      </c>
      <c r="AL1735" t="s">
        <v>19614</v>
      </c>
      <c r="AM1735">
        <v>26232</v>
      </c>
      <c r="AS1735">
        <v>15.7</v>
      </c>
      <c r="AT1735" t="s">
        <v>568</v>
      </c>
      <c r="AU1735" t="s">
        <v>130</v>
      </c>
      <c r="AV1735" t="s">
        <v>20733</v>
      </c>
    </row>
    <row r="1736" spans="1:48">
      <c r="A1736" s="1">
        <f>HYPERLINK("https://lsnyc.legalserver.org/matter/dynamic-profile/view/0822047","16-0822047")</f>
        <v>0</v>
      </c>
      <c r="B1736" t="s">
        <v>103</v>
      </c>
      <c r="C1736" t="s">
        <v>256</v>
      </c>
      <c r="D1736" t="s">
        <v>519</v>
      </c>
      <c r="F1736" t="s">
        <v>1183</v>
      </c>
      <c r="G1736" t="s">
        <v>4169</v>
      </c>
      <c r="H1736" t="s">
        <v>5899</v>
      </c>
      <c r="I1736" t="s">
        <v>8493</v>
      </c>
      <c r="J1736" t="s">
        <v>9065</v>
      </c>
      <c r="K1736">
        <v>10452</v>
      </c>
      <c r="L1736" t="s">
        <v>9094</v>
      </c>
      <c r="M1736" t="s">
        <v>9095</v>
      </c>
      <c r="O1736" t="s">
        <v>11135</v>
      </c>
      <c r="P1736" t="s">
        <v>11168</v>
      </c>
      <c r="R1736" t="s">
        <v>11180</v>
      </c>
      <c r="S1736" t="s">
        <v>9094</v>
      </c>
      <c r="T1736" t="s">
        <v>11183</v>
      </c>
      <c r="V1736" t="s">
        <v>519</v>
      </c>
      <c r="W1736">
        <v>1627</v>
      </c>
      <c r="X1736" t="s">
        <v>11333</v>
      </c>
      <c r="Y1736" t="s">
        <v>11346</v>
      </c>
      <c r="Z1736" t="s">
        <v>12561</v>
      </c>
      <c r="AC1736">
        <v>63</v>
      </c>
      <c r="AD1736" t="s">
        <v>19566</v>
      </c>
      <c r="AF1736">
        <v>20</v>
      </c>
      <c r="AG1736">
        <v>3</v>
      </c>
      <c r="AH1736">
        <v>2</v>
      </c>
      <c r="AI1736">
        <v>69.48</v>
      </c>
      <c r="AL1736" t="s">
        <v>19615</v>
      </c>
      <c r="AM1736">
        <v>19760</v>
      </c>
      <c r="AS1736">
        <v>0</v>
      </c>
      <c r="AU1736" t="s">
        <v>20643</v>
      </c>
    </row>
    <row r="1737" spans="1:48">
      <c r="A1737" s="1">
        <f>HYPERLINK("https://lsnyc.legalserver.org/matter/dynamic-profile/view/0822050","16-0822050")</f>
        <v>0</v>
      </c>
      <c r="B1737" t="s">
        <v>103</v>
      </c>
      <c r="C1737" t="s">
        <v>256</v>
      </c>
      <c r="D1737" t="s">
        <v>463</v>
      </c>
      <c r="F1737" t="s">
        <v>1183</v>
      </c>
      <c r="G1737" t="s">
        <v>4169</v>
      </c>
      <c r="H1737" t="s">
        <v>5899</v>
      </c>
      <c r="I1737" t="s">
        <v>8493</v>
      </c>
      <c r="J1737" t="s">
        <v>9065</v>
      </c>
      <c r="K1737">
        <v>10452</v>
      </c>
      <c r="L1737" t="s">
        <v>9094</v>
      </c>
      <c r="M1737" t="s">
        <v>9095</v>
      </c>
      <c r="O1737" t="s">
        <v>11135</v>
      </c>
      <c r="P1737" t="s">
        <v>11168</v>
      </c>
      <c r="R1737" t="s">
        <v>11180</v>
      </c>
      <c r="S1737" t="s">
        <v>9094</v>
      </c>
      <c r="T1737" t="s">
        <v>11183</v>
      </c>
      <c r="V1737" t="s">
        <v>463</v>
      </c>
      <c r="W1737">
        <v>1627</v>
      </c>
      <c r="X1737" t="s">
        <v>11333</v>
      </c>
      <c r="Y1737" t="s">
        <v>11346</v>
      </c>
      <c r="Z1737" t="s">
        <v>12561</v>
      </c>
      <c r="AC1737">
        <v>63</v>
      </c>
      <c r="AD1737" t="s">
        <v>19566</v>
      </c>
      <c r="AF1737">
        <v>20</v>
      </c>
      <c r="AG1737">
        <v>3</v>
      </c>
      <c r="AH1737">
        <v>2</v>
      </c>
      <c r="AI1737">
        <v>69.48</v>
      </c>
      <c r="AL1737" t="s">
        <v>19615</v>
      </c>
      <c r="AM1737">
        <v>35360</v>
      </c>
      <c r="AS1737">
        <v>0</v>
      </c>
      <c r="AU1737" t="s">
        <v>20643</v>
      </c>
    </row>
    <row r="1738" spans="1:48">
      <c r="A1738" s="1">
        <f>HYPERLINK("https://lsnyc.legalserver.org/matter/dynamic-profile/view/1860430","18-1860430")</f>
        <v>0</v>
      </c>
      <c r="B1738" t="s">
        <v>136</v>
      </c>
      <c r="C1738" t="s">
        <v>256</v>
      </c>
      <c r="D1738" t="s">
        <v>836</v>
      </c>
      <c r="F1738" t="s">
        <v>1983</v>
      </c>
      <c r="G1738" t="s">
        <v>3536</v>
      </c>
      <c r="H1738" t="s">
        <v>6119</v>
      </c>
      <c r="I1738" t="s">
        <v>8266</v>
      </c>
      <c r="J1738" t="s">
        <v>9067</v>
      </c>
      <c r="K1738">
        <v>10031</v>
      </c>
      <c r="L1738" t="s">
        <v>9094</v>
      </c>
      <c r="M1738" t="s">
        <v>9094</v>
      </c>
      <c r="O1738" t="s">
        <v>11130</v>
      </c>
      <c r="P1738" t="s">
        <v>11167</v>
      </c>
      <c r="R1738" t="s">
        <v>11180</v>
      </c>
      <c r="S1738" t="s">
        <v>9094</v>
      </c>
      <c r="T1738" t="s">
        <v>11183</v>
      </c>
      <c r="U1738" t="s">
        <v>11201</v>
      </c>
      <c r="V1738" t="s">
        <v>638</v>
      </c>
      <c r="W1738">
        <v>2697</v>
      </c>
      <c r="X1738" t="s">
        <v>11335</v>
      </c>
      <c r="Y1738" t="s">
        <v>11339</v>
      </c>
      <c r="Z1738" t="s">
        <v>12562</v>
      </c>
      <c r="AB1738" t="s">
        <v>16956</v>
      </c>
      <c r="AC1738">
        <v>44</v>
      </c>
      <c r="AD1738" t="s">
        <v>19567</v>
      </c>
      <c r="AE1738" t="s">
        <v>19580</v>
      </c>
      <c r="AF1738">
        <v>15</v>
      </c>
      <c r="AG1738">
        <v>2</v>
      </c>
      <c r="AH1738">
        <v>1</v>
      </c>
      <c r="AI1738">
        <v>69.54000000000001</v>
      </c>
      <c r="AL1738" t="s">
        <v>19615</v>
      </c>
      <c r="AM1738">
        <v>14200</v>
      </c>
      <c r="AS1738">
        <v>0.75</v>
      </c>
      <c r="AT1738" t="s">
        <v>268</v>
      </c>
      <c r="AU1738" t="s">
        <v>20657</v>
      </c>
      <c r="AV1738" t="s">
        <v>20733</v>
      </c>
    </row>
    <row r="1739" spans="1:48">
      <c r="A1739" s="1">
        <f>HYPERLINK("https://lsnyc.legalserver.org/matter/dynamic-profile/view/1910966","19-1910966")</f>
        <v>0</v>
      </c>
      <c r="B1739" t="s">
        <v>57</v>
      </c>
      <c r="C1739" t="s">
        <v>256</v>
      </c>
      <c r="D1739" t="s">
        <v>295</v>
      </c>
      <c r="F1739" t="s">
        <v>1984</v>
      </c>
      <c r="G1739" t="s">
        <v>3811</v>
      </c>
      <c r="H1739" t="s">
        <v>6648</v>
      </c>
      <c r="I1739" t="s">
        <v>8494</v>
      </c>
      <c r="J1739" t="s">
        <v>9039</v>
      </c>
      <c r="K1739">
        <v>11435</v>
      </c>
      <c r="L1739" t="s">
        <v>9094</v>
      </c>
      <c r="M1739" t="s">
        <v>9095</v>
      </c>
      <c r="O1739" t="s">
        <v>9121</v>
      </c>
      <c r="P1739" t="s">
        <v>11164</v>
      </c>
      <c r="R1739" t="s">
        <v>11181</v>
      </c>
      <c r="S1739" t="s">
        <v>9096</v>
      </c>
      <c r="T1739" t="s">
        <v>11183</v>
      </c>
      <c r="V1739" t="s">
        <v>341</v>
      </c>
      <c r="W1739">
        <v>1800</v>
      </c>
      <c r="X1739" t="s">
        <v>11331</v>
      </c>
      <c r="Y1739" t="s">
        <v>11337</v>
      </c>
      <c r="Z1739" t="s">
        <v>12563</v>
      </c>
      <c r="AB1739" t="s">
        <v>16957</v>
      </c>
      <c r="AC1739">
        <v>2</v>
      </c>
      <c r="AD1739" t="s">
        <v>19565</v>
      </c>
      <c r="AF1739">
        <v>1</v>
      </c>
      <c r="AG1739">
        <v>1</v>
      </c>
      <c r="AH1739">
        <v>0</v>
      </c>
      <c r="AI1739">
        <v>69.58</v>
      </c>
      <c r="AJ1739" t="s">
        <v>19591</v>
      </c>
      <c r="AK1739" t="s">
        <v>19608</v>
      </c>
      <c r="AL1739" t="s">
        <v>19614</v>
      </c>
      <c r="AM1739">
        <v>8690</v>
      </c>
      <c r="AS1739">
        <v>1</v>
      </c>
      <c r="AT1739" t="s">
        <v>284</v>
      </c>
      <c r="AU1739" t="s">
        <v>57</v>
      </c>
      <c r="AV1739" t="s">
        <v>20733</v>
      </c>
    </row>
    <row r="1740" spans="1:48">
      <c r="A1740" s="1">
        <f>HYPERLINK("https://lsnyc.legalserver.org/matter/dynamic-profile/view/1845479","17-1845479")</f>
        <v>0</v>
      </c>
      <c r="B1740" t="s">
        <v>150</v>
      </c>
      <c r="C1740" t="s">
        <v>256</v>
      </c>
      <c r="D1740" t="s">
        <v>837</v>
      </c>
      <c r="F1740" t="s">
        <v>1567</v>
      </c>
      <c r="G1740" t="s">
        <v>4170</v>
      </c>
      <c r="H1740" t="s">
        <v>6649</v>
      </c>
      <c r="I1740" t="s">
        <v>8495</v>
      </c>
      <c r="J1740" t="s">
        <v>9059</v>
      </c>
      <c r="K1740">
        <v>11213</v>
      </c>
      <c r="L1740" t="s">
        <v>9094</v>
      </c>
      <c r="M1740" t="s">
        <v>9095</v>
      </c>
      <c r="O1740" t="s">
        <v>11130</v>
      </c>
      <c r="P1740" t="s">
        <v>11165</v>
      </c>
      <c r="R1740" t="s">
        <v>11180</v>
      </c>
      <c r="S1740" t="s">
        <v>9094</v>
      </c>
      <c r="T1740" t="s">
        <v>11189</v>
      </c>
      <c r="V1740" t="s">
        <v>837</v>
      </c>
      <c r="W1740">
        <v>1077.05</v>
      </c>
      <c r="X1740" t="s">
        <v>11332</v>
      </c>
      <c r="Y1740" t="s">
        <v>11346</v>
      </c>
      <c r="Z1740" t="s">
        <v>12564</v>
      </c>
      <c r="AC1740">
        <v>74</v>
      </c>
      <c r="AD1740" t="s">
        <v>19566</v>
      </c>
      <c r="AF1740">
        <v>19</v>
      </c>
      <c r="AG1740">
        <v>1</v>
      </c>
      <c r="AH1740">
        <v>0</v>
      </c>
      <c r="AI1740">
        <v>69.65000000000001</v>
      </c>
      <c r="AJ1740" t="s">
        <v>1108</v>
      </c>
      <c r="AL1740" t="s">
        <v>19614</v>
      </c>
      <c r="AM1740">
        <v>8400</v>
      </c>
      <c r="AS1740">
        <v>0</v>
      </c>
      <c r="AU1740" t="s">
        <v>76</v>
      </c>
    </row>
    <row r="1741" spans="1:48">
      <c r="A1741" s="1">
        <f>HYPERLINK("https://lsnyc.legalserver.org/matter/dynamic-profile/view/1859384","18-1859384")</f>
        <v>0</v>
      </c>
      <c r="B1741" t="s">
        <v>120</v>
      </c>
      <c r="C1741" t="s">
        <v>256</v>
      </c>
      <c r="D1741" t="s">
        <v>607</v>
      </c>
      <c r="F1741" t="s">
        <v>1985</v>
      </c>
      <c r="G1741" t="s">
        <v>4171</v>
      </c>
      <c r="H1741" t="s">
        <v>6356</v>
      </c>
      <c r="I1741">
        <v>616</v>
      </c>
      <c r="J1741" t="s">
        <v>9065</v>
      </c>
      <c r="K1741">
        <v>10453</v>
      </c>
      <c r="L1741" t="s">
        <v>9094</v>
      </c>
      <c r="M1741" t="s">
        <v>9095</v>
      </c>
      <c r="O1741" t="s">
        <v>11135</v>
      </c>
      <c r="P1741" t="s">
        <v>11168</v>
      </c>
      <c r="R1741" t="s">
        <v>11180</v>
      </c>
      <c r="S1741" t="s">
        <v>9094</v>
      </c>
      <c r="T1741" t="s">
        <v>11183</v>
      </c>
      <c r="V1741" t="s">
        <v>595</v>
      </c>
      <c r="W1741">
        <v>671</v>
      </c>
      <c r="X1741" t="s">
        <v>11333</v>
      </c>
      <c r="Y1741" t="s">
        <v>11339</v>
      </c>
      <c r="Z1741" t="s">
        <v>12565</v>
      </c>
      <c r="AB1741" t="s">
        <v>16958</v>
      </c>
      <c r="AC1741">
        <v>146</v>
      </c>
      <c r="AD1741" t="s">
        <v>19566</v>
      </c>
      <c r="AE1741" t="s">
        <v>19587</v>
      </c>
      <c r="AF1741">
        <v>30</v>
      </c>
      <c r="AG1741">
        <v>1</v>
      </c>
      <c r="AH1741">
        <v>0</v>
      </c>
      <c r="AI1741">
        <v>69.65000000000001</v>
      </c>
      <c r="AL1741" t="s">
        <v>19614</v>
      </c>
      <c r="AM1741">
        <v>8400</v>
      </c>
      <c r="AS1741">
        <v>0.1</v>
      </c>
      <c r="AT1741" t="s">
        <v>683</v>
      </c>
      <c r="AU1741" t="s">
        <v>20647</v>
      </c>
    </row>
    <row r="1742" spans="1:48">
      <c r="A1742" s="1">
        <f>HYPERLINK("https://lsnyc.legalserver.org/matter/dynamic-profile/view/1840918","17-1840918")</f>
        <v>0</v>
      </c>
      <c r="B1742" t="s">
        <v>114</v>
      </c>
      <c r="C1742" t="s">
        <v>256</v>
      </c>
      <c r="D1742" t="s">
        <v>838</v>
      </c>
      <c r="F1742" t="s">
        <v>1363</v>
      </c>
      <c r="G1742" t="s">
        <v>4172</v>
      </c>
      <c r="H1742" t="s">
        <v>6650</v>
      </c>
      <c r="I1742" t="s">
        <v>8171</v>
      </c>
      <c r="J1742" t="s">
        <v>9065</v>
      </c>
      <c r="K1742">
        <v>10453</v>
      </c>
      <c r="L1742" t="s">
        <v>9094</v>
      </c>
      <c r="M1742" t="s">
        <v>9095</v>
      </c>
      <c r="N1742" t="s">
        <v>9839</v>
      </c>
      <c r="O1742" t="s">
        <v>11128</v>
      </c>
      <c r="P1742" t="s">
        <v>11165</v>
      </c>
      <c r="R1742" t="s">
        <v>11180</v>
      </c>
      <c r="T1742" t="s">
        <v>11183</v>
      </c>
      <c r="V1742" t="s">
        <v>838</v>
      </c>
      <c r="W1742">
        <v>894.7</v>
      </c>
      <c r="X1742" t="s">
        <v>11333</v>
      </c>
      <c r="Y1742" t="s">
        <v>11352</v>
      </c>
      <c r="Z1742" t="s">
        <v>12566</v>
      </c>
      <c r="AB1742" t="s">
        <v>16959</v>
      </c>
      <c r="AC1742">
        <v>36</v>
      </c>
      <c r="AD1742" t="s">
        <v>19566</v>
      </c>
      <c r="AE1742" t="s">
        <v>19580</v>
      </c>
      <c r="AF1742">
        <v>39</v>
      </c>
      <c r="AG1742">
        <v>1</v>
      </c>
      <c r="AH1742">
        <v>0</v>
      </c>
      <c r="AI1742">
        <v>69.65000000000001</v>
      </c>
      <c r="AL1742" t="s">
        <v>19615</v>
      </c>
      <c r="AM1742">
        <v>8400</v>
      </c>
      <c r="AS1742">
        <v>79.8</v>
      </c>
      <c r="AT1742" t="s">
        <v>632</v>
      </c>
      <c r="AU1742" t="s">
        <v>20619</v>
      </c>
    </row>
    <row r="1743" spans="1:48">
      <c r="A1743" s="1">
        <f>HYPERLINK("https://lsnyc.legalserver.org/matter/dynamic-profile/view/0815801","16-0815801")</f>
        <v>0</v>
      </c>
      <c r="B1743" t="s">
        <v>75</v>
      </c>
      <c r="C1743" t="s">
        <v>257</v>
      </c>
      <c r="D1743" t="s">
        <v>839</v>
      </c>
      <c r="E1743" t="s">
        <v>1132</v>
      </c>
      <c r="F1743" t="s">
        <v>1384</v>
      </c>
      <c r="G1743" t="s">
        <v>4173</v>
      </c>
      <c r="H1743" t="s">
        <v>6651</v>
      </c>
      <c r="I1743" t="s">
        <v>8142</v>
      </c>
      <c r="J1743" t="s">
        <v>9059</v>
      </c>
      <c r="K1743">
        <v>11233</v>
      </c>
      <c r="L1743" t="s">
        <v>9094</v>
      </c>
      <c r="M1743" t="s">
        <v>9095</v>
      </c>
      <c r="N1743" t="s">
        <v>9840</v>
      </c>
      <c r="O1743" t="s">
        <v>11129</v>
      </c>
      <c r="P1743" t="s">
        <v>11165</v>
      </c>
      <c r="Q1743" t="s">
        <v>11174</v>
      </c>
      <c r="R1743" t="s">
        <v>11180</v>
      </c>
      <c r="T1743" t="s">
        <v>11183</v>
      </c>
      <c r="V1743" t="s">
        <v>11256</v>
      </c>
      <c r="W1743">
        <v>486.94</v>
      </c>
      <c r="X1743" t="s">
        <v>11332</v>
      </c>
      <c r="Y1743" t="s">
        <v>11344</v>
      </c>
      <c r="Z1743" t="s">
        <v>12567</v>
      </c>
      <c r="AA1743" t="s">
        <v>15601</v>
      </c>
      <c r="AB1743" t="s">
        <v>16960</v>
      </c>
      <c r="AC1743">
        <v>6</v>
      </c>
      <c r="AD1743" t="s">
        <v>15441</v>
      </c>
      <c r="AF1743">
        <v>27</v>
      </c>
      <c r="AG1743">
        <v>1</v>
      </c>
      <c r="AH1743">
        <v>0</v>
      </c>
      <c r="AI1743">
        <v>69.7</v>
      </c>
      <c r="AL1743" t="s">
        <v>19614</v>
      </c>
      <c r="AM1743">
        <v>8280</v>
      </c>
      <c r="AS1743">
        <v>40.21</v>
      </c>
      <c r="AT1743" t="s">
        <v>1034</v>
      </c>
      <c r="AU1743" t="s">
        <v>20700</v>
      </c>
    </row>
    <row r="1744" spans="1:48">
      <c r="A1744" s="1">
        <f>HYPERLINK("https://lsnyc.legalserver.org/matter/dynamic-profile/view/1834816","17-1834816")</f>
        <v>0</v>
      </c>
      <c r="B1744" t="s">
        <v>141</v>
      </c>
      <c r="C1744" t="s">
        <v>256</v>
      </c>
      <c r="D1744" t="s">
        <v>800</v>
      </c>
      <c r="F1744" t="s">
        <v>1146</v>
      </c>
      <c r="G1744" t="s">
        <v>3499</v>
      </c>
      <c r="H1744" t="s">
        <v>5952</v>
      </c>
      <c r="I1744" t="s">
        <v>8124</v>
      </c>
      <c r="J1744" t="s">
        <v>9067</v>
      </c>
      <c r="K1744">
        <v>10033</v>
      </c>
      <c r="L1744" t="s">
        <v>9094</v>
      </c>
      <c r="M1744" t="s">
        <v>9095</v>
      </c>
      <c r="N1744" t="s">
        <v>9685</v>
      </c>
      <c r="O1744" t="s">
        <v>9121</v>
      </c>
      <c r="P1744" t="s">
        <v>11166</v>
      </c>
      <c r="R1744" t="s">
        <v>11180</v>
      </c>
      <c r="S1744" t="s">
        <v>9094</v>
      </c>
      <c r="T1744" t="s">
        <v>11183</v>
      </c>
      <c r="V1744" t="s">
        <v>345</v>
      </c>
      <c r="W1744">
        <v>0</v>
      </c>
      <c r="X1744" t="s">
        <v>11335</v>
      </c>
      <c r="Y1744" t="s">
        <v>11339</v>
      </c>
      <c r="Z1744" t="s">
        <v>12568</v>
      </c>
      <c r="AB1744" t="s">
        <v>16961</v>
      </c>
      <c r="AC1744">
        <v>24</v>
      </c>
      <c r="AD1744" t="s">
        <v>19566</v>
      </c>
      <c r="AE1744" t="s">
        <v>9144</v>
      </c>
      <c r="AF1744">
        <v>17</v>
      </c>
      <c r="AG1744">
        <v>1</v>
      </c>
      <c r="AH1744">
        <v>0</v>
      </c>
      <c r="AI1744">
        <v>69.7</v>
      </c>
      <c r="AJ1744" t="s">
        <v>973</v>
      </c>
      <c r="AL1744" t="s">
        <v>19615</v>
      </c>
      <c r="AM1744">
        <v>8406.360000000001</v>
      </c>
      <c r="AS1744">
        <v>0.5</v>
      </c>
      <c r="AT1744" t="s">
        <v>695</v>
      </c>
      <c r="AU1744" t="s">
        <v>20657</v>
      </c>
    </row>
    <row r="1745" spans="1:48">
      <c r="A1745" s="1">
        <f>HYPERLINK("https://lsnyc.legalserver.org/matter/dynamic-profile/view/0794247","15-0794247")</f>
        <v>0</v>
      </c>
      <c r="B1745" t="s">
        <v>101</v>
      </c>
      <c r="C1745" t="s">
        <v>256</v>
      </c>
      <c r="D1745" t="s">
        <v>840</v>
      </c>
      <c r="F1745" t="s">
        <v>1986</v>
      </c>
      <c r="G1745" t="s">
        <v>4174</v>
      </c>
      <c r="H1745" t="s">
        <v>5890</v>
      </c>
      <c r="I1745" t="s">
        <v>8496</v>
      </c>
      <c r="J1745" t="s">
        <v>9065</v>
      </c>
      <c r="K1745">
        <v>10453</v>
      </c>
      <c r="L1745" t="s">
        <v>9094</v>
      </c>
      <c r="M1745" t="s">
        <v>9095</v>
      </c>
      <c r="N1745" t="s">
        <v>9841</v>
      </c>
      <c r="O1745" t="s">
        <v>11147</v>
      </c>
      <c r="P1745" t="s">
        <v>11165</v>
      </c>
      <c r="R1745" t="s">
        <v>11180</v>
      </c>
      <c r="S1745" t="s">
        <v>9094</v>
      </c>
      <c r="T1745" t="s">
        <v>11183</v>
      </c>
      <c r="V1745" t="s">
        <v>11221</v>
      </c>
      <c r="W1745">
        <v>1050</v>
      </c>
      <c r="X1745" t="s">
        <v>11333</v>
      </c>
      <c r="Y1745" t="s">
        <v>11338</v>
      </c>
      <c r="Z1745" t="s">
        <v>12569</v>
      </c>
      <c r="AA1745" t="s">
        <v>15602</v>
      </c>
      <c r="AB1745" t="s">
        <v>16962</v>
      </c>
      <c r="AC1745">
        <v>0</v>
      </c>
      <c r="AD1745" t="s">
        <v>19566</v>
      </c>
      <c r="AF1745">
        <v>1</v>
      </c>
      <c r="AG1745">
        <v>1</v>
      </c>
      <c r="AH1745">
        <v>2</v>
      </c>
      <c r="AI1745">
        <v>69.73</v>
      </c>
      <c r="AL1745" t="s">
        <v>19614</v>
      </c>
      <c r="AM1745">
        <v>14008</v>
      </c>
      <c r="AS1745">
        <v>3.35</v>
      </c>
      <c r="AT1745" t="s">
        <v>820</v>
      </c>
      <c r="AU1745" t="s">
        <v>109</v>
      </c>
    </row>
    <row r="1746" spans="1:48">
      <c r="A1746" s="1">
        <f>HYPERLINK("https://lsnyc.legalserver.org/matter/dynamic-profile/view/1889163","19-1889163")</f>
        <v>0</v>
      </c>
      <c r="B1746" t="s">
        <v>69</v>
      </c>
      <c r="C1746" t="s">
        <v>257</v>
      </c>
      <c r="D1746" t="s">
        <v>602</v>
      </c>
      <c r="E1746" t="s">
        <v>276</v>
      </c>
      <c r="F1746" t="s">
        <v>1987</v>
      </c>
      <c r="G1746" t="s">
        <v>4175</v>
      </c>
      <c r="H1746" t="s">
        <v>6652</v>
      </c>
      <c r="I1746" t="s">
        <v>8497</v>
      </c>
      <c r="J1746" t="s">
        <v>9059</v>
      </c>
      <c r="K1746">
        <v>11208</v>
      </c>
      <c r="L1746" t="s">
        <v>9094</v>
      </c>
      <c r="M1746" t="s">
        <v>9094</v>
      </c>
      <c r="N1746" t="s">
        <v>9842</v>
      </c>
      <c r="O1746" t="s">
        <v>11131</v>
      </c>
      <c r="P1746" t="s">
        <v>11168</v>
      </c>
      <c r="Q1746" t="s">
        <v>11173</v>
      </c>
      <c r="R1746" t="s">
        <v>11180</v>
      </c>
      <c r="S1746" t="s">
        <v>9096</v>
      </c>
      <c r="T1746" t="s">
        <v>11184</v>
      </c>
      <c r="V1746" t="s">
        <v>634</v>
      </c>
      <c r="W1746">
        <v>0</v>
      </c>
      <c r="X1746" t="s">
        <v>11332</v>
      </c>
      <c r="Y1746" t="s">
        <v>11345</v>
      </c>
      <c r="Z1746" t="s">
        <v>12570</v>
      </c>
      <c r="AA1746" t="s">
        <v>15603</v>
      </c>
      <c r="AB1746" t="s">
        <v>16963</v>
      </c>
      <c r="AC1746">
        <v>3</v>
      </c>
      <c r="AF1746">
        <v>0</v>
      </c>
      <c r="AG1746">
        <v>3</v>
      </c>
      <c r="AH1746">
        <v>2</v>
      </c>
      <c r="AI1746">
        <v>69.75</v>
      </c>
      <c r="AL1746" t="s">
        <v>19614</v>
      </c>
      <c r="AM1746">
        <v>21044</v>
      </c>
      <c r="AS1746">
        <v>12.6</v>
      </c>
      <c r="AT1746" t="s">
        <v>276</v>
      </c>
      <c r="AU1746" t="s">
        <v>79</v>
      </c>
    </row>
    <row r="1747" spans="1:48">
      <c r="A1747" s="1">
        <f>HYPERLINK("https://lsnyc.legalserver.org/matter/dynamic-profile/view/1838591","17-1838591")</f>
        <v>0</v>
      </c>
      <c r="B1747" t="s">
        <v>139</v>
      </c>
      <c r="C1747" t="s">
        <v>256</v>
      </c>
      <c r="D1747" t="s">
        <v>406</v>
      </c>
      <c r="F1747" t="s">
        <v>1988</v>
      </c>
      <c r="G1747" t="s">
        <v>4176</v>
      </c>
      <c r="H1747" t="s">
        <v>5948</v>
      </c>
      <c r="I1747" t="s">
        <v>8498</v>
      </c>
      <c r="J1747" t="s">
        <v>9067</v>
      </c>
      <c r="K1747">
        <v>10034</v>
      </c>
      <c r="L1747" t="s">
        <v>9094</v>
      </c>
      <c r="M1747" t="s">
        <v>9095</v>
      </c>
      <c r="O1747" t="s">
        <v>11130</v>
      </c>
      <c r="P1747" t="s">
        <v>11165</v>
      </c>
      <c r="R1747" t="s">
        <v>11180</v>
      </c>
      <c r="S1747" t="s">
        <v>9094</v>
      </c>
      <c r="T1747" t="s">
        <v>11183</v>
      </c>
      <c r="V1747" t="s">
        <v>837</v>
      </c>
      <c r="W1747">
        <v>811</v>
      </c>
      <c r="X1747" t="s">
        <v>11335</v>
      </c>
      <c r="Y1747" t="s">
        <v>11339</v>
      </c>
      <c r="Z1747" t="s">
        <v>12571</v>
      </c>
      <c r="AB1747" t="s">
        <v>16964</v>
      </c>
      <c r="AC1747">
        <v>49</v>
      </c>
      <c r="AD1747" t="s">
        <v>19566</v>
      </c>
      <c r="AE1747" t="s">
        <v>9144</v>
      </c>
      <c r="AF1747">
        <v>8</v>
      </c>
      <c r="AG1747">
        <v>1</v>
      </c>
      <c r="AH1747">
        <v>3</v>
      </c>
      <c r="AI1747">
        <v>69.76000000000001</v>
      </c>
      <c r="AL1747" t="s">
        <v>19615</v>
      </c>
      <c r="AM1747">
        <v>17160</v>
      </c>
      <c r="AS1747">
        <v>0.6</v>
      </c>
      <c r="AT1747" t="s">
        <v>746</v>
      </c>
      <c r="AU1747" t="s">
        <v>20657</v>
      </c>
    </row>
    <row r="1748" spans="1:48">
      <c r="A1748" s="1">
        <f>HYPERLINK("https://lsnyc.legalserver.org/matter/dynamic-profile/view/1895160","19-1895160")</f>
        <v>0</v>
      </c>
      <c r="B1748" t="s">
        <v>69</v>
      </c>
      <c r="C1748" t="s">
        <v>257</v>
      </c>
      <c r="D1748" t="s">
        <v>278</v>
      </c>
      <c r="E1748" t="s">
        <v>265</v>
      </c>
      <c r="F1748" t="s">
        <v>1323</v>
      </c>
      <c r="G1748" t="s">
        <v>3618</v>
      </c>
      <c r="H1748" t="s">
        <v>6266</v>
      </c>
      <c r="I1748" t="s">
        <v>8142</v>
      </c>
      <c r="J1748" t="s">
        <v>9059</v>
      </c>
      <c r="K1748">
        <v>11208</v>
      </c>
      <c r="L1748" t="s">
        <v>9094</v>
      </c>
      <c r="M1748" t="s">
        <v>9094</v>
      </c>
      <c r="N1748" t="s">
        <v>9843</v>
      </c>
      <c r="O1748" t="s">
        <v>11138</v>
      </c>
      <c r="P1748" t="s">
        <v>11168</v>
      </c>
      <c r="Q1748" t="s">
        <v>11177</v>
      </c>
      <c r="R1748" t="s">
        <v>11180</v>
      </c>
      <c r="S1748" t="s">
        <v>9096</v>
      </c>
      <c r="T1748" t="s">
        <v>11184</v>
      </c>
      <c r="V1748" t="s">
        <v>360</v>
      </c>
      <c r="W1748">
        <v>1408</v>
      </c>
      <c r="X1748" t="s">
        <v>11332</v>
      </c>
      <c r="Y1748" t="s">
        <v>11336</v>
      </c>
      <c r="Z1748" t="s">
        <v>12572</v>
      </c>
      <c r="AB1748" t="s">
        <v>16965</v>
      </c>
      <c r="AC1748">
        <v>0</v>
      </c>
      <c r="AD1748" t="s">
        <v>19566</v>
      </c>
      <c r="AE1748" t="s">
        <v>9144</v>
      </c>
      <c r="AF1748">
        <v>3</v>
      </c>
      <c r="AG1748">
        <v>1</v>
      </c>
      <c r="AH1748">
        <v>3</v>
      </c>
      <c r="AI1748">
        <v>69.90000000000001</v>
      </c>
      <c r="AL1748" t="s">
        <v>19614</v>
      </c>
      <c r="AM1748">
        <v>18000</v>
      </c>
      <c r="AS1748">
        <v>17</v>
      </c>
      <c r="AT1748" t="s">
        <v>265</v>
      </c>
      <c r="AU1748" t="s">
        <v>79</v>
      </c>
      <c r="AV1748" t="s">
        <v>20733</v>
      </c>
    </row>
    <row r="1749" spans="1:48">
      <c r="A1749" s="1">
        <f>HYPERLINK("https://lsnyc.legalserver.org/matter/dynamic-profile/view/1914583","19-1914583")</f>
        <v>0</v>
      </c>
      <c r="B1749" t="s">
        <v>117</v>
      </c>
      <c r="C1749" t="s">
        <v>256</v>
      </c>
      <c r="D1749" t="s">
        <v>301</v>
      </c>
      <c r="F1749" t="s">
        <v>1853</v>
      </c>
      <c r="G1749" t="s">
        <v>4027</v>
      </c>
      <c r="H1749" t="s">
        <v>5899</v>
      </c>
      <c r="I1749" t="s">
        <v>8112</v>
      </c>
      <c r="J1749" t="s">
        <v>9065</v>
      </c>
      <c r="K1749">
        <v>10452</v>
      </c>
      <c r="L1749" t="s">
        <v>9094</v>
      </c>
      <c r="M1749" t="s">
        <v>9095</v>
      </c>
      <c r="P1749" t="s">
        <v>11164</v>
      </c>
      <c r="R1749" t="s">
        <v>11180</v>
      </c>
      <c r="S1749" t="s">
        <v>9094</v>
      </c>
      <c r="T1749" t="s">
        <v>11183</v>
      </c>
      <c r="W1749">
        <v>962</v>
      </c>
      <c r="X1749" t="s">
        <v>11333</v>
      </c>
      <c r="Y1749" t="s">
        <v>11346</v>
      </c>
      <c r="Z1749" t="s">
        <v>12573</v>
      </c>
      <c r="AB1749" t="s">
        <v>16966</v>
      </c>
      <c r="AC1749">
        <v>63</v>
      </c>
      <c r="AD1749" t="s">
        <v>19566</v>
      </c>
      <c r="AE1749" t="s">
        <v>19587</v>
      </c>
      <c r="AF1749">
        <v>44</v>
      </c>
      <c r="AG1749">
        <v>2</v>
      </c>
      <c r="AH1749">
        <v>2</v>
      </c>
      <c r="AI1749">
        <v>69.90000000000001</v>
      </c>
      <c r="AL1749" t="s">
        <v>19614</v>
      </c>
      <c r="AM1749">
        <v>18000</v>
      </c>
      <c r="AS1749">
        <v>0</v>
      </c>
      <c r="AU1749" t="s">
        <v>163</v>
      </c>
      <c r="AV1749" t="s">
        <v>20733</v>
      </c>
    </row>
    <row r="1750" spans="1:48">
      <c r="A1750" s="1">
        <f>HYPERLINK("https://lsnyc.legalserver.org/matter/dynamic-profile/view/1914847","19-1914847")</f>
        <v>0</v>
      </c>
      <c r="B1750" t="s">
        <v>117</v>
      </c>
      <c r="C1750" t="s">
        <v>256</v>
      </c>
      <c r="D1750" t="s">
        <v>331</v>
      </c>
      <c r="F1750" t="s">
        <v>1853</v>
      </c>
      <c r="G1750" t="s">
        <v>4027</v>
      </c>
      <c r="H1750" t="s">
        <v>5899</v>
      </c>
      <c r="I1750" t="s">
        <v>8112</v>
      </c>
      <c r="J1750" t="s">
        <v>9065</v>
      </c>
      <c r="K1750">
        <v>10452</v>
      </c>
      <c r="L1750" t="s">
        <v>9094</v>
      </c>
      <c r="M1750" t="s">
        <v>9095</v>
      </c>
      <c r="P1750" t="s">
        <v>11169</v>
      </c>
      <c r="R1750" t="s">
        <v>11180</v>
      </c>
      <c r="S1750" t="s">
        <v>9094</v>
      </c>
      <c r="T1750" t="s">
        <v>11183</v>
      </c>
      <c r="W1750">
        <v>962</v>
      </c>
      <c r="X1750" t="s">
        <v>11333</v>
      </c>
      <c r="Y1750" t="s">
        <v>11346</v>
      </c>
      <c r="Z1750" t="s">
        <v>12573</v>
      </c>
      <c r="AB1750" t="s">
        <v>16966</v>
      </c>
      <c r="AC1750">
        <v>63</v>
      </c>
      <c r="AD1750" t="s">
        <v>19566</v>
      </c>
      <c r="AE1750" t="s">
        <v>19587</v>
      </c>
      <c r="AF1750">
        <v>44</v>
      </c>
      <c r="AG1750">
        <v>2</v>
      </c>
      <c r="AH1750">
        <v>2</v>
      </c>
      <c r="AI1750">
        <v>69.90000000000001</v>
      </c>
      <c r="AL1750" t="s">
        <v>19614</v>
      </c>
      <c r="AM1750">
        <v>18000</v>
      </c>
      <c r="AS1750">
        <v>0</v>
      </c>
      <c r="AU1750" t="s">
        <v>220</v>
      </c>
    </row>
    <row r="1751" spans="1:48">
      <c r="A1751" s="1">
        <f>HYPERLINK("https://lsnyc.legalserver.org/matter/dynamic-profile/view/1909410","19-1909410")</f>
        <v>0</v>
      </c>
      <c r="B1751" t="s">
        <v>132</v>
      </c>
      <c r="C1751" t="s">
        <v>256</v>
      </c>
      <c r="D1751" t="s">
        <v>339</v>
      </c>
      <c r="F1751" t="s">
        <v>1251</v>
      </c>
      <c r="G1751" t="s">
        <v>3370</v>
      </c>
      <c r="H1751" t="s">
        <v>6653</v>
      </c>
      <c r="I1751" t="s">
        <v>8223</v>
      </c>
      <c r="J1751" t="s">
        <v>9067</v>
      </c>
      <c r="K1751">
        <v>10040</v>
      </c>
      <c r="L1751" t="s">
        <v>9094</v>
      </c>
      <c r="M1751" t="s">
        <v>9095</v>
      </c>
      <c r="O1751" t="s">
        <v>11130</v>
      </c>
      <c r="P1751" t="s">
        <v>11165</v>
      </c>
      <c r="R1751" t="s">
        <v>11180</v>
      </c>
      <c r="S1751" t="s">
        <v>9094</v>
      </c>
      <c r="T1751" t="s">
        <v>11183</v>
      </c>
      <c r="V1751" t="s">
        <v>339</v>
      </c>
      <c r="W1751">
        <v>1860.63</v>
      </c>
      <c r="X1751" t="s">
        <v>11335</v>
      </c>
      <c r="Y1751" t="s">
        <v>11338</v>
      </c>
      <c r="Z1751" t="s">
        <v>12574</v>
      </c>
      <c r="AB1751" t="s">
        <v>16967</v>
      </c>
      <c r="AC1751">
        <v>77</v>
      </c>
      <c r="AD1751" t="s">
        <v>19566</v>
      </c>
      <c r="AE1751" t="s">
        <v>9144</v>
      </c>
      <c r="AF1751">
        <v>4</v>
      </c>
      <c r="AG1751">
        <v>2</v>
      </c>
      <c r="AH1751">
        <v>2</v>
      </c>
      <c r="AI1751">
        <v>69.90000000000001</v>
      </c>
      <c r="AL1751" t="s">
        <v>19615</v>
      </c>
      <c r="AM1751">
        <v>18000</v>
      </c>
      <c r="AS1751">
        <v>0.1</v>
      </c>
      <c r="AT1751" t="s">
        <v>425</v>
      </c>
      <c r="AU1751" t="s">
        <v>130</v>
      </c>
      <c r="AV1751" t="s">
        <v>20733</v>
      </c>
    </row>
    <row r="1752" spans="1:48">
      <c r="A1752" s="1">
        <f>HYPERLINK("https://lsnyc.legalserver.org/matter/dynamic-profile/view/1863492","18-1863492")</f>
        <v>0</v>
      </c>
      <c r="B1752" t="s">
        <v>111</v>
      </c>
      <c r="C1752" t="s">
        <v>256</v>
      </c>
      <c r="D1752" t="s">
        <v>356</v>
      </c>
      <c r="F1752" t="s">
        <v>1989</v>
      </c>
      <c r="G1752" t="s">
        <v>4177</v>
      </c>
      <c r="H1752" t="s">
        <v>6104</v>
      </c>
      <c r="I1752" t="s">
        <v>8183</v>
      </c>
      <c r="J1752" t="s">
        <v>9065</v>
      </c>
      <c r="K1752">
        <v>10452</v>
      </c>
      <c r="L1752" t="s">
        <v>9094</v>
      </c>
      <c r="M1752" t="s">
        <v>9095</v>
      </c>
      <c r="N1752" t="s">
        <v>9407</v>
      </c>
      <c r="O1752" t="s">
        <v>11135</v>
      </c>
      <c r="P1752" t="s">
        <v>11168</v>
      </c>
      <c r="R1752" t="s">
        <v>11180</v>
      </c>
      <c r="S1752" t="s">
        <v>9094</v>
      </c>
      <c r="T1752" t="s">
        <v>11183</v>
      </c>
      <c r="V1752" t="s">
        <v>638</v>
      </c>
      <c r="W1752">
        <v>1514</v>
      </c>
      <c r="X1752" t="s">
        <v>11333</v>
      </c>
      <c r="Y1752" t="s">
        <v>11346</v>
      </c>
      <c r="Z1752" t="s">
        <v>12575</v>
      </c>
      <c r="AA1752" t="s">
        <v>15604</v>
      </c>
      <c r="AB1752" t="s">
        <v>16968</v>
      </c>
      <c r="AC1752">
        <v>70</v>
      </c>
      <c r="AD1752" t="s">
        <v>19566</v>
      </c>
      <c r="AE1752" t="s">
        <v>19580</v>
      </c>
      <c r="AF1752">
        <v>4</v>
      </c>
      <c r="AG1752">
        <v>2</v>
      </c>
      <c r="AH1752">
        <v>2</v>
      </c>
      <c r="AI1752">
        <v>69.94</v>
      </c>
      <c r="AL1752" t="s">
        <v>19614</v>
      </c>
      <c r="AM1752">
        <v>31032</v>
      </c>
      <c r="AS1752">
        <v>0</v>
      </c>
      <c r="AU1752" t="s">
        <v>20647</v>
      </c>
    </row>
    <row r="1753" spans="1:48">
      <c r="A1753" s="1">
        <f>HYPERLINK("https://lsnyc.legalserver.org/matter/dynamic-profile/view/1906099","19-1906099")</f>
        <v>0</v>
      </c>
      <c r="B1753" t="s">
        <v>138</v>
      </c>
      <c r="C1753" t="s">
        <v>256</v>
      </c>
      <c r="D1753" t="s">
        <v>330</v>
      </c>
      <c r="F1753" t="s">
        <v>1990</v>
      </c>
      <c r="G1753" t="s">
        <v>4178</v>
      </c>
      <c r="H1753" t="s">
        <v>6654</v>
      </c>
      <c r="I1753" t="s">
        <v>8151</v>
      </c>
      <c r="J1753" t="s">
        <v>9067</v>
      </c>
      <c r="K1753">
        <v>10034</v>
      </c>
      <c r="L1753" t="s">
        <v>9094</v>
      </c>
      <c r="M1753" t="s">
        <v>9095</v>
      </c>
      <c r="O1753" t="s">
        <v>11136</v>
      </c>
      <c r="P1753" t="s">
        <v>11167</v>
      </c>
      <c r="R1753" t="s">
        <v>11180</v>
      </c>
      <c r="S1753" t="s">
        <v>9096</v>
      </c>
      <c r="T1753" t="s">
        <v>11183</v>
      </c>
      <c r="V1753" t="s">
        <v>330</v>
      </c>
      <c r="W1753">
        <v>175</v>
      </c>
      <c r="X1753" t="s">
        <v>11335</v>
      </c>
      <c r="Z1753" t="s">
        <v>12576</v>
      </c>
      <c r="AB1753" t="s">
        <v>16969</v>
      </c>
      <c r="AC1753">
        <v>30</v>
      </c>
      <c r="AD1753" t="s">
        <v>19566</v>
      </c>
      <c r="AE1753" t="s">
        <v>9144</v>
      </c>
      <c r="AF1753">
        <v>6</v>
      </c>
      <c r="AG1753">
        <v>1</v>
      </c>
      <c r="AH1753">
        <v>0</v>
      </c>
      <c r="AI1753">
        <v>69.97</v>
      </c>
      <c r="AL1753" t="s">
        <v>19614</v>
      </c>
      <c r="AM1753">
        <v>8739</v>
      </c>
      <c r="AS1753">
        <v>6.2</v>
      </c>
      <c r="AT1753" t="s">
        <v>435</v>
      </c>
      <c r="AU1753" t="s">
        <v>130</v>
      </c>
      <c r="AV1753" t="s">
        <v>20733</v>
      </c>
    </row>
    <row r="1754" spans="1:48">
      <c r="A1754" s="1">
        <f>HYPERLINK("https://lsnyc.legalserver.org/matter/dynamic-profile/view/1880605","18-1880605")</f>
        <v>0</v>
      </c>
      <c r="B1754" t="s">
        <v>103</v>
      </c>
      <c r="C1754" t="s">
        <v>256</v>
      </c>
      <c r="D1754" t="s">
        <v>477</v>
      </c>
      <c r="F1754" t="s">
        <v>1550</v>
      </c>
      <c r="G1754" t="s">
        <v>3448</v>
      </c>
      <c r="H1754" t="s">
        <v>6413</v>
      </c>
      <c r="I1754" t="s">
        <v>8124</v>
      </c>
      <c r="J1754" t="s">
        <v>9065</v>
      </c>
      <c r="K1754">
        <v>10456</v>
      </c>
      <c r="L1754" t="s">
        <v>9094</v>
      </c>
      <c r="M1754" t="s">
        <v>9094</v>
      </c>
      <c r="N1754" t="s">
        <v>9732</v>
      </c>
      <c r="O1754" t="s">
        <v>11134</v>
      </c>
      <c r="P1754" t="s">
        <v>11168</v>
      </c>
      <c r="R1754" t="s">
        <v>11180</v>
      </c>
      <c r="S1754" t="s">
        <v>9094</v>
      </c>
      <c r="T1754" t="s">
        <v>11183</v>
      </c>
      <c r="V1754" t="s">
        <v>785</v>
      </c>
      <c r="W1754">
        <v>1165</v>
      </c>
      <c r="X1754" t="s">
        <v>11333</v>
      </c>
      <c r="Z1754" t="s">
        <v>12577</v>
      </c>
      <c r="AB1754" t="s">
        <v>16970</v>
      </c>
      <c r="AC1754">
        <v>61</v>
      </c>
      <c r="AD1754" t="s">
        <v>19566</v>
      </c>
      <c r="AE1754" t="s">
        <v>19580</v>
      </c>
      <c r="AF1754">
        <v>22</v>
      </c>
      <c r="AG1754">
        <v>1</v>
      </c>
      <c r="AH1754">
        <v>0</v>
      </c>
      <c r="AI1754">
        <v>70.08</v>
      </c>
      <c r="AL1754" t="s">
        <v>19615</v>
      </c>
      <c r="AM1754">
        <v>8508</v>
      </c>
      <c r="AN1754" t="s">
        <v>19818</v>
      </c>
      <c r="AS1754">
        <v>0</v>
      </c>
      <c r="AU1754" t="s">
        <v>20642</v>
      </c>
    </row>
    <row r="1755" spans="1:48">
      <c r="A1755" s="1">
        <f>HYPERLINK("https://lsnyc.legalserver.org/matter/dynamic-profile/view/1869615","18-1869615")</f>
        <v>0</v>
      </c>
      <c r="B1755" t="s">
        <v>114</v>
      </c>
      <c r="C1755" t="s">
        <v>256</v>
      </c>
      <c r="D1755" t="s">
        <v>469</v>
      </c>
      <c r="F1755" t="s">
        <v>1655</v>
      </c>
      <c r="G1755" t="s">
        <v>2930</v>
      </c>
      <c r="H1755" t="s">
        <v>6229</v>
      </c>
      <c r="I1755" t="s">
        <v>8134</v>
      </c>
      <c r="J1755" t="s">
        <v>9065</v>
      </c>
      <c r="K1755">
        <v>10453</v>
      </c>
      <c r="L1755" t="s">
        <v>9094</v>
      </c>
      <c r="M1755" t="s">
        <v>9095</v>
      </c>
      <c r="N1755" t="s">
        <v>9844</v>
      </c>
      <c r="O1755" t="s">
        <v>11128</v>
      </c>
      <c r="P1755" t="s">
        <v>11165</v>
      </c>
      <c r="R1755" t="s">
        <v>11180</v>
      </c>
      <c r="S1755" t="s">
        <v>9096</v>
      </c>
      <c r="T1755" t="s">
        <v>11183</v>
      </c>
      <c r="V1755" t="s">
        <v>659</v>
      </c>
      <c r="W1755">
        <v>1600</v>
      </c>
      <c r="X1755" t="s">
        <v>11333</v>
      </c>
      <c r="Y1755" t="s">
        <v>11344</v>
      </c>
      <c r="Z1755" t="s">
        <v>11984</v>
      </c>
      <c r="AA1755" t="s">
        <v>15605</v>
      </c>
      <c r="AB1755" t="s">
        <v>16436</v>
      </c>
      <c r="AC1755">
        <v>0</v>
      </c>
      <c r="AD1755" t="s">
        <v>19566</v>
      </c>
      <c r="AE1755" t="s">
        <v>19580</v>
      </c>
      <c r="AF1755">
        <v>3</v>
      </c>
      <c r="AG1755">
        <v>1</v>
      </c>
      <c r="AH1755">
        <v>3</v>
      </c>
      <c r="AI1755">
        <v>70.09</v>
      </c>
      <c r="AL1755" t="s">
        <v>19614</v>
      </c>
      <c r="AM1755">
        <v>17592</v>
      </c>
      <c r="AS1755">
        <v>45.65</v>
      </c>
      <c r="AT1755" t="s">
        <v>335</v>
      </c>
      <c r="AU1755" t="s">
        <v>20647</v>
      </c>
    </row>
    <row r="1756" spans="1:48">
      <c r="A1756" s="1">
        <f>HYPERLINK("https://lsnyc.legalserver.org/matter/dynamic-profile/view/1878094","18-1878094")</f>
        <v>0</v>
      </c>
      <c r="B1756" t="s">
        <v>114</v>
      </c>
      <c r="C1756" t="s">
        <v>256</v>
      </c>
      <c r="D1756" t="s">
        <v>671</v>
      </c>
      <c r="F1756" t="s">
        <v>1655</v>
      </c>
      <c r="G1756" t="s">
        <v>2930</v>
      </c>
      <c r="H1756" t="s">
        <v>6229</v>
      </c>
      <c r="I1756" t="s">
        <v>8134</v>
      </c>
      <c r="J1756" t="s">
        <v>9065</v>
      </c>
      <c r="K1756">
        <v>10453</v>
      </c>
      <c r="L1756" t="s">
        <v>9094</v>
      </c>
      <c r="M1756" t="s">
        <v>9094</v>
      </c>
      <c r="O1756" t="s">
        <v>11140</v>
      </c>
      <c r="P1756" t="s">
        <v>11168</v>
      </c>
      <c r="R1756" t="s">
        <v>11180</v>
      </c>
      <c r="S1756" t="s">
        <v>9096</v>
      </c>
      <c r="T1756" t="s">
        <v>11190</v>
      </c>
      <c r="V1756" t="s">
        <v>572</v>
      </c>
      <c r="W1756">
        <v>1600</v>
      </c>
      <c r="X1756" t="s">
        <v>11333</v>
      </c>
      <c r="Y1756" t="s">
        <v>11340</v>
      </c>
      <c r="Z1756" t="s">
        <v>11984</v>
      </c>
      <c r="AA1756" t="s">
        <v>15605</v>
      </c>
      <c r="AB1756" t="s">
        <v>16436</v>
      </c>
      <c r="AC1756">
        <v>48</v>
      </c>
      <c r="AD1756" t="s">
        <v>19566</v>
      </c>
      <c r="AE1756" t="s">
        <v>19580</v>
      </c>
      <c r="AF1756">
        <v>3</v>
      </c>
      <c r="AG1756">
        <v>1</v>
      </c>
      <c r="AH1756">
        <v>3</v>
      </c>
      <c r="AI1756">
        <v>70.09</v>
      </c>
      <c r="AL1756" t="s">
        <v>19614</v>
      </c>
      <c r="AM1756">
        <v>17592</v>
      </c>
      <c r="AS1756">
        <v>7</v>
      </c>
      <c r="AT1756" t="s">
        <v>320</v>
      </c>
      <c r="AU1756" t="s">
        <v>163</v>
      </c>
    </row>
    <row r="1757" spans="1:48">
      <c r="A1757" s="1">
        <f>HYPERLINK("https://lsnyc.legalserver.org/matter/dynamic-profile/view/1886672","18-1886672")</f>
        <v>0</v>
      </c>
      <c r="B1757" t="s">
        <v>113</v>
      </c>
      <c r="C1757" t="s">
        <v>256</v>
      </c>
      <c r="D1757" t="s">
        <v>841</v>
      </c>
      <c r="F1757" t="s">
        <v>1973</v>
      </c>
      <c r="G1757" t="s">
        <v>3873</v>
      </c>
      <c r="H1757" t="s">
        <v>5864</v>
      </c>
      <c r="I1757" t="s">
        <v>8139</v>
      </c>
      <c r="J1757" t="s">
        <v>9065</v>
      </c>
      <c r="K1757">
        <v>10460</v>
      </c>
      <c r="L1757" t="s">
        <v>9094</v>
      </c>
      <c r="M1757" t="s">
        <v>9094</v>
      </c>
      <c r="N1757" t="s">
        <v>9222</v>
      </c>
      <c r="O1757" t="s">
        <v>11130</v>
      </c>
      <c r="P1757" t="s">
        <v>11165</v>
      </c>
      <c r="R1757" t="s">
        <v>11180</v>
      </c>
      <c r="S1757" t="s">
        <v>9094</v>
      </c>
      <c r="T1757" t="s">
        <v>11183</v>
      </c>
      <c r="V1757" t="s">
        <v>512</v>
      </c>
      <c r="W1757">
        <v>266.5</v>
      </c>
      <c r="X1757" t="s">
        <v>11333</v>
      </c>
      <c r="Y1757" t="s">
        <v>11346</v>
      </c>
      <c r="Z1757" t="s">
        <v>12539</v>
      </c>
      <c r="AB1757" t="s">
        <v>16933</v>
      </c>
      <c r="AC1757">
        <v>168</v>
      </c>
      <c r="AD1757" t="s">
        <v>19566</v>
      </c>
      <c r="AE1757" t="s">
        <v>19580</v>
      </c>
      <c r="AF1757">
        <v>8</v>
      </c>
      <c r="AG1757">
        <v>1</v>
      </c>
      <c r="AH1757">
        <v>0</v>
      </c>
      <c r="AI1757">
        <v>70.18000000000001</v>
      </c>
      <c r="AL1757" t="s">
        <v>19615</v>
      </c>
      <c r="AM1757">
        <v>8520</v>
      </c>
      <c r="AS1757">
        <v>0</v>
      </c>
      <c r="AU1757" t="s">
        <v>158</v>
      </c>
    </row>
    <row r="1758" spans="1:48">
      <c r="A1758" s="1">
        <f>HYPERLINK("https://lsnyc.legalserver.org/matter/dynamic-profile/view/1913878","19-1913878")</f>
        <v>0</v>
      </c>
      <c r="B1758" t="s">
        <v>117</v>
      </c>
      <c r="C1758" t="s">
        <v>256</v>
      </c>
      <c r="D1758" t="s">
        <v>301</v>
      </c>
      <c r="F1758" t="s">
        <v>1603</v>
      </c>
      <c r="G1758" t="s">
        <v>4179</v>
      </c>
      <c r="H1758" t="s">
        <v>6655</v>
      </c>
      <c r="I1758">
        <v>49</v>
      </c>
      <c r="J1758" t="s">
        <v>9065</v>
      </c>
      <c r="K1758">
        <v>10453</v>
      </c>
      <c r="L1758" t="s">
        <v>9095</v>
      </c>
      <c r="M1758" t="s">
        <v>9095</v>
      </c>
      <c r="P1758" t="s">
        <v>11164</v>
      </c>
      <c r="R1758" t="s">
        <v>11180</v>
      </c>
      <c r="T1758" t="s">
        <v>11183</v>
      </c>
      <c r="W1758">
        <v>0</v>
      </c>
      <c r="X1758" t="s">
        <v>11333</v>
      </c>
      <c r="Z1758" t="s">
        <v>12578</v>
      </c>
      <c r="AB1758" t="s">
        <v>16971</v>
      </c>
      <c r="AC1758">
        <v>0</v>
      </c>
      <c r="AF1758">
        <v>0</v>
      </c>
      <c r="AG1758">
        <v>1</v>
      </c>
      <c r="AH1758">
        <v>0</v>
      </c>
      <c r="AI1758">
        <v>70.23</v>
      </c>
      <c r="AL1758" t="s">
        <v>19614</v>
      </c>
      <c r="AM1758">
        <v>8772</v>
      </c>
      <c r="AS1758">
        <v>0</v>
      </c>
      <c r="AU1758" t="s">
        <v>117</v>
      </c>
    </row>
    <row r="1759" spans="1:48">
      <c r="A1759" s="1">
        <f>HYPERLINK("https://lsnyc.legalserver.org/matter/dynamic-profile/view/1914690","19-1914690")</f>
        <v>0</v>
      </c>
      <c r="B1759" t="s">
        <v>117</v>
      </c>
      <c r="C1759" t="s">
        <v>256</v>
      </c>
      <c r="D1759" t="s">
        <v>301</v>
      </c>
      <c r="F1759" t="s">
        <v>1603</v>
      </c>
      <c r="G1759" t="s">
        <v>4179</v>
      </c>
      <c r="H1759" t="s">
        <v>6655</v>
      </c>
      <c r="J1759" t="s">
        <v>9065</v>
      </c>
      <c r="K1759">
        <v>10453</v>
      </c>
      <c r="L1759" t="s">
        <v>9094</v>
      </c>
      <c r="M1759" t="s">
        <v>9095</v>
      </c>
      <c r="P1759" t="s">
        <v>11164</v>
      </c>
      <c r="R1759" t="s">
        <v>11180</v>
      </c>
      <c r="S1759" t="s">
        <v>9096</v>
      </c>
      <c r="T1759" t="s">
        <v>11183</v>
      </c>
      <c r="W1759">
        <v>226</v>
      </c>
      <c r="X1759" t="s">
        <v>11333</v>
      </c>
      <c r="Y1759" t="s">
        <v>11346</v>
      </c>
      <c r="Z1759" t="s">
        <v>12578</v>
      </c>
      <c r="AB1759" t="s">
        <v>16971</v>
      </c>
      <c r="AC1759">
        <v>0</v>
      </c>
      <c r="AD1759" t="s">
        <v>15441</v>
      </c>
      <c r="AE1759" t="s">
        <v>19585</v>
      </c>
      <c r="AF1759">
        <v>2</v>
      </c>
      <c r="AG1759">
        <v>1</v>
      </c>
      <c r="AH1759">
        <v>0</v>
      </c>
      <c r="AI1759">
        <v>70.23</v>
      </c>
      <c r="AL1759" t="s">
        <v>19614</v>
      </c>
      <c r="AM1759">
        <v>8772</v>
      </c>
      <c r="AS1759">
        <v>0</v>
      </c>
      <c r="AU1759" t="s">
        <v>163</v>
      </c>
      <c r="AV1759" t="s">
        <v>20733</v>
      </c>
    </row>
    <row r="1760" spans="1:48">
      <c r="A1760" s="1">
        <f>HYPERLINK("https://lsnyc.legalserver.org/matter/dynamic-profile/view/1885304","18-1885304")</f>
        <v>0</v>
      </c>
      <c r="B1760" t="s">
        <v>111</v>
      </c>
      <c r="C1760" t="s">
        <v>256</v>
      </c>
      <c r="D1760" t="s">
        <v>448</v>
      </c>
      <c r="F1760" t="s">
        <v>1245</v>
      </c>
      <c r="G1760" t="s">
        <v>4180</v>
      </c>
      <c r="H1760" t="s">
        <v>6370</v>
      </c>
      <c r="I1760" t="s">
        <v>8133</v>
      </c>
      <c r="J1760" t="s">
        <v>9065</v>
      </c>
      <c r="K1760">
        <v>10463</v>
      </c>
      <c r="L1760" t="s">
        <v>9094</v>
      </c>
      <c r="M1760" t="s">
        <v>9094</v>
      </c>
      <c r="N1760" t="s">
        <v>9673</v>
      </c>
      <c r="O1760" t="s">
        <v>11130</v>
      </c>
      <c r="P1760" t="s">
        <v>11165</v>
      </c>
      <c r="R1760" t="s">
        <v>11180</v>
      </c>
      <c r="S1760" t="s">
        <v>9094</v>
      </c>
      <c r="T1760" t="s">
        <v>11183</v>
      </c>
      <c r="V1760" t="s">
        <v>738</v>
      </c>
      <c r="W1760">
        <v>1144.47</v>
      </c>
      <c r="X1760" t="s">
        <v>11333</v>
      </c>
      <c r="Y1760" t="s">
        <v>11346</v>
      </c>
      <c r="Z1760" t="s">
        <v>12579</v>
      </c>
      <c r="AA1760">
        <v>54522717</v>
      </c>
      <c r="AC1760">
        <v>55</v>
      </c>
      <c r="AD1760" t="s">
        <v>19566</v>
      </c>
      <c r="AE1760" t="s">
        <v>19581</v>
      </c>
      <c r="AF1760">
        <v>13</v>
      </c>
      <c r="AG1760">
        <v>2</v>
      </c>
      <c r="AH1760">
        <v>1</v>
      </c>
      <c r="AI1760">
        <v>70.28</v>
      </c>
      <c r="AL1760" t="s">
        <v>19614</v>
      </c>
      <c r="AM1760">
        <v>14604</v>
      </c>
      <c r="AN1760" t="s">
        <v>19819</v>
      </c>
      <c r="AS1760">
        <v>0</v>
      </c>
      <c r="AU1760" t="s">
        <v>20647</v>
      </c>
    </row>
    <row r="1761" spans="1:48">
      <c r="A1761" s="1">
        <f>HYPERLINK("https://lsnyc.legalserver.org/matter/dynamic-profile/view/1907025","19-1907025")</f>
        <v>0</v>
      </c>
      <c r="B1761" t="s">
        <v>66</v>
      </c>
      <c r="C1761" t="s">
        <v>256</v>
      </c>
      <c r="D1761" t="s">
        <v>498</v>
      </c>
      <c r="F1761" t="s">
        <v>1140</v>
      </c>
      <c r="G1761" t="s">
        <v>4181</v>
      </c>
      <c r="H1761" t="s">
        <v>6656</v>
      </c>
      <c r="I1761" t="s">
        <v>8223</v>
      </c>
      <c r="J1761" t="s">
        <v>9059</v>
      </c>
      <c r="K1761">
        <v>11225</v>
      </c>
      <c r="L1761" t="s">
        <v>9094</v>
      </c>
      <c r="M1761" t="s">
        <v>9095</v>
      </c>
      <c r="O1761" t="s">
        <v>11150</v>
      </c>
      <c r="P1761" t="s">
        <v>11165</v>
      </c>
      <c r="R1761" t="s">
        <v>11180</v>
      </c>
      <c r="S1761" t="s">
        <v>9096</v>
      </c>
      <c r="T1761" t="s">
        <v>11183</v>
      </c>
      <c r="V1761" t="s">
        <v>498</v>
      </c>
      <c r="W1761">
        <v>1450</v>
      </c>
      <c r="X1761" t="s">
        <v>11332</v>
      </c>
      <c r="Z1761" t="s">
        <v>12580</v>
      </c>
      <c r="AB1761" t="s">
        <v>16972</v>
      </c>
      <c r="AC1761">
        <v>72</v>
      </c>
      <c r="AF1761">
        <v>0</v>
      </c>
      <c r="AG1761">
        <v>3</v>
      </c>
      <c r="AH1761">
        <v>0</v>
      </c>
      <c r="AI1761">
        <v>70.31999999999999</v>
      </c>
      <c r="AL1761" t="s">
        <v>19614</v>
      </c>
      <c r="AM1761">
        <v>15000</v>
      </c>
      <c r="AS1761">
        <v>58.1</v>
      </c>
      <c r="AT1761" t="s">
        <v>1135</v>
      </c>
      <c r="AU1761" t="s">
        <v>215</v>
      </c>
      <c r="AV1761" t="s">
        <v>20733</v>
      </c>
    </row>
    <row r="1762" spans="1:48">
      <c r="A1762" s="1">
        <f>HYPERLINK("https://lsnyc.legalserver.org/matter/dynamic-profile/view/1906349","19-1906349")</f>
        <v>0</v>
      </c>
      <c r="B1762" t="s">
        <v>73</v>
      </c>
      <c r="C1762" t="s">
        <v>257</v>
      </c>
      <c r="D1762" t="s">
        <v>372</v>
      </c>
      <c r="E1762" t="s">
        <v>446</v>
      </c>
      <c r="F1762" t="s">
        <v>1991</v>
      </c>
      <c r="G1762" t="s">
        <v>4182</v>
      </c>
      <c r="H1762" t="s">
        <v>6657</v>
      </c>
      <c r="I1762">
        <v>2</v>
      </c>
      <c r="J1762" t="s">
        <v>9059</v>
      </c>
      <c r="K1762">
        <v>11208</v>
      </c>
      <c r="L1762" t="s">
        <v>9094</v>
      </c>
      <c r="M1762" t="s">
        <v>9095</v>
      </c>
      <c r="N1762" t="s">
        <v>9845</v>
      </c>
      <c r="O1762" t="s">
        <v>11129</v>
      </c>
      <c r="P1762" t="s">
        <v>11167</v>
      </c>
      <c r="Q1762" t="s">
        <v>11173</v>
      </c>
      <c r="R1762" t="s">
        <v>11180</v>
      </c>
      <c r="S1762" t="s">
        <v>9096</v>
      </c>
      <c r="T1762" t="s">
        <v>11183</v>
      </c>
      <c r="U1762" t="s">
        <v>11201</v>
      </c>
      <c r="V1762" t="s">
        <v>474</v>
      </c>
      <c r="W1762">
        <v>1500</v>
      </c>
      <c r="X1762" t="s">
        <v>11332</v>
      </c>
      <c r="Y1762" t="s">
        <v>11336</v>
      </c>
      <c r="Z1762" t="s">
        <v>11708</v>
      </c>
      <c r="AA1762" t="s">
        <v>15441</v>
      </c>
      <c r="AB1762" t="s">
        <v>16973</v>
      </c>
      <c r="AC1762">
        <v>4</v>
      </c>
      <c r="AD1762" t="s">
        <v>19565</v>
      </c>
      <c r="AE1762" t="s">
        <v>19586</v>
      </c>
      <c r="AF1762">
        <v>5</v>
      </c>
      <c r="AG1762">
        <v>1</v>
      </c>
      <c r="AH1762">
        <v>2</v>
      </c>
      <c r="AI1762">
        <v>70.31999999999999</v>
      </c>
      <c r="AL1762" t="s">
        <v>19614</v>
      </c>
      <c r="AM1762">
        <v>15000</v>
      </c>
      <c r="AQ1762" t="s">
        <v>20369</v>
      </c>
      <c r="AR1762" t="s">
        <v>20471</v>
      </c>
      <c r="AS1762">
        <v>3</v>
      </c>
      <c r="AT1762" t="s">
        <v>396</v>
      </c>
      <c r="AU1762" t="s">
        <v>95</v>
      </c>
      <c r="AV1762" t="s">
        <v>20733</v>
      </c>
    </row>
    <row r="1763" spans="1:48">
      <c r="A1763" s="1">
        <f>HYPERLINK("https://lsnyc.legalserver.org/matter/dynamic-profile/view/1901444","19-1901444")</f>
        <v>0</v>
      </c>
      <c r="B1763" t="s">
        <v>67</v>
      </c>
      <c r="C1763" t="s">
        <v>257</v>
      </c>
      <c r="D1763" t="s">
        <v>559</v>
      </c>
      <c r="E1763" t="s">
        <v>498</v>
      </c>
      <c r="F1763" t="s">
        <v>1201</v>
      </c>
      <c r="G1763" t="s">
        <v>4183</v>
      </c>
      <c r="H1763" t="s">
        <v>6658</v>
      </c>
      <c r="I1763" t="s">
        <v>8270</v>
      </c>
      <c r="J1763" t="s">
        <v>9059</v>
      </c>
      <c r="K1763">
        <v>11206</v>
      </c>
      <c r="L1763" t="s">
        <v>9094</v>
      </c>
      <c r="M1763" t="s">
        <v>9095</v>
      </c>
      <c r="O1763" t="s">
        <v>11130</v>
      </c>
      <c r="P1763" t="s">
        <v>11167</v>
      </c>
      <c r="Q1763" t="s">
        <v>11172</v>
      </c>
      <c r="R1763" t="s">
        <v>11180</v>
      </c>
      <c r="T1763" t="s">
        <v>11183</v>
      </c>
      <c r="V1763" t="s">
        <v>559</v>
      </c>
      <c r="W1763">
        <v>0</v>
      </c>
      <c r="X1763" t="s">
        <v>11332</v>
      </c>
      <c r="Z1763" t="s">
        <v>12581</v>
      </c>
      <c r="AC1763">
        <v>0</v>
      </c>
      <c r="AF1763">
        <v>0</v>
      </c>
      <c r="AG1763">
        <v>3</v>
      </c>
      <c r="AH1763">
        <v>0</v>
      </c>
      <c r="AI1763">
        <v>70.31999999999999</v>
      </c>
      <c r="AL1763" t="s">
        <v>19614</v>
      </c>
      <c r="AM1763">
        <v>15000</v>
      </c>
      <c r="AS1763">
        <v>0.5</v>
      </c>
      <c r="AT1763" t="s">
        <v>498</v>
      </c>
      <c r="AU1763" t="s">
        <v>67</v>
      </c>
    </row>
    <row r="1764" spans="1:48">
      <c r="A1764" s="1">
        <f>HYPERLINK("https://lsnyc.legalserver.org/matter/dynamic-profile/view/1903677","19-1903677")</f>
        <v>0</v>
      </c>
      <c r="B1764" t="s">
        <v>122</v>
      </c>
      <c r="C1764" t="s">
        <v>256</v>
      </c>
      <c r="D1764" t="s">
        <v>597</v>
      </c>
      <c r="F1764" t="s">
        <v>1724</v>
      </c>
      <c r="G1764" t="s">
        <v>3344</v>
      </c>
      <c r="H1764" t="s">
        <v>6659</v>
      </c>
      <c r="I1764" t="s">
        <v>8170</v>
      </c>
      <c r="J1764" t="s">
        <v>9066</v>
      </c>
      <c r="K1764">
        <v>10301</v>
      </c>
      <c r="L1764" t="s">
        <v>9094</v>
      </c>
      <c r="M1764" t="s">
        <v>9095</v>
      </c>
      <c r="N1764" t="s">
        <v>9846</v>
      </c>
      <c r="O1764" t="s">
        <v>11129</v>
      </c>
      <c r="P1764" t="s">
        <v>11165</v>
      </c>
      <c r="R1764" t="s">
        <v>11180</v>
      </c>
      <c r="S1764" t="s">
        <v>9096</v>
      </c>
      <c r="T1764" t="s">
        <v>11183</v>
      </c>
      <c r="U1764" t="s">
        <v>11201</v>
      </c>
      <c r="V1764" t="s">
        <v>597</v>
      </c>
      <c r="W1764">
        <v>1515</v>
      </c>
      <c r="X1764" t="s">
        <v>11334</v>
      </c>
      <c r="Y1764" t="s">
        <v>11350</v>
      </c>
      <c r="Z1764" t="s">
        <v>12582</v>
      </c>
      <c r="AB1764" t="s">
        <v>16974</v>
      </c>
      <c r="AC1764">
        <v>11</v>
      </c>
      <c r="AD1764" t="s">
        <v>19566</v>
      </c>
      <c r="AE1764" t="s">
        <v>19581</v>
      </c>
      <c r="AF1764">
        <v>1</v>
      </c>
      <c r="AG1764">
        <v>1</v>
      </c>
      <c r="AH1764">
        <v>2</v>
      </c>
      <c r="AI1764">
        <v>70.31999999999999</v>
      </c>
      <c r="AL1764" t="s">
        <v>19614</v>
      </c>
      <c r="AM1764">
        <v>15000</v>
      </c>
      <c r="AS1764">
        <v>18.5</v>
      </c>
      <c r="AT1764" t="s">
        <v>1135</v>
      </c>
      <c r="AU1764" t="s">
        <v>20653</v>
      </c>
      <c r="AV1764" t="s">
        <v>20733</v>
      </c>
    </row>
    <row r="1765" spans="1:48">
      <c r="A1765" s="1">
        <f>HYPERLINK("https://lsnyc.legalserver.org/matter/dynamic-profile/view/1889889","19-1889889")</f>
        <v>0</v>
      </c>
      <c r="B1765" t="s">
        <v>103</v>
      </c>
      <c r="C1765" t="s">
        <v>256</v>
      </c>
      <c r="D1765" t="s">
        <v>447</v>
      </c>
      <c r="F1765" t="s">
        <v>1992</v>
      </c>
      <c r="G1765" t="s">
        <v>3333</v>
      </c>
      <c r="H1765" t="s">
        <v>5887</v>
      </c>
      <c r="I1765" t="s">
        <v>8499</v>
      </c>
      <c r="J1765" t="s">
        <v>9065</v>
      </c>
      <c r="K1765">
        <v>10453</v>
      </c>
      <c r="L1765" t="s">
        <v>9094</v>
      </c>
      <c r="M1765" t="s">
        <v>9094</v>
      </c>
      <c r="O1765" t="s">
        <v>11134</v>
      </c>
      <c r="P1765" t="s">
        <v>11168</v>
      </c>
      <c r="R1765" t="s">
        <v>11180</v>
      </c>
      <c r="S1765" t="s">
        <v>9094</v>
      </c>
      <c r="T1765" t="s">
        <v>11183</v>
      </c>
      <c r="V1765" t="s">
        <v>512</v>
      </c>
      <c r="W1765">
        <v>168</v>
      </c>
      <c r="X1765" t="s">
        <v>11333</v>
      </c>
      <c r="Y1765" t="s">
        <v>11346</v>
      </c>
      <c r="Z1765" t="s">
        <v>12583</v>
      </c>
      <c r="AA1765" t="s">
        <v>15606</v>
      </c>
      <c r="AB1765" t="s">
        <v>16975</v>
      </c>
      <c r="AC1765">
        <v>170</v>
      </c>
      <c r="AD1765" t="s">
        <v>19566</v>
      </c>
      <c r="AE1765" t="s">
        <v>19580</v>
      </c>
      <c r="AF1765">
        <v>20</v>
      </c>
      <c r="AG1765">
        <v>1</v>
      </c>
      <c r="AH1765">
        <v>0</v>
      </c>
      <c r="AI1765">
        <v>70.42</v>
      </c>
      <c r="AL1765" t="s">
        <v>19615</v>
      </c>
      <c r="AM1765">
        <v>8796</v>
      </c>
      <c r="AS1765">
        <v>0.3</v>
      </c>
      <c r="AT1765" t="s">
        <v>481</v>
      </c>
      <c r="AU1765" t="s">
        <v>20642</v>
      </c>
    </row>
    <row r="1766" spans="1:48">
      <c r="A1766" s="1">
        <f>HYPERLINK("https://lsnyc.legalserver.org/matter/dynamic-profile/view/1905058","19-1905058")</f>
        <v>0</v>
      </c>
      <c r="B1766" t="s">
        <v>103</v>
      </c>
      <c r="C1766" t="s">
        <v>256</v>
      </c>
      <c r="D1766" t="s">
        <v>367</v>
      </c>
      <c r="F1766" t="s">
        <v>1992</v>
      </c>
      <c r="G1766" t="s">
        <v>3333</v>
      </c>
      <c r="H1766" t="s">
        <v>5887</v>
      </c>
      <c r="I1766" t="s">
        <v>8499</v>
      </c>
      <c r="J1766" t="s">
        <v>9065</v>
      </c>
      <c r="K1766">
        <v>10453</v>
      </c>
      <c r="L1766" t="s">
        <v>9094</v>
      </c>
      <c r="M1766" t="s">
        <v>9095</v>
      </c>
      <c r="N1766" t="s">
        <v>9239</v>
      </c>
      <c r="O1766" t="s">
        <v>11134</v>
      </c>
      <c r="P1766" t="s">
        <v>11168</v>
      </c>
      <c r="R1766" t="s">
        <v>11180</v>
      </c>
      <c r="S1766" t="s">
        <v>9094</v>
      </c>
      <c r="T1766" t="s">
        <v>11183</v>
      </c>
      <c r="V1766" t="s">
        <v>1061</v>
      </c>
      <c r="W1766">
        <v>168</v>
      </c>
      <c r="X1766" t="s">
        <v>11333</v>
      </c>
      <c r="Y1766" t="s">
        <v>11346</v>
      </c>
      <c r="Z1766" t="s">
        <v>12583</v>
      </c>
      <c r="AA1766" t="s">
        <v>15606</v>
      </c>
      <c r="AB1766" t="s">
        <v>16975</v>
      </c>
      <c r="AC1766">
        <v>170</v>
      </c>
      <c r="AD1766" t="s">
        <v>19566</v>
      </c>
      <c r="AE1766" t="s">
        <v>19580</v>
      </c>
      <c r="AF1766">
        <v>20</v>
      </c>
      <c r="AG1766">
        <v>1</v>
      </c>
      <c r="AH1766">
        <v>0</v>
      </c>
      <c r="AI1766">
        <v>70.42</v>
      </c>
      <c r="AL1766" t="s">
        <v>19615</v>
      </c>
      <c r="AM1766">
        <v>8796</v>
      </c>
      <c r="AS1766">
        <v>0</v>
      </c>
      <c r="AU1766" t="s">
        <v>163</v>
      </c>
      <c r="AV1766" t="s">
        <v>20733</v>
      </c>
    </row>
    <row r="1767" spans="1:48">
      <c r="A1767" s="1">
        <f>HYPERLINK("https://lsnyc.legalserver.org/matter/dynamic-profile/view/1905062","19-1905062")</f>
        <v>0</v>
      </c>
      <c r="B1767" t="s">
        <v>103</v>
      </c>
      <c r="C1767" t="s">
        <v>256</v>
      </c>
      <c r="D1767" t="s">
        <v>367</v>
      </c>
      <c r="F1767" t="s">
        <v>1992</v>
      </c>
      <c r="G1767" t="s">
        <v>3333</v>
      </c>
      <c r="H1767" t="s">
        <v>5887</v>
      </c>
      <c r="I1767" t="s">
        <v>8499</v>
      </c>
      <c r="J1767" t="s">
        <v>9065</v>
      </c>
      <c r="K1767">
        <v>10453</v>
      </c>
      <c r="L1767" t="s">
        <v>9094</v>
      </c>
      <c r="M1767" t="s">
        <v>9095</v>
      </c>
      <c r="N1767" t="s">
        <v>9240</v>
      </c>
      <c r="O1767" t="s">
        <v>11134</v>
      </c>
      <c r="P1767" t="s">
        <v>11168</v>
      </c>
      <c r="R1767" t="s">
        <v>11180</v>
      </c>
      <c r="S1767" t="s">
        <v>9094</v>
      </c>
      <c r="T1767" t="s">
        <v>11183</v>
      </c>
      <c r="V1767" t="s">
        <v>422</v>
      </c>
      <c r="W1767">
        <v>168</v>
      </c>
      <c r="X1767" t="s">
        <v>11333</v>
      </c>
      <c r="Y1767" t="s">
        <v>11346</v>
      </c>
      <c r="Z1767" t="s">
        <v>12583</v>
      </c>
      <c r="AA1767" t="s">
        <v>15606</v>
      </c>
      <c r="AB1767" t="s">
        <v>16975</v>
      </c>
      <c r="AC1767">
        <v>170</v>
      </c>
      <c r="AE1767" t="s">
        <v>19580</v>
      </c>
      <c r="AF1767">
        <v>20</v>
      </c>
      <c r="AG1767">
        <v>1</v>
      </c>
      <c r="AH1767">
        <v>0</v>
      </c>
      <c r="AI1767">
        <v>70.42</v>
      </c>
      <c r="AL1767" t="s">
        <v>19615</v>
      </c>
      <c r="AM1767">
        <v>8796</v>
      </c>
      <c r="AS1767">
        <v>0</v>
      </c>
      <c r="AU1767" t="s">
        <v>163</v>
      </c>
      <c r="AV1767" t="s">
        <v>20733</v>
      </c>
    </row>
    <row r="1768" spans="1:48">
      <c r="A1768" s="1">
        <f>HYPERLINK("https://lsnyc.legalserver.org/matter/dynamic-profile/view/1915344","19-1915344")</f>
        <v>0</v>
      </c>
      <c r="B1768" t="s">
        <v>125</v>
      </c>
      <c r="C1768" t="s">
        <v>256</v>
      </c>
      <c r="D1768" t="s">
        <v>487</v>
      </c>
      <c r="F1768" t="s">
        <v>1147</v>
      </c>
      <c r="G1768" t="s">
        <v>3630</v>
      </c>
      <c r="H1768" t="s">
        <v>6660</v>
      </c>
      <c r="I1768" t="s">
        <v>8239</v>
      </c>
      <c r="J1768" t="s">
        <v>9066</v>
      </c>
      <c r="K1768">
        <v>10304</v>
      </c>
      <c r="L1768" t="s">
        <v>9095</v>
      </c>
      <c r="M1768" t="s">
        <v>9095</v>
      </c>
      <c r="N1768" t="s">
        <v>9154</v>
      </c>
      <c r="O1768" t="s">
        <v>11130</v>
      </c>
      <c r="R1768" t="s">
        <v>11180</v>
      </c>
      <c r="T1768" t="s">
        <v>11183</v>
      </c>
      <c r="W1768">
        <v>0</v>
      </c>
      <c r="X1768" t="s">
        <v>11334</v>
      </c>
      <c r="Y1768" t="s">
        <v>11348</v>
      </c>
      <c r="Z1768" t="s">
        <v>12584</v>
      </c>
      <c r="AB1768" t="s">
        <v>16976</v>
      </c>
      <c r="AC1768">
        <v>0</v>
      </c>
      <c r="AF1768">
        <v>2</v>
      </c>
      <c r="AG1768">
        <v>1</v>
      </c>
      <c r="AH1768">
        <v>0</v>
      </c>
      <c r="AI1768">
        <v>70.42</v>
      </c>
      <c r="AL1768" t="s">
        <v>19614</v>
      </c>
      <c r="AM1768">
        <v>8796</v>
      </c>
      <c r="AS1768">
        <v>0.3</v>
      </c>
      <c r="AT1768" t="s">
        <v>487</v>
      </c>
      <c r="AU1768" t="s">
        <v>20653</v>
      </c>
    </row>
    <row r="1769" spans="1:48">
      <c r="A1769" s="1">
        <f>HYPERLINK("https://lsnyc.legalserver.org/matter/dynamic-profile/view/1845691","17-1845691")</f>
        <v>0</v>
      </c>
      <c r="B1769" t="s">
        <v>142</v>
      </c>
      <c r="C1769" t="s">
        <v>256</v>
      </c>
      <c r="D1769" t="s">
        <v>842</v>
      </c>
      <c r="F1769" t="s">
        <v>1700</v>
      </c>
      <c r="G1769" t="s">
        <v>3498</v>
      </c>
      <c r="H1769" t="s">
        <v>6628</v>
      </c>
      <c r="I1769" t="s">
        <v>8187</v>
      </c>
      <c r="J1769" t="s">
        <v>9067</v>
      </c>
      <c r="K1769">
        <v>10029</v>
      </c>
      <c r="L1769" t="s">
        <v>9094</v>
      </c>
      <c r="M1769" t="s">
        <v>9095</v>
      </c>
      <c r="N1769" t="s">
        <v>9847</v>
      </c>
      <c r="O1769" t="s">
        <v>11128</v>
      </c>
      <c r="P1769" t="s">
        <v>11165</v>
      </c>
      <c r="R1769" t="s">
        <v>11180</v>
      </c>
      <c r="S1769" t="s">
        <v>9096</v>
      </c>
      <c r="T1769" t="s">
        <v>11183</v>
      </c>
      <c r="U1769" t="s">
        <v>11201</v>
      </c>
      <c r="V1769" t="s">
        <v>910</v>
      </c>
      <c r="W1769">
        <v>404.29</v>
      </c>
      <c r="X1769" t="s">
        <v>11335</v>
      </c>
      <c r="Y1769" t="s">
        <v>11346</v>
      </c>
      <c r="Z1769" t="s">
        <v>12535</v>
      </c>
      <c r="AB1769" t="s">
        <v>16930</v>
      </c>
      <c r="AC1769">
        <v>13</v>
      </c>
      <c r="AD1769" t="s">
        <v>19566</v>
      </c>
      <c r="AE1769" t="s">
        <v>9144</v>
      </c>
      <c r="AF1769">
        <v>14</v>
      </c>
      <c r="AG1769">
        <v>1</v>
      </c>
      <c r="AH1769">
        <v>1</v>
      </c>
      <c r="AI1769">
        <v>70.44</v>
      </c>
      <c r="AL1769" t="s">
        <v>19614</v>
      </c>
      <c r="AM1769">
        <v>11440</v>
      </c>
      <c r="AS1769">
        <v>104.35</v>
      </c>
      <c r="AT1769" t="s">
        <v>728</v>
      </c>
      <c r="AU1769" t="s">
        <v>20632</v>
      </c>
      <c r="AV1769" t="s">
        <v>20733</v>
      </c>
    </row>
    <row r="1770" spans="1:48">
      <c r="A1770" s="1">
        <f>HYPERLINK("https://lsnyc.legalserver.org/matter/dynamic-profile/view/1859930","18-1859930")</f>
        <v>0</v>
      </c>
      <c r="B1770" t="s">
        <v>52</v>
      </c>
      <c r="C1770" t="s">
        <v>256</v>
      </c>
      <c r="D1770" t="s">
        <v>843</v>
      </c>
      <c r="F1770" t="s">
        <v>1958</v>
      </c>
      <c r="G1770" t="s">
        <v>4184</v>
      </c>
      <c r="H1770" t="s">
        <v>6472</v>
      </c>
      <c r="I1770" t="s">
        <v>8500</v>
      </c>
      <c r="J1770" t="s">
        <v>9039</v>
      </c>
      <c r="K1770">
        <v>11432</v>
      </c>
      <c r="L1770" t="s">
        <v>9094</v>
      </c>
      <c r="M1770" t="s">
        <v>9095</v>
      </c>
      <c r="N1770" t="s">
        <v>9703</v>
      </c>
      <c r="O1770" t="s">
        <v>11135</v>
      </c>
      <c r="P1770" t="s">
        <v>11168</v>
      </c>
      <c r="R1770" t="s">
        <v>11180</v>
      </c>
      <c r="S1770" t="s">
        <v>9094</v>
      </c>
      <c r="T1770" t="s">
        <v>11183</v>
      </c>
      <c r="V1770" t="s">
        <v>843</v>
      </c>
      <c r="W1770">
        <v>1850</v>
      </c>
      <c r="X1770" t="s">
        <v>11331</v>
      </c>
      <c r="Y1770" t="s">
        <v>11342</v>
      </c>
      <c r="Z1770" t="s">
        <v>12585</v>
      </c>
      <c r="AA1770" t="s">
        <v>9171</v>
      </c>
      <c r="AB1770" t="s">
        <v>16977</v>
      </c>
      <c r="AC1770">
        <v>60</v>
      </c>
      <c r="AD1770" t="s">
        <v>19569</v>
      </c>
      <c r="AE1770" t="s">
        <v>9144</v>
      </c>
      <c r="AF1770">
        <v>40</v>
      </c>
      <c r="AG1770">
        <v>3</v>
      </c>
      <c r="AH1770">
        <v>0</v>
      </c>
      <c r="AI1770">
        <v>70.52</v>
      </c>
      <c r="AJ1770" t="s">
        <v>19592</v>
      </c>
      <c r="AL1770" t="s">
        <v>19614</v>
      </c>
      <c r="AM1770">
        <v>28800</v>
      </c>
      <c r="AS1770">
        <v>46.4</v>
      </c>
      <c r="AT1770" t="s">
        <v>344</v>
      </c>
      <c r="AU1770" t="s">
        <v>20620</v>
      </c>
    </row>
    <row r="1771" spans="1:48">
      <c r="A1771" s="1">
        <f>HYPERLINK("https://lsnyc.legalserver.org/matter/dynamic-profile/view/1859936","18-1859936")</f>
        <v>0</v>
      </c>
      <c r="B1771" t="s">
        <v>52</v>
      </c>
      <c r="C1771" t="s">
        <v>256</v>
      </c>
      <c r="D1771" t="s">
        <v>843</v>
      </c>
      <c r="F1771" t="s">
        <v>1958</v>
      </c>
      <c r="G1771" t="s">
        <v>4184</v>
      </c>
      <c r="H1771" t="s">
        <v>6472</v>
      </c>
      <c r="I1771" t="s">
        <v>8500</v>
      </c>
      <c r="J1771" t="s">
        <v>9039</v>
      </c>
      <c r="K1771">
        <v>11432</v>
      </c>
      <c r="L1771" t="s">
        <v>9094</v>
      </c>
      <c r="M1771" t="s">
        <v>9095</v>
      </c>
      <c r="N1771" t="s">
        <v>9698</v>
      </c>
      <c r="O1771" t="s">
        <v>11135</v>
      </c>
      <c r="P1771" t="s">
        <v>11168</v>
      </c>
      <c r="R1771" t="s">
        <v>11180</v>
      </c>
      <c r="S1771" t="s">
        <v>9094</v>
      </c>
      <c r="T1771" t="s">
        <v>11183</v>
      </c>
      <c r="V1771" t="s">
        <v>843</v>
      </c>
      <c r="W1771">
        <v>1850</v>
      </c>
      <c r="X1771" t="s">
        <v>11331</v>
      </c>
      <c r="Y1771" t="s">
        <v>11342</v>
      </c>
      <c r="Z1771" t="s">
        <v>12585</v>
      </c>
      <c r="AA1771" t="s">
        <v>9171</v>
      </c>
      <c r="AB1771" t="s">
        <v>16977</v>
      </c>
      <c r="AC1771">
        <v>60</v>
      </c>
      <c r="AD1771" t="s">
        <v>19569</v>
      </c>
      <c r="AE1771" t="s">
        <v>9144</v>
      </c>
      <c r="AF1771">
        <v>40</v>
      </c>
      <c r="AG1771">
        <v>3</v>
      </c>
      <c r="AH1771">
        <v>0</v>
      </c>
      <c r="AI1771">
        <v>70.52</v>
      </c>
      <c r="AJ1771" t="s">
        <v>19592</v>
      </c>
      <c r="AL1771" t="s">
        <v>19614</v>
      </c>
      <c r="AM1771">
        <v>28800</v>
      </c>
      <c r="AS1771">
        <v>9.6</v>
      </c>
      <c r="AT1771" t="s">
        <v>287</v>
      </c>
      <c r="AU1771" t="s">
        <v>20620</v>
      </c>
    </row>
    <row r="1772" spans="1:48">
      <c r="A1772" s="1">
        <f>HYPERLINK("https://lsnyc.legalserver.org/matter/dynamic-profile/view/1904384","19-1904384")</f>
        <v>0</v>
      </c>
      <c r="B1772" t="s">
        <v>205</v>
      </c>
      <c r="C1772" t="s">
        <v>256</v>
      </c>
      <c r="D1772" t="s">
        <v>660</v>
      </c>
      <c r="F1772" t="s">
        <v>1601</v>
      </c>
      <c r="G1772" t="s">
        <v>4185</v>
      </c>
      <c r="H1772" t="s">
        <v>6661</v>
      </c>
      <c r="I1772" t="s">
        <v>8132</v>
      </c>
      <c r="J1772" t="s">
        <v>9066</v>
      </c>
      <c r="K1772">
        <v>10304</v>
      </c>
      <c r="L1772" t="s">
        <v>9094</v>
      </c>
      <c r="M1772" t="s">
        <v>9095</v>
      </c>
      <c r="N1772" t="s">
        <v>9102</v>
      </c>
      <c r="O1772" t="s">
        <v>9121</v>
      </c>
      <c r="P1772" t="s">
        <v>11166</v>
      </c>
      <c r="R1772" t="s">
        <v>11180</v>
      </c>
      <c r="S1772" t="s">
        <v>9096</v>
      </c>
      <c r="T1772" t="s">
        <v>11183</v>
      </c>
      <c r="U1772" t="s">
        <v>11201</v>
      </c>
      <c r="W1772">
        <v>890</v>
      </c>
      <c r="X1772" t="s">
        <v>11334</v>
      </c>
      <c r="Y1772" t="s">
        <v>11340</v>
      </c>
      <c r="Z1772" t="s">
        <v>12586</v>
      </c>
      <c r="AB1772" t="s">
        <v>16978</v>
      </c>
      <c r="AC1772">
        <v>104</v>
      </c>
      <c r="AD1772" t="s">
        <v>19566</v>
      </c>
      <c r="AE1772" t="s">
        <v>19580</v>
      </c>
      <c r="AF1772">
        <v>31</v>
      </c>
      <c r="AG1772">
        <v>1</v>
      </c>
      <c r="AH1772">
        <v>0</v>
      </c>
      <c r="AI1772">
        <v>70.52</v>
      </c>
      <c r="AL1772" t="s">
        <v>19614</v>
      </c>
      <c r="AM1772">
        <v>8808</v>
      </c>
      <c r="AS1772">
        <v>9.699999999999999</v>
      </c>
      <c r="AT1772" t="s">
        <v>294</v>
      </c>
      <c r="AU1772" t="s">
        <v>20653</v>
      </c>
      <c r="AV1772" t="s">
        <v>20733</v>
      </c>
    </row>
    <row r="1773" spans="1:48">
      <c r="A1773" s="1">
        <f>HYPERLINK("https://lsnyc.legalserver.org/matter/dynamic-profile/view/1915426","19-1915426")</f>
        <v>0</v>
      </c>
      <c r="B1773" t="s">
        <v>135</v>
      </c>
      <c r="C1773" t="s">
        <v>256</v>
      </c>
      <c r="D1773" t="s">
        <v>487</v>
      </c>
      <c r="F1773" t="s">
        <v>1993</v>
      </c>
      <c r="G1773" t="s">
        <v>3374</v>
      </c>
      <c r="H1773" t="s">
        <v>6177</v>
      </c>
      <c r="I1773">
        <v>411</v>
      </c>
      <c r="J1773" t="s">
        <v>9067</v>
      </c>
      <c r="K1773">
        <v>10029</v>
      </c>
      <c r="L1773" t="s">
        <v>9094</v>
      </c>
      <c r="M1773" t="s">
        <v>9095</v>
      </c>
      <c r="O1773" t="s">
        <v>11130</v>
      </c>
      <c r="P1773" t="s">
        <v>11165</v>
      </c>
      <c r="R1773" t="s">
        <v>11180</v>
      </c>
      <c r="S1773" t="s">
        <v>9094</v>
      </c>
      <c r="T1773" t="s">
        <v>11183</v>
      </c>
      <c r="U1773" t="s">
        <v>11201</v>
      </c>
      <c r="V1773" t="s">
        <v>487</v>
      </c>
      <c r="W1773">
        <v>138</v>
      </c>
      <c r="X1773" t="s">
        <v>11335</v>
      </c>
      <c r="Y1773" t="s">
        <v>11340</v>
      </c>
      <c r="Z1773" t="s">
        <v>12587</v>
      </c>
      <c r="AC1773">
        <v>135</v>
      </c>
      <c r="AD1773" t="s">
        <v>19566</v>
      </c>
      <c r="AE1773" t="s">
        <v>19580</v>
      </c>
      <c r="AF1773">
        <v>36</v>
      </c>
      <c r="AG1773">
        <v>2</v>
      </c>
      <c r="AH1773">
        <v>0</v>
      </c>
      <c r="AI1773">
        <v>70.54000000000001</v>
      </c>
      <c r="AL1773" t="s">
        <v>19615</v>
      </c>
      <c r="AM1773">
        <v>11928</v>
      </c>
      <c r="AS1773">
        <v>0.1</v>
      </c>
      <c r="AT1773" t="s">
        <v>1130</v>
      </c>
      <c r="AU1773" t="s">
        <v>20657</v>
      </c>
      <c r="AV1773" t="s">
        <v>20733</v>
      </c>
    </row>
    <row r="1774" spans="1:48">
      <c r="A1774" s="1">
        <f>HYPERLINK("https://lsnyc.legalserver.org/matter/dynamic-profile/view/1913806","19-1913806")</f>
        <v>0</v>
      </c>
      <c r="B1774" t="s">
        <v>135</v>
      </c>
      <c r="C1774" t="s">
        <v>256</v>
      </c>
      <c r="D1774" t="s">
        <v>301</v>
      </c>
      <c r="F1774" t="s">
        <v>1993</v>
      </c>
      <c r="G1774" t="s">
        <v>3374</v>
      </c>
      <c r="H1774" t="s">
        <v>6177</v>
      </c>
      <c r="I1774">
        <v>411</v>
      </c>
      <c r="J1774" t="s">
        <v>9067</v>
      </c>
      <c r="K1774">
        <v>10029</v>
      </c>
      <c r="L1774" t="s">
        <v>9094</v>
      </c>
      <c r="M1774" t="s">
        <v>9095</v>
      </c>
      <c r="O1774" t="s">
        <v>9121</v>
      </c>
      <c r="P1774" t="s">
        <v>11167</v>
      </c>
      <c r="R1774" t="s">
        <v>11180</v>
      </c>
      <c r="S1774" t="s">
        <v>9094</v>
      </c>
      <c r="T1774" t="s">
        <v>11183</v>
      </c>
      <c r="U1774" t="s">
        <v>11201</v>
      </c>
      <c r="V1774" t="s">
        <v>484</v>
      </c>
      <c r="W1774">
        <v>138</v>
      </c>
      <c r="X1774" t="s">
        <v>11335</v>
      </c>
      <c r="Y1774" t="s">
        <v>11339</v>
      </c>
      <c r="Z1774" t="s">
        <v>12587</v>
      </c>
      <c r="AC1774">
        <v>135</v>
      </c>
      <c r="AD1774" t="s">
        <v>19566</v>
      </c>
      <c r="AE1774" t="s">
        <v>19580</v>
      </c>
      <c r="AF1774">
        <v>36</v>
      </c>
      <c r="AG1774">
        <v>2</v>
      </c>
      <c r="AH1774">
        <v>0</v>
      </c>
      <c r="AI1774">
        <v>70.54000000000001</v>
      </c>
      <c r="AL1774" t="s">
        <v>19615</v>
      </c>
      <c r="AM1774">
        <v>11928</v>
      </c>
      <c r="AS1774">
        <v>20.75</v>
      </c>
      <c r="AT1774" t="s">
        <v>1130</v>
      </c>
      <c r="AU1774" t="s">
        <v>20657</v>
      </c>
      <c r="AV1774" t="s">
        <v>20733</v>
      </c>
    </row>
    <row r="1775" spans="1:48">
      <c r="A1775" s="1">
        <f>HYPERLINK("https://lsnyc.legalserver.org/matter/dynamic-profile/view/1915424","19-1915424")</f>
        <v>0</v>
      </c>
      <c r="B1775" t="s">
        <v>135</v>
      </c>
      <c r="C1775" t="s">
        <v>257</v>
      </c>
      <c r="D1775" t="s">
        <v>487</v>
      </c>
      <c r="E1775" t="s">
        <v>1130</v>
      </c>
      <c r="F1775" t="s">
        <v>1993</v>
      </c>
      <c r="G1775" t="s">
        <v>3374</v>
      </c>
      <c r="H1775" t="s">
        <v>6177</v>
      </c>
      <c r="I1775">
        <v>411</v>
      </c>
      <c r="J1775" t="s">
        <v>9067</v>
      </c>
      <c r="K1775">
        <v>10029</v>
      </c>
      <c r="L1775" t="s">
        <v>9094</v>
      </c>
      <c r="M1775" t="s">
        <v>9095</v>
      </c>
      <c r="O1775" t="s">
        <v>11129</v>
      </c>
      <c r="P1775" t="s">
        <v>11167</v>
      </c>
      <c r="Q1775" t="s">
        <v>11173</v>
      </c>
      <c r="R1775" t="s">
        <v>11180</v>
      </c>
      <c r="S1775" t="s">
        <v>9096</v>
      </c>
      <c r="T1775" t="s">
        <v>11183</v>
      </c>
      <c r="U1775" t="s">
        <v>11201</v>
      </c>
      <c r="V1775" t="s">
        <v>487</v>
      </c>
      <c r="W1775">
        <v>138</v>
      </c>
      <c r="X1775" t="s">
        <v>11335</v>
      </c>
      <c r="Y1775" t="s">
        <v>11340</v>
      </c>
      <c r="Z1775" t="s">
        <v>12587</v>
      </c>
      <c r="AC1775">
        <v>0</v>
      </c>
      <c r="AD1775" t="s">
        <v>19566</v>
      </c>
      <c r="AE1775" t="s">
        <v>19580</v>
      </c>
      <c r="AF1775">
        <v>36</v>
      </c>
      <c r="AG1775">
        <v>2</v>
      </c>
      <c r="AH1775">
        <v>0</v>
      </c>
      <c r="AI1775">
        <v>70.54000000000001</v>
      </c>
      <c r="AL1775" t="s">
        <v>19615</v>
      </c>
      <c r="AM1775">
        <v>11928</v>
      </c>
      <c r="AS1775">
        <v>0.5</v>
      </c>
      <c r="AT1775" t="s">
        <v>1130</v>
      </c>
      <c r="AU1775" t="s">
        <v>20657</v>
      </c>
      <c r="AV1775" t="s">
        <v>20733</v>
      </c>
    </row>
    <row r="1776" spans="1:48">
      <c r="A1776" s="1">
        <f>HYPERLINK("https://lsnyc.legalserver.org/matter/dynamic-profile/view/1856751","18-1856751")</f>
        <v>0</v>
      </c>
      <c r="B1776" t="s">
        <v>103</v>
      </c>
      <c r="C1776" t="s">
        <v>256</v>
      </c>
      <c r="D1776" t="s">
        <v>844</v>
      </c>
      <c r="F1776" t="s">
        <v>1550</v>
      </c>
      <c r="G1776" t="s">
        <v>3448</v>
      </c>
      <c r="H1776" t="s">
        <v>6413</v>
      </c>
      <c r="I1776" t="s">
        <v>8124</v>
      </c>
      <c r="J1776" t="s">
        <v>9065</v>
      </c>
      <c r="K1776">
        <v>10456</v>
      </c>
      <c r="L1776" t="s">
        <v>9094</v>
      </c>
      <c r="M1776" t="s">
        <v>9095</v>
      </c>
      <c r="N1776" t="s">
        <v>9740</v>
      </c>
      <c r="O1776" t="s">
        <v>11135</v>
      </c>
      <c r="P1776" t="s">
        <v>11168</v>
      </c>
      <c r="R1776" t="s">
        <v>11180</v>
      </c>
      <c r="S1776" t="s">
        <v>9094</v>
      </c>
      <c r="T1776" t="s">
        <v>11183</v>
      </c>
      <c r="V1776" t="s">
        <v>1122</v>
      </c>
      <c r="W1776">
        <v>1165</v>
      </c>
      <c r="X1776" t="s">
        <v>11333</v>
      </c>
      <c r="Z1776" t="s">
        <v>12577</v>
      </c>
      <c r="AB1776" t="s">
        <v>16970</v>
      </c>
      <c r="AC1776">
        <v>61</v>
      </c>
      <c r="AD1776" t="s">
        <v>19566</v>
      </c>
      <c r="AE1776" t="s">
        <v>19580</v>
      </c>
      <c r="AF1776">
        <v>22</v>
      </c>
      <c r="AG1776">
        <v>1</v>
      </c>
      <c r="AH1776">
        <v>0</v>
      </c>
      <c r="AI1776">
        <v>70.55</v>
      </c>
      <c r="AJ1776" t="s">
        <v>19597</v>
      </c>
      <c r="AL1776" t="s">
        <v>19615</v>
      </c>
      <c r="AM1776">
        <v>8508</v>
      </c>
      <c r="AS1776">
        <v>1</v>
      </c>
      <c r="AT1776" t="s">
        <v>870</v>
      </c>
      <c r="AU1776" t="s">
        <v>20642</v>
      </c>
    </row>
    <row r="1777" spans="1:48">
      <c r="A1777" s="1">
        <f>HYPERLINK("https://lsnyc.legalserver.org/matter/dynamic-profile/view/1877190","18-1877190")</f>
        <v>0</v>
      </c>
      <c r="B1777" t="s">
        <v>132</v>
      </c>
      <c r="C1777" t="s">
        <v>257</v>
      </c>
      <c r="D1777" t="s">
        <v>304</v>
      </c>
      <c r="E1777" t="s">
        <v>331</v>
      </c>
      <c r="F1777" t="s">
        <v>1146</v>
      </c>
      <c r="G1777" t="s">
        <v>3520</v>
      </c>
      <c r="H1777" t="s">
        <v>5953</v>
      </c>
      <c r="I1777" t="s">
        <v>8501</v>
      </c>
      <c r="J1777" t="s">
        <v>9067</v>
      </c>
      <c r="K1777">
        <v>10033</v>
      </c>
      <c r="L1777" t="s">
        <v>9094</v>
      </c>
      <c r="M1777" t="s">
        <v>9094</v>
      </c>
      <c r="O1777" t="s">
        <v>11130</v>
      </c>
      <c r="P1777" t="s">
        <v>11165</v>
      </c>
      <c r="Q1777" t="s">
        <v>11178</v>
      </c>
      <c r="R1777" t="s">
        <v>11180</v>
      </c>
      <c r="S1777" t="s">
        <v>9094</v>
      </c>
      <c r="T1777" t="s">
        <v>11183</v>
      </c>
      <c r="V1777" t="s">
        <v>304</v>
      </c>
      <c r="W1777">
        <v>1300</v>
      </c>
      <c r="X1777" t="s">
        <v>11335</v>
      </c>
      <c r="Y1777" t="s">
        <v>11338</v>
      </c>
      <c r="Z1777" t="s">
        <v>12588</v>
      </c>
      <c r="AB1777" t="s">
        <v>16979</v>
      </c>
      <c r="AC1777">
        <v>232</v>
      </c>
      <c r="AD1777" t="s">
        <v>19566</v>
      </c>
      <c r="AE1777" t="s">
        <v>9144</v>
      </c>
      <c r="AF1777">
        <v>16</v>
      </c>
      <c r="AG1777">
        <v>2</v>
      </c>
      <c r="AH1777">
        <v>1</v>
      </c>
      <c r="AI1777">
        <v>70.56999999999999</v>
      </c>
      <c r="AL1777" t="s">
        <v>19614</v>
      </c>
      <c r="AM1777">
        <v>14664</v>
      </c>
      <c r="AS1777">
        <v>1.9</v>
      </c>
      <c r="AT1777" t="s">
        <v>521</v>
      </c>
      <c r="AU1777" t="s">
        <v>130</v>
      </c>
      <c r="AV1777" t="s">
        <v>20733</v>
      </c>
    </row>
    <row r="1778" spans="1:48">
      <c r="A1778" s="1">
        <f>HYPERLINK("https://lsnyc.legalserver.org/matter/dynamic-profile/view/1895220","19-1895220")</f>
        <v>0</v>
      </c>
      <c r="B1778" t="s">
        <v>69</v>
      </c>
      <c r="C1778" t="s">
        <v>257</v>
      </c>
      <c r="D1778" t="s">
        <v>278</v>
      </c>
      <c r="E1778" t="s">
        <v>410</v>
      </c>
      <c r="F1778" t="s">
        <v>1150</v>
      </c>
      <c r="G1778" t="s">
        <v>4186</v>
      </c>
      <c r="H1778" t="s">
        <v>6662</v>
      </c>
      <c r="I1778" t="s">
        <v>8140</v>
      </c>
      <c r="J1778" t="s">
        <v>9059</v>
      </c>
      <c r="K1778">
        <v>11233</v>
      </c>
      <c r="L1778" t="s">
        <v>9094</v>
      </c>
      <c r="M1778" t="s">
        <v>9096</v>
      </c>
      <c r="N1778" t="s">
        <v>9144</v>
      </c>
      <c r="O1778" t="s">
        <v>11138</v>
      </c>
      <c r="P1778" t="s">
        <v>11168</v>
      </c>
      <c r="Q1778" t="s">
        <v>11177</v>
      </c>
      <c r="R1778" t="s">
        <v>11180</v>
      </c>
      <c r="S1778" t="s">
        <v>9096</v>
      </c>
      <c r="T1778" t="s">
        <v>11184</v>
      </c>
      <c r="U1778" t="s">
        <v>11201</v>
      </c>
      <c r="W1778">
        <v>957.15</v>
      </c>
      <c r="X1778" t="s">
        <v>11332</v>
      </c>
      <c r="Y1778" t="s">
        <v>11340</v>
      </c>
      <c r="Z1778" t="s">
        <v>12589</v>
      </c>
      <c r="AA1778" t="s">
        <v>15607</v>
      </c>
      <c r="AB1778" t="s">
        <v>16980</v>
      </c>
      <c r="AC1778">
        <v>15</v>
      </c>
      <c r="AD1778" t="s">
        <v>15441</v>
      </c>
      <c r="AE1778" t="s">
        <v>9144</v>
      </c>
      <c r="AF1778">
        <v>25</v>
      </c>
      <c r="AG1778">
        <v>1</v>
      </c>
      <c r="AH1778">
        <v>0</v>
      </c>
      <c r="AI1778">
        <v>70.62</v>
      </c>
      <c r="AL1778" t="s">
        <v>19614</v>
      </c>
      <c r="AM1778">
        <v>8820</v>
      </c>
      <c r="AS1778">
        <v>20.75</v>
      </c>
      <c r="AT1778" t="s">
        <v>410</v>
      </c>
      <c r="AU1778" t="s">
        <v>95</v>
      </c>
      <c r="AV1778" t="s">
        <v>20733</v>
      </c>
    </row>
    <row r="1779" spans="1:48">
      <c r="A1779" s="1">
        <f>HYPERLINK("https://lsnyc.legalserver.org/matter/dynamic-profile/view/1891295","19-1891295")</f>
        <v>0</v>
      </c>
      <c r="B1779" t="s">
        <v>64</v>
      </c>
      <c r="C1779" t="s">
        <v>256</v>
      </c>
      <c r="D1779" t="s">
        <v>749</v>
      </c>
      <c r="F1779" t="s">
        <v>1384</v>
      </c>
      <c r="G1779" t="s">
        <v>4104</v>
      </c>
      <c r="H1779" t="s">
        <v>6663</v>
      </c>
      <c r="I1779" t="s">
        <v>8341</v>
      </c>
      <c r="J1779" t="s">
        <v>9059</v>
      </c>
      <c r="K1779">
        <v>11212</v>
      </c>
      <c r="L1779" t="s">
        <v>9094</v>
      </c>
      <c r="M1779" t="s">
        <v>9096</v>
      </c>
      <c r="N1779" t="s">
        <v>9848</v>
      </c>
      <c r="O1779" t="s">
        <v>11129</v>
      </c>
      <c r="P1779" t="s">
        <v>11165</v>
      </c>
      <c r="R1779" t="s">
        <v>11180</v>
      </c>
      <c r="S1779" t="s">
        <v>9096</v>
      </c>
      <c r="T1779" t="s">
        <v>11183</v>
      </c>
      <c r="U1779" t="s">
        <v>11201</v>
      </c>
      <c r="V1779" t="s">
        <v>526</v>
      </c>
      <c r="W1779">
        <v>246</v>
      </c>
      <c r="X1779" t="s">
        <v>11332</v>
      </c>
      <c r="Y1779" t="s">
        <v>11342</v>
      </c>
      <c r="Z1779" t="s">
        <v>12590</v>
      </c>
      <c r="AA1779" t="s">
        <v>15608</v>
      </c>
      <c r="AB1779" t="s">
        <v>16981</v>
      </c>
      <c r="AC1779">
        <v>172</v>
      </c>
      <c r="AD1779" t="s">
        <v>19567</v>
      </c>
      <c r="AE1779" t="s">
        <v>19580</v>
      </c>
      <c r="AF1779">
        <v>2</v>
      </c>
      <c r="AG1779">
        <v>1</v>
      </c>
      <c r="AH1779">
        <v>0</v>
      </c>
      <c r="AI1779">
        <v>70.62</v>
      </c>
      <c r="AL1779" t="s">
        <v>19614</v>
      </c>
      <c r="AM1779">
        <v>8820</v>
      </c>
      <c r="AS1779">
        <v>10.2</v>
      </c>
      <c r="AT1779" t="s">
        <v>496</v>
      </c>
      <c r="AU1779" t="s">
        <v>95</v>
      </c>
      <c r="AV1779" t="s">
        <v>20733</v>
      </c>
    </row>
    <row r="1780" spans="1:48">
      <c r="A1780" s="1">
        <f>HYPERLINK("https://lsnyc.legalserver.org/matter/dynamic-profile/view/1899836","19-1899836")</f>
        <v>0</v>
      </c>
      <c r="B1780" t="s">
        <v>206</v>
      </c>
      <c r="C1780" t="s">
        <v>256</v>
      </c>
      <c r="D1780" t="s">
        <v>411</v>
      </c>
      <c r="F1780" t="s">
        <v>1994</v>
      </c>
      <c r="G1780" t="s">
        <v>4187</v>
      </c>
      <c r="H1780" t="s">
        <v>6664</v>
      </c>
      <c r="I1780">
        <v>2</v>
      </c>
      <c r="J1780" t="s">
        <v>9065</v>
      </c>
      <c r="K1780">
        <v>10473</v>
      </c>
      <c r="L1780" t="s">
        <v>9095</v>
      </c>
      <c r="M1780" t="s">
        <v>9095</v>
      </c>
      <c r="O1780" t="s">
        <v>11136</v>
      </c>
      <c r="P1780" t="s">
        <v>11166</v>
      </c>
      <c r="R1780" t="s">
        <v>11180</v>
      </c>
      <c r="S1780" t="s">
        <v>9096</v>
      </c>
      <c r="T1780" t="s">
        <v>11194</v>
      </c>
      <c r="W1780">
        <v>800</v>
      </c>
      <c r="X1780" t="s">
        <v>11333</v>
      </c>
      <c r="Y1780" t="s">
        <v>11350</v>
      </c>
      <c r="Z1780" t="s">
        <v>12591</v>
      </c>
      <c r="AA1780" t="s">
        <v>15609</v>
      </c>
      <c r="AB1780" t="s">
        <v>16982</v>
      </c>
      <c r="AC1780">
        <v>3</v>
      </c>
      <c r="AD1780" t="s">
        <v>19565</v>
      </c>
      <c r="AE1780" t="s">
        <v>19581</v>
      </c>
      <c r="AF1780">
        <v>1</v>
      </c>
      <c r="AG1780">
        <v>1</v>
      </c>
      <c r="AH1780">
        <v>0</v>
      </c>
      <c r="AI1780">
        <v>70.62</v>
      </c>
      <c r="AL1780" t="s">
        <v>19614</v>
      </c>
      <c r="AM1780">
        <v>8820</v>
      </c>
      <c r="AN1780" t="s">
        <v>19820</v>
      </c>
      <c r="AS1780">
        <v>26.95</v>
      </c>
      <c r="AT1780" t="s">
        <v>321</v>
      </c>
      <c r="AU1780" t="s">
        <v>20639</v>
      </c>
    </row>
    <row r="1781" spans="1:48">
      <c r="A1781" s="1">
        <f>HYPERLINK("https://lsnyc.legalserver.org/matter/dynamic-profile/view/1908673","19-1908673")</f>
        <v>0</v>
      </c>
      <c r="B1781" t="s">
        <v>132</v>
      </c>
      <c r="C1781" t="s">
        <v>257</v>
      </c>
      <c r="D1781" t="s">
        <v>326</v>
      </c>
      <c r="E1781" t="s">
        <v>377</v>
      </c>
      <c r="F1781" t="s">
        <v>1995</v>
      </c>
      <c r="G1781" t="s">
        <v>4011</v>
      </c>
      <c r="H1781" t="s">
        <v>6665</v>
      </c>
      <c r="I1781" t="s">
        <v>8452</v>
      </c>
      <c r="J1781" t="s">
        <v>9067</v>
      </c>
      <c r="K1781">
        <v>10040</v>
      </c>
      <c r="L1781" t="s">
        <v>9094</v>
      </c>
      <c r="M1781" t="s">
        <v>9095</v>
      </c>
      <c r="O1781" t="s">
        <v>11129</v>
      </c>
      <c r="P1781" t="s">
        <v>11167</v>
      </c>
      <c r="Q1781" t="s">
        <v>11173</v>
      </c>
      <c r="R1781" t="s">
        <v>11180</v>
      </c>
      <c r="S1781" t="s">
        <v>9096</v>
      </c>
      <c r="T1781" t="s">
        <v>11183</v>
      </c>
      <c r="V1781" t="s">
        <v>326</v>
      </c>
      <c r="W1781">
        <v>215</v>
      </c>
      <c r="X1781" t="s">
        <v>11335</v>
      </c>
      <c r="Y1781" t="s">
        <v>11338</v>
      </c>
      <c r="Z1781" t="s">
        <v>12592</v>
      </c>
      <c r="AB1781" t="s">
        <v>16983</v>
      </c>
      <c r="AC1781">
        <v>37</v>
      </c>
      <c r="AD1781" t="s">
        <v>19566</v>
      </c>
      <c r="AE1781" t="s">
        <v>11157</v>
      </c>
      <c r="AF1781">
        <v>5</v>
      </c>
      <c r="AG1781">
        <v>1</v>
      </c>
      <c r="AH1781">
        <v>0</v>
      </c>
      <c r="AI1781">
        <v>70.62</v>
      </c>
      <c r="AL1781" t="s">
        <v>19615</v>
      </c>
      <c r="AM1781">
        <v>8820</v>
      </c>
      <c r="AQ1781" t="s">
        <v>20369</v>
      </c>
      <c r="AS1781">
        <v>4.6</v>
      </c>
      <c r="AT1781" t="s">
        <v>331</v>
      </c>
      <c r="AU1781" t="s">
        <v>130</v>
      </c>
      <c r="AV1781" t="s">
        <v>20733</v>
      </c>
    </row>
    <row r="1782" spans="1:48">
      <c r="A1782" s="1">
        <f>HYPERLINK("https://lsnyc.legalserver.org/matter/dynamic-profile/view/1914444","19-1914444")</f>
        <v>0</v>
      </c>
      <c r="B1782" t="s">
        <v>139</v>
      </c>
      <c r="C1782" t="s">
        <v>256</v>
      </c>
      <c r="D1782" t="s">
        <v>703</v>
      </c>
      <c r="F1782" t="s">
        <v>1996</v>
      </c>
      <c r="G1782" t="s">
        <v>3699</v>
      </c>
      <c r="H1782" t="s">
        <v>6666</v>
      </c>
      <c r="I1782" t="s">
        <v>8502</v>
      </c>
      <c r="J1782" t="s">
        <v>9067</v>
      </c>
      <c r="K1782">
        <v>10032</v>
      </c>
      <c r="L1782" t="s">
        <v>9094</v>
      </c>
      <c r="M1782" t="s">
        <v>9095</v>
      </c>
      <c r="N1782">
        <v>451563</v>
      </c>
      <c r="O1782" t="s">
        <v>11152</v>
      </c>
      <c r="P1782" t="s">
        <v>11165</v>
      </c>
      <c r="R1782" t="s">
        <v>11180</v>
      </c>
      <c r="S1782" t="s">
        <v>9096</v>
      </c>
      <c r="T1782" t="s">
        <v>11183</v>
      </c>
      <c r="U1782" t="s">
        <v>11201</v>
      </c>
      <c r="V1782" t="s">
        <v>863</v>
      </c>
      <c r="W1782">
        <v>531</v>
      </c>
      <c r="X1782" t="s">
        <v>11335</v>
      </c>
      <c r="Y1782" t="s">
        <v>11338</v>
      </c>
      <c r="Z1782" t="s">
        <v>12593</v>
      </c>
      <c r="AB1782" t="s">
        <v>16984</v>
      </c>
      <c r="AC1782">
        <v>32</v>
      </c>
      <c r="AD1782" t="s">
        <v>19565</v>
      </c>
      <c r="AF1782">
        <v>12</v>
      </c>
      <c r="AG1782">
        <v>1</v>
      </c>
      <c r="AH1782">
        <v>0</v>
      </c>
      <c r="AI1782">
        <v>70.62</v>
      </c>
      <c r="AL1782" t="s">
        <v>19614</v>
      </c>
      <c r="AM1782">
        <v>8820</v>
      </c>
      <c r="AS1782">
        <v>0.1</v>
      </c>
      <c r="AT1782" t="s">
        <v>703</v>
      </c>
      <c r="AU1782" t="s">
        <v>139</v>
      </c>
    </row>
    <row r="1783" spans="1:48">
      <c r="A1783" s="1">
        <f>HYPERLINK("https://lsnyc.legalserver.org/matter/dynamic-profile/view/0745411","13-0745411")</f>
        <v>0</v>
      </c>
      <c r="B1783" t="s">
        <v>207</v>
      </c>
      <c r="C1783" t="s">
        <v>256</v>
      </c>
      <c r="D1783" t="s">
        <v>845</v>
      </c>
      <c r="F1783" t="s">
        <v>1997</v>
      </c>
      <c r="G1783" t="s">
        <v>4188</v>
      </c>
      <c r="H1783" t="s">
        <v>6667</v>
      </c>
      <c r="J1783" t="s">
        <v>9059</v>
      </c>
      <c r="K1783">
        <v>11211</v>
      </c>
      <c r="L1783" t="s">
        <v>9096</v>
      </c>
      <c r="M1783" t="s">
        <v>9095</v>
      </c>
      <c r="N1783" t="s">
        <v>9849</v>
      </c>
      <c r="P1783" t="s">
        <v>11165</v>
      </c>
      <c r="R1783" t="s">
        <v>11180</v>
      </c>
      <c r="T1783" t="s">
        <v>11183</v>
      </c>
      <c r="W1783">
        <v>0</v>
      </c>
      <c r="X1783" t="s">
        <v>11332</v>
      </c>
      <c r="Z1783" t="s">
        <v>12594</v>
      </c>
      <c r="AB1783" t="s">
        <v>16985</v>
      </c>
      <c r="AC1783">
        <v>0</v>
      </c>
      <c r="AF1783">
        <v>0</v>
      </c>
      <c r="AG1783">
        <v>4</v>
      </c>
      <c r="AH1783">
        <v>4</v>
      </c>
      <c r="AI1783">
        <v>70.65000000000001</v>
      </c>
      <c r="AL1783" t="s">
        <v>19614</v>
      </c>
      <c r="AM1783">
        <v>28000</v>
      </c>
      <c r="AS1783">
        <v>849.95</v>
      </c>
      <c r="AT1783" t="s">
        <v>299</v>
      </c>
      <c r="AU1783" t="s">
        <v>20701</v>
      </c>
    </row>
    <row r="1784" spans="1:48">
      <c r="A1784" s="1">
        <f>HYPERLINK("https://lsnyc.legalserver.org/matter/dynamic-profile/view/1882257","18-1882257")</f>
        <v>0</v>
      </c>
      <c r="B1784" t="s">
        <v>83</v>
      </c>
      <c r="C1784" t="s">
        <v>256</v>
      </c>
      <c r="D1784" t="s">
        <v>353</v>
      </c>
      <c r="F1784" t="s">
        <v>1998</v>
      </c>
      <c r="G1784" t="s">
        <v>4189</v>
      </c>
      <c r="H1784" t="s">
        <v>6552</v>
      </c>
      <c r="I1784" t="s">
        <v>8372</v>
      </c>
      <c r="J1784" t="s">
        <v>9059</v>
      </c>
      <c r="K1784">
        <v>11220</v>
      </c>
      <c r="L1784" t="s">
        <v>9094</v>
      </c>
      <c r="M1784" t="s">
        <v>9094</v>
      </c>
      <c r="O1784" t="s">
        <v>11134</v>
      </c>
      <c r="P1784" t="s">
        <v>11168</v>
      </c>
      <c r="R1784" t="s">
        <v>11180</v>
      </c>
      <c r="S1784" t="s">
        <v>9094</v>
      </c>
      <c r="T1784" t="s">
        <v>11195</v>
      </c>
      <c r="V1784" t="s">
        <v>353</v>
      </c>
      <c r="W1784">
        <v>0</v>
      </c>
      <c r="X1784" t="s">
        <v>11332</v>
      </c>
      <c r="Z1784" t="s">
        <v>12595</v>
      </c>
      <c r="AB1784" t="s">
        <v>16986</v>
      </c>
      <c r="AC1784">
        <v>28</v>
      </c>
      <c r="AF1784">
        <v>0</v>
      </c>
      <c r="AG1784">
        <v>2</v>
      </c>
      <c r="AH1784">
        <v>4</v>
      </c>
      <c r="AI1784">
        <v>70.67</v>
      </c>
      <c r="AL1784" t="s">
        <v>19615</v>
      </c>
      <c r="AM1784">
        <v>23844</v>
      </c>
      <c r="AS1784">
        <v>1</v>
      </c>
      <c r="AT1784" t="s">
        <v>426</v>
      </c>
      <c r="AU1784" t="s">
        <v>168</v>
      </c>
    </row>
    <row r="1785" spans="1:48">
      <c r="A1785" s="1">
        <f>HYPERLINK("https://lsnyc.legalserver.org/matter/dynamic-profile/view/1863494","18-1863494")</f>
        <v>0</v>
      </c>
      <c r="B1785" t="s">
        <v>86</v>
      </c>
      <c r="C1785" t="s">
        <v>256</v>
      </c>
      <c r="D1785" t="s">
        <v>356</v>
      </c>
      <c r="F1785" t="s">
        <v>1976</v>
      </c>
      <c r="G1785" t="s">
        <v>4190</v>
      </c>
      <c r="H1785" t="s">
        <v>5778</v>
      </c>
      <c r="I1785" t="s">
        <v>8503</v>
      </c>
      <c r="J1785" t="s">
        <v>9059</v>
      </c>
      <c r="K1785">
        <v>11226</v>
      </c>
      <c r="L1785" t="s">
        <v>9094</v>
      </c>
      <c r="M1785" t="s">
        <v>9094</v>
      </c>
      <c r="O1785" t="s">
        <v>11136</v>
      </c>
      <c r="P1785" t="s">
        <v>11166</v>
      </c>
      <c r="R1785" t="s">
        <v>11180</v>
      </c>
      <c r="S1785" t="s">
        <v>9094</v>
      </c>
      <c r="T1785" t="s">
        <v>11183</v>
      </c>
      <c r="V1785" t="s">
        <v>723</v>
      </c>
      <c r="W1785">
        <v>1500</v>
      </c>
      <c r="X1785" t="s">
        <v>11332</v>
      </c>
      <c r="Y1785" t="s">
        <v>11340</v>
      </c>
      <c r="Z1785" t="s">
        <v>12596</v>
      </c>
      <c r="AB1785" t="s">
        <v>16987</v>
      </c>
      <c r="AC1785">
        <v>65</v>
      </c>
      <c r="AE1785" t="s">
        <v>19580</v>
      </c>
      <c r="AF1785">
        <v>31</v>
      </c>
      <c r="AG1785">
        <v>1</v>
      </c>
      <c r="AH1785">
        <v>0</v>
      </c>
      <c r="AI1785">
        <v>70.68000000000001</v>
      </c>
      <c r="AL1785" t="s">
        <v>19614</v>
      </c>
      <c r="AM1785">
        <v>8580</v>
      </c>
      <c r="AS1785">
        <v>1.5</v>
      </c>
      <c r="AT1785" t="s">
        <v>440</v>
      </c>
      <c r="AU1785" t="s">
        <v>20630</v>
      </c>
    </row>
    <row r="1786" spans="1:48">
      <c r="A1786" s="1">
        <f>HYPERLINK("https://lsnyc.legalserver.org/matter/dynamic-profile/view/1908559","19-1908559")</f>
        <v>0</v>
      </c>
      <c r="B1786" t="s">
        <v>111</v>
      </c>
      <c r="C1786" t="s">
        <v>256</v>
      </c>
      <c r="D1786" t="s">
        <v>410</v>
      </c>
      <c r="F1786" t="s">
        <v>1846</v>
      </c>
      <c r="G1786" t="s">
        <v>4191</v>
      </c>
      <c r="H1786" t="s">
        <v>6668</v>
      </c>
      <c r="I1786">
        <v>25</v>
      </c>
      <c r="J1786" t="s">
        <v>9065</v>
      </c>
      <c r="K1786">
        <v>10460</v>
      </c>
      <c r="L1786" t="s">
        <v>9094</v>
      </c>
      <c r="M1786" t="s">
        <v>9095</v>
      </c>
      <c r="N1786" t="s">
        <v>9850</v>
      </c>
      <c r="O1786" t="s">
        <v>11128</v>
      </c>
      <c r="P1786" t="s">
        <v>11165</v>
      </c>
      <c r="R1786" t="s">
        <v>11180</v>
      </c>
      <c r="S1786" t="s">
        <v>9096</v>
      </c>
      <c r="T1786" t="s">
        <v>11183</v>
      </c>
      <c r="U1786" t="s">
        <v>11202</v>
      </c>
      <c r="V1786" t="s">
        <v>11207</v>
      </c>
      <c r="W1786">
        <v>1587.81</v>
      </c>
      <c r="X1786" t="s">
        <v>11333</v>
      </c>
      <c r="Y1786" t="s">
        <v>11340</v>
      </c>
      <c r="Z1786" t="s">
        <v>12049</v>
      </c>
      <c r="AB1786" t="s">
        <v>16988</v>
      </c>
      <c r="AC1786">
        <v>30</v>
      </c>
      <c r="AD1786" t="s">
        <v>19566</v>
      </c>
      <c r="AE1786" t="s">
        <v>19580</v>
      </c>
      <c r="AF1786">
        <v>8</v>
      </c>
      <c r="AG1786">
        <v>2</v>
      </c>
      <c r="AH1786">
        <v>2</v>
      </c>
      <c r="AI1786">
        <v>70.68000000000001</v>
      </c>
      <c r="AL1786" t="s">
        <v>19615</v>
      </c>
      <c r="AM1786">
        <v>18200</v>
      </c>
      <c r="AS1786">
        <v>28.7</v>
      </c>
      <c r="AT1786" t="s">
        <v>612</v>
      </c>
      <c r="AU1786" t="s">
        <v>20642</v>
      </c>
      <c r="AV1786" t="s">
        <v>20733</v>
      </c>
    </row>
    <row r="1787" spans="1:48">
      <c r="A1787" s="1">
        <f>HYPERLINK("https://lsnyc.legalserver.org/matter/dynamic-profile/view/1894837","19-1894837")</f>
        <v>0</v>
      </c>
      <c r="B1787" t="s">
        <v>103</v>
      </c>
      <c r="C1787" t="s">
        <v>256</v>
      </c>
      <c r="D1787" t="s">
        <v>694</v>
      </c>
      <c r="F1787" t="s">
        <v>1999</v>
      </c>
      <c r="G1787" t="s">
        <v>3479</v>
      </c>
      <c r="H1787" t="s">
        <v>5887</v>
      </c>
      <c r="I1787" t="s">
        <v>8504</v>
      </c>
      <c r="J1787" t="s">
        <v>9065</v>
      </c>
      <c r="K1787">
        <v>10453</v>
      </c>
      <c r="L1787" t="s">
        <v>9094</v>
      </c>
      <c r="M1787" t="s">
        <v>9094</v>
      </c>
      <c r="O1787" t="s">
        <v>11134</v>
      </c>
      <c r="P1787" t="s">
        <v>11168</v>
      </c>
      <c r="R1787" t="s">
        <v>11180</v>
      </c>
      <c r="S1787" t="s">
        <v>9094</v>
      </c>
      <c r="T1787" t="s">
        <v>11183</v>
      </c>
      <c r="V1787" t="s">
        <v>993</v>
      </c>
      <c r="W1787">
        <v>1049.5</v>
      </c>
      <c r="X1787" t="s">
        <v>11333</v>
      </c>
      <c r="Y1787" t="s">
        <v>11339</v>
      </c>
      <c r="Z1787" t="s">
        <v>12597</v>
      </c>
      <c r="AB1787" t="s">
        <v>16989</v>
      </c>
      <c r="AC1787">
        <v>170</v>
      </c>
      <c r="AD1787" t="s">
        <v>19566</v>
      </c>
      <c r="AE1787" t="s">
        <v>9144</v>
      </c>
      <c r="AF1787">
        <v>3</v>
      </c>
      <c r="AG1787">
        <v>2</v>
      </c>
      <c r="AH1787">
        <v>2</v>
      </c>
      <c r="AI1787">
        <v>70.68000000000001</v>
      </c>
      <c r="AL1787" t="s">
        <v>19615</v>
      </c>
      <c r="AM1787">
        <v>18200</v>
      </c>
      <c r="AS1787">
        <v>0</v>
      </c>
      <c r="AU1787" t="s">
        <v>220</v>
      </c>
      <c r="AV1787" t="s">
        <v>20733</v>
      </c>
    </row>
    <row r="1788" spans="1:48">
      <c r="A1788" s="1">
        <f>HYPERLINK("https://lsnyc.legalserver.org/matter/dynamic-profile/view/1894468","19-1894468")</f>
        <v>0</v>
      </c>
      <c r="B1788" t="s">
        <v>103</v>
      </c>
      <c r="C1788" t="s">
        <v>256</v>
      </c>
      <c r="D1788" t="s">
        <v>694</v>
      </c>
      <c r="F1788" t="s">
        <v>1999</v>
      </c>
      <c r="G1788" t="s">
        <v>3479</v>
      </c>
      <c r="H1788" t="s">
        <v>5887</v>
      </c>
      <c r="I1788" t="s">
        <v>8504</v>
      </c>
      <c r="J1788" t="s">
        <v>9065</v>
      </c>
      <c r="K1788">
        <v>10453</v>
      </c>
      <c r="L1788" t="s">
        <v>9094</v>
      </c>
      <c r="M1788" t="s">
        <v>9094</v>
      </c>
      <c r="N1788" t="s">
        <v>9352</v>
      </c>
      <c r="O1788" t="s">
        <v>11130</v>
      </c>
      <c r="P1788" t="s">
        <v>11165</v>
      </c>
      <c r="R1788" t="s">
        <v>11180</v>
      </c>
      <c r="S1788" t="s">
        <v>9094</v>
      </c>
      <c r="T1788" t="s">
        <v>11183</v>
      </c>
      <c r="V1788" t="s">
        <v>512</v>
      </c>
      <c r="W1788">
        <v>1049.5</v>
      </c>
      <c r="X1788" t="s">
        <v>11333</v>
      </c>
      <c r="Y1788" t="s">
        <v>11339</v>
      </c>
      <c r="Z1788" t="s">
        <v>12597</v>
      </c>
      <c r="AB1788" t="s">
        <v>16989</v>
      </c>
      <c r="AC1788">
        <v>170</v>
      </c>
      <c r="AD1788" t="s">
        <v>19569</v>
      </c>
      <c r="AF1788">
        <v>3</v>
      </c>
      <c r="AG1788">
        <v>2</v>
      </c>
      <c r="AH1788">
        <v>2</v>
      </c>
      <c r="AI1788">
        <v>70.68000000000001</v>
      </c>
      <c r="AL1788" t="s">
        <v>19615</v>
      </c>
      <c r="AM1788">
        <v>18200</v>
      </c>
      <c r="AS1788">
        <v>0</v>
      </c>
      <c r="AU1788" t="s">
        <v>220</v>
      </c>
    </row>
    <row r="1789" spans="1:48">
      <c r="A1789" s="1">
        <f>HYPERLINK("https://lsnyc.legalserver.org/matter/dynamic-profile/view/1896217","19-1896217")</f>
        <v>0</v>
      </c>
      <c r="B1789" t="s">
        <v>147</v>
      </c>
      <c r="C1789" t="s">
        <v>257</v>
      </c>
      <c r="D1789" t="s">
        <v>384</v>
      </c>
      <c r="E1789" t="s">
        <v>288</v>
      </c>
      <c r="F1789" t="s">
        <v>1163</v>
      </c>
      <c r="G1789" t="s">
        <v>3773</v>
      </c>
      <c r="H1789" t="s">
        <v>6669</v>
      </c>
      <c r="I1789" t="s">
        <v>8505</v>
      </c>
      <c r="J1789" t="s">
        <v>9066</v>
      </c>
      <c r="K1789">
        <v>10301</v>
      </c>
      <c r="L1789" t="s">
        <v>9094</v>
      </c>
      <c r="M1789" t="s">
        <v>9094</v>
      </c>
      <c r="O1789" t="s">
        <v>9121</v>
      </c>
      <c r="P1789" t="s">
        <v>11166</v>
      </c>
      <c r="Q1789" t="s">
        <v>11176</v>
      </c>
      <c r="R1789" t="s">
        <v>11181</v>
      </c>
      <c r="S1789" t="s">
        <v>9096</v>
      </c>
      <c r="T1789" t="s">
        <v>11183</v>
      </c>
      <c r="V1789" t="s">
        <v>384</v>
      </c>
      <c r="W1789">
        <v>2086</v>
      </c>
      <c r="X1789" t="s">
        <v>11334</v>
      </c>
      <c r="Y1789" t="s">
        <v>11337</v>
      </c>
      <c r="Z1789" t="s">
        <v>12598</v>
      </c>
      <c r="AB1789" t="s">
        <v>16990</v>
      </c>
      <c r="AC1789">
        <v>454</v>
      </c>
      <c r="AD1789" t="s">
        <v>19566</v>
      </c>
      <c r="AE1789" t="s">
        <v>9144</v>
      </c>
      <c r="AF1789">
        <v>-1</v>
      </c>
      <c r="AG1789">
        <v>2</v>
      </c>
      <c r="AH1789">
        <v>2</v>
      </c>
      <c r="AI1789">
        <v>70.68000000000001</v>
      </c>
      <c r="AJ1789" t="s">
        <v>19591</v>
      </c>
      <c r="AK1789" t="s">
        <v>19608</v>
      </c>
      <c r="AL1789" t="s">
        <v>19614</v>
      </c>
      <c r="AM1789">
        <v>18200</v>
      </c>
      <c r="AS1789">
        <v>2.6</v>
      </c>
      <c r="AT1789" t="s">
        <v>429</v>
      </c>
      <c r="AU1789" t="s">
        <v>20653</v>
      </c>
      <c r="AV1789" t="s">
        <v>20733</v>
      </c>
    </row>
    <row r="1790" spans="1:48">
      <c r="A1790" s="1">
        <f>HYPERLINK("https://lsnyc.legalserver.org/matter/dynamic-profile/view/1881254","18-1881254")</f>
        <v>0</v>
      </c>
      <c r="B1790" t="s">
        <v>136</v>
      </c>
      <c r="C1790" t="s">
        <v>256</v>
      </c>
      <c r="D1790" t="s">
        <v>639</v>
      </c>
      <c r="F1790" t="s">
        <v>2000</v>
      </c>
      <c r="G1790" t="s">
        <v>3497</v>
      </c>
      <c r="H1790" t="s">
        <v>6670</v>
      </c>
      <c r="I1790">
        <v>61</v>
      </c>
      <c r="J1790" t="s">
        <v>9067</v>
      </c>
      <c r="K1790">
        <v>10039</v>
      </c>
      <c r="L1790" t="s">
        <v>9094</v>
      </c>
      <c r="M1790" t="s">
        <v>9094</v>
      </c>
      <c r="N1790" t="s">
        <v>9851</v>
      </c>
      <c r="O1790" t="s">
        <v>11130</v>
      </c>
      <c r="P1790" t="s">
        <v>11165</v>
      </c>
      <c r="R1790" t="s">
        <v>11180</v>
      </c>
      <c r="S1790" t="s">
        <v>9094</v>
      </c>
      <c r="T1790" t="s">
        <v>11183</v>
      </c>
      <c r="U1790" t="s">
        <v>11201</v>
      </c>
      <c r="V1790" t="s">
        <v>285</v>
      </c>
      <c r="W1790">
        <v>837.89</v>
      </c>
      <c r="X1790" t="s">
        <v>11335</v>
      </c>
      <c r="Y1790" t="s">
        <v>11338</v>
      </c>
      <c r="Z1790" t="s">
        <v>12599</v>
      </c>
      <c r="AB1790" t="s">
        <v>16991</v>
      </c>
      <c r="AC1790">
        <v>24</v>
      </c>
      <c r="AD1790" t="s">
        <v>19566</v>
      </c>
      <c r="AE1790" t="s">
        <v>19587</v>
      </c>
      <c r="AF1790">
        <v>35</v>
      </c>
      <c r="AG1790">
        <v>1</v>
      </c>
      <c r="AH1790">
        <v>0</v>
      </c>
      <c r="AI1790">
        <v>70.68000000000001</v>
      </c>
      <c r="AL1790" t="s">
        <v>19614</v>
      </c>
      <c r="AM1790">
        <v>8580</v>
      </c>
      <c r="AO1790" t="s">
        <v>20293</v>
      </c>
      <c r="AP1790" t="s">
        <v>20323</v>
      </c>
      <c r="AQ1790" t="s">
        <v>20369</v>
      </c>
      <c r="AR1790" t="s">
        <v>20457</v>
      </c>
      <c r="AS1790">
        <v>0.75</v>
      </c>
      <c r="AT1790" t="s">
        <v>440</v>
      </c>
      <c r="AU1790" t="s">
        <v>20657</v>
      </c>
      <c r="AV1790" t="s">
        <v>20733</v>
      </c>
    </row>
    <row r="1791" spans="1:48">
      <c r="A1791" s="1">
        <f>HYPERLINK("https://lsnyc.legalserver.org/matter/dynamic-profile/view/1904944","19-1904944")</f>
        <v>0</v>
      </c>
      <c r="B1791" t="s">
        <v>103</v>
      </c>
      <c r="C1791" t="s">
        <v>256</v>
      </c>
      <c r="D1791" t="s">
        <v>660</v>
      </c>
      <c r="F1791" t="s">
        <v>1977</v>
      </c>
      <c r="G1791" t="s">
        <v>3479</v>
      </c>
      <c r="H1791" t="s">
        <v>5887</v>
      </c>
      <c r="I1791" t="s">
        <v>8445</v>
      </c>
      <c r="J1791" t="s">
        <v>9065</v>
      </c>
      <c r="K1791">
        <v>10453</v>
      </c>
      <c r="L1791" t="s">
        <v>9094</v>
      </c>
      <c r="M1791" t="s">
        <v>9095</v>
      </c>
      <c r="N1791" t="s">
        <v>9239</v>
      </c>
      <c r="O1791" t="s">
        <v>11134</v>
      </c>
      <c r="P1791" t="s">
        <v>11168</v>
      </c>
      <c r="R1791" t="s">
        <v>11180</v>
      </c>
      <c r="S1791" t="s">
        <v>9094</v>
      </c>
      <c r="T1791" t="s">
        <v>11183</v>
      </c>
      <c r="V1791" t="s">
        <v>1061</v>
      </c>
      <c r="W1791">
        <v>1306.45</v>
      </c>
      <c r="X1791" t="s">
        <v>11333</v>
      </c>
      <c r="Y1791" t="s">
        <v>11346</v>
      </c>
      <c r="Z1791" t="s">
        <v>12550</v>
      </c>
      <c r="AB1791" t="s">
        <v>16943</v>
      </c>
      <c r="AC1791">
        <v>170</v>
      </c>
      <c r="AD1791" t="s">
        <v>19566</v>
      </c>
      <c r="AE1791" t="s">
        <v>9144</v>
      </c>
      <c r="AF1791">
        <v>10</v>
      </c>
      <c r="AG1791">
        <v>3</v>
      </c>
      <c r="AH1791">
        <v>2</v>
      </c>
      <c r="AI1791">
        <v>70.7</v>
      </c>
      <c r="AL1791" t="s">
        <v>19615</v>
      </c>
      <c r="AM1791">
        <v>20800</v>
      </c>
      <c r="AS1791">
        <v>0</v>
      </c>
      <c r="AU1791" t="s">
        <v>220</v>
      </c>
      <c r="AV1791" t="s">
        <v>20733</v>
      </c>
    </row>
    <row r="1792" spans="1:48">
      <c r="A1792" s="1">
        <f>HYPERLINK("https://lsnyc.legalserver.org/matter/dynamic-profile/view/1878038","18-1878038")</f>
        <v>0</v>
      </c>
      <c r="B1792" t="s">
        <v>63</v>
      </c>
      <c r="C1792" t="s">
        <v>256</v>
      </c>
      <c r="D1792" t="s">
        <v>846</v>
      </c>
      <c r="F1792" t="s">
        <v>2001</v>
      </c>
      <c r="G1792" t="s">
        <v>4192</v>
      </c>
      <c r="H1792" t="s">
        <v>6671</v>
      </c>
      <c r="I1792">
        <v>509</v>
      </c>
      <c r="J1792" t="s">
        <v>9055</v>
      </c>
      <c r="K1792">
        <v>11354</v>
      </c>
      <c r="L1792" t="s">
        <v>9096</v>
      </c>
      <c r="M1792" t="s">
        <v>9094</v>
      </c>
      <c r="N1792" t="s">
        <v>9171</v>
      </c>
      <c r="O1792" t="s">
        <v>9121</v>
      </c>
      <c r="P1792" t="s">
        <v>11166</v>
      </c>
      <c r="R1792" t="s">
        <v>11180</v>
      </c>
      <c r="S1792" t="s">
        <v>9096</v>
      </c>
      <c r="T1792" t="s">
        <v>11183</v>
      </c>
      <c r="U1792" t="s">
        <v>11201</v>
      </c>
      <c r="W1792">
        <v>541</v>
      </c>
      <c r="X1792" t="s">
        <v>11331</v>
      </c>
      <c r="Y1792" t="s">
        <v>11338</v>
      </c>
      <c r="Z1792" t="s">
        <v>12600</v>
      </c>
      <c r="AC1792">
        <v>80</v>
      </c>
      <c r="AD1792" t="s">
        <v>15441</v>
      </c>
      <c r="AE1792" t="s">
        <v>9144</v>
      </c>
      <c r="AF1792">
        <v>23</v>
      </c>
      <c r="AG1792">
        <v>1</v>
      </c>
      <c r="AH1792">
        <v>0</v>
      </c>
      <c r="AI1792">
        <v>70.70999999999999</v>
      </c>
      <c r="AL1792" t="s">
        <v>19615</v>
      </c>
      <c r="AM1792">
        <v>8584</v>
      </c>
      <c r="AS1792">
        <v>2.65</v>
      </c>
      <c r="AT1792" t="s">
        <v>457</v>
      </c>
      <c r="AU1792" t="s">
        <v>20619</v>
      </c>
    </row>
    <row r="1793" spans="1:48">
      <c r="A1793" s="1">
        <f>HYPERLINK("https://lsnyc.legalserver.org/matter/dynamic-profile/view/0799599","16-0799599")</f>
        <v>0</v>
      </c>
      <c r="B1793" t="s">
        <v>118</v>
      </c>
      <c r="C1793" t="s">
        <v>257</v>
      </c>
      <c r="D1793" t="s">
        <v>811</v>
      </c>
      <c r="E1793" t="s">
        <v>265</v>
      </c>
      <c r="F1793" t="s">
        <v>1248</v>
      </c>
      <c r="G1793" t="s">
        <v>4193</v>
      </c>
      <c r="H1793" t="s">
        <v>5908</v>
      </c>
      <c r="I1793" t="s">
        <v>8214</v>
      </c>
      <c r="J1793" t="s">
        <v>9065</v>
      </c>
      <c r="K1793">
        <v>10451</v>
      </c>
      <c r="L1793" t="s">
        <v>9094</v>
      </c>
      <c r="M1793" t="s">
        <v>9095</v>
      </c>
      <c r="O1793" t="s">
        <v>11148</v>
      </c>
      <c r="P1793" t="s">
        <v>11166</v>
      </c>
      <c r="Q1793" t="s">
        <v>11178</v>
      </c>
      <c r="R1793" t="s">
        <v>11180</v>
      </c>
      <c r="S1793" t="s">
        <v>9094</v>
      </c>
      <c r="T1793" t="s">
        <v>11183</v>
      </c>
      <c r="V1793" t="s">
        <v>11220</v>
      </c>
      <c r="W1793">
        <v>685.47</v>
      </c>
      <c r="X1793" t="s">
        <v>11333</v>
      </c>
      <c r="Y1793" t="s">
        <v>11346</v>
      </c>
      <c r="Z1793" t="s">
        <v>12601</v>
      </c>
      <c r="AC1793">
        <v>0</v>
      </c>
      <c r="AD1793" t="s">
        <v>19566</v>
      </c>
      <c r="AE1793" t="s">
        <v>9144</v>
      </c>
      <c r="AF1793">
        <v>63</v>
      </c>
      <c r="AG1793">
        <v>1</v>
      </c>
      <c r="AH1793">
        <v>0</v>
      </c>
      <c r="AI1793">
        <v>70.70999999999999</v>
      </c>
      <c r="AJ1793" t="s">
        <v>19593</v>
      </c>
      <c r="AM1793">
        <v>8400</v>
      </c>
      <c r="AS1793">
        <v>11</v>
      </c>
      <c r="AT1793" t="s">
        <v>265</v>
      </c>
      <c r="AU1793" t="s">
        <v>20648</v>
      </c>
    </row>
    <row r="1794" spans="1:48">
      <c r="A1794" s="1">
        <f>HYPERLINK("https://lsnyc.legalserver.org/matter/dynamic-profile/view/1905470","19-1905470")</f>
        <v>0</v>
      </c>
      <c r="B1794" t="s">
        <v>67</v>
      </c>
      <c r="C1794" t="s">
        <v>257</v>
      </c>
      <c r="D1794" t="s">
        <v>408</v>
      </c>
      <c r="E1794" t="s">
        <v>703</v>
      </c>
      <c r="F1794" t="s">
        <v>1833</v>
      </c>
      <c r="G1794" t="s">
        <v>4194</v>
      </c>
      <c r="H1794" t="s">
        <v>6672</v>
      </c>
      <c r="I1794" t="s">
        <v>8239</v>
      </c>
      <c r="J1794" t="s">
        <v>9059</v>
      </c>
      <c r="K1794">
        <v>11230</v>
      </c>
      <c r="L1794" t="s">
        <v>9095</v>
      </c>
      <c r="M1794" t="s">
        <v>9095</v>
      </c>
      <c r="Q1794" t="s">
        <v>11172</v>
      </c>
      <c r="R1794" t="s">
        <v>11180</v>
      </c>
      <c r="T1794" t="s">
        <v>11183</v>
      </c>
      <c r="W1794">
        <v>0</v>
      </c>
      <c r="X1794" t="s">
        <v>11332</v>
      </c>
      <c r="Z1794" t="s">
        <v>12602</v>
      </c>
      <c r="AB1794" t="s">
        <v>16992</v>
      </c>
      <c r="AC1794">
        <v>0</v>
      </c>
      <c r="AF1794">
        <v>0</v>
      </c>
      <c r="AG1794">
        <v>2</v>
      </c>
      <c r="AH1794">
        <v>0</v>
      </c>
      <c r="AI1794">
        <v>70.73</v>
      </c>
      <c r="AL1794" t="s">
        <v>19614</v>
      </c>
      <c r="AM1794">
        <v>11960</v>
      </c>
      <c r="AS1794">
        <v>0.9</v>
      </c>
      <c r="AT1794" t="s">
        <v>703</v>
      </c>
      <c r="AU1794" t="s">
        <v>67</v>
      </c>
    </row>
    <row r="1795" spans="1:48">
      <c r="A1795" s="1">
        <f>HYPERLINK("https://lsnyc.legalserver.org/matter/dynamic-profile/view/0785179","15-0785179")</f>
        <v>0</v>
      </c>
      <c r="B1795" t="s">
        <v>141</v>
      </c>
      <c r="C1795" t="s">
        <v>256</v>
      </c>
      <c r="D1795" t="s">
        <v>847</v>
      </c>
      <c r="F1795" t="s">
        <v>2002</v>
      </c>
      <c r="G1795" t="s">
        <v>2412</v>
      </c>
      <c r="H1795" t="s">
        <v>6673</v>
      </c>
      <c r="I1795" t="s">
        <v>8193</v>
      </c>
      <c r="J1795" t="s">
        <v>9067</v>
      </c>
      <c r="K1795">
        <v>10035</v>
      </c>
      <c r="L1795" t="s">
        <v>9095</v>
      </c>
      <c r="M1795" t="s">
        <v>9095</v>
      </c>
      <c r="N1795" t="s">
        <v>9852</v>
      </c>
      <c r="O1795" t="s">
        <v>11155</v>
      </c>
      <c r="P1795" t="s">
        <v>11168</v>
      </c>
      <c r="R1795" t="s">
        <v>11180</v>
      </c>
      <c r="T1795" t="s">
        <v>11183</v>
      </c>
      <c r="V1795" t="s">
        <v>11257</v>
      </c>
      <c r="W1795">
        <v>331</v>
      </c>
      <c r="X1795" t="s">
        <v>11335</v>
      </c>
      <c r="Y1795" t="s">
        <v>11338</v>
      </c>
      <c r="Z1795" t="s">
        <v>12603</v>
      </c>
      <c r="AB1795" t="s">
        <v>16993</v>
      </c>
      <c r="AC1795">
        <v>10</v>
      </c>
      <c r="AD1795" t="s">
        <v>19566</v>
      </c>
      <c r="AE1795" t="s">
        <v>19580</v>
      </c>
      <c r="AF1795">
        <v>0</v>
      </c>
      <c r="AG1795">
        <v>2</v>
      </c>
      <c r="AH1795">
        <v>0</v>
      </c>
      <c r="AI1795">
        <v>70.73</v>
      </c>
      <c r="AL1795" t="s">
        <v>19614</v>
      </c>
      <c r="AM1795">
        <v>11268</v>
      </c>
      <c r="AS1795">
        <v>120.75</v>
      </c>
      <c r="AT1795" t="s">
        <v>1135</v>
      </c>
      <c r="AU1795" t="s">
        <v>20657</v>
      </c>
    </row>
    <row r="1796" spans="1:48">
      <c r="A1796" s="1">
        <f>HYPERLINK("https://lsnyc.legalserver.org/matter/dynamic-profile/view/1885367","18-1885367")</f>
        <v>0</v>
      </c>
      <c r="B1796" t="s">
        <v>111</v>
      </c>
      <c r="C1796" t="s">
        <v>256</v>
      </c>
      <c r="D1796" t="s">
        <v>848</v>
      </c>
      <c r="F1796" t="s">
        <v>2003</v>
      </c>
      <c r="G1796" t="s">
        <v>3530</v>
      </c>
      <c r="H1796" t="s">
        <v>6370</v>
      </c>
      <c r="I1796" t="s">
        <v>8169</v>
      </c>
      <c r="J1796" t="s">
        <v>9065</v>
      </c>
      <c r="K1796">
        <v>10463</v>
      </c>
      <c r="L1796" t="s">
        <v>9094</v>
      </c>
      <c r="M1796" t="s">
        <v>9094</v>
      </c>
      <c r="N1796" t="s">
        <v>9673</v>
      </c>
      <c r="O1796" t="s">
        <v>11130</v>
      </c>
      <c r="P1796" t="s">
        <v>11165</v>
      </c>
      <c r="R1796" t="s">
        <v>11180</v>
      </c>
      <c r="S1796" t="s">
        <v>9094</v>
      </c>
      <c r="T1796" t="s">
        <v>11183</v>
      </c>
      <c r="V1796" t="s">
        <v>738</v>
      </c>
      <c r="W1796">
        <v>1530</v>
      </c>
      <c r="X1796" t="s">
        <v>11333</v>
      </c>
      <c r="Y1796" t="s">
        <v>11346</v>
      </c>
      <c r="Z1796" t="s">
        <v>12604</v>
      </c>
      <c r="AA1796" t="s">
        <v>15610</v>
      </c>
      <c r="AC1796">
        <v>55</v>
      </c>
      <c r="AD1796" t="s">
        <v>19566</v>
      </c>
      <c r="AE1796" t="s">
        <v>11157</v>
      </c>
      <c r="AF1796">
        <v>3</v>
      </c>
      <c r="AG1796">
        <v>1</v>
      </c>
      <c r="AH1796">
        <v>3</v>
      </c>
      <c r="AI1796">
        <v>70.84999999999999</v>
      </c>
      <c r="AL1796" t="s">
        <v>19615</v>
      </c>
      <c r="AM1796">
        <v>17784</v>
      </c>
      <c r="AS1796">
        <v>0</v>
      </c>
      <c r="AU1796" t="s">
        <v>20647</v>
      </c>
    </row>
    <row r="1797" spans="1:48">
      <c r="A1797" s="1">
        <f>HYPERLINK("https://lsnyc.legalserver.org/matter/dynamic-profile/view/1898732","19-1898732")</f>
        <v>0</v>
      </c>
      <c r="B1797" t="s">
        <v>70</v>
      </c>
      <c r="C1797" t="s">
        <v>256</v>
      </c>
      <c r="D1797" t="s">
        <v>361</v>
      </c>
      <c r="F1797" t="s">
        <v>2004</v>
      </c>
      <c r="G1797" t="s">
        <v>1165</v>
      </c>
      <c r="H1797" t="s">
        <v>6474</v>
      </c>
      <c r="I1797" t="s">
        <v>8506</v>
      </c>
      <c r="J1797" t="s">
        <v>9059</v>
      </c>
      <c r="K1797">
        <v>11233</v>
      </c>
      <c r="L1797" t="s">
        <v>9094</v>
      </c>
      <c r="M1797" t="s">
        <v>9096</v>
      </c>
      <c r="N1797" t="s">
        <v>9146</v>
      </c>
      <c r="O1797" t="s">
        <v>11134</v>
      </c>
      <c r="P1797" t="s">
        <v>11168</v>
      </c>
      <c r="R1797" t="s">
        <v>11180</v>
      </c>
      <c r="S1797" t="s">
        <v>9094</v>
      </c>
      <c r="T1797" t="s">
        <v>11183</v>
      </c>
      <c r="U1797" t="s">
        <v>11201</v>
      </c>
      <c r="V1797" t="s">
        <v>482</v>
      </c>
      <c r="W1797">
        <v>615</v>
      </c>
      <c r="X1797" t="s">
        <v>11332</v>
      </c>
      <c r="Y1797" t="s">
        <v>11157</v>
      </c>
      <c r="Z1797" t="s">
        <v>12605</v>
      </c>
      <c r="AC1797">
        <v>359</v>
      </c>
      <c r="AD1797" t="s">
        <v>19566</v>
      </c>
      <c r="AF1797">
        <v>10</v>
      </c>
      <c r="AG1797">
        <v>1</v>
      </c>
      <c r="AH1797">
        <v>1</v>
      </c>
      <c r="AI1797">
        <v>70.95999999999999</v>
      </c>
      <c r="AL1797" t="s">
        <v>19614</v>
      </c>
      <c r="AM1797">
        <v>12000</v>
      </c>
      <c r="AN1797" t="s">
        <v>19642</v>
      </c>
      <c r="AS1797">
        <v>0</v>
      </c>
      <c r="AU1797" t="s">
        <v>79</v>
      </c>
    </row>
    <row r="1798" spans="1:48">
      <c r="A1798" s="1">
        <f>HYPERLINK("https://lsnyc.legalserver.org/matter/dynamic-profile/view/1898821","19-1898821")</f>
        <v>0</v>
      </c>
      <c r="B1798" t="s">
        <v>70</v>
      </c>
      <c r="C1798" t="s">
        <v>256</v>
      </c>
      <c r="D1798" t="s">
        <v>337</v>
      </c>
      <c r="F1798" t="s">
        <v>2004</v>
      </c>
      <c r="G1798" t="s">
        <v>1165</v>
      </c>
      <c r="H1798" t="s">
        <v>6474</v>
      </c>
      <c r="I1798" t="s">
        <v>8506</v>
      </c>
      <c r="J1798" t="s">
        <v>9059</v>
      </c>
      <c r="K1798">
        <v>11233</v>
      </c>
      <c r="L1798" t="s">
        <v>9094</v>
      </c>
      <c r="M1798" t="s">
        <v>9096</v>
      </c>
      <c r="O1798" t="s">
        <v>11137</v>
      </c>
      <c r="P1798" t="s">
        <v>11167</v>
      </c>
      <c r="R1798" t="s">
        <v>11180</v>
      </c>
      <c r="S1798" t="s">
        <v>9094</v>
      </c>
      <c r="T1798" t="s">
        <v>11183</v>
      </c>
      <c r="U1798" t="s">
        <v>11201</v>
      </c>
      <c r="V1798" t="s">
        <v>749</v>
      </c>
      <c r="W1798">
        <v>615</v>
      </c>
      <c r="X1798" t="s">
        <v>11332</v>
      </c>
      <c r="Y1798" t="s">
        <v>11157</v>
      </c>
      <c r="Z1798" t="s">
        <v>12605</v>
      </c>
      <c r="AC1798">
        <v>359</v>
      </c>
      <c r="AD1798" t="s">
        <v>19566</v>
      </c>
      <c r="AF1798">
        <v>10</v>
      </c>
      <c r="AG1798">
        <v>1</v>
      </c>
      <c r="AH1798">
        <v>1</v>
      </c>
      <c r="AI1798">
        <v>70.95999999999999</v>
      </c>
      <c r="AL1798" t="s">
        <v>19614</v>
      </c>
      <c r="AM1798">
        <v>12000</v>
      </c>
      <c r="AN1798" t="s">
        <v>19821</v>
      </c>
      <c r="AS1798">
        <v>0</v>
      </c>
      <c r="AU1798" t="s">
        <v>79</v>
      </c>
    </row>
    <row r="1799" spans="1:48">
      <c r="A1799" s="1">
        <f>HYPERLINK("https://lsnyc.legalserver.org/matter/dynamic-profile/view/1914412","19-1914412")</f>
        <v>0</v>
      </c>
      <c r="B1799" t="s">
        <v>98</v>
      </c>
      <c r="C1799" t="s">
        <v>256</v>
      </c>
      <c r="D1799" t="s">
        <v>703</v>
      </c>
      <c r="F1799" t="s">
        <v>2005</v>
      </c>
      <c r="G1799" t="s">
        <v>4195</v>
      </c>
      <c r="H1799" t="s">
        <v>5851</v>
      </c>
      <c r="I1799" t="s">
        <v>8507</v>
      </c>
      <c r="J1799" t="s">
        <v>9065</v>
      </c>
      <c r="K1799">
        <v>10474</v>
      </c>
      <c r="L1799" t="s">
        <v>9095</v>
      </c>
      <c r="M1799" t="s">
        <v>9095</v>
      </c>
      <c r="O1799" t="s">
        <v>11137</v>
      </c>
      <c r="P1799" t="s">
        <v>11167</v>
      </c>
      <c r="R1799" t="s">
        <v>11180</v>
      </c>
      <c r="S1799" t="s">
        <v>9096</v>
      </c>
      <c r="T1799" t="s">
        <v>11183</v>
      </c>
      <c r="W1799">
        <v>1450</v>
      </c>
      <c r="X1799" t="s">
        <v>11333</v>
      </c>
      <c r="Y1799" t="s">
        <v>11340</v>
      </c>
      <c r="Z1799" t="s">
        <v>12606</v>
      </c>
      <c r="AB1799" t="s">
        <v>16994</v>
      </c>
      <c r="AC1799">
        <v>47</v>
      </c>
      <c r="AD1799" t="s">
        <v>19566</v>
      </c>
      <c r="AF1799">
        <v>2</v>
      </c>
      <c r="AG1799">
        <v>2</v>
      </c>
      <c r="AH1799">
        <v>0</v>
      </c>
      <c r="AI1799">
        <v>70.95999999999999</v>
      </c>
      <c r="AL1799" t="s">
        <v>19614</v>
      </c>
      <c r="AM1799">
        <v>12000</v>
      </c>
      <c r="AS1799">
        <v>1</v>
      </c>
      <c r="AT1799" t="s">
        <v>496</v>
      </c>
      <c r="AU1799" t="s">
        <v>98</v>
      </c>
    </row>
    <row r="1800" spans="1:48">
      <c r="A1800" s="1">
        <f>HYPERLINK("https://lsnyc.legalserver.org/matter/dynamic-profile/view/1897258","19-1897258")</f>
        <v>0</v>
      </c>
      <c r="B1800" t="s">
        <v>126</v>
      </c>
      <c r="C1800" t="s">
        <v>257</v>
      </c>
      <c r="D1800" t="s">
        <v>434</v>
      </c>
      <c r="E1800" t="s">
        <v>457</v>
      </c>
      <c r="F1800" t="s">
        <v>1211</v>
      </c>
      <c r="G1800" t="s">
        <v>4196</v>
      </c>
      <c r="H1800" t="s">
        <v>6674</v>
      </c>
      <c r="I1800" t="s">
        <v>8508</v>
      </c>
      <c r="J1800" t="s">
        <v>9066</v>
      </c>
      <c r="K1800">
        <v>10304</v>
      </c>
      <c r="L1800" t="s">
        <v>9094</v>
      </c>
      <c r="M1800" t="s">
        <v>9095</v>
      </c>
      <c r="N1800" t="s">
        <v>9853</v>
      </c>
      <c r="O1800" t="s">
        <v>11129</v>
      </c>
      <c r="P1800" t="s">
        <v>11165</v>
      </c>
      <c r="Q1800" t="s">
        <v>11174</v>
      </c>
      <c r="R1800" t="s">
        <v>11180</v>
      </c>
      <c r="S1800" t="s">
        <v>9096</v>
      </c>
      <c r="T1800" t="s">
        <v>11183</v>
      </c>
      <c r="U1800" t="s">
        <v>11201</v>
      </c>
      <c r="W1800">
        <v>2900</v>
      </c>
      <c r="X1800" t="s">
        <v>11334</v>
      </c>
      <c r="Y1800" t="s">
        <v>11350</v>
      </c>
      <c r="Z1800" t="s">
        <v>12607</v>
      </c>
      <c r="AB1800" t="s">
        <v>16995</v>
      </c>
      <c r="AC1800">
        <v>900</v>
      </c>
      <c r="AD1800" t="s">
        <v>19566</v>
      </c>
      <c r="AE1800" t="s">
        <v>9144</v>
      </c>
      <c r="AF1800">
        <v>-1</v>
      </c>
      <c r="AG1800">
        <v>2</v>
      </c>
      <c r="AH1800">
        <v>0</v>
      </c>
      <c r="AI1800">
        <v>70.95999999999999</v>
      </c>
      <c r="AL1800" t="s">
        <v>19614</v>
      </c>
      <c r="AM1800">
        <v>12000</v>
      </c>
      <c r="AP1800" t="s">
        <v>11157</v>
      </c>
      <c r="AQ1800" t="s">
        <v>20368</v>
      </c>
      <c r="AS1800">
        <v>14.5</v>
      </c>
      <c r="AT1800" t="s">
        <v>457</v>
      </c>
      <c r="AU1800" t="s">
        <v>20653</v>
      </c>
      <c r="AV1800" t="s">
        <v>20733</v>
      </c>
    </row>
    <row r="1801" spans="1:48">
      <c r="A1801" s="1">
        <f>HYPERLINK("https://lsnyc.legalserver.org/matter/dynamic-profile/view/1910706","19-1910706")</f>
        <v>0</v>
      </c>
      <c r="B1801" t="s">
        <v>140</v>
      </c>
      <c r="C1801" t="s">
        <v>256</v>
      </c>
      <c r="D1801" t="s">
        <v>307</v>
      </c>
      <c r="F1801" t="s">
        <v>1238</v>
      </c>
      <c r="G1801" t="s">
        <v>3801</v>
      </c>
      <c r="H1801" t="s">
        <v>6675</v>
      </c>
      <c r="I1801" t="s">
        <v>8193</v>
      </c>
      <c r="J1801" t="s">
        <v>9067</v>
      </c>
      <c r="K1801">
        <v>10040</v>
      </c>
      <c r="L1801" t="s">
        <v>9094</v>
      </c>
      <c r="M1801" t="s">
        <v>9095</v>
      </c>
      <c r="O1801" t="s">
        <v>11130</v>
      </c>
      <c r="P1801" t="s">
        <v>11169</v>
      </c>
      <c r="R1801" t="s">
        <v>11180</v>
      </c>
      <c r="S1801" t="s">
        <v>9096</v>
      </c>
      <c r="T1801" t="s">
        <v>11183</v>
      </c>
      <c r="V1801" t="s">
        <v>307</v>
      </c>
      <c r="W1801">
        <v>2050</v>
      </c>
      <c r="X1801" t="s">
        <v>11335</v>
      </c>
      <c r="Y1801" t="s">
        <v>11340</v>
      </c>
      <c r="Z1801" t="s">
        <v>12608</v>
      </c>
      <c r="AB1801" t="s">
        <v>16996</v>
      </c>
      <c r="AC1801">
        <v>54</v>
      </c>
      <c r="AD1801" t="s">
        <v>19566</v>
      </c>
      <c r="AE1801" t="s">
        <v>9144</v>
      </c>
      <c r="AF1801">
        <v>4</v>
      </c>
      <c r="AG1801">
        <v>2</v>
      </c>
      <c r="AH1801">
        <v>0</v>
      </c>
      <c r="AI1801">
        <v>70.95999999999999</v>
      </c>
      <c r="AL1801" t="s">
        <v>19614</v>
      </c>
      <c r="AM1801">
        <v>12000</v>
      </c>
      <c r="AS1801">
        <v>1.25</v>
      </c>
      <c r="AT1801" t="s">
        <v>307</v>
      </c>
      <c r="AU1801" t="s">
        <v>130</v>
      </c>
      <c r="AV1801" t="s">
        <v>20733</v>
      </c>
    </row>
    <row r="1802" spans="1:48">
      <c r="A1802" s="1">
        <f>HYPERLINK("https://lsnyc.legalserver.org/matter/dynamic-profile/view/1900716","19-1900716")</f>
        <v>0</v>
      </c>
      <c r="B1802" t="s">
        <v>134</v>
      </c>
      <c r="C1802" t="s">
        <v>257</v>
      </c>
      <c r="D1802" t="s">
        <v>338</v>
      </c>
      <c r="E1802" t="s">
        <v>457</v>
      </c>
      <c r="F1802" t="s">
        <v>2006</v>
      </c>
      <c r="G1802" t="s">
        <v>4197</v>
      </c>
      <c r="H1802" t="s">
        <v>6676</v>
      </c>
      <c r="I1802">
        <v>27</v>
      </c>
      <c r="J1802" t="s">
        <v>9067</v>
      </c>
      <c r="K1802">
        <v>10033</v>
      </c>
      <c r="L1802" t="s">
        <v>9094</v>
      </c>
      <c r="M1802" t="s">
        <v>9095</v>
      </c>
      <c r="O1802" t="s">
        <v>9121</v>
      </c>
      <c r="P1802" t="s">
        <v>11164</v>
      </c>
      <c r="Q1802" t="s">
        <v>11172</v>
      </c>
      <c r="R1802" t="s">
        <v>11180</v>
      </c>
      <c r="S1802" t="s">
        <v>9096</v>
      </c>
      <c r="T1802" t="s">
        <v>11183</v>
      </c>
      <c r="V1802" t="s">
        <v>338</v>
      </c>
      <c r="W1802">
        <v>2176.5</v>
      </c>
      <c r="X1802" t="s">
        <v>11335</v>
      </c>
      <c r="Y1802" t="s">
        <v>11338</v>
      </c>
      <c r="Z1802" t="s">
        <v>12609</v>
      </c>
      <c r="AB1802" t="s">
        <v>16997</v>
      </c>
      <c r="AC1802">
        <v>40</v>
      </c>
      <c r="AD1802" t="s">
        <v>19566</v>
      </c>
      <c r="AE1802" t="s">
        <v>19587</v>
      </c>
      <c r="AF1802">
        <v>18</v>
      </c>
      <c r="AG1802">
        <v>2</v>
      </c>
      <c r="AH1802">
        <v>0</v>
      </c>
      <c r="AI1802">
        <v>70.95999999999999</v>
      </c>
      <c r="AL1802" t="s">
        <v>19615</v>
      </c>
      <c r="AM1802">
        <v>12000</v>
      </c>
      <c r="AS1802">
        <v>1.7</v>
      </c>
      <c r="AT1802" t="s">
        <v>414</v>
      </c>
      <c r="AU1802" t="s">
        <v>130</v>
      </c>
      <c r="AV1802" t="s">
        <v>20733</v>
      </c>
    </row>
    <row r="1803" spans="1:48">
      <c r="A1803" s="1">
        <f>HYPERLINK("https://lsnyc.legalserver.org/matter/dynamic-profile/view/1905563","19-1905563")</f>
        <v>0</v>
      </c>
      <c r="B1803" t="s">
        <v>98</v>
      </c>
      <c r="C1803" t="s">
        <v>256</v>
      </c>
      <c r="D1803" t="s">
        <v>457</v>
      </c>
      <c r="F1803" t="s">
        <v>2007</v>
      </c>
      <c r="G1803" t="s">
        <v>4198</v>
      </c>
      <c r="H1803" t="s">
        <v>6677</v>
      </c>
      <c r="I1803" t="s">
        <v>8229</v>
      </c>
      <c r="J1803" t="s">
        <v>9065</v>
      </c>
      <c r="K1803">
        <v>10459</v>
      </c>
      <c r="L1803" t="s">
        <v>9094</v>
      </c>
      <c r="M1803" t="s">
        <v>9095</v>
      </c>
      <c r="N1803" t="s">
        <v>9854</v>
      </c>
      <c r="O1803" t="s">
        <v>11151</v>
      </c>
      <c r="P1803" t="s">
        <v>11167</v>
      </c>
      <c r="R1803" t="s">
        <v>11180</v>
      </c>
      <c r="S1803" t="s">
        <v>9096</v>
      </c>
      <c r="T1803" t="s">
        <v>11183</v>
      </c>
      <c r="U1803" t="s">
        <v>11201</v>
      </c>
      <c r="W1803">
        <v>168</v>
      </c>
      <c r="X1803" t="s">
        <v>11333</v>
      </c>
      <c r="Y1803" t="s">
        <v>11346</v>
      </c>
      <c r="Z1803" t="s">
        <v>12610</v>
      </c>
      <c r="AB1803" t="s">
        <v>16998</v>
      </c>
      <c r="AC1803">
        <v>20</v>
      </c>
      <c r="AD1803" t="s">
        <v>19567</v>
      </c>
      <c r="AE1803" t="s">
        <v>19580</v>
      </c>
      <c r="AF1803">
        <v>18</v>
      </c>
      <c r="AG1803">
        <v>1</v>
      </c>
      <c r="AH1803">
        <v>0</v>
      </c>
      <c r="AI1803">
        <v>71.09999999999999</v>
      </c>
      <c r="AL1803" t="s">
        <v>19614</v>
      </c>
      <c r="AM1803">
        <v>8880</v>
      </c>
      <c r="AS1803">
        <v>6.25</v>
      </c>
      <c r="AT1803" t="s">
        <v>336</v>
      </c>
      <c r="AU1803" t="s">
        <v>20635</v>
      </c>
      <c r="AV1803" t="s">
        <v>20733</v>
      </c>
    </row>
    <row r="1804" spans="1:48">
      <c r="A1804" s="1">
        <f>HYPERLINK("https://lsnyc.legalserver.org/matter/dynamic-profile/view/1891305","19-1891305")</f>
        <v>0</v>
      </c>
      <c r="B1804" t="s">
        <v>103</v>
      </c>
      <c r="C1804" t="s">
        <v>256</v>
      </c>
      <c r="D1804" t="s">
        <v>543</v>
      </c>
      <c r="F1804" t="s">
        <v>2008</v>
      </c>
      <c r="G1804" t="s">
        <v>4199</v>
      </c>
      <c r="H1804" t="s">
        <v>5887</v>
      </c>
      <c r="I1804" t="s">
        <v>8197</v>
      </c>
      <c r="J1804" t="s">
        <v>9065</v>
      </c>
      <c r="K1804">
        <v>10453</v>
      </c>
      <c r="L1804" t="s">
        <v>9094</v>
      </c>
      <c r="M1804" t="s">
        <v>9094</v>
      </c>
      <c r="O1804" t="s">
        <v>11134</v>
      </c>
      <c r="P1804" t="s">
        <v>11168</v>
      </c>
      <c r="R1804" t="s">
        <v>11180</v>
      </c>
      <c r="S1804" t="s">
        <v>9094</v>
      </c>
      <c r="T1804" t="s">
        <v>11183</v>
      </c>
      <c r="V1804" t="s">
        <v>512</v>
      </c>
      <c r="W1804">
        <v>868</v>
      </c>
      <c r="X1804" t="s">
        <v>11333</v>
      </c>
      <c r="Y1804" t="s">
        <v>11346</v>
      </c>
      <c r="Z1804" t="s">
        <v>12611</v>
      </c>
      <c r="AB1804" t="s">
        <v>16999</v>
      </c>
      <c r="AC1804">
        <v>170</v>
      </c>
      <c r="AD1804" t="s">
        <v>19566</v>
      </c>
      <c r="AE1804" t="s">
        <v>19588</v>
      </c>
      <c r="AF1804">
        <v>8</v>
      </c>
      <c r="AG1804">
        <v>1</v>
      </c>
      <c r="AH1804">
        <v>0</v>
      </c>
      <c r="AI1804">
        <v>71.09999999999999</v>
      </c>
      <c r="AL1804" t="s">
        <v>19615</v>
      </c>
      <c r="AM1804">
        <v>8880</v>
      </c>
      <c r="AS1804">
        <v>0</v>
      </c>
      <c r="AU1804" t="s">
        <v>163</v>
      </c>
    </row>
    <row r="1805" spans="1:48">
      <c r="A1805" s="1">
        <f>HYPERLINK("https://lsnyc.legalserver.org/matter/dynamic-profile/view/1891302","19-1891302")</f>
        <v>0</v>
      </c>
      <c r="B1805" t="s">
        <v>103</v>
      </c>
      <c r="C1805" t="s">
        <v>256</v>
      </c>
      <c r="D1805" t="s">
        <v>543</v>
      </c>
      <c r="F1805" t="s">
        <v>2008</v>
      </c>
      <c r="G1805" t="s">
        <v>4199</v>
      </c>
      <c r="H1805" t="s">
        <v>5887</v>
      </c>
      <c r="I1805" t="s">
        <v>8197</v>
      </c>
      <c r="J1805" t="s">
        <v>9065</v>
      </c>
      <c r="K1805">
        <v>10453</v>
      </c>
      <c r="L1805" t="s">
        <v>9094</v>
      </c>
      <c r="M1805" t="s">
        <v>9094</v>
      </c>
      <c r="N1805" t="s">
        <v>9352</v>
      </c>
      <c r="O1805" t="s">
        <v>11130</v>
      </c>
      <c r="P1805" t="s">
        <v>11165</v>
      </c>
      <c r="R1805" t="s">
        <v>11180</v>
      </c>
      <c r="S1805" t="s">
        <v>9094</v>
      </c>
      <c r="T1805" t="s">
        <v>11183</v>
      </c>
      <c r="V1805" t="s">
        <v>512</v>
      </c>
      <c r="W1805">
        <v>868</v>
      </c>
      <c r="X1805" t="s">
        <v>11333</v>
      </c>
      <c r="Y1805" t="s">
        <v>11346</v>
      </c>
      <c r="Z1805" t="s">
        <v>12611</v>
      </c>
      <c r="AB1805" t="s">
        <v>16999</v>
      </c>
      <c r="AC1805">
        <v>170</v>
      </c>
      <c r="AD1805" t="s">
        <v>19566</v>
      </c>
      <c r="AE1805" t="s">
        <v>19588</v>
      </c>
      <c r="AF1805">
        <v>8</v>
      </c>
      <c r="AG1805">
        <v>1</v>
      </c>
      <c r="AH1805">
        <v>0</v>
      </c>
      <c r="AI1805">
        <v>71.09999999999999</v>
      </c>
      <c r="AL1805" t="s">
        <v>19615</v>
      </c>
      <c r="AM1805">
        <v>8880</v>
      </c>
      <c r="AS1805">
        <v>0</v>
      </c>
      <c r="AU1805" t="s">
        <v>163</v>
      </c>
    </row>
    <row r="1806" spans="1:48">
      <c r="A1806" s="1">
        <f>HYPERLINK("https://lsnyc.legalserver.org/matter/dynamic-profile/view/1901519","19-1901519")</f>
        <v>0</v>
      </c>
      <c r="B1806" t="s">
        <v>137</v>
      </c>
      <c r="C1806" t="s">
        <v>256</v>
      </c>
      <c r="D1806" t="s">
        <v>559</v>
      </c>
      <c r="F1806" t="s">
        <v>2009</v>
      </c>
      <c r="G1806" t="s">
        <v>4200</v>
      </c>
      <c r="H1806" t="s">
        <v>6322</v>
      </c>
      <c r="I1806" t="s">
        <v>8168</v>
      </c>
      <c r="J1806" t="s">
        <v>9067</v>
      </c>
      <c r="K1806">
        <v>10033</v>
      </c>
      <c r="L1806" t="s">
        <v>9094</v>
      </c>
      <c r="M1806" t="s">
        <v>9095</v>
      </c>
      <c r="N1806" t="s">
        <v>9855</v>
      </c>
      <c r="O1806" t="s">
        <v>11136</v>
      </c>
      <c r="P1806" t="s">
        <v>11164</v>
      </c>
      <c r="R1806" t="s">
        <v>11180</v>
      </c>
      <c r="S1806" t="s">
        <v>9096</v>
      </c>
      <c r="T1806" t="s">
        <v>11183</v>
      </c>
      <c r="V1806" t="s">
        <v>559</v>
      </c>
      <c r="W1806">
        <v>848.29</v>
      </c>
      <c r="X1806" t="s">
        <v>11335</v>
      </c>
      <c r="Y1806" t="s">
        <v>11338</v>
      </c>
      <c r="Z1806" t="s">
        <v>12612</v>
      </c>
      <c r="AB1806" t="s">
        <v>17000</v>
      </c>
      <c r="AC1806">
        <v>29</v>
      </c>
      <c r="AD1806" t="s">
        <v>19566</v>
      </c>
      <c r="AE1806" t="s">
        <v>9144</v>
      </c>
      <c r="AF1806">
        <v>24</v>
      </c>
      <c r="AG1806">
        <v>1</v>
      </c>
      <c r="AH1806">
        <v>0</v>
      </c>
      <c r="AI1806">
        <v>71.09999999999999</v>
      </c>
      <c r="AL1806" t="s">
        <v>19615</v>
      </c>
      <c r="AM1806">
        <v>8880</v>
      </c>
      <c r="AS1806">
        <v>1.5</v>
      </c>
      <c r="AT1806" t="s">
        <v>798</v>
      </c>
      <c r="AU1806" t="s">
        <v>130</v>
      </c>
      <c r="AV1806" t="s">
        <v>20733</v>
      </c>
    </row>
    <row r="1807" spans="1:48">
      <c r="A1807" s="1">
        <f>HYPERLINK("https://lsnyc.legalserver.org/matter/dynamic-profile/view/1875631","18-1875631")</f>
        <v>0</v>
      </c>
      <c r="B1807" t="s">
        <v>140</v>
      </c>
      <c r="C1807" t="s">
        <v>256</v>
      </c>
      <c r="D1807" t="s">
        <v>419</v>
      </c>
      <c r="F1807" t="s">
        <v>2010</v>
      </c>
      <c r="G1807" t="s">
        <v>3699</v>
      </c>
      <c r="H1807" t="s">
        <v>6678</v>
      </c>
      <c r="I1807">
        <v>49</v>
      </c>
      <c r="J1807" t="s">
        <v>9067</v>
      </c>
      <c r="K1807">
        <v>10033</v>
      </c>
      <c r="L1807" t="s">
        <v>9094</v>
      </c>
      <c r="M1807" t="s">
        <v>9094</v>
      </c>
      <c r="O1807" t="s">
        <v>11129</v>
      </c>
      <c r="P1807" t="s">
        <v>11166</v>
      </c>
      <c r="R1807" t="s">
        <v>11180</v>
      </c>
      <c r="S1807" t="s">
        <v>9096</v>
      </c>
      <c r="T1807" t="s">
        <v>11183</v>
      </c>
      <c r="V1807" t="s">
        <v>419</v>
      </c>
      <c r="W1807">
        <v>1756.71</v>
      </c>
      <c r="X1807" t="s">
        <v>11335</v>
      </c>
      <c r="Y1807" t="s">
        <v>11338</v>
      </c>
      <c r="Z1807" t="s">
        <v>12613</v>
      </c>
      <c r="AB1807" t="s">
        <v>17001</v>
      </c>
      <c r="AC1807">
        <v>50</v>
      </c>
      <c r="AD1807" t="s">
        <v>19566</v>
      </c>
      <c r="AE1807" t="s">
        <v>19580</v>
      </c>
      <c r="AF1807">
        <v>25</v>
      </c>
      <c r="AG1807">
        <v>2</v>
      </c>
      <c r="AH1807">
        <v>0</v>
      </c>
      <c r="AI1807">
        <v>71.23</v>
      </c>
      <c r="AL1807" t="s">
        <v>19614</v>
      </c>
      <c r="AM1807">
        <v>11724</v>
      </c>
      <c r="AS1807">
        <v>4.25</v>
      </c>
      <c r="AT1807" t="s">
        <v>993</v>
      </c>
      <c r="AU1807" t="s">
        <v>130</v>
      </c>
    </row>
    <row r="1808" spans="1:48">
      <c r="A1808" s="1">
        <f>HYPERLINK("https://lsnyc.legalserver.org/matter/dynamic-profile/view/1860742","18-1860742")</f>
        <v>0</v>
      </c>
      <c r="B1808" t="s">
        <v>111</v>
      </c>
      <c r="C1808" t="s">
        <v>256</v>
      </c>
      <c r="D1808" t="s">
        <v>737</v>
      </c>
      <c r="F1808" t="s">
        <v>1360</v>
      </c>
      <c r="G1808" t="s">
        <v>3411</v>
      </c>
      <c r="H1808" t="s">
        <v>6258</v>
      </c>
      <c r="I1808" t="s">
        <v>8133</v>
      </c>
      <c r="J1808" t="s">
        <v>9065</v>
      </c>
      <c r="K1808">
        <v>10453</v>
      </c>
      <c r="L1808" t="s">
        <v>9094</v>
      </c>
      <c r="M1808" t="s">
        <v>9095</v>
      </c>
      <c r="N1808" t="s">
        <v>9856</v>
      </c>
      <c r="O1808" t="s">
        <v>11129</v>
      </c>
      <c r="P1808" t="s">
        <v>11165</v>
      </c>
      <c r="R1808" t="s">
        <v>11180</v>
      </c>
      <c r="S1808" t="s">
        <v>9096</v>
      </c>
      <c r="T1808" t="s">
        <v>11183</v>
      </c>
      <c r="V1808" t="s">
        <v>575</v>
      </c>
      <c r="W1808">
        <v>1193</v>
      </c>
      <c r="X1808" t="s">
        <v>11333</v>
      </c>
      <c r="Y1808" t="s">
        <v>11340</v>
      </c>
      <c r="Z1808" t="s">
        <v>12614</v>
      </c>
      <c r="AA1808" t="s">
        <v>15611</v>
      </c>
      <c r="AB1808" t="s">
        <v>17002</v>
      </c>
      <c r="AC1808">
        <v>101</v>
      </c>
      <c r="AD1808" t="s">
        <v>19566</v>
      </c>
      <c r="AE1808" t="s">
        <v>19580</v>
      </c>
      <c r="AF1808">
        <v>17</v>
      </c>
      <c r="AG1808">
        <v>1</v>
      </c>
      <c r="AH1808">
        <v>0</v>
      </c>
      <c r="AI1808">
        <v>71.27</v>
      </c>
      <c r="AL1808" t="s">
        <v>19614</v>
      </c>
      <c r="AM1808">
        <v>8652</v>
      </c>
      <c r="AN1808" t="s">
        <v>19699</v>
      </c>
      <c r="AR1808" t="s">
        <v>20405</v>
      </c>
      <c r="AS1808">
        <v>22.6</v>
      </c>
      <c r="AT1808" t="s">
        <v>456</v>
      </c>
      <c r="AU1808" t="s">
        <v>247</v>
      </c>
    </row>
    <row r="1809" spans="1:48">
      <c r="A1809" s="1">
        <f>HYPERLINK("https://lsnyc.legalserver.org/matter/dynamic-profile/view/1874137","18-1874137")</f>
        <v>0</v>
      </c>
      <c r="B1809" t="s">
        <v>114</v>
      </c>
      <c r="C1809" t="s">
        <v>256</v>
      </c>
      <c r="D1809" t="s">
        <v>585</v>
      </c>
      <c r="F1809" t="s">
        <v>2011</v>
      </c>
      <c r="G1809" t="s">
        <v>3479</v>
      </c>
      <c r="H1809" t="s">
        <v>6679</v>
      </c>
      <c r="I1809" t="s">
        <v>8192</v>
      </c>
      <c r="J1809" t="s">
        <v>9065</v>
      </c>
      <c r="K1809">
        <v>10460</v>
      </c>
      <c r="L1809" t="s">
        <v>9094</v>
      </c>
      <c r="M1809" t="s">
        <v>9094</v>
      </c>
      <c r="N1809" t="s">
        <v>9857</v>
      </c>
      <c r="O1809" t="s">
        <v>11129</v>
      </c>
      <c r="P1809" t="s">
        <v>11165</v>
      </c>
      <c r="R1809" t="s">
        <v>11180</v>
      </c>
      <c r="S1809" t="s">
        <v>9096</v>
      </c>
      <c r="T1809" t="s">
        <v>11183</v>
      </c>
      <c r="V1809" t="s">
        <v>585</v>
      </c>
      <c r="W1809">
        <v>0</v>
      </c>
      <c r="X1809" t="s">
        <v>11333</v>
      </c>
      <c r="Y1809" t="s">
        <v>11344</v>
      </c>
      <c r="Z1809" t="s">
        <v>12615</v>
      </c>
      <c r="AA1809" t="s">
        <v>15612</v>
      </c>
      <c r="AB1809" t="s">
        <v>17003</v>
      </c>
      <c r="AC1809">
        <v>200</v>
      </c>
      <c r="AE1809" t="s">
        <v>19580</v>
      </c>
      <c r="AF1809">
        <v>10</v>
      </c>
      <c r="AG1809">
        <v>3</v>
      </c>
      <c r="AH1809">
        <v>3</v>
      </c>
      <c r="AI1809">
        <v>71.28</v>
      </c>
      <c r="AL1809" t="s">
        <v>19614</v>
      </c>
      <c r="AM1809">
        <v>24050</v>
      </c>
      <c r="AS1809">
        <v>56</v>
      </c>
      <c r="AT1809" t="s">
        <v>318</v>
      </c>
      <c r="AU1809" t="s">
        <v>20647</v>
      </c>
    </row>
    <row r="1810" spans="1:48">
      <c r="A1810" s="1">
        <f>HYPERLINK("https://lsnyc.legalserver.org/matter/dynamic-profile/view/1885571","18-1885571")</f>
        <v>0</v>
      </c>
      <c r="B1810" t="s">
        <v>68</v>
      </c>
      <c r="C1810" t="s">
        <v>257</v>
      </c>
      <c r="D1810" t="s">
        <v>634</v>
      </c>
      <c r="E1810" t="s">
        <v>336</v>
      </c>
      <c r="F1810" t="s">
        <v>1987</v>
      </c>
      <c r="G1810" t="s">
        <v>4175</v>
      </c>
      <c r="H1810" t="s">
        <v>6652</v>
      </c>
      <c r="I1810" t="s">
        <v>8497</v>
      </c>
      <c r="J1810" t="s">
        <v>9059</v>
      </c>
      <c r="K1810">
        <v>11208</v>
      </c>
      <c r="L1810" t="s">
        <v>9094</v>
      </c>
      <c r="M1810" t="s">
        <v>9094</v>
      </c>
      <c r="N1810" t="s">
        <v>9842</v>
      </c>
      <c r="O1810" t="s">
        <v>11129</v>
      </c>
      <c r="P1810" t="s">
        <v>11165</v>
      </c>
      <c r="Q1810" t="s">
        <v>11174</v>
      </c>
      <c r="R1810" t="s">
        <v>11180</v>
      </c>
      <c r="T1810" t="s">
        <v>11183</v>
      </c>
      <c r="U1810" t="s">
        <v>11201</v>
      </c>
      <c r="V1810" t="s">
        <v>634</v>
      </c>
      <c r="W1810">
        <v>0</v>
      </c>
      <c r="X1810" t="s">
        <v>11332</v>
      </c>
      <c r="Y1810" t="s">
        <v>11345</v>
      </c>
      <c r="Z1810" t="s">
        <v>12570</v>
      </c>
      <c r="AA1810" t="s">
        <v>15613</v>
      </c>
      <c r="AB1810" t="s">
        <v>16963</v>
      </c>
      <c r="AC1810">
        <v>3</v>
      </c>
      <c r="AF1810">
        <v>0</v>
      </c>
      <c r="AG1810">
        <v>3</v>
      </c>
      <c r="AH1810">
        <v>2</v>
      </c>
      <c r="AI1810">
        <v>71.53</v>
      </c>
      <c r="AL1810" t="s">
        <v>19614</v>
      </c>
      <c r="AM1810">
        <v>21044</v>
      </c>
      <c r="AR1810" t="s">
        <v>20457</v>
      </c>
      <c r="AS1810">
        <v>18.6</v>
      </c>
      <c r="AT1810" t="s">
        <v>442</v>
      </c>
      <c r="AU1810" t="s">
        <v>20628</v>
      </c>
    </row>
    <row r="1811" spans="1:48">
      <c r="A1811" s="1">
        <f>HYPERLINK("https://lsnyc.legalserver.org/matter/dynamic-profile/view/1905515","19-1905515")</f>
        <v>0</v>
      </c>
      <c r="B1811" t="s">
        <v>111</v>
      </c>
      <c r="C1811" t="s">
        <v>256</v>
      </c>
      <c r="D1811" t="s">
        <v>408</v>
      </c>
      <c r="F1811" t="s">
        <v>2012</v>
      </c>
      <c r="G1811" t="s">
        <v>2282</v>
      </c>
      <c r="H1811" t="s">
        <v>6417</v>
      </c>
      <c r="I1811" t="s">
        <v>8509</v>
      </c>
      <c r="J1811" t="s">
        <v>9065</v>
      </c>
      <c r="K1811">
        <v>10452</v>
      </c>
      <c r="L1811" t="s">
        <v>9095</v>
      </c>
      <c r="M1811" t="s">
        <v>9095</v>
      </c>
      <c r="N1811" t="s">
        <v>9858</v>
      </c>
      <c r="O1811" t="s">
        <v>11130</v>
      </c>
      <c r="P1811" t="s">
        <v>11165</v>
      </c>
      <c r="R1811" t="s">
        <v>11180</v>
      </c>
      <c r="S1811" t="s">
        <v>9096</v>
      </c>
      <c r="T1811" t="s">
        <v>11183</v>
      </c>
      <c r="W1811">
        <v>1078.15</v>
      </c>
      <c r="X1811" t="s">
        <v>11333</v>
      </c>
      <c r="Y1811" t="s">
        <v>11346</v>
      </c>
      <c r="Z1811" t="s">
        <v>12616</v>
      </c>
      <c r="AB1811" t="s">
        <v>17004</v>
      </c>
      <c r="AC1811">
        <v>59</v>
      </c>
      <c r="AD1811" t="s">
        <v>19566</v>
      </c>
      <c r="AF1811">
        <v>30</v>
      </c>
      <c r="AG1811">
        <v>1</v>
      </c>
      <c r="AH1811">
        <v>1</v>
      </c>
      <c r="AI1811">
        <v>71.59999999999999</v>
      </c>
      <c r="AL1811" t="s">
        <v>19614</v>
      </c>
      <c r="AM1811">
        <v>12108</v>
      </c>
      <c r="AN1811" t="s">
        <v>19822</v>
      </c>
      <c r="AS1811">
        <v>3.1</v>
      </c>
      <c r="AT1811" t="s">
        <v>335</v>
      </c>
      <c r="AU1811" t="s">
        <v>111</v>
      </c>
    </row>
    <row r="1812" spans="1:48">
      <c r="A1812" s="1">
        <f>HYPERLINK("https://lsnyc.legalserver.org/matter/dynamic-profile/view/1888931","19-1888931")</f>
        <v>0</v>
      </c>
      <c r="B1812" t="s">
        <v>115</v>
      </c>
      <c r="C1812" t="s">
        <v>257</v>
      </c>
      <c r="D1812" t="s">
        <v>616</v>
      </c>
      <c r="E1812" t="s">
        <v>521</v>
      </c>
      <c r="F1812" t="s">
        <v>2012</v>
      </c>
      <c r="G1812" t="s">
        <v>2282</v>
      </c>
      <c r="H1812" t="s">
        <v>6417</v>
      </c>
      <c r="I1812" t="s">
        <v>8509</v>
      </c>
      <c r="J1812" t="s">
        <v>9065</v>
      </c>
      <c r="K1812">
        <v>10452</v>
      </c>
      <c r="L1812" t="s">
        <v>9094</v>
      </c>
      <c r="M1812" t="s">
        <v>9094</v>
      </c>
      <c r="N1812" t="s">
        <v>9859</v>
      </c>
      <c r="O1812" t="s">
        <v>11129</v>
      </c>
      <c r="P1812" t="s">
        <v>11165</v>
      </c>
      <c r="Q1812" t="s">
        <v>11174</v>
      </c>
      <c r="R1812" t="s">
        <v>11180</v>
      </c>
      <c r="S1812" t="s">
        <v>9094</v>
      </c>
      <c r="T1812" t="s">
        <v>11183</v>
      </c>
      <c r="U1812" t="s">
        <v>11199</v>
      </c>
      <c r="V1812" t="s">
        <v>616</v>
      </c>
      <c r="W1812">
        <v>1078.15</v>
      </c>
      <c r="X1812" t="s">
        <v>11333</v>
      </c>
      <c r="Y1812" t="s">
        <v>11346</v>
      </c>
      <c r="Z1812" t="s">
        <v>12616</v>
      </c>
      <c r="AB1812" t="s">
        <v>17004</v>
      </c>
      <c r="AC1812">
        <v>59</v>
      </c>
      <c r="AD1812" t="s">
        <v>19566</v>
      </c>
      <c r="AE1812" t="s">
        <v>9144</v>
      </c>
      <c r="AF1812">
        <v>30</v>
      </c>
      <c r="AG1812">
        <v>1</v>
      </c>
      <c r="AH1812">
        <v>1</v>
      </c>
      <c r="AI1812">
        <v>71.59999999999999</v>
      </c>
      <c r="AL1812" t="s">
        <v>19614</v>
      </c>
      <c r="AM1812">
        <v>12108</v>
      </c>
      <c r="AS1812">
        <v>22.8</v>
      </c>
      <c r="AT1812" t="s">
        <v>521</v>
      </c>
      <c r="AU1812" t="s">
        <v>163</v>
      </c>
      <c r="AV1812" t="s">
        <v>20733</v>
      </c>
    </row>
    <row r="1813" spans="1:48">
      <c r="A1813" s="1">
        <f>HYPERLINK("https://lsnyc.legalserver.org/matter/dynamic-profile/view/0805131","16-0805131")</f>
        <v>0</v>
      </c>
      <c r="B1813" t="s">
        <v>148</v>
      </c>
      <c r="C1813" t="s">
        <v>256</v>
      </c>
      <c r="D1813" t="s">
        <v>849</v>
      </c>
      <c r="F1813" t="s">
        <v>2013</v>
      </c>
      <c r="G1813" t="s">
        <v>4201</v>
      </c>
      <c r="H1813" t="s">
        <v>6680</v>
      </c>
      <c r="I1813" t="s">
        <v>8266</v>
      </c>
      <c r="J1813" t="s">
        <v>9067</v>
      </c>
      <c r="K1813">
        <v>10029</v>
      </c>
      <c r="L1813" t="s">
        <v>9095</v>
      </c>
      <c r="M1813" t="s">
        <v>9095</v>
      </c>
      <c r="N1813" t="s">
        <v>9860</v>
      </c>
      <c r="O1813" t="s">
        <v>11128</v>
      </c>
      <c r="P1813" t="s">
        <v>11165</v>
      </c>
      <c r="R1813" t="s">
        <v>11180</v>
      </c>
      <c r="S1813" t="s">
        <v>9096</v>
      </c>
      <c r="T1813" t="s">
        <v>11183</v>
      </c>
      <c r="V1813" t="s">
        <v>11258</v>
      </c>
      <c r="W1813">
        <v>218</v>
      </c>
      <c r="X1813" t="s">
        <v>11335</v>
      </c>
      <c r="Z1813" t="s">
        <v>12617</v>
      </c>
      <c r="AB1813" t="s">
        <v>17005</v>
      </c>
      <c r="AC1813">
        <v>17</v>
      </c>
      <c r="AD1813" t="s">
        <v>15441</v>
      </c>
      <c r="AE1813" t="s">
        <v>9144</v>
      </c>
      <c r="AF1813">
        <v>5</v>
      </c>
      <c r="AG1813">
        <v>2</v>
      </c>
      <c r="AH1813">
        <v>0</v>
      </c>
      <c r="AI1813">
        <v>71.59999999999999</v>
      </c>
      <c r="AL1813" t="s">
        <v>19614</v>
      </c>
      <c r="AM1813">
        <v>11469.6</v>
      </c>
      <c r="AS1813">
        <v>193.9</v>
      </c>
      <c r="AT1813" t="s">
        <v>261</v>
      </c>
      <c r="AU1813" t="s">
        <v>20660</v>
      </c>
    </row>
    <row r="1814" spans="1:48">
      <c r="A1814" s="1">
        <f>HYPERLINK("https://lsnyc.legalserver.org/matter/dynamic-profile/view/0832845","17-0832845")</f>
        <v>0</v>
      </c>
      <c r="B1814" t="s">
        <v>136</v>
      </c>
      <c r="C1814" t="s">
        <v>256</v>
      </c>
      <c r="D1814" t="s">
        <v>850</v>
      </c>
      <c r="F1814" t="s">
        <v>1266</v>
      </c>
      <c r="G1814" t="s">
        <v>4162</v>
      </c>
      <c r="H1814" t="s">
        <v>6639</v>
      </c>
      <c r="I1814" t="s">
        <v>8489</v>
      </c>
      <c r="J1814" t="s">
        <v>9067</v>
      </c>
      <c r="K1814">
        <v>10065</v>
      </c>
      <c r="L1814" t="s">
        <v>9094</v>
      </c>
      <c r="M1814" t="s">
        <v>9095</v>
      </c>
      <c r="O1814" t="s">
        <v>11136</v>
      </c>
      <c r="P1814" t="s">
        <v>11170</v>
      </c>
      <c r="R1814" t="s">
        <v>11180</v>
      </c>
      <c r="S1814" t="s">
        <v>9096</v>
      </c>
      <c r="T1814" t="s">
        <v>11183</v>
      </c>
      <c r="V1814" t="s">
        <v>850</v>
      </c>
      <c r="W1814">
        <v>1071.34</v>
      </c>
      <c r="X1814" t="s">
        <v>11335</v>
      </c>
      <c r="Y1814" t="s">
        <v>11340</v>
      </c>
      <c r="Z1814" t="s">
        <v>12010</v>
      </c>
      <c r="AB1814" t="s">
        <v>16945</v>
      </c>
      <c r="AC1814">
        <v>45</v>
      </c>
      <c r="AD1814" t="s">
        <v>19566</v>
      </c>
      <c r="AE1814" t="s">
        <v>9144</v>
      </c>
      <c r="AF1814">
        <v>2</v>
      </c>
      <c r="AG1814">
        <v>1</v>
      </c>
      <c r="AH1814">
        <v>0</v>
      </c>
      <c r="AI1814">
        <v>71.64</v>
      </c>
      <c r="AL1814" t="s">
        <v>19614</v>
      </c>
      <c r="AM1814">
        <v>8640</v>
      </c>
      <c r="AS1814">
        <v>263.83</v>
      </c>
      <c r="AT1814" t="s">
        <v>496</v>
      </c>
      <c r="AU1814" t="s">
        <v>20682</v>
      </c>
    </row>
    <row r="1815" spans="1:48">
      <c r="A1815" s="1">
        <f>HYPERLINK("https://lsnyc.legalserver.org/matter/dynamic-profile/view/1842712","17-1842712")</f>
        <v>0</v>
      </c>
      <c r="B1815" t="s">
        <v>136</v>
      </c>
      <c r="C1815" t="s">
        <v>257</v>
      </c>
      <c r="D1815" t="s">
        <v>851</v>
      </c>
      <c r="E1815" t="s">
        <v>1130</v>
      </c>
      <c r="F1815" t="s">
        <v>1262</v>
      </c>
      <c r="G1815" t="s">
        <v>4202</v>
      </c>
      <c r="H1815" t="s">
        <v>6681</v>
      </c>
      <c r="I1815" t="s">
        <v>8139</v>
      </c>
      <c r="J1815" t="s">
        <v>9067</v>
      </c>
      <c r="K1815">
        <v>10040</v>
      </c>
      <c r="L1815" t="s">
        <v>9094</v>
      </c>
      <c r="M1815" t="s">
        <v>9095</v>
      </c>
      <c r="O1815" t="s">
        <v>9121</v>
      </c>
      <c r="P1815" t="s">
        <v>11164</v>
      </c>
      <c r="Q1815" t="s">
        <v>11172</v>
      </c>
      <c r="R1815" t="s">
        <v>11180</v>
      </c>
      <c r="S1815" t="s">
        <v>9096</v>
      </c>
      <c r="T1815" t="s">
        <v>11183</v>
      </c>
      <c r="V1815" t="s">
        <v>851</v>
      </c>
      <c r="W1815">
        <v>900</v>
      </c>
      <c r="X1815" t="s">
        <v>11335</v>
      </c>
      <c r="Y1815" t="s">
        <v>11338</v>
      </c>
      <c r="Z1815" t="s">
        <v>12618</v>
      </c>
      <c r="AB1815" t="s">
        <v>17006</v>
      </c>
      <c r="AC1815">
        <v>43</v>
      </c>
      <c r="AD1815" t="s">
        <v>19566</v>
      </c>
      <c r="AE1815" t="s">
        <v>9144</v>
      </c>
      <c r="AF1815">
        <v>4</v>
      </c>
      <c r="AG1815">
        <v>1</v>
      </c>
      <c r="AH1815">
        <v>0</v>
      </c>
      <c r="AI1815">
        <v>71.64</v>
      </c>
      <c r="AJ1815" t="s">
        <v>19599</v>
      </c>
      <c r="AL1815" t="s">
        <v>19614</v>
      </c>
      <c r="AM1815">
        <v>8640</v>
      </c>
      <c r="AS1815">
        <v>0.2</v>
      </c>
      <c r="AT1815" t="s">
        <v>767</v>
      </c>
      <c r="AU1815" t="s">
        <v>130</v>
      </c>
    </row>
    <row r="1816" spans="1:48">
      <c r="A1816" s="1">
        <f>HYPERLINK("https://lsnyc.legalserver.org/matter/dynamic-profile/view/1869789","18-1869789")</f>
        <v>0</v>
      </c>
      <c r="B1816" t="s">
        <v>208</v>
      </c>
      <c r="C1816" t="s">
        <v>257</v>
      </c>
      <c r="D1816" t="s">
        <v>588</v>
      </c>
      <c r="E1816" t="s">
        <v>664</v>
      </c>
      <c r="F1816" t="s">
        <v>2014</v>
      </c>
      <c r="G1816" t="s">
        <v>4203</v>
      </c>
      <c r="H1816" t="s">
        <v>6682</v>
      </c>
      <c r="I1816" t="s">
        <v>8510</v>
      </c>
      <c r="J1816" t="s">
        <v>9038</v>
      </c>
      <c r="K1816">
        <v>11691</v>
      </c>
      <c r="L1816" t="s">
        <v>9094</v>
      </c>
      <c r="M1816" t="s">
        <v>9095</v>
      </c>
      <c r="N1816" t="s">
        <v>9861</v>
      </c>
      <c r="O1816" t="s">
        <v>11129</v>
      </c>
      <c r="P1816" t="s">
        <v>11165</v>
      </c>
      <c r="Q1816" t="s">
        <v>11174</v>
      </c>
      <c r="R1816" t="s">
        <v>11180</v>
      </c>
      <c r="S1816" t="s">
        <v>9096</v>
      </c>
      <c r="T1816" t="s">
        <v>11183</v>
      </c>
      <c r="V1816" t="s">
        <v>588</v>
      </c>
      <c r="W1816">
        <v>1515</v>
      </c>
      <c r="X1816" t="s">
        <v>11331</v>
      </c>
      <c r="Y1816" t="s">
        <v>11336</v>
      </c>
      <c r="Z1816" t="s">
        <v>12619</v>
      </c>
      <c r="AA1816" t="s">
        <v>15614</v>
      </c>
      <c r="AB1816" t="s">
        <v>17007</v>
      </c>
      <c r="AC1816">
        <v>3</v>
      </c>
      <c r="AD1816" t="s">
        <v>15441</v>
      </c>
      <c r="AE1816" t="s">
        <v>9144</v>
      </c>
      <c r="AF1816">
        <v>3</v>
      </c>
      <c r="AG1816">
        <v>2</v>
      </c>
      <c r="AH1816">
        <v>2</v>
      </c>
      <c r="AI1816">
        <v>71.70999999999999</v>
      </c>
      <c r="AL1816" t="s">
        <v>19614</v>
      </c>
      <c r="AM1816">
        <v>18000</v>
      </c>
      <c r="AO1816" t="s">
        <v>20293</v>
      </c>
      <c r="AP1816" t="s">
        <v>11157</v>
      </c>
      <c r="AQ1816" t="s">
        <v>20368</v>
      </c>
      <c r="AR1816" t="s">
        <v>20472</v>
      </c>
      <c r="AS1816">
        <v>29.55</v>
      </c>
      <c r="AT1816" t="s">
        <v>664</v>
      </c>
      <c r="AU1816" t="s">
        <v>153</v>
      </c>
    </row>
    <row r="1817" spans="1:48">
      <c r="A1817" s="1">
        <f>HYPERLINK("https://lsnyc.legalserver.org/matter/dynamic-profile/view/1862236","18-1862236")</f>
        <v>0</v>
      </c>
      <c r="B1817" t="s">
        <v>136</v>
      </c>
      <c r="C1817" t="s">
        <v>256</v>
      </c>
      <c r="D1817" t="s">
        <v>662</v>
      </c>
      <c r="F1817" t="s">
        <v>2015</v>
      </c>
      <c r="G1817" t="s">
        <v>1522</v>
      </c>
      <c r="H1817" t="s">
        <v>5942</v>
      </c>
      <c r="I1817" t="s">
        <v>8175</v>
      </c>
      <c r="J1817" t="s">
        <v>9067</v>
      </c>
      <c r="K1817">
        <v>10034</v>
      </c>
      <c r="L1817" t="s">
        <v>9094</v>
      </c>
      <c r="M1817" t="s">
        <v>9095</v>
      </c>
      <c r="N1817" t="s">
        <v>9862</v>
      </c>
      <c r="O1817" t="s">
        <v>11130</v>
      </c>
      <c r="P1817" t="s">
        <v>11165</v>
      </c>
      <c r="R1817" t="s">
        <v>11180</v>
      </c>
      <c r="S1817" t="s">
        <v>9094</v>
      </c>
      <c r="T1817" t="s">
        <v>11183</v>
      </c>
      <c r="V1817" t="s">
        <v>662</v>
      </c>
      <c r="W1817">
        <v>820</v>
      </c>
      <c r="X1817" t="s">
        <v>11335</v>
      </c>
      <c r="Y1817" t="s">
        <v>11338</v>
      </c>
      <c r="Z1817" t="s">
        <v>12620</v>
      </c>
      <c r="AC1817">
        <v>60</v>
      </c>
      <c r="AD1817" t="s">
        <v>19566</v>
      </c>
      <c r="AE1817" t="s">
        <v>9144</v>
      </c>
      <c r="AF1817">
        <v>36</v>
      </c>
      <c r="AG1817">
        <v>2</v>
      </c>
      <c r="AH1817">
        <v>2</v>
      </c>
      <c r="AI1817">
        <v>71.70999999999999</v>
      </c>
      <c r="AL1817" t="s">
        <v>19614</v>
      </c>
      <c r="AM1817">
        <v>18000</v>
      </c>
      <c r="AN1817" t="s">
        <v>19823</v>
      </c>
      <c r="AS1817">
        <v>63.15</v>
      </c>
      <c r="AT1817" t="s">
        <v>498</v>
      </c>
      <c r="AU1817" t="s">
        <v>130</v>
      </c>
    </row>
    <row r="1818" spans="1:48">
      <c r="A1818" s="1">
        <f>HYPERLINK("https://lsnyc.legalserver.org/matter/dynamic-profile/view/1864353","18-1864353")</f>
        <v>0</v>
      </c>
      <c r="B1818" t="s">
        <v>136</v>
      </c>
      <c r="C1818" t="s">
        <v>256</v>
      </c>
      <c r="D1818" t="s">
        <v>506</v>
      </c>
      <c r="F1818" t="s">
        <v>1576</v>
      </c>
      <c r="G1818" t="s">
        <v>4204</v>
      </c>
      <c r="H1818" t="s">
        <v>5961</v>
      </c>
      <c r="I1818">
        <v>101</v>
      </c>
      <c r="J1818" t="s">
        <v>9067</v>
      </c>
      <c r="K1818">
        <v>10029</v>
      </c>
      <c r="L1818" t="s">
        <v>9094</v>
      </c>
      <c r="M1818" t="s">
        <v>9094</v>
      </c>
      <c r="N1818" t="s">
        <v>9863</v>
      </c>
      <c r="O1818" t="s">
        <v>11130</v>
      </c>
      <c r="P1818" t="s">
        <v>11165</v>
      </c>
      <c r="R1818" t="s">
        <v>11180</v>
      </c>
      <c r="S1818" t="s">
        <v>9094</v>
      </c>
      <c r="T1818" t="s">
        <v>11183</v>
      </c>
      <c r="U1818" t="s">
        <v>11201</v>
      </c>
      <c r="V1818" t="s">
        <v>506</v>
      </c>
      <c r="W1818">
        <v>0</v>
      </c>
      <c r="X1818" t="s">
        <v>11335</v>
      </c>
      <c r="Y1818" t="s">
        <v>11339</v>
      </c>
      <c r="Z1818" t="s">
        <v>12621</v>
      </c>
      <c r="AC1818">
        <v>108</v>
      </c>
      <c r="AD1818" t="s">
        <v>19567</v>
      </c>
      <c r="AE1818" t="s">
        <v>19580</v>
      </c>
      <c r="AF1818">
        <v>35</v>
      </c>
      <c r="AG1818">
        <v>1</v>
      </c>
      <c r="AH1818">
        <v>3</v>
      </c>
      <c r="AI1818">
        <v>71.70999999999999</v>
      </c>
      <c r="AL1818" t="s">
        <v>19615</v>
      </c>
      <c r="AM1818">
        <v>18000</v>
      </c>
      <c r="AS1818">
        <v>0</v>
      </c>
      <c r="AU1818" t="s">
        <v>20657</v>
      </c>
      <c r="AV1818" t="s">
        <v>20733</v>
      </c>
    </row>
    <row r="1819" spans="1:48">
      <c r="A1819" s="1">
        <f>HYPERLINK("https://lsnyc.legalserver.org/matter/dynamic-profile/view/1854341","17-1854341")</f>
        <v>0</v>
      </c>
      <c r="B1819" t="s">
        <v>101</v>
      </c>
      <c r="C1819" t="s">
        <v>256</v>
      </c>
      <c r="D1819" t="s">
        <v>852</v>
      </c>
      <c r="F1819" t="s">
        <v>1358</v>
      </c>
      <c r="G1819" t="s">
        <v>4205</v>
      </c>
      <c r="H1819" t="s">
        <v>6041</v>
      </c>
      <c r="I1819" t="s">
        <v>8178</v>
      </c>
      <c r="J1819" t="s">
        <v>9065</v>
      </c>
      <c r="K1819">
        <v>10452</v>
      </c>
      <c r="L1819" t="s">
        <v>9094</v>
      </c>
      <c r="M1819" t="s">
        <v>9095</v>
      </c>
      <c r="N1819" t="s">
        <v>9356</v>
      </c>
      <c r="O1819" t="s">
        <v>11135</v>
      </c>
      <c r="P1819" t="s">
        <v>11168</v>
      </c>
      <c r="R1819" t="s">
        <v>11180</v>
      </c>
      <c r="S1819" t="s">
        <v>9094</v>
      </c>
      <c r="T1819" t="s">
        <v>11183</v>
      </c>
      <c r="V1819" t="s">
        <v>1122</v>
      </c>
      <c r="W1819">
        <v>812</v>
      </c>
      <c r="X1819" t="s">
        <v>11333</v>
      </c>
      <c r="Y1819" t="s">
        <v>11346</v>
      </c>
      <c r="Z1819" t="s">
        <v>12622</v>
      </c>
      <c r="AB1819" t="s">
        <v>17008</v>
      </c>
      <c r="AC1819">
        <v>62</v>
      </c>
      <c r="AD1819" t="s">
        <v>19566</v>
      </c>
      <c r="AE1819" t="s">
        <v>19580</v>
      </c>
      <c r="AF1819">
        <v>35</v>
      </c>
      <c r="AG1819">
        <v>1</v>
      </c>
      <c r="AH1819">
        <v>0</v>
      </c>
      <c r="AI1819">
        <v>71.73999999999999</v>
      </c>
      <c r="AL1819" t="s">
        <v>19615</v>
      </c>
      <c r="AM1819">
        <v>8652</v>
      </c>
      <c r="AS1819">
        <v>0.8</v>
      </c>
      <c r="AT1819" t="s">
        <v>873</v>
      </c>
      <c r="AU1819" t="s">
        <v>174</v>
      </c>
    </row>
    <row r="1820" spans="1:48">
      <c r="A1820" s="1">
        <f>HYPERLINK("https://lsnyc.legalserver.org/matter/dynamic-profile/view/1855062","18-1855062")</f>
        <v>0</v>
      </c>
      <c r="B1820" t="s">
        <v>101</v>
      </c>
      <c r="C1820" t="s">
        <v>256</v>
      </c>
      <c r="D1820" t="s">
        <v>266</v>
      </c>
      <c r="F1820" t="s">
        <v>1358</v>
      </c>
      <c r="G1820" t="s">
        <v>4205</v>
      </c>
      <c r="H1820" t="s">
        <v>6041</v>
      </c>
      <c r="I1820" t="s">
        <v>8178</v>
      </c>
      <c r="J1820" t="s">
        <v>9065</v>
      </c>
      <c r="K1820">
        <v>10452</v>
      </c>
      <c r="L1820" t="s">
        <v>9094</v>
      </c>
      <c r="M1820" t="s">
        <v>9095</v>
      </c>
      <c r="N1820" t="s">
        <v>9496</v>
      </c>
      <c r="O1820" t="s">
        <v>11135</v>
      </c>
      <c r="P1820" t="s">
        <v>11168</v>
      </c>
      <c r="R1820" t="s">
        <v>11180</v>
      </c>
      <c r="S1820" t="s">
        <v>9094</v>
      </c>
      <c r="T1820" t="s">
        <v>11183</v>
      </c>
      <c r="V1820" t="s">
        <v>1122</v>
      </c>
      <c r="W1820">
        <v>812</v>
      </c>
      <c r="X1820" t="s">
        <v>11333</v>
      </c>
      <c r="Y1820" t="s">
        <v>11346</v>
      </c>
      <c r="Z1820" t="s">
        <v>12622</v>
      </c>
      <c r="AB1820" t="s">
        <v>17008</v>
      </c>
      <c r="AC1820">
        <v>62</v>
      </c>
      <c r="AD1820" t="s">
        <v>19566</v>
      </c>
      <c r="AE1820" t="s">
        <v>19580</v>
      </c>
      <c r="AF1820">
        <v>35</v>
      </c>
      <c r="AG1820">
        <v>1</v>
      </c>
      <c r="AH1820">
        <v>0</v>
      </c>
      <c r="AI1820">
        <v>71.73999999999999</v>
      </c>
      <c r="AL1820" t="s">
        <v>19615</v>
      </c>
      <c r="AM1820">
        <v>8652</v>
      </c>
      <c r="AS1820">
        <v>0</v>
      </c>
      <c r="AU1820" t="s">
        <v>20643</v>
      </c>
    </row>
    <row r="1821" spans="1:48">
      <c r="A1821" s="1">
        <f>HYPERLINK("https://lsnyc.legalserver.org/matter/dynamic-profile/view/1898118","19-1898118")</f>
        <v>0</v>
      </c>
      <c r="B1821" t="s">
        <v>101</v>
      </c>
      <c r="C1821" t="s">
        <v>257</v>
      </c>
      <c r="D1821" t="s">
        <v>470</v>
      </c>
      <c r="E1821" t="s">
        <v>275</v>
      </c>
      <c r="F1821" t="s">
        <v>1209</v>
      </c>
      <c r="G1821" t="s">
        <v>3652</v>
      </c>
      <c r="H1821" t="s">
        <v>5902</v>
      </c>
      <c r="I1821" t="s">
        <v>8283</v>
      </c>
      <c r="J1821" t="s">
        <v>9065</v>
      </c>
      <c r="K1821">
        <v>10452</v>
      </c>
      <c r="L1821" t="s">
        <v>9094</v>
      </c>
      <c r="M1821" t="s">
        <v>9094</v>
      </c>
      <c r="O1821" t="s">
        <v>9121</v>
      </c>
      <c r="P1821" t="s">
        <v>11166</v>
      </c>
      <c r="Q1821" t="s">
        <v>11178</v>
      </c>
      <c r="R1821" t="s">
        <v>11180</v>
      </c>
      <c r="S1821" t="s">
        <v>9094</v>
      </c>
      <c r="T1821" t="s">
        <v>11183</v>
      </c>
      <c r="V1821" t="s">
        <v>11218</v>
      </c>
      <c r="W1821">
        <v>673.6799999999999</v>
      </c>
      <c r="X1821" t="s">
        <v>11333</v>
      </c>
      <c r="Y1821" t="s">
        <v>11346</v>
      </c>
      <c r="Z1821" t="s">
        <v>12623</v>
      </c>
      <c r="AA1821" t="s">
        <v>15615</v>
      </c>
      <c r="AB1821" t="s">
        <v>17009</v>
      </c>
      <c r="AC1821">
        <v>60</v>
      </c>
      <c r="AD1821" t="s">
        <v>19566</v>
      </c>
      <c r="AE1821" t="s">
        <v>9144</v>
      </c>
      <c r="AF1821">
        <v>31</v>
      </c>
      <c r="AG1821">
        <v>2</v>
      </c>
      <c r="AH1821">
        <v>0</v>
      </c>
      <c r="AI1821">
        <v>71.73999999999999</v>
      </c>
      <c r="AL1821" t="s">
        <v>19615</v>
      </c>
      <c r="AM1821">
        <v>12132</v>
      </c>
      <c r="AS1821">
        <v>0.3</v>
      </c>
      <c r="AT1821" t="s">
        <v>275</v>
      </c>
      <c r="AU1821" t="s">
        <v>20642</v>
      </c>
      <c r="AV1821" t="s">
        <v>20733</v>
      </c>
    </row>
    <row r="1822" spans="1:48">
      <c r="A1822" s="1">
        <f>HYPERLINK("https://lsnyc.legalserver.org/matter/dynamic-profile/view/1897247","19-1897247")</f>
        <v>0</v>
      </c>
      <c r="B1822" t="s">
        <v>139</v>
      </c>
      <c r="C1822" t="s">
        <v>256</v>
      </c>
      <c r="D1822" t="s">
        <v>317</v>
      </c>
      <c r="F1822" t="s">
        <v>1343</v>
      </c>
      <c r="G1822" t="s">
        <v>3366</v>
      </c>
      <c r="H1822" t="s">
        <v>6488</v>
      </c>
      <c r="I1822">
        <v>23</v>
      </c>
      <c r="J1822" t="s">
        <v>9067</v>
      </c>
      <c r="K1822">
        <v>10034</v>
      </c>
      <c r="L1822" t="s">
        <v>9094</v>
      </c>
      <c r="M1822" t="s">
        <v>9094</v>
      </c>
      <c r="N1822" t="s">
        <v>9709</v>
      </c>
      <c r="O1822" t="s">
        <v>11130</v>
      </c>
      <c r="P1822" t="s">
        <v>11165</v>
      </c>
      <c r="R1822" t="s">
        <v>11180</v>
      </c>
      <c r="S1822" t="s">
        <v>9094</v>
      </c>
      <c r="T1822" t="s">
        <v>11183</v>
      </c>
      <c r="V1822" t="s">
        <v>317</v>
      </c>
      <c r="W1822">
        <v>929.89</v>
      </c>
      <c r="X1822" t="s">
        <v>11335</v>
      </c>
      <c r="Y1822" t="s">
        <v>11338</v>
      </c>
      <c r="Z1822" t="s">
        <v>12624</v>
      </c>
      <c r="AB1822" t="s">
        <v>17010</v>
      </c>
      <c r="AC1822">
        <v>20</v>
      </c>
      <c r="AD1822" t="s">
        <v>19566</v>
      </c>
      <c r="AE1822" t="s">
        <v>19587</v>
      </c>
      <c r="AF1822">
        <v>48</v>
      </c>
      <c r="AG1822">
        <v>3</v>
      </c>
      <c r="AH1822">
        <v>0</v>
      </c>
      <c r="AI1822">
        <v>71.79000000000001</v>
      </c>
      <c r="AL1822" t="s">
        <v>19615</v>
      </c>
      <c r="AM1822">
        <v>15312</v>
      </c>
      <c r="AS1822">
        <v>0</v>
      </c>
      <c r="AU1822" t="s">
        <v>130</v>
      </c>
      <c r="AV1822" t="s">
        <v>20733</v>
      </c>
    </row>
    <row r="1823" spans="1:48">
      <c r="A1823" s="1">
        <f>HYPERLINK("https://lsnyc.legalserver.org/matter/dynamic-profile/view/1907609","19-1907609")</f>
        <v>0</v>
      </c>
      <c r="B1823" t="s">
        <v>84</v>
      </c>
      <c r="C1823" t="s">
        <v>256</v>
      </c>
      <c r="D1823" t="s">
        <v>416</v>
      </c>
      <c r="F1823" t="s">
        <v>2016</v>
      </c>
      <c r="G1823" t="s">
        <v>4206</v>
      </c>
      <c r="H1823" t="s">
        <v>6683</v>
      </c>
      <c r="I1823" t="s">
        <v>8446</v>
      </c>
      <c r="J1823" t="s">
        <v>9059</v>
      </c>
      <c r="K1823">
        <v>11210</v>
      </c>
      <c r="L1823" t="s">
        <v>9094</v>
      </c>
      <c r="M1823" t="s">
        <v>9095</v>
      </c>
      <c r="O1823" t="s">
        <v>11137</v>
      </c>
      <c r="P1823" t="s">
        <v>11166</v>
      </c>
      <c r="R1823" t="s">
        <v>11180</v>
      </c>
      <c r="S1823" t="s">
        <v>9096</v>
      </c>
      <c r="T1823" t="s">
        <v>11183</v>
      </c>
      <c r="V1823" t="s">
        <v>275</v>
      </c>
      <c r="W1823">
        <v>1725</v>
      </c>
      <c r="X1823" t="s">
        <v>11332</v>
      </c>
      <c r="Z1823" t="s">
        <v>12625</v>
      </c>
      <c r="AC1823">
        <v>65</v>
      </c>
      <c r="AF1823">
        <v>20</v>
      </c>
      <c r="AG1823">
        <v>6</v>
      </c>
      <c r="AH1823">
        <v>2</v>
      </c>
      <c r="AI1823">
        <v>71.84</v>
      </c>
      <c r="AL1823" t="s">
        <v>19620</v>
      </c>
      <c r="AM1823">
        <v>31200</v>
      </c>
      <c r="AS1823">
        <v>0</v>
      </c>
      <c r="AU1823" t="s">
        <v>215</v>
      </c>
      <c r="AV1823" t="s">
        <v>20733</v>
      </c>
    </row>
    <row r="1824" spans="1:48">
      <c r="A1824" s="1">
        <f>HYPERLINK("https://lsnyc.legalserver.org/matter/dynamic-profile/view/1907589","19-1907589")</f>
        <v>0</v>
      </c>
      <c r="B1824" t="s">
        <v>84</v>
      </c>
      <c r="C1824" t="s">
        <v>256</v>
      </c>
      <c r="D1824" t="s">
        <v>416</v>
      </c>
      <c r="F1824" t="s">
        <v>2016</v>
      </c>
      <c r="G1824" t="s">
        <v>4206</v>
      </c>
      <c r="H1824" t="s">
        <v>6683</v>
      </c>
      <c r="I1824" t="s">
        <v>8446</v>
      </c>
      <c r="J1824" t="s">
        <v>9059</v>
      </c>
      <c r="K1824">
        <v>11210</v>
      </c>
      <c r="L1824" t="s">
        <v>9094</v>
      </c>
      <c r="M1824" t="s">
        <v>9095</v>
      </c>
      <c r="N1824" t="s">
        <v>9864</v>
      </c>
      <c r="O1824" t="s">
        <v>11129</v>
      </c>
      <c r="P1824" t="s">
        <v>11165</v>
      </c>
      <c r="R1824" t="s">
        <v>11180</v>
      </c>
      <c r="S1824" t="s">
        <v>9096</v>
      </c>
      <c r="T1824" t="s">
        <v>11183</v>
      </c>
      <c r="V1824" t="s">
        <v>416</v>
      </c>
      <c r="W1824">
        <v>1725</v>
      </c>
      <c r="X1824" t="s">
        <v>11332</v>
      </c>
      <c r="Z1824" t="s">
        <v>12625</v>
      </c>
      <c r="AC1824">
        <v>65</v>
      </c>
      <c r="AF1824">
        <v>20</v>
      </c>
      <c r="AG1824">
        <v>6</v>
      </c>
      <c r="AH1824">
        <v>2</v>
      </c>
      <c r="AI1824">
        <v>71.84</v>
      </c>
      <c r="AL1824" t="s">
        <v>19620</v>
      </c>
      <c r="AM1824">
        <v>31200</v>
      </c>
      <c r="AS1824">
        <v>4</v>
      </c>
      <c r="AT1824" t="s">
        <v>309</v>
      </c>
      <c r="AU1824" t="s">
        <v>215</v>
      </c>
      <c r="AV1824" t="s">
        <v>20733</v>
      </c>
    </row>
    <row r="1825" spans="1:48">
      <c r="A1825" s="1">
        <f>HYPERLINK("https://lsnyc.legalserver.org/matter/dynamic-profile/view/1885244","18-1885244")</f>
        <v>0</v>
      </c>
      <c r="B1825" t="s">
        <v>83</v>
      </c>
      <c r="C1825" t="s">
        <v>256</v>
      </c>
      <c r="D1825" t="s">
        <v>448</v>
      </c>
      <c r="F1825" t="s">
        <v>2017</v>
      </c>
      <c r="G1825" t="s">
        <v>2937</v>
      </c>
      <c r="H1825" t="s">
        <v>6684</v>
      </c>
      <c r="J1825" t="s">
        <v>9059</v>
      </c>
      <c r="K1825">
        <v>11226</v>
      </c>
      <c r="L1825" t="s">
        <v>9094</v>
      </c>
      <c r="M1825" t="s">
        <v>9094</v>
      </c>
      <c r="O1825" t="s">
        <v>11128</v>
      </c>
      <c r="P1825" t="s">
        <v>11165</v>
      </c>
      <c r="R1825" t="s">
        <v>11180</v>
      </c>
      <c r="T1825" t="s">
        <v>11183</v>
      </c>
      <c r="V1825" t="s">
        <v>650</v>
      </c>
      <c r="W1825">
        <v>778.9299999999999</v>
      </c>
      <c r="X1825" t="s">
        <v>11332</v>
      </c>
      <c r="Z1825" t="s">
        <v>12626</v>
      </c>
      <c r="AB1825" t="s">
        <v>17011</v>
      </c>
      <c r="AC1825">
        <v>0</v>
      </c>
      <c r="AF1825">
        <v>8</v>
      </c>
      <c r="AG1825">
        <v>1</v>
      </c>
      <c r="AH1825">
        <v>0</v>
      </c>
      <c r="AI1825">
        <v>71.86</v>
      </c>
      <c r="AL1825" t="s">
        <v>19614</v>
      </c>
      <c r="AM1825">
        <v>8724</v>
      </c>
      <c r="AS1825">
        <v>0.5</v>
      </c>
      <c r="AT1825" t="s">
        <v>584</v>
      </c>
      <c r="AU1825" t="s">
        <v>215</v>
      </c>
    </row>
    <row r="1826" spans="1:48">
      <c r="A1826" s="1">
        <f>HYPERLINK("https://lsnyc.legalserver.org/matter/dynamic-profile/view/1897546","19-1897546")</f>
        <v>0</v>
      </c>
      <c r="B1826" t="s">
        <v>136</v>
      </c>
      <c r="C1826" t="s">
        <v>256</v>
      </c>
      <c r="D1826" t="s">
        <v>617</v>
      </c>
      <c r="F1826" t="s">
        <v>2018</v>
      </c>
      <c r="G1826" t="s">
        <v>4207</v>
      </c>
      <c r="H1826" t="s">
        <v>6685</v>
      </c>
      <c r="I1826" t="s">
        <v>8511</v>
      </c>
      <c r="J1826" t="s">
        <v>9067</v>
      </c>
      <c r="K1826">
        <v>10039</v>
      </c>
      <c r="L1826" t="s">
        <v>9094</v>
      </c>
      <c r="M1826" t="s">
        <v>9094</v>
      </c>
      <c r="N1826" t="s">
        <v>9865</v>
      </c>
      <c r="O1826" t="s">
        <v>11129</v>
      </c>
      <c r="P1826" t="s">
        <v>11165</v>
      </c>
      <c r="R1826" t="s">
        <v>11181</v>
      </c>
      <c r="S1826" t="s">
        <v>9096</v>
      </c>
      <c r="T1826" t="s">
        <v>11188</v>
      </c>
      <c r="U1826" t="s">
        <v>11201</v>
      </c>
      <c r="V1826" t="s">
        <v>777</v>
      </c>
      <c r="W1826">
        <v>844</v>
      </c>
      <c r="X1826" t="s">
        <v>11335</v>
      </c>
      <c r="Y1826" t="s">
        <v>11337</v>
      </c>
      <c r="Z1826" t="s">
        <v>12627</v>
      </c>
      <c r="AB1826" t="s">
        <v>17012</v>
      </c>
      <c r="AC1826">
        <v>360</v>
      </c>
      <c r="AD1826" t="s">
        <v>19577</v>
      </c>
      <c r="AE1826" t="s">
        <v>9144</v>
      </c>
      <c r="AF1826">
        <v>12</v>
      </c>
      <c r="AG1826">
        <v>1</v>
      </c>
      <c r="AH1826">
        <v>3</v>
      </c>
      <c r="AI1826">
        <v>71.86</v>
      </c>
      <c r="AJ1826" t="s">
        <v>19591</v>
      </c>
      <c r="AK1826" t="s">
        <v>19608</v>
      </c>
      <c r="AL1826" t="s">
        <v>19614</v>
      </c>
      <c r="AM1826">
        <v>18504</v>
      </c>
      <c r="AS1826">
        <v>71.95</v>
      </c>
      <c r="AT1826" t="s">
        <v>395</v>
      </c>
      <c r="AU1826" t="s">
        <v>20657</v>
      </c>
    </row>
    <row r="1827" spans="1:48">
      <c r="A1827" s="1">
        <f>HYPERLINK("https://lsnyc.legalserver.org/matter/dynamic-profile/view/1909603","19-1909603")</f>
        <v>0</v>
      </c>
      <c r="B1827" t="s">
        <v>136</v>
      </c>
      <c r="C1827" t="s">
        <v>256</v>
      </c>
      <c r="D1827" t="s">
        <v>444</v>
      </c>
      <c r="F1827" t="s">
        <v>2018</v>
      </c>
      <c r="G1827" t="s">
        <v>4207</v>
      </c>
      <c r="H1827" t="s">
        <v>6685</v>
      </c>
      <c r="I1827" t="s">
        <v>8511</v>
      </c>
      <c r="J1827" t="s">
        <v>9067</v>
      </c>
      <c r="K1827">
        <v>10039</v>
      </c>
      <c r="L1827" t="s">
        <v>9094</v>
      </c>
      <c r="M1827" t="s">
        <v>9095</v>
      </c>
      <c r="N1827" t="s">
        <v>9866</v>
      </c>
      <c r="O1827" t="s">
        <v>11144</v>
      </c>
      <c r="P1827" t="s">
        <v>11165</v>
      </c>
      <c r="R1827" t="s">
        <v>11181</v>
      </c>
      <c r="S1827" t="s">
        <v>9096</v>
      </c>
      <c r="T1827" t="s">
        <v>11188</v>
      </c>
      <c r="U1827" t="s">
        <v>11201</v>
      </c>
      <c r="V1827" t="s">
        <v>444</v>
      </c>
      <c r="W1827">
        <v>844</v>
      </c>
      <c r="X1827" t="s">
        <v>11335</v>
      </c>
      <c r="Y1827" t="s">
        <v>11337</v>
      </c>
      <c r="Z1827" t="s">
        <v>12627</v>
      </c>
      <c r="AB1827" t="s">
        <v>17012</v>
      </c>
      <c r="AC1827">
        <v>360</v>
      </c>
      <c r="AD1827" t="s">
        <v>19577</v>
      </c>
      <c r="AE1827" t="s">
        <v>9144</v>
      </c>
      <c r="AF1827">
        <v>12</v>
      </c>
      <c r="AG1827">
        <v>1</v>
      </c>
      <c r="AH1827">
        <v>3</v>
      </c>
      <c r="AI1827">
        <v>71.86</v>
      </c>
      <c r="AJ1827" t="s">
        <v>19591</v>
      </c>
      <c r="AK1827" t="s">
        <v>19608</v>
      </c>
      <c r="AL1827" t="s">
        <v>19614</v>
      </c>
      <c r="AM1827">
        <v>18504</v>
      </c>
      <c r="AS1827">
        <v>0.2</v>
      </c>
      <c r="AT1827" t="s">
        <v>395</v>
      </c>
      <c r="AU1827" t="s">
        <v>20657</v>
      </c>
      <c r="AV1827" t="s">
        <v>20733</v>
      </c>
    </row>
    <row r="1828" spans="1:48">
      <c r="A1828" s="1">
        <f>HYPERLINK("https://lsnyc.legalserver.org/matter/dynamic-profile/view/1892385","19-1892385")</f>
        <v>0</v>
      </c>
      <c r="B1828" t="s">
        <v>84</v>
      </c>
      <c r="C1828" t="s">
        <v>256</v>
      </c>
      <c r="D1828" t="s">
        <v>635</v>
      </c>
      <c r="F1828" t="s">
        <v>1687</v>
      </c>
      <c r="G1828" t="s">
        <v>3306</v>
      </c>
      <c r="H1828" t="s">
        <v>6686</v>
      </c>
      <c r="I1828" t="s">
        <v>8512</v>
      </c>
      <c r="J1828" t="s">
        <v>9059</v>
      </c>
      <c r="K1828">
        <v>11203</v>
      </c>
      <c r="L1828" t="s">
        <v>9094</v>
      </c>
      <c r="M1828" t="s">
        <v>9094</v>
      </c>
      <c r="N1828" t="s">
        <v>9867</v>
      </c>
      <c r="O1828" t="s">
        <v>11128</v>
      </c>
      <c r="P1828" t="s">
        <v>11165</v>
      </c>
      <c r="R1828" t="s">
        <v>11180</v>
      </c>
      <c r="S1828" t="s">
        <v>9096</v>
      </c>
      <c r="T1828" t="s">
        <v>11183</v>
      </c>
      <c r="V1828" t="s">
        <v>635</v>
      </c>
      <c r="W1828">
        <v>838</v>
      </c>
      <c r="X1828" t="s">
        <v>11332</v>
      </c>
      <c r="Z1828" t="s">
        <v>12628</v>
      </c>
      <c r="AB1828" t="s">
        <v>17013</v>
      </c>
      <c r="AC1828">
        <v>0</v>
      </c>
      <c r="AD1828" t="s">
        <v>19566</v>
      </c>
      <c r="AF1828">
        <v>0</v>
      </c>
      <c r="AG1828">
        <v>1</v>
      </c>
      <c r="AH1828">
        <v>0</v>
      </c>
      <c r="AI1828">
        <v>71.87</v>
      </c>
      <c r="AL1828" t="s">
        <v>19614</v>
      </c>
      <c r="AM1828">
        <v>8976</v>
      </c>
      <c r="AS1828">
        <v>36.3</v>
      </c>
      <c r="AT1828" t="s">
        <v>336</v>
      </c>
      <c r="AU1828" t="s">
        <v>67</v>
      </c>
    </row>
    <row r="1829" spans="1:48">
      <c r="A1829" s="1">
        <f>HYPERLINK("https://lsnyc.legalserver.org/matter/dynamic-profile/view/1913985","19-1913985")</f>
        <v>0</v>
      </c>
      <c r="B1829" t="s">
        <v>73</v>
      </c>
      <c r="C1829" t="s">
        <v>256</v>
      </c>
      <c r="D1829" t="s">
        <v>556</v>
      </c>
      <c r="F1829" t="s">
        <v>2019</v>
      </c>
      <c r="G1829" t="s">
        <v>4208</v>
      </c>
      <c r="H1829" t="s">
        <v>6687</v>
      </c>
      <c r="I1829" t="s">
        <v>8124</v>
      </c>
      <c r="J1829" t="s">
        <v>9059</v>
      </c>
      <c r="K1829">
        <v>11212</v>
      </c>
      <c r="L1829" t="s">
        <v>9096</v>
      </c>
      <c r="M1829" t="s">
        <v>9095</v>
      </c>
      <c r="N1829" t="s">
        <v>9868</v>
      </c>
      <c r="O1829" t="s">
        <v>11129</v>
      </c>
      <c r="R1829" t="s">
        <v>11180</v>
      </c>
      <c r="S1829" t="s">
        <v>9096</v>
      </c>
      <c r="T1829" t="s">
        <v>11183</v>
      </c>
      <c r="U1829" t="s">
        <v>11201</v>
      </c>
      <c r="W1829">
        <v>1577</v>
      </c>
      <c r="X1829" t="s">
        <v>11332</v>
      </c>
      <c r="Y1829" t="s">
        <v>11340</v>
      </c>
      <c r="Z1829" t="s">
        <v>12629</v>
      </c>
      <c r="AA1829" t="s">
        <v>15616</v>
      </c>
      <c r="AB1829" t="s">
        <v>17014</v>
      </c>
      <c r="AC1829">
        <v>6</v>
      </c>
      <c r="AD1829" t="s">
        <v>19566</v>
      </c>
      <c r="AE1829" t="s">
        <v>11157</v>
      </c>
      <c r="AF1829">
        <v>20</v>
      </c>
      <c r="AG1829">
        <v>1</v>
      </c>
      <c r="AH1829">
        <v>0</v>
      </c>
      <c r="AI1829">
        <v>71.95999999999999</v>
      </c>
      <c r="AL1829" t="s">
        <v>19614</v>
      </c>
      <c r="AM1829">
        <v>8988</v>
      </c>
      <c r="AS1829">
        <v>0</v>
      </c>
      <c r="AU1829" t="s">
        <v>95</v>
      </c>
      <c r="AV1829" t="s">
        <v>9144</v>
      </c>
    </row>
    <row r="1830" spans="1:48">
      <c r="A1830" s="1">
        <f>HYPERLINK("https://lsnyc.legalserver.org/matter/dynamic-profile/view/1855961","18-1855961")</f>
        <v>0</v>
      </c>
      <c r="B1830" t="s">
        <v>127</v>
      </c>
      <c r="C1830" t="s">
        <v>257</v>
      </c>
      <c r="D1830" t="s">
        <v>853</v>
      </c>
      <c r="E1830" t="s">
        <v>736</v>
      </c>
      <c r="F1830" t="s">
        <v>1740</v>
      </c>
      <c r="G1830" t="s">
        <v>4209</v>
      </c>
      <c r="H1830" t="s">
        <v>6271</v>
      </c>
      <c r="I1830" t="s">
        <v>8428</v>
      </c>
      <c r="J1830" t="s">
        <v>9066</v>
      </c>
      <c r="K1830">
        <v>10301</v>
      </c>
      <c r="L1830" t="s">
        <v>9094</v>
      </c>
      <c r="M1830" t="s">
        <v>9095</v>
      </c>
      <c r="N1830" t="s">
        <v>9869</v>
      </c>
      <c r="O1830" t="s">
        <v>11129</v>
      </c>
      <c r="P1830" t="s">
        <v>11165</v>
      </c>
      <c r="Q1830" t="s">
        <v>11174</v>
      </c>
      <c r="R1830" t="s">
        <v>11180</v>
      </c>
      <c r="S1830" t="s">
        <v>9094</v>
      </c>
      <c r="T1830" t="s">
        <v>11183</v>
      </c>
      <c r="U1830" t="s">
        <v>11201</v>
      </c>
      <c r="V1830" t="s">
        <v>853</v>
      </c>
      <c r="W1830">
        <v>900</v>
      </c>
      <c r="X1830" t="s">
        <v>11334</v>
      </c>
      <c r="Y1830" t="s">
        <v>11349</v>
      </c>
      <c r="Z1830" t="s">
        <v>12389</v>
      </c>
      <c r="AC1830">
        <v>290</v>
      </c>
      <c r="AD1830" t="s">
        <v>19567</v>
      </c>
      <c r="AE1830" t="s">
        <v>9144</v>
      </c>
      <c r="AF1830">
        <v>15</v>
      </c>
      <c r="AG1830">
        <v>1</v>
      </c>
      <c r="AH1830">
        <v>1</v>
      </c>
      <c r="AI1830">
        <v>72.04000000000001</v>
      </c>
      <c r="AL1830" t="s">
        <v>19614</v>
      </c>
      <c r="AM1830">
        <v>11700</v>
      </c>
      <c r="AO1830" t="s">
        <v>20293</v>
      </c>
      <c r="AP1830" t="s">
        <v>20309</v>
      </c>
      <c r="AQ1830" t="s">
        <v>20369</v>
      </c>
      <c r="AR1830" t="s">
        <v>20411</v>
      </c>
      <c r="AS1830">
        <v>42.91</v>
      </c>
      <c r="AT1830" t="s">
        <v>806</v>
      </c>
      <c r="AU1830" t="s">
        <v>20667</v>
      </c>
      <c r="AV1830" t="s">
        <v>20733</v>
      </c>
    </row>
    <row r="1831" spans="1:48">
      <c r="A1831" s="1">
        <f>HYPERLINK("https://lsnyc.legalserver.org/matter/dynamic-profile/view/1892884","19-1892884")</f>
        <v>0</v>
      </c>
      <c r="B1831" t="s">
        <v>54</v>
      </c>
      <c r="C1831" t="s">
        <v>256</v>
      </c>
      <c r="D1831" t="s">
        <v>523</v>
      </c>
      <c r="F1831" t="s">
        <v>2020</v>
      </c>
      <c r="G1831" t="s">
        <v>4210</v>
      </c>
      <c r="H1831" t="s">
        <v>6688</v>
      </c>
      <c r="I1831" t="s">
        <v>8513</v>
      </c>
      <c r="J1831" t="s">
        <v>9038</v>
      </c>
      <c r="K1831">
        <v>11691</v>
      </c>
      <c r="L1831" t="s">
        <v>9094</v>
      </c>
      <c r="M1831" t="s">
        <v>9094</v>
      </c>
      <c r="N1831" t="s">
        <v>9870</v>
      </c>
      <c r="O1831" t="s">
        <v>11129</v>
      </c>
      <c r="P1831" t="s">
        <v>11166</v>
      </c>
      <c r="R1831" t="s">
        <v>11180</v>
      </c>
      <c r="S1831" t="s">
        <v>9096</v>
      </c>
      <c r="T1831" t="s">
        <v>11183</v>
      </c>
      <c r="U1831" t="s">
        <v>11200</v>
      </c>
      <c r="V1831" t="s">
        <v>523</v>
      </c>
      <c r="W1831">
        <v>222</v>
      </c>
      <c r="X1831" t="s">
        <v>11331</v>
      </c>
      <c r="Y1831" t="s">
        <v>11340</v>
      </c>
      <c r="Z1831" t="s">
        <v>12630</v>
      </c>
      <c r="AA1831" t="s">
        <v>15617</v>
      </c>
      <c r="AB1831" t="s">
        <v>17015</v>
      </c>
      <c r="AC1831">
        <v>70</v>
      </c>
      <c r="AD1831" t="s">
        <v>19567</v>
      </c>
      <c r="AE1831" t="s">
        <v>9144</v>
      </c>
      <c r="AF1831">
        <v>25</v>
      </c>
      <c r="AG1831">
        <v>1</v>
      </c>
      <c r="AH1831">
        <v>0</v>
      </c>
      <c r="AI1831">
        <v>72.06</v>
      </c>
      <c r="AL1831" t="s">
        <v>19615</v>
      </c>
      <c r="AM1831">
        <v>9000</v>
      </c>
      <c r="AS1831">
        <v>3.25</v>
      </c>
      <c r="AT1831" t="s">
        <v>648</v>
      </c>
      <c r="AU1831" t="s">
        <v>20620</v>
      </c>
    </row>
    <row r="1832" spans="1:48">
      <c r="A1832" s="1">
        <f>HYPERLINK("https://lsnyc.legalserver.org/matter/dynamic-profile/view/1893348","19-1893348")</f>
        <v>0</v>
      </c>
      <c r="B1832" t="s">
        <v>52</v>
      </c>
      <c r="C1832" t="s">
        <v>256</v>
      </c>
      <c r="D1832" t="s">
        <v>373</v>
      </c>
      <c r="F1832" t="s">
        <v>2020</v>
      </c>
      <c r="G1832" t="s">
        <v>4210</v>
      </c>
      <c r="H1832" t="s">
        <v>6688</v>
      </c>
      <c r="I1832" t="s">
        <v>8513</v>
      </c>
      <c r="J1832" t="s">
        <v>9038</v>
      </c>
      <c r="K1832">
        <v>11691</v>
      </c>
      <c r="L1832" t="s">
        <v>9094</v>
      </c>
      <c r="M1832" t="s">
        <v>9094</v>
      </c>
      <c r="N1832" t="s">
        <v>9870</v>
      </c>
      <c r="O1832" t="s">
        <v>11129</v>
      </c>
      <c r="P1832" t="s">
        <v>11165</v>
      </c>
      <c r="R1832" t="s">
        <v>11180</v>
      </c>
      <c r="S1832" t="s">
        <v>9096</v>
      </c>
      <c r="T1832" t="s">
        <v>11183</v>
      </c>
      <c r="U1832" t="s">
        <v>11200</v>
      </c>
      <c r="V1832" t="s">
        <v>373</v>
      </c>
      <c r="W1832">
        <v>222</v>
      </c>
      <c r="X1832" t="s">
        <v>11331</v>
      </c>
      <c r="Y1832" t="s">
        <v>11340</v>
      </c>
      <c r="Z1832" t="s">
        <v>12630</v>
      </c>
      <c r="AA1832" t="s">
        <v>15617</v>
      </c>
      <c r="AB1832" t="s">
        <v>17015</v>
      </c>
      <c r="AC1832">
        <v>70</v>
      </c>
      <c r="AD1832" t="s">
        <v>19567</v>
      </c>
      <c r="AE1832" t="s">
        <v>9144</v>
      </c>
      <c r="AF1832">
        <v>25</v>
      </c>
      <c r="AG1832">
        <v>1</v>
      </c>
      <c r="AH1832">
        <v>0</v>
      </c>
      <c r="AI1832">
        <v>72.06</v>
      </c>
      <c r="AL1832" t="s">
        <v>19615</v>
      </c>
      <c r="AM1832">
        <v>9000</v>
      </c>
      <c r="AO1832" t="s">
        <v>20294</v>
      </c>
      <c r="AP1832" t="s">
        <v>20336</v>
      </c>
      <c r="AQ1832" t="s">
        <v>20369</v>
      </c>
      <c r="AR1832" t="s">
        <v>20473</v>
      </c>
      <c r="AS1832">
        <v>5.05</v>
      </c>
      <c r="AT1832" t="s">
        <v>483</v>
      </c>
      <c r="AU1832" t="s">
        <v>20620</v>
      </c>
    </row>
    <row r="1833" spans="1:48">
      <c r="A1833" s="1">
        <f>HYPERLINK("https://lsnyc.legalserver.org/matter/dynamic-profile/view/1910248","19-1910248")</f>
        <v>0</v>
      </c>
      <c r="B1833" t="s">
        <v>65</v>
      </c>
      <c r="C1833" t="s">
        <v>256</v>
      </c>
      <c r="D1833" t="s">
        <v>442</v>
      </c>
      <c r="F1833" t="s">
        <v>1186</v>
      </c>
      <c r="G1833" t="s">
        <v>3382</v>
      </c>
      <c r="H1833" t="s">
        <v>5742</v>
      </c>
      <c r="I1833" t="s">
        <v>8136</v>
      </c>
      <c r="J1833" t="s">
        <v>9059</v>
      </c>
      <c r="K1833">
        <v>11238</v>
      </c>
      <c r="L1833" t="s">
        <v>9094</v>
      </c>
      <c r="M1833" t="s">
        <v>9095</v>
      </c>
      <c r="N1833" t="s">
        <v>9871</v>
      </c>
      <c r="O1833" t="s">
        <v>11129</v>
      </c>
      <c r="P1833" t="s">
        <v>11165</v>
      </c>
      <c r="R1833" t="s">
        <v>11180</v>
      </c>
      <c r="S1833" t="s">
        <v>9094</v>
      </c>
      <c r="T1833" t="s">
        <v>11183</v>
      </c>
      <c r="U1833" t="s">
        <v>11201</v>
      </c>
      <c r="V1833" t="s">
        <v>442</v>
      </c>
      <c r="W1833">
        <v>0</v>
      </c>
      <c r="X1833" t="s">
        <v>11332</v>
      </c>
      <c r="Y1833" t="s">
        <v>11340</v>
      </c>
      <c r="Z1833" t="s">
        <v>12269</v>
      </c>
      <c r="AB1833" t="s">
        <v>16692</v>
      </c>
      <c r="AC1833">
        <v>29</v>
      </c>
      <c r="AD1833" t="s">
        <v>19566</v>
      </c>
      <c r="AF1833">
        <v>0</v>
      </c>
      <c r="AG1833">
        <v>1</v>
      </c>
      <c r="AH1833">
        <v>0</v>
      </c>
      <c r="AI1833">
        <v>72.06</v>
      </c>
      <c r="AL1833" t="s">
        <v>19614</v>
      </c>
      <c r="AM1833">
        <v>9000</v>
      </c>
      <c r="AO1833" t="s">
        <v>20290</v>
      </c>
      <c r="AS1833">
        <v>14</v>
      </c>
      <c r="AT1833" t="s">
        <v>377</v>
      </c>
      <c r="AU1833" t="s">
        <v>215</v>
      </c>
      <c r="AV1833" t="s">
        <v>20733</v>
      </c>
    </row>
    <row r="1834" spans="1:48">
      <c r="A1834" s="1">
        <f>HYPERLINK("https://lsnyc.legalserver.org/matter/dynamic-profile/view/1902306","19-1902306")</f>
        <v>0</v>
      </c>
      <c r="B1834" t="s">
        <v>84</v>
      </c>
      <c r="C1834" t="s">
        <v>256</v>
      </c>
      <c r="D1834" t="s">
        <v>268</v>
      </c>
      <c r="F1834" t="s">
        <v>1145</v>
      </c>
      <c r="G1834" t="s">
        <v>3486</v>
      </c>
      <c r="H1834" t="s">
        <v>6689</v>
      </c>
      <c r="I1834">
        <v>6</v>
      </c>
      <c r="J1834" t="s">
        <v>9059</v>
      </c>
      <c r="K1834">
        <v>11231</v>
      </c>
      <c r="L1834" t="s">
        <v>9094</v>
      </c>
      <c r="M1834" t="s">
        <v>9095</v>
      </c>
      <c r="O1834" t="s">
        <v>11129</v>
      </c>
      <c r="P1834" t="s">
        <v>11165</v>
      </c>
      <c r="R1834" t="s">
        <v>11180</v>
      </c>
      <c r="S1834" t="s">
        <v>9096</v>
      </c>
      <c r="T1834" t="s">
        <v>11183</v>
      </c>
      <c r="V1834" t="s">
        <v>268</v>
      </c>
      <c r="W1834">
        <v>0</v>
      </c>
      <c r="X1834" t="s">
        <v>11332</v>
      </c>
      <c r="Z1834" t="s">
        <v>12631</v>
      </c>
      <c r="AB1834" t="s">
        <v>17016</v>
      </c>
      <c r="AC1834">
        <v>0</v>
      </c>
      <c r="AF1834">
        <v>37</v>
      </c>
      <c r="AG1834">
        <v>1</v>
      </c>
      <c r="AH1834">
        <v>0</v>
      </c>
      <c r="AI1834">
        <v>72.06</v>
      </c>
      <c r="AL1834" t="s">
        <v>19614</v>
      </c>
      <c r="AM1834">
        <v>9000</v>
      </c>
      <c r="AS1834">
        <v>20.4</v>
      </c>
      <c r="AT1834" t="s">
        <v>284</v>
      </c>
      <c r="AU1834" t="s">
        <v>215</v>
      </c>
      <c r="AV1834" t="s">
        <v>20733</v>
      </c>
    </row>
    <row r="1835" spans="1:48">
      <c r="A1835" s="1">
        <f>HYPERLINK("https://lsnyc.legalserver.org/matter/dynamic-profile/view/1902329","19-1902329")</f>
        <v>0</v>
      </c>
      <c r="B1835" t="s">
        <v>67</v>
      </c>
      <c r="C1835" t="s">
        <v>256</v>
      </c>
      <c r="D1835" t="s">
        <v>798</v>
      </c>
      <c r="F1835" t="s">
        <v>1145</v>
      </c>
      <c r="G1835" t="s">
        <v>3486</v>
      </c>
      <c r="H1835" t="s">
        <v>6689</v>
      </c>
      <c r="I1835">
        <v>6</v>
      </c>
      <c r="J1835" t="s">
        <v>9059</v>
      </c>
      <c r="K1835">
        <v>11231</v>
      </c>
      <c r="L1835" t="s">
        <v>9094</v>
      </c>
      <c r="M1835" t="s">
        <v>9095</v>
      </c>
      <c r="P1835" t="s">
        <v>11165</v>
      </c>
      <c r="R1835" t="s">
        <v>11180</v>
      </c>
      <c r="S1835" t="s">
        <v>9096</v>
      </c>
      <c r="T1835" t="s">
        <v>11183</v>
      </c>
      <c r="V1835" t="s">
        <v>798</v>
      </c>
      <c r="W1835">
        <v>0</v>
      </c>
      <c r="X1835" t="s">
        <v>11332</v>
      </c>
      <c r="Z1835" t="s">
        <v>12631</v>
      </c>
      <c r="AB1835" t="s">
        <v>17016</v>
      </c>
      <c r="AC1835">
        <v>0</v>
      </c>
      <c r="AF1835">
        <v>37</v>
      </c>
      <c r="AG1835">
        <v>1</v>
      </c>
      <c r="AH1835">
        <v>0</v>
      </c>
      <c r="AI1835">
        <v>72.06</v>
      </c>
      <c r="AL1835" t="s">
        <v>19614</v>
      </c>
      <c r="AM1835">
        <v>9000</v>
      </c>
      <c r="AS1835">
        <v>5.7</v>
      </c>
      <c r="AT1835" t="s">
        <v>259</v>
      </c>
      <c r="AU1835" t="s">
        <v>215</v>
      </c>
      <c r="AV1835" t="s">
        <v>20733</v>
      </c>
    </row>
    <row r="1836" spans="1:48">
      <c r="A1836" s="1">
        <f>HYPERLINK("https://lsnyc.legalserver.org/matter/dynamic-profile/view/1896393","19-1896393")</f>
        <v>0</v>
      </c>
      <c r="B1836" t="s">
        <v>84</v>
      </c>
      <c r="C1836" t="s">
        <v>256</v>
      </c>
      <c r="D1836" t="s">
        <v>350</v>
      </c>
      <c r="F1836" t="s">
        <v>2021</v>
      </c>
      <c r="G1836" t="s">
        <v>4211</v>
      </c>
      <c r="H1836" t="s">
        <v>5775</v>
      </c>
      <c r="I1836">
        <v>2</v>
      </c>
      <c r="J1836" t="s">
        <v>9059</v>
      </c>
      <c r="K1836">
        <v>11226</v>
      </c>
      <c r="L1836" t="s">
        <v>9094</v>
      </c>
      <c r="M1836" t="s">
        <v>9094</v>
      </c>
      <c r="O1836" t="s">
        <v>11130</v>
      </c>
      <c r="P1836" t="s">
        <v>11164</v>
      </c>
      <c r="R1836" t="s">
        <v>11180</v>
      </c>
      <c r="S1836" t="s">
        <v>9094</v>
      </c>
      <c r="T1836" t="s">
        <v>11183</v>
      </c>
      <c r="V1836" t="s">
        <v>350</v>
      </c>
      <c r="W1836">
        <v>0</v>
      </c>
      <c r="X1836" t="s">
        <v>11332</v>
      </c>
      <c r="Z1836" t="s">
        <v>12632</v>
      </c>
      <c r="AC1836">
        <v>0</v>
      </c>
      <c r="AF1836">
        <v>0</v>
      </c>
      <c r="AG1836">
        <v>1</v>
      </c>
      <c r="AH1836">
        <v>0</v>
      </c>
      <c r="AI1836">
        <v>72.06</v>
      </c>
      <c r="AL1836" t="s">
        <v>19614</v>
      </c>
      <c r="AM1836">
        <v>9000</v>
      </c>
      <c r="AS1836">
        <v>0.6</v>
      </c>
      <c r="AT1836" t="s">
        <v>268</v>
      </c>
      <c r="AU1836" t="s">
        <v>67</v>
      </c>
    </row>
    <row r="1837" spans="1:48">
      <c r="A1837" s="1">
        <f>HYPERLINK("https://lsnyc.legalserver.org/matter/dynamic-profile/view/1889505","19-1889505")</f>
        <v>0</v>
      </c>
      <c r="B1837" t="s">
        <v>73</v>
      </c>
      <c r="C1837" t="s">
        <v>257</v>
      </c>
      <c r="D1837" t="s">
        <v>441</v>
      </c>
      <c r="E1837" t="s">
        <v>372</v>
      </c>
      <c r="F1837" t="s">
        <v>1238</v>
      </c>
      <c r="G1837" t="s">
        <v>3572</v>
      </c>
      <c r="H1837" t="s">
        <v>5995</v>
      </c>
      <c r="I1837" t="s">
        <v>8209</v>
      </c>
      <c r="J1837" t="s">
        <v>9059</v>
      </c>
      <c r="K1837">
        <v>11207</v>
      </c>
      <c r="L1837" t="s">
        <v>9094</v>
      </c>
      <c r="M1837" t="s">
        <v>9096</v>
      </c>
      <c r="N1837" t="s">
        <v>9872</v>
      </c>
      <c r="O1837" t="s">
        <v>11129</v>
      </c>
      <c r="P1837" t="s">
        <v>11165</v>
      </c>
      <c r="Q1837" t="s">
        <v>11174</v>
      </c>
      <c r="R1837" t="s">
        <v>11180</v>
      </c>
      <c r="S1837" t="s">
        <v>9096</v>
      </c>
      <c r="T1837" t="s">
        <v>11183</v>
      </c>
      <c r="U1837" t="s">
        <v>11201</v>
      </c>
      <c r="V1837" t="s">
        <v>512</v>
      </c>
      <c r="W1837">
        <v>1250</v>
      </c>
      <c r="X1837" t="s">
        <v>11332</v>
      </c>
      <c r="Y1837" t="s">
        <v>11340</v>
      </c>
      <c r="Z1837" t="s">
        <v>12633</v>
      </c>
      <c r="AA1837" t="s">
        <v>15618</v>
      </c>
      <c r="AB1837" t="s">
        <v>17017</v>
      </c>
      <c r="AC1837">
        <v>6</v>
      </c>
      <c r="AD1837" t="s">
        <v>19566</v>
      </c>
      <c r="AE1837" t="s">
        <v>19582</v>
      </c>
      <c r="AF1837">
        <v>4</v>
      </c>
      <c r="AG1837">
        <v>1</v>
      </c>
      <c r="AH1837">
        <v>0</v>
      </c>
      <c r="AI1837">
        <v>72.06</v>
      </c>
      <c r="AL1837" t="s">
        <v>19614</v>
      </c>
      <c r="AM1837">
        <v>9000</v>
      </c>
      <c r="AN1837" t="s">
        <v>19824</v>
      </c>
      <c r="AP1837" t="s">
        <v>20309</v>
      </c>
      <c r="AQ1837" t="s">
        <v>20369</v>
      </c>
      <c r="AR1837" t="s">
        <v>20474</v>
      </c>
      <c r="AS1837">
        <v>12.6</v>
      </c>
      <c r="AT1837" t="s">
        <v>367</v>
      </c>
      <c r="AU1837" t="s">
        <v>95</v>
      </c>
      <c r="AV1837" t="s">
        <v>20733</v>
      </c>
    </row>
    <row r="1838" spans="1:48">
      <c r="A1838" s="1">
        <f>HYPERLINK("https://lsnyc.legalserver.org/matter/dynamic-profile/view/1900558","19-1900558")</f>
        <v>0</v>
      </c>
      <c r="B1838" t="s">
        <v>99</v>
      </c>
      <c r="C1838" t="s">
        <v>257</v>
      </c>
      <c r="D1838" t="s">
        <v>283</v>
      </c>
      <c r="E1838" t="s">
        <v>362</v>
      </c>
      <c r="F1838" t="s">
        <v>1231</v>
      </c>
      <c r="G1838" t="s">
        <v>4212</v>
      </c>
      <c r="H1838" t="s">
        <v>6690</v>
      </c>
      <c r="I1838" t="s">
        <v>8514</v>
      </c>
      <c r="J1838" t="s">
        <v>9065</v>
      </c>
      <c r="K1838">
        <v>10468</v>
      </c>
      <c r="L1838" t="s">
        <v>9094</v>
      </c>
      <c r="M1838" t="s">
        <v>9095</v>
      </c>
      <c r="N1838" t="s">
        <v>9171</v>
      </c>
      <c r="O1838" t="s">
        <v>9121</v>
      </c>
      <c r="P1838" t="s">
        <v>11164</v>
      </c>
      <c r="Q1838" t="s">
        <v>11172</v>
      </c>
      <c r="R1838" t="s">
        <v>11180</v>
      </c>
      <c r="S1838" t="s">
        <v>9096</v>
      </c>
      <c r="T1838" t="s">
        <v>11183</v>
      </c>
      <c r="V1838" t="s">
        <v>283</v>
      </c>
      <c r="W1838">
        <v>360</v>
      </c>
      <c r="X1838" t="s">
        <v>11333</v>
      </c>
      <c r="Y1838" t="s">
        <v>11346</v>
      </c>
      <c r="Z1838" t="s">
        <v>12634</v>
      </c>
      <c r="AB1838" t="s">
        <v>17018</v>
      </c>
      <c r="AC1838">
        <v>51</v>
      </c>
      <c r="AD1838" t="s">
        <v>19566</v>
      </c>
      <c r="AE1838" t="s">
        <v>19580</v>
      </c>
      <c r="AF1838">
        <v>2</v>
      </c>
      <c r="AG1838">
        <v>1</v>
      </c>
      <c r="AH1838">
        <v>0</v>
      </c>
      <c r="AI1838">
        <v>72.06</v>
      </c>
      <c r="AL1838" t="s">
        <v>19615</v>
      </c>
      <c r="AM1838">
        <v>9000</v>
      </c>
      <c r="AS1838">
        <v>1.3</v>
      </c>
      <c r="AT1838" t="s">
        <v>362</v>
      </c>
      <c r="AU1838" t="s">
        <v>99</v>
      </c>
      <c r="AV1838" t="s">
        <v>20733</v>
      </c>
    </row>
    <row r="1839" spans="1:48">
      <c r="A1839" s="1">
        <f>HYPERLINK("https://lsnyc.legalserver.org/matter/dynamic-profile/view/1898303","19-1898303")</f>
        <v>0</v>
      </c>
      <c r="B1839" t="s">
        <v>101</v>
      </c>
      <c r="C1839" t="s">
        <v>256</v>
      </c>
      <c r="D1839" t="s">
        <v>596</v>
      </c>
      <c r="F1839" t="s">
        <v>1487</v>
      </c>
      <c r="G1839" t="s">
        <v>4213</v>
      </c>
      <c r="H1839" t="s">
        <v>6383</v>
      </c>
      <c r="I1839" t="s">
        <v>8515</v>
      </c>
      <c r="J1839" t="s">
        <v>9065</v>
      </c>
      <c r="K1839">
        <v>10467</v>
      </c>
      <c r="L1839" t="s">
        <v>9094</v>
      </c>
      <c r="M1839" t="s">
        <v>9094</v>
      </c>
      <c r="O1839" t="s">
        <v>11134</v>
      </c>
      <c r="P1839" t="s">
        <v>11168</v>
      </c>
      <c r="R1839" t="s">
        <v>11180</v>
      </c>
      <c r="S1839" t="s">
        <v>9094</v>
      </c>
      <c r="T1839" t="s">
        <v>11183</v>
      </c>
      <c r="V1839" t="s">
        <v>11218</v>
      </c>
      <c r="W1839">
        <v>542.6900000000001</v>
      </c>
      <c r="X1839" t="s">
        <v>11333</v>
      </c>
      <c r="Y1839" t="s">
        <v>11346</v>
      </c>
      <c r="Z1839" t="s">
        <v>12635</v>
      </c>
      <c r="AB1839" t="s">
        <v>17019</v>
      </c>
      <c r="AC1839">
        <v>60</v>
      </c>
      <c r="AD1839" t="s">
        <v>19566</v>
      </c>
      <c r="AE1839" t="s">
        <v>19587</v>
      </c>
      <c r="AF1839">
        <v>43</v>
      </c>
      <c r="AG1839">
        <v>1</v>
      </c>
      <c r="AH1839">
        <v>0</v>
      </c>
      <c r="AI1839">
        <v>72.06</v>
      </c>
      <c r="AL1839" t="s">
        <v>19614</v>
      </c>
      <c r="AM1839">
        <v>9000</v>
      </c>
      <c r="AS1839">
        <v>0</v>
      </c>
      <c r="AU1839" t="s">
        <v>20642</v>
      </c>
      <c r="AV1839" t="s">
        <v>20733</v>
      </c>
    </row>
    <row r="1840" spans="1:48">
      <c r="A1840" s="1">
        <f>HYPERLINK("https://lsnyc.legalserver.org/matter/dynamic-profile/view/1901484","19-1901484")</f>
        <v>0</v>
      </c>
      <c r="B1840" t="s">
        <v>112</v>
      </c>
      <c r="C1840" t="s">
        <v>256</v>
      </c>
      <c r="D1840" t="s">
        <v>559</v>
      </c>
      <c r="F1840" t="s">
        <v>1702</v>
      </c>
      <c r="G1840" t="s">
        <v>3427</v>
      </c>
      <c r="H1840" t="s">
        <v>6691</v>
      </c>
      <c r="I1840" t="s">
        <v>8212</v>
      </c>
      <c r="J1840" t="s">
        <v>9065</v>
      </c>
      <c r="K1840">
        <v>10460</v>
      </c>
      <c r="L1840" t="s">
        <v>9094</v>
      </c>
      <c r="M1840" t="s">
        <v>9095</v>
      </c>
      <c r="N1840" t="s">
        <v>9873</v>
      </c>
      <c r="O1840" t="s">
        <v>11130</v>
      </c>
      <c r="P1840" t="s">
        <v>11165</v>
      </c>
      <c r="R1840" t="s">
        <v>11180</v>
      </c>
      <c r="S1840" t="s">
        <v>9096</v>
      </c>
      <c r="T1840" t="s">
        <v>11183</v>
      </c>
      <c r="V1840" t="s">
        <v>11218</v>
      </c>
      <c r="W1840">
        <v>219</v>
      </c>
      <c r="X1840" t="s">
        <v>11333</v>
      </c>
      <c r="Y1840" t="s">
        <v>11340</v>
      </c>
      <c r="Z1840" t="s">
        <v>12636</v>
      </c>
      <c r="AA1840" t="s">
        <v>15619</v>
      </c>
      <c r="AB1840" t="s">
        <v>17020</v>
      </c>
      <c r="AC1840">
        <v>52</v>
      </c>
      <c r="AD1840" t="s">
        <v>19575</v>
      </c>
      <c r="AE1840" t="s">
        <v>11157</v>
      </c>
      <c r="AF1840">
        <v>3</v>
      </c>
      <c r="AG1840">
        <v>1</v>
      </c>
      <c r="AH1840">
        <v>0</v>
      </c>
      <c r="AI1840">
        <v>72.06</v>
      </c>
      <c r="AL1840" t="s">
        <v>19614</v>
      </c>
      <c r="AM1840">
        <v>9000</v>
      </c>
      <c r="AS1840">
        <v>11.5</v>
      </c>
      <c r="AT1840" t="s">
        <v>476</v>
      </c>
      <c r="AU1840" t="s">
        <v>20644</v>
      </c>
      <c r="AV1840" t="s">
        <v>20733</v>
      </c>
    </row>
    <row r="1841" spans="1:48">
      <c r="A1841" s="1">
        <f>HYPERLINK("https://lsnyc.legalserver.org/matter/dynamic-profile/view/1899848","19-1899848")</f>
        <v>0</v>
      </c>
      <c r="B1841" t="s">
        <v>113</v>
      </c>
      <c r="C1841" t="s">
        <v>256</v>
      </c>
      <c r="D1841" t="s">
        <v>411</v>
      </c>
      <c r="F1841" t="s">
        <v>1231</v>
      </c>
      <c r="G1841" t="s">
        <v>4214</v>
      </c>
      <c r="H1841" t="s">
        <v>5864</v>
      </c>
      <c r="I1841" t="s">
        <v>8160</v>
      </c>
      <c r="J1841" t="s">
        <v>9065</v>
      </c>
      <c r="K1841">
        <v>10460</v>
      </c>
      <c r="L1841" t="s">
        <v>9094</v>
      </c>
      <c r="M1841" t="s">
        <v>9095</v>
      </c>
      <c r="N1841" t="s">
        <v>9171</v>
      </c>
      <c r="O1841" t="s">
        <v>9121</v>
      </c>
      <c r="P1841" t="s">
        <v>11166</v>
      </c>
      <c r="R1841" t="s">
        <v>11180</v>
      </c>
      <c r="S1841" t="s">
        <v>9094</v>
      </c>
      <c r="T1841" t="s">
        <v>11183</v>
      </c>
      <c r="V1841" t="s">
        <v>11218</v>
      </c>
      <c r="W1841">
        <v>326</v>
      </c>
      <c r="X1841" t="s">
        <v>11333</v>
      </c>
      <c r="Y1841" t="s">
        <v>11346</v>
      </c>
      <c r="Z1841" t="s">
        <v>12637</v>
      </c>
      <c r="AB1841" t="s">
        <v>17021</v>
      </c>
      <c r="AC1841">
        <v>168</v>
      </c>
      <c r="AD1841" t="s">
        <v>19566</v>
      </c>
      <c r="AE1841" t="s">
        <v>19585</v>
      </c>
      <c r="AF1841">
        <v>5</v>
      </c>
      <c r="AG1841">
        <v>1</v>
      </c>
      <c r="AH1841">
        <v>0</v>
      </c>
      <c r="AI1841">
        <v>72.06</v>
      </c>
      <c r="AL1841" t="s">
        <v>19615</v>
      </c>
      <c r="AM1841">
        <v>9000</v>
      </c>
      <c r="AS1841">
        <v>0</v>
      </c>
      <c r="AU1841" t="s">
        <v>20647</v>
      </c>
      <c r="AV1841" t="s">
        <v>20733</v>
      </c>
    </row>
    <row r="1842" spans="1:48">
      <c r="A1842" s="1">
        <f>HYPERLINK("https://lsnyc.legalserver.org/matter/dynamic-profile/view/1900009","19-1900009")</f>
        <v>0</v>
      </c>
      <c r="B1842" t="s">
        <v>113</v>
      </c>
      <c r="C1842" t="s">
        <v>256</v>
      </c>
      <c r="D1842" t="s">
        <v>293</v>
      </c>
      <c r="F1842" t="s">
        <v>2022</v>
      </c>
      <c r="G1842" t="s">
        <v>4215</v>
      </c>
      <c r="H1842" t="s">
        <v>5864</v>
      </c>
      <c r="I1842" t="s">
        <v>8516</v>
      </c>
      <c r="J1842" t="s">
        <v>9065</v>
      </c>
      <c r="K1842">
        <v>10460</v>
      </c>
      <c r="L1842" t="s">
        <v>9094</v>
      </c>
      <c r="M1842" t="s">
        <v>9095</v>
      </c>
      <c r="O1842" t="s">
        <v>9121</v>
      </c>
      <c r="P1842" t="s">
        <v>11166</v>
      </c>
      <c r="R1842" t="s">
        <v>11180</v>
      </c>
      <c r="S1842" t="s">
        <v>9094</v>
      </c>
      <c r="T1842" t="s">
        <v>11183</v>
      </c>
      <c r="V1842" t="s">
        <v>11218</v>
      </c>
      <c r="W1842">
        <v>990</v>
      </c>
      <c r="X1842" t="s">
        <v>11333</v>
      </c>
      <c r="Y1842" t="s">
        <v>11346</v>
      </c>
      <c r="Z1842" t="s">
        <v>12638</v>
      </c>
      <c r="AB1842" t="s">
        <v>17022</v>
      </c>
      <c r="AC1842">
        <v>168</v>
      </c>
      <c r="AD1842" t="s">
        <v>19566</v>
      </c>
      <c r="AE1842" t="s">
        <v>19580</v>
      </c>
      <c r="AF1842">
        <v>11</v>
      </c>
      <c r="AG1842">
        <v>1</v>
      </c>
      <c r="AH1842">
        <v>0</v>
      </c>
      <c r="AI1842">
        <v>72.06</v>
      </c>
      <c r="AL1842" t="s">
        <v>19614</v>
      </c>
      <c r="AM1842">
        <v>9000</v>
      </c>
      <c r="AS1842">
        <v>0</v>
      </c>
      <c r="AU1842" t="s">
        <v>220</v>
      </c>
      <c r="AV1842" t="s">
        <v>20733</v>
      </c>
    </row>
    <row r="1843" spans="1:48">
      <c r="A1843" s="1">
        <f>HYPERLINK("https://lsnyc.legalserver.org/matter/dynamic-profile/view/1897876","19-1897876")</f>
        <v>0</v>
      </c>
      <c r="B1843" t="s">
        <v>113</v>
      </c>
      <c r="C1843" t="s">
        <v>256</v>
      </c>
      <c r="D1843" t="s">
        <v>499</v>
      </c>
      <c r="F1843" t="s">
        <v>1822</v>
      </c>
      <c r="G1843" t="s">
        <v>3177</v>
      </c>
      <c r="H1843" t="s">
        <v>5864</v>
      </c>
      <c r="I1843" t="s">
        <v>8164</v>
      </c>
      <c r="J1843" t="s">
        <v>9065</v>
      </c>
      <c r="K1843">
        <v>10460</v>
      </c>
      <c r="L1843" t="s">
        <v>9094</v>
      </c>
      <c r="M1843" t="s">
        <v>9094</v>
      </c>
      <c r="N1843" t="s">
        <v>9874</v>
      </c>
      <c r="O1843" t="s">
        <v>11129</v>
      </c>
      <c r="P1843" t="s">
        <v>11165</v>
      </c>
      <c r="R1843" t="s">
        <v>11180</v>
      </c>
      <c r="S1843" t="s">
        <v>9096</v>
      </c>
      <c r="T1843" t="s">
        <v>11183</v>
      </c>
      <c r="V1843" t="s">
        <v>470</v>
      </c>
      <c r="W1843">
        <v>1789</v>
      </c>
      <c r="X1843" t="s">
        <v>11333</v>
      </c>
      <c r="Y1843" t="s">
        <v>11340</v>
      </c>
      <c r="Z1843" t="s">
        <v>12270</v>
      </c>
      <c r="AA1843" t="s">
        <v>15620</v>
      </c>
      <c r="AB1843" t="s">
        <v>16693</v>
      </c>
      <c r="AC1843">
        <v>168</v>
      </c>
      <c r="AD1843" t="s">
        <v>19566</v>
      </c>
      <c r="AE1843" t="s">
        <v>19580</v>
      </c>
      <c r="AF1843">
        <v>13</v>
      </c>
      <c r="AG1843">
        <v>1</v>
      </c>
      <c r="AH1843">
        <v>0</v>
      </c>
      <c r="AI1843">
        <v>72.06</v>
      </c>
      <c r="AL1843" t="s">
        <v>19614</v>
      </c>
      <c r="AM1843">
        <v>9000</v>
      </c>
      <c r="AS1843">
        <v>9.85</v>
      </c>
      <c r="AT1843" t="s">
        <v>1130</v>
      </c>
      <c r="AU1843" t="s">
        <v>163</v>
      </c>
      <c r="AV1843" t="s">
        <v>20734</v>
      </c>
    </row>
    <row r="1844" spans="1:48">
      <c r="A1844" s="1">
        <f>HYPERLINK("https://lsnyc.legalserver.org/matter/dynamic-profile/view/1909220","19-1909220")</f>
        <v>0</v>
      </c>
      <c r="B1844" t="s">
        <v>118</v>
      </c>
      <c r="C1844" t="s">
        <v>256</v>
      </c>
      <c r="D1844" t="s">
        <v>472</v>
      </c>
      <c r="F1844" t="s">
        <v>2023</v>
      </c>
      <c r="G1844" t="s">
        <v>4216</v>
      </c>
      <c r="H1844" t="s">
        <v>6692</v>
      </c>
      <c r="I1844">
        <v>5</v>
      </c>
      <c r="J1844" t="s">
        <v>9065</v>
      </c>
      <c r="K1844">
        <v>10452</v>
      </c>
      <c r="L1844" t="s">
        <v>9094</v>
      </c>
      <c r="M1844" t="s">
        <v>9095</v>
      </c>
      <c r="N1844" t="s">
        <v>9875</v>
      </c>
      <c r="O1844" t="s">
        <v>11129</v>
      </c>
      <c r="P1844" t="s">
        <v>11164</v>
      </c>
      <c r="R1844" t="s">
        <v>11180</v>
      </c>
      <c r="S1844" t="s">
        <v>9096</v>
      </c>
      <c r="T1844" t="s">
        <v>11183</v>
      </c>
      <c r="V1844" t="s">
        <v>292</v>
      </c>
      <c r="W1844">
        <v>938</v>
      </c>
      <c r="X1844" t="s">
        <v>11333</v>
      </c>
      <c r="Y1844" t="s">
        <v>11352</v>
      </c>
      <c r="Z1844" t="s">
        <v>12639</v>
      </c>
      <c r="AB1844" t="s">
        <v>17023</v>
      </c>
      <c r="AC1844">
        <v>30</v>
      </c>
      <c r="AF1844">
        <v>34</v>
      </c>
      <c r="AG1844">
        <v>1</v>
      </c>
      <c r="AH1844">
        <v>0</v>
      </c>
      <c r="AI1844">
        <v>72.06</v>
      </c>
      <c r="AL1844" t="s">
        <v>19615</v>
      </c>
      <c r="AM1844">
        <v>9000</v>
      </c>
      <c r="AS1844">
        <v>1</v>
      </c>
      <c r="AT1844" t="s">
        <v>472</v>
      </c>
      <c r="AU1844" t="s">
        <v>20640</v>
      </c>
      <c r="AV1844" t="s">
        <v>20733</v>
      </c>
    </row>
    <row r="1845" spans="1:48">
      <c r="A1845" s="1">
        <f>HYPERLINK("https://lsnyc.legalserver.org/matter/dynamic-profile/view/1897715","19-1897715")</f>
        <v>0</v>
      </c>
      <c r="B1845" t="s">
        <v>124</v>
      </c>
      <c r="C1845" t="s">
        <v>257</v>
      </c>
      <c r="D1845" t="s">
        <v>261</v>
      </c>
      <c r="E1845" t="s">
        <v>307</v>
      </c>
      <c r="F1845" t="s">
        <v>2024</v>
      </c>
      <c r="G1845" t="s">
        <v>4217</v>
      </c>
      <c r="H1845" t="s">
        <v>6693</v>
      </c>
      <c r="I1845" t="s">
        <v>8129</v>
      </c>
      <c r="J1845" t="s">
        <v>9066</v>
      </c>
      <c r="K1845">
        <v>10306</v>
      </c>
      <c r="L1845" t="s">
        <v>9096</v>
      </c>
      <c r="M1845" t="s">
        <v>9095</v>
      </c>
      <c r="N1845" t="s">
        <v>9876</v>
      </c>
      <c r="O1845" t="s">
        <v>11128</v>
      </c>
      <c r="P1845" t="s">
        <v>11165</v>
      </c>
      <c r="Q1845" t="s">
        <v>11174</v>
      </c>
      <c r="R1845" t="s">
        <v>11180</v>
      </c>
      <c r="S1845" t="s">
        <v>9096</v>
      </c>
      <c r="T1845" t="s">
        <v>11183</v>
      </c>
      <c r="U1845" t="s">
        <v>11201</v>
      </c>
      <c r="W1845">
        <v>600</v>
      </c>
      <c r="X1845" t="s">
        <v>11334</v>
      </c>
      <c r="Y1845" t="s">
        <v>11338</v>
      </c>
      <c r="Z1845" t="s">
        <v>11595</v>
      </c>
      <c r="AB1845" t="s">
        <v>17024</v>
      </c>
      <c r="AC1845">
        <v>0</v>
      </c>
      <c r="AD1845" t="s">
        <v>19565</v>
      </c>
      <c r="AE1845" t="s">
        <v>9144</v>
      </c>
      <c r="AF1845">
        <v>-1</v>
      </c>
      <c r="AG1845">
        <v>1</v>
      </c>
      <c r="AH1845">
        <v>0</v>
      </c>
      <c r="AI1845">
        <v>72.06</v>
      </c>
      <c r="AL1845" t="s">
        <v>19614</v>
      </c>
      <c r="AM1845">
        <v>9000</v>
      </c>
      <c r="AO1845" t="s">
        <v>20303</v>
      </c>
      <c r="AP1845" t="s">
        <v>11157</v>
      </c>
      <c r="AS1845">
        <v>36.51</v>
      </c>
      <c r="AT1845" t="s">
        <v>320</v>
      </c>
      <c r="AU1845" t="s">
        <v>20653</v>
      </c>
      <c r="AV1845" t="s">
        <v>20733</v>
      </c>
    </row>
    <row r="1846" spans="1:48">
      <c r="A1846" s="1">
        <f>HYPERLINK("https://lsnyc.legalserver.org/matter/dynamic-profile/view/1906125","19-1906125")</f>
        <v>0</v>
      </c>
      <c r="B1846" t="s">
        <v>138</v>
      </c>
      <c r="C1846" t="s">
        <v>256</v>
      </c>
      <c r="D1846" t="s">
        <v>330</v>
      </c>
      <c r="F1846" t="s">
        <v>1940</v>
      </c>
      <c r="G1846" t="s">
        <v>4218</v>
      </c>
      <c r="H1846" t="s">
        <v>5936</v>
      </c>
      <c r="I1846" t="s">
        <v>8170</v>
      </c>
      <c r="J1846" t="s">
        <v>9067</v>
      </c>
      <c r="K1846">
        <v>10040</v>
      </c>
      <c r="L1846" t="s">
        <v>9094</v>
      </c>
      <c r="M1846" t="s">
        <v>9095</v>
      </c>
      <c r="N1846" t="s">
        <v>9877</v>
      </c>
      <c r="O1846" t="s">
        <v>11129</v>
      </c>
      <c r="P1846" t="s">
        <v>11165</v>
      </c>
      <c r="R1846" t="s">
        <v>11180</v>
      </c>
      <c r="S1846" t="s">
        <v>9096</v>
      </c>
      <c r="T1846" t="s">
        <v>11183</v>
      </c>
      <c r="U1846" t="s">
        <v>11201</v>
      </c>
      <c r="V1846" t="s">
        <v>330</v>
      </c>
      <c r="W1846">
        <v>1143.13</v>
      </c>
      <c r="X1846" t="s">
        <v>11335</v>
      </c>
      <c r="Y1846" t="s">
        <v>11340</v>
      </c>
      <c r="Z1846" t="s">
        <v>12640</v>
      </c>
      <c r="AB1846" t="s">
        <v>17025</v>
      </c>
      <c r="AC1846">
        <v>42</v>
      </c>
      <c r="AD1846" t="s">
        <v>19566</v>
      </c>
      <c r="AE1846" t="s">
        <v>19587</v>
      </c>
      <c r="AF1846">
        <v>29</v>
      </c>
      <c r="AG1846">
        <v>1</v>
      </c>
      <c r="AH1846">
        <v>0</v>
      </c>
      <c r="AI1846">
        <v>72.06</v>
      </c>
      <c r="AL1846" t="s">
        <v>19614</v>
      </c>
      <c r="AM1846">
        <v>9000</v>
      </c>
      <c r="AS1846">
        <v>19.7</v>
      </c>
      <c r="AT1846" t="s">
        <v>395</v>
      </c>
      <c r="AU1846" t="s">
        <v>130</v>
      </c>
      <c r="AV1846" t="s">
        <v>20733</v>
      </c>
    </row>
    <row r="1847" spans="1:48">
      <c r="A1847" s="1">
        <f>HYPERLINK("https://lsnyc.legalserver.org/matter/dynamic-profile/view/1893534","19-1893534")</f>
        <v>0</v>
      </c>
      <c r="B1847" t="s">
        <v>138</v>
      </c>
      <c r="C1847" t="s">
        <v>256</v>
      </c>
      <c r="D1847" t="s">
        <v>573</v>
      </c>
      <c r="F1847" t="s">
        <v>1474</v>
      </c>
      <c r="G1847" t="s">
        <v>4219</v>
      </c>
      <c r="H1847" t="s">
        <v>6000</v>
      </c>
      <c r="I1847">
        <v>2</v>
      </c>
      <c r="J1847" t="s">
        <v>9067</v>
      </c>
      <c r="K1847">
        <v>10034</v>
      </c>
      <c r="L1847" t="s">
        <v>9094</v>
      </c>
      <c r="M1847" t="s">
        <v>9094</v>
      </c>
      <c r="O1847" t="s">
        <v>11129</v>
      </c>
      <c r="P1847" t="s">
        <v>11167</v>
      </c>
      <c r="R1847" t="s">
        <v>11180</v>
      </c>
      <c r="S1847" t="s">
        <v>9096</v>
      </c>
      <c r="T1847" t="s">
        <v>11183</v>
      </c>
      <c r="V1847" t="s">
        <v>573</v>
      </c>
      <c r="W1847">
        <v>553</v>
      </c>
      <c r="X1847" t="s">
        <v>11335</v>
      </c>
      <c r="Y1847" t="s">
        <v>11338</v>
      </c>
      <c r="Z1847" t="s">
        <v>12641</v>
      </c>
      <c r="AB1847" t="s">
        <v>17026</v>
      </c>
      <c r="AC1847">
        <v>25</v>
      </c>
      <c r="AD1847" t="s">
        <v>19566</v>
      </c>
      <c r="AE1847" t="s">
        <v>19587</v>
      </c>
      <c r="AF1847">
        <v>42</v>
      </c>
      <c r="AG1847">
        <v>1</v>
      </c>
      <c r="AH1847">
        <v>0</v>
      </c>
      <c r="AI1847">
        <v>72.06</v>
      </c>
      <c r="AL1847" t="s">
        <v>19615</v>
      </c>
      <c r="AM1847">
        <v>9000</v>
      </c>
      <c r="AS1847">
        <v>1.3</v>
      </c>
      <c r="AT1847" t="s">
        <v>442</v>
      </c>
      <c r="AU1847" t="s">
        <v>130</v>
      </c>
      <c r="AV1847" t="s">
        <v>20733</v>
      </c>
    </row>
    <row r="1848" spans="1:48">
      <c r="A1848" s="1">
        <f>HYPERLINK("https://lsnyc.legalserver.org/matter/dynamic-profile/view/1901429","19-1901429")</f>
        <v>0</v>
      </c>
      <c r="B1848" t="s">
        <v>137</v>
      </c>
      <c r="C1848" t="s">
        <v>256</v>
      </c>
      <c r="D1848" t="s">
        <v>559</v>
      </c>
      <c r="F1848" t="s">
        <v>1404</v>
      </c>
      <c r="G1848" t="s">
        <v>4220</v>
      </c>
      <c r="H1848" t="s">
        <v>6694</v>
      </c>
      <c r="I1848">
        <v>35</v>
      </c>
      <c r="J1848" t="s">
        <v>9067</v>
      </c>
      <c r="K1848">
        <v>10034</v>
      </c>
      <c r="L1848" t="s">
        <v>9094</v>
      </c>
      <c r="M1848" t="s">
        <v>9095</v>
      </c>
      <c r="O1848" t="s">
        <v>11136</v>
      </c>
      <c r="P1848" t="s">
        <v>11164</v>
      </c>
      <c r="R1848" t="s">
        <v>11180</v>
      </c>
      <c r="S1848" t="s">
        <v>9096</v>
      </c>
      <c r="T1848" t="s">
        <v>11183</v>
      </c>
      <c r="V1848" t="s">
        <v>559</v>
      </c>
      <c r="W1848">
        <v>0</v>
      </c>
      <c r="X1848" t="s">
        <v>11335</v>
      </c>
      <c r="Y1848" t="s">
        <v>11338</v>
      </c>
      <c r="Z1848" t="s">
        <v>12642</v>
      </c>
      <c r="AB1848" t="s">
        <v>17027</v>
      </c>
      <c r="AC1848">
        <v>29</v>
      </c>
      <c r="AE1848" t="s">
        <v>19580</v>
      </c>
      <c r="AF1848">
        <v>38</v>
      </c>
      <c r="AG1848">
        <v>1</v>
      </c>
      <c r="AH1848">
        <v>0</v>
      </c>
      <c r="AI1848">
        <v>72.06</v>
      </c>
      <c r="AL1848" t="s">
        <v>19615</v>
      </c>
      <c r="AM1848">
        <v>9000</v>
      </c>
      <c r="AS1848">
        <v>3.6</v>
      </c>
      <c r="AT1848" t="s">
        <v>396</v>
      </c>
      <c r="AU1848" t="s">
        <v>130</v>
      </c>
      <c r="AV1848" t="s">
        <v>20733</v>
      </c>
    </row>
    <row r="1849" spans="1:48">
      <c r="A1849" s="1">
        <f>HYPERLINK("https://lsnyc.legalserver.org/matter/dynamic-profile/view/1909324","19-1909324")</f>
        <v>0</v>
      </c>
      <c r="B1849" t="s">
        <v>140</v>
      </c>
      <c r="C1849" t="s">
        <v>256</v>
      </c>
      <c r="D1849" t="s">
        <v>297</v>
      </c>
      <c r="F1849" t="s">
        <v>2025</v>
      </c>
      <c r="G1849" t="s">
        <v>4221</v>
      </c>
      <c r="H1849" t="s">
        <v>6695</v>
      </c>
      <c r="I1849">
        <v>31</v>
      </c>
      <c r="J1849" t="s">
        <v>9067</v>
      </c>
      <c r="K1849">
        <v>10033</v>
      </c>
      <c r="L1849" t="s">
        <v>9094</v>
      </c>
      <c r="M1849" t="s">
        <v>9095</v>
      </c>
      <c r="O1849" t="s">
        <v>11128</v>
      </c>
      <c r="P1849" t="s">
        <v>11169</v>
      </c>
      <c r="R1849" t="s">
        <v>11180</v>
      </c>
      <c r="S1849" t="s">
        <v>9096</v>
      </c>
      <c r="T1849" t="s">
        <v>11183</v>
      </c>
      <c r="V1849" t="s">
        <v>297</v>
      </c>
      <c r="W1849">
        <v>792.47</v>
      </c>
      <c r="X1849" t="s">
        <v>11335</v>
      </c>
      <c r="Y1849" t="s">
        <v>11350</v>
      </c>
      <c r="Z1849" t="s">
        <v>12643</v>
      </c>
      <c r="AB1849" t="s">
        <v>17028</v>
      </c>
      <c r="AC1849">
        <v>38</v>
      </c>
      <c r="AD1849" t="s">
        <v>19566</v>
      </c>
      <c r="AE1849" t="s">
        <v>19587</v>
      </c>
      <c r="AF1849">
        <v>16</v>
      </c>
      <c r="AG1849">
        <v>1</v>
      </c>
      <c r="AH1849">
        <v>0</v>
      </c>
      <c r="AI1849">
        <v>72.06</v>
      </c>
      <c r="AL1849" t="s">
        <v>19615</v>
      </c>
      <c r="AM1849">
        <v>9000</v>
      </c>
      <c r="AS1849">
        <v>13.3</v>
      </c>
      <c r="AT1849" t="s">
        <v>476</v>
      </c>
      <c r="AU1849" t="s">
        <v>130</v>
      </c>
      <c r="AV1849" t="s">
        <v>20733</v>
      </c>
    </row>
    <row r="1850" spans="1:48">
      <c r="A1850" s="1">
        <f>HYPERLINK("https://lsnyc.legalserver.org/matter/dynamic-profile/view/1892328","19-1892328")</f>
        <v>0</v>
      </c>
      <c r="B1850" t="s">
        <v>189</v>
      </c>
      <c r="C1850" t="s">
        <v>257</v>
      </c>
      <c r="D1850" t="s">
        <v>635</v>
      </c>
      <c r="E1850" t="s">
        <v>493</v>
      </c>
      <c r="F1850" t="s">
        <v>1365</v>
      </c>
      <c r="G1850" t="s">
        <v>4222</v>
      </c>
      <c r="H1850" t="s">
        <v>6696</v>
      </c>
      <c r="I1850" t="s">
        <v>8112</v>
      </c>
      <c r="J1850" t="s">
        <v>9065</v>
      </c>
      <c r="K1850">
        <v>10457</v>
      </c>
      <c r="L1850" t="s">
        <v>9094</v>
      </c>
      <c r="M1850" t="s">
        <v>9094</v>
      </c>
      <c r="N1850" t="s">
        <v>9144</v>
      </c>
      <c r="O1850" t="s">
        <v>11133</v>
      </c>
      <c r="P1850" t="s">
        <v>11166</v>
      </c>
      <c r="Q1850" t="s">
        <v>11177</v>
      </c>
      <c r="R1850" t="s">
        <v>11180</v>
      </c>
      <c r="S1850" t="s">
        <v>9096</v>
      </c>
      <c r="T1850" t="s">
        <v>11189</v>
      </c>
      <c r="V1850" t="s">
        <v>512</v>
      </c>
      <c r="W1850">
        <v>1518.75</v>
      </c>
      <c r="X1850" t="s">
        <v>11333</v>
      </c>
      <c r="Y1850" t="s">
        <v>11336</v>
      </c>
      <c r="Z1850" t="s">
        <v>12644</v>
      </c>
      <c r="AA1850" t="s">
        <v>15621</v>
      </c>
      <c r="AB1850" t="s">
        <v>17029</v>
      </c>
      <c r="AC1850">
        <v>38</v>
      </c>
      <c r="AD1850" t="s">
        <v>19566</v>
      </c>
      <c r="AE1850" t="s">
        <v>9144</v>
      </c>
      <c r="AF1850">
        <v>2</v>
      </c>
      <c r="AG1850">
        <v>2</v>
      </c>
      <c r="AH1850">
        <v>0</v>
      </c>
      <c r="AI1850">
        <v>72.09999999999999</v>
      </c>
      <c r="AL1850" t="s">
        <v>19614</v>
      </c>
      <c r="AM1850">
        <v>12192</v>
      </c>
      <c r="AS1850">
        <v>7.5</v>
      </c>
      <c r="AT1850" t="s">
        <v>493</v>
      </c>
      <c r="AU1850" t="s">
        <v>20684</v>
      </c>
    </row>
    <row r="1851" spans="1:48">
      <c r="A1851" s="1">
        <f>HYPERLINK("https://lsnyc.legalserver.org/matter/dynamic-profile/view/1895261","19-1895261")</f>
        <v>0</v>
      </c>
      <c r="B1851" t="s">
        <v>52</v>
      </c>
      <c r="C1851" t="s">
        <v>257</v>
      </c>
      <c r="D1851" t="s">
        <v>264</v>
      </c>
      <c r="E1851" t="s">
        <v>370</v>
      </c>
      <c r="F1851" t="s">
        <v>1628</v>
      </c>
      <c r="G1851" t="s">
        <v>3344</v>
      </c>
      <c r="H1851" t="s">
        <v>6697</v>
      </c>
      <c r="I1851" t="s">
        <v>8109</v>
      </c>
      <c r="J1851" t="s">
        <v>9038</v>
      </c>
      <c r="K1851">
        <v>11691</v>
      </c>
      <c r="L1851" t="s">
        <v>9094</v>
      </c>
      <c r="M1851" t="s">
        <v>9094</v>
      </c>
      <c r="O1851" t="s">
        <v>9121</v>
      </c>
      <c r="P1851" t="s">
        <v>11164</v>
      </c>
      <c r="Q1851" t="s">
        <v>11172</v>
      </c>
      <c r="R1851" t="s">
        <v>11180</v>
      </c>
      <c r="S1851" t="s">
        <v>9096</v>
      </c>
      <c r="T1851" t="s">
        <v>11183</v>
      </c>
      <c r="U1851" t="s">
        <v>11201</v>
      </c>
      <c r="V1851" t="s">
        <v>278</v>
      </c>
      <c r="W1851">
        <v>1068</v>
      </c>
      <c r="X1851" t="s">
        <v>11331</v>
      </c>
      <c r="Y1851" t="s">
        <v>11339</v>
      </c>
      <c r="Z1851" t="s">
        <v>12645</v>
      </c>
      <c r="AA1851" t="s">
        <v>15622</v>
      </c>
      <c r="AB1851" t="s">
        <v>17030</v>
      </c>
      <c r="AC1851">
        <v>917</v>
      </c>
      <c r="AD1851" t="s">
        <v>19566</v>
      </c>
      <c r="AE1851" t="s">
        <v>11157</v>
      </c>
      <c r="AF1851">
        <v>5</v>
      </c>
      <c r="AG1851">
        <v>1</v>
      </c>
      <c r="AH1851">
        <v>0</v>
      </c>
      <c r="AI1851">
        <v>72.15000000000001</v>
      </c>
      <c r="AL1851" t="s">
        <v>19614</v>
      </c>
      <c r="AM1851">
        <v>9012</v>
      </c>
      <c r="AS1851">
        <v>1.05</v>
      </c>
      <c r="AT1851" t="s">
        <v>370</v>
      </c>
      <c r="AU1851" t="s">
        <v>52</v>
      </c>
      <c r="AV1851" t="s">
        <v>20733</v>
      </c>
    </row>
    <row r="1852" spans="1:48">
      <c r="A1852" s="1">
        <f>HYPERLINK("https://lsnyc.legalserver.org/matter/dynamic-profile/view/1905375","19-1905375")</f>
        <v>0</v>
      </c>
      <c r="B1852" t="s">
        <v>72</v>
      </c>
      <c r="C1852" t="s">
        <v>257</v>
      </c>
      <c r="D1852" t="s">
        <v>621</v>
      </c>
      <c r="E1852" t="s">
        <v>864</v>
      </c>
      <c r="F1852" t="s">
        <v>1450</v>
      </c>
      <c r="G1852" t="s">
        <v>3502</v>
      </c>
      <c r="H1852" t="s">
        <v>6698</v>
      </c>
      <c r="I1852" t="s">
        <v>8142</v>
      </c>
      <c r="J1852" t="s">
        <v>9059</v>
      </c>
      <c r="K1852">
        <v>11233</v>
      </c>
      <c r="L1852" t="s">
        <v>9094</v>
      </c>
      <c r="M1852" t="s">
        <v>9095</v>
      </c>
      <c r="N1852" t="s">
        <v>9154</v>
      </c>
      <c r="O1852" t="s">
        <v>9121</v>
      </c>
      <c r="P1852" t="s">
        <v>11164</v>
      </c>
      <c r="Q1852" t="s">
        <v>11172</v>
      </c>
      <c r="R1852" t="s">
        <v>11180</v>
      </c>
      <c r="S1852" t="s">
        <v>9096</v>
      </c>
      <c r="T1852" t="s">
        <v>11183</v>
      </c>
      <c r="U1852" t="s">
        <v>11201</v>
      </c>
      <c r="V1852" t="s">
        <v>621</v>
      </c>
      <c r="W1852">
        <v>550</v>
      </c>
      <c r="X1852" t="s">
        <v>11332</v>
      </c>
      <c r="Z1852" t="s">
        <v>12646</v>
      </c>
      <c r="AA1852" t="s">
        <v>15623</v>
      </c>
      <c r="AB1852" t="s">
        <v>17031</v>
      </c>
      <c r="AC1852">
        <v>6</v>
      </c>
      <c r="AD1852" t="s">
        <v>19566</v>
      </c>
      <c r="AE1852" t="s">
        <v>9144</v>
      </c>
      <c r="AF1852">
        <v>44</v>
      </c>
      <c r="AG1852">
        <v>1</v>
      </c>
      <c r="AH1852">
        <v>0</v>
      </c>
      <c r="AI1852">
        <v>72.15000000000001</v>
      </c>
      <c r="AL1852" t="s">
        <v>19615</v>
      </c>
      <c r="AM1852">
        <v>9012</v>
      </c>
      <c r="AS1852">
        <v>2.85</v>
      </c>
      <c r="AT1852" t="s">
        <v>270</v>
      </c>
      <c r="AU1852" t="s">
        <v>95</v>
      </c>
      <c r="AV1852" t="s">
        <v>20733</v>
      </c>
    </row>
    <row r="1853" spans="1:48">
      <c r="A1853" s="1">
        <f>HYPERLINK("https://lsnyc.legalserver.org/matter/dynamic-profile/view/1893019","19-1893019")</f>
        <v>0</v>
      </c>
      <c r="B1853" t="s">
        <v>108</v>
      </c>
      <c r="C1853" t="s">
        <v>256</v>
      </c>
      <c r="D1853" t="s">
        <v>423</v>
      </c>
      <c r="F1853" t="s">
        <v>1241</v>
      </c>
      <c r="G1853" t="s">
        <v>3060</v>
      </c>
      <c r="H1853" t="s">
        <v>5859</v>
      </c>
      <c r="I1853" t="s">
        <v>8124</v>
      </c>
      <c r="J1853" t="s">
        <v>9065</v>
      </c>
      <c r="K1853">
        <v>10467</v>
      </c>
      <c r="L1853" t="s">
        <v>9094</v>
      </c>
      <c r="M1853" t="s">
        <v>9094</v>
      </c>
      <c r="P1853" t="s">
        <v>11166</v>
      </c>
      <c r="R1853" t="s">
        <v>11180</v>
      </c>
      <c r="S1853" t="s">
        <v>9094</v>
      </c>
      <c r="T1853" t="s">
        <v>11183</v>
      </c>
      <c r="V1853" t="s">
        <v>11218</v>
      </c>
      <c r="W1853">
        <v>286</v>
      </c>
      <c r="X1853" t="s">
        <v>11333</v>
      </c>
      <c r="Y1853" t="s">
        <v>11339</v>
      </c>
      <c r="Z1853" t="s">
        <v>12647</v>
      </c>
      <c r="AB1853" t="s">
        <v>17032</v>
      </c>
      <c r="AC1853">
        <v>122</v>
      </c>
      <c r="AD1853" t="s">
        <v>19565</v>
      </c>
      <c r="AE1853" t="s">
        <v>19580</v>
      </c>
      <c r="AF1853">
        <v>1</v>
      </c>
      <c r="AG1853">
        <v>1</v>
      </c>
      <c r="AH1853">
        <v>0</v>
      </c>
      <c r="AI1853">
        <v>72.15000000000001</v>
      </c>
      <c r="AL1853" t="s">
        <v>19614</v>
      </c>
      <c r="AM1853">
        <v>9012</v>
      </c>
      <c r="AS1853">
        <v>0.9</v>
      </c>
      <c r="AT1853" t="s">
        <v>429</v>
      </c>
      <c r="AU1853" t="s">
        <v>220</v>
      </c>
      <c r="AV1853" t="s">
        <v>20733</v>
      </c>
    </row>
    <row r="1854" spans="1:48">
      <c r="A1854" s="1">
        <f>HYPERLINK("https://lsnyc.legalserver.org/matter/dynamic-profile/view/1914831","19-1914831")</f>
        <v>0</v>
      </c>
      <c r="B1854" t="s">
        <v>66</v>
      </c>
      <c r="C1854" t="s">
        <v>256</v>
      </c>
      <c r="D1854" t="s">
        <v>331</v>
      </c>
      <c r="F1854" t="s">
        <v>2026</v>
      </c>
      <c r="G1854" t="s">
        <v>4223</v>
      </c>
      <c r="H1854" t="s">
        <v>6699</v>
      </c>
      <c r="I1854">
        <v>1</v>
      </c>
      <c r="J1854" t="s">
        <v>9066</v>
      </c>
      <c r="K1854">
        <v>10304</v>
      </c>
      <c r="L1854" t="s">
        <v>9094</v>
      </c>
      <c r="M1854" t="s">
        <v>9095</v>
      </c>
      <c r="P1854" t="s">
        <v>11166</v>
      </c>
      <c r="R1854" t="s">
        <v>11180</v>
      </c>
      <c r="T1854" t="s">
        <v>11183</v>
      </c>
      <c r="V1854" t="s">
        <v>556</v>
      </c>
      <c r="W1854">
        <v>0</v>
      </c>
      <c r="X1854" t="s">
        <v>11332</v>
      </c>
      <c r="Z1854" t="s">
        <v>12237</v>
      </c>
      <c r="AB1854" t="s">
        <v>17033</v>
      </c>
      <c r="AC1854">
        <v>0</v>
      </c>
      <c r="AF1854">
        <v>0</v>
      </c>
      <c r="AG1854">
        <v>1</v>
      </c>
      <c r="AH1854">
        <v>0</v>
      </c>
      <c r="AI1854">
        <v>72.15000000000001</v>
      </c>
      <c r="AL1854" t="s">
        <v>19614</v>
      </c>
      <c r="AM1854">
        <v>9012</v>
      </c>
      <c r="AS1854">
        <v>0</v>
      </c>
      <c r="AU1854" t="s">
        <v>215</v>
      </c>
    </row>
    <row r="1855" spans="1:48">
      <c r="A1855" s="1">
        <f>HYPERLINK("https://lsnyc.legalserver.org/matter/dynamic-profile/view/1881793","18-1881793")</f>
        <v>0</v>
      </c>
      <c r="B1855" t="s">
        <v>175</v>
      </c>
      <c r="C1855" t="s">
        <v>257</v>
      </c>
      <c r="D1855" t="s">
        <v>711</v>
      </c>
      <c r="E1855" t="s">
        <v>1130</v>
      </c>
      <c r="F1855" t="s">
        <v>2000</v>
      </c>
      <c r="G1855" t="s">
        <v>3756</v>
      </c>
      <c r="H1855" t="s">
        <v>6700</v>
      </c>
      <c r="I1855" t="s">
        <v>8283</v>
      </c>
      <c r="J1855" t="s">
        <v>9067</v>
      </c>
      <c r="K1855">
        <v>10032</v>
      </c>
      <c r="L1855" t="s">
        <v>9094</v>
      </c>
      <c r="M1855" t="s">
        <v>9094</v>
      </c>
      <c r="N1855" t="s">
        <v>9878</v>
      </c>
      <c r="O1855" t="s">
        <v>11129</v>
      </c>
      <c r="P1855" t="s">
        <v>11167</v>
      </c>
      <c r="Q1855" t="s">
        <v>11173</v>
      </c>
      <c r="R1855" t="s">
        <v>11180</v>
      </c>
      <c r="T1855" t="s">
        <v>11183</v>
      </c>
      <c r="V1855" t="s">
        <v>711</v>
      </c>
      <c r="W1855">
        <v>802</v>
      </c>
      <c r="X1855" t="s">
        <v>11335</v>
      </c>
      <c r="Y1855" t="s">
        <v>11341</v>
      </c>
      <c r="Z1855" t="s">
        <v>12648</v>
      </c>
      <c r="AB1855" t="s">
        <v>17034</v>
      </c>
      <c r="AC1855">
        <v>0</v>
      </c>
      <c r="AD1855" t="s">
        <v>19566</v>
      </c>
      <c r="AE1855" t="s">
        <v>9144</v>
      </c>
      <c r="AF1855">
        <v>6</v>
      </c>
      <c r="AG1855">
        <v>2</v>
      </c>
      <c r="AH1855">
        <v>1</v>
      </c>
      <c r="AI1855">
        <v>72.18000000000001</v>
      </c>
      <c r="AL1855" t="s">
        <v>19615</v>
      </c>
      <c r="AM1855">
        <v>15000</v>
      </c>
      <c r="AS1855">
        <v>1.3</v>
      </c>
      <c r="AT1855" t="s">
        <v>694</v>
      </c>
      <c r="AU1855" t="s">
        <v>20655</v>
      </c>
    </row>
    <row r="1856" spans="1:48">
      <c r="A1856" s="1">
        <f>HYPERLINK("https://lsnyc.legalserver.org/matter/dynamic-profile/view/1907936","19-1907936")</f>
        <v>0</v>
      </c>
      <c r="B1856" t="s">
        <v>98</v>
      </c>
      <c r="C1856" t="s">
        <v>256</v>
      </c>
      <c r="D1856" t="s">
        <v>288</v>
      </c>
      <c r="F1856" t="s">
        <v>2027</v>
      </c>
      <c r="G1856" t="s">
        <v>4224</v>
      </c>
      <c r="H1856" t="s">
        <v>6701</v>
      </c>
      <c r="I1856" t="s">
        <v>8308</v>
      </c>
      <c r="J1856" t="s">
        <v>9065</v>
      </c>
      <c r="K1856">
        <v>10460</v>
      </c>
      <c r="L1856" t="s">
        <v>9096</v>
      </c>
      <c r="M1856" t="s">
        <v>9095</v>
      </c>
      <c r="O1856" t="s">
        <v>11155</v>
      </c>
      <c r="P1856" t="s">
        <v>11168</v>
      </c>
      <c r="R1856" t="s">
        <v>11180</v>
      </c>
      <c r="S1856" t="s">
        <v>9096</v>
      </c>
      <c r="T1856" t="s">
        <v>11192</v>
      </c>
      <c r="W1856">
        <v>1419</v>
      </c>
      <c r="X1856" t="s">
        <v>11333</v>
      </c>
      <c r="Y1856" t="s">
        <v>11157</v>
      </c>
      <c r="Z1856" t="s">
        <v>12649</v>
      </c>
      <c r="AB1856" t="s">
        <v>17035</v>
      </c>
      <c r="AC1856">
        <v>18</v>
      </c>
      <c r="AD1856" t="s">
        <v>19566</v>
      </c>
      <c r="AE1856" t="s">
        <v>19580</v>
      </c>
      <c r="AF1856">
        <v>3</v>
      </c>
      <c r="AG1856">
        <v>4</v>
      </c>
      <c r="AH1856">
        <v>0</v>
      </c>
      <c r="AI1856">
        <v>72.23</v>
      </c>
      <c r="AL1856" t="s">
        <v>19614</v>
      </c>
      <c r="AM1856">
        <v>18600</v>
      </c>
      <c r="AS1856">
        <v>38.2</v>
      </c>
      <c r="AT1856" t="s">
        <v>521</v>
      </c>
      <c r="AU1856" t="s">
        <v>20642</v>
      </c>
      <c r="AV1856" t="s">
        <v>9144</v>
      </c>
    </row>
    <row r="1857" spans="1:48">
      <c r="A1857" s="1">
        <f>HYPERLINK("https://lsnyc.legalserver.org/matter/dynamic-profile/view/1910076","19-1910076")</f>
        <v>0</v>
      </c>
      <c r="B1857" t="s">
        <v>98</v>
      </c>
      <c r="C1857" t="s">
        <v>256</v>
      </c>
      <c r="D1857" t="s">
        <v>435</v>
      </c>
      <c r="F1857" t="s">
        <v>2027</v>
      </c>
      <c r="G1857" t="s">
        <v>4224</v>
      </c>
      <c r="H1857" t="s">
        <v>6701</v>
      </c>
      <c r="I1857" t="s">
        <v>8308</v>
      </c>
      <c r="J1857" t="s">
        <v>9065</v>
      </c>
      <c r="K1857">
        <v>10460</v>
      </c>
      <c r="L1857" t="s">
        <v>9095</v>
      </c>
      <c r="M1857" t="s">
        <v>9095</v>
      </c>
      <c r="O1857" t="s">
        <v>11151</v>
      </c>
      <c r="P1857" t="s">
        <v>11166</v>
      </c>
      <c r="R1857" t="s">
        <v>11180</v>
      </c>
      <c r="S1857" t="s">
        <v>9096</v>
      </c>
      <c r="T1857" t="s">
        <v>11190</v>
      </c>
      <c r="W1857">
        <v>0</v>
      </c>
      <c r="X1857" t="s">
        <v>11333</v>
      </c>
      <c r="Z1857" t="s">
        <v>12649</v>
      </c>
      <c r="AB1857" t="s">
        <v>17035</v>
      </c>
      <c r="AC1857">
        <v>0</v>
      </c>
      <c r="AF1857">
        <v>0</v>
      </c>
      <c r="AG1857">
        <v>4</v>
      </c>
      <c r="AH1857">
        <v>0</v>
      </c>
      <c r="AI1857">
        <v>72.23</v>
      </c>
      <c r="AL1857" t="s">
        <v>19614</v>
      </c>
      <c r="AM1857">
        <v>18600</v>
      </c>
      <c r="AS1857">
        <v>5</v>
      </c>
      <c r="AT1857" t="s">
        <v>832</v>
      </c>
      <c r="AU1857" t="s">
        <v>98</v>
      </c>
    </row>
    <row r="1858" spans="1:48">
      <c r="A1858" s="1">
        <f>HYPERLINK("https://lsnyc.legalserver.org/matter/dynamic-profile/view/1856807","18-1856807")</f>
        <v>0</v>
      </c>
      <c r="B1858" t="s">
        <v>114</v>
      </c>
      <c r="C1858" t="s">
        <v>256</v>
      </c>
      <c r="D1858" t="s">
        <v>844</v>
      </c>
      <c r="F1858" t="s">
        <v>1146</v>
      </c>
      <c r="G1858" t="s">
        <v>3366</v>
      </c>
      <c r="H1858" t="s">
        <v>5889</v>
      </c>
      <c r="I1858" t="s">
        <v>8119</v>
      </c>
      <c r="J1858" t="s">
        <v>9065</v>
      </c>
      <c r="K1858">
        <v>10453</v>
      </c>
      <c r="L1858" t="s">
        <v>9094</v>
      </c>
      <c r="M1858" t="s">
        <v>9095</v>
      </c>
      <c r="O1858" t="s">
        <v>11135</v>
      </c>
      <c r="P1858" t="s">
        <v>11168</v>
      </c>
      <c r="R1858" t="s">
        <v>11180</v>
      </c>
      <c r="S1858" t="s">
        <v>9096</v>
      </c>
      <c r="T1858" t="s">
        <v>11183</v>
      </c>
      <c r="V1858" t="s">
        <v>1122</v>
      </c>
      <c r="W1858">
        <v>866.08</v>
      </c>
      <c r="X1858" t="s">
        <v>11333</v>
      </c>
      <c r="Y1858" t="s">
        <v>11346</v>
      </c>
      <c r="Z1858" t="s">
        <v>12650</v>
      </c>
      <c r="AA1858" t="s">
        <v>15624</v>
      </c>
      <c r="AB1858" t="s">
        <v>17036</v>
      </c>
      <c r="AC1858">
        <v>21</v>
      </c>
      <c r="AD1858" t="s">
        <v>19566</v>
      </c>
      <c r="AE1858" t="s">
        <v>9144</v>
      </c>
      <c r="AF1858">
        <v>8</v>
      </c>
      <c r="AG1858">
        <v>1</v>
      </c>
      <c r="AH1858">
        <v>0</v>
      </c>
      <c r="AI1858">
        <v>72.23999999999999</v>
      </c>
      <c r="AL1858" t="s">
        <v>19615</v>
      </c>
      <c r="AM1858">
        <v>8712</v>
      </c>
      <c r="AS1858">
        <v>4.25</v>
      </c>
      <c r="AT1858" t="s">
        <v>946</v>
      </c>
      <c r="AU1858" t="s">
        <v>20642</v>
      </c>
    </row>
    <row r="1859" spans="1:48">
      <c r="A1859" s="1">
        <f>HYPERLINK("https://lsnyc.legalserver.org/matter/dynamic-profile/view/1897237","19-1897237")</f>
        <v>0</v>
      </c>
      <c r="B1859" t="s">
        <v>52</v>
      </c>
      <c r="C1859" t="s">
        <v>257</v>
      </c>
      <c r="D1859" t="s">
        <v>434</v>
      </c>
      <c r="E1859" t="s">
        <v>1016</v>
      </c>
      <c r="F1859" t="s">
        <v>1805</v>
      </c>
      <c r="G1859" t="s">
        <v>3978</v>
      </c>
      <c r="H1859" t="s">
        <v>5692</v>
      </c>
      <c r="I1859" t="s">
        <v>8302</v>
      </c>
      <c r="J1859" t="s">
        <v>9038</v>
      </c>
      <c r="K1859">
        <v>11691</v>
      </c>
      <c r="L1859" t="s">
        <v>9094</v>
      </c>
      <c r="M1859" t="s">
        <v>9094</v>
      </c>
      <c r="N1859" t="s">
        <v>9102</v>
      </c>
      <c r="O1859" t="s">
        <v>11134</v>
      </c>
      <c r="P1859" t="s">
        <v>11167</v>
      </c>
      <c r="Q1859" t="s">
        <v>11173</v>
      </c>
      <c r="R1859" t="s">
        <v>11180</v>
      </c>
      <c r="S1859" t="s">
        <v>9094</v>
      </c>
      <c r="T1859" t="s">
        <v>11183</v>
      </c>
      <c r="U1859" t="s">
        <v>11201</v>
      </c>
      <c r="V1859" t="s">
        <v>434</v>
      </c>
      <c r="W1859">
        <v>819</v>
      </c>
      <c r="X1859" t="s">
        <v>11331</v>
      </c>
      <c r="Y1859" t="s">
        <v>11339</v>
      </c>
      <c r="Z1859" t="s">
        <v>12242</v>
      </c>
      <c r="AB1859" t="s">
        <v>16666</v>
      </c>
      <c r="AC1859">
        <v>43</v>
      </c>
      <c r="AD1859" t="s">
        <v>19566</v>
      </c>
      <c r="AE1859" t="s">
        <v>9144</v>
      </c>
      <c r="AF1859">
        <v>15</v>
      </c>
      <c r="AG1859">
        <v>2</v>
      </c>
      <c r="AH1859">
        <v>3</v>
      </c>
      <c r="AI1859">
        <v>72.26000000000001</v>
      </c>
      <c r="AL1859" t="s">
        <v>19615</v>
      </c>
      <c r="AM1859">
        <v>21800</v>
      </c>
      <c r="AS1859">
        <v>0.2</v>
      </c>
      <c r="AT1859" t="s">
        <v>1016</v>
      </c>
      <c r="AU1859" t="s">
        <v>20620</v>
      </c>
      <c r="AV1859" t="s">
        <v>20733</v>
      </c>
    </row>
    <row r="1860" spans="1:48">
      <c r="A1860" s="1">
        <f>HYPERLINK("https://lsnyc.legalserver.org/matter/dynamic-profile/view/1895799","19-1895799")</f>
        <v>0</v>
      </c>
      <c r="B1860" t="s">
        <v>101</v>
      </c>
      <c r="C1860" t="s">
        <v>256</v>
      </c>
      <c r="D1860" t="s">
        <v>854</v>
      </c>
      <c r="F1860" t="s">
        <v>2028</v>
      </c>
      <c r="G1860" t="s">
        <v>4225</v>
      </c>
      <c r="H1860" t="s">
        <v>6113</v>
      </c>
      <c r="I1860" t="s">
        <v>8156</v>
      </c>
      <c r="J1860" t="s">
        <v>9065</v>
      </c>
      <c r="K1860">
        <v>10452</v>
      </c>
      <c r="L1860" t="s">
        <v>9094</v>
      </c>
      <c r="M1860" t="s">
        <v>9095</v>
      </c>
      <c r="O1860" t="s">
        <v>11134</v>
      </c>
      <c r="P1860" t="s">
        <v>11168</v>
      </c>
      <c r="R1860" t="s">
        <v>11180</v>
      </c>
      <c r="S1860" t="s">
        <v>9094</v>
      </c>
      <c r="T1860" t="s">
        <v>11183</v>
      </c>
      <c r="V1860" t="s">
        <v>11218</v>
      </c>
      <c r="W1860">
        <v>1047</v>
      </c>
      <c r="X1860" t="s">
        <v>11333</v>
      </c>
      <c r="Y1860" t="s">
        <v>11346</v>
      </c>
      <c r="Z1860" t="s">
        <v>12651</v>
      </c>
      <c r="AB1860" t="s">
        <v>17037</v>
      </c>
      <c r="AC1860">
        <v>52</v>
      </c>
      <c r="AD1860" t="s">
        <v>19566</v>
      </c>
      <c r="AF1860">
        <v>19</v>
      </c>
      <c r="AG1860">
        <v>1</v>
      </c>
      <c r="AH1860">
        <v>0</v>
      </c>
      <c r="AI1860">
        <v>72.34999999999999</v>
      </c>
      <c r="AL1860" t="s">
        <v>19614</v>
      </c>
      <c r="AM1860">
        <v>9036</v>
      </c>
      <c r="AS1860">
        <v>35.85</v>
      </c>
      <c r="AT1860" t="s">
        <v>551</v>
      </c>
      <c r="AU1860" t="s">
        <v>101</v>
      </c>
      <c r="AV1860" t="s">
        <v>20733</v>
      </c>
    </row>
    <row r="1861" spans="1:48">
      <c r="A1861" s="1">
        <f>HYPERLINK("https://lsnyc.legalserver.org/matter/dynamic-profile/view/1893768","19-1893768")</f>
        <v>0</v>
      </c>
      <c r="B1861" t="s">
        <v>71</v>
      </c>
      <c r="C1861" t="s">
        <v>257</v>
      </c>
      <c r="D1861" t="s">
        <v>274</v>
      </c>
      <c r="E1861" t="s">
        <v>457</v>
      </c>
      <c r="F1861" t="s">
        <v>2029</v>
      </c>
      <c r="G1861" t="s">
        <v>3427</v>
      </c>
      <c r="H1861" t="s">
        <v>6702</v>
      </c>
      <c r="I1861">
        <v>1</v>
      </c>
      <c r="J1861" t="s">
        <v>9059</v>
      </c>
      <c r="K1861">
        <v>11208</v>
      </c>
      <c r="L1861" t="s">
        <v>9094</v>
      </c>
      <c r="M1861" t="s">
        <v>9096</v>
      </c>
      <c r="N1861" t="s">
        <v>9879</v>
      </c>
      <c r="O1861" t="s">
        <v>11128</v>
      </c>
      <c r="P1861" t="s">
        <v>11165</v>
      </c>
      <c r="Q1861" t="s">
        <v>11178</v>
      </c>
      <c r="R1861" t="s">
        <v>11180</v>
      </c>
      <c r="S1861" t="s">
        <v>9096</v>
      </c>
      <c r="T1861" t="s">
        <v>11183</v>
      </c>
      <c r="V1861" t="s">
        <v>394</v>
      </c>
      <c r="W1861">
        <v>1956</v>
      </c>
      <c r="X1861" t="s">
        <v>11332</v>
      </c>
      <c r="Y1861" t="s">
        <v>11340</v>
      </c>
      <c r="Z1861" t="s">
        <v>12652</v>
      </c>
      <c r="AA1861" t="s">
        <v>15625</v>
      </c>
      <c r="AB1861" t="s">
        <v>17038</v>
      </c>
      <c r="AC1861">
        <v>4</v>
      </c>
      <c r="AD1861" t="s">
        <v>19565</v>
      </c>
      <c r="AE1861" t="s">
        <v>19586</v>
      </c>
      <c r="AF1861">
        <v>3</v>
      </c>
      <c r="AG1861">
        <v>2</v>
      </c>
      <c r="AH1861">
        <v>3</v>
      </c>
      <c r="AI1861">
        <v>72.39</v>
      </c>
      <c r="AL1861" t="s">
        <v>19614</v>
      </c>
      <c r="AM1861">
        <v>21840</v>
      </c>
      <c r="AQ1861" t="s">
        <v>20369</v>
      </c>
      <c r="AR1861" t="s">
        <v>20455</v>
      </c>
      <c r="AS1861">
        <v>19.3</v>
      </c>
      <c r="AT1861" t="s">
        <v>327</v>
      </c>
      <c r="AU1861" t="s">
        <v>79</v>
      </c>
      <c r="AV1861" t="s">
        <v>20734</v>
      </c>
    </row>
    <row r="1862" spans="1:48">
      <c r="A1862" s="1">
        <f>HYPERLINK("https://lsnyc.legalserver.org/matter/dynamic-profile/view/1900016","19-1900016")</f>
        <v>0</v>
      </c>
      <c r="B1862" t="s">
        <v>164</v>
      </c>
      <c r="C1862" t="s">
        <v>257</v>
      </c>
      <c r="D1862" t="s">
        <v>293</v>
      </c>
      <c r="E1862" t="s">
        <v>497</v>
      </c>
      <c r="F1862" t="s">
        <v>2030</v>
      </c>
      <c r="G1862" t="s">
        <v>4226</v>
      </c>
      <c r="H1862" t="s">
        <v>6703</v>
      </c>
      <c r="J1862" t="s">
        <v>9076</v>
      </c>
      <c r="K1862">
        <v>11418</v>
      </c>
      <c r="L1862" t="s">
        <v>9094</v>
      </c>
      <c r="M1862" t="s">
        <v>9095</v>
      </c>
      <c r="N1862" t="s">
        <v>9880</v>
      </c>
      <c r="O1862" t="s">
        <v>11129</v>
      </c>
      <c r="P1862" t="s">
        <v>11165</v>
      </c>
      <c r="Q1862" t="s">
        <v>11174</v>
      </c>
      <c r="R1862" t="s">
        <v>11180</v>
      </c>
      <c r="S1862" t="s">
        <v>9094</v>
      </c>
      <c r="T1862" t="s">
        <v>11183</v>
      </c>
      <c r="U1862" t="s">
        <v>11201</v>
      </c>
      <c r="V1862" t="s">
        <v>293</v>
      </c>
      <c r="W1862">
        <v>1213</v>
      </c>
      <c r="X1862" t="s">
        <v>11331</v>
      </c>
      <c r="Y1862" t="s">
        <v>11336</v>
      </c>
      <c r="Z1862" t="s">
        <v>12653</v>
      </c>
      <c r="AA1862" t="s">
        <v>15626</v>
      </c>
      <c r="AB1862" t="s">
        <v>17039</v>
      </c>
      <c r="AC1862">
        <v>60</v>
      </c>
      <c r="AD1862" t="s">
        <v>19566</v>
      </c>
      <c r="AE1862" t="s">
        <v>19588</v>
      </c>
      <c r="AF1862">
        <v>3</v>
      </c>
      <c r="AG1862">
        <v>1</v>
      </c>
      <c r="AH1862">
        <v>0</v>
      </c>
      <c r="AI1862">
        <v>72.44</v>
      </c>
      <c r="AL1862" t="s">
        <v>19614</v>
      </c>
      <c r="AM1862">
        <v>9048</v>
      </c>
      <c r="AO1862" t="s">
        <v>20290</v>
      </c>
      <c r="AP1862" t="s">
        <v>20317</v>
      </c>
      <c r="AQ1862" t="s">
        <v>20369</v>
      </c>
      <c r="AR1862" t="s">
        <v>20437</v>
      </c>
      <c r="AS1862">
        <v>6.5</v>
      </c>
      <c r="AT1862" t="s">
        <v>497</v>
      </c>
      <c r="AU1862" t="s">
        <v>20622</v>
      </c>
      <c r="AV1862" t="s">
        <v>20733</v>
      </c>
    </row>
    <row r="1863" spans="1:48">
      <c r="A1863" s="1">
        <f>HYPERLINK("https://lsnyc.legalserver.org/matter/dynamic-profile/view/1892741","19-1892741")</f>
        <v>0</v>
      </c>
      <c r="B1863" t="s">
        <v>83</v>
      </c>
      <c r="C1863" t="s">
        <v>256</v>
      </c>
      <c r="D1863" t="s">
        <v>553</v>
      </c>
      <c r="F1863" t="s">
        <v>2031</v>
      </c>
      <c r="G1863" t="s">
        <v>4227</v>
      </c>
      <c r="H1863" t="s">
        <v>6704</v>
      </c>
      <c r="I1863" t="s">
        <v>8112</v>
      </c>
      <c r="J1863" t="s">
        <v>9059</v>
      </c>
      <c r="K1863">
        <v>11225</v>
      </c>
      <c r="L1863" t="s">
        <v>9094</v>
      </c>
      <c r="M1863" t="s">
        <v>9094</v>
      </c>
      <c r="N1863" t="s">
        <v>9304</v>
      </c>
      <c r="O1863" t="s">
        <v>11132</v>
      </c>
      <c r="P1863" t="s">
        <v>11165</v>
      </c>
      <c r="R1863" t="s">
        <v>11180</v>
      </c>
      <c r="S1863" t="s">
        <v>9094</v>
      </c>
      <c r="T1863" t="s">
        <v>11183</v>
      </c>
      <c r="V1863" t="s">
        <v>700</v>
      </c>
      <c r="W1863">
        <v>1726.17</v>
      </c>
      <c r="X1863" t="s">
        <v>11332</v>
      </c>
      <c r="Z1863" t="s">
        <v>12654</v>
      </c>
      <c r="AC1863">
        <v>0</v>
      </c>
      <c r="AF1863">
        <v>14</v>
      </c>
      <c r="AG1863">
        <v>2</v>
      </c>
      <c r="AH1863">
        <v>0</v>
      </c>
      <c r="AI1863">
        <v>72.45</v>
      </c>
      <c r="AL1863" t="s">
        <v>19614</v>
      </c>
      <c r="AM1863">
        <v>12252</v>
      </c>
      <c r="AS1863">
        <v>1.9</v>
      </c>
      <c r="AT1863" t="s">
        <v>288</v>
      </c>
      <c r="AU1863" t="s">
        <v>215</v>
      </c>
      <c r="AV1863" t="s">
        <v>20733</v>
      </c>
    </row>
    <row r="1864" spans="1:48">
      <c r="A1864" s="1">
        <f>HYPERLINK("https://lsnyc.legalserver.org/matter/dynamic-profile/view/1892743","19-1892743")</f>
        <v>0</v>
      </c>
      <c r="B1864" t="s">
        <v>83</v>
      </c>
      <c r="C1864" t="s">
        <v>256</v>
      </c>
      <c r="D1864" t="s">
        <v>553</v>
      </c>
      <c r="F1864" t="s">
        <v>2031</v>
      </c>
      <c r="G1864" t="s">
        <v>4227</v>
      </c>
      <c r="H1864" t="s">
        <v>6704</v>
      </c>
      <c r="I1864" t="s">
        <v>8112</v>
      </c>
      <c r="J1864" t="s">
        <v>9059</v>
      </c>
      <c r="K1864">
        <v>11225</v>
      </c>
      <c r="L1864" t="s">
        <v>9094</v>
      </c>
      <c r="M1864" t="s">
        <v>9094</v>
      </c>
      <c r="O1864" t="s">
        <v>11134</v>
      </c>
      <c r="P1864" t="s">
        <v>11168</v>
      </c>
      <c r="R1864" t="s">
        <v>11180</v>
      </c>
      <c r="S1864" t="s">
        <v>9094</v>
      </c>
      <c r="T1864" t="s">
        <v>11183</v>
      </c>
      <c r="V1864" t="s">
        <v>577</v>
      </c>
      <c r="W1864">
        <v>1726.17</v>
      </c>
      <c r="X1864" t="s">
        <v>11332</v>
      </c>
      <c r="Z1864" t="s">
        <v>12654</v>
      </c>
      <c r="AC1864">
        <v>0</v>
      </c>
      <c r="AF1864">
        <v>14</v>
      </c>
      <c r="AG1864">
        <v>2</v>
      </c>
      <c r="AH1864">
        <v>0</v>
      </c>
      <c r="AI1864">
        <v>72.45</v>
      </c>
      <c r="AL1864" t="s">
        <v>19614</v>
      </c>
      <c r="AM1864">
        <v>12252</v>
      </c>
      <c r="AN1864" t="s">
        <v>19825</v>
      </c>
      <c r="AS1864">
        <v>0</v>
      </c>
      <c r="AU1864" t="s">
        <v>215</v>
      </c>
    </row>
    <row r="1865" spans="1:48">
      <c r="A1865" s="1">
        <f>HYPERLINK("https://lsnyc.legalserver.org/matter/dynamic-profile/view/1881752","18-1881752")</f>
        <v>0</v>
      </c>
      <c r="B1865" t="s">
        <v>114</v>
      </c>
      <c r="C1865" t="s">
        <v>257</v>
      </c>
      <c r="D1865" t="s">
        <v>855</v>
      </c>
      <c r="E1865" t="s">
        <v>563</v>
      </c>
      <c r="F1865" t="s">
        <v>2032</v>
      </c>
      <c r="G1865" t="s">
        <v>4019</v>
      </c>
      <c r="H1865" t="s">
        <v>5907</v>
      </c>
      <c r="I1865" t="s">
        <v>8517</v>
      </c>
      <c r="J1865" t="s">
        <v>9065</v>
      </c>
      <c r="K1865">
        <v>10451</v>
      </c>
      <c r="L1865" t="s">
        <v>9094</v>
      </c>
      <c r="M1865" t="s">
        <v>9094</v>
      </c>
      <c r="N1865" t="s">
        <v>9259</v>
      </c>
      <c r="O1865" t="s">
        <v>11130</v>
      </c>
      <c r="P1865" t="s">
        <v>11165</v>
      </c>
      <c r="Q1865" t="s">
        <v>11174</v>
      </c>
      <c r="R1865" t="s">
        <v>11180</v>
      </c>
      <c r="S1865" t="s">
        <v>9094</v>
      </c>
      <c r="T1865" t="s">
        <v>11183</v>
      </c>
      <c r="V1865" t="s">
        <v>738</v>
      </c>
      <c r="W1865">
        <v>279</v>
      </c>
      <c r="X1865" t="s">
        <v>11333</v>
      </c>
      <c r="Y1865" t="s">
        <v>11346</v>
      </c>
      <c r="Z1865" t="s">
        <v>12655</v>
      </c>
      <c r="AB1865" t="s">
        <v>17040</v>
      </c>
      <c r="AC1865">
        <v>100</v>
      </c>
      <c r="AD1865" t="s">
        <v>19566</v>
      </c>
      <c r="AE1865" t="s">
        <v>19580</v>
      </c>
      <c r="AF1865">
        <v>32</v>
      </c>
      <c r="AG1865">
        <v>1</v>
      </c>
      <c r="AH1865">
        <v>0</v>
      </c>
      <c r="AI1865">
        <v>72.51000000000001</v>
      </c>
      <c r="AL1865" t="s">
        <v>19615</v>
      </c>
      <c r="AM1865">
        <v>8802.24</v>
      </c>
      <c r="AS1865">
        <v>0.25</v>
      </c>
      <c r="AT1865" t="s">
        <v>563</v>
      </c>
      <c r="AU1865" t="s">
        <v>163</v>
      </c>
    </row>
    <row r="1866" spans="1:48">
      <c r="A1866" s="1">
        <f>HYPERLINK("https://lsnyc.legalserver.org/matter/dynamic-profile/view/1902310","19-1902310")</f>
        <v>0</v>
      </c>
      <c r="B1866" t="s">
        <v>99</v>
      </c>
      <c r="C1866" t="s">
        <v>257</v>
      </c>
      <c r="D1866" t="s">
        <v>268</v>
      </c>
      <c r="E1866" t="s">
        <v>362</v>
      </c>
      <c r="F1866" t="s">
        <v>2033</v>
      </c>
      <c r="G1866" t="s">
        <v>4133</v>
      </c>
      <c r="H1866" t="s">
        <v>6705</v>
      </c>
      <c r="I1866" t="s">
        <v>8518</v>
      </c>
      <c r="J1866" t="s">
        <v>9065</v>
      </c>
      <c r="K1866">
        <v>10452</v>
      </c>
      <c r="L1866" t="s">
        <v>9094</v>
      </c>
      <c r="M1866" t="s">
        <v>9095</v>
      </c>
      <c r="O1866" t="s">
        <v>9121</v>
      </c>
      <c r="P1866" t="s">
        <v>11164</v>
      </c>
      <c r="Q1866" t="s">
        <v>11172</v>
      </c>
      <c r="R1866" t="s">
        <v>11180</v>
      </c>
      <c r="S1866" t="s">
        <v>9096</v>
      </c>
      <c r="T1866" t="s">
        <v>11183</v>
      </c>
      <c r="V1866" t="s">
        <v>11218</v>
      </c>
      <c r="W1866">
        <v>1597.96</v>
      </c>
      <c r="X1866" t="s">
        <v>11333</v>
      </c>
      <c r="Y1866" t="s">
        <v>11346</v>
      </c>
      <c r="Z1866" t="s">
        <v>12656</v>
      </c>
      <c r="AC1866">
        <v>55</v>
      </c>
      <c r="AD1866" t="s">
        <v>19566</v>
      </c>
      <c r="AE1866" t="s">
        <v>19580</v>
      </c>
      <c r="AF1866">
        <v>17</v>
      </c>
      <c r="AG1866">
        <v>1</v>
      </c>
      <c r="AH1866">
        <v>0</v>
      </c>
      <c r="AI1866">
        <v>72.63</v>
      </c>
      <c r="AL1866" t="s">
        <v>19615</v>
      </c>
      <c r="AM1866">
        <v>9072</v>
      </c>
      <c r="AS1866">
        <v>2.4</v>
      </c>
      <c r="AT1866" t="s">
        <v>362</v>
      </c>
      <c r="AU1866" t="s">
        <v>99</v>
      </c>
      <c r="AV1866" t="s">
        <v>20733</v>
      </c>
    </row>
    <row r="1867" spans="1:48">
      <c r="A1867" s="1">
        <f>HYPERLINK("https://lsnyc.legalserver.org/matter/dynamic-profile/view/1906232","19-1906232")</f>
        <v>0</v>
      </c>
      <c r="B1867" t="s">
        <v>137</v>
      </c>
      <c r="C1867" t="s">
        <v>256</v>
      </c>
      <c r="D1867" t="s">
        <v>282</v>
      </c>
      <c r="F1867" t="s">
        <v>2034</v>
      </c>
      <c r="G1867" t="s">
        <v>4228</v>
      </c>
      <c r="H1867" t="s">
        <v>6706</v>
      </c>
      <c r="I1867" t="s">
        <v>8128</v>
      </c>
      <c r="J1867" t="s">
        <v>9067</v>
      </c>
      <c r="K1867">
        <v>10040</v>
      </c>
      <c r="L1867" t="s">
        <v>9094</v>
      </c>
      <c r="M1867" t="s">
        <v>9095</v>
      </c>
      <c r="P1867" t="s">
        <v>11169</v>
      </c>
      <c r="R1867" t="s">
        <v>11180</v>
      </c>
      <c r="S1867" t="s">
        <v>9096</v>
      </c>
      <c r="T1867" t="s">
        <v>11183</v>
      </c>
      <c r="V1867" t="s">
        <v>282</v>
      </c>
      <c r="W1867">
        <v>1372.65</v>
      </c>
      <c r="X1867" t="s">
        <v>11335</v>
      </c>
      <c r="Y1867" t="s">
        <v>11338</v>
      </c>
      <c r="Z1867" t="s">
        <v>12657</v>
      </c>
      <c r="AC1867">
        <v>75</v>
      </c>
      <c r="AD1867" t="s">
        <v>19566</v>
      </c>
      <c r="AE1867" t="s">
        <v>9144</v>
      </c>
      <c r="AF1867">
        <v>11</v>
      </c>
      <c r="AG1867">
        <v>1</v>
      </c>
      <c r="AH1867">
        <v>0</v>
      </c>
      <c r="AI1867">
        <v>72.63</v>
      </c>
      <c r="AL1867" t="s">
        <v>19614</v>
      </c>
      <c r="AM1867">
        <v>9072</v>
      </c>
      <c r="AS1867">
        <v>0.4</v>
      </c>
      <c r="AT1867" t="s">
        <v>362</v>
      </c>
      <c r="AU1867" t="s">
        <v>130</v>
      </c>
      <c r="AV1867" t="s">
        <v>20733</v>
      </c>
    </row>
    <row r="1868" spans="1:48">
      <c r="A1868" s="1">
        <f>HYPERLINK("https://lsnyc.legalserver.org/matter/dynamic-profile/view/1841822","17-1841822")</f>
        <v>0</v>
      </c>
      <c r="B1868" t="s">
        <v>141</v>
      </c>
      <c r="C1868" t="s">
        <v>256</v>
      </c>
      <c r="D1868" t="s">
        <v>644</v>
      </c>
      <c r="F1868" t="s">
        <v>1370</v>
      </c>
      <c r="G1868" t="s">
        <v>3811</v>
      </c>
      <c r="H1868" t="s">
        <v>6450</v>
      </c>
      <c r="I1868" t="s">
        <v>8223</v>
      </c>
      <c r="J1868" t="s">
        <v>9067</v>
      </c>
      <c r="K1868">
        <v>10034</v>
      </c>
      <c r="L1868" t="s">
        <v>9094</v>
      </c>
      <c r="M1868" t="s">
        <v>9095</v>
      </c>
      <c r="N1868" t="s">
        <v>9881</v>
      </c>
      <c r="O1868" t="s">
        <v>11128</v>
      </c>
      <c r="P1868" t="s">
        <v>11165</v>
      </c>
      <c r="R1868" t="s">
        <v>11180</v>
      </c>
      <c r="S1868" t="s">
        <v>9096</v>
      </c>
      <c r="T1868" t="s">
        <v>11183</v>
      </c>
      <c r="V1868" t="s">
        <v>837</v>
      </c>
      <c r="W1868">
        <v>1067.2</v>
      </c>
      <c r="X1868" t="s">
        <v>11335</v>
      </c>
      <c r="Y1868" t="s">
        <v>11338</v>
      </c>
      <c r="Z1868" t="s">
        <v>12658</v>
      </c>
      <c r="AB1868" t="s">
        <v>17041</v>
      </c>
      <c r="AC1868">
        <v>49</v>
      </c>
      <c r="AD1868" t="s">
        <v>19566</v>
      </c>
      <c r="AE1868" t="s">
        <v>9144</v>
      </c>
      <c r="AF1868">
        <v>14</v>
      </c>
      <c r="AG1868">
        <v>1</v>
      </c>
      <c r="AH1868">
        <v>0</v>
      </c>
      <c r="AI1868">
        <v>72.64</v>
      </c>
      <c r="AL1868" t="s">
        <v>19615</v>
      </c>
      <c r="AM1868">
        <v>8760</v>
      </c>
      <c r="AS1868">
        <v>0.1</v>
      </c>
      <c r="AT1868" t="s">
        <v>594</v>
      </c>
      <c r="AU1868" t="s">
        <v>130</v>
      </c>
      <c r="AV1868" t="s">
        <v>20733</v>
      </c>
    </row>
    <row r="1869" spans="1:48">
      <c r="A1869" s="1">
        <f>HYPERLINK("https://lsnyc.legalserver.org/matter/dynamic-profile/view/1878104","18-1878104")</f>
        <v>0</v>
      </c>
      <c r="B1869" t="s">
        <v>204</v>
      </c>
      <c r="C1869" t="s">
        <v>257</v>
      </c>
      <c r="D1869" t="s">
        <v>671</v>
      </c>
      <c r="E1869" t="s">
        <v>288</v>
      </c>
      <c r="F1869" t="s">
        <v>2035</v>
      </c>
      <c r="G1869" t="s">
        <v>4229</v>
      </c>
      <c r="H1869" t="s">
        <v>6707</v>
      </c>
      <c r="I1869" t="s">
        <v>8161</v>
      </c>
      <c r="J1869" t="s">
        <v>9059</v>
      </c>
      <c r="K1869">
        <v>11237</v>
      </c>
      <c r="L1869" t="s">
        <v>9094</v>
      </c>
      <c r="M1869" t="s">
        <v>9095</v>
      </c>
      <c r="N1869" t="s">
        <v>9882</v>
      </c>
      <c r="O1869" t="s">
        <v>11129</v>
      </c>
      <c r="P1869" t="s">
        <v>11165</v>
      </c>
      <c r="Q1869" t="s">
        <v>11174</v>
      </c>
      <c r="R1869" t="s">
        <v>11180</v>
      </c>
      <c r="S1869" t="s">
        <v>9096</v>
      </c>
      <c r="T1869" t="s">
        <v>11183</v>
      </c>
      <c r="V1869" t="s">
        <v>265</v>
      </c>
      <c r="W1869">
        <v>0</v>
      </c>
      <c r="X1869" t="s">
        <v>11332</v>
      </c>
      <c r="Z1869" t="s">
        <v>12659</v>
      </c>
      <c r="AB1869" t="s">
        <v>17042</v>
      </c>
      <c r="AC1869">
        <v>32</v>
      </c>
      <c r="AF1869">
        <v>0</v>
      </c>
      <c r="AG1869">
        <v>1</v>
      </c>
      <c r="AH1869">
        <v>0</v>
      </c>
      <c r="AI1869">
        <v>72.65000000000001</v>
      </c>
      <c r="AL1869" t="s">
        <v>19614</v>
      </c>
      <c r="AM1869">
        <v>8820</v>
      </c>
      <c r="AO1869" t="s">
        <v>20297</v>
      </c>
      <c r="AP1869" t="s">
        <v>20328</v>
      </c>
      <c r="AQ1869" t="s">
        <v>20369</v>
      </c>
      <c r="AR1869" t="s">
        <v>20436</v>
      </c>
      <c r="AS1869">
        <v>21.9</v>
      </c>
      <c r="AT1869" t="s">
        <v>288</v>
      </c>
      <c r="AU1869" t="s">
        <v>20678</v>
      </c>
      <c r="AV1869" t="s">
        <v>20733</v>
      </c>
    </row>
    <row r="1870" spans="1:48">
      <c r="A1870" s="1">
        <f>HYPERLINK("https://lsnyc.legalserver.org/matter/dynamic-profile/view/1883253","18-1883253")</f>
        <v>0</v>
      </c>
      <c r="B1870" t="s">
        <v>71</v>
      </c>
      <c r="C1870" t="s">
        <v>257</v>
      </c>
      <c r="D1870" t="s">
        <v>691</v>
      </c>
      <c r="E1870" t="s">
        <v>483</v>
      </c>
      <c r="F1870" t="s">
        <v>1150</v>
      </c>
      <c r="G1870" t="s">
        <v>4186</v>
      </c>
      <c r="H1870" t="s">
        <v>6662</v>
      </c>
      <c r="I1870" t="s">
        <v>8140</v>
      </c>
      <c r="J1870" t="s">
        <v>9059</v>
      </c>
      <c r="K1870">
        <v>11233</v>
      </c>
      <c r="L1870" t="s">
        <v>9094</v>
      </c>
      <c r="M1870" t="s">
        <v>9094</v>
      </c>
      <c r="N1870" t="s">
        <v>9883</v>
      </c>
      <c r="O1870" t="s">
        <v>11129</v>
      </c>
      <c r="P1870" t="s">
        <v>11165</v>
      </c>
      <c r="Q1870" t="s">
        <v>11174</v>
      </c>
      <c r="R1870" t="s">
        <v>11180</v>
      </c>
      <c r="S1870" t="s">
        <v>9096</v>
      </c>
      <c r="T1870" t="s">
        <v>11183</v>
      </c>
      <c r="U1870" t="s">
        <v>11201</v>
      </c>
      <c r="V1870" t="s">
        <v>691</v>
      </c>
      <c r="W1870">
        <v>957.15</v>
      </c>
      <c r="X1870" t="s">
        <v>11332</v>
      </c>
      <c r="Y1870" t="s">
        <v>11157</v>
      </c>
      <c r="Z1870" t="s">
        <v>12589</v>
      </c>
      <c r="AA1870" t="s">
        <v>15607</v>
      </c>
      <c r="AB1870" t="s">
        <v>16980</v>
      </c>
      <c r="AC1870">
        <v>15</v>
      </c>
      <c r="AD1870" t="s">
        <v>15441</v>
      </c>
      <c r="AE1870" t="s">
        <v>9144</v>
      </c>
      <c r="AF1870">
        <v>25</v>
      </c>
      <c r="AG1870">
        <v>1</v>
      </c>
      <c r="AH1870">
        <v>0</v>
      </c>
      <c r="AI1870">
        <v>72.65000000000001</v>
      </c>
      <c r="AL1870" t="s">
        <v>19614</v>
      </c>
      <c r="AM1870">
        <v>8820</v>
      </c>
      <c r="AN1870" t="s">
        <v>19680</v>
      </c>
      <c r="AS1870">
        <v>15.65</v>
      </c>
      <c r="AT1870" t="s">
        <v>988</v>
      </c>
      <c r="AU1870" t="s">
        <v>20635</v>
      </c>
    </row>
    <row r="1871" spans="1:48">
      <c r="A1871" s="1">
        <f>HYPERLINK("https://lsnyc.legalserver.org/matter/dynamic-profile/view/1880117","18-1880117")</f>
        <v>0</v>
      </c>
      <c r="B1871" t="s">
        <v>139</v>
      </c>
      <c r="C1871" t="s">
        <v>256</v>
      </c>
      <c r="D1871" t="s">
        <v>699</v>
      </c>
      <c r="F1871" t="s">
        <v>1788</v>
      </c>
      <c r="G1871" t="s">
        <v>4230</v>
      </c>
      <c r="H1871" t="s">
        <v>6363</v>
      </c>
      <c r="I1871" t="s">
        <v>8308</v>
      </c>
      <c r="J1871" t="s">
        <v>9067</v>
      </c>
      <c r="K1871">
        <v>10040</v>
      </c>
      <c r="L1871" t="s">
        <v>9094</v>
      </c>
      <c r="M1871" t="s">
        <v>9094</v>
      </c>
      <c r="O1871" t="s">
        <v>11134</v>
      </c>
      <c r="P1871" t="s">
        <v>11168</v>
      </c>
      <c r="R1871" t="s">
        <v>11180</v>
      </c>
      <c r="S1871" t="s">
        <v>9094</v>
      </c>
      <c r="T1871" t="s">
        <v>11183</v>
      </c>
      <c r="V1871" t="s">
        <v>699</v>
      </c>
      <c r="W1871">
        <v>991.98</v>
      </c>
      <c r="X1871" t="s">
        <v>11335</v>
      </c>
      <c r="Y1871" t="s">
        <v>11340</v>
      </c>
      <c r="Z1871" t="s">
        <v>12660</v>
      </c>
      <c r="AB1871" t="s">
        <v>17043</v>
      </c>
      <c r="AC1871">
        <v>88</v>
      </c>
      <c r="AD1871" t="s">
        <v>19566</v>
      </c>
      <c r="AE1871" t="s">
        <v>9144</v>
      </c>
      <c r="AF1871">
        <v>40</v>
      </c>
      <c r="AG1871">
        <v>1</v>
      </c>
      <c r="AH1871">
        <v>0</v>
      </c>
      <c r="AI1871">
        <v>72.65000000000001</v>
      </c>
      <c r="AL1871" t="s">
        <v>19615</v>
      </c>
      <c r="AM1871">
        <v>8820</v>
      </c>
      <c r="AS1871">
        <v>0</v>
      </c>
      <c r="AU1871" t="s">
        <v>130</v>
      </c>
    </row>
    <row r="1872" spans="1:48">
      <c r="A1872" s="1">
        <f>HYPERLINK("https://lsnyc.legalserver.org/matter/dynamic-profile/view/1857890","18-1857890")</f>
        <v>0</v>
      </c>
      <c r="B1872" t="s">
        <v>136</v>
      </c>
      <c r="C1872" t="s">
        <v>257</v>
      </c>
      <c r="D1872" t="s">
        <v>856</v>
      </c>
      <c r="E1872" t="s">
        <v>426</v>
      </c>
      <c r="F1872" t="s">
        <v>1642</v>
      </c>
      <c r="G1872" t="s">
        <v>4085</v>
      </c>
      <c r="H1872" t="s">
        <v>6708</v>
      </c>
      <c r="I1872" t="s">
        <v>8266</v>
      </c>
      <c r="J1872" t="s">
        <v>9067</v>
      </c>
      <c r="K1872">
        <v>10034</v>
      </c>
      <c r="L1872" t="s">
        <v>9094</v>
      </c>
      <c r="M1872" t="s">
        <v>9095</v>
      </c>
      <c r="N1872" t="s">
        <v>9884</v>
      </c>
      <c r="O1872" t="s">
        <v>11137</v>
      </c>
      <c r="P1872" t="s">
        <v>11166</v>
      </c>
      <c r="Q1872" t="s">
        <v>11173</v>
      </c>
      <c r="R1872" t="s">
        <v>11180</v>
      </c>
      <c r="S1872" t="s">
        <v>9096</v>
      </c>
      <c r="T1872" t="s">
        <v>11183</v>
      </c>
      <c r="V1872" t="s">
        <v>856</v>
      </c>
      <c r="W1872">
        <v>810.92</v>
      </c>
      <c r="X1872" t="s">
        <v>11335</v>
      </c>
      <c r="Y1872" t="s">
        <v>11340</v>
      </c>
      <c r="Z1872" t="s">
        <v>12661</v>
      </c>
      <c r="AB1872" t="s">
        <v>17044</v>
      </c>
      <c r="AC1872">
        <v>40</v>
      </c>
      <c r="AD1872" t="s">
        <v>19566</v>
      </c>
      <c r="AE1872" t="s">
        <v>19580</v>
      </c>
      <c r="AF1872">
        <v>37</v>
      </c>
      <c r="AG1872">
        <v>1</v>
      </c>
      <c r="AH1872">
        <v>0</v>
      </c>
      <c r="AI1872">
        <v>72.65000000000001</v>
      </c>
      <c r="AL1872" t="s">
        <v>19615</v>
      </c>
      <c r="AM1872">
        <v>8820</v>
      </c>
      <c r="AS1872">
        <v>0.3</v>
      </c>
      <c r="AT1872" t="s">
        <v>746</v>
      </c>
      <c r="AU1872" t="s">
        <v>130</v>
      </c>
    </row>
    <row r="1873" spans="1:48">
      <c r="A1873" s="1">
        <f>HYPERLINK("https://lsnyc.legalserver.org/matter/dynamic-profile/view/1864125","18-1864125")</f>
        <v>0</v>
      </c>
      <c r="B1873" t="s">
        <v>136</v>
      </c>
      <c r="C1873" t="s">
        <v>256</v>
      </c>
      <c r="D1873" t="s">
        <v>505</v>
      </c>
      <c r="F1873" t="s">
        <v>1341</v>
      </c>
      <c r="G1873" t="s">
        <v>3366</v>
      </c>
      <c r="H1873" t="s">
        <v>5961</v>
      </c>
      <c r="I1873">
        <v>603</v>
      </c>
      <c r="J1873" t="s">
        <v>9067</v>
      </c>
      <c r="K1873">
        <v>10029</v>
      </c>
      <c r="L1873" t="s">
        <v>9094</v>
      </c>
      <c r="M1873" t="s">
        <v>9094</v>
      </c>
      <c r="N1873" t="s">
        <v>9287</v>
      </c>
      <c r="O1873" t="s">
        <v>11130</v>
      </c>
      <c r="P1873" t="s">
        <v>11165</v>
      </c>
      <c r="R1873" t="s">
        <v>11180</v>
      </c>
      <c r="S1873" t="s">
        <v>9094</v>
      </c>
      <c r="T1873" t="s">
        <v>11183</v>
      </c>
      <c r="U1873" t="s">
        <v>11201</v>
      </c>
      <c r="V1873" t="s">
        <v>505</v>
      </c>
      <c r="W1873">
        <v>0</v>
      </c>
      <c r="X1873" t="s">
        <v>11335</v>
      </c>
      <c r="Y1873" t="s">
        <v>11339</v>
      </c>
      <c r="Z1873" t="s">
        <v>12662</v>
      </c>
      <c r="AC1873">
        <v>108</v>
      </c>
      <c r="AD1873" t="s">
        <v>19567</v>
      </c>
      <c r="AE1873" t="s">
        <v>19580</v>
      </c>
      <c r="AF1873">
        <v>24</v>
      </c>
      <c r="AG1873">
        <v>1</v>
      </c>
      <c r="AH1873">
        <v>0</v>
      </c>
      <c r="AI1873">
        <v>72.65000000000001</v>
      </c>
      <c r="AL1873" t="s">
        <v>19615</v>
      </c>
      <c r="AM1873">
        <v>8820</v>
      </c>
      <c r="AS1873">
        <v>0.35</v>
      </c>
      <c r="AT1873" t="s">
        <v>289</v>
      </c>
      <c r="AU1873" t="s">
        <v>20657</v>
      </c>
    </row>
    <row r="1874" spans="1:48">
      <c r="A1874" s="1">
        <f>HYPERLINK("https://lsnyc.legalserver.org/matter/dynamic-profile/view/1882702","18-1882702")</f>
        <v>0</v>
      </c>
      <c r="B1874" t="s">
        <v>106</v>
      </c>
      <c r="C1874" t="s">
        <v>256</v>
      </c>
      <c r="D1874" t="s">
        <v>433</v>
      </c>
      <c r="F1874" t="s">
        <v>1276</v>
      </c>
      <c r="G1874" t="s">
        <v>4231</v>
      </c>
      <c r="H1874" t="s">
        <v>5874</v>
      </c>
      <c r="I1874" t="s">
        <v>8170</v>
      </c>
      <c r="J1874" t="s">
        <v>9065</v>
      </c>
      <c r="K1874">
        <v>10457</v>
      </c>
      <c r="L1874" t="s">
        <v>9094</v>
      </c>
      <c r="M1874" t="s">
        <v>9094</v>
      </c>
      <c r="N1874" t="s">
        <v>9230</v>
      </c>
      <c r="O1874" t="s">
        <v>11134</v>
      </c>
      <c r="P1874" t="s">
        <v>11168</v>
      </c>
      <c r="R1874" t="s">
        <v>11180</v>
      </c>
      <c r="S1874" t="s">
        <v>9094</v>
      </c>
      <c r="T1874" t="s">
        <v>11183</v>
      </c>
      <c r="V1874" t="s">
        <v>738</v>
      </c>
      <c r="W1874">
        <v>1551</v>
      </c>
      <c r="X1874" t="s">
        <v>11333</v>
      </c>
      <c r="Y1874" t="s">
        <v>11346</v>
      </c>
      <c r="Z1874" t="s">
        <v>12663</v>
      </c>
      <c r="AB1874" t="s">
        <v>17045</v>
      </c>
      <c r="AC1874">
        <v>47</v>
      </c>
      <c r="AD1874" t="s">
        <v>19566</v>
      </c>
      <c r="AE1874" t="s">
        <v>19580</v>
      </c>
      <c r="AF1874">
        <v>12</v>
      </c>
      <c r="AG1874">
        <v>2</v>
      </c>
      <c r="AH1874">
        <v>0</v>
      </c>
      <c r="AI1874">
        <v>72.69</v>
      </c>
      <c r="AL1874" t="s">
        <v>19614</v>
      </c>
      <c r="AM1874">
        <v>11964</v>
      </c>
      <c r="AS1874">
        <v>0.4</v>
      </c>
      <c r="AT1874" t="s">
        <v>269</v>
      </c>
      <c r="AU1874" t="s">
        <v>20642</v>
      </c>
    </row>
    <row r="1875" spans="1:48">
      <c r="A1875" s="1">
        <f>HYPERLINK("https://lsnyc.legalserver.org/matter/dynamic-profile/view/1882698","18-1882698")</f>
        <v>0</v>
      </c>
      <c r="B1875" t="s">
        <v>106</v>
      </c>
      <c r="C1875" t="s">
        <v>256</v>
      </c>
      <c r="D1875" t="s">
        <v>433</v>
      </c>
      <c r="F1875" t="s">
        <v>1276</v>
      </c>
      <c r="G1875" t="s">
        <v>4231</v>
      </c>
      <c r="H1875" t="s">
        <v>5874</v>
      </c>
      <c r="I1875" t="s">
        <v>8170</v>
      </c>
      <c r="J1875" t="s">
        <v>9065</v>
      </c>
      <c r="K1875">
        <v>10457</v>
      </c>
      <c r="L1875" t="s">
        <v>9094</v>
      </c>
      <c r="M1875" t="s">
        <v>9094</v>
      </c>
      <c r="N1875" t="s">
        <v>9231</v>
      </c>
      <c r="O1875" t="s">
        <v>11130</v>
      </c>
      <c r="P1875" t="s">
        <v>11165</v>
      </c>
      <c r="R1875" t="s">
        <v>11180</v>
      </c>
      <c r="S1875" t="s">
        <v>9094</v>
      </c>
      <c r="T1875" t="s">
        <v>11183</v>
      </c>
      <c r="V1875" t="s">
        <v>738</v>
      </c>
      <c r="W1875">
        <v>1551</v>
      </c>
      <c r="X1875" t="s">
        <v>11333</v>
      </c>
      <c r="Y1875" t="s">
        <v>11346</v>
      </c>
      <c r="Z1875" t="s">
        <v>12663</v>
      </c>
      <c r="AB1875" t="s">
        <v>17045</v>
      </c>
      <c r="AC1875">
        <v>47</v>
      </c>
      <c r="AD1875" t="s">
        <v>19566</v>
      </c>
      <c r="AE1875" t="s">
        <v>19580</v>
      </c>
      <c r="AF1875">
        <v>12</v>
      </c>
      <c r="AG1875">
        <v>2</v>
      </c>
      <c r="AH1875">
        <v>0</v>
      </c>
      <c r="AI1875">
        <v>72.69</v>
      </c>
      <c r="AL1875" t="s">
        <v>19614</v>
      </c>
      <c r="AM1875">
        <v>11964</v>
      </c>
      <c r="AS1875">
        <v>1</v>
      </c>
      <c r="AT1875" t="s">
        <v>617</v>
      </c>
      <c r="AU1875" t="s">
        <v>20642</v>
      </c>
    </row>
    <row r="1876" spans="1:48">
      <c r="A1876" s="1">
        <f>HYPERLINK("https://lsnyc.legalserver.org/matter/dynamic-profile/view/1906837","19-1906837")</f>
        <v>0</v>
      </c>
      <c r="B1876" t="s">
        <v>123</v>
      </c>
      <c r="C1876" t="s">
        <v>256</v>
      </c>
      <c r="D1876" t="s">
        <v>415</v>
      </c>
      <c r="F1876" t="s">
        <v>1767</v>
      </c>
      <c r="G1876" t="s">
        <v>3551</v>
      </c>
      <c r="H1876" t="s">
        <v>6006</v>
      </c>
      <c r="I1876" t="s">
        <v>8519</v>
      </c>
      <c r="J1876" t="s">
        <v>9066</v>
      </c>
      <c r="K1876">
        <v>10304</v>
      </c>
      <c r="L1876" t="s">
        <v>9094</v>
      </c>
      <c r="M1876" t="s">
        <v>9095</v>
      </c>
      <c r="N1876" t="s">
        <v>9885</v>
      </c>
      <c r="O1876" t="s">
        <v>11129</v>
      </c>
      <c r="R1876" t="s">
        <v>11180</v>
      </c>
      <c r="S1876" t="s">
        <v>9096</v>
      </c>
      <c r="T1876" t="s">
        <v>11190</v>
      </c>
      <c r="U1876" t="s">
        <v>11201</v>
      </c>
      <c r="W1876">
        <v>1949</v>
      </c>
      <c r="X1876" t="s">
        <v>11334</v>
      </c>
      <c r="Y1876" t="s">
        <v>11340</v>
      </c>
      <c r="Z1876" t="s">
        <v>12664</v>
      </c>
      <c r="AB1876" t="s">
        <v>17046</v>
      </c>
      <c r="AC1876">
        <v>0</v>
      </c>
      <c r="AD1876" t="s">
        <v>19567</v>
      </c>
      <c r="AE1876" t="s">
        <v>9144</v>
      </c>
      <c r="AF1876">
        <v>3</v>
      </c>
      <c r="AG1876">
        <v>1</v>
      </c>
      <c r="AH1876">
        <v>3</v>
      </c>
      <c r="AI1876">
        <v>72.7</v>
      </c>
      <c r="AL1876" t="s">
        <v>19614</v>
      </c>
      <c r="AM1876">
        <v>18720</v>
      </c>
      <c r="AS1876">
        <v>37.25</v>
      </c>
      <c r="AT1876" t="s">
        <v>321</v>
      </c>
      <c r="AU1876" t="s">
        <v>20653</v>
      </c>
      <c r="AV1876" t="s">
        <v>20733</v>
      </c>
    </row>
    <row r="1877" spans="1:48">
      <c r="A1877" s="1">
        <f>HYPERLINK("https://lsnyc.legalserver.org/matter/dynamic-profile/view/1910959","19-1910959")</f>
        <v>0</v>
      </c>
      <c r="B1877" t="s">
        <v>138</v>
      </c>
      <c r="C1877" t="s">
        <v>256</v>
      </c>
      <c r="D1877" t="s">
        <v>295</v>
      </c>
      <c r="F1877" t="s">
        <v>2036</v>
      </c>
      <c r="G1877" t="s">
        <v>3499</v>
      </c>
      <c r="H1877" t="s">
        <v>6170</v>
      </c>
      <c r="I1877">
        <v>21</v>
      </c>
      <c r="J1877" t="s">
        <v>9067</v>
      </c>
      <c r="K1877">
        <v>10034</v>
      </c>
      <c r="L1877" t="s">
        <v>9094</v>
      </c>
      <c r="M1877" t="s">
        <v>9095</v>
      </c>
      <c r="O1877" t="s">
        <v>11136</v>
      </c>
      <c r="P1877" t="s">
        <v>11169</v>
      </c>
      <c r="R1877" t="s">
        <v>11180</v>
      </c>
      <c r="S1877" t="s">
        <v>9096</v>
      </c>
      <c r="T1877" t="s">
        <v>11183</v>
      </c>
      <c r="V1877" t="s">
        <v>295</v>
      </c>
      <c r="W1877">
        <v>0</v>
      </c>
      <c r="X1877" t="s">
        <v>11335</v>
      </c>
      <c r="Y1877" t="s">
        <v>11338</v>
      </c>
      <c r="Z1877" t="s">
        <v>12665</v>
      </c>
      <c r="AA1877" t="s">
        <v>15627</v>
      </c>
      <c r="AC1877">
        <v>88</v>
      </c>
      <c r="AD1877" t="s">
        <v>19566</v>
      </c>
      <c r="AE1877" t="s">
        <v>9144</v>
      </c>
      <c r="AF1877">
        <v>6</v>
      </c>
      <c r="AG1877">
        <v>1</v>
      </c>
      <c r="AH1877">
        <v>3</v>
      </c>
      <c r="AI1877">
        <v>72.7</v>
      </c>
      <c r="AL1877" t="s">
        <v>19614</v>
      </c>
      <c r="AM1877">
        <v>18720</v>
      </c>
      <c r="AS1877">
        <v>3.5</v>
      </c>
      <c r="AT1877" t="s">
        <v>664</v>
      </c>
      <c r="AU1877" t="s">
        <v>130</v>
      </c>
      <c r="AV1877" t="s">
        <v>20733</v>
      </c>
    </row>
    <row r="1878" spans="1:48">
      <c r="A1878" s="1">
        <f>HYPERLINK("https://lsnyc.legalserver.org/matter/dynamic-profile/view/1841424","17-1841424")</f>
        <v>0</v>
      </c>
      <c r="B1878" t="s">
        <v>138</v>
      </c>
      <c r="C1878" t="s">
        <v>256</v>
      </c>
      <c r="D1878" t="s">
        <v>857</v>
      </c>
      <c r="F1878" t="s">
        <v>1611</v>
      </c>
      <c r="G1878" t="s">
        <v>4232</v>
      </c>
      <c r="H1878" t="s">
        <v>5943</v>
      </c>
      <c r="I1878" t="s">
        <v>8264</v>
      </c>
      <c r="J1878" t="s">
        <v>9067</v>
      </c>
      <c r="K1878">
        <v>10034</v>
      </c>
      <c r="L1878" t="s">
        <v>9094</v>
      </c>
      <c r="M1878" t="s">
        <v>9095</v>
      </c>
      <c r="N1878" t="s">
        <v>9886</v>
      </c>
      <c r="O1878" t="s">
        <v>11128</v>
      </c>
      <c r="P1878" t="s">
        <v>11165</v>
      </c>
      <c r="R1878" t="s">
        <v>11180</v>
      </c>
      <c r="S1878" t="s">
        <v>9096</v>
      </c>
      <c r="T1878" t="s">
        <v>11183</v>
      </c>
      <c r="V1878" t="s">
        <v>837</v>
      </c>
      <c r="W1878">
        <v>774.26</v>
      </c>
      <c r="X1878" t="s">
        <v>11335</v>
      </c>
      <c r="Y1878" t="s">
        <v>11338</v>
      </c>
      <c r="Z1878" t="s">
        <v>12666</v>
      </c>
      <c r="AB1878" t="s">
        <v>17047</v>
      </c>
      <c r="AC1878">
        <v>65</v>
      </c>
      <c r="AD1878" t="s">
        <v>19566</v>
      </c>
      <c r="AE1878" t="s">
        <v>9144</v>
      </c>
      <c r="AF1878">
        <v>39</v>
      </c>
      <c r="AG1878">
        <v>3</v>
      </c>
      <c r="AH1878">
        <v>1</v>
      </c>
      <c r="AI1878">
        <v>72.73</v>
      </c>
      <c r="AL1878" t="s">
        <v>19615</v>
      </c>
      <c r="AM1878">
        <v>17892</v>
      </c>
      <c r="AS1878">
        <v>45.3</v>
      </c>
      <c r="AT1878" t="s">
        <v>358</v>
      </c>
      <c r="AU1878" t="s">
        <v>130</v>
      </c>
    </row>
    <row r="1879" spans="1:48">
      <c r="A1879" s="1">
        <f>HYPERLINK("https://lsnyc.legalserver.org/matter/dynamic-profile/view/1856867","18-1856867")</f>
        <v>0</v>
      </c>
      <c r="B1879" t="s">
        <v>138</v>
      </c>
      <c r="C1879" t="s">
        <v>256</v>
      </c>
      <c r="D1879" t="s">
        <v>844</v>
      </c>
      <c r="F1879" t="s">
        <v>1611</v>
      </c>
      <c r="G1879" t="s">
        <v>4232</v>
      </c>
      <c r="H1879" t="s">
        <v>5943</v>
      </c>
      <c r="I1879" t="s">
        <v>8264</v>
      </c>
      <c r="J1879" t="s">
        <v>9067</v>
      </c>
      <c r="K1879">
        <v>10034</v>
      </c>
      <c r="L1879" t="s">
        <v>9094</v>
      </c>
      <c r="M1879" t="s">
        <v>9095</v>
      </c>
      <c r="O1879" t="s">
        <v>11130</v>
      </c>
      <c r="P1879" t="s">
        <v>11166</v>
      </c>
      <c r="R1879" t="s">
        <v>11180</v>
      </c>
      <c r="S1879" t="s">
        <v>9094</v>
      </c>
      <c r="T1879" t="s">
        <v>11183</v>
      </c>
      <c r="V1879" t="s">
        <v>844</v>
      </c>
      <c r="W1879">
        <v>774.26</v>
      </c>
      <c r="X1879" t="s">
        <v>11335</v>
      </c>
      <c r="Y1879" t="s">
        <v>11340</v>
      </c>
      <c r="Z1879" t="s">
        <v>12666</v>
      </c>
      <c r="AB1879" t="s">
        <v>17047</v>
      </c>
      <c r="AC1879">
        <v>65</v>
      </c>
      <c r="AD1879" t="s">
        <v>19566</v>
      </c>
      <c r="AE1879" t="s">
        <v>9144</v>
      </c>
      <c r="AF1879">
        <v>39</v>
      </c>
      <c r="AG1879">
        <v>3</v>
      </c>
      <c r="AH1879">
        <v>1</v>
      </c>
      <c r="AI1879">
        <v>72.73</v>
      </c>
      <c r="AL1879" t="s">
        <v>19615</v>
      </c>
      <c r="AM1879">
        <v>26892</v>
      </c>
      <c r="AS1879">
        <v>64.59999999999999</v>
      </c>
      <c r="AT1879" t="s">
        <v>358</v>
      </c>
      <c r="AU1879" t="s">
        <v>130</v>
      </c>
    </row>
    <row r="1880" spans="1:48">
      <c r="A1880" s="1">
        <f>HYPERLINK("https://lsnyc.legalserver.org/matter/dynamic-profile/view/0826973","17-0826973")</f>
        <v>0</v>
      </c>
      <c r="B1880" t="s">
        <v>139</v>
      </c>
      <c r="C1880" t="s">
        <v>256</v>
      </c>
      <c r="D1880" t="s">
        <v>858</v>
      </c>
      <c r="F1880" t="s">
        <v>1404</v>
      </c>
      <c r="G1880" t="s">
        <v>3591</v>
      </c>
      <c r="H1880" t="s">
        <v>6363</v>
      </c>
      <c r="I1880" t="s">
        <v>8229</v>
      </c>
      <c r="J1880" t="s">
        <v>9067</v>
      </c>
      <c r="K1880">
        <v>10040</v>
      </c>
      <c r="L1880" t="s">
        <v>9094</v>
      </c>
      <c r="M1880" t="s">
        <v>9095</v>
      </c>
      <c r="N1880" t="s">
        <v>9887</v>
      </c>
      <c r="O1880" t="s">
        <v>11130</v>
      </c>
      <c r="P1880" t="s">
        <v>11165</v>
      </c>
      <c r="R1880" t="s">
        <v>11180</v>
      </c>
      <c r="S1880" t="s">
        <v>9094</v>
      </c>
      <c r="T1880" t="s">
        <v>11183</v>
      </c>
      <c r="V1880" t="s">
        <v>11259</v>
      </c>
      <c r="W1880">
        <v>631.42</v>
      </c>
      <c r="X1880" t="s">
        <v>11335</v>
      </c>
      <c r="Y1880" t="s">
        <v>11339</v>
      </c>
      <c r="Z1880" t="s">
        <v>12667</v>
      </c>
      <c r="AB1880" t="s">
        <v>17048</v>
      </c>
      <c r="AC1880">
        <v>83</v>
      </c>
      <c r="AD1880" t="s">
        <v>19566</v>
      </c>
      <c r="AE1880" t="s">
        <v>9144</v>
      </c>
      <c r="AF1880">
        <v>15</v>
      </c>
      <c r="AG1880">
        <v>1</v>
      </c>
      <c r="AH1880">
        <v>0</v>
      </c>
      <c r="AI1880">
        <v>72.73999999999999</v>
      </c>
      <c r="AJ1880" t="s">
        <v>463</v>
      </c>
      <c r="AL1880" t="s">
        <v>19615</v>
      </c>
      <c r="AM1880">
        <v>8772</v>
      </c>
      <c r="AS1880">
        <v>0</v>
      </c>
      <c r="AT1880" t="s">
        <v>537</v>
      </c>
      <c r="AU1880" t="s">
        <v>20657</v>
      </c>
    </row>
    <row r="1881" spans="1:48">
      <c r="A1881" s="1">
        <f>HYPERLINK("https://lsnyc.legalserver.org/matter/dynamic-profile/view/1853934","17-1853934")</f>
        <v>0</v>
      </c>
      <c r="B1881" t="s">
        <v>119</v>
      </c>
      <c r="C1881" t="s">
        <v>257</v>
      </c>
      <c r="D1881" t="s">
        <v>724</v>
      </c>
      <c r="E1881" t="s">
        <v>612</v>
      </c>
      <c r="F1881" t="s">
        <v>1212</v>
      </c>
      <c r="G1881" t="s">
        <v>4033</v>
      </c>
      <c r="H1881" t="s">
        <v>6709</v>
      </c>
      <c r="I1881" t="s">
        <v>8191</v>
      </c>
      <c r="J1881" t="s">
        <v>9065</v>
      </c>
      <c r="K1881">
        <v>10453</v>
      </c>
      <c r="L1881" t="s">
        <v>9094</v>
      </c>
      <c r="M1881" t="s">
        <v>9094</v>
      </c>
      <c r="N1881" t="s">
        <v>9888</v>
      </c>
      <c r="O1881" t="s">
        <v>11129</v>
      </c>
      <c r="P1881" t="s">
        <v>11165</v>
      </c>
      <c r="Q1881" t="s">
        <v>11174</v>
      </c>
      <c r="R1881" t="s">
        <v>11180</v>
      </c>
      <c r="S1881" t="s">
        <v>9096</v>
      </c>
      <c r="T1881" t="s">
        <v>11183</v>
      </c>
      <c r="V1881" t="s">
        <v>626</v>
      </c>
      <c r="W1881">
        <v>930.91</v>
      </c>
      <c r="X1881" t="s">
        <v>11333</v>
      </c>
      <c r="Y1881" t="s">
        <v>11340</v>
      </c>
      <c r="Z1881" t="s">
        <v>12668</v>
      </c>
      <c r="AB1881" t="s">
        <v>17049</v>
      </c>
      <c r="AC1881">
        <v>30</v>
      </c>
      <c r="AD1881" t="s">
        <v>19566</v>
      </c>
      <c r="AE1881" t="s">
        <v>19580</v>
      </c>
      <c r="AF1881">
        <v>18</v>
      </c>
      <c r="AG1881">
        <v>5</v>
      </c>
      <c r="AH1881">
        <v>1</v>
      </c>
      <c r="AI1881">
        <v>72.81999999999999</v>
      </c>
      <c r="AL1881" t="s">
        <v>19614</v>
      </c>
      <c r="AM1881">
        <v>24000</v>
      </c>
      <c r="AS1881">
        <v>44.3</v>
      </c>
      <c r="AT1881" t="s">
        <v>573</v>
      </c>
      <c r="AU1881" t="s">
        <v>20643</v>
      </c>
    </row>
    <row r="1882" spans="1:48">
      <c r="A1882" s="1">
        <f>HYPERLINK("https://lsnyc.legalserver.org/matter/dynamic-profile/view/0799020","16-0799020")</f>
        <v>0</v>
      </c>
      <c r="B1882" t="s">
        <v>101</v>
      </c>
      <c r="C1882" t="s">
        <v>256</v>
      </c>
      <c r="D1882" t="s">
        <v>656</v>
      </c>
      <c r="F1882" t="s">
        <v>1358</v>
      </c>
      <c r="G1882" t="s">
        <v>4205</v>
      </c>
      <c r="H1882" t="s">
        <v>6041</v>
      </c>
      <c r="I1882" t="s">
        <v>8178</v>
      </c>
      <c r="J1882" t="s">
        <v>9065</v>
      </c>
      <c r="K1882">
        <v>10452</v>
      </c>
      <c r="L1882" t="s">
        <v>9094</v>
      </c>
      <c r="M1882" t="s">
        <v>9095</v>
      </c>
      <c r="N1882" t="s">
        <v>9499</v>
      </c>
      <c r="O1882" t="s">
        <v>11135</v>
      </c>
      <c r="P1882" t="s">
        <v>11168</v>
      </c>
      <c r="R1882" t="s">
        <v>11180</v>
      </c>
      <c r="S1882" t="s">
        <v>9094</v>
      </c>
      <c r="T1882" t="s">
        <v>11183</v>
      </c>
      <c r="V1882" t="s">
        <v>1094</v>
      </c>
      <c r="W1882">
        <v>812</v>
      </c>
      <c r="X1882" t="s">
        <v>11333</v>
      </c>
      <c r="Y1882" t="s">
        <v>11346</v>
      </c>
      <c r="Z1882" t="s">
        <v>12622</v>
      </c>
      <c r="AB1882" t="s">
        <v>17008</v>
      </c>
      <c r="AC1882">
        <v>61</v>
      </c>
      <c r="AD1882" t="s">
        <v>19566</v>
      </c>
      <c r="AE1882" t="s">
        <v>19580</v>
      </c>
      <c r="AF1882">
        <v>35</v>
      </c>
      <c r="AG1882">
        <v>1</v>
      </c>
      <c r="AH1882">
        <v>0</v>
      </c>
      <c r="AI1882">
        <v>72.83</v>
      </c>
      <c r="AL1882" t="s">
        <v>19615</v>
      </c>
      <c r="AM1882">
        <v>8652</v>
      </c>
      <c r="AS1882">
        <v>0.65</v>
      </c>
      <c r="AT1882" t="s">
        <v>873</v>
      </c>
      <c r="AU1882" t="s">
        <v>109</v>
      </c>
    </row>
    <row r="1883" spans="1:48">
      <c r="A1883" s="1">
        <f>HYPERLINK("https://lsnyc.legalserver.org/matter/dynamic-profile/view/0817076","16-0817076")</f>
        <v>0</v>
      </c>
      <c r="B1883" t="s">
        <v>101</v>
      </c>
      <c r="C1883" t="s">
        <v>256</v>
      </c>
      <c r="D1883" t="s">
        <v>813</v>
      </c>
      <c r="F1883" t="s">
        <v>1358</v>
      </c>
      <c r="G1883" t="s">
        <v>4205</v>
      </c>
      <c r="H1883" t="s">
        <v>6041</v>
      </c>
      <c r="I1883" t="s">
        <v>8178</v>
      </c>
      <c r="J1883" t="s">
        <v>9065</v>
      </c>
      <c r="K1883">
        <v>10452</v>
      </c>
      <c r="L1883" t="s">
        <v>9094</v>
      </c>
      <c r="M1883" t="s">
        <v>9095</v>
      </c>
      <c r="N1883" t="s">
        <v>9500</v>
      </c>
      <c r="O1883" t="s">
        <v>11135</v>
      </c>
      <c r="P1883" t="s">
        <v>11168</v>
      </c>
      <c r="R1883" t="s">
        <v>11180</v>
      </c>
      <c r="S1883" t="s">
        <v>9094</v>
      </c>
      <c r="T1883" t="s">
        <v>11183</v>
      </c>
      <c r="V1883" t="s">
        <v>1024</v>
      </c>
      <c r="W1883">
        <v>812</v>
      </c>
      <c r="X1883" t="s">
        <v>11333</v>
      </c>
      <c r="Y1883" t="s">
        <v>11346</v>
      </c>
      <c r="Z1883" t="s">
        <v>12622</v>
      </c>
      <c r="AB1883" t="s">
        <v>17008</v>
      </c>
      <c r="AC1883">
        <v>62</v>
      </c>
      <c r="AD1883" t="s">
        <v>19566</v>
      </c>
      <c r="AE1883" t="s">
        <v>19580</v>
      </c>
      <c r="AF1883">
        <v>35</v>
      </c>
      <c r="AG1883">
        <v>1</v>
      </c>
      <c r="AH1883">
        <v>0</v>
      </c>
      <c r="AI1883">
        <v>72.83</v>
      </c>
      <c r="AL1883" t="s">
        <v>19615</v>
      </c>
      <c r="AM1883">
        <v>8652</v>
      </c>
      <c r="AS1883">
        <v>0.8</v>
      </c>
      <c r="AT1883" t="s">
        <v>873</v>
      </c>
      <c r="AU1883" t="s">
        <v>20643</v>
      </c>
    </row>
    <row r="1884" spans="1:48">
      <c r="A1884" s="1">
        <f>HYPERLINK("https://lsnyc.legalserver.org/matter/dynamic-profile/view/0822627","16-0822627")</f>
        <v>0</v>
      </c>
      <c r="B1884" t="s">
        <v>101</v>
      </c>
      <c r="C1884" t="s">
        <v>256</v>
      </c>
      <c r="D1884" t="s">
        <v>657</v>
      </c>
      <c r="F1884" t="s">
        <v>1358</v>
      </c>
      <c r="G1884" t="s">
        <v>4205</v>
      </c>
      <c r="H1884" t="s">
        <v>6041</v>
      </c>
      <c r="I1884" t="s">
        <v>8178</v>
      </c>
      <c r="J1884" t="s">
        <v>9065</v>
      </c>
      <c r="K1884">
        <v>10452</v>
      </c>
      <c r="L1884" t="s">
        <v>9094</v>
      </c>
      <c r="M1884" t="s">
        <v>9095</v>
      </c>
      <c r="N1884" t="s">
        <v>9501</v>
      </c>
      <c r="O1884" t="s">
        <v>11135</v>
      </c>
      <c r="P1884" t="s">
        <v>11168</v>
      </c>
      <c r="R1884" t="s">
        <v>11180</v>
      </c>
      <c r="S1884" t="s">
        <v>9094</v>
      </c>
      <c r="T1884" t="s">
        <v>11183</v>
      </c>
      <c r="V1884" t="s">
        <v>1089</v>
      </c>
      <c r="W1884">
        <v>812</v>
      </c>
      <c r="X1884" t="s">
        <v>11333</v>
      </c>
      <c r="Y1884" t="s">
        <v>11346</v>
      </c>
      <c r="Z1884" t="s">
        <v>12622</v>
      </c>
      <c r="AB1884" t="s">
        <v>17008</v>
      </c>
      <c r="AC1884">
        <v>62</v>
      </c>
      <c r="AD1884" t="s">
        <v>19566</v>
      </c>
      <c r="AE1884" t="s">
        <v>19580</v>
      </c>
      <c r="AF1884">
        <v>35</v>
      </c>
      <c r="AG1884">
        <v>1</v>
      </c>
      <c r="AH1884">
        <v>0</v>
      </c>
      <c r="AI1884">
        <v>72.83</v>
      </c>
      <c r="AL1884" t="s">
        <v>19615</v>
      </c>
      <c r="AM1884">
        <v>8652</v>
      </c>
      <c r="AS1884">
        <v>0.3</v>
      </c>
      <c r="AT1884" t="s">
        <v>873</v>
      </c>
      <c r="AU1884" t="s">
        <v>20643</v>
      </c>
    </row>
    <row r="1885" spans="1:48">
      <c r="A1885" s="1">
        <f>HYPERLINK("https://lsnyc.legalserver.org/matter/dynamic-profile/view/1908646","19-1908646")</f>
        <v>0</v>
      </c>
      <c r="B1885" t="s">
        <v>173</v>
      </c>
      <c r="C1885" t="s">
        <v>256</v>
      </c>
      <c r="D1885" t="s">
        <v>574</v>
      </c>
      <c r="F1885" t="s">
        <v>1245</v>
      </c>
      <c r="G1885" t="s">
        <v>3370</v>
      </c>
      <c r="H1885" t="s">
        <v>6710</v>
      </c>
      <c r="J1885" t="s">
        <v>9055</v>
      </c>
      <c r="K1885">
        <v>11354</v>
      </c>
      <c r="L1885" t="s">
        <v>9094</v>
      </c>
      <c r="M1885" t="s">
        <v>9095</v>
      </c>
      <c r="N1885" t="s">
        <v>9889</v>
      </c>
      <c r="O1885" t="s">
        <v>11129</v>
      </c>
      <c r="P1885" t="s">
        <v>11165</v>
      </c>
      <c r="R1885" t="s">
        <v>11180</v>
      </c>
      <c r="S1885" t="s">
        <v>9096</v>
      </c>
      <c r="T1885" t="s">
        <v>11183</v>
      </c>
      <c r="U1885" t="s">
        <v>11201</v>
      </c>
      <c r="V1885" t="s">
        <v>574</v>
      </c>
      <c r="W1885">
        <v>2400</v>
      </c>
      <c r="X1885" t="s">
        <v>11331</v>
      </c>
      <c r="Y1885" t="s">
        <v>11336</v>
      </c>
      <c r="Z1885" t="s">
        <v>12669</v>
      </c>
      <c r="AA1885" t="s">
        <v>15628</v>
      </c>
      <c r="AC1885">
        <v>3</v>
      </c>
      <c r="AD1885" t="s">
        <v>19565</v>
      </c>
      <c r="AE1885" t="s">
        <v>11157</v>
      </c>
      <c r="AF1885">
        <v>1</v>
      </c>
      <c r="AG1885">
        <v>2</v>
      </c>
      <c r="AH1885">
        <v>4</v>
      </c>
      <c r="AI1885">
        <v>72.84999999999999</v>
      </c>
      <c r="AL1885" t="s">
        <v>19615</v>
      </c>
      <c r="AM1885">
        <v>25200</v>
      </c>
      <c r="AP1885" t="s">
        <v>20317</v>
      </c>
      <c r="AS1885">
        <v>7.55</v>
      </c>
      <c r="AT1885" t="s">
        <v>612</v>
      </c>
      <c r="AU1885" t="s">
        <v>20702</v>
      </c>
      <c r="AV1885" t="s">
        <v>20733</v>
      </c>
    </row>
    <row r="1886" spans="1:48">
      <c r="A1886" s="1">
        <f>HYPERLINK("https://lsnyc.legalserver.org/matter/dynamic-profile/view/1861995","18-1861995")</f>
        <v>0</v>
      </c>
      <c r="B1886" t="s">
        <v>52</v>
      </c>
      <c r="C1886" t="s">
        <v>256</v>
      </c>
      <c r="D1886" t="s">
        <v>451</v>
      </c>
      <c r="F1886" t="s">
        <v>1985</v>
      </c>
      <c r="G1886" t="s">
        <v>1404</v>
      </c>
      <c r="H1886" t="s">
        <v>6711</v>
      </c>
      <c r="I1886" t="s">
        <v>8520</v>
      </c>
      <c r="J1886" t="s">
        <v>9039</v>
      </c>
      <c r="K1886">
        <v>11432</v>
      </c>
      <c r="L1886" t="s">
        <v>9094</v>
      </c>
      <c r="M1886" t="s">
        <v>9095</v>
      </c>
      <c r="N1886" t="s">
        <v>9703</v>
      </c>
      <c r="O1886" t="s">
        <v>11135</v>
      </c>
      <c r="P1886" t="s">
        <v>11168</v>
      </c>
      <c r="R1886" t="s">
        <v>11180</v>
      </c>
      <c r="S1886" t="s">
        <v>9094</v>
      </c>
      <c r="T1886" t="s">
        <v>11183</v>
      </c>
      <c r="V1886" t="s">
        <v>451</v>
      </c>
      <c r="W1886">
        <v>887</v>
      </c>
      <c r="X1886" t="s">
        <v>11331</v>
      </c>
      <c r="Y1886" t="s">
        <v>11341</v>
      </c>
      <c r="Z1886" t="s">
        <v>12670</v>
      </c>
      <c r="AA1886" t="s">
        <v>9171</v>
      </c>
      <c r="AB1886" t="s">
        <v>17050</v>
      </c>
      <c r="AC1886">
        <v>60</v>
      </c>
      <c r="AD1886" t="s">
        <v>19566</v>
      </c>
      <c r="AE1886" t="s">
        <v>9144</v>
      </c>
      <c r="AF1886">
        <v>35</v>
      </c>
      <c r="AG1886">
        <v>3</v>
      </c>
      <c r="AH1886">
        <v>1</v>
      </c>
      <c r="AI1886">
        <v>72.86</v>
      </c>
      <c r="AJ1886" t="s">
        <v>19592</v>
      </c>
      <c r="AL1886" t="s">
        <v>19615</v>
      </c>
      <c r="AM1886">
        <v>18288</v>
      </c>
      <c r="AS1886">
        <v>0.2</v>
      </c>
      <c r="AT1886" t="s">
        <v>848</v>
      </c>
      <c r="AU1886" t="s">
        <v>20620</v>
      </c>
    </row>
    <row r="1887" spans="1:48">
      <c r="A1887" s="1">
        <f>HYPERLINK("https://lsnyc.legalserver.org/matter/dynamic-profile/view/1862007","18-1862007")</f>
        <v>0</v>
      </c>
      <c r="B1887" t="s">
        <v>52</v>
      </c>
      <c r="C1887" t="s">
        <v>256</v>
      </c>
      <c r="D1887" t="s">
        <v>451</v>
      </c>
      <c r="F1887" t="s">
        <v>1985</v>
      </c>
      <c r="G1887" t="s">
        <v>1404</v>
      </c>
      <c r="H1887" t="s">
        <v>6711</v>
      </c>
      <c r="I1887" t="s">
        <v>8520</v>
      </c>
      <c r="J1887" t="s">
        <v>9039</v>
      </c>
      <c r="K1887">
        <v>11432</v>
      </c>
      <c r="L1887" t="s">
        <v>9094</v>
      </c>
      <c r="M1887" t="s">
        <v>9095</v>
      </c>
      <c r="N1887" t="s">
        <v>9698</v>
      </c>
      <c r="O1887" t="s">
        <v>11135</v>
      </c>
      <c r="P1887" t="s">
        <v>11168</v>
      </c>
      <c r="R1887" t="s">
        <v>11180</v>
      </c>
      <c r="S1887" t="s">
        <v>9094</v>
      </c>
      <c r="T1887" t="s">
        <v>11183</v>
      </c>
      <c r="V1887" t="s">
        <v>451</v>
      </c>
      <c r="W1887">
        <v>887</v>
      </c>
      <c r="X1887" t="s">
        <v>11331</v>
      </c>
      <c r="Y1887" t="s">
        <v>11341</v>
      </c>
      <c r="Z1887" t="s">
        <v>12670</v>
      </c>
      <c r="AA1887" t="s">
        <v>9171</v>
      </c>
      <c r="AB1887" t="s">
        <v>17050</v>
      </c>
      <c r="AC1887">
        <v>60</v>
      </c>
      <c r="AD1887" t="s">
        <v>19566</v>
      </c>
      <c r="AE1887" t="s">
        <v>9144</v>
      </c>
      <c r="AF1887">
        <v>35</v>
      </c>
      <c r="AG1887">
        <v>3</v>
      </c>
      <c r="AH1887">
        <v>1</v>
      </c>
      <c r="AI1887">
        <v>72.86</v>
      </c>
      <c r="AJ1887" t="s">
        <v>19592</v>
      </c>
      <c r="AL1887" t="s">
        <v>19615</v>
      </c>
      <c r="AM1887">
        <v>27288</v>
      </c>
      <c r="AS1887">
        <v>0.2</v>
      </c>
      <c r="AT1887" t="s">
        <v>848</v>
      </c>
      <c r="AU1887" t="s">
        <v>20620</v>
      </c>
    </row>
    <row r="1888" spans="1:48">
      <c r="A1888" s="1">
        <f>HYPERLINK("https://lsnyc.legalserver.org/matter/dynamic-profile/view/1905757","19-1905757")</f>
        <v>0</v>
      </c>
      <c r="B1888" t="s">
        <v>78</v>
      </c>
      <c r="C1888" t="s">
        <v>256</v>
      </c>
      <c r="D1888" t="s">
        <v>328</v>
      </c>
      <c r="F1888" t="s">
        <v>2037</v>
      </c>
      <c r="G1888" t="s">
        <v>3702</v>
      </c>
      <c r="H1888" t="s">
        <v>6712</v>
      </c>
      <c r="I1888" t="s">
        <v>8134</v>
      </c>
      <c r="J1888" t="s">
        <v>9059</v>
      </c>
      <c r="K1888">
        <v>11221</v>
      </c>
      <c r="L1888" t="s">
        <v>9094</v>
      </c>
      <c r="M1888" t="s">
        <v>9095</v>
      </c>
      <c r="N1888" t="s">
        <v>9121</v>
      </c>
      <c r="O1888" t="s">
        <v>9121</v>
      </c>
      <c r="P1888" t="s">
        <v>11167</v>
      </c>
      <c r="R1888" t="s">
        <v>11180</v>
      </c>
      <c r="S1888" t="s">
        <v>9094</v>
      </c>
      <c r="T1888" t="s">
        <v>11183</v>
      </c>
      <c r="U1888" t="s">
        <v>11201</v>
      </c>
      <c r="V1888" t="s">
        <v>512</v>
      </c>
      <c r="W1888">
        <v>793</v>
      </c>
      <c r="X1888" t="s">
        <v>11332</v>
      </c>
      <c r="Y1888" t="s">
        <v>11346</v>
      </c>
      <c r="Z1888" t="s">
        <v>12671</v>
      </c>
      <c r="AA1888" t="s">
        <v>9144</v>
      </c>
      <c r="AB1888" t="s">
        <v>17051</v>
      </c>
      <c r="AC1888">
        <v>12</v>
      </c>
      <c r="AD1888" t="s">
        <v>19566</v>
      </c>
      <c r="AE1888" t="s">
        <v>9144</v>
      </c>
      <c r="AF1888">
        <v>15</v>
      </c>
      <c r="AG1888">
        <v>1</v>
      </c>
      <c r="AH1888">
        <v>0</v>
      </c>
      <c r="AI1888">
        <v>72.86</v>
      </c>
      <c r="AL1888" t="s">
        <v>19614</v>
      </c>
      <c r="AM1888">
        <v>9100</v>
      </c>
      <c r="AN1888" t="s">
        <v>19826</v>
      </c>
      <c r="AS1888">
        <v>0</v>
      </c>
      <c r="AU1888" t="s">
        <v>79</v>
      </c>
      <c r="AV1888" t="s">
        <v>20733</v>
      </c>
    </row>
    <row r="1889" spans="1:48">
      <c r="A1889" s="1">
        <f>HYPERLINK("https://lsnyc.legalserver.org/matter/dynamic-profile/view/1904273","19-1904273")</f>
        <v>0</v>
      </c>
      <c r="B1889" t="s">
        <v>78</v>
      </c>
      <c r="C1889" t="s">
        <v>256</v>
      </c>
      <c r="D1889" t="s">
        <v>265</v>
      </c>
      <c r="F1889" t="s">
        <v>2037</v>
      </c>
      <c r="G1889" t="s">
        <v>3702</v>
      </c>
      <c r="H1889" t="s">
        <v>6712</v>
      </c>
      <c r="I1889" t="s">
        <v>8134</v>
      </c>
      <c r="J1889" t="s">
        <v>9059</v>
      </c>
      <c r="K1889">
        <v>11221</v>
      </c>
      <c r="L1889" t="s">
        <v>9094</v>
      </c>
      <c r="M1889" t="s">
        <v>9095</v>
      </c>
      <c r="N1889" t="s">
        <v>9154</v>
      </c>
      <c r="O1889" t="s">
        <v>11137</v>
      </c>
      <c r="P1889" t="s">
        <v>11167</v>
      </c>
      <c r="R1889" t="s">
        <v>11180</v>
      </c>
      <c r="S1889" t="s">
        <v>9094</v>
      </c>
      <c r="T1889" t="s">
        <v>11186</v>
      </c>
      <c r="U1889" t="s">
        <v>11201</v>
      </c>
      <c r="V1889" t="s">
        <v>635</v>
      </c>
      <c r="W1889">
        <v>793</v>
      </c>
      <c r="X1889" t="s">
        <v>11332</v>
      </c>
      <c r="Y1889" t="s">
        <v>11346</v>
      </c>
      <c r="Z1889" t="s">
        <v>12671</v>
      </c>
      <c r="AA1889" t="s">
        <v>9171</v>
      </c>
      <c r="AB1889" t="s">
        <v>17051</v>
      </c>
      <c r="AC1889">
        <v>12</v>
      </c>
      <c r="AD1889" t="s">
        <v>19566</v>
      </c>
      <c r="AE1889" t="s">
        <v>9144</v>
      </c>
      <c r="AF1889">
        <v>15</v>
      </c>
      <c r="AG1889">
        <v>1</v>
      </c>
      <c r="AH1889">
        <v>0</v>
      </c>
      <c r="AI1889">
        <v>72.86</v>
      </c>
      <c r="AL1889" t="s">
        <v>19614</v>
      </c>
      <c r="AM1889">
        <v>9100</v>
      </c>
      <c r="AN1889" t="s">
        <v>19827</v>
      </c>
      <c r="AS1889">
        <v>0</v>
      </c>
      <c r="AU1889" t="s">
        <v>95</v>
      </c>
      <c r="AV1889" t="s">
        <v>20733</v>
      </c>
    </row>
    <row r="1890" spans="1:48">
      <c r="A1890" s="1">
        <f>HYPERLINK("https://lsnyc.legalserver.org/matter/dynamic-profile/view/1895335","19-1895335")</f>
        <v>0</v>
      </c>
      <c r="B1890" t="s">
        <v>91</v>
      </c>
      <c r="C1890" t="s">
        <v>256</v>
      </c>
      <c r="D1890" t="s">
        <v>264</v>
      </c>
      <c r="F1890" t="s">
        <v>2037</v>
      </c>
      <c r="G1890" t="s">
        <v>3702</v>
      </c>
      <c r="H1890" t="s">
        <v>6712</v>
      </c>
      <c r="I1890" t="s">
        <v>8134</v>
      </c>
      <c r="J1890" t="s">
        <v>9059</v>
      </c>
      <c r="K1890">
        <v>11221</v>
      </c>
      <c r="L1890" t="s">
        <v>9094</v>
      </c>
      <c r="M1890" t="s">
        <v>9096</v>
      </c>
      <c r="N1890" t="s">
        <v>9192</v>
      </c>
      <c r="O1890" t="s">
        <v>11141</v>
      </c>
      <c r="P1890" t="s">
        <v>11170</v>
      </c>
      <c r="R1890" t="s">
        <v>11180</v>
      </c>
      <c r="S1890" t="s">
        <v>9094</v>
      </c>
      <c r="T1890" t="s">
        <v>11185</v>
      </c>
      <c r="U1890" t="s">
        <v>11199</v>
      </c>
      <c r="V1890" t="s">
        <v>264</v>
      </c>
      <c r="W1890">
        <v>793</v>
      </c>
      <c r="X1890" t="s">
        <v>11332</v>
      </c>
      <c r="Y1890" t="s">
        <v>11346</v>
      </c>
      <c r="Z1890" t="s">
        <v>12671</v>
      </c>
      <c r="AA1890" t="s">
        <v>9144</v>
      </c>
      <c r="AB1890" t="s">
        <v>17051</v>
      </c>
      <c r="AC1890">
        <v>12</v>
      </c>
      <c r="AD1890" t="s">
        <v>19566</v>
      </c>
      <c r="AE1890" t="s">
        <v>9144</v>
      </c>
      <c r="AF1890">
        <v>15</v>
      </c>
      <c r="AG1890">
        <v>1</v>
      </c>
      <c r="AH1890">
        <v>0</v>
      </c>
      <c r="AI1890">
        <v>72.86</v>
      </c>
      <c r="AL1890" t="s">
        <v>19614</v>
      </c>
      <c r="AM1890">
        <v>9100</v>
      </c>
      <c r="AN1890" t="s">
        <v>19827</v>
      </c>
      <c r="AS1890">
        <v>14</v>
      </c>
      <c r="AT1890" t="s">
        <v>521</v>
      </c>
      <c r="AU1890" t="s">
        <v>95</v>
      </c>
      <c r="AV1890" t="s">
        <v>20733</v>
      </c>
    </row>
    <row r="1891" spans="1:48">
      <c r="A1891" s="1">
        <f>HYPERLINK("https://lsnyc.legalserver.org/matter/dynamic-profile/view/1905840","19-1905840")</f>
        <v>0</v>
      </c>
      <c r="B1891" t="s">
        <v>93</v>
      </c>
      <c r="C1891" t="s">
        <v>256</v>
      </c>
      <c r="D1891" t="s">
        <v>426</v>
      </c>
      <c r="F1891" t="s">
        <v>2038</v>
      </c>
      <c r="G1891" t="s">
        <v>4233</v>
      </c>
      <c r="H1891" t="s">
        <v>6059</v>
      </c>
      <c r="I1891" t="s">
        <v>8212</v>
      </c>
      <c r="J1891" t="s">
        <v>9059</v>
      </c>
      <c r="K1891">
        <v>11212</v>
      </c>
      <c r="L1891" t="s">
        <v>9094</v>
      </c>
      <c r="M1891" t="s">
        <v>9095</v>
      </c>
      <c r="N1891" t="s">
        <v>9184</v>
      </c>
      <c r="O1891" t="s">
        <v>11132</v>
      </c>
      <c r="P1891" t="s">
        <v>11167</v>
      </c>
      <c r="R1891" t="s">
        <v>11180</v>
      </c>
      <c r="S1891" t="s">
        <v>9094</v>
      </c>
      <c r="T1891" t="s">
        <v>11186</v>
      </c>
      <c r="U1891" t="s">
        <v>11201</v>
      </c>
      <c r="V1891" t="s">
        <v>512</v>
      </c>
      <c r="W1891">
        <v>389.17</v>
      </c>
      <c r="X1891" t="s">
        <v>11332</v>
      </c>
      <c r="Y1891" t="s">
        <v>11340</v>
      </c>
      <c r="Z1891" t="s">
        <v>12672</v>
      </c>
      <c r="AA1891" t="s">
        <v>9171</v>
      </c>
      <c r="AB1891" t="s">
        <v>17052</v>
      </c>
      <c r="AC1891">
        <v>10</v>
      </c>
      <c r="AD1891" t="s">
        <v>19566</v>
      </c>
      <c r="AE1891" t="s">
        <v>9144</v>
      </c>
      <c r="AF1891">
        <v>6</v>
      </c>
      <c r="AG1891">
        <v>1</v>
      </c>
      <c r="AH1891">
        <v>0</v>
      </c>
      <c r="AI1891">
        <v>72.86</v>
      </c>
      <c r="AL1891" t="s">
        <v>19614</v>
      </c>
      <c r="AM1891">
        <v>9100</v>
      </c>
      <c r="AS1891">
        <v>0</v>
      </c>
      <c r="AU1891" t="s">
        <v>95</v>
      </c>
      <c r="AV1891" t="s">
        <v>20733</v>
      </c>
    </row>
    <row r="1892" spans="1:48">
      <c r="A1892" s="1">
        <f>HYPERLINK("https://lsnyc.legalserver.org/matter/dynamic-profile/view/1895376","19-1895376")</f>
        <v>0</v>
      </c>
      <c r="B1892" t="s">
        <v>93</v>
      </c>
      <c r="C1892" t="s">
        <v>256</v>
      </c>
      <c r="D1892" t="s">
        <v>264</v>
      </c>
      <c r="F1892" t="s">
        <v>2038</v>
      </c>
      <c r="G1892" t="s">
        <v>4233</v>
      </c>
      <c r="H1892" t="s">
        <v>6059</v>
      </c>
      <c r="I1892" t="s">
        <v>8212</v>
      </c>
      <c r="J1892" t="s">
        <v>9059</v>
      </c>
      <c r="K1892">
        <v>11212</v>
      </c>
      <c r="L1892" t="s">
        <v>9094</v>
      </c>
      <c r="M1892" t="s">
        <v>9094</v>
      </c>
      <c r="N1892" t="s">
        <v>9182</v>
      </c>
      <c r="O1892" t="s">
        <v>11141</v>
      </c>
      <c r="P1892" t="s">
        <v>11170</v>
      </c>
      <c r="R1892" t="s">
        <v>11180</v>
      </c>
      <c r="S1892" t="s">
        <v>9094</v>
      </c>
      <c r="T1892" t="s">
        <v>11183</v>
      </c>
      <c r="V1892" t="s">
        <v>264</v>
      </c>
      <c r="W1892">
        <v>389.17</v>
      </c>
      <c r="X1892" t="s">
        <v>11332</v>
      </c>
      <c r="Y1892" t="s">
        <v>11339</v>
      </c>
      <c r="Z1892" t="s">
        <v>12672</v>
      </c>
      <c r="AB1892" t="s">
        <v>17052</v>
      </c>
      <c r="AC1892">
        <v>10</v>
      </c>
      <c r="AD1892" t="s">
        <v>19566</v>
      </c>
      <c r="AE1892" t="s">
        <v>9144</v>
      </c>
      <c r="AF1892">
        <v>6</v>
      </c>
      <c r="AG1892">
        <v>1</v>
      </c>
      <c r="AH1892">
        <v>0</v>
      </c>
      <c r="AI1892">
        <v>72.86</v>
      </c>
      <c r="AL1892" t="s">
        <v>19614</v>
      </c>
      <c r="AM1892">
        <v>9100</v>
      </c>
      <c r="AS1892">
        <v>0</v>
      </c>
      <c r="AU1892" t="s">
        <v>79</v>
      </c>
    </row>
    <row r="1893" spans="1:48">
      <c r="A1893" s="1">
        <f>HYPERLINK("https://lsnyc.legalserver.org/matter/dynamic-profile/view/1884809","18-1884809")</f>
        <v>0</v>
      </c>
      <c r="B1893" t="s">
        <v>113</v>
      </c>
      <c r="C1893" t="s">
        <v>256</v>
      </c>
      <c r="D1893" t="s">
        <v>649</v>
      </c>
      <c r="F1893" t="s">
        <v>1470</v>
      </c>
      <c r="G1893" t="s">
        <v>3651</v>
      </c>
      <c r="H1893" t="s">
        <v>5864</v>
      </c>
      <c r="I1893" t="s">
        <v>8284</v>
      </c>
      <c r="J1893" t="s">
        <v>9065</v>
      </c>
      <c r="K1893">
        <v>10460</v>
      </c>
      <c r="L1893" t="s">
        <v>9094</v>
      </c>
      <c r="M1893" t="s">
        <v>9094</v>
      </c>
      <c r="N1893" t="s">
        <v>9222</v>
      </c>
      <c r="O1893" t="s">
        <v>11130</v>
      </c>
      <c r="P1893" t="s">
        <v>11165</v>
      </c>
      <c r="R1893" t="s">
        <v>11180</v>
      </c>
      <c r="S1893" t="s">
        <v>9094</v>
      </c>
      <c r="T1893" t="s">
        <v>11183</v>
      </c>
      <c r="V1893" t="s">
        <v>512</v>
      </c>
      <c r="W1893">
        <v>150</v>
      </c>
      <c r="X1893" t="s">
        <v>11333</v>
      </c>
      <c r="Y1893" t="s">
        <v>11346</v>
      </c>
      <c r="Z1893" t="s">
        <v>11741</v>
      </c>
      <c r="AB1893" t="s">
        <v>16206</v>
      </c>
      <c r="AC1893">
        <v>168</v>
      </c>
      <c r="AD1893" t="s">
        <v>19572</v>
      </c>
      <c r="AE1893" t="s">
        <v>19585</v>
      </c>
      <c r="AF1893">
        <v>25</v>
      </c>
      <c r="AG1893">
        <v>2</v>
      </c>
      <c r="AH1893">
        <v>0</v>
      </c>
      <c r="AI1893">
        <v>72.90000000000001</v>
      </c>
      <c r="AL1893" t="s">
        <v>19614</v>
      </c>
      <c r="AM1893">
        <v>12000</v>
      </c>
      <c r="AS1893">
        <v>683.24</v>
      </c>
      <c r="AT1893" t="s">
        <v>321</v>
      </c>
      <c r="AU1893" t="s">
        <v>110</v>
      </c>
    </row>
    <row r="1894" spans="1:48">
      <c r="A1894" s="1">
        <f>HYPERLINK("https://lsnyc.legalserver.org/matter/dynamic-profile/view/1909360","19-1909360")</f>
        <v>0</v>
      </c>
      <c r="B1894" t="s">
        <v>103</v>
      </c>
      <c r="C1894" t="s">
        <v>257</v>
      </c>
      <c r="D1894" t="s">
        <v>297</v>
      </c>
      <c r="E1894" t="s">
        <v>339</v>
      </c>
      <c r="F1894" t="s">
        <v>2039</v>
      </c>
      <c r="G1894" t="s">
        <v>4234</v>
      </c>
      <c r="H1894" t="s">
        <v>6713</v>
      </c>
      <c r="I1894" t="s">
        <v>8521</v>
      </c>
      <c r="J1894" t="s">
        <v>9065</v>
      </c>
      <c r="K1894">
        <v>10458</v>
      </c>
      <c r="L1894" t="s">
        <v>9094</v>
      </c>
      <c r="M1894" t="s">
        <v>9095</v>
      </c>
      <c r="N1894" t="s">
        <v>9890</v>
      </c>
      <c r="O1894" t="s">
        <v>11128</v>
      </c>
      <c r="P1894" t="s">
        <v>11164</v>
      </c>
      <c r="Q1894" t="s">
        <v>11172</v>
      </c>
      <c r="R1894" t="s">
        <v>11180</v>
      </c>
      <c r="S1894" t="s">
        <v>9096</v>
      </c>
      <c r="T1894" t="s">
        <v>11183</v>
      </c>
      <c r="V1894" t="s">
        <v>481</v>
      </c>
      <c r="W1894">
        <v>1150</v>
      </c>
      <c r="X1894" t="s">
        <v>11333</v>
      </c>
      <c r="Y1894" t="s">
        <v>11346</v>
      </c>
      <c r="Z1894" t="s">
        <v>12673</v>
      </c>
      <c r="AB1894" t="s">
        <v>17053</v>
      </c>
      <c r="AC1894">
        <v>94</v>
      </c>
      <c r="AD1894" t="s">
        <v>19566</v>
      </c>
      <c r="AE1894" t="s">
        <v>19585</v>
      </c>
      <c r="AF1894">
        <v>8</v>
      </c>
      <c r="AG1894">
        <v>1</v>
      </c>
      <c r="AH1894">
        <v>0</v>
      </c>
      <c r="AI1894">
        <v>72.90000000000001</v>
      </c>
      <c r="AL1894" t="s">
        <v>19615</v>
      </c>
      <c r="AM1894">
        <v>9105.360000000001</v>
      </c>
      <c r="AS1894">
        <v>0.1</v>
      </c>
      <c r="AT1894" t="s">
        <v>339</v>
      </c>
      <c r="AU1894" t="s">
        <v>220</v>
      </c>
      <c r="AV1894" t="s">
        <v>20733</v>
      </c>
    </row>
    <row r="1895" spans="1:48">
      <c r="A1895" s="1">
        <f>HYPERLINK("https://lsnyc.legalserver.org/matter/dynamic-profile/view/1864522","18-1864522")</f>
        <v>0</v>
      </c>
      <c r="B1895" t="s">
        <v>148</v>
      </c>
      <c r="C1895" t="s">
        <v>256</v>
      </c>
      <c r="D1895" t="s">
        <v>552</v>
      </c>
      <c r="F1895" t="s">
        <v>2040</v>
      </c>
      <c r="G1895" t="s">
        <v>3592</v>
      </c>
      <c r="H1895" t="s">
        <v>5961</v>
      </c>
      <c r="I1895">
        <v>202</v>
      </c>
      <c r="J1895" t="s">
        <v>9067</v>
      </c>
      <c r="K1895">
        <v>10029</v>
      </c>
      <c r="L1895" t="s">
        <v>9094</v>
      </c>
      <c r="M1895" t="s">
        <v>9094</v>
      </c>
      <c r="N1895" t="s">
        <v>9287</v>
      </c>
      <c r="O1895" t="s">
        <v>11130</v>
      </c>
      <c r="P1895" t="s">
        <v>11165</v>
      </c>
      <c r="R1895" t="s">
        <v>11180</v>
      </c>
      <c r="S1895" t="s">
        <v>9094</v>
      </c>
      <c r="T1895" t="s">
        <v>11183</v>
      </c>
      <c r="U1895" t="s">
        <v>11201</v>
      </c>
      <c r="V1895" t="s">
        <v>552</v>
      </c>
      <c r="W1895">
        <v>0</v>
      </c>
      <c r="X1895" t="s">
        <v>11335</v>
      </c>
      <c r="Y1895" t="s">
        <v>11339</v>
      </c>
      <c r="Z1895" t="s">
        <v>12674</v>
      </c>
      <c r="AC1895">
        <v>108</v>
      </c>
      <c r="AD1895" t="s">
        <v>19567</v>
      </c>
      <c r="AE1895" t="s">
        <v>19580</v>
      </c>
      <c r="AF1895">
        <v>10</v>
      </c>
      <c r="AG1895">
        <v>1</v>
      </c>
      <c r="AH1895">
        <v>1</v>
      </c>
      <c r="AI1895">
        <v>72.90000000000001</v>
      </c>
      <c r="AL1895" t="s">
        <v>19615</v>
      </c>
      <c r="AM1895">
        <v>12000</v>
      </c>
      <c r="AS1895">
        <v>0.25</v>
      </c>
      <c r="AT1895" t="s">
        <v>289</v>
      </c>
      <c r="AU1895" t="s">
        <v>20657</v>
      </c>
    </row>
    <row r="1896" spans="1:48">
      <c r="A1896" s="1">
        <f>HYPERLINK("https://lsnyc.legalserver.org/matter/dynamic-profile/view/1906941","19-1906941")</f>
        <v>0</v>
      </c>
      <c r="B1896" t="s">
        <v>117</v>
      </c>
      <c r="C1896" t="s">
        <v>256</v>
      </c>
      <c r="D1896" t="s">
        <v>370</v>
      </c>
      <c r="F1896" t="s">
        <v>2041</v>
      </c>
      <c r="G1896" t="s">
        <v>3706</v>
      </c>
      <c r="H1896" t="s">
        <v>5899</v>
      </c>
      <c r="I1896" t="s">
        <v>8134</v>
      </c>
      <c r="J1896" t="s">
        <v>9065</v>
      </c>
      <c r="K1896">
        <v>10452</v>
      </c>
      <c r="L1896" t="s">
        <v>9094</v>
      </c>
      <c r="M1896" t="s">
        <v>9095</v>
      </c>
      <c r="R1896" t="s">
        <v>11180</v>
      </c>
      <c r="S1896" t="s">
        <v>9094</v>
      </c>
      <c r="T1896" t="s">
        <v>11183</v>
      </c>
      <c r="W1896">
        <v>1659</v>
      </c>
      <c r="X1896" t="s">
        <v>11333</v>
      </c>
      <c r="Y1896" t="s">
        <v>11339</v>
      </c>
      <c r="Z1896" t="s">
        <v>12675</v>
      </c>
      <c r="AB1896" t="s">
        <v>17054</v>
      </c>
      <c r="AC1896">
        <v>65</v>
      </c>
      <c r="AD1896" t="s">
        <v>15441</v>
      </c>
      <c r="AE1896" t="s">
        <v>19580</v>
      </c>
      <c r="AF1896">
        <v>19</v>
      </c>
      <c r="AG1896">
        <v>1</v>
      </c>
      <c r="AH1896">
        <v>0</v>
      </c>
      <c r="AI1896">
        <v>72.92</v>
      </c>
      <c r="AL1896" t="s">
        <v>19615</v>
      </c>
      <c r="AM1896">
        <v>9108</v>
      </c>
      <c r="AS1896">
        <v>0.8</v>
      </c>
      <c r="AT1896" t="s">
        <v>295</v>
      </c>
      <c r="AU1896" t="s">
        <v>220</v>
      </c>
    </row>
    <row r="1897" spans="1:48">
      <c r="A1897" s="1">
        <f>HYPERLINK("https://lsnyc.legalserver.org/matter/dynamic-profile/view/1914932","19-1914932")</f>
        <v>0</v>
      </c>
      <c r="B1897" t="s">
        <v>117</v>
      </c>
      <c r="C1897" t="s">
        <v>256</v>
      </c>
      <c r="D1897" t="s">
        <v>331</v>
      </c>
      <c r="F1897" t="s">
        <v>2041</v>
      </c>
      <c r="G1897" t="s">
        <v>3706</v>
      </c>
      <c r="H1897" t="s">
        <v>5899</v>
      </c>
      <c r="I1897" t="s">
        <v>8134</v>
      </c>
      <c r="J1897" t="s">
        <v>9065</v>
      </c>
      <c r="K1897">
        <v>10452</v>
      </c>
      <c r="L1897" t="s">
        <v>9095</v>
      </c>
      <c r="M1897" t="s">
        <v>9095</v>
      </c>
      <c r="R1897" t="s">
        <v>11180</v>
      </c>
      <c r="S1897" t="s">
        <v>9094</v>
      </c>
      <c r="T1897" t="s">
        <v>11183</v>
      </c>
      <c r="W1897">
        <v>1659</v>
      </c>
      <c r="X1897" t="s">
        <v>11333</v>
      </c>
      <c r="Y1897" t="s">
        <v>11346</v>
      </c>
      <c r="Z1897" t="s">
        <v>12675</v>
      </c>
      <c r="AB1897" t="s">
        <v>17054</v>
      </c>
      <c r="AC1897">
        <v>65</v>
      </c>
      <c r="AD1897" t="s">
        <v>15441</v>
      </c>
      <c r="AE1897" t="s">
        <v>19580</v>
      </c>
      <c r="AF1897">
        <v>19</v>
      </c>
      <c r="AG1897">
        <v>1</v>
      </c>
      <c r="AH1897">
        <v>0</v>
      </c>
      <c r="AI1897">
        <v>72.92</v>
      </c>
      <c r="AL1897" t="s">
        <v>19615</v>
      </c>
      <c r="AM1897">
        <v>9108</v>
      </c>
      <c r="AS1897">
        <v>0</v>
      </c>
      <c r="AU1897" t="s">
        <v>20647</v>
      </c>
    </row>
    <row r="1898" spans="1:48">
      <c r="A1898" s="1">
        <f>HYPERLINK("https://lsnyc.legalserver.org/matter/dynamic-profile/view/1854878","17-1854878")</f>
        <v>0</v>
      </c>
      <c r="B1898" t="s">
        <v>101</v>
      </c>
      <c r="C1898" t="s">
        <v>256</v>
      </c>
      <c r="D1898" t="s">
        <v>558</v>
      </c>
      <c r="F1898" t="s">
        <v>2042</v>
      </c>
      <c r="G1898" t="s">
        <v>3540</v>
      </c>
      <c r="H1898" t="s">
        <v>6041</v>
      </c>
      <c r="I1898" t="s">
        <v>8131</v>
      </c>
      <c r="J1898" t="s">
        <v>9065</v>
      </c>
      <c r="K1898">
        <v>10452</v>
      </c>
      <c r="L1898" t="s">
        <v>9094</v>
      </c>
      <c r="M1898" t="s">
        <v>9095</v>
      </c>
      <c r="N1898" t="s">
        <v>9356</v>
      </c>
      <c r="O1898" t="s">
        <v>11135</v>
      </c>
      <c r="P1898" t="s">
        <v>11168</v>
      </c>
      <c r="R1898" t="s">
        <v>11180</v>
      </c>
      <c r="S1898" t="s">
        <v>9094</v>
      </c>
      <c r="T1898" t="s">
        <v>11183</v>
      </c>
      <c r="V1898" t="s">
        <v>1122</v>
      </c>
      <c r="W1898">
        <v>854.16</v>
      </c>
      <c r="X1898" t="s">
        <v>11333</v>
      </c>
      <c r="Y1898" t="s">
        <v>11346</v>
      </c>
      <c r="Z1898" t="s">
        <v>12676</v>
      </c>
      <c r="AB1898" t="s">
        <v>17055</v>
      </c>
      <c r="AC1898">
        <v>62</v>
      </c>
      <c r="AD1898" t="s">
        <v>19566</v>
      </c>
      <c r="AE1898" t="s">
        <v>19580</v>
      </c>
      <c r="AF1898">
        <v>35</v>
      </c>
      <c r="AG1898">
        <v>1</v>
      </c>
      <c r="AH1898">
        <v>0</v>
      </c>
      <c r="AI1898">
        <v>72.94</v>
      </c>
      <c r="AL1898" t="s">
        <v>19615</v>
      </c>
      <c r="AM1898">
        <v>8796</v>
      </c>
      <c r="AS1898">
        <v>0.4</v>
      </c>
      <c r="AT1898" t="s">
        <v>558</v>
      </c>
      <c r="AU1898" t="s">
        <v>174</v>
      </c>
    </row>
    <row r="1899" spans="1:48">
      <c r="A1899" s="1">
        <f>HYPERLINK("https://lsnyc.legalserver.org/matter/dynamic-profile/view/1855227","18-1855227")</f>
        <v>0</v>
      </c>
      <c r="B1899" t="s">
        <v>101</v>
      </c>
      <c r="C1899" t="s">
        <v>256</v>
      </c>
      <c r="D1899" t="s">
        <v>654</v>
      </c>
      <c r="F1899" t="s">
        <v>2042</v>
      </c>
      <c r="G1899" t="s">
        <v>3540</v>
      </c>
      <c r="H1899" t="s">
        <v>6041</v>
      </c>
      <c r="I1899" t="s">
        <v>8131</v>
      </c>
      <c r="J1899" t="s">
        <v>9065</v>
      </c>
      <c r="K1899">
        <v>10452</v>
      </c>
      <c r="L1899" t="s">
        <v>9094</v>
      </c>
      <c r="M1899" t="s">
        <v>9094</v>
      </c>
      <c r="N1899" t="s">
        <v>9496</v>
      </c>
      <c r="O1899" t="s">
        <v>11135</v>
      </c>
      <c r="P1899" t="s">
        <v>11168</v>
      </c>
      <c r="R1899" t="s">
        <v>11180</v>
      </c>
      <c r="S1899" t="s">
        <v>9094</v>
      </c>
      <c r="T1899" t="s">
        <v>11183</v>
      </c>
      <c r="V1899" t="s">
        <v>1122</v>
      </c>
      <c r="W1899">
        <v>854.16</v>
      </c>
      <c r="X1899" t="s">
        <v>11333</v>
      </c>
      <c r="Y1899" t="s">
        <v>11346</v>
      </c>
      <c r="Z1899" t="s">
        <v>12676</v>
      </c>
      <c r="AB1899" t="s">
        <v>17055</v>
      </c>
      <c r="AC1899">
        <v>62</v>
      </c>
      <c r="AD1899" t="s">
        <v>19566</v>
      </c>
      <c r="AE1899" t="s">
        <v>19580</v>
      </c>
      <c r="AF1899">
        <v>35</v>
      </c>
      <c r="AG1899">
        <v>1</v>
      </c>
      <c r="AH1899">
        <v>0</v>
      </c>
      <c r="AI1899">
        <v>72.94</v>
      </c>
      <c r="AL1899" t="s">
        <v>19615</v>
      </c>
      <c r="AM1899">
        <v>8796</v>
      </c>
      <c r="AS1899">
        <v>0</v>
      </c>
      <c r="AU1899" t="s">
        <v>20643</v>
      </c>
    </row>
    <row r="1900" spans="1:48">
      <c r="A1900" s="1">
        <f>HYPERLINK("https://lsnyc.legalserver.org/matter/dynamic-profile/view/0792795","15-0792795")</f>
        <v>0</v>
      </c>
      <c r="B1900" t="s">
        <v>49</v>
      </c>
      <c r="C1900" t="s">
        <v>256</v>
      </c>
      <c r="D1900" t="s">
        <v>859</v>
      </c>
      <c r="F1900" t="s">
        <v>2043</v>
      </c>
      <c r="G1900" t="s">
        <v>4235</v>
      </c>
      <c r="H1900" t="s">
        <v>5736</v>
      </c>
      <c r="I1900" t="s">
        <v>8522</v>
      </c>
      <c r="J1900" t="s">
        <v>9055</v>
      </c>
      <c r="K1900">
        <v>11354</v>
      </c>
      <c r="L1900" t="s">
        <v>9094</v>
      </c>
      <c r="M1900" t="s">
        <v>9095</v>
      </c>
      <c r="N1900" t="s">
        <v>9717</v>
      </c>
      <c r="O1900" t="s">
        <v>11135</v>
      </c>
      <c r="P1900" t="s">
        <v>11168</v>
      </c>
      <c r="R1900" t="s">
        <v>11180</v>
      </c>
      <c r="T1900" t="s">
        <v>11183</v>
      </c>
      <c r="V1900" t="s">
        <v>11206</v>
      </c>
      <c r="W1900">
        <v>1115.39</v>
      </c>
      <c r="X1900" t="s">
        <v>11331</v>
      </c>
      <c r="Y1900" t="s">
        <v>11342</v>
      </c>
      <c r="Z1900" t="s">
        <v>12677</v>
      </c>
      <c r="AB1900" t="s">
        <v>17056</v>
      </c>
      <c r="AC1900">
        <v>175</v>
      </c>
      <c r="AD1900" t="s">
        <v>19566</v>
      </c>
      <c r="AE1900" t="s">
        <v>9144</v>
      </c>
      <c r="AF1900">
        <v>12</v>
      </c>
      <c r="AG1900">
        <v>2</v>
      </c>
      <c r="AH1900">
        <v>0</v>
      </c>
      <c r="AI1900">
        <v>72.98999999999999</v>
      </c>
      <c r="AL1900" t="s">
        <v>19623</v>
      </c>
      <c r="AM1900">
        <v>11628</v>
      </c>
      <c r="AS1900">
        <v>1.15</v>
      </c>
      <c r="AT1900" t="s">
        <v>448</v>
      </c>
      <c r="AU1900" t="s">
        <v>242</v>
      </c>
    </row>
    <row r="1901" spans="1:48">
      <c r="A1901" s="1">
        <f>HYPERLINK("https://lsnyc.legalserver.org/matter/dynamic-profile/view/1901861","19-1901861")</f>
        <v>0</v>
      </c>
      <c r="B1901" t="s">
        <v>106</v>
      </c>
      <c r="C1901" t="s">
        <v>256</v>
      </c>
      <c r="D1901" t="s">
        <v>298</v>
      </c>
      <c r="F1901" t="s">
        <v>1270</v>
      </c>
      <c r="G1901" t="s">
        <v>4236</v>
      </c>
      <c r="H1901" t="s">
        <v>6714</v>
      </c>
      <c r="I1901">
        <v>220</v>
      </c>
      <c r="J1901" t="s">
        <v>9065</v>
      </c>
      <c r="K1901">
        <v>10459</v>
      </c>
      <c r="L1901" t="s">
        <v>9094</v>
      </c>
      <c r="M1901" t="s">
        <v>9095</v>
      </c>
      <c r="N1901" t="s">
        <v>9891</v>
      </c>
      <c r="O1901" t="s">
        <v>11129</v>
      </c>
      <c r="P1901" t="s">
        <v>11165</v>
      </c>
      <c r="R1901" t="s">
        <v>11180</v>
      </c>
      <c r="S1901" t="s">
        <v>9096</v>
      </c>
      <c r="T1901" t="s">
        <v>11183</v>
      </c>
      <c r="V1901" t="s">
        <v>298</v>
      </c>
      <c r="W1901">
        <v>1022</v>
      </c>
      <c r="X1901" t="s">
        <v>11333</v>
      </c>
      <c r="Y1901" t="s">
        <v>11340</v>
      </c>
      <c r="Z1901" t="s">
        <v>12678</v>
      </c>
      <c r="AA1901" t="s">
        <v>15629</v>
      </c>
      <c r="AB1901" t="s">
        <v>17057</v>
      </c>
      <c r="AC1901">
        <v>144</v>
      </c>
      <c r="AD1901" t="s">
        <v>19566</v>
      </c>
      <c r="AE1901" t="s">
        <v>19582</v>
      </c>
      <c r="AF1901">
        <v>2</v>
      </c>
      <c r="AG1901">
        <v>2</v>
      </c>
      <c r="AH1901">
        <v>2</v>
      </c>
      <c r="AI1901">
        <v>73</v>
      </c>
      <c r="AL1901" t="s">
        <v>19615</v>
      </c>
      <c r="AM1901">
        <v>18798</v>
      </c>
      <c r="AS1901">
        <v>23.75</v>
      </c>
      <c r="AT1901" t="s">
        <v>728</v>
      </c>
      <c r="AU1901" t="s">
        <v>220</v>
      </c>
      <c r="AV1901" t="s">
        <v>20734</v>
      </c>
    </row>
    <row r="1902" spans="1:48">
      <c r="A1902" s="1">
        <f>HYPERLINK("https://lsnyc.legalserver.org/matter/dynamic-profile/view/1891206","19-1891206")</f>
        <v>0</v>
      </c>
      <c r="B1902" t="s">
        <v>84</v>
      </c>
      <c r="C1902" t="s">
        <v>256</v>
      </c>
      <c r="D1902" t="s">
        <v>491</v>
      </c>
      <c r="F1902" t="s">
        <v>1193</v>
      </c>
      <c r="G1902" t="s">
        <v>4237</v>
      </c>
      <c r="H1902" t="s">
        <v>6715</v>
      </c>
      <c r="I1902">
        <v>4</v>
      </c>
      <c r="J1902" t="s">
        <v>9059</v>
      </c>
      <c r="K1902">
        <v>11232</v>
      </c>
      <c r="L1902" t="s">
        <v>9094</v>
      </c>
      <c r="M1902" t="s">
        <v>9094</v>
      </c>
      <c r="N1902" t="s">
        <v>9892</v>
      </c>
      <c r="O1902" t="s">
        <v>11129</v>
      </c>
      <c r="P1902" t="s">
        <v>11165</v>
      </c>
      <c r="R1902" t="s">
        <v>11180</v>
      </c>
      <c r="T1902" t="s">
        <v>11183</v>
      </c>
      <c r="V1902" t="s">
        <v>491</v>
      </c>
      <c r="W1902">
        <v>1147.63</v>
      </c>
      <c r="X1902" t="s">
        <v>11332</v>
      </c>
      <c r="Y1902" t="s">
        <v>11346</v>
      </c>
      <c r="Z1902" t="s">
        <v>12679</v>
      </c>
      <c r="AB1902" t="s">
        <v>17058</v>
      </c>
      <c r="AC1902">
        <v>0</v>
      </c>
      <c r="AD1902" t="s">
        <v>19566</v>
      </c>
      <c r="AE1902" t="s">
        <v>19580</v>
      </c>
      <c r="AF1902">
        <v>23</v>
      </c>
      <c r="AG1902">
        <v>1</v>
      </c>
      <c r="AH1902">
        <v>0</v>
      </c>
      <c r="AI1902">
        <v>73.02</v>
      </c>
      <c r="AL1902" t="s">
        <v>19614</v>
      </c>
      <c r="AM1902">
        <v>9120</v>
      </c>
      <c r="AO1902" t="s">
        <v>20290</v>
      </c>
      <c r="AQ1902" t="s">
        <v>20369</v>
      </c>
      <c r="AS1902">
        <v>12.2</v>
      </c>
      <c r="AT1902" t="s">
        <v>497</v>
      </c>
      <c r="AU1902" t="s">
        <v>215</v>
      </c>
    </row>
    <row r="1903" spans="1:48">
      <c r="A1903" s="1">
        <f>HYPERLINK("https://lsnyc.legalserver.org/matter/dynamic-profile/view/1898867","19-1898867")</f>
        <v>0</v>
      </c>
      <c r="B1903" t="s">
        <v>84</v>
      </c>
      <c r="C1903" t="s">
        <v>256</v>
      </c>
      <c r="D1903" t="s">
        <v>337</v>
      </c>
      <c r="F1903" t="s">
        <v>1193</v>
      </c>
      <c r="G1903" t="s">
        <v>4237</v>
      </c>
      <c r="H1903" t="s">
        <v>6715</v>
      </c>
      <c r="I1903">
        <v>4</v>
      </c>
      <c r="J1903" t="s">
        <v>9059</v>
      </c>
      <c r="K1903">
        <v>11232</v>
      </c>
      <c r="L1903" t="s">
        <v>9094</v>
      </c>
      <c r="M1903" t="s">
        <v>9094</v>
      </c>
      <c r="P1903" t="s">
        <v>11166</v>
      </c>
      <c r="R1903" t="s">
        <v>11180</v>
      </c>
      <c r="S1903" t="s">
        <v>9096</v>
      </c>
      <c r="T1903" t="s">
        <v>11183</v>
      </c>
      <c r="V1903" t="s">
        <v>337</v>
      </c>
      <c r="W1903">
        <v>0</v>
      </c>
      <c r="X1903" t="s">
        <v>11332</v>
      </c>
      <c r="Z1903" t="s">
        <v>12679</v>
      </c>
      <c r="AB1903" t="s">
        <v>17058</v>
      </c>
      <c r="AC1903">
        <v>0</v>
      </c>
      <c r="AF1903">
        <v>0</v>
      </c>
      <c r="AG1903">
        <v>1</v>
      </c>
      <c r="AH1903">
        <v>0</v>
      </c>
      <c r="AI1903">
        <v>73.02</v>
      </c>
      <c r="AL1903" t="s">
        <v>19614</v>
      </c>
      <c r="AM1903">
        <v>9120</v>
      </c>
      <c r="AS1903">
        <v>1.4</v>
      </c>
      <c r="AT1903" t="s">
        <v>760</v>
      </c>
      <c r="AU1903" t="s">
        <v>215</v>
      </c>
    </row>
    <row r="1904" spans="1:48">
      <c r="A1904" s="1">
        <f>HYPERLINK("https://lsnyc.legalserver.org/matter/dynamic-profile/view/1906045","19-1906045")</f>
        <v>0</v>
      </c>
      <c r="B1904" t="s">
        <v>106</v>
      </c>
      <c r="C1904" t="s">
        <v>257</v>
      </c>
      <c r="D1904" t="s">
        <v>330</v>
      </c>
      <c r="E1904" t="s">
        <v>282</v>
      </c>
      <c r="F1904" t="s">
        <v>1781</v>
      </c>
      <c r="G1904" t="s">
        <v>4238</v>
      </c>
      <c r="H1904" t="s">
        <v>6716</v>
      </c>
      <c r="I1904" t="s">
        <v>8361</v>
      </c>
      <c r="J1904" t="s">
        <v>9065</v>
      </c>
      <c r="K1904">
        <v>10467</v>
      </c>
      <c r="L1904" t="s">
        <v>9094</v>
      </c>
      <c r="M1904" t="s">
        <v>9095</v>
      </c>
      <c r="N1904" t="s">
        <v>9893</v>
      </c>
      <c r="O1904" t="s">
        <v>11134</v>
      </c>
      <c r="P1904" t="s">
        <v>11167</v>
      </c>
      <c r="Q1904" t="s">
        <v>11173</v>
      </c>
      <c r="R1904" t="s">
        <v>11180</v>
      </c>
      <c r="S1904" t="s">
        <v>9096</v>
      </c>
      <c r="T1904" t="s">
        <v>11189</v>
      </c>
      <c r="V1904" t="s">
        <v>493</v>
      </c>
      <c r="W1904">
        <v>811</v>
      </c>
      <c r="X1904" t="s">
        <v>11333</v>
      </c>
      <c r="Y1904" t="s">
        <v>11340</v>
      </c>
      <c r="Z1904" t="s">
        <v>12680</v>
      </c>
      <c r="AB1904" t="s">
        <v>17059</v>
      </c>
      <c r="AC1904">
        <v>53</v>
      </c>
      <c r="AD1904" t="s">
        <v>19566</v>
      </c>
      <c r="AE1904" t="s">
        <v>19587</v>
      </c>
      <c r="AF1904">
        <v>42</v>
      </c>
      <c r="AG1904">
        <v>1</v>
      </c>
      <c r="AH1904">
        <v>0</v>
      </c>
      <c r="AI1904">
        <v>73.02</v>
      </c>
      <c r="AL1904" t="s">
        <v>19615</v>
      </c>
      <c r="AM1904">
        <v>9120</v>
      </c>
      <c r="AS1904">
        <v>0.6</v>
      </c>
      <c r="AT1904" t="s">
        <v>330</v>
      </c>
      <c r="AU1904" t="s">
        <v>220</v>
      </c>
      <c r="AV1904" t="s">
        <v>20733</v>
      </c>
    </row>
    <row r="1905" spans="1:48">
      <c r="A1905" s="1">
        <f>HYPERLINK("https://lsnyc.legalserver.org/matter/dynamic-profile/view/1904525","19-1904525")</f>
        <v>0</v>
      </c>
      <c r="B1905" t="s">
        <v>106</v>
      </c>
      <c r="C1905" t="s">
        <v>257</v>
      </c>
      <c r="D1905" t="s">
        <v>615</v>
      </c>
      <c r="E1905" t="s">
        <v>328</v>
      </c>
      <c r="F1905" t="s">
        <v>2044</v>
      </c>
      <c r="G1905" t="s">
        <v>4238</v>
      </c>
      <c r="H1905" t="s">
        <v>6716</v>
      </c>
      <c r="I1905" t="s">
        <v>8361</v>
      </c>
      <c r="J1905" t="s">
        <v>9065</v>
      </c>
      <c r="K1905">
        <v>10467</v>
      </c>
      <c r="L1905" t="s">
        <v>9094</v>
      </c>
      <c r="M1905" t="s">
        <v>9095</v>
      </c>
      <c r="N1905" t="s">
        <v>9893</v>
      </c>
      <c r="O1905" t="s">
        <v>11128</v>
      </c>
      <c r="P1905" t="s">
        <v>11165</v>
      </c>
      <c r="Q1905" t="s">
        <v>11174</v>
      </c>
      <c r="R1905" t="s">
        <v>11180</v>
      </c>
      <c r="S1905" t="s">
        <v>9096</v>
      </c>
      <c r="T1905" t="s">
        <v>11183</v>
      </c>
      <c r="U1905" t="s">
        <v>11201</v>
      </c>
      <c r="V1905" t="s">
        <v>706</v>
      </c>
      <c r="W1905">
        <v>811</v>
      </c>
      <c r="X1905" t="s">
        <v>11333</v>
      </c>
      <c r="Y1905" t="s">
        <v>11340</v>
      </c>
      <c r="Z1905" t="s">
        <v>12680</v>
      </c>
      <c r="AB1905" t="s">
        <v>17059</v>
      </c>
      <c r="AC1905">
        <v>53</v>
      </c>
      <c r="AD1905" t="s">
        <v>19566</v>
      </c>
      <c r="AE1905" t="s">
        <v>19587</v>
      </c>
      <c r="AF1905">
        <v>42</v>
      </c>
      <c r="AG1905">
        <v>1</v>
      </c>
      <c r="AH1905">
        <v>0</v>
      </c>
      <c r="AI1905">
        <v>73.02</v>
      </c>
      <c r="AL1905" t="s">
        <v>19615</v>
      </c>
      <c r="AM1905">
        <v>9120</v>
      </c>
      <c r="AP1905" t="s">
        <v>20313</v>
      </c>
      <c r="AQ1905" t="s">
        <v>20369</v>
      </c>
      <c r="AR1905" t="s">
        <v>20424</v>
      </c>
      <c r="AS1905">
        <v>3.5</v>
      </c>
      <c r="AT1905" t="s">
        <v>621</v>
      </c>
      <c r="AU1905" t="s">
        <v>220</v>
      </c>
      <c r="AV1905" t="s">
        <v>20733</v>
      </c>
    </row>
    <row r="1906" spans="1:48">
      <c r="A1906" s="1">
        <f>HYPERLINK("https://lsnyc.legalserver.org/matter/dynamic-profile/view/1904528","19-1904528")</f>
        <v>0</v>
      </c>
      <c r="B1906" t="s">
        <v>106</v>
      </c>
      <c r="C1906" t="s">
        <v>257</v>
      </c>
      <c r="D1906" t="s">
        <v>615</v>
      </c>
      <c r="E1906" t="s">
        <v>497</v>
      </c>
      <c r="F1906" t="s">
        <v>2044</v>
      </c>
      <c r="G1906" t="s">
        <v>4238</v>
      </c>
      <c r="H1906" t="s">
        <v>6716</v>
      </c>
      <c r="I1906" t="s">
        <v>8361</v>
      </c>
      <c r="J1906" t="s">
        <v>9065</v>
      </c>
      <c r="K1906">
        <v>10467</v>
      </c>
      <c r="L1906" t="s">
        <v>9094</v>
      </c>
      <c r="M1906" t="s">
        <v>9095</v>
      </c>
      <c r="N1906" t="s">
        <v>9893</v>
      </c>
      <c r="O1906" t="s">
        <v>11133</v>
      </c>
      <c r="P1906" t="s">
        <v>11167</v>
      </c>
      <c r="Q1906" t="s">
        <v>11173</v>
      </c>
      <c r="R1906" t="s">
        <v>11180</v>
      </c>
      <c r="S1906" t="s">
        <v>9096</v>
      </c>
      <c r="T1906" t="s">
        <v>11189</v>
      </c>
      <c r="V1906" t="s">
        <v>706</v>
      </c>
      <c r="W1906">
        <v>811</v>
      </c>
      <c r="X1906" t="s">
        <v>11333</v>
      </c>
      <c r="Y1906" t="s">
        <v>11340</v>
      </c>
      <c r="Z1906" t="s">
        <v>12680</v>
      </c>
      <c r="AB1906" t="s">
        <v>17059</v>
      </c>
      <c r="AC1906">
        <v>53</v>
      </c>
      <c r="AD1906" t="s">
        <v>19566</v>
      </c>
      <c r="AE1906" t="s">
        <v>19587</v>
      </c>
      <c r="AF1906">
        <v>42</v>
      </c>
      <c r="AG1906">
        <v>1</v>
      </c>
      <c r="AH1906">
        <v>0</v>
      </c>
      <c r="AI1906">
        <v>73.02</v>
      </c>
      <c r="AL1906" t="s">
        <v>19615</v>
      </c>
      <c r="AM1906">
        <v>9120</v>
      </c>
      <c r="AS1906">
        <v>1.5</v>
      </c>
      <c r="AT1906" t="s">
        <v>497</v>
      </c>
      <c r="AU1906" t="s">
        <v>220</v>
      </c>
      <c r="AV1906" t="s">
        <v>20733</v>
      </c>
    </row>
    <row r="1907" spans="1:48">
      <c r="A1907" s="1">
        <f>HYPERLINK("https://lsnyc.legalserver.org/matter/dynamic-profile/view/1911891","19-1911891")</f>
        <v>0</v>
      </c>
      <c r="B1907" t="s">
        <v>138</v>
      </c>
      <c r="C1907" t="s">
        <v>256</v>
      </c>
      <c r="D1907" t="s">
        <v>284</v>
      </c>
      <c r="F1907" t="s">
        <v>1474</v>
      </c>
      <c r="G1907" t="s">
        <v>4239</v>
      </c>
      <c r="H1907" t="s">
        <v>6717</v>
      </c>
      <c r="I1907" t="s">
        <v>8446</v>
      </c>
      <c r="J1907" t="s">
        <v>9067</v>
      </c>
      <c r="K1907">
        <v>10034</v>
      </c>
      <c r="L1907" t="s">
        <v>9094</v>
      </c>
      <c r="M1907" t="s">
        <v>9095</v>
      </c>
      <c r="P1907" t="s">
        <v>11167</v>
      </c>
      <c r="R1907" t="s">
        <v>11180</v>
      </c>
      <c r="S1907" t="s">
        <v>9096</v>
      </c>
      <c r="T1907" t="s">
        <v>11183</v>
      </c>
      <c r="V1907" t="s">
        <v>284</v>
      </c>
      <c r="W1907">
        <v>0</v>
      </c>
      <c r="X1907" t="s">
        <v>11335</v>
      </c>
      <c r="Y1907" t="s">
        <v>11340</v>
      </c>
      <c r="Z1907" t="s">
        <v>12681</v>
      </c>
      <c r="AB1907" t="s">
        <v>17060</v>
      </c>
      <c r="AC1907">
        <v>100</v>
      </c>
      <c r="AD1907" t="s">
        <v>19566</v>
      </c>
      <c r="AE1907" t="s">
        <v>9144</v>
      </c>
      <c r="AF1907">
        <v>1</v>
      </c>
      <c r="AG1907">
        <v>1</v>
      </c>
      <c r="AH1907">
        <v>0</v>
      </c>
      <c r="AI1907">
        <v>73.02</v>
      </c>
      <c r="AL1907" t="s">
        <v>19614</v>
      </c>
      <c r="AM1907">
        <v>9120</v>
      </c>
      <c r="AS1907">
        <v>7</v>
      </c>
      <c r="AT1907" t="s">
        <v>377</v>
      </c>
      <c r="AU1907" t="s">
        <v>130</v>
      </c>
      <c r="AV1907" t="s">
        <v>20733</v>
      </c>
    </row>
    <row r="1908" spans="1:48">
      <c r="A1908" s="1">
        <f>HYPERLINK("https://lsnyc.legalserver.org/matter/dynamic-profile/view/1840271","17-1840271")</f>
        <v>0</v>
      </c>
      <c r="B1908" t="s">
        <v>138</v>
      </c>
      <c r="C1908" t="s">
        <v>256</v>
      </c>
      <c r="D1908" t="s">
        <v>535</v>
      </c>
      <c r="F1908" t="s">
        <v>1146</v>
      </c>
      <c r="G1908" t="s">
        <v>3756</v>
      </c>
      <c r="H1908" t="s">
        <v>6718</v>
      </c>
      <c r="I1908">
        <v>22</v>
      </c>
      <c r="J1908" t="s">
        <v>9067</v>
      </c>
      <c r="K1908">
        <v>10034</v>
      </c>
      <c r="L1908" t="s">
        <v>9094</v>
      </c>
      <c r="M1908" t="s">
        <v>9095</v>
      </c>
      <c r="O1908" t="s">
        <v>11130</v>
      </c>
      <c r="P1908" t="s">
        <v>11167</v>
      </c>
      <c r="R1908" t="s">
        <v>11180</v>
      </c>
      <c r="S1908" t="s">
        <v>9096</v>
      </c>
      <c r="T1908" t="s">
        <v>11183</v>
      </c>
      <c r="V1908" t="s">
        <v>837</v>
      </c>
      <c r="W1908">
        <v>828.99</v>
      </c>
      <c r="X1908" t="s">
        <v>11335</v>
      </c>
      <c r="Y1908" t="s">
        <v>11338</v>
      </c>
      <c r="Z1908" t="s">
        <v>12682</v>
      </c>
      <c r="AB1908" t="s">
        <v>17061</v>
      </c>
      <c r="AC1908">
        <v>25</v>
      </c>
      <c r="AD1908" t="s">
        <v>19566</v>
      </c>
      <c r="AE1908" t="s">
        <v>19587</v>
      </c>
      <c r="AF1908">
        <v>35</v>
      </c>
      <c r="AG1908">
        <v>1</v>
      </c>
      <c r="AH1908">
        <v>0</v>
      </c>
      <c r="AI1908">
        <v>73.03</v>
      </c>
      <c r="AL1908" t="s">
        <v>19614</v>
      </c>
      <c r="AM1908">
        <v>8808</v>
      </c>
      <c r="AS1908">
        <v>1.5</v>
      </c>
      <c r="AT1908" t="s">
        <v>609</v>
      </c>
      <c r="AU1908" t="s">
        <v>130</v>
      </c>
    </row>
    <row r="1909" spans="1:48">
      <c r="A1909" s="1">
        <f>HYPERLINK("https://lsnyc.legalserver.org/matter/dynamic-profile/view/1881281","18-1881281")</f>
        <v>0</v>
      </c>
      <c r="B1909" t="s">
        <v>136</v>
      </c>
      <c r="C1909" t="s">
        <v>256</v>
      </c>
      <c r="D1909" t="s">
        <v>639</v>
      </c>
      <c r="F1909" t="s">
        <v>2045</v>
      </c>
      <c r="G1909" t="s">
        <v>4240</v>
      </c>
      <c r="H1909" t="s">
        <v>6670</v>
      </c>
      <c r="I1909">
        <v>2</v>
      </c>
      <c r="J1909" t="s">
        <v>9067</v>
      </c>
      <c r="K1909">
        <v>10039</v>
      </c>
      <c r="L1909" t="s">
        <v>9094</v>
      </c>
      <c r="M1909" t="s">
        <v>9094</v>
      </c>
      <c r="N1909" t="s">
        <v>9851</v>
      </c>
      <c r="O1909" t="s">
        <v>11130</v>
      </c>
      <c r="P1909" t="s">
        <v>11165</v>
      </c>
      <c r="R1909" t="s">
        <v>11180</v>
      </c>
      <c r="S1909" t="s">
        <v>9094</v>
      </c>
      <c r="T1909" t="s">
        <v>11183</v>
      </c>
      <c r="U1909" t="s">
        <v>11201</v>
      </c>
      <c r="V1909" t="s">
        <v>906</v>
      </c>
      <c r="W1909">
        <v>1222.79</v>
      </c>
      <c r="X1909" t="s">
        <v>11335</v>
      </c>
      <c r="Y1909" t="s">
        <v>11338</v>
      </c>
      <c r="Z1909" t="s">
        <v>12683</v>
      </c>
      <c r="AB1909" t="s">
        <v>17062</v>
      </c>
      <c r="AC1909">
        <v>24</v>
      </c>
      <c r="AD1909" t="s">
        <v>19566</v>
      </c>
      <c r="AE1909" t="s">
        <v>9144</v>
      </c>
      <c r="AF1909">
        <v>15</v>
      </c>
      <c r="AG1909">
        <v>1</v>
      </c>
      <c r="AH1909">
        <v>0</v>
      </c>
      <c r="AI1909">
        <v>73.05</v>
      </c>
      <c r="AL1909" t="s">
        <v>19614</v>
      </c>
      <c r="AM1909">
        <v>8868</v>
      </c>
      <c r="AO1909" t="s">
        <v>20293</v>
      </c>
      <c r="AP1909" t="s">
        <v>20323</v>
      </c>
      <c r="AQ1909" t="s">
        <v>20369</v>
      </c>
      <c r="AR1909" t="s">
        <v>20457</v>
      </c>
      <c r="AS1909">
        <v>0</v>
      </c>
      <c r="AU1909" t="s">
        <v>20657</v>
      </c>
      <c r="AV1909" t="s">
        <v>20733</v>
      </c>
    </row>
    <row r="1910" spans="1:48">
      <c r="A1910" s="1">
        <f>HYPERLINK("https://lsnyc.legalserver.org/matter/dynamic-profile/view/1892507","19-1892507")</f>
        <v>0</v>
      </c>
      <c r="B1910" t="s">
        <v>84</v>
      </c>
      <c r="C1910" t="s">
        <v>256</v>
      </c>
      <c r="D1910" t="s">
        <v>311</v>
      </c>
      <c r="F1910" t="s">
        <v>1460</v>
      </c>
      <c r="G1910" t="s">
        <v>4241</v>
      </c>
      <c r="H1910" t="s">
        <v>6719</v>
      </c>
      <c r="I1910" t="s">
        <v>8302</v>
      </c>
      <c r="J1910" t="s">
        <v>9059</v>
      </c>
      <c r="K1910">
        <v>11238</v>
      </c>
      <c r="L1910" t="s">
        <v>9094</v>
      </c>
      <c r="M1910" t="s">
        <v>9094</v>
      </c>
      <c r="N1910" t="s">
        <v>9894</v>
      </c>
      <c r="O1910" t="s">
        <v>11129</v>
      </c>
      <c r="P1910" t="s">
        <v>11165</v>
      </c>
      <c r="R1910" t="s">
        <v>11180</v>
      </c>
      <c r="S1910" t="s">
        <v>9096</v>
      </c>
      <c r="T1910" t="s">
        <v>11183</v>
      </c>
      <c r="V1910" t="s">
        <v>311</v>
      </c>
      <c r="W1910">
        <v>230.29</v>
      </c>
      <c r="X1910" t="s">
        <v>11332</v>
      </c>
      <c r="Z1910" t="s">
        <v>12684</v>
      </c>
      <c r="AB1910" t="s">
        <v>17063</v>
      </c>
      <c r="AC1910">
        <v>0</v>
      </c>
      <c r="AD1910" t="s">
        <v>19569</v>
      </c>
      <c r="AF1910">
        <v>63</v>
      </c>
      <c r="AG1910">
        <v>1</v>
      </c>
      <c r="AH1910">
        <v>0</v>
      </c>
      <c r="AI1910">
        <v>73.11</v>
      </c>
      <c r="AL1910" t="s">
        <v>19614</v>
      </c>
      <c r="AM1910">
        <v>9132</v>
      </c>
      <c r="AS1910">
        <v>22</v>
      </c>
      <c r="AT1910" t="s">
        <v>636</v>
      </c>
      <c r="AU1910" t="s">
        <v>215</v>
      </c>
    </row>
    <row r="1911" spans="1:48">
      <c r="A1911" s="1">
        <f>HYPERLINK("https://lsnyc.legalserver.org/matter/dynamic-profile/view/1856558","18-1856558")</f>
        <v>0</v>
      </c>
      <c r="B1911" t="s">
        <v>91</v>
      </c>
      <c r="C1911" t="s">
        <v>256</v>
      </c>
      <c r="D1911" t="s">
        <v>812</v>
      </c>
      <c r="F1911" t="s">
        <v>1220</v>
      </c>
      <c r="G1911" t="s">
        <v>4242</v>
      </c>
      <c r="H1911" t="s">
        <v>5997</v>
      </c>
      <c r="I1911" t="s">
        <v>8124</v>
      </c>
      <c r="J1911" t="s">
        <v>9059</v>
      </c>
      <c r="K1911">
        <v>11213</v>
      </c>
      <c r="L1911" t="s">
        <v>9094</v>
      </c>
      <c r="M1911" t="s">
        <v>9095</v>
      </c>
      <c r="N1911" t="s">
        <v>9895</v>
      </c>
      <c r="O1911" t="s">
        <v>11128</v>
      </c>
      <c r="P1911" t="s">
        <v>11165</v>
      </c>
      <c r="R1911" t="s">
        <v>11180</v>
      </c>
      <c r="S1911" t="s">
        <v>9094</v>
      </c>
      <c r="T1911" t="s">
        <v>11183</v>
      </c>
      <c r="V1911" t="s">
        <v>856</v>
      </c>
      <c r="W1911">
        <v>973</v>
      </c>
      <c r="X1911" t="s">
        <v>11332</v>
      </c>
      <c r="Y1911" t="s">
        <v>11349</v>
      </c>
      <c r="Z1911" t="s">
        <v>12685</v>
      </c>
      <c r="AB1911" t="s">
        <v>17064</v>
      </c>
      <c r="AC1911">
        <v>107</v>
      </c>
      <c r="AD1911" t="s">
        <v>19566</v>
      </c>
      <c r="AE1911" t="s">
        <v>19580</v>
      </c>
      <c r="AF1911">
        <v>0</v>
      </c>
      <c r="AG1911">
        <v>1</v>
      </c>
      <c r="AH1911">
        <v>0</v>
      </c>
      <c r="AI1911">
        <v>73.13</v>
      </c>
      <c r="AJ1911" t="s">
        <v>679</v>
      </c>
      <c r="AL1911" t="s">
        <v>19614</v>
      </c>
      <c r="AM1911">
        <v>8820</v>
      </c>
      <c r="AS1911">
        <v>219.95</v>
      </c>
      <c r="AT1911" t="s">
        <v>496</v>
      </c>
      <c r="AU1911" t="s">
        <v>20636</v>
      </c>
    </row>
    <row r="1912" spans="1:48">
      <c r="A1912" s="1">
        <f>HYPERLINK("https://lsnyc.legalserver.org/matter/dynamic-profile/view/1858315","18-1858315")</f>
        <v>0</v>
      </c>
      <c r="B1912" t="s">
        <v>94</v>
      </c>
      <c r="C1912" t="s">
        <v>257</v>
      </c>
      <c r="D1912" t="s">
        <v>579</v>
      </c>
      <c r="E1912" t="s">
        <v>498</v>
      </c>
      <c r="F1912" t="s">
        <v>1220</v>
      </c>
      <c r="G1912" t="s">
        <v>3427</v>
      </c>
      <c r="H1912" t="s">
        <v>5997</v>
      </c>
      <c r="I1912" t="s">
        <v>8124</v>
      </c>
      <c r="J1912" t="s">
        <v>9059</v>
      </c>
      <c r="K1912">
        <v>11213</v>
      </c>
      <c r="L1912" t="s">
        <v>9094</v>
      </c>
      <c r="M1912" t="s">
        <v>9095</v>
      </c>
      <c r="O1912" t="s">
        <v>11130</v>
      </c>
      <c r="P1912" t="s">
        <v>11165</v>
      </c>
      <c r="Q1912" t="s">
        <v>11172</v>
      </c>
      <c r="R1912" t="s">
        <v>11180</v>
      </c>
      <c r="S1912" t="s">
        <v>9094</v>
      </c>
      <c r="T1912" t="s">
        <v>11183</v>
      </c>
      <c r="V1912" t="s">
        <v>755</v>
      </c>
      <c r="W1912">
        <v>793</v>
      </c>
      <c r="X1912" t="s">
        <v>11332</v>
      </c>
      <c r="Y1912" t="s">
        <v>11340</v>
      </c>
      <c r="Z1912" t="s">
        <v>12685</v>
      </c>
      <c r="AB1912" t="s">
        <v>17064</v>
      </c>
      <c r="AC1912">
        <v>107</v>
      </c>
      <c r="AD1912" t="s">
        <v>19566</v>
      </c>
      <c r="AE1912" t="s">
        <v>9144</v>
      </c>
      <c r="AF1912">
        <v>32</v>
      </c>
      <c r="AG1912">
        <v>1</v>
      </c>
      <c r="AH1912">
        <v>0</v>
      </c>
      <c r="AI1912">
        <v>73.13</v>
      </c>
      <c r="AJ1912" t="s">
        <v>679</v>
      </c>
      <c r="AL1912" t="s">
        <v>19614</v>
      </c>
      <c r="AM1912">
        <v>8820</v>
      </c>
      <c r="AS1912">
        <v>52.05</v>
      </c>
      <c r="AT1912" t="s">
        <v>554</v>
      </c>
      <c r="AU1912" t="s">
        <v>20685</v>
      </c>
    </row>
    <row r="1913" spans="1:48">
      <c r="A1913" s="1">
        <f>HYPERLINK("https://lsnyc.legalserver.org/matter/dynamic-profile/view/1843237","17-1843237")</f>
        <v>0</v>
      </c>
      <c r="B1913" t="s">
        <v>94</v>
      </c>
      <c r="C1913" t="s">
        <v>257</v>
      </c>
      <c r="D1913" t="s">
        <v>860</v>
      </c>
      <c r="E1913" t="s">
        <v>370</v>
      </c>
      <c r="F1913" t="s">
        <v>1220</v>
      </c>
      <c r="G1913" t="s">
        <v>3427</v>
      </c>
      <c r="H1913" t="s">
        <v>5997</v>
      </c>
      <c r="I1913" t="s">
        <v>8124</v>
      </c>
      <c r="J1913" t="s">
        <v>9059</v>
      </c>
      <c r="K1913">
        <v>11213</v>
      </c>
      <c r="L1913" t="s">
        <v>9094</v>
      </c>
      <c r="M1913" t="s">
        <v>9095</v>
      </c>
      <c r="O1913" t="s">
        <v>11137</v>
      </c>
      <c r="P1913" t="s">
        <v>11167</v>
      </c>
      <c r="Q1913" t="s">
        <v>11173</v>
      </c>
      <c r="R1913" t="s">
        <v>11180</v>
      </c>
      <c r="S1913" t="s">
        <v>9094</v>
      </c>
      <c r="T1913" t="s">
        <v>11183</v>
      </c>
      <c r="V1913" t="s">
        <v>860</v>
      </c>
      <c r="W1913">
        <v>793</v>
      </c>
      <c r="X1913" t="s">
        <v>11332</v>
      </c>
      <c r="Y1913" t="s">
        <v>11349</v>
      </c>
      <c r="Z1913" t="s">
        <v>12685</v>
      </c>
      <c r="AA1913" t="s">
        <v>15285</v>
      </c>
      <c r="AB1913" t="s">
        <v>17064</v>
      </c>
      <c r="AC1913">
        <v>107</v>
      </c>
      <c r="AD1913" t="s">
        <v>19566</v>
      </c>
      <c r="AE1913" t="s">
        <v>19580</v>
      </c>
      <c r="AF1913">
        <v>32</v>
      </c>
      <c r="AG1913">
        <v>1</v>
      </c>
      <c r="AH1913">
        <v>0</v>
      </c>
      <c r="AI1913">
        <v>73.13</v>
      </c>
      <c r="AJ1913" t="s">
        <v>679</v>
      </c>
      <c r="AL1913" t="s">
        <v>19614</v>
      </c>
      <c r="AM1913">
        <v>8820</v>
      </c>
      <c r="AP1913" t="s">
        <v>11157</v>
      </c>
      <c r="AQ1913" t="s">
        <v>20369</v>
      </c>
      <c r="AR1913" t="s">
        <v>20422</v>
      </c>
      <c r="AS1913">
        <v>139.2</v>
      </c>
      <c r="AT1913" t="s">
        <v>448</v>
      </c>
      <c r="AU1913" t="s">
        <v>20685</v>
      </c>
    </row>
    <row r="1914" spans="1:48">
      <c r="A1914" s="1">
        <f>HYPERLINK("https://lsnyc.legalserver.org/matter/dynamic-profile/view/1835394","17-1835394")</f>
        <v>0</v>
      </c>
      <c r="B1914" t="s">
        <v>91</v>
      </c>
      <c r="C1914" t="s">
        <v>256</v>
      </c>
      <c r="D1914" t="s">
        <v>861</v>
      </c>
      <c r="F1914" t="s">
        <v>1220</v>
      </c>
      <c r="G1914" t="s">
        <v>4243</v>
      </c>
      <c r="H1914" t="s">
        <v>5997</v>
      </c>
      <c r="I1914" t="s">
        <v>8124</v>
      </c>
      <c r="J1914" t="s">
        <v>9059</v>
      </c>
      <c r="K1914">
        <v>11213</v>
      </c>
      <c r="L1914" t="s">
        <v>9094</v>
      </c>
      <c r="M1914" t="s">
        <v>9095</v>
      </c>
      <c r="N1914" t="s">
        <v>9896</v>
      </c>
      <c r="O1914" t="s">
        <v>11129</v>
      </c>
      <c r="P1914" t="s">
        <v>11165</v>
      </c>
      <c r="R1914" t="s">
        <v>11180</v>
      </c>
      <c r="S1914" t="s">
        <v>9094</v>
      </c>
      <c r="T1914" t="s">
        <v>11183</v>
      </c>
      <c r="V1914" t="s">
        <v>928</v>
      </c>
      <c r="W1914">
        <v>973</v>
      </c>
      <c r="X1914" t="s">
        <v>11332</v>
      </c>
      <c r="Y1914" t="s">
        <v>11349</v>
      </c>
      <c r="Z1914" t="s">
        <v>12685</v>
      </c>
      <c r="AA1914" t="s">
        <v>15285</v>
      </c>
      <c r="AB1914" t="s">
        <v>17064</v>
      </c>
      <c r="AC1914">
        <v>107</v>
      </c>
      <c r="AD1914" t="s">
        <v>19566</v>
      </c>
      <c r="AE1914" t="s">
        <v>19580</v>
      </c>
      <c r="AF1914">
        <v>32</v>
      </c>
      <c r="AG1914">
        <v>1</v>
      </c>
      <c r="AH1914">
        <v>0</v>
      </c>
      <c r="AI1914">
        <v>73.13</v>
      </c>
      <c r="AJ1914" t="s">
        <v>11269</v>
      </c>
      <c r="AK1914" t="s">
        <v>19609</v>
      </c>
      <c r="AL1914" t="s">
        <v>19614</v>
      </c>
      <c r="AM1914">
        <v>8820</v>
      </c>
      <c r="AS1914">
        <v>184.6</v>
      </c>
      <c r="AT1914" t="s">
        <v>270</v>
      </c>
      <c r="AU1914" t="s">
        <v>95</v>
      </c>
    </row>
    <row r="1915" spans="1:48">
      <c r="A1915" s="1">
        <f>HYPERLINK("https://lsnyc.legalserver.org/matter/dynamic-profile/view/0826864","17-0826864")</f>
        <v>0</v>
      </c>
      <c r="B1915" t="s">
        <v>102</v>
      </c>
      <c r="C1915" t="s">
        <v>256</v>
      </c>
      <c r="D1915" t="s">
        <v>862</v>
      </c>
      <c r="F1915" t="s">
        <v>2046</v>
      </c>
      <c r="G1915" t="s">
        <v>3787</v>
      </c>
      <c r="H1915" t="s">
        <v>6720</v>
      </c>
      <c r="I1915" t="s">
        <v>8212</v>
      </c>
      <c r="J1915" t="s">
        <v>9065</v>
      </c>
      <c r="K1915">
        <v>10455</v>
      </c>
      <c r="L1915" t="s">
        <v>9094</v>
      </c>
      <c r="M1915" t="s">
        <v>9095</v>
      </c>
      <c r="N1915" t="s">
        <v>9897</v>
      </c>
      <c r="O1915" t="s">
        <v>11129</v>
      </c>
      <c r="P1915" t="s">
        <v>11165</v>
      </c>
      <c r="R1915" t="s">
        <v>11181</v>
      </c>
      <c r="S1915" t="s">
        <v>9096</v>
      </c>
      <c r="T1915" t="s">
        <v>11188</v>
      </c>
      <c r="V1915" t="s">
        <v>862</v>
      </c>
      <c r="W1915">
        <v>184</v>
      </c>
      <c r="X1915" t="s">
        <v>11333</v>
      </c>
      <c r="Y1915" t="s">
        <v>11337</v>
      </c>
      <c r="Z1915" t="s">
        <v>12686</v>
      </c>
      <c r="AB1915" t="s">
        <v>17065</v>
      </c>
      <c r="AC1915">
        <v>463</v>
      </c>
      <c r="AD1915" t="s">
        <v>19577</v>
      </c>
      <c r="AE1915" t="s">
        <v>11157</v>
      </c>
      <c r="AF1915">
        <v>19</v>
      </c>
      <c r="AG1915">
        <v>1</v>
      </c>
      <c r="AH1915">
        <v>0</v>
      </c>
      <c r="AI1915">
        <v>73.13</v>
      </c>
      <c r="AJ1915" t="s">
        <v>19591</v>
      </c>
      <c r="AK1915" t="s">
        <v>19608</v>
      </c>
      <c r="AL1915" t="s">
        <v>19614</v>
      </c>
      <c r="AM1915">
        <v>8820</v>
      </c>
      <c r="AO1915" t="s">
        <v>20294</v>
      </c>
      <c r="AP1915" t="s">
        <v>20317</v>
      </c>
      <c r="AQ1915" t="s">
        <v>20369</v>
      </c>
      <c r="AR1915" t="s">
        <v>20475</v>
      </c>
      <c r="AS1915">
        <v>127.1</v>
      </c>
      <c r="AT1915" t="s">
        <v>917</v>
      </c>
      <c r="AU1915" t="s">
        <v>20648</v>
      </c>
    </row>
    <row r="1916" spans="1:48">
      <c r="A1916" s="1">
        <f>HYPERLINK("https://lsnyc.legalserver.org/matter/dynamic-profile/view/1852538","17-1852538")</f>
        <v>0</v>
      </c>
      <c r="B1916" t="s">
        <v>113</v>
      </c>
      <c r="C1916" t="s">
        <v>257</v>
      </c>
      <c r="D1916" t="s">
        <v>401</v>
      </c>
      <c r="E1916" t="s">
        <v>333</v>
      </c>
      <c r="F1916" t="s">
        <v>2047</v>
      </c>
      <c r="G1916" t="s">
        <v>3398</v>
      </c>
      <c r="H1916" t="s">
        <v>6721</v>
      </c>
      <c r="I1916" t="s">
        <v>8171</v>
      </c>
      <c r="J1916" t="s">
        <v>9065</v>
      </c>
      <c r="K1916">
        <v>10453</v>
      </c>
      <c r="L1916" t="s">
        <v>9094</v>
      </c>
      <c r="M1916" t="s">
        <v>9095</v>
      </c>
      <c r="N1916" t="s">
        <v>9898</v>
      </c>
      <c r="O1916" t="s">
        <v>11130</v>
      </c>
      <c r="P1916" t="s">
        <v>11165</v>
      </c>
      <c r="Q1916" t="s">
        <v>11174</v>
      </c>
      <c r="R1916" t="s">
        <v>11180</v>
      </c>
      <c r="S1916" t="s">
        <v>9094</v>
      </c>
      <c r="T1916" t="s">
        <v>11183</v>
      </c>
      <c r="V1916" t="s">
        <v>11223</v>
      </c>
      <c r="W1916">
        <v>89</v>
      </c>
      <c r="X1916" t="s">
        <v>11333</v>
      </c>
      <c r="Y1916" t="s">
        <v>11346</v>
      </c>
      <c r="Z1916" t="s">
        <v>12687</v>
      </c>
      <c r="AB1916" t="s">
        <v>17066</v>
      </c>
      <c r="AC1916">
        <v>43</v>
      </c>
      <c r="AD1916" t="s">
        <v>19566</v>
      </c>
      <c r="AE1916" t="s">
        <v>19580</v>
      </c>
      <c r="AF1916">
        <v>31</v>
      </c>
      <c r="AG1916">
        <v>1</v>
      </c>
      <c r="AH1916">
        <v>0</v>
      </c>
      <c r="AI1916">
        <v>73.13</v>
      </c>
      <c r="AL1916" t="s">
        <v>19614</v>
      </c>
      <c r="AM1916">
        <v>8820</v>
      </c>
      <c r="AS1916">
        <v>3.6</v>
      </c>
      <c r="AT1916" t="s">
        <v>458</v>
      </c>
      <c r="AU1916" t="s">
        <v>20643</v>
      </c>
      <c r="AV1916" t="s">
        <v>20733</v>
      </c>
    </row>
    <row r="1917" spans="1:48">
      <c r="A1917" s="1">
        <f>HYPERLINK("https://lsnyc.legalserver.org/matter/dynamic-profile/view/0831514","17-0831514")</f>
        <v>0</v>
      </c>
      <c r="B1917" t="s">
        <v>139</v>
      </c>
      <c r="C1917" t="s">
        <v>257</v>
      </c>
      <c r="D1917" t="s">
        <v>661</v>
      </c>
      <c r="E1917" t="s">
        <v>703</v>
      </c>
      <c r="F1917" t="s">
        <v>1518</v>
      </c>
      <c r="G1917" t="s">
        <v>4244</v>
      </c>
      <c r="H1917" t="s">
        <v>6363</v>
      </c>
      <c r="I1917" t="s">
        <v>8197</v>
      </c>
      <c r="J1917" t="s">
        <v>9067</v>
      </c>
      <c r="K1917">
        <v>10040</v>
      </c>
      <c r="L1917" t="s">
        <v>9094</v>
      </c>
      <c r="M1917" t="s">
        <v>9095</v>
      </c>
      <c r="O1917" t="s">
        <v>9121</v>
      </c>
      <c r="P1917" t="s">
        <v>11166</v>
      </c>
      <c r="Q1917" t="s">
        <v>11176</v>
      </c>
      <c r="R1917" t="s">
        <v>11180</v>
      </c>
      <c r="S1917" t="s">
        <v>9094</v>
      </c>
      <c r="T1917" t="s">
        <v>11183</v>
      </c>
      <c r="V1917" t="s">
        <v>866</v>
      </c>
      <c r="W1917">
        <v>1166.71</v>
      </c>
      <c r="X1917" t="s">
        <v>11335</v>
      </c>
      <c r="Y1917" t="s">
        <v>11350</v>
      </c>
      <c r="Z1917" t="s">
        <v>12688</v>
      </c>
      <c r="AB1917" t="s">
        <v>17067</v>
      </c>
      <c r="AC1917">
        <v>83</v>
      </c>
      <c r="AD1917" t="s">
        <v>19566</v>
      </c>
      <c r="AE1917" t="s">
        <v>19580</v>
      </c>
      <c r="AF1917">
        <v>22</v>
      </c>
      <c r="AG1917">
        <v>1</v>
      </c>
      <c r="AH1917">
        <v>0</v>
      </c>
      <c r="AI1917">
        <v>73.13</v>
      </c>
      <c r="AJ1917" t="s">
        <v>463</v>
      </c>
      <c r="AL1917" t="s">
        <v>19615</v>
      </c>
      <c r="AM1917">
        <v>8820</v>
      </c>
      <c r="AS1917">
        <v>0.1</v>
      </c>
      <c r="AT1917" t="s">
        <v>703</v>
      </c>
      <c r="AU1917" t="s">
        <v>20657</v>
      </c>
    </row>
    <row r="1918" spans="1:48">
      <c r="A1918" s="1">
        <f>HYPERLINK("https://lsnyc.legalserver.org/matter/dynamic-profile/view/1849320","17-1849320")</f>
        <v>0</v>
      </c>
      <c r="B1918" t="s">
        <v>138</v>
      </c>
      <c r="C1918" t="s">
        <v>256</v>
      </c>
      <c r="D1918" t="s">
        <v>815</v>
      </c>
      <c r="F1918" t="s">
        <v>1209</v>
      </c>
      <c r="G1918" t="s">
        <v>4245</v>
      </c>
      <c r="H1918" t="s">
        <v>6722</v>
      </c>
      <c r="I1918" t="s">
        <v>8151</v>
      </c>
      <c r="J1918" t="s">
        <v>9067</v>
      </c>
      <c r="K1918">
        <v>10035</v>
      </c>
      <c r="L1918" t="s">
        <v>9094</v>
      </c>
      <c r="M1918" t="s">
        <v>9094</v>
      </c>
      <c r="N1918" t="s">
        <v>9899</v>
      </c>
      <c r="O1918" t="s">
        <v>11149</v>
      </c>
      <c r="P1918" t="s">
        <v>11165</v>
      </c>
      <c r="R1918" t="s">
        <v>11180</v>
      </c>
      <c r="S1918" t="s">
        <v>9096</v>
      </c>
      <c r="T1918" t="s">
        <v>11183</v>
      </c>
      <c r="V1918" t="s">
        <v>815</v>
      </c>
      <c r="W1918">
        <v>1000</v>
      </c>
      <c r="X1918" t="s">
        <v>11335</v>
      </c>
      <c r="Y1918" t="s">
        <v>11340</v>
      </c>
      <c r="Z1918" t="s">
        <v>12689</v>
      </c>
      <c r="AB1918" t="s">
        <v>17068</v>
      </c>
      <c r="AC1918">
        <v>7</v>
      </c>
      <c r="AD1918" t="s">
        <v>19566</v>
      </c>
      <c r="AE1918" t="s">
        <v>9144</v>
      </c>
      <c r="AF1918">
        <v>8</v>
      </c>
      <c r="AG1918">
        <v>1</v>
      </c>
      <c r="AH1918">
        <v>0</v>
      </c>
      <c r="AI1918">
        <v>73.13</v>
      </c>
      <c r="AL1918" t="s">
        <v>19614</v>
      </c>
      <c r="AM1918">
        <v>8820</v>
      </c>
      <c r="AS1918">
        <v>24.1</v>
      </c>
      <c r="AT1918" t="s">
        <v>949</v>
      </c>
      <c r="AU1918" t="s">
        <v>20660</v>
      </c>
    </row>
    <row r="1919" spans="1:48">
      <c r="A1919" s="1">
        <f>HYPERLINK("https://lsnyc.legalserver.org/matter/dynamic-profile/view/1880546","18-1880546")</f>
        <v>0</v>
      </c>
      <c r="B1919" t="s">
        <v>138</v>
      </c>
      <c r="C1919" t="s">
        <v>256</v>
      </c>
      <c r="D1919" t="s">
        <v>477</v>
      </c>
      <c r="F1919" t="s">
        <v>2048</v>
      </c>
      <c r="G1919" t="s">
        <v>3448</v>
      </c>
      <c r="H1919" t="s">
        <v>6723</v>
      </c>
      <c r="I1919">
        <v>33</v>
      </c>
      <c r="J1919" t="s">
        <v>9067</v>
      </c>
      <c r="K1919">
        <v>10034</v>
      </c>
      <c r="L1919" t="s">
        <v>9094</v>
      </c>
      <c r="M1919" t="s">
        <v>9094</v>
      </c>
      <c r="O1919" t="s">
        <v>11137</v>
      </c>
      <c r="P1919" t="s">
        <v>11166</v>
      </c>
      <c r="R1919" t="s">
        <v>11180</v>
      </c>
      <c r="S1919" t="s">
        <v>9096</v>
      </c>
      <c r="T1919" t="s">
        <v>11183</v>
      </c>
      <c r="V1919" t="s">
        <v>477</v>
      </c>
      <c r="W1919">
        <v>1287</v>
      </c>
      <c r="X1919" t="s">
        <v>11335</v>
      </c>
      <c r="Y1919" t="s">
        <v>11338</v>
      </c>
      <c r="Z1919" t="s">
        <v>12690</v>
      </c>
      <c r="AA1919" t="s">
        <v>15630</v>
      </c>
      <c r="AB1919" t="s">
        <v>17069</v>
      </c>
      <c r="AC1919">
        <v>57</v>
      </c>
      <c r="AD1919" t="s">
        <v>19566</v>
      </c>
      <c r="AE1919" t="s">
        <v>9144</v>
      </c>
      <c r="AF1919">
        <v>4</v>
      </c>
      <c r="AG1919">
        <v>2</v>
      </c>
      <c r="AH1919">
        <v>2</v>
      </c>
      <c r="AI1919">
        <v>73.13</v>
      </c>
      <c r="AL1919" t="s">
        <v>19615</v>
      </c>
      <c r="AM1919">
        <v>18356</v>
      </c>
      <c r="AS1919">
        <v>4.5</v>
      </c>
      <c r="AT1919" t="s">
        <v>477</v>
      </c>
      <c r="AU1919" t="s">
        <v>130</v>
      </c>
      <c r="AV1919" t="s">
        <v>20733</v>
      </c>
    </row>
    <row r="1920" spans="1:48">
      <c r="A1920" s="1">
        <f>HYPERLINK("https://lsnyc.legalserver.org/matter/dynamic-profile/view/1844116","17-1844116")</f>
        <v>0</v>
      </c>
      <c r="B1920" t="s">
        <v>139</v>
      </c>
      <c r="C1920" t="s">
        <v>256</v>
      </c>
      <c r="D1920" t="s">
        <v>863</v>
      </c>
      <c r="F1920" t="s">
        <v>1996</v>
      </c>
      <c r="G1920" t="s">
        <v>3699</v>
      </c>
      <c r="H1920" t="s">
        <v>6666</v>
      </c>
      <c r="J1920" t="s">
        <v>9067</v>
      </c>
      <c r="K1920">
        <v>10032</v>
      </c>
      <c r="L1920" t="s">
        <v>9094</v>
      </c>
      <c r="M1920" t="s">
        <v>9095</v>
      </c>
      <c r="N1920" t="s">
        <v>9900</v>
      </c>
      <c r="O1920" t="s">
        <v>11134</v>
      </c>
      <c r="P1920" t="s">
        <v>11168</v>
      </c>
      <c r="R1920" t="s">
        <v>11180</v>
      </c>
      <c r="S1920" t="s">
        <v>9096</v>
      </c>
      <c r="T1920" t="s">
        <v>11183</v>
      </c>
      <c r="U1920" t="s">
        <v>11201</v>
      </c>
      <c r="V1920" t="s">
        <v>863</v>
      </c>
      <c r="W1920">
        <v>531</v>
      </c>
      <c r="X1920" t="s">
        <v>11335</v>
      </c>
      <c r="Y1920" t="s">
        <v>11340</v>
      </c>
      <c r="Z1920" t="s">
        <v>12593</v>
      </c>
      <c r="AB1920" t="s">
        <v>16984</v>
      </c>
      <c r="AC1920">
        <v>32</v>
      </c>
      <c r="AD1920" t="s">
        <v>19566</v>
      </c>
      <c r="AE1920" t="s">
        <v>9144</v>
      </c>
      <c r="AF1920">
        <v>12</v>
      </c>
      <c r="AG1920">
        <v>1</v>
      </c>
      <c r="AH1920">
        <v>0</v>
      </c>
      <c r="AI1920">
        <v>73.13</v>
      </c>
      <c r="AJ1920" t="s">
        <v>1085</v>
      </c>
      <c r="AL1920" t="s">
        <v>19614</v>
      </c>
      <c r="AM1920">
        <v>8820</v>
      </c>
      <c r="AS1920">
        <v>112.95</v>
      </c>
      <c r="AT1920" t="s">
        <v>301</v>
      </c>
      <c r="AU1920" t="s">
        <v>130</v>
      </c>
    </row>
    <row r="1921" spans="1:48">
      <c r="A1921" s="1">
        <f>HYPERLINK("https://lsnyc.legalserver.org/matter/dynamic-profile/view/1906523","19-1906523")</f>
        <v>0</v>
      </c>
      <c r="B1921" t="s">
        <v>73</v>
      </c>
      <c r="C1921" t="s">
        <v>257</v>
      </c>
      <c r="D1921" t="s">
        <v>864</v>
      </c>
      <c r="E1921" t="s">
        <v>483</v>
      </c>
      <c r="F1921" t="s">
        <v>2049</v>
      </c>
      <c r="G1921" t="s">
        <v>4246</v>
      </c>
      <c r="H1921" t="s">
        <v>6724</v>
      </c>
      <c r="I1921" t="s">
        <v>8187</v>
      </c>
      <c r="J1921" t="s">
        <v>9059</v>
      </c>
      <c r="K1921">
        <v>11212</v>
      </c>
      <c r="L1921" t="s">
        <v>9094</v>
      </c>
      <c r="M1921" t="s">
        <v>9095</v>
      </c>
      <c r="N1921" t="s">
        <v>9901</v>
      </c>
      <c r="O1921" t="s">
        <v>11129</v>
      </c>
      <c r="P1921" t="s">
        <v>11167</v>
      </c>
      <c r="Q1921" t="s">
        <v>11173</v>
      </c>
      <c r="R1921" t="s">
        <v>11180</v>
      </c>
      <c r="S1921" t="s">
        <v>9096</v>
      </c>
      <c r="T1921" t="s">
        <v>11183</v>
      </c>
      <c r="U1921" t="s">
        <v>11202</v>
      </c>
      <c r="V1921" t="s">
        <v>275</v>
      </c>
      <c r="W1921">
        <v>2001</v>
      </c>
      <c r="X1921" t="s">
        <v>11332</v>
      </c>
      <c r="Y1921" t="s">
        <v>11350</v>
      </c>
      <c r="Z1921" t="s">
        <v>12691</v>
      </c>
      <c r="AA1921" t="s">
        <v>9171</v>
      </c>
      <c r="AB1921" t="s">
        <v>17070</v>
      </c>
      <c r="AC1921">
        <v>74</v>
      </c>
      <c r="AD1921" t="s">
        <v>19567</v>
      </c>
      <c r="AE1921" t="s">
        <v>19584</v>
      </c>
      <c r="AF1921">
        <v>11</v>
      </c>
      <c r="AG1921">
        <v>2</v>
      </c>
      <c r="AH1921">
        <v>1</v>
      </c>
      <c r="AI1921">
        <v>73.14</v>
      </c>
      <c r="AL1921" t="s">
        <v>19614</v>
      </c>
      <c r="AM1921">
        <v>15600</v>
      </c>
      <c r="AS1921">
        <v>2</v>
      </c>
      <c r="AT1921" t="s">
        <v>779</v>
      </c>
      <c r="AU1921" t="s">
        <v>95</v>
      </c>
      <c r="AV1921" t="s">
        <v>20733</v>
      </c>
    </row>
    <row r="1922" spans="1:48">
      <c r="A1922" s="1">
        <f>HYPERLINK("https://lsnyc.legalserver.org/matter/dynamic-profile/view/1904758","19-1904758")</f>
        <v>0</v>
      </c>
      <c r="B1922" t="s">
        <v>98</v>
      </c>
      <c r="C1922" t="s">
        <v>256</v>
      </c>
      <c r="D1922" t="s">
        <v>497</v>
      </c>
      <c r="F1922" t="s">
        <v>1212</v>
      </c>
      <c r="G1922" t="s">
        <v>4247</v>
      </c>
      <c r="H1922" t="s">
        <v>6725</v>
      </c>
      <c r="I1922" t="s">
        <v>8223</v>
      </c>
      <c r="J1922" t="s">
        <v>9065</v>
      </c>
      <c r="K1922">
        <v>10474</v>
      </c>
      <c r="L1922" t="s">
        <v>9094</v>
      </c>
      <c r="M1922" t="s">
        <v>9095</v>
      </c>
      <c r="O1922" t="s">
        <v>11128</v>
      </c>
      <c r="P1922" t="s">
        <v>11166</v>
      </c>
      <c r="R1922" t="s">
        <v>11180</v>
      </c>
      <c r="S1922" t="s">
        <v>9096</v>
      </c>
      <c r="T1922" t="s">
        <v>11183</v>
      </c>
      <c r="U1922" t="s">
        <v>11201</v>
      </c>
      <c r="V1922" t="s">
        <v>493</v>
      </c>
      <c r="W1922">
        <v>912.41</v>
      </c>
      <c r="X1922" t="s">
        <v>11333</v>
      </c>
      <c r="Y1922" t="s">
        <v>11340</v>
      </c>
      <c r="Z1922" t="s">
        <v>12692</v>
      </c>
      <c r="AC1922">
        <v>60</v>
      </c>
      <c r="AD1922" t="s">
        <v>19566</v>
      </c>
      <c r="AE1922" t="s">
        <v>9144</v>
      </c>
      <c r="AF1922">
        <v>15</v>
      </c>
      <c r="AG1922">
        <v>3</v>
      </c>
      <c r="AH1922">
        <v>0</v>
      </c>
      <c r="AI1922">
        <v>73.14</v>
      </c>
      <c r="AL1922" t="s">
        <v>19615</v>
      </c>
      <c r="AM1922">
        <v>15600</v>
      </c>
      <c r="AS1922">
        <v>2.5</v>
      </c>
      <c r="AT1922" t="s">
        <v>367</v>
      </c>
      <c r="AU1922" t="s">
        <v>98</v>
      </c>
      <c r="AV1922" t="s">
        <v>20733</v>
      </c>
    </row>
    <row r="1923" spans="1:48">
      <c r="A1923" s="1">
        <f>HYPERLINK("https://lsnyc.legalserver.org/matter/dynamic-profile/view/1901037","19-1901037")</f>
        <v>0</v>
      </c>
      <c r="B1923" t="s">
        <v>98</v>
      </c>
      <c r="C1923" t="s">
        <v>256</v>
      </c>
      <c r="D1923" t="s">
        <v>445</v>
      </c>
      <c r="F1923" t="s">
        <v>1212</v>
      </c>
      <c r="G1923" t="s">
        <v>4247</v>
      </c>
      <c r="H1923" t="s">
        <v>6725</v>
      </c>
      <c r="I1923" t="s">
        <v>8223</v>
      </c>
      <c r="J1923" t="s">
        <v>9065</v>
      </c>
      <c r="K1923">
        <v>10474</v>
      </c>
      <c r="L1923" t="s">
        <v>9094</v>
      </c>
      <c r="M1923" t="s">
        <v>9095</v>
      </c>
      <c r="N1923" t="s">
        <v>9902</v>
      </c>
      <c r="O1923" t="s">
        <v>11130</v>
      </c>
      <c r="P1923" t="s">
        <v>11165</v>
      </c>
      <c r="R1923" t="s">
        <v>11180</v>
      </c>
      <c r="S1923" t="s">
        <v>9096</v>
      </c>
      <c r="T1923" t="s">
        <v>11183</v>
      </c>
      <c r="U1923" t="s">
        <v>11201</v>
      </c>
      <c r="V1923" t="s">
        <v>11218</v>
      </c>
      <c r="W1923">
        <v>894.52</v>
      </c>
      <c r="X1923" t="s">
        <v>11333</v>
      </c>
      <c r="Y1923" t="s">
        <v>11339</v>
      </c>
      <c r="Z1923" t="s">
        <v>12692</v>
      </c>
      <c r="AC1923">
        <v>60</v>
      </c>
      <c r="AD1923" t="s">
        <v>19566</v>
      </c>
      <c r="AE1923" t="s">
        <v>9144</v>
      </c>
      <c r="AF1923">
        <v>15</v>
      </c>
      <c r="AG1923">
        <v>3</v>
      </c>
      <c r="AH1923">
        <v>0</v>
      </c>
      <c r="AI1923">
        <v>73.14</v>
      </c>
      <c r="AL1923" t="s">
        <v>19614</v>
      </c>
      <c r="AM1923">
        <v>15600</v>
      </c>
      <c r="AS1923">
        <v>57.7</v>
      </c>
      <c r="AT1923" t="s">
        <v>1130</v>
      </c>
      <c r="AU1923" t="s">
        <v>220</v>
      </c>
      <c r="AV1923" t="s">
        <v>20733</v>
      </c>
    </row>
    <row r="1924" spans="1:48">
      <c r="A1924" s="1">
        <f>HYPERLINK("https://lsnyc.legalserver.org/matter/dynamic-profile/view/0822235","16-0822235")</f>
        <v>0</v>
      </c>
      <c r="B1924" t="s">
        <v>156</v>
      </c>
      <c r="C1924" t="s">
        <v>256</v>
      </c>
      <c r="D1924" t="s">
        <v>865</v>
      </c>
      <c r="F1924" t="s">
        <v>2050</v>
      </c>
      <c r="G1924" t="s">
        <v>4248</v>
      </c>
      <c r="H1924" t="s">
        <v>5855</v>
      </c>
      <c r="I1924" t="s">
        <v>8160</v>
      </c>
      <c r="J1924" t="s">
        <v>9065</v>
      </c>
      <c r="K1924">
        <v>10467</v>
      </c>
      <c r="L1924" t="s">
        <v>9094</v>
      </c>
      <c r="M1924" t="s">
        <v>9095</v>
      </c>
      <c r="N1924" t="s">
        <v>9378</v>
      </c>
      <c r="O1924" t="s">
        <v>11143</v>
      </c>
      <c r="P1924" t="s">
        <v>11165</v>
      </c>
      <c r="R1924" t="s">
        <v>11180</v>
      </c>
      <c r="S1924" t="s">
        <v>9094</v>
      </c>
      <c r="T1924" t="s">
        <v>11183</v>
      </c>
      <c r="V1924" t="s">
        <v>865</v>
      </c>
      <c r="W1924">
        <v>1550</v>
      </c>
      <c r="X1924" t="s">
        <v>11333</v>
      </c>
      <c r="Y1924" t="s">
        <v>11338</v>
      </c>
      <c r="Z1924" t="s">
        <v>12693</v>
      </c>
      <c r="AB1924" t="s">
        <v>17071</v>
      </c>
      <c r="AC1924">
        <v>30</v>
      </c>
      <c r="AD1924" t="s">
        <v>19572</v>
      </c>
      <c r="AE1924" t="s">
        <v>19580</v>
      </c>
      <c r="AF1924">
        <v>3</v>
      </c>
      <c r="AG1924">
        <v>1</v>
      </c>
      <c r="AH1924">
        <v>4</v>
      </c>
      <c r="AI1924">
        <v>73.14</v>
      </c>
      <c r="AJ1924" t="s">
        <v>865</v>
      </c>
      <c r="AL1924" t="s">
        <v>19614</v>
      </c>
      <c r="AM1924">
        <v>20800</v>
      </c>
      <c r="AS1924">
        <v>0.5</v>
      </c>
      <c r="AT1924" t="s">
        <v>277</v>
      </c>
      <c r="AU1924" t="s">
        <v>20645</v>
      </c>
    </row>
    <row r="1925" spans="1:48">
      <c r="A1925" s="1">
        <f>HYPERLINK("https://lsnyc.legalserver.org/matter/dynamic-profile/view/1908812","19-1908812")</f>
        <v>0</v>
      </c>
      <c r="B1925" t="s">
        <v>184</v>
      </c>
      <c r="C1925" t="s">
        <v>257</v>
      </c>
      <c r="D1925" t="s">
        <v>481</v>
      </c>
      <c r="E1925" t="s">
        <v>481</v>
      </c>
      <c r="F1925" t="s">
        <v>2051</v>
      </c>
      <c r="G1925" t="s">
        <v>4249</v>
      </c>
      <c r="H1925" t="s">
        <v>6726</v>
      </c>
      <c r="I1925" t="s">
        <v>8250</v>
      </c>
      <c r="J1925" t="s">
        <v>9065</v>
      </c>
      <c r="K1925">
        <v>10467</v>
      </c>
      <c r="L1925" t="s">
        <v>9094</v>
      </c>
      <c r="M1925" t="s">
        <v>9095</v>
      </c>
      <c r="N1925" t="s">
        <v>9903</v>
      </c>
      <c r="O1925" t="s">
        <v>11129</v>
      </c>
      <c r="P1925" t="s">
        <v>11165</v>
      </c>
      <c r="Q1925" t="s">
        <v>11174</v>
      </c>
      <c r="R1925" t="s">
        <v>11180</v>
      </c>
      <c r="S1925" t="s">
        <v>9096</v>
      </c>
      <c r="T1925" t="s">
        <v>11183</v>
      </c>
      <c r="U1925" t="s">
        <v>11201</v>
      </c>
      <c r="V1925" t="s">
        <v>294</v>
      </c>
      <c r="W1925">
        <v>1500</v>
      </c>
      <c r="X1925" t="s">
        <v>11333</v>
      </c>
      <c r="Y1925" t="s">
        <v>11340</v>
      </c>
      <c r="Z1925" t="s">
        <v>12694</v>
      </c>
      <c r="AB1925" t="s">
        <v>17072</v>
      </c>
      <c r="AC1925">
        <v>64</v>
      </c>
      <c r="AD1925" t="s">
        <v>19566</v>
      </c>
      <c r="AE1925" t="s">
        <v>9144</v>
      </c>
      <c r="AF1925">
        <v>0</v>
      </c>
      <c r="AG1925">
        <v>2</v>
      </c>
      <c r="AH1925">
        <v>1</v>
      </c>
      <c r="AI1925">
        <v>73.14</v>
      </c>
      <c r="AL1925" t="s">
        <v>19615</v>
      </c>
      <c r="AM1925">
        <v>15600</v>
      </c>
      <c r="AS1925">
        <v>1.6</v>
      </c>
      <c r="AT1925" t="s">
        <v>481</v>
      </c>
      <c r="AU1925" t="s">
        <v>20644</v>
      </c>
      <c r="AV1925" t="s">
        <v>20733</v>
      </c>
    </row>
    <row r="1926" spans="1:48">
      <c r="A1926" s="1">
        <f>HYPERLINK("https://lsnyc.legalserver.org/matter/dynamic-profile/view/1904710","19-1904710")</f>
        <v>0</v>
      </c>
      <c r="B1926" t="s">
        <v>119</v>
      </c>
      <c r="C1926" t="s">
        <v>256</v>
      </c>
      <c r="D1926" t="s">
        <v>497</v>
      </c>
      <c r="F1926" t="s">
        <v>1170</v>
      </c>
      <c r="G1926" t="s">
        <v>3370</v>
      </c>
      <c r="H1926" t="s">
        <v>5880</v>
      </c>
      <c r="I1926" t="s">
        <v>8112</v>
      </c>
      <c r="J1926" t="s">
        <v>9065</v>
      </c>
      <c r="K1926">
        <v>10456</v>
      </c>
      <c r="L1926" t="s">
        <v>9094</v>
      </c>
      <c r="M1926" t="s">
        <v>9095</v>
      </c>
      <c r="O1926" t="s">
        <v>11134</v>
      </c>
      <c r="P1926" t="s">
        <v>11168</v>
      </c>
      <c r="R1926" t="s">
        <v>11180</v>
      </c>
      <c r="S1926" t="s">
        <v>9094</v>
      </c>
      <c r="T1926" t="s">
        <v>11183</v>
      </c>
      <c r="V1926" t="s">
        <v>11212</v>
      </c>
      <c r="W1926">
        <v>1457.57</v>
      </c>
      <c r="X1926" t="s">
        <v>11333</v>
      </c>
      <c r="Y1926" t="s">
        <v>11347</v>
      </c>
      <c r="Z1926" t="s">
        <v>12695</v>
      </c>
      <c r="AB1926" t="s">
        <v>17073</v>
      </c>
      <c r="AC1926">
        <v>17</v>
      </c>
      <c r="AD1926" t="s">
        <v>15441</v>
      </c>
      <c r="AE1926" t="s">
        <v>9144</v>
      </c>
      <c r="AF1926">
        <v>16</v>
      </c>
      <c r="AG1926">
        <v>3</v>
      </c>
      <c r="AH1926">
        <v>0</v>
      </c>
      <c r="AI1926">
        <v>73.14</v>
      </c>
      <c r="AL1926" t="s">
        <v>19615</v>
      </c>
      <c r="AM1926">
        <v>15600</v>
      </c>
      <c r="AS1926">
        <v>0.5</v>
      </c>
      <c r="AT1926" t="s">
        <v>497</v>
      </c>
      <c r="AU1926" t="s">
        <v>174</v>
      </c>
      <c r="AV1926" t="s">
        <v>20733</v>
      </c>
    </row>
    <row r="1927" spans="1:48">
      <c r="A1927" s="1">
        <f>HYPERLINK("https://lsnyc.legalserver.org/matter/dynamic-profile/view/1893916","19-1893916")</f>
        <v>0</v>
      </c>
      <c r="B1927" t="s">
        <v>122</v>
      </c>
      <c r="C1927" t="s">
        <v>257</v>
      </c>
      <c r="D1927" t="s">
        <v>278</v>
      </c>
      <c r="E1927" t="s">
        <v>336</v>
      </c>
      <c r="F1927" t="s">
        <v>2052</v>
      </c>
      <c r="G1927" t="s">
        <v>1299</v>
      </c>
      <c r="H1927" t="s">
        <v>6090</v>
      </c>
      <c r="I1927" t="s">
        <v>8266</v>
      </c>
      <c r="J1927" t="s">
        <v>9066</v>
      </c>
      <c r="K1927">
        <v>10304</v>
      </c>
      <c r="L1927" t="s">
        <v>9094</v>
      </c>
      <c r="M1927" t="s">
        <v>9094</v>
      </c>
      <c r="N1927" t="s">
        <v>9904</v>
      </c>
      <c r="O1927" t="s">
        <v>11129</v>
      </c>
      <c r="P1927" t="s">
        <v>11165</v>
      </c>
      <c r="Q1927" t="s">
        <v>11174</v>
      </c>
      <c r="R1927" t="s">
        <v>11180</v>
      </c>
      <c r="S1927" t="s">
        <v>9096</v>
      </c>
      <c r="T1927" t="s">
        <v>11190</v>
      </c>
      <c r="U1927" t="s">
        <v>11201</v>
      </c>
      <c r="V1927" t="s">
        <v>278</v>
      </c>
      <c r="W1927">
        <v>362</v>
      </c>
      <c r="X1927" t="s">
        <v>11334</v>
      </c>
      <c r="Y1927" t="s">
        <v>11350</v>
      </c>
      <c r="Z1927" t="s">
        <v>12696</v>
      </c>
      <c r="AB1927" t="s">
        <v>17074</v>
      </c>
      <c r="AC1927">
        <v>150</v>
      </c>
      <c r="AD1927" t="s">
        <v>19567</v>
      </c>
      <c r="AE1927" t="s">
        <v>19580</v>
      </c>
      <c r="AF1927">
        <v>20</v>
      </c>
      <c r="AG1927">
        <v>1</v>
      </c>
      <c r="AH1927">
        <v>2</v>
      </c>
      <c r="AI1927">
        <v>73.14</v>
      </c>
      <c r="AL1927" t="s">
        <v>19614</v>
      </c>
      <c r="AM1927">
        <v>15600</v>
      </c>
      <c r="AO1927" t="s">
        <v>20290</v>
      </c>
      <c r="AP1927" t="s">
        <v>20317</v>
      </c>
      <c r="AQ1927" t="s">
        <v>20369</v>
      </c>
      <c r="AR1927" t="s">
        <v>20430</v>
      </c>
      <c r="AS1927">
        <v>12.75</v>
      </c>
      <c r="AT1927" t="s">
        <v>336</v>
      </c>
      <c r="AU1927" t="s">
        <v>128</v>
      </c>
      <c r="AV1927" t="s">
        <v>20733</v>
      </c>
    </row>
    <row r="1928" spans="1:48">
      <c r="A1928" s="1">
        <f>HYPERLINK("https://lsnyc.legalserver.org/matter/dynamic-profile/view/1914863","19-1914863")</f>
        <v>0</v>
      </c>
      <c r="B1928" t="s">
        <v>125</v>
      </c>
      <c r="C1928" t="s">
        <v>256</v>
      </c>
      <c r="D1928" t="s">
        <v>331</v>
      </c>
      <c r="F1928" t="s">
        <v>2053</v>
      </c>
      <c r="G1928" t="s">
        <v>3991</v>
      </c>
      <c r="H1928" t="s">
        <v>6727</v>
      </c>
      <c r="J1928" t="s">
        <v>9066</v>
      </c>
      <c r="K1928">
        <v>10301</v>
      </c>
      <c r="L1928" t="s">
        <v>9094</v>
      </c>
      <c r="M1928" t="s">
        <v>9095</v>
      </c>
      <c r="N1928" t="s">
        <v>9905</v>
      </c>
      <c r="O1928" t="s">
        <v>11128</v>
      </c>
      <c r="P1928" t="s">
        <v>11165</v>
      </c>
      <c r="R1928" t="s">
        <v>11180</v>
      </c>
      <c r="S1928" t="s">
        <v>9096</v>
      </c>
      <c r="T1928" t="s">
        <v>11183</v>
      </c>
      <c r="V1928" t="s">
        <v>331</v>
      </c>
      <c r="W1928">
        <v>1200</v>
      </c>
      <c r="X1928" t="s">
        <v>11334</v>
      </c>
      <c r="Y1928" t="s">
        <v>11345</v>
      </c>
      <c r="Z1928" t="s">
        <v>12697</v>
      </c>
      <c r="AB1928" t="s">
        <v>17075</v>
      </c>
      <c r="AC1928">
        <v>2</v>
      </c>
      <c r="AD1928" t="s">
        <v>19565</v>
      </c>
      <c r="AE1928" t="s">
        <v>9144</v>
      </c>
      <c r="AF1928">
        <v>-1</v>
      </c>
      <c r="AG1928">
        <v>1</v>
      </c>
      <c r="AH1928">
        <v>2</v>
      </c>
      <c r="AI1928">
        <v>73.14</v>
      </c>
      <c r="AL1928" t="s">
        <v>19615</v>
      </c>
      <c r="AM1928">
        <v>15600</v>
      </c>
      <c r="AS1928">
        <v>2.2</v>
      </c>
      <c r="AT1928" t="s">
        <v>487</v>
      </c>
      <c r="AU1928" t="s">
        <v>20653</v>
      </c>
      <c r="AV1928" t="s">
        <v>20733</v>
      </c>
    </row>
    <row r="1929" spans="1:48">
      <c r="A1929" s="1">
        <f>HYPERLINK("https://lsnyc.legalserver.org/matter/dynamic-profile/view/1884444","18-1884444")</f>
        <v>0</v>
      </c>
      <c r="B1929" t="s">
        <v>64</v>
      </c>
      <c r="C1929" t="s">
        <v>257</v>
      </c>
      <c r="D1929" t="s">
        <v>511</v>
      </c>
      <c r="E1929" t="s">
        <v>329</v>
      </c>
      <c r="F1929" t="s">
        <v>1248</v>
      </c>
      <c r="G1929" t="s">
        <v>4179</v>
      </c>
      <c r="H1929" t="s">
        <v>6728</v>
      </c>
      <c r="I1929" t="s">
        <v>8198</v>
      </c>
      <c r="J1929" t="s">
        <v>9059</v>
      </c>
      <c r="K1929">
        <v>11207</v>
      </c>
      <c r="L1929" t="s">
        <v>9096</v>
      </c>
      <c r="M1929" t="s">
        <v>9095</v>
      </c>
      <c r="N1929" t="s">
        <v>9121</v>
      </c>
      <c r="O1929" t="s">
        <v>11130</v>
      </c>
      <c r="P1929" t="s">
        <v>11167</v>
      </c>
      <c r="Q1929" t="s">
        <v>11172</v>
      </c>
      <c r="R1929" t="s">
        <v>11180</v>
      </c>
      <c r="S1929" t="s">
        <v>9096</v>
      </c>
      <c r="T1929" t="s">
        <v>11183</v>
      </c>
      <c r="U1929" t="s">
        <v>11201</v>
      </c>
      <c r="V1929" t="s">
        <v>1111</v>
      </c>
      <c r="W1929">
        <v>1300</v>
      </c>
      <c r="X1929" t="s">
        <v>11332</v>
      </c>
      <c r="Z1929" t="s">
        <v>12232</v>
      </c>
      <c r="AB1929" t="s">
        <v>17076</v>
      </c>
      <c r="AC1929">
        <v>23</v>
      </c>
      <c r="AF1929">
        <v>4</v>
      </c>
      <c r="AG1929">
        <v>1</v>
      </c>
      <c r="AH1929">
        <v>0</v>
      </c>
      <c r="AI1929">
        <v>73.15000000000001</v>
      </c>
      <c r="AL1929" t="s">
        <v>19614</v>
      </c>
      <c r="AM1929">
        <v>8880</v>
      </c>
      <c r="AN1929" t="s">
        <v>19828</v>
      </c>
      <c r="AS1929">
        <v>2.35</v>
      </c>
      <c r="AT1929" t="s">
        <v>408</v>
      </c>
      <c r="AU1929" t="s">
        <v>20627</v>
      </c>
      <c r="AV1929" t="s">
        <v>9144</v>
      </c>
    </row>
    <row r="1930" spans="1:48">
      <c r="A1930" s="1">
        <f>HYPERLINK("https://lsnyc.legalserver.org/matter/dynamic-profile/view/1900130","19-1900130")</f>
        <v>0</v>
      </c>
      <c r="B1930" t="s">
        <v>113</v>
      </c>
      <c r="C1930" t="s">
        <v>256</v>
      </c>
      <c r="D1930" t="s">
        <v>289</v>
      </c>
      <c r="F1930" t="s">
        <v>1793</v>
      </c>
      <c r="G1930" t="s">
        <v>4250</v>
      </c>
      <c r="H1930" t="s">
        <v>5864</v>
      </c>
      <c r="I1930" t="s">
        <v>8511</v>
      </c>
      <c r="J1930" t="s">
        <v>9065</v>
      </c>
      <c r="K1930">
        <v>10460</v>
      </c>
      <c r="L1930" t="s">
        <v>9094</v>
      </c>
      <c r="M1930" t="s">
        <v>9095</v>
      </c>
      <c r="N1930" t="s">
        <v>9171</v>
      </c>
      <c r="O1930" t="s">
        <v>9121</v>
      </c>
      <c r="P1930" t="s">
        <v>11166</v>
      </c>
      <c r="R1930" t="s">
        <v>11180</v>
      </c>
      <c r="S1930" t="s">
        <v>9094</v>
      </c>
      <c r="T1930" t="s">
        <v>11183</v>
      </c>
      <c r="V1930" t="s">
        <v>11218</v>
      </c>
      <c r="W1930">
        <v>1694</v>
      </c>
      <c r="X1930" t="s">
        <v>11333</v>
      </c>
      <c r="Y1930" t="s">
        <v>11346</v>
      </c>
      <c r="Z1930" t="s">
        <v>12698</v>
      </c>
      <c r="AB1930" t="s">
        <v>17077</v>
      </c>
      <c r="AC1930">
        <v>168</v>
      </c>
      <c r="AD1930" t="s">
        <v>19566</v>
      </c>
      <c r="AE1930" t="s">
        <v>19580</v>
      </c>
      <c r="AF1930">
        <v>35</v>
      </c>
      <c r="AG1930">
        <v>1</v>
      </c>
      <c r="AH1930">
        <v>0</v>
      </c>
      <c r="AI1930">
        <v>73.31</v>
      </c>
      <c r="AL1930" t="s">
        <v>19614</v>
      </c>
      <c r="AM1930">
        <v>9156</v>
      </c>
      <c r="AS1930">
        <v>0</v>
      </c>
      <c r="AU1930" t="s">
        <v>20647</v>
      </c>
      <c r="AV1930" t="s">
        <v>20733</v>
      </c>
    </row>
    <row r="1931" spans="1:48">
      <c r="A1931" s="1">
        <f>HYPERLINK("https://lsnyc.legalserver.org/matter/dynamic-profile/view/1853494","17-1853494")</f>
        <v>0</v>
      </c>
      <c r="B1931" t="s">
        <v>132</v>
      </c>
      <c r="C1931" t="s">
        <v>256</v>
      </c>
      <c r="D1931" t="s">
        <v>560</v>
      </c>
      <c r="F1931" t="s">
        <v>1143</v>
      </c>
      <c r="G1931" t="s">
        <v>4251</v>
      </c>
      <c r="H1931" t="s">
        <v>6729</v>
      </c>
      <c r="I1931">
        <v>21</v>
      </c>
      <c r="J1931" t="s">
        <v>9067</v>
      </c>
      <c r="K1931">
        <v>10034</v>
      </c>
      <c r="L1931" t="s">
        <v>9094</v>
      </c>
      <c r="M1931" t="s">
        <v>9095</v>
      </c>
      <c r="N1931" t="s">
        <v>9906</v>
      </c>
      <c r="O1931" t="s">
        <v>11128</v>
      </c>
      <c r="P1931" t="s">
        <v>11165</v>
      </c>
      <c r="R1931" t="s">
        <v>11180</v>
      </c>
      <c r="S1931" t="s">
        <v>9096</v>
      </c>
      <c r="T1931" t="s">
        <v>11183</v>
      </c>
      <c r="V1931" t="s">
        <v>560</v>
      </c>
      <c r="W1931">
        <v>940</v>
      </c>
      <c r="X1931" t="s">
        <v>11335</v>
      </c>
      <c r="Y1931" t="s">
        <v>11338</v>
      </c>
      <c r="Z1931" t="s">
        <v>12699</v>
      </c>
      <c r="AC1931">
        <v>25</v>
      </c>
      <c r="AD1931" t="s">
        <v>19566</v>
      </c>
      <c r="AE1931" t="s">
        <v>9144</v>
      </c>
      <c r="AF1931">
        <v>45</v>
      </c>
      <c r="AG1931">
        <v>3</v>
      </c>
      <c r="AH1931">
        <v>0</v>
      </c>
      <c r="AI1931">
        <v>73.45999999999999</v>
      </c>
      <c r="AL1931" t="s">
        <v>19614</v>
      </c>
      <c r="AM1931">
        <v>15000</v>
      </c>
      <c r="AN1931" t="s">
        <v>19829</v>
      </c>
      <c r="AS1931">
        <v>210.95</v>
      </c>
      <c r="AT1931" t="s">
        <v>1130</v>
      </c>
      <c r="AU1931" t="s">
        <v>130</v>
      </c>
    </row>
    <row r="1932" spans="1:48">
      <c r="A1932" s="1">
        <f>HYPERLINK("https://lsnyc.legalserver.org/matter/dynamic-profile/view/1882291","18-1882291")</f>
        <v>0</v>
      </c>
      <c r="B1932" t="s">
        <v>114</v>
      </c>
      <c r="C1932" t="s">
        <v>257</v>
      </c>
      <c r="D1932" t="s">
        <v>452</v>
      </c>
      <c r="E1932" t="s">
        <v>563</v>
      </c>
      <c r="F1932" t="s">
        <v>2054</v>
      </c>
      <c r="G1932" t="s">
        <v>4252</v>
      </c>
      <c r="H1932" t="s">
        <v>5907</v>
      </c>
      <c r="I1932" t="s">
        <v>8523</v>
      </c>
      <c r="J1932" t="s">
        <v>9065</v>
      </c>
      <c r="K1932">
        <v>10451</v>
      </c>
      <c r="L1932" t="s">
        <v>9094</v>
      </c>
      <c r="M1932" t="s">
        <v>9094</v>
      </c>
      <c r="N1932" t="s">
        <v>9259</v>
      </c>
      <c r="O1932" t="s">
        <v>11130</v>
      </c>
      <c r="P1932" t="s">
        <v>11165</v>
      </c>
      <c r="Q1932" t="s">
        <v>11174</v>
      </c>
      <c r="R1932" t="s">
        <v>11180</v>
      </c>
      <c r="S1932" t="s">
        <v>9094</v>
      </c>
      <c r="T1932" t="s">
        <v>11183</v>
      </c>
      <c r="V1932" t="s">
        <v>738</v>
      </c>
      <c r="W1932">
        <v>1500</v>
      </c>
      <c r="X1932" t="s">
        <v>11333</v>
      </c>
      <c r="Y1932" t="s">
        <v>11346</v>
      </c>
      <c r="Z1932" t="s">
        <v>12700</v>
      </c>
      <c r="AB1932" t="s">
        <v>17078</v>
      </c>
      <c r="AC1932">
        <v>100</v>
      </c>
      <c r="AD1932" t="s">
        <v>19566</v>
      </c>
      <c r="AE1932" t="s">
        <v>19580</v>
      </c>
      <c r="AF1932">
        <v>31</v>
      </c>
      <c r="AG1932">
        <v>1</v>
      </c>
      <c r="AH1932">
        <v>0</v>
      </c>
      <c r="AI1932">
        <v>73.64</v>
      </c>
      <c r="AL1932" t="s">
        <v>19615</v>
      </c>
      <c r="AM1932">
        <v>8940</v>
      </c>
      <c r="AS1932">
        <v>0.25</v>
      </c>
      <c r="AT1932" t="s">
        <v>563</v>
      </c>
      <c r="AU1932" t="s">
        <v>163</v>
      </c>
    </row>
    <row r="1933" spans="1:48">
      <c r="A1933" s="1">
        <f>HYPERLINK("https://lsnyc.legalserver.org/matter/dynamic-profile/view/0802602","16-0802602")</f>
        <v>0</v>
      </c>
      <c r="B1933" t="s">
        <v>111</v>
      </c>
      <c r="C1933" t="s">
        <v>256</v>
      </c>
      <c r="D1933" t="s">
        <v>641</v>
      </c>
      <c r="F1933" t="s">
        <v>1989</v>
      </c>
      <c r="G1933" t="s">
        <v>4177</v>
      </c>
      <c r="H1933" t="s">
        <v>6104</v>
      </c>
      <c r="I1933" t="s">
        <v>8183</v>
      </c>
      <c r="J1933" t="s">
        <v>9065</v>
      </c>
      <c r="K1933">
        <v>10452</v>
      </c>
      <c r="L1933" t="s">
        <v>9094</v>
      </c>
      <c r="M1933" t="s">
        <v>9095</v>
      </c>
      <c r="O1933" t="s">
        <v>11147</v>
      </c>
      <c r="P1933" t="s">
        <v>11165</v>
      </c>
      <c r="R1933" t="s">
        <v>11180</v>
      </c>
      <c r="S1933" t="s">
        <v>9094</v>
      </c>
      <c r="T1933" t="s">
        <v>11183</v>
      </c>
      <c r="V1933" t="s">
        <v>1005</v>
      </c>
      <c r="W1933">
        <v>1514</v>
      </c>
      <c r="X1933" t="s">
        <v>11333</v>
      </c>
      <c r="Y1933" t="s">
        <v>11346</v>
      </c>
      <c r="Z1933" t="s">
        <v>12575</v>
      </c>
      <c r="AA1933">
        <v>77672051</v>
      </c>
      <c r="AB1933" t="s">
        <v>16968</v>
      </c>
      <c r="AC1933">
        <v>0</v>
      </c>
      <c r="AD1933" t="s">
        <v>19566</v>
      </c>
      <c r="AE1933" t="s">
        <v>19580</v>
      </c>
      <c r="AF1933">
        <v>2</v>
      </c>
      <c r="AG1933">
        <v>2</v>
      </c>
      <c r="AH1933">
        <v>2</v>
      </c>
      <c r="AI1933">
        <v>73.65000000000001</v>
      </c>
      <c r="AL1933" t="s">
        <v>19614</v>
      </c>
      <c r="AM1933">
        <v>17896</v>
      </c>
      <c r="AS1933">
        <v>0.2</v>
      </c>
      <c r="AT1933" t="s">
        <v>805</v>
      </c>
      <c r="AU1933" t="s">
        <v>109</v>
      </c>
    </row>
    <row r="1934" spans="1:48">
      <c r="A1934" s="1">
        <f>HYPERLINK("https://lsnyc.legalserver.org/matter/dynamic-profile/view/1908016","19-1908016")</f>
        <v>0</v>
      </c>
      <c r="B1934" t="s">
        <v>106</v>
      </c>
      <c r="C1934" t="s">
        <v>256</v>
      </c>
      <c r="D1934" t="s">
        <v>551</v>
      </c>
      <c r="F1934" t="s">
        <v>1877</v>
      </c>
      <c r="G1934" t="s">
        <v>3448</v>
      </c>
      <c r="H1934" t="s">
        <v>5874</v>
      </c>
      <c r="I1934" t="s">
        <v>8524</v>
      </c>
      <c r="J1934" t="s">
        <v>9065</v>
      </c>
      <c r="K1934">
        <v>10457</v>
      </c>
      <c r="L1934" t="s">
        <v>9094</v>
      </c>
      <c r="M1934" t="s">
        <v>9095</v>
      </c>
      <c r="N1934" t="s">
        <v>9230</v>
      </c>
      <c r="O1934" t="s">
        <v>11134</v>
      </c>
      <c r="P1934" t="s">
        <v>11168</v>
      </c>
      <c r="R1934" t="s">
        <v>11180</v>
      </c>
      <c r="S1934" t="s">
        <v>9094</v>
      </c>
      <c r="T1934" t="s">
        <v>11183</v>
      </c>
      <c r="W1934">
        <v>385</v>
      </c>
      <c r="X1934" t="s">
        <v>11333</v>
      </c>
      <c r="Y1934" t="s">
        <v>11346</v>
      </c>
      <c r="Z1934" t="s">
        <v>12701</v>
      </c>
      <c r="AB1934" t="s">
        <v>17079</v>
      </c>
      <c r="AC1934">
        <v>48</v>
      </c>
      <c r="AD1934" t="s">
        <v>19566</v>
      </c>
      <c r="AE1934" t="s">
        <v>19580</v>
      </c>
      <c r="AF1934">
        <v>5</v>
      </c>
      <c r="AG1934">
        <v>1</v>
      </c>
      <c r="AH1934">
        <v>0</v>
      </c>
      <c r="AI1934">
        <v>73.69</v>
      </c>
      <c r="AL1934" t="s">
        <v>19615</v>
      </c>
      <c r="AM1934">
        <v>9204</v>
      </c>
      <c r="AS1934">
        <v>1.1</v>
      </c>
      <c r="AT1934" t="s">
        <v>669</v>
      </c>
      <c r="AU1934" t="s">
        <v>220</v>
      </c>
    </row>
    <row r="1935" spans="1:48">
      <c r="A1935" s="1">
        <f>HYPERLINK("https://lsnyc.legalserver.org/matter/dynamic-profile/view/1908586","19-1908586")</f>
        <v>0</v>
      </c>
      <c r="B1935" t="s">
        <v>142</v>
      </c>
      <c r="C1935" t="s">
        <v>256</v>
      </c>
      <c r="D1935" t="s">
        <v>574</v>
      </c>
      <c r="F1935" t="s">
        <v>1274</v>
      </c>
      <c r="G1935" t="s">
        <v>4253</v>
      </c>
      <c r="H1935" t="s">
        <v>6326</v>
      </c>
      <c r="I1935" t="s">
        <v>8217</v>
      </c>
      <c r="J1935" t="s">
        <v>9067</v>
      </c>
      <c r="K1935">
        <v>10035</v>
      </c>
      <c r="L1935" t="s">
        <v>9094</v>
      </c>
      <c r="M1935" t="s">
        <v>9095</v>
      </c>
      <c r="N1935" t="s">
        <v>9907</v>
      </c>
      <c r="O1935" t="s">
        <v>11129</v>
      </c>
      <c r="P1935" t="s">
        <v>11165</v>
      </c>
      <c r="R1935" t="s">
        <v>11180</v>
      </c>
      <c r="S1935" t="s">
        <v>9094</v>
      </c>
      <c r="T1935" t="s">
        <v>11183</v>
      </c>
      <c r="U1935" t="s">
        <v>11201</v>
      </c>
      <c r="V1935" t="s">
        <v>370</v>
      </c>
      <c r="W1935">
        <v>1630.81</v>
      </c>
      <c r="X1935" t="s">
        <v>11335</v>
      </c>
      <c r="Y1935" t="s">
        <v>11339</v>
      </c>
      <c r="Z1935" t="s">
        <v>12702</v>
      </c>
      <c r="AB1935" t="s">
        <v>17080</v>
      </c>
      <c r="AC1935">
        <v>72</v>
      </c>
      <c r="AD1935" t="s">
        <v>19566</v>
      </c>
      <c r="AE1935" t="s">
        <v>19580</v>
      </c>
      <c r="AF1935">
        <v>19</v>
      </c>
      <c r="AG1935">
        <v>2</v>
      </c>
      <c r="AH1935">
        <v>2</v>
      </c>
      <c r="AI1935">
        <v>73.70999999999999</v>
      </c>
      <c r="AL1935" t="s">
        <v>19614</v>
      </c>
      <c r="AM1935">
        <v>18980</v>
      </c>
      <c r="AS1935">
        <v>1</v>
      </c>
      <c r="AT1935" t="s">
        <v>563</v>
      </c>
      <c r="AU1935" t="s">
        <v>20657</v>
      </c>
      <c r="AV1935" t="s">
        <v>20733</v>
      </c>
    </row>
    <row r="1936" spans="1:48">
      <c r="A1936" s="1">
        <f>HYPERLINK("https://lsnyc.legalserver.org/matter/dynamic-profile/view/1910139","19-1910139")</f>
        <v>0</v>
      </c>
      <c r="B1936" t="s">
        <v>99</v>
      </c>
      <c r="C1936" t="s">
        <v>257</v>
      </c>
      <c r="D1936" t="s">
        <v>435</v>
      </c>
      <c r="E1936" t="s">
        <v>556</v>
      </c>
      <c r="F1936" t="s">
        <v>1193</v>
      </c>
      <c r="G1936" t="s">
        <v>4254</v>
      </c>
      <c r="H1936" t="s">
        <v>6730</v>
      </c>
      <c r="I1936" t="s">
        <v>8525</v>
      </c>
      <c r="J1936" t="s">
        <v>9065</v>
      </c>
      <c r="K1936">
        <v>10451</v>
      </c>
      <c r="L1936" t="s">
        <v>9094</v>
      </c>
      <c r="M1936" t="s">
        <v>9095</v>
      </c>
      <c r="O1936" t="s">
        <v>9121</v>
      </c>
      <c r="P1936" t="s">
        <v>11164</v>
      </c>
      <c r="Q1936" t="s">
        <v>11172</v>
      </c>
      <c r="R1936" t="s">
        <v>11180</v>
      </c>
      <c r="S1936" t="s">
        <v>9096</v>
      </c>
      <c r="T1936" t="s">
        <v>11183</v>
      </c>
      <c r="V1936" t="s">
        <v>308</v>
      </c>
      <c r="W1936">
        <v>1061</v>
      </c>
      <c r="X1936" t="s">
        <v>11333</v>
      </c>
      <c r="Y1936" t="s">
        <v>11346</v>
      </c>
      <c r="Z1936" t="s">
        <v>12703</v>
      </c>
      <c r="AB1936" t="s">
        <v>17081</v>
      </c>
      <c r="AC1936">
        <v>176</v>
      </c>
      <c r="AD1936" t="s">
        <v>19566</v>
      </c>
      <c r="AE1936" t="s">
        <v>19586</v>
      </c>
      <c r="AF1936">
        <v>3</v>
      </c>
      <c r="AG1936">
        <v>2</v>
      </c>
      <c r="AH1936">
        <v>0</v>
      </c>
      <c r="AI1936">
        <v>73.73</v>
      </c>
      <c r="AL1936" t="s">
        <v>19614</v>
      </c>
      <c r="AM1936">
        <v>12468</v>
      </c>
      <c r="AS1936">
        <v>2.1</v>
      </c>
      <c r="AT1936" t="s">
        <v>556</v>
      </c>
      <c r="AU1936" t="s">
        <v>99</v>
      </c>
      <c r="AV1936" t="s">
        <v>20733</v>
      </c>
    </row>
    <row r="1937" spans="1:48">
      <c r="A1937" s="1">
        <f>HYPERLINK("https://lsnyc.legalserver.org/matter/dynamic-profile/view/1860683","18-1860683")</f>
        <v>0</v>
      </c>
      <c r="B1937" t="s">
        <v>101</v>
      </c>
      <c r="C1937" t="s">
        <v>256</v>
      </c>
      <c r="D1937" t="s">
        <v>683</v>
      </c>
      <c r="F1937" t="s">
        <v>2055</v>
      </c>
      <c r="G1937" t="s">
        <v>4042</v>
      </c>
      <c r="H1937" t="s">
        <v>6262</v>
      </c>
      <c r="I1937" t="s">
        <v>8149</v>
      </c>
      <c r="J1937" t="s">
        <v>9065</v>
      </c>
      <c r="K1937">
        <v>10452</v>
      </c>
      <c r="L1937" t="s">
        <v>9094</v>
      </c>
      <c r="M1937" t="s">
        <v>9094</v>
      </c>
      <c r="N1937" t="s">
        <v>9537</v>
      </c>
      <c r="O1937" t="s">
        <v>11130</v>
      </c>
      <c r="P1937" t="s">
        <v>11165</v>
      </c>
      <c r="R1937" t="s">
        <v>11180</v>
      </c>
      <c r="S1937" t="s">
        <v>9094</v>
      </c>
      <c r="T1937" t="s">
        <v>11183</v>
      </c>
      <c r="V1937" t="s">
        <v>874</v>
      </c>
      <c r="W1937">
        <v>1005</v>
      </c>
      <c r="X1937" t="s">
        <v>11333</v>
      </c>
      <c r="Y1937" t="s">
        <v>11346</v>
      </c>
      <c r="Z1937" t="s">
        <v>12704</v>
      </c>
      <c r="AB1937" t="s">
        <v>17082</v>
      </c>
      <c r="AC1937">
        <v>60</v>
      </c>
      <c r="AD1937" t="s">
        <v>19566</v>
      </c>
      <c r="AE1937" t="s">
        <v>19587</v>
      </c>
      <c r="AF1937">
        <v>30</v>
      </c>
      <c r="AG1937">
        <v>1</v>
      </c>
      <c r="AH1937">
        <v>0</v>
      </c>
      <c r="AI1937">
        <v>73.73999999999999</v>
      </c>
      <c r="AL1937" t="s">
        <v>19615</v>
      </c>
      <c r="AM1937">
        <v>8952</v>
      </c>
      <c r="AS1937">
        <v>0.3</v>
      </c>
      <c r="AT1937" t="s">
        <v>335</v>
      </c>
      <c r="AU1937" t="s">
        <v>20647</v>
      </c>
    </row>
    <row r="1938" spans="1:48">
      <c r="A1938" s="1">
        <f>HYPERLINK("https://lsnyc.legalserver.org/matter/dynamic-profile/view/1868700","18-1868700")</f>
        <v>0</v>
      </c>
      <c r="B1938" t="s">
        <v>101</v>
      </c>
      <c r="C1938" t="s">
        <v>257</v>
      </c>
      <c r="D1938" t="s">
        <v>678</v>
      </c>
      <c r="E1938" t="s">
        <v>415</v>
      </c>
      <c r="F1938" t="s">
        <v>2055</v>
      </c>
      <c r="G1938" t="s">
        <v>4042</v>
      </c>
      <c r="H1938" t="s">
        <v>6262</v>
      </c>
      <c r="I1938" t="s">
        <v>8149</v>
      </c>
      <c r="J1938" t="s">
        <v>9065</v>
      </c>
      <c r="K1938">
        <v>10452</v>
      </c>
      <c r="L1938" t="s">
        <v>9094</v>
      </c>
      <c r="M1938" t="s">
        <v>9095</v>
      </c>
      <c r="O1938" t="s">
        <v>11137</v>
      </c>
      <c r="P1938" t="s">
        <v>11166</v>
      </c>
      <c r="Q1938" t="s">
        <v>11178</v>
      </c>
      <c r="R1938" t="s">
        <v>11180</v>
      </c>
      <c r="S1938" t="s">
        <v>9094</v>
      </c>
      <c r="T1938" t="s">
        <v>11183</v>
      </c>
      <c r="V1938" t="s">
        <v>675</v>
      </c>
      <c r="W1938">
        <v>1005</v>
      </c>
      <c r="X1938" t="s">
        <v>11333</v>
      </c>
      <c r="Y1938" t="s">
        <v>11347</v>
      </c>
      <c r="Z1938" t="s">
        <v>12704</v>
      </c>
      <c r="AB1938" t="s">
        <v>17082</v>
      </c>
      <c r="AC1938">
        <v>60</v>
      </c>
      <c r="AD1938" t="s">
        <v>19566</v>
      </c>
      <c r="AE1938" t="s">
        <v>19587</v>
      </c>
      <c r="AF1938">
        <v>30</v>
      </c>
      <c r="AG1938">
        <v>1</v>
      </c>
      <c r="AH1938">
        <v>0</v>
      </c>
      <c r="AI1938">
        <v>73.73999999999999</v>
      </c>
      <c r="AL1938" t="s">
        <v>19615</v>
      </c>
      <c r="AM1938">
        <v>8952</v>
      </c>
      <c r="AS1938">
        <v>0.4</v>
      </c>
      <c r="AT1938" t="s">
        <v>415</v>
      </c>
      <c r="AU1938" t="s">
        <v>20647</v>
      </c>
    </row>
    <row r="1939" spans="1:48">
      <c r="A1939" s="1">
        <f>HYPERLINK("https://lsnyc.legalserver.org/matter/dynamic-profile/view/1908585","19-1908585")</f>
        <v>0</v>
      </c>
      <c r="B1939" t="s">
        <v>142</v>
      </c>
      <c r="C1939" t="s">
        <v>257</v>
      </c>
      <c r="D1939" t="s">
        <v>574</v>
      </c>
      <c r="E1939" t="s">
        <v>331</v>
      </c>
      <c r="F1939" t="s">
        <v>2056</v>
      </c>
      <c r="G1939" t="s">
        <v>3652</v>
      </c>
      <c r="H1939" t="s">
        <v>6731</v>
      </c>
      <c r="I1939" t="s">
        <v>8507</v>
      </c>
      <c r="J1939" t="s">
        <v>9067</v>
      </c>
      <c r="K1939">
        <v>10035</v>
      </c>
      <c r="L1939" t="s">
        <v>9094</v>
      </c>
      <c r="M1939" t="s">
        <v>9095</v>
      </c>
      <c r="O1939" t="s">
        <v>9121</v>
      </c>
      <c r="P1939" t="s">
        <v>11164</v>
      </c>
      <c r="Q1939" t="s">
        <v>11172</v>
      </c>
      <c r="R1939" t="s">
        <v>11180</v>
      </c>
      <c r="S1939" t="s">
        <v>9096</v>
      </c>
      <c r="T1939" t="s">
        <v>11183</v>
      </c>
      <c r="U1939" t="s">
        <v>11201</v>
      </c>
      <c r="V1939" t="s">
        <v>779</v>
      </c>
      <c r="W1939">
        <v>354</v>
      </c>
      <c r="X1939" t="s">
        <v>11335</v>
      </c>
      <c r="Y1939" t="s">
        <v>11339</v>
      </c>
      <c r="Z1939" t="s">
        <v>12705</v>
      </c>
      <c r="AB1939" t="s">
        <v>17083</v>
      </c>
      <c r="AC1939">
        <v>24</v>
      </c>
      <c r="AD1939" t="s">
        <v>15441</v>
      </c>
      <c r="AE1939" t="s">
        <v>9144</v>
      </c>
      <c r="AF1939">
        <v>33</v>
      </c>
      <c r="AG1939">
        <v>1</v>
      </c>
      <c r="AH1939">
        <v>0</v>
      </c>
      <c r="AI1939">
        <v>73.79000000000001</v>
      </c>
      <c r="AL1939" t="s">
        <v>19615</v>
      </c>
      <c r="AM1939">
        <v>9216</v>
      </c>
      <c r="AS1939">
        <v>1</v>
      </c>
      <c r="AT1939" t="s">
        <v>899</v>
      </c>
      <c r="AU1939" t="s">
        <v>20657</v>
      </c>
      <c r="AV1939" t="s">
        <v>20733</v>
      </c>
    </row>
    <row r="1940" spans="1:48">
      <c r="A1940" s="1">
        <f>HYPERLINK("https://lsnyc.legalserver.org/matter/dynamic-profile/view/1896453","19-1896453")</f>
        <v>0</v>
      </c>
      <c r="B1940" t="s">
        <v>65</v>
      </c>
      <c r="C1940" t="s">
        <v>256</v>
      </c>
      <c r="D1940" t="s">
        <v>350</v>
      </c>
      <c r="F1940" t="s">
        <v>1363</v>
      </c>
      <c r="G1940" t="s">
        <v>4255</v>
      </c>
      <c r="H1940" t="s">
        <v>6732</v>
      </c>
      <c r="I1940" t="s">
        <v>8526</v>
      </c>
      <c r="J1940" t="s">
        <v>9059</v>
      </c>
      <c r="K1940">
        <v>11206</v>
      </c>
      <c r="L1940" t="s">
        <v>9094</v>
      </c>
      <c r="M1940" t="s">
        <v>9096</v>
      </c>
      <c r="P1940" t="s">
        <v>11166</v>
      </c>
      <c r="R1940" t="s">
        <v>11180</v>
      </c>
      <c r="T1940" t="s">
        <v>11190</v>
      </c>
      <c r="V1940" t="s">
        <v>350</v>
      </c>
      <c r="W1940">
        <v>0</v>
      </c>
      <c r="X1940" t="s">
        <v>11332</v>
      </c>
      <c r="Z1940" t="s">
        <v>12706</v>
      </c>
      <c r="AA1940" t="s">
        <v>15631</v>
      </c>
      <c r="AB1940" t="s">
        <v>17084</v>
      </c>
      <c r="AC1940">
        <v>0</v>
      </c>
      <c r="AD1940" t="s">
        <v>19573</v>
      </c>
      <c r="AE1940" t="s">
        <v>11157</v>
      </c>
      <c r="AF1940">
        <v>0</v>
      </c>
      <c r="AG1940">
        <v>2</v>
      </c>
      <c r="AH1940">
        <v>0</v>
      </c>
      <c r="AI1940">
        <v>73.8</v>
      </c>
      <c r="AL1940" t="s">
        <v>19614</v>
      </c>
      <c r="AM1940">
        <v>12480</v>
      </c>
      <c r="AS1940">
        <v>17.9</v>
      </c>
      <c r="AT1940" t="s">
        <v>487</v>
      </c>
      <c r="AU1940" t="s">
        <v>67</v>
      </c>
      <c r="AV1940" t="s">
        <v>20733</v>
      </c>
    </row>
    <row r="1941" spans="1:48">
      <c r="A1941" s="1">
        <f>HYPERLINK("https://lsnyc.legalserver.org/matter/dynamic-profile/view/1868852","18-1868852")</f>
        <v>0</v>
      </c>
      <c r="B1941" t="s">
        <v>93</v>
      </c>
      <c r="C1941" t="s">
        <v>256</v>
      </c>
      <c r="D1941" t="s">
        <v>810</v>
      </c>
      <c r="F1941" t="s">
        <v>2000</v>
      </c>
      <c r="G1941" t="s">
        <v>4256</v>
      </c>
      <c r="H1941" t="s">
        <v>5976</v>
      </c>
      <c r="I1941" t="s">
        <v>8154</v>
      </c>
      <c r="J1941" t="s">
        <v>9059</v>
      </c>
      <c r="K1941">
        <v>11233</v>
      </c>
      <c r="L1941" t="s">
        <v>9094</v>
      </c>
      <c r="M1941" t="s">
        <v>9095</v>
      </c>
      <c r="N1941" t="s">
        <v>9121</v>
      </c>
      <c r="O1941" t="s">
        <v>11137</v>
      </c>
      <c r="P1941" t="s">
        <v>11167</v>
      </c>
      <c r="R1941" t="s">
        <v>11180</v>
      </c>
      <c r="S1941" t="s">
        <v>9094</v>
      </c>
      <c r="T1941" t="s">
        <v>11183</v>
      </c>
      <c r="W1941">
        <v>900</v>
      </c>
      <c r="X1941" t="s">
        <v>11332</v>
      </c>
      <c r="Y1941" t="s">
        <v>11340</v>
      </c>
      <c r="Z1941" t="s">
        <v>12707</v>
      </c>
      <c r="AB1941" t="s">
        <v>17085</v>
      </c>
      <c r="AC1941">
        <v>6</v>
      </c>
      <c r="AD1941" t="s">
        <v>19566</v>
      </c>
      <c r="AE1941" t="s">
        <v>19582</v>
      </c>
      <c r="AF1941">
        <v>15</v>
      </c>
      <c r="AG1941">
        <v>2</v>
      </c>
      <c r="AH1941">
        <v>0</v>
      </c>
      <c r="AI1941">
        <v>73.95</v>
      </c>
      <c r="AL1941" t="s">
        <v>19614</v>
      </c>
      <c r="AM1941">
        <v>12172</v>
      </c>
      <c r="AS1941">
        <v>26.6</v>
      </c>
      <c r="AT1941" t="s">
        <v>664</v>
      </c>
      <c r="AU1941" t="s">
        <v>20685</v>
      </c>
      <c r="AV1941" t="s">
        <v>20733</v>
      </c>
    </row>
    <row r="1942" spans="1:48">
      <c r="A1942" s="1">
        <f>HYPERLINK("https://lsnyc.legalserver.org/matter/dynamic-profile/view/1900002","19-1900002")</f>
        <v>0</v>
      </c>
      <c r="B1942" t="s">
        <v>90</v>
      </c>
      <c r="C1942" t="s">
        <v>256</v>
      </c>
      <c r="D1942" t="s">
        <v>610</v>
      </c>
      <c r="F1942" t="s">
        <v>1426</v>
      </c>
      <c r="G1942" t="s">
        <v>4257</v>
      </c>
      <c r="H1942" t="s">
        <v>6453</v>
      </c>
      <c r="I1942" t="s">
        <v>8191</v>
      </c>
      <c r="J1942" t="s">
        <v>9059</v>
      </c>
      <c r="K1942">
        <v>11206</v>
      </c>
      <c r="L1942" t="s">
        <v>9094</v>
      </c>
      <c r="M1942" t="s">
        <v>9095</v>
      </c>
      <c r="N1942" t="s">
        <v>9908</v>
      </c>
      <c r="O1942" t="s">
        <v>11129</v>
      </c>
      <c r="P1942" t="s">
        <v>11165</v>
      </c>
      <c r="R1942" t="s">
        <v>11180</v>
      </c>
      <c r="S1942" t="s">
        <v>9096</v>
      </c>
      <c r="T1942" t="s">
        <v>11183</v>
      </c>
      <c r="U1942" t="s">
        <v>11201</v>
      </c>
      <c r="V1942" t="s">
        <v>610</v>
      </c>
      <c r="W1942">
        <v>473</v>
      </c>
      <c r="X1942" t="s">
        <v>11332</v>
      </c>
      <c r="Y1942" t="s">
        <v>11340</v>
      </c>
      <c r="Z1942" t="s">
        <v>12708</v>
      </c>
      <c r="AA1942" t="s">
        <v>9144</v>
      </c>
      <c r="AB1942" t="s">
        <v>17086</v>
      </c>
      <c r="AC1942">
        <v>16</v>
      </c>
      <c r="AD1942" t="s">
        <v>19566</v>
      </c>
      <c r="AE1942" t="s">
        <v>9144</v>
      </c>
      <c r="AF1942">
        <v>7</v>
      </c>
      <c r="AG1942">
        <v>1</v>
      </c>
      <c r="AH1942">
        <v>0</v>
      </c>
      <c r="AI1942">
        <v>73.98</v>
      </c>
      <c r="AL1942" t="s">
        <v>19614</v>
      </c>
      <c r="AM1942">
        <v>9240</v>
      </c>
      <c r="AN1942" t="s">
        <v>19830</v>
      </c>
      <c r="AS1942">
        <v>34.5</v>
      </c>
      <c r="AT1942" t="s">
        <v>488</v>
      </c>
      <c r="AU1942" t="s">
        <v>95</v>
      </c>
      <c r="AV1942" t="s">
        <v>20733</v>
      </c>
    </row>
    <row r="1943" spans="1:48">
      <c r="A1943" s="1">
        <f>HYPERLINK("https://lsnyc.legalserver.org/matter/dynamic-profile/view/1907529","19-1907529")</f>
        <v>0</v>
      </c>
      <c r="B1943" t="s">
        <v>98</v>
      </c>
      <c r="C1943" t="s">
        <v>256</v>
      </c>
      <c r="D1943" t="s">
        <v>275</v>
      </c>
      <c r="F1943" t="s">
        <v>1450</v>
      </c>
      <c r="G1943" t="s">
        <v>3502</v>
      </c>
      <c r="H1943" t="s">
        <v>5851</v>
      </c>
      <c r="I1943" t="s">
        <v>8153</v>
      </c>
      <c r="J1943" t="s">
        <v>9065</v>
      </c>
      <c r="K1943">
        <v>10474</v>
      </c>
      <c r="L1943" t="s">
        <v>9095</v>
      </c>
      <c r="M1943" t="s">
        <v>9095</v>
      </c>
      <c r="N1943" t="s">
        <v>9218</v>
      </c>
      <c r="O1943" t="s">
        <v>11134</v>
      </c>
      <c r="P1943" t="s">
        <v>11168</v>
      </c>
      <c r="R1943" t="s">
        <v>11180</v>
      </c>
      <c r="T1943" t="s">
        <v>11183</v>
      </c>
      <c r="W1943">
        <v>0</v>
      </c>
      <c r="X1943" t="s">
        <v>11333</v>
      </c>
      <c r="Z1943" t="s">
        <v>12709</v>
      </c>
      <c r="AC1943">
        <v>0</v>
      </c>
      <c r="AF1943">
        <v>0</v>
      </c>
      <c r="AG1943">
        <v>1</v>
      </c>
      <c r="AH1943">
        <v>0</v>
      </c>
      <c r="AI1943">
        <v>73.98</v>
      </c>
      <c r="AL1943" t="s">
        <v>19615</v>
      </c>
      <c r="AM1943">
        <v>9240</v>
      </c>
      <c r="AS1943">
        <v>0</v>
      </c>
      <c r="AU1943" t="s">
        <v>98</v>
      </c>
    </row>
    <row r="1944" spans="1:48">
      <c r="A1944" s="1">
        <f>HYPERLINK("https://lsnyc.legalserver.org/matter/dynamic-profile/view/1907093","19-1907093")</f>
        <v>0</v>
      </c>
      <c r="B1944" t="s">
        <v>98</v>
      </c>
      <c r="C1944" t="s">
        <v>256</v>
      </c>
      <c r="D1944" t="s">
        <v>676</v>
      </c>
      <c r="F1944" t="s">
        <v>1450</v>
      </c>
      <c r="G1944" t="s">
        <v>3502</v>
      </c>
      <c r="H1944" t="s">
        <v>5851</v>
      </c>
      <c r="I1944" t="s">
        <v>8153</v>
      </c>
      <c r="J1944" t="s">
        <v>9065</v>
      </c>
      <c r="K1944">
        <v>10474</v>
      </c>
      <c r="L1944" t="s">
        <v>9094</v>
      </c>
      <c r="M1944" t="s">
        <v>9095</v>
      </c>
      <c r="N1944" t="s">
        <v>9536</v>
      </c>
      <c r="O1944" t="s">
        <v>11130</v>
      </c>
      <c r="P1944" t="s">
        <v>11165</v>
      </c>
      <c r="R1944" t="s">
        <v>11180</v>
      </c>
      <c r="S1944" t="s">
        <v>9094</v>
      </c>
      <c r="T1944" t="s">
        <v>11183</v>
      </c>
      <c r="W1944">
        <v>576</v>
      </c>
      <c r="X1944" t="s">
        <v>11333</v>
      </c>
      <c r="Y1944" t="s">
        <v>11346</v>
      </c>
      <c r="Z1944" t="s">
        <v>12709</v>
      </c>
      <c r="AA1944" t="s">
        <v>15632</v>
      </c>
      <c r="AC1944">
        <v>45</v>
      </c>
      <c r="AD1944" t="s">
        <v>19566</v>
      </c>
      <c r="AE1944" t="s">
        <v>19580</v>
      </c>
      <c r="AF1944">
        <v>48</v>
      </c>
      <c r="AG1944">
        <v>1</v>
      </c>
      <c r="AH1944">
        <v>0</v>
      </c>
      <c r="AI1944">
        <v>73.98</v>
      </c>
      <c r="AL1944" t="s">
        <v>19615</v>
      </c>
      <c r="AM1944">
        <v>9240</v>
      </c>
      <c r="AS1944">
        <v>0</v>
      </c>
      <c r="AU1944" t="s">
        <v>163</v>
      </c>
      <c r="AV1944" t="s">
        <v>20733</v>
      </c>
    </row>
    <row r="1945" spans="1:48">
      <c r="A1945" s="1">
        <f>HYPERLINK("https://lsnyc.legalserver.org/matter/dynamic-profile/view/1909393","19-1909393")</f>
        <v>0</v>
      </c>
      <c r="B1945" t="s">
        <v>106</v>
      </c>
      <c r="C1945" t="s">
        <v>256</v>
      </c>
      <c r="D1945" t="s">
        <v>339</v>
      </c>
      <c r="F1945" t="s">
        <v>1333</v>
      </c>
      <c r="G1945" t="s">
        <v>3514</v>
      </c>
      <c r="H1945" t="s">
        <v>5874</v>
      </c>
      <c r="I1945" t="s">
        <v>8224</v>
      </c>
      <c r="J1945" t="s">
        <v>9065</v>
      </c>
      <c r="K1945">
        <v>10457</v>
      </c>
      <c r="L1945" t="s">
        <v>9094</v>
      </c>
      <c r="M1945" t="s">
        <v>9095</v>
      </c>
      <c r="N1945" t="s">
        <v>9473</v>
      </c>
      <c r="O1945" t="s">
        <v>11134</v>
      </c>
      <c r="P1945" t="s">
        <v>11168</v>
      </c>
      <c r="R1945" t="s">
        <v>11180</v>
      </c>
      <c r="S1945" t="s">
        <v>9096</v>
      </c>
      <c r="T1945" t="s">
        <v>11183</v>
      </c>
      <c r="W1945">
        <v>816</v>
      </c>
      <c r="X1945" t="s">
        <v>11333</v>
      </c>
      <c r="Y1945" t="s">
        <v>11340</v>
      </c>
      <c r="Z1945" t="s">
        <v>11577</v>
      </c>
      <c r="AB1945" t="s">
        <v>16065</v>
      </c>
      <c r="AC1945">
        <v>47</v>
      </c>
      <c r="AD1945" t="s">
        <v>19566</v>
      </c>
      <c r="AE1945" t="s">
        <v>19580</v>
      </c>
      <c r="AF1945">
        <v>10</v>
      </c>
      <c r="AG1945">
        <v>1</v>
      </c>
      <c r="AH1945">
        <v>0</v>
      </c>
      <c r="AI1945">
        <v>73.98</v>
      </c>
      <c r="AL1945" t="s">
        <v>19614</v>
      </c>
      <c r="AM1945">
        <v>9240</v>
      </c>
      <c r="AS1945">
        <v>9.199999999999999</v>
      </c>
      <c r="AT1945" t="s">
        <v>1130</v>
      </c>
      <c r="AU1945" t="s">
        <v>220</v>
      </c>
    </row>
    <row r="1946" spans="1:48">
      <c r="A1946" s="1">
        <f>HYPERLINK("https://lsnyc.legalserver.org/matter/dynamic-profile/view/1907382","19-1907382")</f>
        <v>0</v>
      </c>
      <c r="B1946" t="s">
        <v>106</v>
      </c>
      <c r="C1946" t="s">
        <v>256</v>
      </c>
      <c r="D1946" t="s">
        <v>334</v>
      </c>
      <c r="F1946" t="s">
        <v>1333</v>
      </c>
      <c r="G1946" t="s">
        <v>3514</v>
      </c>
      <c r="H1946" t="s">
        <v>5874</v>
      </c>
      <c r="I1946" t="s">
        <v>8224</v>
      </c>
      <c r="J1946" t="s">
        <v>9065</v>
      </c>
      <c r="K1946">
        <v>10457</v>
      </c>
      <c r="L1946" t="s">
        <v>9094</v>
      </c>
      <c r="M1946" t="s">
        <v>9095</v>
      </c>
      <c r="N1946" t="s">
        <v>9171</v>
      </c>
      <c r="O1946" t="s">
        <v>11151</v>
      </c>
      <c r="P1946" t="s">
        <v>11166</v>
      </c>
      <c r="R1946" t="s">
        <v>11180</v>
      </c>
      <c r="S1946" t="s">
        <v>9096</v>
      </c>
      <c r="T1946" t="s">
        <v>11190</v>
      </c>
      <c r="V1946" t="s">
        <v>11207</v>
      </c>
      <c r="W1946">
        <v>816</v>
      </c>
      <c r="X1946" t="s">
        <v>11333</v>
      </c>
      <c r="Y1946" t="s">
        <v>11340</v>
      </c>
      <c r="Z1946" t="s">
        <v>11577</v>
      </c>
      <c r="AB1946" t="s">
        <v>16065</v>
      </c>
      <c r="AC1946">
        <v>47</v>
      </c>
      <c r="AD1946" t="s">
        <v>19566</v>
      </c>
      <c r="AE1946" t="s">
        <v>19580</v>
      </c>
      <c r="AF1946">
        <v>10</v>
      </c>
      <c r="AG1946">
        <v>1</v>
      </c>
      <c r="AH1946">
        <v>0</v>
      </c>
      <c r="AI1946">
        <v>73.98</v>
      </c>
      <c r="AL1946" t="s">
        <v>19614</v>
      </c>
      <c r="AM1946">
        <v>9240</v>
      </c>
      <c r="AS1946">
        <v>2.6</v>
      </c>
      <c r="AT1946" t="s">
        <v>570</v>
      </c>
      <c r="AU1946" t="s">
        <v>220</v>
      </c>
      <c r="AV1946" t="s">
        <v>20733</v>
      </c>
    </row>
    <row r="1947" spans="1:48">
      <c r="A1947" s="1">
        <f>HYPERLINK("https://lsnyc.legalserver.org/matter/dynamic-profile/view/1913309","19-1913309")</f>
        <v>0</v>
      </c>
      <c r="B1947" t="s">
        <v>136</v>
      </c>
      <c r="C1947" t="s">
        <v>256</v>
      </c>
      <c r="D1947" t="s">
        <v>286</v>
      </c>
      <c r="F1947" t="s">
        <v>1404</v>
      </c>
      <c r="G1947" t="s">
        <v>4258</v>
      </c>
      <c r="H1947" t="s">
        <v>5961</v>
      </c>
      <c r="I1947">
        <v>612</v>
      </c>
      <c r="J1947" t="s">
        <v>9067</v>
      </c>
      <c r="K1947">
        <v>10029</v>
      </c>
      <c r="L1947" t="s">
        <v>9094</v>
      </c>
      <c r="M1947" t="s">
        <v>9095</v>
      </c>
      <c r="O1947" t="s">
        <v>11130</v>
      </c>
      <c r="P1947" t="s">
        <v>11164</v>
      </c>
      <c r="R1947" t="s">
        <v>11180</v>
      </c>
      <c r="S1947" t="s">
        <v>9094</v>
      </c>
      <c r="T1947" t="s">
        <v>11183</v>
      </c>
      <c r="U1947" t="s">
        <v>11201</v>
      </c>
      <c r="V1947" t="s">
        <v>664</v>
      </c>
      <c r="W1947">
        <v>0</v>
      </c>
      <c r="X1947" t="s">
        <v>11335</v>
      </c>
      <c r="Y1947" t="s">
        <v>11339</v>
      </c>
      <c r="Z1947" t="s">
        <v>12710</v>
      </c>
      <c r="AB1947" t="s">
        <v>17087</v>
      </c>
      <c r="AC1947">
        <v>108</v>
      </c>
      <c r="AD1947" t="s">
        <v>19567</v>
      </c>
      <c r="AE1947" t="s">
        <v>19580</v>
      </c>
      <c r="AF1947">
        <v>23</v>
      </c>
      <c r="AG1947">
        <v>1</v>
      </c>
      <c r="AH1947">
        <v>0</v>
      </c>
      <c r="AI1947">
        <v>73.98</v>
      </c>
      <c r="AL1947" t="s">
        <v>19615</v>
      </c>
      <c r="AM1947">
        <v>9240</v>
      </c>
      <c r="AS1947">
        <v>0</v>
      </c>
      <c r="AU1947" t="s">
        <v>20657</v>
      </c>
      <c r="AV1947" t="s">
        <v>20733</v>
      </c>
    </row>
    <row r="1948" spans="1:48">
      <c r="A1948" s="1">
        <f>HYPERLINK("https://lsnyc.legalserver.org/matter/dynamic-profile/view/1888887","19-1888887")</f>
        <v>0</v>
      </c>
      <c r="B1948" t="s">
        <v>135</v>
      </c>
      <c r="C1948" t="s">
        <v>257</v>
      </c>
      <c r="D1948" t="s">
        <v>616</v>
      </c>
      <c r="E1948" t="s">
        <v>425</v>
      </c>
      <c r="F1948" t="s">
        <v>1635</v>
      </c>
      <c r="G1948" t="s">
        <v>3795</v>
      </c>
      <c r="H1948" t="s">
        <v>6177</v>
      </c>
      <c r="I1948">
        <v>602</v>
      </c>
      <c r="J1948" t="s">
        <v>9067</v>
      </c>
      <c r="K1948">
        <v>10029</v>
      </c>
      <c r="L1948" t="s">
        <v>9094</v>
      </c>
      <c r="M1948" t="s">
        <v>9094</v>
      </c>
      <c r="O1948" t="s">
        <v>9121</v>
      </c>
      <c r="P1948" t="s">
        <v>11166</v>
      </c>
      <c r="Q1948" t="s">
        <v>11174</v>
      </c>
      <c r="R1948" t="s">
        <v>11180</v>
      </c>
      <c r="S1948" t="s">
        <v>9096</v>
      </c>
      <c r="T1948" t="s">
        <v>11183</v>
      </c>
      <c r="U1948" t="s">
        <v>11201</v>
      </c>
      <c r="V1948" t="s">
        <v>441</v>
      </c>
      <c r="W1948">
        <v>505</v>
      </c>
      <c r="X1948" t="s">
        <v>11335</v>
      </c>
      <c r="Y1948" t="s">
        <v>11340</v>
      </c>
      <c r="Z1948" t="s">
        <v>11952</v>
      </c>
      <c r="AB1948" t="s">
        <v>16406</v>
      </c>
      <c r="AC1948">
        <v>40</v>
      </c>
      <c r="AD1948" t="s">
        <v>19569</v>
      </c>
      <c r="AE1948" t="s">
        <v>9144</v>
      </c>
      <c r="AF1948">
        <v>8</v>
      </c>
      <c r="AG1948">
        <v>1</v>
      </c>
      <c r="AH1948">
        <v>0</v>
      </c>
      <c r="AI1948">
        <v>73.98</v>
      </c>
      <c r="AL1948" t="s">
        <v>19615</v>
      </c>
      <c r="AM1948">
        <v>9240</v>
      </c>
      <c r="AO1948" t="s">
        <v>20290</v>
      </c>
      <c r="AP1948" t="s">
        <v>20337</v>
      </c>
      <c r="AQ1948" t="s">
        <v>20369</v>
      </c>
      <c r="AR1948" t="s">
        <v>20452</v>
      </c>
      <c r="AS1948">
        <v>53.35</v>
      </c>
      <c r="AT1948" t="s">
        <v>435</v>
      </c>
      <c r="AU1948" t="s">
        <v>20619</v>
      </c>
      <c r="AV1948" t="s">
        <v>20733</v>
      </c>
    </row>
    <row r="1949" spans="1:48">
      <c r="A1949" s="1">
        <f>HYPERLINK("https://lsnyc.legalserver.org/matter/dynamic-profile/view/0821540","16-0821540")</f>
        <v>0</v>
      </c>
      <c r="B1949" t="s">
        <v>105</v>
      </c>
      <c r="C1949" t="s">
        <v>256</v>
      </c>
      <c r="D1949" t="s">
        <v>758</v>
      </c>
      <c r="F1949" t="s">
        <v>2018</v>
      </c>
      <c r="G1949" t="s">
        <v>4259</v>
      </c>
      <c r="H1949" t="s">
        <v>5855</v>
      </c>
      <c r="I1949" t="s">
        <v>8192</v>
      </c>
      <c r="J1949" t="s">
        <v>9065</v>
      </c>
      <c r="K1949">
        <v>10467</v>
      </c>
      <c r="L1949" t="s">
        <v>9094</v>
      </c>
      <c r="M1949" t="s">
        <v>9095</v>
      </c>
      <c r="N1949" t="s">
        <v>9220</v>
      </c>
      <c r="O1949" t="s">
        <v>11143</v>
      </c>
      <c r="P1949" t="s">
        <v>11165</v>
      </c>
      <c r="R1949" t="s">
        <v>11180</v>
      </c>
      <c r="S1949" t="s">
        <v>9094</v>
      </c>
      <c r="T1949" t="s">
        <v>11183</v>
      </c>
      <c r="V1949" t="s">
        <v>11245</v>
      </c>
      <c r="W1949">
        <v>900</v>
      </c>
      <c r="X1949" t="s">
        <v>11333</v>
      </c>
      <c r="Y1949" t="s">
        <v>11338</v>
      </c>
      <c r="Z1949" t="s">
        <v>12711</v>
      </c>
      <c r="AA1949" t="s">
        <v>15633</v>
      </c>
      <c r="AB1949" t="s">
        <v>17088</v>
      </c>
      <c r="AC1949">
        <v>30</v>
      </c>
      <c r="AD1949" t="s">
        <v>19566</v>
      </c>
      <c r="AE1949" t="s">
        <v>9144</v>
      </c>
      <c r="AF1949">
        <v>2</v>
      </c>
      <c r="AG1949">
        <v>2</v>
      </c>
      <c r="AH1949">
        <v>0</v>
      </c>
      <c r="AI1949">
        <v>74.01000000000001</v>
      </c>
      <c r="AJ1949" t="s">
        <v>865</v>
      </c>
      <c r="AL1949" t="s">
        <v>19614</v>
      </c>
      <c r="AM1949">
        <v>11856</v>
      </c>
      <c r="AS1949">
        <v>1.6</v>
      </c>
      <c r="AT1949" t="s">
        <v>977</v>
      </c>
      <c r="AU1949" t="s">
        <v>20648</v>
      </c>
    </row>
    <row r="1950" spans="1:48">
      <c r="A1950" s="1">
        <f>HYPERLINK("https://lsnyc.legalserver.org/matter/dynamic-profile/view/0823681","17-0823681")</f>
        <v>0</v>
      </c>
      <c r="B1950" t="s">
        <v>101</v>
      </c>
      <c r="C1950" t="s">
        <v>256</v>
      </c>
      <c r="D1950" t="s">
        <v>866</v>
      </c>
      <c r="F1950" t="s">
        <v>2057</v>
      </c>
      <c r="G1950" t="s">
        <v>4260</v>
      </c>
      <c r="H1950" t="s">
        <v>6515</v>
      </c>
      <c r="I1950" t="s">
        <v>8527</v>
      </c>
      <c r="J1950" t="s">
        <v>9065</v>
      </c>
      <c r="K1950">
        <v>10453</v>
      </c>
      <c r="L1950" t="s">
        <v>9094</v>
      </c>
      <c r="M1950" t="s">
        <v>9095</v>
      </c>
      <c r="O1950" t="s">
        <v>11132</v>
      </c>
      <c r="P1950" t="s">
        <v>11165</v>
      </c>
      <c r="R1950" t="s">
        <v>11180</v>
      </c>
      <c r="T1950" t="s">
        <v>11183</v>
      </c>
      <c r="V1950" t="s">
        <v>11219</v>
      </c>
      <c r="W1950">
        <v>1600</v>
      </c>
      <c r="X1950" t="s">
        <v>11333</v>
      </c>
      <c r="Y1950" t="s">
        <v>11340</v>
      </c>
      <c r="Z1950" t="s">
        <v>12712</v>
      </c>
      <c r="AB1950" t="s">
        <v>17089</v>
      </c>
      <c r="AC1950">
        <v>8270</v>
      </c>
      <c r="AD1950" t="s">
        <v>19571</v>
      </c>
      <c r="AE1950" t="s">
        <v>19580</v>
      </c>
      <c r="AF1950">
        <v>24</v>
      </c>
      <c r="AG1950">
        <v>1</v>
      </c>
      <c r="AH1950">
        <v>0</v>
      </c>
      <c r="AI1950">
        <v>74.04000000000001</v>
      </c>
      <c r="AL1950" t="s">
        <v>19614</v>
      </c>
      <c r="AM1950">
        <v>8796</v>
      </c>
      <c r="AS1950">
        <v>10</v>
      </c>
      <c r="AT1950" t="s">
        <v>738</v>
      </c>
      <c r="AU1950" t="s">
        <v>20648</v>
      </c>
    </row>
    <row r="1951" spans="1:48">
      <c r="A1951" s="1">
        <f>HYPERLINK("https://lsnyc.legalserver.org/matter/dynamic-profile/view/0823682","17-0823682")</f>
        <v>0</v>
      </c>
      <c r="B1951" t="s">
        <v>101</v>
      </c>
      <c r="C1951" t="s">
        <v>256</v>
      </c>
      <c r="D1951" t="s">
        <v>866</v>
      </c>
      <c r="F1951" t="s">
        <v>2057</v>
      </c>
      <c r="G1951" t="s">
        <v>4260</v>
      </c>
      <c r="H1951" t="s">
        <v>6515</v>
      </c>
      <c r="I1951" t="s">
        <v>8527</v>
      </c>
      <c r="J1951" t="s">
        <v>9065</v>
      </c>
      <c r="K1951">
        <v>10453</v>
      </c>
      <c r="L1951" t="s">
        <v>9094</v>
      </c>
      <c r="M1951" t="s">
        <v>9095</v>
      </c>
      <c r="O1951" t="s">
        <v>11140</v>
      </c>
      <c r="P1951" t="s">
        <v>11166</v>
      </c>
      <c r="R1951" t="s">
        <v>11180</v>
      </c>
      <c r="T1951" t="s">
        <v>11190</v>
      </c>
      <c r="V1951" t="s">
        <v>11219</v>
      </c>
      <c r="W1951">
        <v>0</v>
      </c>
      <c r="X1951" t="s">
        <v>11333</v>
      </c>
      <c r="Z1951" t="s">
        <v>12712</v>
      </c>
      <c r="AB1951" t="s">
        <v>17089</v>
      </c>
      <c r="AC1951">
        <v>8270</v>
      </c>
      <c r="AD1951" t="s">
        <v>19568</v>
      </c>
      <c r="AF1951">
        <v>0</v>
      </c>
      <c r="AG1951">
        <v>1</v>
      </c>
      <c r="AH1951">
        <v>0</v>
      </c>
      <c r="AI1951">
        <v>74.04000000000001</v>
      </c>
      <c r="AL1951" t="s">
        <v>19614</v>
      </c>
      <c r="AM1951">
        <v>8796</v>
      </c>
      <c r="AS1951">
        <v>8.9</v>
      </c>
      <c r="AT1951" t="s">
        <v>540</v>
      </c>
      <c r="AU1951" t="s">
        <v>20648</v>
      </c>
    </row>
    <row r="1952" spans="1:48">
      <c r="A1952" s="1">
        <f>HYPERLINK("https://lsnyc.legalserver.org/matter/dynamic-profile/view/0799264","16-0799264")</f>
        <v>0</v>
      </c>
      <c r="B1952" t="s">
        <v>101</v>
      </c>
      <c r="C1952" t="s">
        <v>256</v>
      </c>
      <c r="D1952" t="s">
        <v>656</v>
      </c>
      <c r="F1952" t="s">
        <v>2042</v>
      </c>
      <c r="G1952" t="s">
        <v>3540</v>
      </c>
      <c r="H1952" t="s">
        <v>6041</v>
      </c>
      <c r="I1952" t="s">
        <v>8131</v>
      </c>
      <c r="J1952" t="s">
        <v>9065</v>
      </c>
      <c r="K1952">
        <v>10452</v>
      </c>
      <c r="L1952" t="s">
        <v>9094</v>
      </c>
      <c r="M1952" t="s">
        <v>9095</v>
      </c>
      <c r="N1952" t="s">
        <v>9499</v>
      </c>
      <c r="O1952" t="s">
        <v>11135</v>
      </c>
      <c r="P1952" t="s">
        <v>11168</v>
      </c>
      <c r="R1952" t="s">
        <v>11180</v>
      </c>
      <c r="S1952" t="s">
        <v>9094</v>
      </c>
      <c r="T1952" t="s">
        <v>11183</v>
      </c>
      <c r="V1952" t="s">
        <v>1094</v>
      </c>
      <c r="W1952">
        <v>854.16</v>
      </c>
      <c r="X1952" t="s">
        <v>11333</v>
      </c>
      <c r="Y1952" t="s">
        <v>11346</v>
      </c>
      <c r="Z1952" t="s">
        <v>12676</v>
      </c>
      <c r="AB1952" t="s">
        <v>17055</v>
      </c>
      <c r="AC1952">
        <v>61</v>
      </c>
      <c r="AD1952" t="s">
        <v>19566</v>
      </c>
      <c r="AE1952" t="s">
        <v>19580</v>
      </c>
      <c r="AF1952">
        <v>35</v>
      </c>
      <c r="AG1952">
        <v>1</v>
      </c>
      <c r="AH1952">
        <v>0</v>
      </c>
      <c r="AI1952">
        <v>74.04000000000001</v>
      </c>
      <c r="AL1952" t="s">
        <v>19615</v>
      </c>
      <c r="AM1952">
        <v>8796</v>
      </c>
      <c r="AS1952">
        <v>0.55</v>
      </c>
      <c r="AT1952" t="s">
        <v>1122</v>
      </c>
      <c r="AU1952" t="s">
        <v>109</v>
      </c>
    </row>
    <row r="1953" spans="1:48">
      <c r="A1953" s="1">
        <f>HYPERLINK("https://lsnyc.legalserver.org/matter/dynamic-profile/view/0817052","16-0817052")</f>
        <v>0</v>
      </c>
      <c r="B1953" t="s">
        <v>101</v>
      </c>
      <c r="C1953" t="s">
        <v>256</v>
      </c>
      <c r="D1953" t="s">
        <v>813</v>
      </c>
      <c r="F1953" t="s">
        <v>2042</v>
      </c>
      <c r="G1953" t="s">
        <v>3540</v>
      </c>
      <c r="H1953" t="s">
        <v>6041</v>
      </c>
      <c r="I1953" t="s">
        <v>8131</v>
      </c>
      <c r="J1953" t="s">
        <v>9065</v>
      </c>
      <c r="K1953">
        <v>10452</v>
      </c>
      <c r="L1953" t="s">
        <v>9094</v>
      </c>
      <c r="M1953" t="s">
        <v>9095</v>
      </c>
      <c r="N1953" t="s">
        <v>9500</v>
      </c>
      <c r="O1953" t="s">
        <v>11135</v>
      </c>
      <c r="P1953" t="s">
        <v>11168</v>
      </c>
      <c r="R1953" t="s">
        <v>11180</v>
      </c>
      <c r="S1953" t="s">
        <v>9094</v>
      </c>
      <c r="T1953" t="s">
        <v>11183</v>
      </c>
      <c r="V1953" t="s">
        <v>11260</v>
      </c>
      <c r="W1953">
        <v>854.16</v>
      </c>
      <c r="X1953" t="s">
        <v>11333</v>
      </c>
      <c r="Y1953" t="s">
        <v>11346</v>
      </c>
      <c r="Z1953" t="s">
        <v>12676</v>
      </c>
      <c r="AB1953" t="s">
        <v>17055</v>
      </c>
      <c r="AC1953">
        <v>62</v>
      </c>
      <c r="AD1953" t="s">
        <v>19566</v>
      </c>
      <c r="AE1953" t="s">
        <v>19580</v>
      </c>
      <c r="AF1953">
        <v>35</v>
      </c>
      <c r="AG1953">
        <v>1</v>
      </c>
      <c r="AH1953">
        <v>0</v>
      </c>
      <c r="AI1953">
        <v>74.04000000000001</v>
      </c>
      <c r="AL1953" t="s">
        <v>19615</v>
      </c>
      <c r="AM1953">
        <v>8796</v>
      </c>
      <c r="AS1953">
        <v>0.8</v>
      </c>
      <c r="AT1953" t="s">
        <v>1122</v>
      </c>
      <c r="AU1953" t="s">
        <v>20643</v>
      </c>
    </row>
    <row r="1954" spans="1:48">
      <c r="A1954" s="1">
        <f>HYPERLINK("https://lsnyc.legalserver.org/matter/dynamic-profile/view/0822567","16-0822567")</f>
        <v>0</v>
      </c>
      <c r="B1954" t="s">
        <v>101</v>
      </c>
      <c r="C1954" t="s">
        <v>256</v>
      </c>
      <c r="D1954" t="s">
        <v>657</v>
      </c>
      <c r="F1954" t="s">
        <v>2042</v>
      </c>
      <c r="G1954" t="s">
        <v>3540</v>
      </c>
      <c r="H1954" t="s">
        <v>6041</v>
      </c>
      <c r="I1954" t="s">
        <v>8131</v>
      </c>
      <c r="J1954" t="s">
        <v>9065</v>
      </c>
      <c r="K1954">
        <v>10452</v>
      </c>
      <c r="L1954" t="s">
        <v>9094</v>
      </c>
      <c r="M1954" t="s">
        <v>9095</v>
      </c>
      <c r="N1954" t="s">
        <v>9501</v>
      </c>
      <c r="O1954" t="s">
        <v>11135</v>
      </c>
      <c r="P1954" t="s">
        <v>11168</v>
      </c>
      <c r="R1954" t="s">
        <v>11180</v>
      </c>
      <c r="S1954" t="s">
        <v>9094</v>
      </c>
      <c r="T1954" t="s">
        <v>11183</v>
      </c>
      <c r="V1954" t="s">
        <v>657</v>
      </c>
      <c r="W1954">
        <v>854.16</v>
      </c>
      <c r="X1954" t="s">
        <v>11333</v>
      </c>
      <c r="Y1954" t="s">
        <v>11346</v>
      </c>
      <c r="Z1954" t="s">
        <v>12676</v>
      </c>
      <c r="AB1954" t="s">
        <v>17055</v>
      </c>
      <c r="AC1954">
        <v>62</v>
      </c>
      <c r="AD1954" t="s">
        <v>19566</v>
      </c>
      <c r="AE1954" t="s">
        <v>19580</v>
      </c>
      <c r="AF1954">
        <v>35</v>
      </c>
      <c r="AG1954">
        <v>1</v>
      </c>
      <c r="AH1954">
        <v>0</v>
      </c>
      <c r="AI1954">
        <v>74.04000000000001</v>
      </c>
      <c r="AL1954" t="s">
        <v>19615</v>
      </c>
      <c r="AM1954">
        <v>8796</v>
      </c>
      <c r="AS1954">
        <v>0.3</v>
      </c>
      <c r="AT1954" t="s">
        <v>1122</v>
      </c>
      <c r="AU1954" t="s">
        <v>20643</v>
      </c>
    </row>
    <row r="1955" spans="1:48">
      <c r="A1955" s="1">
        <f>HYPERLINK("https://lsnyc.legalserver.org/matter/dynamic-profile/view/1900070","19-1900070")</f>
        <v>0</v>
      </c>
      <c r="B1955" t="s">
        <v>59</v>
      </c>
      <c r="C1955" t="s">
        <v>256</v>
      </c>
      <c r="D1955" t="s">
        <v>293</v>
      </c>
      <c r="F1955" t="s">
        <v>2058</v>
      </c>
      <c r="G1955" t="s">
        <v>3534</v>
      </c>
      <c r="H1955" t="s">
        <v>5736</v>
      </c>
      <c r="I1955" t="s">
        <v>8149</v>
      </c>
      <c r="J1955" t="s">
        <v>9055</v>
      </c>
      <c r="K1955">
        <v>11354</v>
      </c>
      <c r="L1955" t="s">
        <v>9094</v>
      </c>
      <c r="M1955" t="s">
        <v>9095</v>
      </c>
      <c r="N1955" t="s">
        <v>9909</v>
      </c>
      <c r="O1955" t="s">
        <v>11128</v>
      </c>
      <c r="P1955" t="s">
        <v>11165</v>
      </c>
      <c r="R1955" t="s">
        <v>11180</v>
      </c>
      <c r="S1955" t="s">
        <v>9096</v>
      </c>
      <c r="T1955" t="s">
        <v>11183</v>
      </c>
      <c r="U1955" t="s">
        <v>11201</v>
      </c>
      <c r="V1955" t="s">
        <v>293</v>
      </c>
      <c r="W1955">
        <v>500</v>
      </c>
      <c r="X1955" t="s">
        <v>11331</v>
      </c>
      <c r="Y1955" t="s">
        <v>11336</v>
      </c>
      <c r="Z1955" t="s">
        <v>12713</v>
      </c>
      <c r="AA1955" t="s">
        <v>15274</v>
      </c>
      <c r="AB1955" t="s">
        <v>17090</v>
      </c>
      <c r="AC1955">
        <v>175</v>
      </c>
      <c r="AD1955" t="s">
        <v>19566</v>
      </c>
      <c r="AE1955" t="s">
        <v>9144</v>
      </c>
      <c r="AF1955">
        <v>3</v>
      </c>
      <c r="AG1955">
        <v>1</v>
      </c>
      <c r="AH1955">
        <v>0</v>
      </c>
      <c r="AI1955">
        <v>74.08</v>
      </c>
      <c r="AL1955" t="s">
        <v>19614</v>
      </c>
      <c r="AM1955">
        <v>9252</v>
      </c>
      <c r="AS1955">
        <v>32.24</v>
      </c>
      <c r="AT1955" t="s">
        <v>1130</v>
      </c>
      <c r="AU1955" t="s">
        <v>59</v>
      </c>
      <c r="AV1955" t="s">
        <v>20733</v>
      </c>
    </row>
    <row r="1956" spans="1:48">
      <c r="A1956" s="1">
        <f>HYPERLINK("https://lsnyc.legalserver.org/matter/dynamic-profile/view/1903928","19-1903928")</f>
        <v>0</v>
      </c>
      <c r="B1956" t="s">
        <v>155</v>
      </c>
      <c r="C1956" t="s">
        <v>256</v>
      </c>
      <c r="D1956" t="s">
        <v>597</v>
      </c>
      <c r="F1956" t="s">
        <v>2059</v>
      </c>
      <c r="G1956" t="s">
        <v>4261</v>
      </c>
      <c r="H1956" t="s">
        <v>6733</v>
      </c>
      <c r="I1956" t="s">
        <v>8170</v>
      </c>
      <c r="J1956" t="s">
        <v>9059</v>
      </c>
      <c r="K1956">
        <v>11239</v>
      </c>
      <c r="L1956" t="s">
        <v>9094</v>
      </c>
      <c r="M1956" t="s">
        <v>9095</v>
      </c>
      <c r="N1956" t="s">
        <v>9910</v>
      </c>
      <c r="O1956" t="s">
        <v>11128</v>
      </c>
      <c r="P1956" t="s">
        <v>11169</v>
      </c>
      <c r="R1956" t="s">
        <v>11180</v>
      </c>
      <c r="T1956" t="s">
        <v>11183</v>
      </c>
      <c r="W1956">
        <v>100</v>
      </c>
      <c r="X1956" t="s">
        <v>11332</v>
      </c>
      <c r="Y1956" t="s">
        <v>11336</v>
      </c>
      <c r="Z1956" t="s">
        <v>12714</v>
      </c>
      <c r="AB1956" t="s">
        <v>17091</v>
      </c>
      <c r="AC1956">
        <v>20</v>
      </c>
      <c r="AF1956">
        <v>3</v>
      </c>
      <c r="AG1956">
        <v>1</v>
      </c>
      <c r="AH1956">
        <v>0</v>
      </c>
      <c r="AI1956">
        <v>74.08</v>
      </c>
      <c r="AL1956" t="s">
        <v>19614</v>
      </c>
      <c r="AM1956">
        <v>9252</v>
      </c>
      <c r="AS1956">
        <v>6.8</v>
      </c>
      <c r="AT1956" t="s">
        <v>488</v>
      </c>
      <c r="AU1956" t="s">
        <v>20625</v>
      </c>
      <c r="AV1956" t="s">
        <v>20733</v>
      </c>
    </row>
    <row r="1957" spans="1:48">
      <c r="A1957" s="1">
        <f>HYPERLINK("https://lsnyc.legalserver.org/matter/dynamic-profile/view/1910703","19-1910703")</f>
        <v>0</v>
      </c>
      <c r="B1957" t="s">
        <v>65</v>
      </c>
      <c r="C1957" t="s">
        <v>256</v>
      </c>
      <c r="D1957" t="s">
        <v>307</v>
      </c>
      <c r="F1957" t="s">
        <v>1184</v>
      </c>
      <c r="G1957" t="s">
        <v>3380</v>
      </c>
      <c r="H1957" t="s">
        <v>5740</v>
      </c>
      <c r="I1957" t="s">
        <v>8135</v>
      </c>
      <c r="J1957" t="s">
        <v>9060</v>
      </c>
      <c r="K1957">
        <v>11238</v>
      </c>
      <c r="L1957" t="s">
        <v>9094</v>
      </c>
      <c r="M1957" t="s">
        <v>9095</v>
      </c>
      <c r="N1957" t="s">
        <v>9911</v>
      </c>
      <c r="O1957" t="s">
        <v>11129</v>
      </c>
      <c r="P1957" t="s">
        <v>11165</v>
      </c>
      <c r="R1957" t="s">
        <v>11180</v>
      </c>
      <c r="S1957" t="s">
        <v>9094</v>
      </c>
      <c r="T1957" t="s">
        <v>11183</v>
      </c>
      <c r="U1957" t="s">
        <v>11201</v>
      </c>
      <c r="V1957" t="s">
        <v>446</v>
      </c>
      <c r="W1957">
        <v>654.33</v>
      </c>
      <c r="X1957" t="s">
        <v>11332</v>
      </c>
      <c r="Y1957" t="s">
        <v>11340</v>
      </c>
      <c r="Z1957" t="s">
        <v>11409</v>
      </c>
      <c r="AB1957" t="s">
        <v>15942</v>
      </c>
      <c r="AC1957">
        <v>29</v>
      </c>
      <c r="AD1957" t="s">
        <v>19566</v>
      </c>
      <c r="AF1957">
        <v>44</v>
      </c>
      <c r="AG1957">
        <v>1</v>
      </c>
      <c r="AH1957">
        <v>0</v>
      </c>
      <c r="AI1957">
        <v>74.08</v>
      </c>
      <c r="AL1957" t="s">
        <v>19614</v>
      </c>
      <c r="AM1957">
        <v>9252</v>
      </c>
      <c r="AO1957" t="s">
        <v>20290</v>
      </c>
      <c r="AS1957">
        <v>19</v>
      </c>
      <c r="AT1957" t="s">
        <v>270</v>
      </c>
      <c r="AU1957" t="s">
        <v>67</v>
      </c>
      <c r="AV1957" t="s">
        <v>20733</v>
      </c>
    </row>
    <row r="1958" spans="1:48">
      <c r="A1958" s="1">
        <f>HYPERLINK("https://lsnyc.legalserver.org/matter/dynamic-profile/view/1893062","19-1893062")</f>
        <v>0</v>
      </c>
      <c r="B1958" t="s">
        <v>67</v>
      </c>
      <c r="C1958" t="s">
        <v>257</v>
      </c>
      <c r="D1958" t="s">
        <v>423</v>
      </c>
      <c r="E1958" t="s">
        <v>779</v>
      </c>
      <c r="F1958" t="s">
        <v>1460</v>
      </c>
      <c r="G1958" t="s">
        <v>4241</v>
      </c>
      <c r="H1958" t="s">
        <v>6719</v>
      </c>
      <c r="I1958" t="s">
        <v>8302</v>
      </c>
      <c r="J1958" t="s">
        <v>9059</v>
      </c>
      <c r="K1958">
        <v>11238</v>
      </c>
      <c r="L1958" t="s">
        <v>9095</v>
      </c>
      <c r="M1958" t="s">
        <v>9095</v>
      </c>
      <c r="Q1958" t="s">
        <v>11173</v>
      </c>
      <c r="R1958" t="s">
        <v>11180</v>
      </c>
      <c r="T1958" t="s">
        <v>11184</v>
      </c>
      <c r="W1958">
        <v>0</v>
      </c>
      <c r="X1958" t="s">
        <v>11332</v>
      </c>
      <c r="Z1958" t="s">
        <v>12684</v>
      </c>
      <c r="AB1958" t="s">
        <v>17063</v>
      </c>
      <c r="AC1958">
        <v>0</v>
      </c>
      <c r="AF1958">
        <v>0</v>
      </c>
      <c r="AG1958">
        <v>1</v>
      </c>
      <c r="AH1958">
        <v>0</v>
      </c>
      <c r="AI1958">
        <v>74.08</v>
      </c>
      <c r="AL1958" t="s">
        <v>19614</v>
      </c>
      <c r="AM1958">
        <v>9252</v>
      </c>
      <c r="AS1958">
        <v>10.2</v>
      </c>
      <c r="AT1958" t="s">
        <v>779</v>
      </c>
      <c r="AU1958" t="s">
        <v>67</v>
      </c>
    </row>
    <row r="1959" spans="1:48">
      <c r="A1959" s="1">
        <f>HYPERLINK("https://lsnyc.legalserver.org/matter/dynamic-profile/view/1912736","19-1912736")</f>
        <v>0</v>
      </c>
      <c r="B1959" t="s">
        <v>83</v>
      </c>
      <c r="C1959" t="s">
        <v>256</v>
      </c>
      <c r="D1959" t="s">
        <v>744</v>
      </c>
      <c r="F1959" t="s">
        <v>1649</v>
      </c>
      <c r="G1959" t="s">
        <v>3491</v>
      </c>
      <c r="H1959" t="s">
        <v>6734</v>
      </c>
      <c r="I1959">
        <v>4</v>
      </c>
      <c r="J1959" t="s">
        <v>9059</v>
      </c>
      <c r="K1959">
        <v>11231</v>
      </c>
      <c r="L1959" t="s">
        <v>9094</v>
      </c>
      <c r="M1959" t="s">
        <v>9095</v>
      </c>
      <c r="O1959" t="s">
        <v>11128</v>
      </c>
      <c r="P1959" t="s">
        <v>11165</v>
      </c>
      <c r="R1959" t="s">
        <v>11180</v>
      </c>
      <c r="S1959" t="s">
        <v>9096</v>
      </c>
      <c r="T1959" t="s">
        <v>11183</v>
      </c>
      <c r="V1959" t="s">
        <v>488</v>
      </c>
      <c r="W1959">
        <v>670</v>
      </c>
      <c r="X1959" t="s">
        <v>11332</v>
      </c>
      <c r="Y1959" t="s">
        <v>11157</v>
      </c>
      <c r="Z1959" t="s">
        <v>11966</v>
      </c>
      <c r="AB1959" t="s">
        <v>17092</v>
      </c>
      <c r="AC1959">
        <v>12</v>
      </c>
      <c r="AF1959">
        <v>12</v>
      </c>
      <c r="AG1959">
        <v>1</v>
      </c>
      <c r="AH1959">
        <v>0</v>
      </c>
      <c r="AI1959">
        <v>74.08</v>
      </c>
      <c r="AL1959" t="s">
        <v>19614</v>
      </c>
      <c r="AM1959">
        <v>9252</v>
      </c>
      <c r="AS1959">
        <v>18.4</v>
      </c>
      <c r="AT1959" t="s">
        <v>1135</v>
      </c>
      <c r="AU1959" t="s">
        <v>215</v>
      </c>
      <c r="AV1959" t="s">
        <v>20733</v>
      </c>
    </row>
    <row r="1960" spans="1:48">
      <c r="A1960" s="1">
        <f>HYPERLINK("https://lsnyc.legalserver.org/matter/dynamic-profile/view/1915199","19-1915199")</f>
        <v>0</v>
      </c>
      <c r="B1960" t="s">
        <v>209</v>
      </c>
      <c r="C1960" t="s">
        <v>256</v>
      </c>
      <c r="D1960" t="s">
        <v>867</v>
      </c>
      <c r="F1960" t="s">
        <v>1264</v>
      </c>
      <c r="G1960" t="s">
        <v>4262</v>
      </c>
      <c r="H1960" t="s">
        <v>6735</v>
      </c>
      <c r="I1960">
        <v>23</v>
      </c>
      <c r="J1960" t="s">
        <v>9059</v>
      </c>
      <c r="K1960">
        <v>11225</v>
      </c>
      <c r="L1960" t="s">
        <v>9094</v>
      </c>
      <c r="M1960" t="s">
        <v>9095</v>
      </c>
      <c r="O1960" t="s">
        <v>11134</v>
      </c>
      <c r="P1960" t="s">
        <v>11168</v>
      </c>
      <c r="R1960" t="s">
        <v>11180</v>
      </c>
      <c r="S1960" t="s">
        <v>9096</v>
      </c>
      <c r="T1960" t="s">
        <v>11183</v>
      </c>
      <c r="U1960" t="s">
        <v>11201</v>
      </c>
      <c r="V1960" t="s">
        <v>706</v>
      </c>
      <c r="W1960">
        <v>0</v>
      </c>
      <c r="X1960" t="s">
        <v>11332</v>
      </c>
      <c r="Y1960" t="s">
        <v>11340</v>
      </c>
      <c r="Z1960" t="s">
        <v>12715</v>
      </c>
      <c r="AB1960" t="s">
        <v>17093</v>
      </c>
      <c r="AC1960">
        <v>0</v>
      </c>
      <c r="AF1960">
        <v>40</v>
      </c>
      <c r="AG1960">
        <v>1</v>
      </c>
      <c r="AH1960">
        <v>0</v>
      </c>
      <c r="AI1960">
        <v>74.08</v>
      </c>
      <c r="AK1960" t="s">
        <v>19613</v>
      </c>
      <c r="AL1960" t="s">
        <v>19615</v>
      </c>
      <c r="AM1960">
        <v>9252</v>
      </c>
      <c r="AS1960">
        <v>0.25</v>
      </c>
      <c r="AT1960" t="s">
        <v>1130</v>
      </c>
      <c r="AU1960" t="s">
        <v>75</v>
      </c>
      <c r="AV1960" t="s">
        <v>20733</v>
      </c>
    </row>
    <row r="1961" spans="1:48">
      <c r="A1961" s="1">
        <f>HYPERLINK("https://lsnyc.legalserver.org/matter/dynamic-profile/view/1908100","19-1908100")</f>
        <v>0</v>
      </c>
      <c r="B1961" t="s">
        <v>73</v>
      </c>
      <c r="C1961" t="s">
        <v>256</v>
      </c>
      <c r="D1961" t="s">
        <v>551</v>
      </c>
      <c r="F1961" t="s">
        <v>1318</v>
      </c>
      <c r="G1961" t="s">
        <v>3677</v>
      </c>
      <c r="H1961" t="s">
        <v>6736</v>
      </c>
      <c r="I1961" t="s">
        <v>8528</v>
      </c>
      <c r="J1961" t="s">
        <v>9059</v>
      </c>
      <c r="K1961">
        <v>11212</v>
      </c>
      <c r="L1961" t="s">
        <v>9094</v>
      </c>
      <c r="M1961" t="s">
        <v>9095</v>
      </c>
      <c r="N1961" t="s">
        <v>9912</v>
      </c>
      <c r="O1961" t="s">
        <v>11129</v>
      </c>
      <c r="P1961" t="s">
        <v>11165</v>
      </c>
      <c r="R1961" t="s">
        <v>11180</v>
      </c>
      <c r="S1961" t="s">
        <v>9096</v>
      </c>
      <c r="T1961" t="s">
        <v>11183</v>
      </c>
      <c r="U1961" t="s">
        <v>11201</v>
      </c>
      <c r="V1961" t="s">
        <v>481</v>
      </c>
      <c r="W1961">
        <v>1027</v>
      </c>
      <c r="X1961" t="s">
        <v>11332</v>
      </c>
      <c r="Y1961" t="s">
        <v>11345</v>
      </c>
      <c r="Z1961" t="s">
        <v>12716</v>
      </c>
      <c r="AA1961" t="s">
        <v>15290</v>
      </c>
      <c r="AB1961" t="s">
        <v>17094</v>
      </c>
      <c r="AC1961">
        <v>260</v>
      </c>
      <c r="AD1961" t="s">
        <v>19567</v>
      </c>
      <c r="AE1961" t="s">
        <v>19584</v>
      </c>
      <c r="AF1961">
        <v>17</v>
      </c>
      <c r="AG1961">
        <v>1</v>
      </c>
      <c r="AH1961">
        <v>0</v>
      </c>
      <c r="AI1961">
        <v>74.08</v>
      </c>
      <c r="AL1961" t="s">
        <v>19614</v>
      </c>
      <c r="AM1961">
        <v>9252</v>
      </c>
      <c r="AS1961">
        <v>7</v>
      </c>
      <c r="AT1961" t="s">
        <v>484</v>
      </c>
      <c r="AU1961" t="s">
        <v>20627</v>
      </c>
      <c r="AV1961" t="s">
        <v>20733</v>
      </c>
    </row>
    <row r="1962" spans="1:48">
      <c r="A1962" s="1">
        <f>HYPERLINK("https://lsnyc.legalserver.org/matter/dynamic-profile/view/1913797","19-1913797")</f>
        <v>0</v>
      </c>
      <c r="B1962" t="s">
        <v>69</v>
      </c>
      <c r="C1962" t="s">
        <v>256</v>
      </c>
      <c r="D1962" t="s">
        <v>301</v>
      </c>
      <c r="F1962" t="s">
        <v>1318</v>
      </c>
      <c r="G1962" t="s">
        <v>3677</v>
      </c>
      <c r="H1962" t="s">
        <v>6736</v>
      </c>
      <c r="I1962" t="s">
        <v>8528</v>
      </c>
      <c r="J1962" t="s">
        <v>9059</v>
      </c>
      <c r="K1962">
        <v>11212</v>
      </c>
      <c r="L1962" t="s">
        <v>9095</v>
      </c>
      <c r="M1962" t="s">
        <v>9095</v>
      </c>
      <c r="N1962" t="s">
        <v>9912</v>
      </c>
      <c r="O1962" t="s">
        <v>11139</v>
      </c>
      <c r="R1962" t="s">
        <v>11180</v>
      </c>
      <c r="S1962" t="s">
        <v>9096</v>
      </c>
      <c r="T1962" t="s">
        <v>11184</v>
      </c>
      <c r="U1962" t="s">
        <v>11201</v>
      </c>
      <c r="W1962">
        <v>1027</v>
      </c>
      <c r="X1962" t="s">
        <v>11332</v>
      </c>
      <c r="Y1962" t="s">
        <v>11345</v>
      </c>
      <c r="Z1962" t="s">
        <v>12716</v>
      </c>
      <c r="AB1962" t="s">
        <v>17094</v>
      </c>
      <c r="AC1962">
        <v>260</v>
      </c>
      <c r="AD1962" t="s">
        <v>19567</v>
      </c>
      <c r="AE1962" t="s">
        <v>19584</v>
      </c>
      <c r="AF1962">
        <v>17</v>
      </c>
      <c r="AG1962">
        <v>1</v>
      </c>
      <c r="AH1962">
        <v>0</v>
      </c>
      <c r="AI1962">
        <v>74.08</v>
      </c>
      <c r="AL1962" t="s">
        <v>19614</v>
      </c>
      <c r="AM1962">
        <v>9252</v>
      </c>
      <c r="AN1962" t="s">
        <v>19831</v>
      </c>
      <c r="AS1962">
        <v>5.5</v>
      </c>
      <c r="AT1962" t="s">
        <v>1130</v>
      </c>
      <c r="AU1962" t="s">
        <v>79</v>
      </c>
    </row>
    <row r="1963" spans="1:48">
      <c r="A1963" s="1">
        <f>HYPERLINK("https://lsnyc.legalserver.org/matter/dynamic-profile/view/1907458","19-1907458")</f>
        <v>0</v>
      </c>
      <c r="B1963" t="s">
        <v>69</v>
      </c>
      <c r="C1963" t="s">
        <v>257</v>
      </c>
      <c r="D1963" t="s">
        <v>275</v>
      </c>
      <c r="E1963" t="s">
        <v>396</v>
      </c>
      <c r="F1963" t="s">
        <v>1383</v>
      </c>
      <c r="G1963" t="s">
        <v>3776</v>
      </c>
      <c r="H1963" t="s">
        <v>6737</v>
      </c>
      <c r="I1963">
        <v>2</v>
      </c>
      <c r="J1963" t="s">
        <v>9059</v>
      </c>
      <c r="K1963">
        <v>11208</v>
      </c>
      <c r="L1963" t="s">
        <v>9096</v>
      </c>
      <c r="M1963" t="s">
        <v>9095</v>
      </c>
      <c r="N1963" t="s">
        <v>9144</v>
      </c>
      <c r="O1963" t="s">
        <v>9121</v>
      </c>
      <c r="P1963" t="s">
        <v>11164</v>
      </c>
      <c r="Q1963" t="s">
        <v>11172</v>
      </c>
      <c r="R1963" t="s">
        <v>11180</v>
      </c>
      <c r="S1963" t="s">
        <v>9096</v>
      </c>
      <c r="T1963" t="s">
        <v>11183</v>
      </c>
      <c r="W1963">
        <v>1442</v>
      </c>
      <c r="X1963" t="s">
        <v>11332</v>
      </c>
      <c r="Y1963" t="s">
        <v>11157</v>
      </c>
      <c r="Z1963" t="s">
        <v>12660</v>
      </c>
      <c r="AB1963" t="s">
        <v>17095</v>
      </c>
      <c r="AC1963">
        <v>2</v>
      </c>
      <c r="AD1963" t="s">
        <v>19565</v>
      </c>
      <c r="AE1963" t="s">
        <v>19580</v>
      </c>
      <c r="AF1963">
        <v>12</v>
      </c>
      <c r="AG1963">
        <v>1</v>
      </c>
      <c r="AH1963">
        <v>0</v>
      </c>
      <c r="AI1963">
        <v>74.08</v>
      </c>
      <c r="AL1963" t="s">
        <v>19615</v>
      </c>
      <c r="AM1963">
        <v>9252</v>
      </c>
      <c r="AS1963">
        <v>1.4</v>
      </c>
      <c r="AT1963" t="s">
        <v>396</v>
      </c>
      <c r="AU1963" t="s">
        <v>20638</v>
      </c>
    </row>
    <row r="1964" spans="1:48">
      <c r="A1964" s="1">
        <f>HYPERLINK("https://lsnyc.legalserver.org/matter/dynamic-profile/view/1891917","19-1891917")</f>
        <v>0</v>
      </c>
      <c r="B1964" t="s">
        <v>52</v>
      </c>
      <c r="C1964" t="s">
        <v>256</v>
      </c>
      <c r="D1964" t="s">
        <v>868</v>
      </c>
      <c r="F1964" t="s">
        <v>2060</v>
      </c>
      <c r="G1964" t="s">
        <v>4263</v>
      </c>
      <c r="H1964" t="s">
        <v>6738</v>
      </c>
      <c r="I1964" t="s">
        <v>8114</v>
      </c>
      <c r="J1964" t="s">
        <v>9063</v>
      </c>
      <c r="K1964">
        <v>11101</v>
      </c>
      <c r="L1964" t="s">
        <v>9094</v>
      </c>
      <c r="M1964" t="s">
        <v>9094</v>
      </c>
      <c r="N1964" t="s">
        <v>9913</v>
      </c>
      <c r="O1964" t="s">
        <v>11128</v>
      </c>
      <c r="P1964" t="s">
        <v>11165</v>
      </c>
      <c r="R1964" t="s">
        <v>11180</v>
      </c>
      <c r="S1964" t="s">
        <v>9096</v>
      </c>
      <c r="T1964" t="s">
        <v>11183</v>
      </c>
      <c r="U1964" t="s">
        <v>11200</v>
      </c>
      <c r="V1964" t="s">
        <v>635</v>
      </c>
      <c r="W1964">
        <v>1500</v>
      </c>
      <c r="X1964" t="s">
        <v>11331</v>
      </c>
      <c r="Y1964" t="s">
        <v>11336</v>
      </c>
      <c r="Z1964" t="s">
        <v>12717</v>
      </c>
      <c r="AB1964" t="s">
        <v>17096</v>
      </c>
      <c r="AC1964">
        <v>1</v>
      </c>
      <c r="AD1964" t="s">
        <v>15441</v>
      </c>
      <c r="AE1964" t="s">
        <v>9144</v>
      </c>
      <c r="AF1964">
        <v>4</v>
      </c>
      <c r="AG1964">
        <v>1</v>
      </c>
      <c r="AH1964">
        <v>0</v>
      </c>
      <c r="AI1964">
        <v>74.08</v>
      </c>
      <c r="AL1964" t="s">
        <v>19615</v>
      </c>
      <c r="AM1964">
        <v>9252</v>
      </c>
      <c r="AS1964">
        <v>10.3</v>
      </c>
      <c r="AT1964" t="s">
        <v>314</v>
      </c>
      <c r="AU1964" t="s">
        <v>20620</v>
      </c>
      <c r="AV1964" t="s">
        <v>20733</v>
      </c>
    </row>
    <row r="1965" spans="1:48">
      <c r="A1965" s="1">
        <f>HYPERLINK("https://lsnyc.legalserver.org/matter/dynamic-profile/view/1914391","19-1914391")</f>
        <v>0</v>
      </c>
      <c r="B1965" t="s">
        <v>178</v>
      </c>
      <c r="C1965" t="s">
        <v>256</v>
      </c>
      <c r="D1965" t="s">
        <v>703</v>
      </c>
      <c r="F1965" t="s">
        <v>1750</v>
      </c>
      <c r="G1965" t="s">
        <v>4264</v>
      </c>
      <c r="H1965" t="s">
        <v>6739</v>
      </c>
      <c r="I1965" t="s">
        <v>8529</v>
      </c>
      <c r="J1965" t="s">
        <v>9065</v>
      </c>
      <c r="K1965">
        <v>10463</v>
      </c>
      <c r="L1965" t="s">
        <v>9094</v>
      </c>
      <c r="M1965" t="s">
        <v>9095</v>
      </c>
      <c r="P1965" t="s">
        <v>11169</v>
      </c>
      <c r="R1965" t="s">
        <v>11180</v>
      </c>
      <c r="T1965" t="s">
        <v>11183</v>
      </c>
      <c r="W1965">
        <v>0</v>
      </c>
      <c r="X1965" t="s">
        <v>11333</v>
      </c>
      <c r="Z1965" t="s">
        <v>12718</v>
      </c>
      <c r="AB1965" t="s">
        <v>17097</v>
      </c>
      <c r="AC1965">
        <v>0</v>
      </c>
      <c r="AF1965">
        <v>0</v>
      </c>
      <c r="AG1965">
        <v>1</v>
      </c>
      <c r="AH1965">
        <v>0</v>
      </c>
      <c r="AI1965">
        <v>74.08</v>
      </c>
      <c r="AL1965" t="s">
        <v>19615</v>
      </c>
      <c r="AM1965">
        <v>9252</v>
      </c>
      <c r="AS1965">
        <v>4.25</v>
      </c>
      <c r="AT1965" t="s">
        <v>1130</v>
      </c>
      <c r="AU1965" t="s">
        <v>178</v>
      </c>
      <c r="AV1965" t="s">
        <v>20733</v>
      </c>
    </row>
    <row r="1966" spans="1:48">
      <c r="A1966" s="1">
        <f>HYPERLINK("https://lsnyc.legalserver.org/matter/dynamic-profile/view/1899795","19-1899795")</f>
        <v>0</v>
      </c>
      <c r="B1966" t="s">
        <v>113</v>
      </c>
      <c r="C1966" t="s">
        <v>256</v>
      </c>
      <c r="D1966" t="s">
        <v>411</v>
      </c>
      <c r="F1966" t="s">
        <v>1583</v>
      </c>
      <c r="G1966" t="s">
        <v>4265</v>
      </c>
      <c r="H1966" t="s">
        <v>5864</v>
      </c>
      <c r="I1966" t="s">
        <v>8153</v>
      </c>
      <c r="J1966" t="s">
        <v>9065</v>
      </c>
      <c r="K1966">
        <v>10460</v>
      </c>
      <c r="L1966" t="s">
        <v>9094</v>
      </c>
      <c r="M1966" t="s">
        <v>9095</v>
      </c>
      <c r="O1966" t="s">
        <v>9121</v>
      </c>
      <c r="P1966" t="s">
        <v>11166</v>
      </c>
      <c r="R1966" t="s">
        <v>11180</v>
      </c>
      <c r="S1966" t="s">
        <v>9094</v>
      </c>
      <c r="T1966" t="s">
        <v>11183</v>
      </c>
      <c r="V1966" t="s">
        <v>11218</v>
      </c>
      <c r="W1966">
        <v>1583</v>
      </c>
      <c r="X1966" t="s">
        <v>11333</v>
      </c>
      <c r="Y1966" t="s">
        <v>11346</v>
      </c>
      <c r="Z1966" t="s">
        <v>12719</v>
      </c>
      <c r="AA1966" t="s">
        <v>15634</v>
      </c>
      <c r="AB1966" t="s">
        <v>17098</v>
      </c>
      <c r="AC1966">
        <v>168</v>
      </c>
      <c r="AD1966" t="s">
        <v>19566</v>
      </c>
      <c r="AE1966" t="s">
        <v>19580</v>
      </c>
      <c r="AF1966">
        <v>3</v>
      </c>
      <c r="AG1966">
        <v>1</v>
      </c>
      <c r="AH1966">
        <v>0</v>
      </c>
      <c r="AI1966">
        <v>74.08</v>
      </c>
      <c r="AL1966" t="s">
        <v>19614</v>
      </c>
      <c r="AM1966">
        <v>9252</v>
      </c>
      <c r="AS1966">
        <v>0</v>
      </c>
      <c r="AU1966" t="s">
        <v>20647</v>
      </c>
      <c r="AV1966" t="s">
        <v>20733</v>
      </c>
    </row>
    <row r="1967" spans="1:48">
      <c r="A1967" s="1">
        <f>HYPERLINK("https://lsnyc.legalserver.org/matter/dynamic-profile/view/1908086","19-1908086")</f>
        <v>0</v>
      </c>
      <c r="B1967" t="s">
        <v>110</v>
      </c>
      <c r="C1967" t="s">
        <v>257</v>
      </c>
      <c r="D1967" t="s">
        <v>288</v>
      </c>
      <c r="E1967" t="s">
        <v>632</v>
      </c>
      <c r="F1967" t="s">
        <v>1538</v>
      </c>
      <c r="G1967" t="s">
        <v>3706</v>
      </c>
      <c r="H1967" t="s">
        <v>6091</v>
      </c>
      <c r="I1967" t="s">
        <v>8179</v>
      </c>
      <c r="J1967" t="s">
        <v>9065</v>
      </c>
      <c r="K1967">
        <v>10459</v>
      </c>
      <c r="L1967" t="s">
        <v>9094</v>
      </c>
      <c r="M1967" t="s">
        <v>9095</v>
      </c>
      <c r="P1967" t="s">
        <v>11167</v>
      </c>
      <c r="Q1967" t="s">
        <v>11172</v>
      </c>
      <c r="R1967" t="s">
        <v>11180</v>
      </c>
      <c r="S1967" t="s">
        <v>9096</v>
      </c>
      <c r="T1967" t="s">
        <v>11183</v>
      </c>
      <c r="W1967">
        <v>1200</v>
      </c>
      <c r="X1967" t="s">
        <v>11333</v>
      </c>
      <c r="Z1967" t="s">
        <v>11823</v>
      </c>
      <c r="AB1967" t="s">
        <v>16287</v>
      </c>
      <c r="AC1967">
        <v>0</v>
      </c>
      <c r="AF1967">
        <v>11</v>
      </c>
      <c r="AG1967">
        <v>1</v>
      </c>
      <c r="AH1967">
        <v>0</v>
      </c>
      <c r="AI1967">
        <v>74.08</v>
      </c>
      <c r="AL1967" t="s">
        <v>19615</v>
      </c>
      <c r="AM1967">
        <v>9252</v>
      </c>
      <c r="AS1967">
        <v>2.25</v>
      </c>
      <c r="AT1967" t="s">
        <v>551</v>
      </c>
      <c r="AU1967" t="s">
        <v>110</v>
      </c>
      <c r="AV1967" t="s">
        <v>20733</v>
      </c>
    </row>
    <row r="1968" spans="1:48">
      <c r="A1968" s="1">
        <f>HYPERLINK("https://lsnyc.legalserver.org/matter/dynamic-profile/view/1910932","19-1910932")</f>
        <v>0</v>
      </c>
      <c r="B1968" t="s">
        <v>106</v>
      </c>
      <c r="C1968" t="s">
        <v>257</v>
      </c>
      <c r="D1968" t="s">
        <v>295</v>
      </c>
      <c r="E1968" t="s">
        <v>744</v>
      </c>
      <c r="F1968" t="s">
        <v>1960</v>
      </c>
      <c r="G1968" t="s">
        <v>4266</v>
      </c>
      <c r="H1968" t="s">
        <v>6740</v>
      </c>
      <c r="J1968" t="s">
        <v>9065</v>
      </c>
      <c r="K1968">
        <v>10457</v>
      </c>
      <c r="L1968" t="s">
        <v>9094</v>
      </c>
      <c r="M1968" t="s">
        <v>9095</v>
      </c>
      <c r="N1968" t="s">
        <v>9914</v>
      </c>
      <c r="O1968" t="s">
        <v>11129</v>
      </c>
      <c r="P1968" t="s">
        <v>11164</v>
      </c>
      <c r="Q1968" t="s">
        <v>11172</v>
      </c>
      <c r="R1968" t="s">
        <v>11180</v>
      </c>
      <c r="S1968" t="s">
        <v>9096</v>
      </c>
      <c r="T1968" t="s">
        <v>11183</v>
      </c>
      <c r="U1968" t="s">
        <v>11201</v>
      </c>
      <c r="V1968" t="s">
        <v>744</v>
      </c>
      <c r="W1968">
        <v>530</v>
      </c>
      <c r="X1968" t="s">
        <v>11333</v>
      </c>
      <c r="Z1968" t="s">
        <v>12720</v>
      </c>
      <c r="AB1968" t="s">
        <v>17099</v>
      </c>
      <c r="AC1968">
        <v>80</v>
      </c>
      <c r="AD1968" t="s">
        <v>19573</v>
      </c>
      <c r="AF1968">
        <v>10</v>
      </c>
      <c r="AG1968">
        <v>1</v>
      </c>
      <c r="AH1968">
        <v>0</v>
      </c>
      <c r="AI1968">
        <v>74.08</v>
      </c>
      <c r="AL1968" t="s">
        <v>19614</v>
      </c>
      <c r="AM1968">
        <v>9252</v>
      </c>
      <c r="AS1968">
        <v>1.7</v>
      </c>
      <c r="AT1968" t="s">
        <v>290</v>
      </c>
      <c r="AU1968" t="s">
        <v>20627</v>
      </c>
      <c r="AV1968" t="s">
        <v>20733</v>
      </c>
    </row>
    <row r="1969" spans="1:48">
      <c r="A1969" s="1">
        <f>HYPERLINK("https://lsnyc.legalserver.org/matter/dynamic-profile/view/1904971","19-1904971")</f>
        <v>0</v>
      </c>
      <c r="B1969" t="s">
        <v>111</v>
      </c>
      <c r="C1969" t="s">
        <v>256</v>
      </c>
      <c r="D1969" t="s">
        <v>660</v>
      </c>
      <c r="F1969" t="s">
        <v>1146</v>
      </c>
      <c r="G1969" t="s">
        <v>3418</v>
      </c>
      <c r="H1969" t="s">
        <v>6741</v>
      </c>
      <c r="I1969" t="s">
        <v>8530</v>
      </c>
      <c r="J1969" t="s">
        <v>9065</v>
      </c>
      <c r="K1969">
        <v>10457</v>
      </c>
      <c r="L1969" t="s">
        <v>9095</v>
      </c>
      <c r="M1969" t="s">
        <v>9095</v>
      </c>
      <c r="O1969" t="s">
        <v>11151</v>
      </c>
      <c r="P1969" t="s">
        <v>11166</v>
      </c>
      <c r="R1969" t="s">
        <v>11180</v>
      </c>
      <c r="S1969" t="s">
        <v>9096</v>
      </c>
      <c r="T1969" t="s">
        <v>11190</v>
      </c>
      <c r="W1969">
        <v>0</v>
      </c>
      <c r="X1969" t="s">
        <v>11333</v>
      </c>
      <c r="Y1969" t="s">
        <v>11338</v>
      </c>
      <c r="Z1969" t="s">
        <v>12721</v>
      </c>
      <c r="AA1969" t="s">
        <v>15635</v>
      </c>
      <c r="AB1969" t="s">
        <v>17100</v>
      </c>
      <c r="AC1969">
        <v>71</v>
      </c>
      <c r="AD1969" t="s">
        <v>19566</v>
      </c>
      <c r="AE1969" t="s">
        <v>19580</v>
      </c>
      <c r="AF1969">
        <v>39</v>
      </c>
      <c r="AG1969">
        <v>1</v>
      </c>
      <c r="AH1969">
        <v>0</v>
      </c>
      <c r="AI1969">
        <v>74.08</v>
      </c>
      <c r="AL1969" t="s">
        <v>19615</v>
      </c>
      <c r="AM1969">
        <v>9252</v>
      </c>
      <c r="AS1969">
        <v>6.1</v>
      </c>
      <c r="AT1969" t="s">
        <v>294</v>
      </c>
      <c r="AU1969" t="s">
        <v>20629</v>
      </c>
      <c r="AV1969" t="s">
        <v>20734</v>
      </c>
    </row>
    <row r="1970" spans="1:48">
      <c r="A1970" s="1">
        <f>HYPERLINK("https://lsnyc.legalserver.org/matter/dynamic-profile/view/1906975","19-1906975")</f>
        <v>0</v>
      </c>
      <c r="B1970" t="s">
        <v>108</v>
      </c>
      <c r="C1970" t="s">
        <v>256</v>
      </c>
      <c r="D1970" t="s">
        <v>370</v>
      </c>
      <c r="F1970" t="s">
        <v>2057</v>
      </c>
      <c r="G1970" t="s">
        <v>4267</v>
      </c>
      <c r="H1970" t="s">
        <v>6515</v>
      </c>
      <c r="I1970" t="s">
        <v>8531</v>
      </c>
      <c r="J1970" t="s">
        <v>9065</v>
      </c>
      <c r="K1970">
        <v>10453</v>
      </c>
      <c r="L1970" t="s">
        <v>9094</v>
      </c>
      <c r="M1970" t="s">
        <v>9095</v>
      </c>
      <c r="N1970" t="s">
        <v>9171</v>
      </c>
      <c r="O1970" t="s">
        <v>9121</v>
      </c>
      <c r="P1970" t="s">
        <v>11164</v>
      </c>
      <c r="R1970" t="s">
        <v>11180</v>
      </c>
      <c r="S1970" t="s">
        <v>9096</v>
      </c>
      <c r="T1970" t="s">
        <v>11190</v>
      </c>
      <c r="U1970" t="s">
        <v>11201</v>
      </c>
      <c r="W1970">
        <v>0</v>
      </c>
      <c r="X1970" t="s">
        <v>11333</v>
      </c>
      <c r="Y1970" t="s">
        <v>11340</v>
      </c>
      <c r="Z1970" t="s">
        <v>12712</v>
      </c>
      <c r="AB1970" t="s">
        <v>17089</v>
      </c>
      <c r="AC1970">
        <v>44</v>
      </c>
      <c r="AD1970" t="s">
        <v>19572</v>
      </c>
      <c r="AE1970" t="s">
        <v>19580</v>
      </c>
      <c r="AF1970">
        <v>0</v>
      </c>
      <c r="AG1970">
        <v>1</v>
      </c>
      <c r="AH1970">
        <v>0</v>
      </c>
      <c r="AI1970">
        <v>74.08</v>
      </c>
      <c r="AL1970" t="s">
        <v>19614</v>
      </c>
      <c r="AM1970">
        <v>9252</v>
      </c>
      <c r="AS1970">
        <v>1</v>
      </c>
      <c r="AT1970" t="s">
        <v>806</v>
      </c>
      <c r="AU1970" t="s">
        <v>108</v>
      </c>
      <c r="AV1970" t="s">
        <v>20733</v>
      </c>
    </row>
    <row r="1971" spans="1:48">
      <c r="A1971" s="1">
        <f>HYPERLINK("https://lsnyc.legalserver.org/matter/dynamic-profile/view/1912017","19-1912017")</f>
        <v>0</v>
      </c>
      <c r="B1971" t="s">
        <v>178</v>
      </c>
      <c r="C1971" t="s">
        <v>257</v>
      </c>
      <c r="D1971" t="s">
        <v>309</v>
      </c>
      <c r="E1971" t="s">
        <v>309</v>
      </c>
      <c r="F1971" t="s">
        <v>1829</v>
      </c>
      <c r="G1971" t="s">
        <v>4268</v>
      </c>
      <c r="H1971" t="s">
        <v>6742</v>
      </c>
      <c r="I1971" t="s">
        <v>8223</v>
      </c>
      <c r="J1971" t="s">
        <v>9065</v>
      </c>
      <c r="K1971">
        <v>10453</v>
      </c>
      <c r="L1971" t="s">
        <v>9094</v>
      </c>
      <c r="M1971" t="s">
        <v>9095</v>
      </c>
      <c r="O1971" t="s">
        <v>9121</v>
      </c>
      <c r="P1971" t="s">
        <v>11164</v>
      </c>
      <c r="Q1971" t="s">
        <v>11172</v>
      </c>
      <c r="R1971" t="s">
        <v>11180</v>
      </c>
      <c r="S1971" t="s">
        <v>9096</v>
      </c>
      <c r="T1971" t="s">
        <v>11183</v>
      </c>
      <c r="W1971">
        <v>895</v>
      </c>
      <c r="X1971" t="s">
        <v>11333</v>
      </c>
      <c r="Y1971" t="s">
        <v>11346</v>
      </c>
      <c r="Z1971" t="s">
        <v>12722</v>
      </c>
      <c r="AB1971" t="s">
        <v>17101</v>
      </c>
      <c r="AC1971">
        <v>0</v>
      </c>
      <c r="AD1971" t="s">
        <v>19566</v>
      </c>
      <c r="AE1971" t="s">
        <v>19580</v>
      </c>
      <c r="AF1971">
        <v>27</v>
      </c>
      <c r="AG1971">
        <v>1</v>
      </c>
      <c r="AH1971">
        <v>0</v>
      </c>
      <c r="AI1971">
        <v>74.08</v>
      </c>
      <c r="AL1971" t="s">
        <v>19614</v>
      </c>
      <c r="AM1971">
        <v>9252</v>
      </c>
      <c r="AS1971">
        <v>0.75</v>
      </c>
      <c r="AT1971" t="s">
        <v>309</v>
      </c>
      <c r="AU1971" t="s">
        <v>178</v>
      </c>
      <c r="AV1971" t="s">
        <v>20733</v>
      </c>
    </row>
    <row r="1972" spans="1:48">
      <c r="A1972" s="1">
        <f>HYPERLINK("https://lsnyc.legalserver.org/matter/dynamic-profile/view/1913321","19-1913321")</f>
        <v>0</v>
      </c>
      <c r="B1972" t="s">
        <v>115</v>
      </c>
      <c r="C1972" t="s">
        <v>256</v>
      </c>
      <c r="D1972" t="s">
        <v>286</v>
      </c>
      <c r="F1972" t="s">
        <v>1829</v>
      </c>
      <c r="G1972" t="s">
        <v>4268</v>
      </c>
      <c r="H1972" t="s">
        <v>6742</v>
      </c>
      <c r="I1972" t="s">
        <v>8223</v>
      </c>
      <c r="J1972" t="s">
        <v>9065</v>
      </c>
      <c r="K1972">
        <v>10453</v>
      </c>
      <c r="L1972" t="s">
        <v>9094</v>
      </c>
      <c r="M1972" t="s">
        <v>9095</v>
      </c>
      <c r="N1972" t="s">
        <v>9915</v>
      </c>
      <c r="O1972" t="s">
        <v>11129</v>
      </c>
      <c r="P1972" t="s">
        <v>11164</v>
      </c>
      <c r="R1972" t="s">
        <v>11180</v>
      </c>
      <c r="S1972" t="s">
        <v>9096</v>
      </c>
      <c r="T1972" t="s">
        <v>11183</v>
      </c>
      <c r="U1972" t="s">
        <v>11201</v>
      </c>
      <c r="W1972">
        <v>895.88</v>
      </c>
      <c r="X1972" t="s">
        <v>11333</v>
      </c>
      <c r="Y1972" t="s">
        <v>11340</v>
      </c>
      <c r="Z1972" t="s">
        <v>12722</v>
      </c>
      <c r="AB1972" t="s">
        <v>17101</v>
      </c>
      <c r="AC1972">
        <v>0</v>
      </c>
      <c r="AD1972" t="s">
        <v>19566</v>
      </c>
      <c r="AF1972">
        <v>29</v>
      </c>
      <c r="AG1972">
        <v>1</v>
      </c>
      <c r="AH1972">
        <v>0</v>
      </c>
      <c r="AI1972">
        <v>74.08</v>
      </c>
      <c r="AL1972" t="s">
        <v>19614</v>
      </c>
      <c r="AM1972">
        <v>9252</v>
      </c>
      <c r="AS1972">
        <v>0.1</v>
      </c>
      <c r="AT1972" t="s">
        <v>484</v>
      </c>
      <c r="AU1972" t="s">
        <v>115</v>
      </c>
      <c r="AV1972" t="s">
        <v>20733</v>
      </c>
    </row>
    <row r="1973" spans="1:48">
      <c r="A1973" s="1">
        <f>HYPERLINK("https://lsnyc.legalserver.org/matter/dynamic-profile/view/1914257","19-1914257")</f>
        <v>0</v>
      </c>
      <c r="B1973" t="s">
        <v>117</v>
      </c>
      <c r="C1973" t="s">
        <v>256</v>
      </c>
      <c r="D1973" t="s">
        <v>496</v>
      </c>
      <c r="F1973" t="s">
        <v>1788</v>
      </c>
      <c r="G1973" t="s">
        <v>3448</v>
      </c>
      <c r="H1973" t="s">
        <v>6063</v>
      </c>
      <c r="I1973" t="s">
        <v>8474</v>
      </c>
      <c r="J1973" t="s">
        <v>9065</v>
      </c>
      <c r="K1973">
        <v>10452</v>
      </c>
      <c r="L1973" t="s">
        <v>9094</v>
      </c>
      <c r="M1973" t="s">
        <v>9095</v>
      </c>
      <c r="O1973" t="s">
        <v>9121</v>
      </c>
      <c r="P1973" t="s">
        <v>11164</v>
      </c>
      <c r="R1973" t="s">
        <v>11180</v>
      </c>
      <c r="T1973" t="s">
        <v>11183</v>
      </c>
      <c r="W1973">
        <v>168</v>
      </c>
      <c r="X1973" t="s">
        <v>11333</v>
      </c>
      <c r="Y1973" t="s">
        <v>11346</v>
      </c>
      <c r="Z1973" t="s">
        <v>12723</v>
      </c>
      <c r="AA1973" t="s">
        <v>15636</v>
      </c>
      <c r="AB1973" t="s">
        <v>17102</v>
      </c>
      <c r="AC1973">
        <v>0</v>
      </c>
      <c r="AD1973" t="s">
        <v>15441</v>
      </c>
      <c r="AE1973" t="s">
        <v>19580</v>
      </c>
      <c r="AF1973">
        <v>28</v>
      </c>
      <c r="AG1973">
        <v>1</v>
      </c>
      <c r="AH1973">
        <v>0</v>
      </c>
      <c r="AI1973">
        <v>74.08</v>
      </c>
      <c r="AL1973" t="s">
        <v>19615</v>
      </c>
      <c r="AM1973">
        <v>9252</v>
      </c>
      <c r="AS1973">
        <v>0</v>
      </c>
      <c r="AU1973" t="s">
        <v>20647</v>
      </c>
      <c r="AV1973" t="s">
        <v>20734</v>
      </c>
    </row>
    <row r="1974" spans="1:48">
      <c r="A1974" s="1">
        <f>HYPERLINK("https://lsnyc.legalserver.org/matter/dynamic-profile/view/1915497","19-1915497")</f>
        <v>0</v>
      </c>
      <c r="B1974" t="s">
        <v>113</v>
      </c>
      <c r="C1974" t="s">
        <v>257</v>
      </c>
      <c r="D1974" t="s">
        <v>594</v>
      </c>
      <c r="E1974" t="s">
        <v>594</v>
      </c>
      <c r="F1974" t="s">
        <v>1788</v>
      </c>
      <c r="G1974" t="s">
        <v>3448</v>
      </c>
      <c r="H1974" t="s">
        <v>6063</v>
      </c>
      <c r="J1974" t="s">
        <v>9065</v>
      </c>
      <c r="K1974">
        <v>10452</v>
      </c>
      <c r="L1974" t="s">
        <v>9094</v>
      </c>
      <c r="M1974" t="s">
        <v>9095</v>
      </c>
      <c r="O1974" t="s">
        <v>9121</v>
      </c>
      <c r="P1974" t="s">
        <v>11164</v>
      </c>
      <c r="Q1974" t="s">
        <v>11172</v>
      </c>
      <c r="R1974" t="s">
        <v>11180</v>
      </c>
      <c r="T1974" t="s">
        <v>11183</v>
      </c>
      <c r="U1974" t="s">
        <v>11201</v>
      </c>
      <c r="W1974">
        <v>167</v>
      </c>
      <c r="X1974" t="s">
        <v>11333</v>
      </c>
      <c r="Z1974" t="s">
        <v>12723</v>
      </c>
      <c r="AB1974" t="s">
        <v>17102</v>
      </c>
      <c r="AC1974">
        <v>40</v>
      </c>
      <c r="AD1974" t="s">
        <v>19566</v>
      </c>
      <c r="AE1974" t="s">
        <v>19580</v>
      </c>
      <c r="AF1974">
        <v>28</v>
      </c>
      <c r="AG1974">
        <v>1</v>
      </c>
      <c r="AH1974">
        <v>0</v>
      </c>
      <c r="AI1974">
        <v>74.08</v>
      </c>
      <c r="AL1974" t="s">
        <v>19615</v>
      </c>
      <c r="AM1974">
        <v>9252</v>
      </c>
      <c r="AS1974">
        <v>0.5</v>
      </c>
      <c r="AT1974" t="s">
        <v>594</v>
      </c>
      <c r="AU1974" t="s">
        <v>113</v>
      </c>
      <c r="AV1974" t="s">
        <v>20733</v>
      </c>
    </row>
    <row r="1975" spans="1:48">
      <c r="A1975" s="1">
        <f>HYPERLINK("https://lsnyc.legalserver.org/matter/dynamic-profile/view/1908291","19-1908291")</f>
        <v>0</v>
      </c>
      <c r="B1975" t="s">
        <v>103</v>
      </c>
      <c r="C1975" t="s">
        <v>257</v>
      </c>
      <c r="D1975" t="s">
        <v>335</v>
      </c>
      <c r="E1975" t="s">
        <v>326</v>
      </c>
      <c r="F1975" t="s">
        <v>1241</v>
      </c>
      <c r="G1975" t="s">
        <v>3993</v>
      </c>
      <c r="H1975" t="s">
        <v>6743</v>
      </c>
      <c r="I1975" t="s">
        <v>8250</v>
      </c>
      <c r="J1975" t="s">
        <v>9065</v>
      </c>
      <c r="K1975">
        <v>10452</v>
      </c>
      <c r="L1975" t="s">
        <v>9094</v>
      </c>
      <c r="M1975" t="s">
        <v>9095</v>
      </c>
      <c r="P1975" t="s">
        <v>11164</v>
      </c>
      <c r="Q1975" t="s">
        <v>11172</v>
      </c>
      <c r="R1975" t="s">
        <v>11180</v>
      </c>
      <c r="S1975" t="s">
        <v>9096</v>
      </c>
      <c r="T1975" t="s">
        <v>11183</v>
      </c>
      <c r="W1975">
        <v>1144.49</v>
      </c>
      <c r="X1975" t="s">
        <v>11333</v>
      </c>
      <c r="Y1975" t="s">
        <v>11346</v>
      </c>
      <c r="Z1975" t="s">
        <v>12115</v>
      </c>
      <c r="AB1975" t="s">
        <v>17103</v>
      </c>
      <c r="AC1975">
        <v>71</v>
      </c>
      <c r="AD1975" t="s">
        <v>15441</v>
      </c>
      <c r="AE1975" t="s">
        <v>19580</v>
      </c>
      <c r="AF1975">
        <v>19</v>
      </c>
      <c r="AG1975">
        <v>1</v>
      </c>
      <c r="AH1975">
        <v>0</v>
      </c>
      <c r="AI1975">
        <v>74.08</v>
      </c>
      <c r="AL1975" t="s">
        <v>19614</v>
      </c>
      <c r="AM1975">
        <v>9252</v>
      </c>
      <c r="AS1975">
        <v>0.1</v>
      </c>
      <c r="AT1975" t="s">
        <v>326</v>
      </c>
      <c r="AU1975" t="s">
        <v>220</v>
      </c>
      <c r="AV1975" t="s">
        <v>20733</v>
      </c>
    </row>
    <row r="1976" spans="1:48">
      <c r="A1976" s="1">
        <f>HYPERLINK("https://lsnyc.legalserver.org/matter/dynamic-profile/view/1914942","19-1914942")</f>
        <v>0</v>
      </c>
      <c r="B1976" t="s">
        <v>117</v>
      </c>
      <c r="C1976" t="s">
        <v>256</v>
      </c>
      <c r="D1976" t="s">
        <v>331</v>
      </c>
      <c r="F1976" t="s">
        <v>1632</v>
      </c>
      <c r="G1976" t="s">
        <v>3630</v>
      </c>
      <c r="H1976" t="s">
        <v>5899</v>
      </c>
      <c r="I1976" t="s">
        <v>8192</v>
      </c>
      <c r="J1976" t="s">
        <v>9065</v>
      </c>
      <c r="K1976">
        <v>10452</v>
      </c>
      <c r="L1976" t="s">
        <v>9095</v>
      </c>
      <c r="M1976" t="s">
        <v>9095</v>
      </c>
      <c r="R1976" t="s">
        <v>11180</v>
      </c>
      <c r="S1976" t="s">
        <v>9094</v>
      </c>
      <c r="T1976" t="s">
        <v>11183</v>
      </c>
      <c r="W1976">
        <v>1260</v>
      </c>
      <c r="X1976" t="s">
        <v>11333</v>
      </c>
      <c r="Y1976" t="s">
        <v>11346</v>
      </c>
      <c r="Z1976" t="s">
        <v>12522</v>
      </c>
      <c r="AB1976" t="s">
        <v>16403</v>
      </c>
      <c r="AC1976">
        <v>65</v>
      </c>
      <c r="AD1976" t="s">
        <v>19566</v>
      </c>
      <c r="AE1976" t="s">
        <v>19582</v>
      </c>
      <c r="AF1976">
        <v>44</v>
      </c>
      <c r="AG1976">
        <v>1</v>
      </c>
      <c r="AH1976">
        <v>0</v>
      </c>
      <c r="AI1976">
        <v>74.08</v>
      </c>
      <c r="AL1976" t="s">
        <v>19615</v>
      </c>
      <c r="AM1976">
        <v>9252</v>
      </c>
      <c r="AS1976">
        <v>0</v>
      </c>
      <c r="AU1976" t="s">
        <v>20647</v>
      </c>
    </row>
    <row r="1977" spans="1:48">
      <c r="A1977" s="1">
        <f>HYPERLINK("https://lsnyc.legalserver.org/matter/dynamic-profile/view/1898467","19-1898467")</f>
        <v>0</v>
      </c>
      <c r="B1977" t="s">
        <v>126</v>
      </c>
      <c r="C1977" t="s">
        <v>257</v>
      </c>
      <c r="D1977" t="s">
        <v>614</v>
      </c>
      <c r="E1977" t="s">
        <v>457</v>
      </c>
      <c r="F1977" t="s">
        <v>1684</v>
      </c>
      <c r="G1977" t="s">
        <v>1362</v>
      </c>
      <c r="H1977" t="s">
        <v>6744</v>
      </c>
      <c r="I1977">
        <v>1</v>
      </c>
      <c r="J1977" t="s">
        <v>9066</v>
      </c>
      <c r="K1977">
        <v>10301</v>
      </c>
      <c r="L1977" t="s">
        <v>9094</v>
      </c>
      <c r="M1977" t="s">
        <v>9095</v>
      </c>
      <c r="N1977" t="s">
        <v>9916</v>
      </c>
      <c r="O1977" t="s">
        <v>11128</v>
      </c>
      <c r="P1977" t="s">
        <v>11164</v>
      </c>
      <c r="Q1977" t="s">
        <v>11172</v>
      </c>
      <c r="R1977" t="s">
        <v>11180</v>
      </c>
      <c r="S1977" t="s">
        <v>9096</v>
      </c>
      <c r="T1977" t="s">
        <v>11183</v>
      </c>
      <c r="U1977" t="s">
        <v>11202</v>
      </c>
      <c r="W1977">
        <v>1305</v>
      </c>
      <c r="X1977" t="s">
        <v>11334</v>
      </c>
      <c r="Y1977" t="s">
        <v>11345</v>
      </c>
      <c r="Z1977" t="s">
        <v>12724</v>
      </c>
      <c r="AB1977" t="s">
        <v>17104</v>
      </c>
      <c r="AC1977">
        <v>2</v>
      </c>
      <c r="AD1977" t="s">
        <v>19565</v>
      </c>
      <c r="AE1977" t="s">
        <v>19580</v>
      </c>
      <c r="AF1977">
        <v>9</v>
      </c>
      <c r="AG1977">
        <v>1</v>
      </c>
      <c r="AH1977">
        <v>0</v>
      </c>
      <c r="AI1977">
        <v>74.08</v>
      </c>
      <c r="AL1977" t="s">
        <v>19614</v>
      </c>
      <c r="AM1977">
        <v>9252</v>
      </c>
      <c r="AP1977" t="s">
        <v>11157</v>
      </c>
      <c r="AS1977">
        <v>0.5</v>
      </c>
      <c r="AT1977" t="s">
        <v>457</v>
      </c>
      <c r="AU1977" t="s">
        <v>20653</v>
      </c>
      <c r="AV1977" t="s">
        <v>20733</v>
      </c>
    </row>
    <row r="1978" spans="1:48">
      <c r="A1978" s="1">
        <f>HYPERLINK("https://lsnyc.legalserver.org/matter/dynamic-profile/view/1907182","19-1907182")</f>
        <v>0</v>
      </c>
      <c r="B1978" t="s">
        <v>129</v>
      </c>
      <c r="C1978" t="s">
        <v>256</v>
      </c>
      <c r="D1978" t="s">
        <v>416</v>
      </c>
      <c r="F1978" t="s">
        <v>2061</v>
      </c>
      <c r="G1978" t="s">
        <v>4269</v>
      </c>
      <c r="H1978" t="s">
        <v>6271</v>
      </c>
      <c r="I1978" t="s">
        <v>8532</v>
      </c>
      <c r="J1978" t="s">
        <v>9066</v>
      </c>
      <c r="K1978">
        <v>10301</v>
      </c>
      <c r="L1978" t="s">
        <v>9094</v>
      </c>
      <c r="M1978" t="s">
        <v>9095</v>
      </c>
      <c r="N1978" t="s">
        <v>9917</v>
      </c>
      <c r="O1978" t="s">
        <v>11129</v>
      </c>
      <c r="P1978" t="s">
        <v>11165</v>
      </c>
      <c r="R1978" t="s">
        <v>11180</v>
      </c>
      <c r="S1978" t="s">
        <v>9096</v>
      </c>
      <c r="T1978" t="s">
        <v>11190</v>
      </c>
      <c r="U1978" t="s">
        <v>11201</v>
      </c>
      <c r="V1978" t="s">
        <v>416</v>
      </c>
      <c r="W1978">
        <v>215</v>
      </c>
      <c r="X1978" t="s">
        <v>11334</v>
      </c>
      <c r="Y1978" t="s">
        <v>11350</v>
      </c>
      <c r="Z1978" t="s">
        <v>12725</v>
      </c>
      <c r="AB1978" t="s">
        <v>17105</v>
      </c>
      <c r="AC1978">
        <v>454</v>
      </c>
      <c r="AD1978" t="s">
        <v>19571</v>
      </c>
      <c r="AE1978" t="s">
        <v>19580</v>
      </c>
      <c r="AF1978">
        <v>37</v>
      </c>
      <c r="AG1978">
        <v>1</v>
      </c>
      <c r="AH1978">
        <v>0</v>
      </c>
      <c r="AI1978">
        <v>74.08</v>
      </c>
      <c r="AL1978" t="s">
        <v>19614</v>
      </c>
      <c r="AM1978">
        <v>9252</v>
      </c>
      <c r="AO1978" t="s">
        <v>20294</v>
      </c>
      <c r="AS1978">
        <v>11.4</v>
      </c>
      <c r="AT1978" t="s">
        <v>594</v>
      </c>
      <c r="AU1978" t="s">
        <v>20653</v>
      </c>
      <c r="AV1978" t="s">
        <v>20733</v>
      </c>
    </row>
    <row r="1979" spans="1:48">
      <c r="A1979" s="1">
        <f>HYPERLINK("https://lsnyc.legalserver.org/matter/dynamic-profile/view/1900987","19-1900987")</f>
        <v>0</v>
      </c>
      <c r="B1979" t="s">
        <v>139</v>
      </c>
      <c r="C1979" t="s">
        <v>257</v>
      </c>
      <c r="D1979" t="s">
        <v>445</v>
      </c>
      <c r="E1979" t="s">
        <v>703</v>
      </c>
      <c r="F1979" t="s">
        <v>1553</v>
      </c>
      <c r="G1979" t="s">
        <v>4270</v>
      </c>
      <c r="H1979" t="s">
        <v>6745</v>
      </c>
      <c r="I1979" t="s">
        <v>8533</v>
      </c>
      <c r="J1979" t="s">
        <v>9067</v>
      </c>
      <c r="K1979">
        <v>10040</v>
      </c>
      <c r="L1979" t="s">
        <v>9094</v>
      </c>
      <c r="M1979" t="s">
        <v>9095</v>
      </c>
      <c r="N1979" t="s">
        <v>9918</v>
      </c>
      <c r="O1979" t="s">
        <v>11158</v>
      </c>
      <c r="P1979" t="s">
        <v>11164</v>
      </c>
      <c r="Q1979" t="s">
        <v>11172</v>
      </c>
      <c r="R1979" t="s">
        <v>11180</v>
      </c>
      <c r="S1979" t="s">
        <v>9096</v>
      </c>
      <c r="T1979" t="s">
        <v>11183</v>
      </c>
      <c r="V1979" t="s">
        <v>445</v>
      </c>
      <c r="W1979">
        <v>771</v>
      </c>
      <c r="X1979" t="s">
        <v>11335</v>
      </c>
      <c r="Y1979" t="s">
        <v>11338</v>
      </c>
      <c r="Z1979" t="s">
        <v>12726</v>
      </c>
      <c r="AB1979" t="s">
        <v>17106</v>
      </c>
      <c r="AC1979">
        <v>169</v>
      </c>
      <c r="AD1979" t="s">
        <v>19568</v>
      </c>
      <c r="AE1979" t="s">
        <v>9144</v>
      </c>
      <c r="AF1979">
        <v>15</v>
      </c>
      <c r="AG1979">
        <v>1</v>
      </c>
      <c r="AH1979">
        <v>0</v>
      </c>
      <c r="AI1979">
        <v>74.08</v>
      </c>
      <c r="AL1979" t="s">
        <v>19614</v>
      </c>
      <c r="AM1979">
        <v>9252</v>
      </c>
      <c r="AS1979">
        <v>1.8</v>
      </c>
      <c r="AT1979" t="s">
        <v>298</v>
      </c>
      <c r="AU1979" t="s">
        <v>130</v>
      </c>
      <c r="AV1979" t="s">
        <v>20733</v>
      </c>
    </row>
    <row r="1980" spans="1:48">
      <c r="A1980" s="1">
        <f>HYPERLINK("https://lsnyc.legalserver.org/matter/dynamic-profile/view/1911358","19-1911358")</f>
        <v>0</v>
      </c>
      <c r="B1980" t="s">
        <v>132</v>
      </c>
      <c r="C1980" t="s">
        <v>257</v>
      </c>
      <c r="D1980" t="s">
        <v>832</v>
      </c>
      <c r="E1980" t="s">
        <v>487</v>
      </c>
      <c r="F1980" t="s">
        <v>2062</v>
      </c>
      <c r="G1980" t="s">
        <v>4271</v>
      </c>
      <c r="H1980" t="s">
        <v>6746</v>
      </c>
      <c r="I1980" t="s">
        <v>8279</v>
      </c>
      <c r="J1980" t="s">
        <v>9067</v>
      </c>
      <c r="K1980">
        <v>10040</v>
      </c>
      <c r="L1980" t="s">
        <v>9094</v>
      </c>
      <c r="M1980" t="s">
        <v>9095</v>
      </c>
      <c r="O1980" t="s">
        <v>9121</v>
      </c>
      <c r="P1980" t="s">
        <v>11164</v>
      </c>
      <c r="Q1980" t="s">
        <v>11172</v>
      </c>
      <c r="R1980" t="s">
        <v>11180</v>
      </c>
      <c r="S1980" t="s">
        <v>9096</v>
      </c>
      <c r="T1980" t="s">
        <v>11183</v>
      </c>
      <c r="V1980" t="s">
        <v>832</v>
      </c>
      <c r="W1980">
        <v>703</v>
      </c>
      <c r="X1980" t="s">
        <v>11335</v>
      </c>
      <c r="Y1980" t="s">
        <v>11338</v>
      </c>
      <c r="Z1980" t="s">
        <v>12727</v>
      </c>
      <c r="AB1980" t="s">
        <v>17107</v>
      </c>
      <c r="AC1980">
        <v>49</v>
      </c>
      <c r="AD1980" t="s">
        <v>19566</v>
      </c>
      <c r="AE1980" t="s">
        <v>19587</v>
      </c>
      <c r="AF1980">
        <v>22</v>
      </c>
      <c r="AG1980">
        <v>1</v>
      </c>
      <c r="AH1980">
        <v>0</v>
      </c>
      <c r="AI1980">
        <v>74.08</v>
      </c>
      <c r="AL1980" t="s">
        <v>19615</v>
      </c>
      <c r="AM1980">
        <v>9252</v>
      </c>
      <c r="AQ1980" t="s">
        <v>20369</v>
      </c>
      <c r="AR1980" t="s">
        <v>20445</v>
      </c>
      <c r="AS1980">
        <v>2.8</v>
      </c>
      <c r="AT1980" t="s">
        <v>487</v>
      </c>
      <c r="AU1980" t="s">
        <v>130</v>
      </c>
      <c r="AV1980" t="s">
        <v>20733</v>
      </c>
    </row>
    <row r="1981" spans="1:48">
      <c r="A1981" s="1">
        <f>HYPERLINK("https://lsnyc.legalserver.org/matter/dynamic-profile/view/1896915","19-1896915")</f>
        <v>0</v>
      </c>
      <c r="B1981" t="s">
        <v>135</v>
      </c>
      <c r="C1981" t="s">
        <v>257</v>
      </c>
      <c r="D1981" t="s">
        <v>777</v>
      </c>
      <c r="E1981" t="s">
        <v>415</v>
      </c>
      <c r="F1981" t="s">
        <v>1426</v>
      </c>
      <c r="G1981" t="s">
        <v>4272</v>
      </c>
      <c r="H1981" t="s">
        <v>6747</v>
      </c>
      <c r="I1981" t="s">
        <v>8213</v>
      </c>
      <c r="J1981" t="s">
        <v>9067</v>
      </c>
      <c r="K1981">
        <v>10035</v>
      </c>
      <c r="L1981" t="s">
        <v>9094</v>
      </c>
      <c r="M1981" t="s">
        <v>9094</v>
      </c>
      <c r="N1981" t="s">
        <v>9919</v>
      </c>
      <c r="O1981" t="s">
        <v>11129</v>
      </c>
      <c r="P1981" t="s">
        <v>11165</v>
      </c>
      <c r="Q1981" t="s">
        <v>11174</v>
      </c>
      <c r="R1981" t="s">
        <v>11180</v>
      </c>
      <c r="S1981" t="s">
        <v>9096</v>
      </c>
      <c r="T1981" t="s">
        <v>11183</v>
      </c>
      <c r="U1981" t="s">
        <v>11201</v>
      </c>
      <c r="V1981" t="s">
        <v>318</v>
      </c>
      <c r="W1981">
        <v>1978</v>
      </c>
      <c r="X1981" t="s">
        <v>11335</v>
      </c>
      <c r="Y1981" t="s">
        <v>11338</v>
      </c>
      <c r="Z1981" t="s">
        <v>12728</v>
      </c>
      <c r="AB1981" t="s">
        <v>17108</v>
      </c>
      <c r="AC1981">
        <v>72</v>
      </c>
      <c r="AD1981" t="s">
        <v>19566</v>
      </c>
      <c r="AE1981" t="s">
        <v>19580</v>
      </c>
      <c r="AF1981">
        <v>36</v>
      </c>
      <c r="AG1981">
        <v>1</v>
      </c>
      <c r="AH1981">
        <v>0</v>
      </c>
      <c r="AI1981">
        <v>74.08</v>
      </c>
      <c r="AL1981" t="s">
        <v>19614</v>
      </c>
      <c r="AM1981">
        <v>9252</v>
      </c>
      <c r="AO1981" t="s">
        <v>20290</v>
      </c>
      <c r="AP1981" t="s">
        <v>20329</v>
      </c>
      <c r="AQ1981" t="s">
        <v>20369</v>
      </c>
      <c r="AR1981" t="s">
        <v>20476</v>
      </c>
      <c r="AS1981">
        <v>22.6</v>
      </c>
      <c r="AT1981" t="s">
        <v>636</v>
      </c>
      <c r="AU1981" t="s">
        <v>20635</v>
      </c>
      <c r="AV1981" t="s">
        <v>20733</v>
      </c>
    </row>
    <row r="1982" spans="1:48">
      <c r="A1982" s="1">
        <f>HYPERLINK("https://lsnyc.legalserver.org/matter/dynamic-profile/view/1892880","19-1892880")</f>
        <v>0</v>
      </c>
      <c r="B1982" t="s">
        <v>133</v>
      </c>
      <c r="C1982" t="s">
        <v>257</v>
      </c>
      <c r="D1982" t="s">
        <v>523</v>
      </c>
      <c r="E1982" t="s">
        <v>339</v>
      </c>
      <c r="F1982" t="s">
        <v>1146</v>
      </c>
      <c r="G1982" t="s">
        <v>3366</v>
      </c>
      <c r="H1982" t="s">
        <v>6748</v>
      </c>
      <c r="I1982" t="s">
        <v>8170</v>
      </c>
      <c r="J1982" t="s">
        <v>9067</v>
      </c>
      <c r="K1982">
        <v>10034</v>
      </c>
      <c r="L1982" t="s">
        <v>9094</v>
      </c>
      <c r="M1982" t="s">
        <v>9094</v>
      </c>
      <c r="O1982" t="s">
        <v>11133</v>
      </c>
      <c r="P1982" t="s">
        <v>11167</v>
      </c>
      <c r="Q1982" t="s">
        <v>11173</v>
      </c>
      <c r="R1982" t="s">
        <v>11180</v>
      </c>
      <c r="S1982" t="s">
        <v>9096</v>
      </c>
      <c r="T1982" t="s">
        <v>11183</v>
      </c>
      <c r="V1982" t="s">
        <v>523</v>
      </c>
      <c r="W1982">
        <v>880.9</v>
      </c>
      <c r="X1982" t="s">
        <v>11335</v>
      </c>
      <c r="Y1982" t="s">
        <v>11338</v>
      </c>
      <c r="Z1982" t="s">
        <v>12729</v>
      </c>
      <c r="AB1982" t="s">
        <v>17109</v>
      </c>
      <c r="AC1982">
        <v>40</v>
      </c>
      <c r="AD1982" t="s">
        <v>19566</v>
      </c>
      <c r="AE1982" t="s">
        <v>19587</v>
      </c>
      <c r="AF1982">
        <v>19</v>
      </c>
      <c r="AG1982">
        <v>1</v>
      </c>
      <c r="AH1982">
        <v>0</v>
      </c>
      <c r="AI1982">
        <v>74.08</v>
      </c>
      <c r="AL1982" t="s">
        <v>19615</v>
      </c>
      <c r="AM1982">
        <v>9252</v>
      </c>
      <c r="AS1982">
        <v>10.5</v>
      </c>
      <c r="AT1982" t="s">
        <v>282</v>
      </c>
      <c r="AU1982" t="s">
        <v>130</v>
      </c>
      <c r="AV1982" t="s">
        <v>20733</v>
      </c>
    </row>
    <row r="1983" spans="1:48">
      <c r="A1983" s="1">
        <f>HYPERLINK("https://lsnyc.legalserver.org/matter/dynamic-profile/view/1905853","19-1905853")</f>
        <v>0</v>
      </c>
      <c r="B1983" t="s">
        <v>210</v>
      </c>
      <c r="C1983" t="s">
        <v>257</v>
      </c>
      <c r="D1983" t="s">
        <v>426</v>
      </c>
      <c r="E1983" t="s">
        <v>331</v>
      </c>
      <c r="F1983" t="s">
        <v>1336</v>
      </c>
      <c r="G1983" t="s">
        <v>3639</v>
      </c>
      <c r="H1983" t="s">
        <v>6749</v>
      </c>
      <c r="I1983" t="s">
        <v>8229</v>
      </c>
      <c r="J1983" t="s">
        <v>9067</v>
      </c>
      <c r="K1983">
        <v>10034</v>
      </c>
      <c r="L1983" t="s">
        <v>9095</v>
      </c>
      <c r="M1983" t="s">
        <v>9095</v>
      </c>
      <c r="Q1983" t="s">
        <v>11172</v>
      </c>
      <c r="R1983" t="s">
        <v>11180</v>
      </c>
      <c r="S1983" t="s">
        <v>9094</v>
      </c>
      <c r="T1983" t="s">
        <v>11189</v>
      </c>
      <c r="W1983">
        <v>1300</v>
      </c>
      <c r="X1983" t="s">
        <v>11335</v>
      </c>
      <c r="Z1983" t="s">
        <v>11407</v>
      </c>
      <c r="AB1983" t="s">
        <v>17110</v>
      </c>
      <c r="AC1983">
        <v>50</v>
      </c>
      <c r="AD1983" t="s">
        <v>19569</v>
      </c>
      <c r="AE1983" t="s">
        <v>19585</v>
      </c>
      <c r="AF1983">
        <v>8</v>
      </c>
      <c r="AG1983">
        <v>1</v>
      </c>
      <c r="AH1983">
        <v>0</v>
      </c>
      <c r="AI1983">
        <v>74.08</v>
      </c>
      <c r="AL1983" t="s">
        <v>19614</v>
      </c>
      <c r="AM1983">
        <v>9252</v>
      </c>
      <c r="AS1983">
        <v>1.85</v>
      </c>
      <c r="AT1983" t="s">
        <v>331</v>
      </c>
      <c r="AU1983" t="s">
        <v>20674</v>
      </c>
    </row>
    <row r="1984" spans="1:48">
      <c r="A1984" s="1">
        <f>HYPERLINK("https://lsnyc.legalserver.org/matter/dynamic-profile/view/1902419","19-1902419")</f>
        <v>0</v>
      </c>
      <c r="B1984" t="s">
        <v>196</v>
      </c>
      <c r="C1984" t="s">
        <v>256</v>
      </c>
      <c r="D1984" t="s">
        <v>798</v>
      </c>
      <c r="F1984" t="s">
        <v>2063</v>
      </c>
      <c r="G1984" t="s">
        <v>3448</v>
      </c>
      <c r="H1984" t="s">
        <v>6750</v>
      </c>
      <c r="I1984" t="s">
        <v>8132</v>
      </c>
      <c r="J1984" t="s">
        <v>9067</v>
      </c>
      <c r="K1984">
        <v>10029</v>
      </c>
      <c r="L1984" t="s">
        <v>9094</v>
      </c>
      <c r="M1984" t="s">
        <v>9095</v>
      </c>
      <c r="N1984" t="s">
        <v>9920</v>
      </c>
      <c r="O1984" t="s">
        <v>11129</v>
      </c>
      <c r="P1984" t="s">
        <v>11165</v>
      </c>
      <c r="R1984" t="s">
        <v>11180</v>
      </c>
      <c r="S1984" t="s">
        <v>9096</v>
      </c>
      <c r="T1984" t="s">
        <v>11183</v>
      </c>
      <c r="V1984" t="s">
        <v>798</v>
      </c>
      <c r="W1984">
        <v>369.12</v>
      </c>
      <c r="X1984" t="s">
        <v>11335</v>
      </c>
      <c r="Y1984" t="s">
        <v>11336</v>
      </c>
      <c r="Z1984" t="s">
        <v>12730</v>
      </c>
      <c r="AB1984" t="s">
        <v>17111</v>
      </c>
      <c r="AC1984">
        <v>0</v>
      </c>
      <c r="AD1984" t="s">
        <v>15441</v>
      </c>
      <c r="AE1984" t="s">
        <v>9144</v>
      </c>
      <c r="AF1984">
        <v>7</v>
      </c>
      <c r="AG1984">
        <v>1</v>
      </c>
      <c r="AH1984">
        <v>0</v>
      </c>
      <c r="AI1984">
        <v>74.08</v>
      </c>
      <c r="AL1984" t="s">
        <v>19615</v>
      </c>
      <c r="AM1984">
        <v>9252</v>
      </c>
      <c r="AS1984">
        <v>3.3</v>
      </c>
      <c r="AT1984" t="s">
        <v>750</v>
      </c>
      <c r="AU1984" t="s">
        <v>20655</v>
      </c>
      <c r="AV1984" t="s">
        <v>20733</v>
      </c>
    </row>
    <row r="1985" spans="1:48">
      <c r="A1985" s="1">
        <f>HYPERLINK("https://lsnyc.legalserver.org/matter/dynamic-profile/view/1910361","19-1910361")</f>
        <v>0</v>
      </c>
      <c r="B1985" t="s">
        <v>131</v>
      </c>
      <c r="C1985" t="s">
        <v>256</v>
      </c>
      <c r="D1985" t="s">
        <v>341</v>
      </c>
      <c r="F1985" t="s">
        <v>1489</v>
      </c>
      <c r="G1985" t="s">
        <v>3010</v>
      </c>
      <c r="H1985" t="s">
        <v>6751</v>
      </c>
      <c r="I1985" t="s">
        <v>8223</v>
      </c>
      <c r="J1985" t="s">
        <v>9079</v>
      </c>
      <c r="K1985">
        <v>10002</v>
      </c>
      <c r="L1985" t="s">
        <v>9094</v>
      </c>
      <c r="M1985" t="s">
        <v>9095</v>
      </c>
      <c r="O1985" t="s">
        <v>9121</v>
      </c>
      <c r="P1985" t="s">
        <v>11169</v>
      </c>
      <c r="R1985" t="s">
        <v>11180</v>
      </c>
      <c r="S1985" t="s">
        <v>9096</v>
      </c>
      <c r="T1985" t="s">
        <v>11183</v>
      </c>
      <c r="V1985" t="s">
        <v>341</v>
      </c>
      <c r="W1985">
        <v>250</v>
      </c>
      <c r="X1985" t="s">
        <v>11335</v>
      </c>
      <c r="Y1985" t="s">
        <v>11339</v>
      </c>
      <c r="Z1985" t="s">
        <v>12731</v>
      </c>
      <c r="AB1985" t="s">
        <v>17112</v>
      </c>
      <c r="AC1985">
        <v>200</v>
      </c>
      <c r="AD1985" t="s">
        <v>15441</v>
      </c>
      <c r="AE1985" t="s">
        <v>19580</v>
      </c>
      <c r="AF1985">
        <v>41</v>
      </c>
      <c r="AG1985">
        <v>1</v>
      </c>
      <c r="AH1985">
        <v>0</v>
      </c>
      <c r="AI1985">
        <v>74.08</v>
      </c>
      <c r="AL1985" t="s">
        <v>19614</v>
      </c>
      <c r="AM1985">
        <v>9252</v>
      </c>
      <c r="AS1985">
        <v>0</v>
      </c>
      <c r="AU1985" t="s">
        <v>20659</v>
      </c>
      <c r="AV1985" t="s">
        <v>20733</v>
      </c>
    </row>
    <row r="1986" spans="1:48">
      <c r="A1986" s="1">
        <f>HYPERLINK("https://lsnyc.legalserver.org/matter/dynamic-profile/view/1868231","18-1868231")</f>
        <v>0</v>
      </c>
      <c r="B1986" t="s">
        <v>78</v>
      </c>
      <c r="C1986" t="s">
        <v>256</v>
      </c>
      <c r="D1986" t="s">
        <v>380</v>
      </c>
      <c r="F1986" t="s">
        <v>2064</v>
      </c>
      <c r="G1986" t="s">
        <v>4273</v>
      </c>
      <c r="H1986" t="s">
        <v>6752</v>
      </c>
      <c r="I1986" t="s">
        <v>8345</v>
      </c>
      <c r="J1986" t="s">
        <v>9059</v>
      </c>
      <c r="K1986">
        <v>11211</v>
      </c>
      <c r="L1986" t="s">
        <v>9094</v>
      </c>
      <c r="M1986" t="s">
        <v>9095</v>
      </c>
      <c r="P1986" t="s">
        <v>11167</v>
      </c>
      <c r="R1986" t="s">
        <v>11180</v>
      </c>
      <c r="T1986" t="s">
        <v>11183</v>
      </c>
      <c r="V1986" t="s">
        <v>380</v>
      </c>
      <c r="W1986">
        <v>630</v>
      </c>
      <c r="X1986" t="s">
        <v>11332</v>
      </c>
      <c r="Y1986" t="s">
        <v>11336</v>
      </c>
      <c r="Z1986" t="s">
        <v>12732</v>
      </c>
      <c r="AB1986" t="s">
        <v>17113</v>
      </c>
      <c r="AC1986">
        <v>20</v>
      </c>
      <c r="AD1986" t="s">
        <v>19574</v>
      </c>
      <c r="AF1986">
        <v>35</v>
      </c>
      <c r="AG1986">
        <v>2</v>
      </c>
      <c r="AH1986">
        <v>0</v>
      </c>
      <c r="AI1986">
        <v>74.12</v>
      </c>
      <c r="AL1986" t="s">
        <v>19614</v>
      </c>
      <c r="AM1986">
        <v>12200</v>
      </c>
      <c r="AS1986">
        <v>17.51</v>
      </c>
      <c r="AT1986" t="s">
        <v>396</v>
      </c>
      <c r="AU1986" t="s">
        <v>20628</v>
      </c>
    </row>
    <row r="1987" spans="1:48">
      <c r="A1987" s="1">
        <f>HYPERLINK("https://lsnyc.legalserver.org/matter/dynamic-profile/view/1879335","18-1879335")</f>
        <v>0</v>
      </c>
      <c r="B1987" t="s">
        <v>52</v>
      </c>
      <c r="C1987" t="s">
        <v>256</v>
      </c>
      <c r="D1987" t="s">
        <v>306</v>
      </c>
      <c r="F1987" t="s">
        <v>2065</v>
      </c>
      <c r="G1987" t="s">
        <v>3491</v>
      </c>
      <c r="H1987" t="s">
        <v>6753</v>
      </c>
      <c r="I1987" t="s">
        <v>8534</v>
      </c>
      <c r="J1987" t="s">
        <v>9038</v>
      </c>
      <c r="K1987">
        <v>11691</v>
      </c>
      <c r="L1987" t="s">
        <v>9094</v>
      </c>
      <c r="M1987" t="s">
        <v>9094</v>
      </c>
      <c r="N1987" t="s">
        <v>9921</v>
      </c>
      <c r="O1987" t="s">
        <v>11128</v>
      </c>
      <c r="P1987" t="s">
        <v>11165</v>
      </c>
      <c r="R1987" t="s">
        <v>11180</v>
      </c>
      <c r="S1987" t="s">
        <v>9096</v>
      </c>
      <c r="T1987" t="s">
        <v>11183</v>
      </c>
      <c r="U1987" t="s">
        <v>11201</v>
      </c>
      <c r="V1987" t="s">
        <v>306</v>
      </c>
      <c r="W1987">
        <v>1396</v>
      </c>
      <c r="X1987" t="s">
        <v>11331</v>
      </c>
      <c r="Y1987" t="s">
        <v>11336</v>
      </c>
      <c r="Z1987" t="s">
        <v>12733</v>
      </c>
      <c r="AA1987" t="s">
        <v>15637</v>
      </c>
      <c r="AB1987" t="s">
        <v>17114</v>
      </c>
      <c r="AC1987">
        <v>917</v>
      </c>
      <c r="AD1987" t="s">
        <v>19571</v>
      </c>
      <c r="AE1987" t="s">
        <v>19580</v>
      </c>
      <c r="AF1987">
        <v>7</v>
      </c>
      <c r="AG1987">
        <v>1</v>
      </c>
      <c r="AH1987">
        <v>0</v>
      </c>
      <c r="AI1987">
        <v>74.14</v>
      </c>
      <c r="AL1987" t="s">
        <v>19614</v>
      </c>
      <c r="AM1987">
        <v>9000</v>
      </c>
      <c r="AO1987" t="s">
        <v>20292</v>
      </c>
      <c r="AP1987" t="s">
        <v>20327</v>
      </c>
      <c r="AQ1987" t="s">
        <v>20369</v>
      </c>
      <c r="AR1987" t="s">
        <v>20477</v>
      </c>
      <c r="AS1987">
        <v>25.65</v>
      </c>
      <c r="AT1987" t="s">
        <v>1129</v>
      </c>
      <c r="AU1987" t="s">
        <v>81</v>
      </c>
    </row>
    <row r="1988" spans="1:48">
      <c r="A1988" s="1">
        <f>HYPERLINK("https://lsnyc.legalserver.org/matter/dynamic-profile/view/1883057","18-1883057")</f>
        <v>0</v>
      </c>
      <c r="B1988" t="s">
        <v>49</v>
      </c>
      <c r="C1988" t="s">
        <v>256</v>
      </c>
      <c r="D1988" t="s">
        <v>589</v>
      </c>
      <c r="F1988" t="s">
        <v>1260</v>
      </c>
      <c r="G1988" t="s">
        <v>2008</v>
      </c>
      <c r="H1988" t="s">
        <v>6754</v>
      </c>
      <c r="I1988" t="s">
        <v>8117</v>
      </c>
      <c r="J1988" t="s">
        <v>9084</v>
      </c>
      <c r="K1988">
        <v>11427</v>
      </c>
      <c r="L1988" t="s">
        <v>9094</v>
      </c>
      <c r="M1988" t="s">
        <v>9094</v>
      </c>
      <c r="N1988" t="s">
        <v>9922</v>
      </c>
      <c r="O1988" t="s">
        <v>11128</v>
      </c>
      <c r="P1988" t="s">
        <v>11165</v>
      </c>
      <c r="R1988" t="s">
        <v>11180</v>
      </c>
      <c r="S1988" t="s">
        <v>9096</v>
      </c>
      <c r="T1988" t="s">
        <v>11183</v>
      </c>
      <c r="U1988" t="s">
        <v>11201</v>
      </c>
      <c r="V1988" t="s">
        <v>589</v>
      </c>
      <c r="W1988">
        <v>1073</v>
      </c>
      <c r="X1988" t="s">
        <v>11331</v>
      </c>
      <c r="Y1988" t="s">
        <v>11336</v>
      </c>
      <c r="Z1988" t="s">
        <v>12734</v>
      </c>
      <c r="AA1988" t="s">
        <v>15638</v>
      </c>
      <c r="AB1988" t="s">
        <v>17115</v>
      </c>
      <c r="AC1988">
        <v>8</v>
      </c>
      <c r="AD1988" t="s">
        <v>19566</v>
      </c>
      <c r="AE1988" t="s">
        <v>19581</v>
      </c>
      <c r="AF1988">
        <v>23</v>
      </c>
      <c r="AG1988">
        <v>1</v>
      </c>
      <c r="AH1988">
        <v>0</v>
      </c>
      <c r="AI1988">
        <v>74.14</v>
      </c>
      <c r="AL1988" t="s">
        <v>19614</v>
      </c>
      <c r="AM1988">
        <v>9000</v>
      </c>
      <c r="AO1988" t="s">
        <v>20292</v>
      </c>
      <c r="AP1988" t="s">
        <v>20338</v>
      </c>
      <c r="AQ1988" t="s">
        <v>20369</v>
      </c>
      <c r="AR1988" t="s">
        <v>20478</v>
      </c>
      <c r="AS1988">
        <v>59.35</v>
      </c>
      <c r="AT1988" t="s">
        <v>521</v>
      </c>
      <c r="AU1988" t="s">
        <v>81</v>
      </c>
      <c r="AV1988" t="s">
        <v>20733</v>
      </c>
    </row>
    <row r="1989" spans="1:48">
      <c r="A1989" s="1">
        <f>HYPERLINK("https://lsnyc.legalserver.org/matter/dynamic-profile/view/1872601","18-1872601")</f>
        <v>0</v>
      </c>
      <c r="B1989" t="s">
        <v>56</v>
      </c>
      <c r="C1989" t="s">
        <v>256</v>
      </c>
      <c r="D1989" t="s">
        <v>869</v>
      </c>
      <c r="F1989" t="s">
        <v>2066</v>
      </c>
      <c r="G1989" t="s">
        <v>4274</v>
      </c>
      <c r="H1989" t="s">
        <v>6755</v>
      </c>
      <c r="I1989" t="s">
        <v>8484</v>
      </c>
      <c r="J1989" t="s">
        <v>9042</v>
      </c>
      <c r="K1989">
        <v>11420</v>
      </c>
      <c r="L1989" t="s">
        <v>9094</v>
      </c>
      <c r="M1989" t="s">
        <v>9094</v>
      </c>
      <c r="N1989" t="s">
        <v>9923</v>
      </c>
      <c r="O1989" t="s">
        <v>11128</v>
      </c>
      <c r="P1989" t="s">
        <v>11165</v>
      </c>
      <c r="R1989" t="s">
        <v>11180</v>
      </c>
      <c r="S1989" t="s">
        <v>9096</v>
      </c>
      <c r="T1989" t="s">
        <v>11183</v>
      </c>
      <c r="U1989" t="s">
        <v>11201</v>
      </c>
      <c r="V1989" t="s">
        <v>672</v>
      </c>
      <c r="W1989">
        <v>800</v>
      </c>
      <c r="X1989" t="s">
        <v>11331</v>
      </c>
      <c r="Y1989" t="s">
        <v>11336</v>
      </c>
      <c r="Z1989" t="s">
        <v>12735</v>
      </c>
      <c r="AA1989" t="s">
        <v>15639</v>
      </c>
      <c r="AB1989" t="s">
        <v>17116</v>
      </c>
      <c r="AC1989">
        <v>2</v>
      </c>
      <c r="AD1989" t="s">
        <v>19565</v>
      </c>
      <c r="AE1989" t="s">
        <v>9144</v>
      </c>
      <c r="AF1989">
        <v>2</v>
      </c>
      <c r="AG1989">
        <v>1</v>
      </c>
      <c r="AH1989">
        <v>0</v>
      </c>
      <c r="AI1989">
        <v>74.14</v>
      </c>
      <c r="AL1989" t="s">
        <v>19615</v>
      </c>
      <c r="AM1989">
        <v>9000</v>
      </c>
      <c r="AO1989" t="s">
        <v>20293</v>
      </c>
      <c r="AP1989" t="s">
        <v>11157</v>
      </c>
      <c r="AQ1989" t="s">
        <v>20368</v>
      </c>
      <c r="AR1989" t="s">
        <v>20479</v>
      </c>
      <c r="AS1989">
        <v>21.95</v>
      </c>
      <c r="AT1989" t="s">
        <v>296</v>
      </c>
      <c r="AU1989" t="s">
        <v>81</v>
      </c>
    </row>
    <row r="1990" spans="1:48">
      <c r="A1990" s="1">
        <f>HYPERLINK("https://lsnyc.legalserver.org/matter/dynamic-profile/view/1873217","18-1873217")</f>
        <v>0</v>
      </c>
      <c r="B1990" t="s">
        <v>56</v>
      </c>
      <c r="C1990" t="s">
        <v>256</v>
      </c>
      <c r="D1990" t="s">
        <v>870</v>
      </c>
      <c r="F1990" t="s">
        <v>1886</v>
      </c>
      <c r="G1990" t="s">
        <v>3486</v>
      </c>
      <c r="H1990" t="s">
        <v>6756</v>
      </c>
      <c r="I1990" t="s">
        <v>8254</v>
      </c>
      <c r="J1990" t="s">
        <v>9047</v>
      </c>
      <c r="K1990">
        <v>11412</v>
      </c>
      <c r="L1990" t="s">
        <v>9094</v>
      </c>
      <c r="M1990" t="s">
        <v>9094</v>
      </c>
      <c r="N1990" t="s">
        <v>9154</v>
      </c>
      <c r="O1990" t="s">
        <v>11149</v>
      </c>
      <c r="P1990" t="s">
        <v>11166</v>
      </c>
      <c r="R1990" t="s">
        <v>11181</v>
      </c>
      <c r="S1990" t="s">
        <v>9096</v>
      </c>
      <c r="T1990" t="s">
        <v>11183</v>
      </c>
      <c r="U1990" t="s">
        <v>11201</v>
      </c>
      <c r="V1990" t="s">
        <v>870</v>
      </c>
      <c r="W1990">
        <v>1200</v>
      </c>
      <c r="X1990" t="s">
        <v>11331</v>
      </c>
      <c r="Y1990" t="s">
        <v>11337</v>
      </c>
      <c r="Z1990" t="s">
        <v>12736</v>
      </c>
      <c r="AB1990" t="s">
        <v>17117</v>
      </c>
      <c r="AC1990">
        <v>20</v>
      </c>
      <c r="AD1990" t="s">
        <v>19575</v>
      </c>
      <c r="AE1990" t="s">
        <v>9144</v>
      </c>
      <c r="AF1990">
        <v>1</v>
      </c>
      <c r="AG1990">
        <v>1</v>
      </c>
      <c r="AH1990">
        <v>0</v>
      </c>
      <c r="AI1990">
        <v>74.14</v>
      </c>
      <c r="AJ1990" t="s">
        <v>19591</v>
      </c>
      <c r="AK1990" t="s">
        <v>19608</v>
      </c>
      <c r="AL1990" t="s">
        <v>19614</v>
      </c>
      <c r="AM1990">
        <v>9000</v>
      </c>
      <c r="AO1990" t="s">
        <v>20293</v>
      </c>
      <c r="AP1990" t="s">
        <v>20309</v>
      </c>
      <c r="AQ1990" t="s">
        <v>20369</v>
      </c>
      <c r="AR1990" t="s">
        <v>20480</v>
      </c>
      <c r="AS1990">
        <v>24.84</v>
      </c>
      <c r="AT1990" t="s">
        <v>339</v>
      </c>
      <c r="AU1990" t="s">
        <v>81</v>
      </c>
    </row>
    <row r="1991" spans="1:48">
      <c r="A1991" s="1">
        <f>HYPERLINK("https://lsnyc.legalserver.org/matter/dynamic-profile/view/1882569","18-1882569")</f>
        <v>0</v>
      </c>
      <c r="B1991" t="s">
        <v>66</v>
      </c>
      <c r="C1991" t="s">
        <v>256</v>
      </c>
      <c r="D1991" t="s">
        <v>323</v>
      </c>
      <c r="F1991" t="s">
        <v>1643</v>
      </c>
      <c r="G1991" t="s">
        <v>4275</v>
      </c>
      <c r="H1991" t="s">
        <v>5752</v>
      </c>
      <c r="I1991" t="s">
        <v>8150</v>
      </c>
      <c r="J1991" t="s">
        <v>9059</v>
      </c>
      <c r="K1991">
        <v>11233</v>
      </c>
      <c r="L1991" t="s">
        <v>9094</v>
      </c>
      <c r="M1991" t="s">
        <v>9094</v>
      </c>
      <c r="N1991" t="s">
        <v>9149</v>
      </c>
      <c r="O1991" t="s">
        <v>11128</v>
      </c>
      <c r="P1991" t="s">
        <v>11165</v>
      </c>
      <c r="R1991" t="s">
        <v>11180</v>
      </c>
      <c r="S1991" t="s">
        <v>9096</v>
      </c>
      <c r="T1991" t="s">
        <v>11183</v>
      </c>
      <c r="U1991" t="s">
        <v>11202</v>
      </c>
      <c r="V1991" t="s">
        <v>514</v>
      </c>
      <c r="W1991">
        <v>220</v>
      </c>
      <c r="X1991" t="s">
        <v>11332</v>
      </c>
      <c r="Y1991" t="s">
        <v>11336</v>
      </c>
      <c r="Z1991" t="s">
        <v>12014</v>
      </c>
      <c r="AB1991" t="s">
        <v>17118</v>
      </c>
      <c r="AC1991">
        <v>2</v>
      </c>
      <c r="AD1991" t="s">
        <v>19565</v>
      </c>
      <c r="AE1991" t="s">
        <v>19583</v>
      </c>
      <c r="AF1991">
        <v>1</v>
      </c>
      <c r="AG1991">
        <v>1</v>
      </c>
      <c r="AH1991">
        <v>0</v>
      </c>
      <c r="AI1991">
        <v>74.14</v>
      </c>
      <c r="AL1991" t="s">
        <v>19614</v>
      </c>
      <c r="AM1991">
        <v>9000</v>
      </c>
      <c r="AS1991">
        <v>1.5</v>
      </c>
      <c r="AT1991" t="s">
        <v>363</v>
      </c>
      <c r="AU1991" t="s">
        <v>95</v>
      </c>
    </row>
    <row r="1992" spans="1:48">
      <c r="A1992" s="1">
        <f>HYPERLINK("https://lsnyc.legalserver.org/matter/dynamic-profile/view/1871854","18-1871854")</f>
        <v>0</v>
      </c>
      <c r="B1992" t="s">
        <v>65</v>
      </c>
      <c r="C1992" t="s">
        <v>256</v>
      </c>
      <c r="D1992" t="s">
        <v>871</v>
      </c>
      <c r="F1992" t="s">
        <v>2067</v>
      </c>
      <c r="G1992" t="s">
        <v>3611</v>
      </c>
      <c r="H1992" t="s">
        <v>6757</v>
      </c>
      <c r="I1992" t="s">
        <v>8199</v>
      </c>
      <c r="J1992" t="s">
        <v>9059</v>
      </c>
      <c r="K1992">
        <v>11226</v>
      </c>
      <c r="L1992" t="s">
        <v>9094</v>
      </c>
      <c r="M1992" t="s">
        <v>9094</v>
      </c>
      <c r="O1992" t="s">
        <v>9121</v>
      </c>
      <c r="P1992" t="s">
        <v>11166</v>
      </c>
      <c r="R1992" t="s">
        <v>11180</v>
      </c>
      <c r="S1992" t="s">
        <v>9096</v>
      </c>
      <c r="T1992" t="s">
        <v>11183</v>
      </c>
      <c r="V1992" t="s">
        <v>697</v>
      </c>
      <c r="W1992">
        <v>1735</v>
      </c>
      <c r="X1992" t="s">
        <v>11332</v>
      </c>
      <c r="Y1992" t="s">
        <v>11346</v>
      </c>
      <c r="Z1992" t="s">
        <v>12737</v>
      </c>
      <c r="AB1992" t="s">
        <v>17119</v>
      </c>
      <c r="AC1992">
        <v>24</v>
      </c>
      <c r="AD1992" t="s">
        <v>19566</v>
      </c>
      <c r="AE1992" t="s">
        <v>9144</v>
      </c>
      <c r="AF1992">
        <v>41</v>
      </c>
      <c r="AG1992">
        <v>1</v>
      </c>
      <c r="AH1992">
        <v>0</v>
      </c>
      <c r="AI1992">
        <v>74.14</v>
      </c>
      <c r="AL1992" t="s">
        <v>19614</v>
      </c>
      <c r="AM1992">
        <v>9000</v>
      </c>
      <c r="AS1992">
        <v>10.9</v>
      </c>
      <c r="AT1992" t="s">
        <v>426</v>
      </c>
      <c r="AU1992" t="s">
        <v>20630</v>
      </c>
    </row>
    <row r="1993" spans="1:48">
      <c r="A1993" s="1">
        <f>HYPERLINK("https://lsnyc.legalserver.org/matter/dynamic-profile/view/1885509","18-1885509")</f>
        <v>0</v>
      </c>
      <c r="B1993" t="s">
        <v>119</v>
      </c>
      <c r="C1993" t="s">
        <v>257</v>
      </c>
      <c r="D1993" t="s">
        <v>685</v>
      </c>
      <c r="E1993" t="s">
        <v>664</v>
      </c>
      <c r="F1993" t="s">
        <v>1245</v>
      </c>
      <c r="G1993" t="s">
        <v>4276</v>
      </c>
      <c r="H1993" t="s">
        <v>6758</v>
      </c>
      <c r="I1993" t="s">
        <v>8535</v>
      </c>
      <c r="J1993" t="s">
        <v>9065</v>
      </c>
      <c r="K1993">
        <v>10472</v>
      </c>
      <c r="L1993" t="s">
        <v>9094</v>
      </c>
      <c r="M1993" t="s">
        <v>9094</v>
      </c>
      <c r="N1993" t="s">
        <v>9924</v>
      </c>
      <c r="O1993" t="s">
        <v>11128</v>
      </c>
      <c r="P1993" t="s">
        <v>11165</v>
      </c>
      <c r="Q1993" t="s">
        <v>11176</v>
      </c>
      <c r="R1993" t="s">
        <v>11180</v>
      </c>
      <c r="S1993" t="s">
        <v>9096</v>
      </c>
      <c r="T1993" t="s">
        <v>11183</v>
      </c>
      <c r="U1993" t="s">
        <v>11198</v>
      </c>
      <c r="V1993" t="s">
        <v>685</v>
      </c>
      <c r="W1993">
        <v>854.9</v>
      </c>
      <c r="X1993" t="s">
        <v>11333</v>
      </c>
      <c r="Y1993" t="s">
        <v>11345</v>
      </c>
      <c r="Z1993" t="s">
        <v>12738</v>
      </c>
      <c r="AA1993" t="s">
        <v>15640</v>
      </c>
      <c r="AB1993" t="s">
        <v>17120</v>
      </c>
      <c r="AC1993">
        <v>46</v>
      </c>
      <c r="AD1993" t="s">
        <v>19577</v>
      </c>
      <c r="AE1993" t="s">
        <v>19580</v>
      </c>
      <c r="AF1993">
        <v>2</v>
      </c>
      <c r="AG1993">
        <v>1</v>
      </c>
      <c r="AH1993">
        <v>0</v>
      </c>
      <c r="AI1993">
        <v>74.14</v>
      </c>
      <c r="AL1993" t="s">
        <v>19614</v>
      </c>
      <c r="AM1993">
        <v>9000</v>
      </c>
      <c r="AS1993">
        <v>38.35</v>
      </c>
      <c r="AT1993" t="s">
        <v>664</v>
      </c>
      <c r="AU1993" t="s">
        <v>20645</v>
      </c>
    </row>
    <row r="1994" spans="1:48">
      <c r="A1994" s="1">
        <f>HYPERLINK("https://lsnyc.legalserver.org/matter/dynamic-profile/view/1886771","18-1886771")</f>
        <v>0</v>
      </c>
      <c r="B1994" t="s">
        <v>101</v>
      </c>
      <c r="C1994" t="s">
        <v>256</v>
      </c>
      <c r="D1994" t="s">
        <v>738</v>
      </c>
      <c r="F1994" t="s">
        <v>1487</v>
      </c>
      <c r="G1994" t="s">
        <v>4213</v>
      </c>
      <c r="H1994" t="s">
        <v>6383</v>
      </c>
      <c r="I1994" t="s">
        <v>8515</v>
      </c>
      <c r="J1994" t="s">
        <v>9065</v>
      </c>
      <c r="K1994">
        <v>10467</v>
      </c>
      <c r="L1994" t="s">
        <v>9094</v>
      </c>
      <c r="M1994" t="s">
        <v>9094</v>
      </c>
      <c r="N1994" t="s">
        <v>9642</v>
      </c>
      <c r="O1994" t="s">
        <v>11130</v>
      </c>
      <c r="P1994" t="s">
        <v>11165</v>
      </c>
      <c r="R1994" t="s">
        <v>11180</v>
      </c>
      <c r="S1994" t="s">
        <v>9094</v>
      </c>
      <c r="T1994" t="s">
        <v>11183</v>
      </c>
      <c r="V1994" t="s">
        <v>760</v>
      </c>
      <c r="W1994">
        <v>542.6900000000001</v>
      </c>
      <c r="X1994" t="s">
        <v>11333</v>
      </c>
      <c r="Y1994" t="s">
        <v>11346</v>
      </c>
      <c r="Z1994" t="s">
        <v>12635</v>
      </c>
      <c r="AB1994" t="s">
        <v>17019</v>
      </c>
      <c r="AC1994">
        <v>59</v>
      </c>
      <c r="AD1994" t="s">
        <v>19566</v>
      </c>
      <c r="AE1994" t="s">
        <v>19587</v>
      </c>
      <c r="AF1994">
        <v>43</v>
      </c>
      <c r="AG1994">
        <v>1</v>
      </c>
      <c r="AH1994">
        <v>0</v>
      </c>
      <c r="AI1994">
        <v>74.14</v>
      </c>
      <c r="AL1994" t="s">
        <v>19614</v>
      </c>
      <c r="AM1994">
        <v>9000</v>
      </c>
      <c r="AS1994">
        <v>0</v>
      </c>
      <c r="AU1994" t="s">
        <v>20647</v>
      </c>
    </row>
    <row r="1995" spans="1:48">
      <c r="A1995" s="1">
        <f>HYPERLINK("https://lsnyc.legalserver.org/matter/dynamic-profile/view/1886507","18-1886507")</f>
        <v>0</v>
      </c>
      <c r="B1995" t="s">
        <v>113</v>
      </c>
      <c r="C1995" t="s">
        <v>256</v>
      </c>
      <c r="D1995" t="s">
        <v>347</v>
      </c>
      <c r="F1995" t="s">
        <v>1583</v>
      </c>
      <c r="G1995" t="s">
        <v>4265</v>
      </c>
      <c r="H1995" t="s">
        <v>5864</v>
      </c>
      <c r="I1995" t="s">
        <v>8153</v>
      </c>
      <c r="J1995" t="s">
        <v>9065</v>
      </c>
      <c r="K1995">
        <v>10460</v>
      </c>
      <c r="L1995" t="s">
        <v>9094</v>
      </c>
      <c r="M1995" t="s">
        <v>9094</v>
      </c>
      <c r="N1995" t="s">
        <v>9222</v>
      </c>
      <c r="O1995" t="s">
        <v>11130</v>
      </c>
      <c r="P1995" t="s">
        <v>11165</v>
      </c>
      <c r="R1995" t="s">
        <v>11180</v>
      </c>
      <c r="S1995" t="s">
        <v>9094</v>
      </c>
      <c r="T1995" t="s">
        <v>11183</v>
      </c>
      <c r="V1995" t="s">
        <v>512</v>
      </c>
      <c r="W1995">
        <v>241</v>
      </c>
      <c r="X1995" t="s">
        <v>11333</v>
      </c>
      <c r="Y1995" t="s">
        <v>11346</v>
      </c>
      <c r="Z1995" t="s">
        <v>12719</v>
      </c>
      <c r="AB1995" t="s">
        <v>17098</v>
      </c>
      <c r="AC1995">
        <v>168</v>
      </c>
      <c r="AD1995" t="s">
        <v>19566</v>
      </c>
      <c r="AE1995" t="s">
        <v>11157</v>
      </c>
      <c r="AF1995">
        <v>2</v>
      </c>
      <c r="AG1995">
        <v>1</v>
      </c>
      <c r="AH1995">
        <v>0</v>
      </c>
      <c r="AI1995">
        <v>74.14</v>
      </c>
      <c r="AL1995" t="s">
        <v>19614</v>
      </c>
      <c r="AM1995">
        <v>9000</v>
      </c>
      <c r="AS1995">
        <v>0</v>
      </c>
      <c r="AU1995" t="s">
        <v>20642</v>
      </c>
    </row>
    <row r="1996" spans="1:48">
      <c r="A1996" s="1">
        <f>HYPERLINK("https://lsnyc.legalserver.org/matter/dynamic-profile/view/1886510","18-1886510")</f>
        <v>0</v>
      </c>
      <c r="B1996" t="s">
        <v>113</v>
      </c>
      <c r="C1996" t="s">
        <v>256</v>
      </c>
      <c r="D1996" t="s">
        <v>347</v>
      </c>
      <c r="F1996" t="s">
        <v>1231</v>
      </c>
      <c r="G1996" t="s">
        <v>4214</v>
      </c>
      <c r="H1996" t="s">
        <v>5864</v>
      </c>
      <c r="I1996" t="s">
        <v>8160</v>
      </c>
      <c r="J1996" t="s">
        <v>9065</v>
      </c>
      <c r="K1996">
        <v>10460</v>
      </c>
      <c r="L1996" t="s">
        <v>9094</v>
      </c>
      <c r="M1996" t="s">
        <v>9094</v>
      </c>
      <c r="N1996" t="s">
        <v>9222</v>
      </c>
      <c r="O1996" t="s">
        <v>11130</v>
      </c>
      <c r="P1996" t="s">
        <v>11165</v>
      </c>
      <c r="R1996" t="s">
        <v>11180</v>
      </c>
      <c r="S1996" t="s">
        <v>9094</v>
      </c>
      <c r="T1996" t="s">
        <v>11183</v>
      </c>
      <c r="V1996" t="s">
        <v>512</v>
      </c>
      <c r="W1996">
        <v>326</v>
      </c>
      <c r="X1996" t="s">
        <v>11333</v>
      </c>
      <c r="Y1996" t="s">
        <v>11346</v>
      </c>
      <c r="Z1996" t="s">
        <v>12637</v>
      </c>
      <c r="AB1996" t="s">
        <v>17021</v>
      </c>
      <c r="AC1996">
        <v>168</v>
      </c>
      <c r="AD1996" t="s">
        <v>19565</v>
      </c>
      <c r="AE1996" t="s">
        <v>19585</v>
      </c>
      <c r="AF1996">
        <v>5</v>
      </c>
      <c r="AG1996">
        <v>1</v>
      </c>
      <c r="AH1996">
        <v>0</v>
      </c>
      <c r="AI1996">
        <v>74.14</v>
      </c>
      <c r="AL1996" t="s">
        <v>19615</v>
      </c>
      <c r="AM1996">
        <v>9000</v>
      </c>
      <c r="AS1996">
        <v>0</v>
      </c>
      <c r="AU1996" t="s">
        <v>20642</v>
      </c>
    </row>
    <row r="1997" spans="1:48">
      <c r="A1997" s="1">
        <f>HYPERLINK("https://lsnyc.legalserver.org/matter/dynamic-profile/view/1887686","18-1887686")</f>
        <v>0</v>
      </c>
      <c r="B1997" t="s">
        <v>113</v>
      </c>
      <c r="C1997" t="s">
        <v>256</v>
      </c>
      <c r="D1997" t="s">
        <v>629</v>
      </c>
      <c r="F1997" t="s">
        <v>1460</v>
      </c>
      <c r="G1997" t="s">
        <v>3398</v>
      </c>
      <c r="H1997" t="s">
        <v>5864</v>
      </c>
      <c r="I1997" t="s">
        <v>8254</v>
      </c>
      <c r="J1997" t="s">
        <v>9065</v>
      </c>
      <c r="K1997">
        <v>10460</v>
      </c>
      <c r="L1997" t="s">
        <v>9094</v>
      </c>
      <c r="M1997" t="s">
        <v>9094</v>
      </c>
      <c r="N1997" t="s">
        <v>9222</v>
      </c>
      <c r="O1997" t="s">
        <v>11130</v>
      </c>
      <c r="P1997" t="s">
        <v>11165</v>
      </c>
      <c r="R1997" t="s">
        <v>11180</v>
      </c>
      <c r="S1997" t="s">
        <v>9094</v>
      </c>
      <c r="T1997" t="s">
        <v>11183</v>
      </c>
      <c r="V1997" t="s">
        <v>512</v>
      </c>
      <c r="W1997">
        <v>260.5</v>
      </c>
      <c r="X1997" t="s">
        <v>11333</v>
      </c>
      <c r="Y1997" t="s">
        <v>11346</v>
      </c>
      <c r="Z1997" t="s">
        <v>12142</v>
      </c>
      <c r="AB1997" t="s">
        <v>17121</v>
      </c>
      <c r="AC1997">
        <v>168</v>
      </c>
      <c r="AD1997" t="s">
        <v>19566</v>
      </c>
      <c r="AE1997" t="s">
        <v>19580</v>
      </c>
      <c r="AF1997">
        <v>10</v>
      </c>
      <c r="AG1997">
        <v>1</v>
      </c>
      <c r="AH1997">
        <v>0</v>
      </c>
      <c r="AI1997">
        <v>74.14</v>
      </c>
      <c r="AL1997" t="s">
        <v>19614</v>
      </c>
      <c r="AM1997">
        <v>9000</v>
      </c>
      <c r="AS1997">
        <v>0</v>
      </c>
      <c r="AU1997" t="s">
        <v>163</v>
      </c>
    </row>
    <row r="1998" spans="1:48">
      <c r="A1998" s="1">
        <f>HYPERLINK("https://lsnyc.legalserver.org/matter/dynamic-profile/view/1886022","18-1886022")</f>
        <v>0</v>
      </c>
      <c r="B1998" t="s">
        <v>113</v>
      </c>
      <c r="C1998" t="s">
        <v>256</v>
      </c>
      <c r="D1998" t="s">
        <v>357</v>
      </c>
      <c r="F1998" t="s">
        <v>2022</v>
      </c>
      <c r="G1998" t="s">
        <v>4215</v>
      </c>
      <c r="H1998" t="s">
        <v>5864</v>
      </c>
      <c r="I1998" t="s">
        <v>8516</v>
      </c>
      <c r="J1998" t="s">
        <v>9065</v>
      </c>
      <c r="K1998">
        <v>10460</v>
      </c>
      <c r="L1998" t="s">
        <v>9094</v>
      </c>
      <c r="M1998" t="s">
        <v>9094</v>
      </c>
      <c r="O1998" t="s">
        <v>9121</v>
      </c>
      <c r="P1998" t="s">
        <v>11166</v>
      </c>
      <c r="R1998" t="s">
        <v>11180</v>
      </c>
      <c r="S1998" t="s">
        <v>9094</v>
      </c>
      <c r="T1998" t="s">
        <v>11183</v>
      </c>
      <c r="V1998" t="s">
        <v>512</v>
      </c>
      <c r="W1998">
        <v>990</v>
      </c>
      <c r="X1998" t="s">
        <v>11333</v>
      </c>
      <c r="Y1998" t="s">
        <v>11346</v>
      </c>
      <c r="Z1998" t="s">
        <v>12638</v>
      </c>
      <c r="AB1998" t="s">
        <v>17022</v>
      </c>
      <c r="AC1998">
        <v>169</v>
      </c>
      <c r="AD1998" t="s">
        <v>19566</v>
      </c>
      <c r="AE1998" t="s">
        <v>19580</v>
      </c>
      <c r="AF1998">
        <v>11</v>
      </c>
      <c r="AG1998">
        <v>1</v>
      </c>
      <c r="AH1998">
        <v>0</v>
      </c>
      <c r="AI1998">
        <v>74.14</v>
      </c>
      <c r="AL1998" t="s">
        <v>19614</v>
      </c>
      <c r="AM1998">
        <v>9000</v>
      </c>
      <c r="AS1998">
        <v>0</v>
      </c>
      <c r="AU1998" t="s">
        <v>158</v>
      </c>
    </row>
    <row r="1999" spans="1:48">
      <c r="A1999" s="1">
        <f>HYPERLINK("https://lsnyc.legalserver.org/matter/dynamic-profile/view/1881498","18-1881498")</f>
        <v>0</v>
      </c>
      <c r="B1999" t="s">
        <v>119</v>
      </c>
      <c r="C1999" t="s">
        <v>256</v>
      </c>
      <c r="D1999" t="s">
        <v>834</v>
      </c>
      <c r="F1999" t="s">
        <v>2068</v>
      </c>
      <c r="G1999" t="s">
        <v>3571</v>
      </c>
      <c r="H1999" t="s">
        <v>6759</v>
      </c>
      <c r="I1999" t="s">
        <v>8536</v>
      </c>
      <c r="J1999" t="s">
        <v>9065</v>
      </c>
      <c r="K1999">
        <v>10459</v>
      </c>
      <c r="L1999" t="s">
        <v>9094</v>
      </c>
      <c r="M1999" t="s">
        <v>9094</v>
      </c>
      <c r="N1999" t="s">
        <v>9925</v>
      </c>
      <c r="O1999" t="s">
        <v>11129</v>
      </c>
      <c r="P1999" t="s">
        <v>11165</v>
      </c>
      <c r="R1999" t="s">
        <v>11180</v>
      </c>
      <c r="S1999" t="s">
        <v>9096</v>
      </c>
      <c r="T1999" t="s">
        <v>11183</v>
      </c>
      <c r="U1999" t="s">
        <v>11203</v>
      </c>
      <c r="V1999" t="s">
        <v>540</v>
      </c>
      <c r="W1999">
        <v>850</v>
      </c>
      <c r="X1999" t="s">
        <v>11333</v>
      </c>
      <c r="Y1999" t="s">
        <v>11336</v>
      </c>
      <c r="Z1999" t="s">
        <v>12739</v>
      </c>
      <c r="AB1999" t="s">
        <v>17122</v>
      </c>
      <c r="AC1999">
        <v>56</v>
      </c>
      <c r="AD1999" t="s">
        <v>19566</v>
      </c>
      <c r="AE1999" t="s">
        <v>9144</v>
      </c>
      <c r="AF1999">
        <v>14</v>
      </c>
      <c r="AG1999">
        <v>1</v>
      </c>
      <c r="AH1999">
        <v>0</v>
      </c>
      <c r="AI1999">
        <v>74.14</v>
      </c>
      <c r="AL1999" t="s">
        <v>19615</v>
      </c>
      <c r="AM1999">
        <v>9000</v>
      </c>
      <c r="AS1999">
        <v>59.5</v>
      </c>
      <c r="AT1999" t="s">
        <v>263</v>
      </c>
      <c r="AU1999" t="s">
        <v>101</v>
      </c>
    </row>
    <row r="2000" spans="1:48">
      <c r="A2000" s="1">
        <f>HYPERLINK("https://lsnyc.legalserver.org/matter/dynamic-profile/view/1886675","18-1886675")</f>
        <v>0</v>
      </c>
      <c r="B2000" t="s">
        <v>116</v>
      </c>
      <c r="C2000" t="s">
        <v>257</v>
      </c>
      <c r="D2000" t="s">
        <v>753</v>
      </c>
      <c r="E2000" t="s">
        <v>457</v>
      </c>
      <c r="F2000" t="s">
        <v>2069</v>
      </c>
      <c r="G2000" t="s">
        <v>3699</v>
      </c>
      <c r="H2000" t="s">
        <v>6760</v>
      </c>
      <c r="I2000" t="s">
        <v>8140</v>
      </c>
      <c r="J2000" t="s">
        <v>9065</v>
      </c>
      <c r="K2000">
        <v>10457</v>
      </c>
      <c r="L2000" t="s">
        <v>9094</v>
      </c>
      <c r="M2000" t="s">
        <v>9094</v>
      </c>
      <c r="O2000" t="s">
        <v>11133</v>
      </c>
      <c r="P2000" t="s">
        <v>11167</v>
      </c>
      <c r="Q2000" t="s">
        <v>11173</v>
      </c>
      <c r="R2000" t="s">
        <v>11180</v>
      </c>
      <c r="T2000" t="s">
        <v>11189</v>
      </c>
      <c r="V2000" t="s">
        <v>473</v>
      </c>
      <c r="W2000">
        <v>908.14</v>
      </c>
      <c r="X2000" t="s">
        <v>11333</v>
      </c>
      <c r="Y2000" t="s">
        <v>11345</v>
      </c>
      <c r="Z2000" t="s">
        <v>12740</v>
      </c>
      <c r="AB2000" t="s">
        <v>17123</v>
      </c>
      <c r="AC2000">
        <v>0</v>
      </c>
      <c r="AD2000" t="s">
        <v>19566</v>
      </c>
      <c r="AE2000" t="s">
        <v>9144</v>
      </c>
      <c r="AF2000">
        <v>17</v>
      </c>
      <c r="AG2000">
        <v>1</v>
      </c>
      <c r="AH2000">
        <v>0</v>
      </c>
      <c r="AI2000">
        <v>74.14</v>
      </c>
      <c r="AL2000" t="s">
        <v>19615</v>
      </c>
      <c r="AM2000">
        <v>9000</v>
      </c>
      <c r="AS2000">
        <v>0.5</v>
      </c>
      <c r="AT2000" t="s">
        <v>753</v>
      </c>
      <c r="AU2000" t="s">
        <v>20644</v>
      </c>
    </row>
    <row r="2001" spans="1:48">
      <c r="A2001" s="1">
        <f>HYPERLINK("https://lsnyc.legalserver.org/matter/dynamic-profile/view/1888496","19-1888496")</f>
        <v>0</v>
      </c>
      <c r="B2001" t="s">
        <v>119</v>
      </c>
      <c r="C2001" t="s">
        <v>257</v>
      </c>
      <c r="D2001" t="s">
        <v>582</v>
      </c>
      <c r="E2001" t="s">
        <v>664</v>
      </c>
      <c r="F2001" t="s">
        <v>2070</v>
      </c>
      <c r="G2001" t="s">
        <v>3427</v>
      </c>
      <c r="H2001" t="s">
        <v>6761</v>
      </c>
      <c r="I2001" t="s">
        <v>8270</v>
      </c>
      <c r="J2001" t="s">
        <v>9065</v>
      </c>
      <c r="K2001">
        <v>10456</v>
      </c>
      <c r="L2001" t="s">
        <v>9094</v>
      </c>
      <c r="M2001" t="s">
        <v>9094</v>
      </c>
      <c r="O2001" t="s">
        <v>11129</v>
      </c>
      <c r="P2001" t="s">
        <v>11164</v>
      </c>
      <c r="Q2001" t="s">
        <v>11172</v>
      </c>
      <c r="R2001" t="s">
        <v>11180</v>
      </c>
      <c r="S2001" t="s">
        <v>9096</v>
      </c>
      <c r="T2001" t="s">
        <v>11183</v>
      </c>
      <c r="U2001" t="s">
        <v>11201</v>
      </c>
      <c r="V2001" t="s">
        <v>788</v>
      </c>
      <c r="W2001">
        <v>239</v>
      </c>
      <c r="X2001" t="s">
        <v>11333</v>
      </c>
      <c r="Y2001" t="s">
        <v>11346</v>
      </c>
      <c r="Z2001" t="s">
        <v>12741</v>
      </c>
      <c r="AB2001" t="s">
        <v>17124</v>
      </c>
      <c r="AC2001">
        <v>46</v>
      </c>
      <c r="AD2001" t="s">
        <v>19566</v>
      </c>
      <c r="AE2001" t="s">
        <v>19580</v>
      </c>
      <c r="AF2001">
        <v>15</v>
      </c>
      <c r="AG2001">
        <v>1</v>
      </c>
      <c r="AH2001">
        <v>0</v>
      </c>
      <c r="AI2001">
        <v>74.14</v>
      </c>
      <c r="AL2001" t="s">
        <v>19614</v>
      </c>
      <c r="AM2001">
        <v>9000</v>
      </c>
      <c r="AS2001">
        <v>1</v>
      </c>
      <c r="AT2001" t="s">
        <v>788</v>
      </c>
      <c r="AU2001" t="s">
        <v>163</v>
      </c>
    </row>
    <row r="2002" spans="1:48">
      <c r="A2002" s="1">
        <f>HYPERLINK("https://lsnyc.legalserver.org/matter/dynamic-profile/view/1862270","18-1862270")</f>
        <v>0</v>
      </c>
      <c r="B2002" t="s">
        <v>119</v>
      </c>
      <c r="C2002" t="s">
        <v>257</v>
      </c>
      <c r="D2002" t="s">
        <v>575</v>
      </c>
      <c r="E2002" t="s">
        <v>612</v>
      </c>
      <c r="F2002" t="s">
        <v>1266</v>
      </c>
      <c r="G2002" t="s">
        <v>4277</v>
      </c>
      <c r="H2002" t="s">
        <v>6762</v>
      </c>
      <c r="I2002" t="s">
        <v>8446</v>
      </c>
      <c r="J2002" t="s">
        <v>9065</v>
      </c>
      <c r="K2002">
        <v>10453</v>
      </c>
      <c r="L2002" t="s">
        <v>9094</v>
      </c>
      <c r="M2002" t="s">
        <v>9095</v>
      </c>
      <c r="N2002" t="s">
        <v>9926</v>
      </c>
      <c r="O2002" t="s">
        <v>11128</v>
      </c>
      <c r="P2002" t="s">
        <v>11165</v>
      </c>
      <c r="Q2002" t="s">
        <v>11174</v>
      </c>
      <c r="R2002" t="s">
        <v>11180</v>
      </c>
      <c r="S2002" t="s">
        <v>9096</v>
      </c>
      <c r="T2002" t="s">
        <v>11183</v>
      </c>
      <c r="V2002" t="s">
        <v>1013</v>
      </c>
      <c r="W2002">
        <v>944.9</v>
      </c>
      <c r="X2002" t="s">
        <v>11333</v>
      </c>
      <c r="Y2002" t="s">
        <v>11340</v>
      </c>
      <c r="Z2002" t="s">
        <v>12742</v>
      </c>
      <c r="AB2002" t="s">
        <v>17125</v>
      </c>
      <c r="AC2002">
        <v>111</v>
      </c>
      <c r="AD2002" t="s">
        <v>19566</v>
      </c>
      <c r="AE2002" t="s">
        <v>19580</v>
      </c>
      <c r="AF2002">
        <v>26</v>
      </c>
      <c r="AG2002">
        <v>1</v>
      </c>
      <c r="AH2002">
        <v>0</v>
      </c>
      <c r="AI2002">
        <v>74.14</v>
      </c>
      <c r="AL2002" t="s">
        <v>19614</v>
      </c>
      <c r="AM2002">
        <v>9000</v>
      </c>
      <c r="AS2002">
        <v>97.59999999999999</v>
      </c>
      <c r="AT2002" t="s">
        <v>660</v>
      </c>
      <c r="AU2002" t="s">
        <v>163</v>
      </c>
    </row>
    <row r="2003" spans="1:48">
      <c r="A2003" s="1">
        <f>HYPERLINK("https://lsnyc.legalserver.org/matter/dynamic-profile/view/1865325","18-1865325")</f>
        <v>0</v>
      </c>
      <c r="B2003" t="s">
        <v>111</v>
      </c>
      <c r="C2003" t="s">
        <v>256</v>
      </c>
      <c r="D2003" t="s">
        <v>872</v>
      </c>
      <c r="F2003" t="s">
        <v>1877</v>
      </c>
      <c r="G2003" t="s">
        <v>4278</v>
      </c>
      <c r="H2003" t="s">
        <v>6104</v>
      </c>
      <c r="I2003" t="s">
        <v>8537</v>
      </c>
      <c r="J2003" t="s">
        <v>9065</v>
      </c>
      <c r="K2003">
        <v>10452</v>
      </c>
      <c r="L2003" t="s">
        <v>9096</v>
      </c>
      <c r="M2003" t="s">
        <v>9094</v>
      </c>
      <c r="N2003" t="s">
        <v>9407</v>
      </c>
      <c r="O2003" t="s">
        <v>11135</v>
      </c>
      <c r="P2003" t="s">
        <v>11168</v>
      </c>
      <c r="R2003" t="s">
        <v>11180</v>
      </c>
      <c r="S2003" t="s">
        <v>9094</v>
      </c>
      <c r="T2003" t="s">
        <v>11183</v>
      </c>
      <c r="V2003" t="s">
        <v>11219</v>
      </c>
      <c r="W2003">
        <v>0</v>
      </c>
      <c r="X2003" t="s">
        <v>11333</v>
      </c>
      <c r="Y2003" t="s">
        <v>11346</v>
      </c>
      <c r="Z2003" t="s">
        <v>12743</v>
      </c>
      <c r="AA2003" t="s">
        <v>15641</v>
      </c>
      <c r="AB2003" t="s">
        <v>17126</v>
      </c>
      <c r="AC2003">
        <v>0</v>
      </c>
      <c r="AD2003" t="s">
        <v>19566</v>
      </c>
      <c r="AF2003">
        <v>40</v>
      </c>
      <c r="AG2003">
        <v>1</v>
      </c>
      <c r="AH2003">
        <v>0</v>
      </c>
      <c r="AI2003">
        <v>74.14</v>
      </c>
      <c r="AL2003" t="s">
        <v>19614</v>
      </c>
      <c r="AM2003">
        <v>17400</v>
      </c>
      <c r="AS2003">
        <v>0</v>
      </c>
      <c r="AU2003" t="s">
        <v>20647</v>
      </c>
    </row>
    <row r="2004" spans="1:48">
      <c r="A2004" s="1">
        <f>HYPERLINK("https://lsnyc.legalserver.org/matter/dynamic-profile/view/1872180","18-1872180")</f>
        <v>0</v>
      </c>
      <c r="B2004" t="s">
        <v>111</v>
      </c>
      <c r="C2004" t="s">
        <v>256</v>
      </c>
      <c r="D2004" t="s">
        <v>352</v>
      </c>
      <c r="F2004" t="s">
        <v>1877</v>
      </c>
      <c r="G2004" t="s">
        <v>4278</v>
      </c>
      <c r="H2004" t="s">
        <v>6104</v>
      </c>
      <c r="I2004" t="s">
        <v>8537</v>
      </c>
      <c r="J2004" t="s">
        <v>9065</v>
      </c>
      <c r="K2004">
        <v>10452</v>
      </c>
      <c r="L2004" t="s">
        <v>9094</v>
      </c>
      <c r="M2004" t="s">
        <v>9094</v>
      </c>
      <c r="N2004" t="s">
        <v>9407</v>
      </c>
      <c r="O2004" t="s">
        <v>11135</v>
      </c>
      <c r="P2004" t="s">
        <v>11168</v>
      </c>
      <c r="R2004" t="s">
        <v>11180</v>
      </c>
      <c r="S2004" t="s">
        <v>9094</v>
      </c>
      <c r="T2004" t="s">
        <v>11183</v>
      </c>
      <c r="V2004" t="s">
        <v>945</v>
      </c>
      <c r="W2004">
        <v>789</v>
      </c>
      <c r="X2004" t="s">
        <v>11333</v>
      </c>
      <c r="Y2004" t="s">
        <v>11346</v>
      </c>
      <c r="Z2004" t="s">
        <v>12743</v>
      </c>
      <c r="AA2004" t="s">
        <v>15641</v>
      </c>
      <c r="AB2004" t="s">
        <v>17126</v>
      </c>
      <c r="AC2004">
        <v>70</v>
      </c>
      <c r="AD2004" t="s">
        <v>19566</v>
      </c>
      <c r="AF2004">
        <v>40</v>
      </c>
      <c r="AG2004">
        <v>1</v>
      </c>
      <c r="AH2004">
        <v>0</v>
      </c>
      <c r="AI2004">
        <v>74.14</v>
      </c>
      <c r="AL2004" t="s">
        <v>19614</v>
      </c>
      <c r="AM2004">
        <v>9000</v>
      </c>
      <c r="AN2004" t="s">
        <v>19832</v>
      </c>
      <c r="AS2004">
        <v>0</v>
      </c>
      <c r="AU2004" t="s">
        <v>20642</v>
      </c>
    </row>
    <row r="2005" spans="1:48">
      <c r="A2005" s="1">
        <f>HYPERLINK("https://lsnyc.legalserver.org/matter/dynamic-profile/view/1869436","18-1869436")</f>
        <v>0</v>
      </c>
      <c r="B2005" t="s">
        <v>113</v>
      </c>
      <c r="C2005" t="s">
        <v>257</v>
      </c>
      <c r="D2005" t="s">
        <v>332</v>
      </c>
      <c r="E2005" t="s">
        <v>864</v>
      </c>
      <c r="F2005" t="s">
        <v>1362</v>
      </c>
      <c r="G2005" t="s">
        <v>4279</v>
      </c>
      <c r="H2005" t="s">
        <v>6763</v>
      </c>
      <c r="I2005" t="s">
        <v>8538</v>
      </c>
      <c r="J2005" t="s">
        <v>9065</v>
      </c>
      <c r="K2005">
        <v>10452</v>
      </c>
      <c r="L2005" t="s">
        <v>9094</v>
      </c>
      <c r="M2005" t="s">
        <v>9094</v>
      </c>
      <c r="N2005" t="s">
        <v>9927</v>
      </c>
      <c r="O2005" t="s">
        <v>11129</v>
      </c>
      <c r="P2005" t="s">
        <v>11165</v>
      </c>
      <c r="Q2005" t="s">
        <v>11174</v>
      </c>
      <c r="R2005" t="s">
        <v>11180</v>
      </c>
      <c r="S2005" t="s">
        <v>9096</v>
      </c>
      <c r="T2005" t="s">
        <v>11183</v>
      </c>
      <c r="U2005" t="s">
        <v>11201</v>
      </c>
      <c r="V2005" t="s">
        <v>11218</v>
      </c>
      <c r="W2005">
        <v>999</v>
      </c>
      <c r="X2005" t="s">
        <v>11333</v>
      </c>
      <c r="Y2005" t="s">
        <v>11346</v>
      </c>
      <c r="Z2005" t="s">
        <v>12744</v>
      </c>
      <c r="AA2005" t="s">
        <v>15642</v>
      </c>
      <c r="AB2005" t="s">
        <v>17127</v>
      </c>
      <c r="AC2005">
        <v>120</v>
      </c>
      <c r="AD2005" t="s">
        <v>19566</v>
      </c>
      <c r="AE2005" t="s">
        <v>19588</v>
      </c>
      <c r="AF2005">
        <v>2</v>
      </c>
      <c r="AG2005">
        <v>1</v>
      </c>
      <c r="AH2005">
        <v>0</v>
      </c>
      <c r="AI2005">
        <v>74.14</v>
      </c>
      <c r="AL2005" t="s">
        <v>19614</v>
      </c>
      <c r="AM2005">
        <v>9000</v>
      </c>
      <c r="AN2005" t="s">
        <v>19833</v>
      </c>
      <c r="AS2005">
        <v>27.08</v>
      </c>
      <c r="AT2005" t="s">
        <v>344</v>
      </c>
      <c r="AU2005" t="s">
        <v>20647</v>
      </c>
      <c r="AV2005" t="s">
        <v>20734</v>
      </c>
    </row>
    <row r="2006" spans="1:48">
      <c r="A2006" s="1">
        <f>HYPERLINK("https://lsnyc.legalserver.org/matter/dynamic-profile/view/1882293","18-1882293")</f>
        <v>0</v>
      </c>
      <c r="B2006" t="s">
        <v>114</v>
      </c>
      <c r="C2006" t="s">
        <v>257</v>
      </c>
      <c r="D2006" t="s">
        <v>452</v>
      </c>
      <c r="E2006" t="s">
        <v>563</v>
      </c>
      <c r="F2006" t="s">
        <v>1566</v>
      </c>
      <c r="G2006" t="s">
        <v>3448</v>
      </c>
      <c r="H2006" t="s">
        <v>5907</v>
      </c>
      <c r="I2006" t="s">
        <v>8539</v>
      </c>
      <c r="J2006" t="s">
        <v>9065</v>
      </c>
      <c r="K2006">
        <v>10451</v>
      </c>
      <c r="L2006" t="s">
        <v>9094</v>
      </c>
      <c r="M2006" t="s">
        <v>9094</v>
      </c>
      <c r="N2006" t="s">
        <v>9259</v>
      </c>
      <c r="O2006" t="s">
        <v>11130</v>
      </c>
      <c r="P2006" t="s">
        <v>11165</v>
      </c>
      <c r="Q2006" t="s">
        <v>11174</v>
      </c>
      <c r="R2006" t="s">
        <v>11180</v>
      </c>
      <c r="S2006" t="s">
        <v>9094</v>
      </c>
      <c r="T2006" t="s">
        <v>11183</v>
      </c>
      <c r="V2006" t="s">
        <v>738</v>
      </c>
      <c r="W2006">
        <v>1490</v>
      </c>
      <c r="X2006" t="s">
        <v>11333</v>
      </c>
      <c r="Y2006" t="s">
        <v>11346</v>
      </c>
      <c r="Z2006" t="s">
        <v>12745</v>
      </c>
      <c r="AB2006" t="s">
        <v>17128</v>
      </c>
      <c r="AC2006">
        <v>100</v>
      </c>
      <c r="AD2006" t="s">
        <v>19566</v>
      </c>
      <c r="AE2006" t="s">
        <v>19580</v>
      </c>
      <c r="AF2006">
        <v>32</v>
      </c>
      <c r="AG2006">
        <v>1</v>
      </c>
      <c r="AH2006">
        <v>0</v>
      </c>
      <c r="AI2006">
        <v>74.14</v>
      </c>
      <c r="AL2006" t="s">
        <v>19615</v>
      </c>
      <c r="AM2006">
        <v>9000</v>
      </c>
      <c r="AS2006">
        <v>0.25</v>
      </c>
      <c r="AT2006" t="s">
        <v>563</v>
      </c>
      <c r="AU2006" t="s">
        <v>163</v>
      </c>
    </row>
    <row r="2007" spans="1:48">
      <c r="A2007" s="1">
        <f>HYPERLINK("https://lsnyc.legalserver.org/matter/dynamic-profile/view/1863062","18-1863062")</f>
        <v>0</v>
      </c>
      <c r="B2007" t="s">
        <v>140</v>
      </c>
      <c r="C2007" t="s">
        <v>256</v>
      </c>
      <c r="D2007" t="s">
        <v>873</v>
      </c>
      <c r="F2007" t="s">
        <v>1494</v>
      </c>
      <c r="G2007" t="s">
        <v>4280</v>
      </c>
      <c r="H2007" t="s">
        <v>5942</v>
      </c>
      <c r="I2007" t="s">
        <v>8265</v>
      </c>
      <c r="J2007" t="s">
        <v>9067</v>
      </c>
      <c r="K2007">
        <v>10034</v>
      </c>
      <c r="L2007" t="s">
        <v>9094</v>
      </c>
      <c r="M2007" t="s">
        <v>9095</v>
      </c>
      <c r="O2007" t="s">
        <v>11130</v>
      </c>
      <c r="P2007" t="s">
        <v>11165</v>
      </c>
      <c r="R2007" t="s">
        <v>11180</v>
      </c>
      <c r="S2007" t="s">
        <v>9094</v>
      </c>
      <c r="T2007" t="s">
        <v>11183</v>
      </c>
      <c r="V2007" t="s">
        <v>873</v>
      </c>
      <c r="W2007">
        <v>246</v>
      </c>
      <c r="X2007" t="s">
        <v>11335</v>
      </c>
      <c r="Y2007" t="s">
        <v>11338</v>
      </c>
      <c r="Z2007" t="s">
        <v>12746</v>
      </c>
      <c r="AB2007" t="s">
        <v>17129</v>
      </c>
      <c r="AC2007">
        <v>60</v>
      </c>
      <c r="AD2007" t="s">
        <v>19566</v>
      </c>
      <c r="AE2007" t="s">
        <v>9144</v>
      </c>
      <c r="AF2007">
        <v>3</v>
      </c>
      <c r="AG2007">
        <v>1</v>
      </c>
      <c r="AH2007">
        <v>0</v>
      </c>
      <c r="AI2007">
        <v>74.14</v>
      </c>
      <c r="AL2007" t="s">
        <v>19614</v>
      </c>
      <c r="AM2007">
        <v>9000</v>
      </c>
      <c r="AS2007">
        <v>4.15</v>
      </c>
      <c r="AT2007" t="s">
        <v>377</v>
      </c>
      <c r="AU2007" t="s">
        <v>130</v>
      </c>
    </row>
    <row r="2008" spans="1:48">
      <c r="A2008" s="1">
        <f>HYPERLINK("https://lsnyc.legalserver.org/matter/dynamic-profile/view/1868627","18-1868627")</f>
        <v>0</v>
      </c>
      <c r="B2008" t="s">
        <v>138</v>
      </c>
      <c r="C2008" t="s">
        <v>256</v>
      </c>
      <c r="D2008" t="s">
        <v>456</v>
      </c>
      <c r="F2008" t="s">
        <v>2071</v>
      </c>
      <c r="G2008" t="s">
        <v>3644</v>
      </c>
      <c r="H2008" t="s">
        <v>6764</v>
      </c>
      <c r="I2008" t="s">
        <v>8216</v>
      </c>
      <c r="J2008" t="s">
        <v>9067</v>
      </c>
      <c r="K2008">
        <v>10034</v>
      </c>
      <c r="L2008" t="s">
        <v>9094</v>
      </c>
      <c r="M2008" t="s">
        <v>9095</v>
      </c>
      <c r="N2008" t="s">
        <v>9928</v>
      </c>
      <c r="O2008" t="s">
        <v>11129</v>
      </c>
      <c r="P2008" t="s">
        <v>11165</v>
      </c>
      <c r="R2008" t="s">
        <v>11180</v>
      </c>
      <c r="S2008" t="s">
        <v>9096</v>
      </c>
      <c r="T2008" t="s">
        <v>11183</v>
      </c>
      <c r="U2008" t="s">
        <v>11201</v>
      </c>
      <c r="V2008" t="s">
        <v>400</v>
      </c>
      <c r="W2008">
        <v>1047</v>
      </c>
      <c r="X2008" t="s">
        <v>11335</v>
      </c>
      <c r="Y2008" t="s">
        <v>11344</v>
      </c>
      <c r="Z2008" t="s">
        <v>12747</v>
      </c>
      <c r="AB2008" t="s">
        <v>17130</v>
      </c>
      <c r="AC2008">
        <v>26</v>
      </c>
      <c r="AD2008" t="s">
        <v>19566</v>
      </c>
      <c r="AE2008" t="s">
        <v>19587</v>
      </c>
      <c r="AF2008">
        <v>22</v>
      </c>
      <c r="AG2008">
        <v>1</v>
      </c>
      <c r="AH2008">
        <v>0</v>
      </c>
      <c r="AI2008">
        <v>74.14</v>
      </c>
      <c r="AM2008">
        <v>9000</v>
      </c>
      <c r="AP2008" t="s">
        <v>20317</v>
      </c>
      <c r="AQ2008" t="s">
        <v>20369</v>
      </c>
      <c r="AR2008" t="s">
        <v>20481</v>
      </c>
      <c r="AS2008">
        <v>9.5</v>
      </c>
      <c r="AT2008" t="s">
        <v>930</v>
      </c>
      <c r="AU2008" t="s">
        <v>20655</v>
      </c>
    </row>
    <row r="2009" spans="1:48">
      <c r="A2009" s="1">
        <f>HYPERLINK("https://lsnyc.legalserver.org/matter/dynamic-profile/view/1853595","17-1853595")</f>
        <v>0</v>
      </c>
      <c r="B2009" t="s">
        <v>64</v>
      </c>
      <c r="C2009" t="s">
        <v>257</v>
      </c>
      <c r="D2009" t="s">
        <v>606</v>
      </c>
      <c r="E2009" t="s">
        <v>367</v>
      </c>
      <c r="F2009" t="s">
        <v>2072</v>
      </c>
      <c r="G2009" t="s">
        <v>4281</v>
      </c>
      <c r="H2009" t="s">
        <v>6765</v>
      </c>
      <c r="I2009" t="s">
        <v>8540</v>
      </c>
      <c r="J2009" t="s">
        <v>9059</v>
      </c>
      <c r="K2009">
        <v>11239</v>
      </c>
      <c r="L2009" t="s">
        <v>9096</v>
      </c>
      <c r="M2009" t="s">
        <v>9095</v>
      </c>
      <c r="N2009" t="s">
        <v>9929</v>
      </c>
      <c r="O2009" t="s">
        <v>11130</v>
      </c>
      <c r="P2009" t="s">
        <v>11164</v>
      </c>
      <c r="Q2009" t="s">
        <v>11172</v>
      </c>
      <c r="R2009" t="s">
        <v>11180</v>
      </c>
      <c r="S2009" t="s">
        <v>9096</v>
      </c>
      <c r="T2009" t="s">
        <v>11183</v>
      </c>
      <c r="V2009" t="s">
        <v>364</v>
      </c>
      <c r="W2009">
        <v>840</v>
      </c>
      <c r="X2009" t="s">
        <v>11332</v>
      </c>
      <c r="Y2009" t="s">
        <v>11349</v>
      </c>
      <c r="Z2009" t="s">
        <v>12748</v>
      </c>
      <c r="AB2009" t="s">
        <v>17131</v>
      </c>
      <c r="AC2009">
        <v>80</v>
      </c>
      <c r="AD2009" t="s">
        <v>19566</v>
      </c>
      <c r="AE2009" t="s">
        <v>9144</v>
      </c>
      <c r="AF2009">
        <v>24</v>
      </c>
      <c r="AG2009">
        <v>4</v>
      </c>
      <c r="AH2009">
        <v>0</v>
      </c>
      <c r="AI2009">
        <v>74.15000000000001</v>
      </c>
      <c r="AL2009" t="s">
        <v>19627</v>
      </c>
      <c r="AM2009">
        <v>18240</v>
      </c>
      <c r="AS2009">
        <v>2.8</v>
      </c>
      <c r="AT2009" t="s">
        <v>306</v>
      </c>
      <c r="AU2009" t="s">
        <v>20637</v>
      </c>
    </row>
    <row r="2010" spans="1:48">
      <c r="A2010" s="1">
        <f>HYPERLINK("https://lsnyc.legalserver.org/matter/dynamic-profile/view/1864233","18-1864233")</f>
        <v>0</v>
      </c>
      <c r="B2010" t="s">
        <v>114</v>
      </c>
      <c r="C2010" t="s">
        <v>256</v>
      </c>
      <c r="D2010" t="s">
        <v>874</v>
      </c>
      <c r="F2010" t="s">
        <v>2073</v>
      </c>
      <c r="G2010" t="s">
        <v>3364</v>
      </c>
      <c r="H2010" t="s">
        <v>6766</v>
      </c>
      <c r="I2010" t="s">
        <v>8193</v>
      </c>
      <c r="J2010" t="s">
        <v>9065</v>
      </c>
      <c r="K2010">
        <v>10470</v>
      </c>
      <c r="L2010" t="s">
        <v>9094</v>
      </c>
      <c r="M2010" t="s">
        <v>9095</v>
      </c>
      <c r="P2010" t="s">
        <v>11166</v>
      </c>
      <c r="R2010" t="s">
        <v>11180</v>
      </c>
      <c r="S2010" t="s">
        <v>9096</v>
      </c>
      <c r="T2010" t="s">
        <v>11190</v>
      </c>
      <c r="V2010" t="s">
        <v>874</v>
      </c>
      <c r="W2010">
        <v>1190.04</v>
      </c>
      <c r="X2010" t="s">
        <v>11333</v>
      </c>
      <c r="Y2010" t="s">
        <v>11337</v>
      </c>
      <c r="Z2010" t="s">
        <v>12749</v>
      </c>
      <c r="AA2010" t="s">
        <v>15643</v>
      </c>
      <c r="AB2010" t="s">
        <v>17132</v>
      </c>
      <c r="AC2010">
        <v>6</v>
      </c>
      <c r="AD2010" t="s">
        <v>19566</v>
      </c>
      <c r="AE2010" t="s">
        <v>19580</v>
      </c>
      <c r="AF2010">
        <v>5</v>
      </c>
      <c r="AG2010">
        <v>1</v>
      </c>
      <c r="AH2010">
        <v>0</v>
      </c>
      <c r="AI2010">
        <v>74.23</v>
      </c>
      <c r="AL2010" t="s">
        <v>19614</v>
      </c>
      <c r="AM2010">
        <v>9012</v>
      </c>
      <c r="AN2010" t="s">
        <v>19834</v>
      </c>
      <c r="AS2010">
        <v>0</v>
      </c>
      <c r="AU2010" t="s">
        <v>118</v>
      </c>
    </row>
    <row r="2011" spans="1:48">
      <c r="A2011" s="1">
        <f>HYPERLINK("https://lsnyc.legalserver.org/matter/dynamic-profile/view/1878682","18-1878682")</f>
        <v>0</v>
      </c>
      <c r="B2011" t="s">
        <v>71</v>
      </c>
      <c r="C2011" t="s">
        <v>257</v>
      </c>
      <c r="D2011" t="s">
        <v>875</v>
      </c>
      <c r="E2011" t="s">
        <v>457</v>
      </c>
      <c r="F2011" t="s">
        <v>2029</v>
      </c>
      <c r="G2011" t="s">
        <v>3427</v>
      </c>
      <c r="H2011" t="s">
        <v>6702</v>
      </c>
      <c r="I2011">
        <v>1</v>
      </c>
      <c r="J2011" t="s">
        <v>9059</v>
      </c>
      <c r="K2011">
        <v>11208</v>
      </c>
      <c r="L2011" t="s">
        <v>9094</v>
      </c>
      <c r="M2011" t="s">
        <v>9096</v>
      </c>
      <c r="N2011" t="s">
        <v>9930</v>
      </c>
      <c r="O2011" t="s">
        <v>11129</v>
      </c>
      <c r="P2011" t="s">
        <v>11165</v>
      </c>
      <c r="Q2011" t="s">
        <v>11178</v>
      </c>
      <c r="R2011" t="s">
        <v>11180</v>
      </c>
      <c r="S2011" t="s">
        <v>9096</v>
      </c>
      <c r="T2011" t="s">
        <v>11183</v>
      </c>
      <c r="U2011" t="s">
        <v>11201</v>
      </c>
      <c r="V2011" t="s">
        <v>11208</v>
      </c>
      <c r="W2011">
        <v>1956</v>
      </c>
      <c r="X2011" t="s">
        <v>11332</v>
      </c>
      <c r="Y2011" t="s">
        <v>11345</v>
      </c>
      <c r="Z2011" t="s">
        <v>12652</v>
      </c>
      <c r="AA2011" t="s">
        <v>15625</v>
      </c>
      <c r="AB2011" t="s">
        <v>17038</v>
      </c>
      <c r="AC2011">
        <v>4</v>
      </c>
      <c r="AD2011" t="s">
        <v>19565</v>
      </c>
      <c r="AE2011" t="s">
        <v>19586</v>
      </c>
      <c r="AF2011">
        <v>3</v>
      </c>
      <c r="AG2011">
        <v>2</v>
      </c>
      <c r="AH2011">
        <v>3</v>
      </c>
      <c r="AI2011">
        <v>74.23999999999999</v>
      </c>
      <c r="AL2011" t="s">
        <v>19614</v>
      </c>
      <c r="AM2011">
        <v>21840</v>
      </c>
      <c r="AN2011" t="s">
        <v>19835</v>
      </c>
      <c r="AS2011">
        <v>13.5</v>
      </c>
      <c r="AT2011" t="s">
        <v>523</v>
      </c>
      <c r="AU2011" t="s">
        <v>95</v>
      </c>
      <c r="AV2011" t="s">
        <v>20734</v>
      </c>
    </row>
    <row r="2012" spans="1:48">
      <c r="A2012" s="1">
        <f>HYPERLINK("https://lsnyc.legalserver.org/matter/dynamic-profile/view/0826241","17-0826241")</f>
        <v>0</v>
      </c>
      <c r="B2012" t="s">
        <v>139</v>
      </c>
      <c r="C2012" t="s">
        <v>256</v>
      </c>
      <c r="D2012" t="s">
        <v>876</v>
      </c>
      <c r="F2012" t="s">
        <v>1788</v>
      </c>
      <c r="G2012" t="s">
        <v>4230</v>
      </c>
      <c r="H2012" t="s">
        <v>6363</v>
      </c>
      <c r="I2012" t="s">
        <v>8308</v>
      </c>
      <c r="J2012" t="s">
        <v>9067</v>
      </c>
      <c r="K2012">
        <v>10040</v>
      </c>
      <c r="L2012" t="s">
        <v>9094</v>
      </c>
      <c r="M2012" t="s">
        <v>9095</v>
      </c>
      <c r="N2012" t="s">
        <v>9887</v>
      </c>
      <c r="O2012" t="s">
        <v>11130</v>
      </c>
      <c r="P2012" t="s">
        <v>11165</v>
      </c>
      <c r="R2012" t="s">
        <v>11180</v>
      </c>
      <c r="S2012" t="s">
        <v>9094</v>
      </c>
      <c r="T2012" t="s">
        <v>11183</v>
      </c>
      <c r="V2012" t="s">
        <v>866</v>
      </c>
      <c r="W2012">
        <v>991.98</v>
      </c>
      <c r="X2012" t="s">
        <v>11335</v>
      </c>
      <c r="Y2012" t="s">
        <v>11339</v>
      </c>
      <c r="Z2012" t="s">
        <v>12660</v>
      </c>
      <c r="AB2012" t="s">
        <v>17043</v>
      </c>
      <c r="AC2012">
        <v>83</v>
      </c>
      <c r="AD2012" t="s">
        <v>19566</v>
      </c>
      <c r="AE2012" t="s">
        <v>9144</v>
      </c>
      <c r="AF2012">
        <v>40</v>
      </c>
      <c r="AG2012">
        <v>1</v>
      </c>
      <c r="AH2012">
        <v>0</v>
      </c>
      <c r="AI2012">
        <v>74.23999999999999</v>
      </c>
      <c r="AJ2012" t="s">
        <v>463</v>
      </c>
      <c r="AL2012" t="s">
        <v>19615</v>
      </c>
      <c r="AM2012">
        <v>8820</v>
      </c>
      <c r="AS2012">
        <v>0</v>
      </c>
      <c r="AT2012" t="s">
        <v>537</v>
      </c>
      <c r="AU2012" t="s">
        <v>20657</v>
      </c>
    </row>
    <row r="2013" spans="1:48">
      <c r="A2013" s="1">
        <f>HYPERLINK("https://lsnyc.legalserver.org/matter/dynamic-profile/view/1911030","19-1911030")</f>
        <v>0</v>
      </c>
      <c r="B2013" t="s">
        <v>123</v>
      </c>
      <c r="C2013" t="s">
        <v>256</v>
      </c>
      <c r="D2013" t="s">
        <v>362</v>
      </c>
      <c r="F2013" t="s">
        <v>2074</v>
      </c>
      <c r="G2013" t="s">
        <v>4282</v>
      </c>
      <c r="H2013" t="s">
        <v>5921</v>
      </c>
      <c r="I2013" t="s">
        <v>8158</v>
      </c>
      <c r="J2013" t="s">
        <v>9066</v>
      </c>
      <c r="K2013">
        <v>10304</v>
      </c>
      <c r="L2013" t="s">
        <v>9096</v>
      </c>
      <c r="M2013" t="s">
        <v>9095</v>
      </c>
      <c r="N2013" t="s">
        <v>9931</v>
      </c>
      <c r="O2013" t="s">
        <v>11129</v>
      </c>
      <c r="R2013" t="s">
        <v>11180</v>
      </c>
      <c r="S2013" t="s">
        <v>9096</v>
      </c>
      <c r="T2013" t="s">
        <v>11183</v>
      </c>
      <c r="U2013" t="s">
        <v>11201</v>
      </c>
      <c r="V2013" t="s">
        <v>362</v>
      </c>
      <c r="W2013">
        <v>661</v>
      </c>
      <c r="X2013" t="s">
        <v>11334</v>
      </c>
      <c r="Y2013" t="s">
        <v>11353</v>
      </c>
      <c r="Z2013" t="s">
        <v>12750</v>
      </c>
      <c r="AB2013" t="s">
        <v>17133</v>
      </c>
      <c r="AC2013">
        <v>403</v>
      </c>
      <c r="AD2013" t="s">
        <v>19567</v>
      </c>
      <c r="AE2013" t="s">
        <v>9144</v>
      </c>
      <c r="AF2013">
        <v>1</v>
      </c>
      <c r="AG2013">
        <v>2</v>
      </c>
      <c r="AH2013">
        <v>1</v>
      </c>
      <c r="AI2013">
        <v>74.26000000000001</v>
      </c>
      <c r="AL2013" t="s">
        <v>19614</v>
      </c>
      <c r="AM2013">
        <v>15840</v>
      </c>
      <c r="AS2013">
        <v>6.65</v>
      </c>
      <c r="AT2013" t="s">
        <v>594</v>
      </c>
      <c r="AU2013" t="s">
        <v>20653</v>
      </c>
      <c r="AV2013" t="s">
        <v>9144</v>
      </c>
    </row>
    <row r="2014" spans="1:48">
      <c r="A2014" s="1">
        <f>HYPERLINK("https://lsnyc.legalserver.org/matter/dynamic-profile/view/1893305","19-1893305")</f>
        <v>0</v>
      </c>
      <c r="B2014" t="s">
        <v>99</v>
      </c>
      <c r="C2014" t="s">
        <v>257</v>
      </c>
      <c r="D2014" t="s">
        <v>373</v>
      </c>
      <c r="E2014" t="s">
        <v>362</v>
      </c>
      <c r="F2014" t="s">
        <v>1241</v>
      </c>
      <c r="G2014" t="s">
        <v>1561</v>
      </c>
      <c r="H2014" t="s">
        <v>6767</v>
      </c>
      <c r="I2014" t="s">
        <v>8541</v>
      </c>
      <c r="J2014" t="s">
        <v>9065</v>
      </c>
      <c r="K2014">
        <v>10457</v>
      </c>
      <c r="L2014" t="s">
        <v>9094</v>
      </c>
      <c r="M2014" t="s">
        <v>9094</v>
      </c>
      <c r="O2014" t="s">
        <v>9121</v>
      </c>
      <c r="P2014" t="s">
        <v>11164</v>
      </c>
      <c r="Q2014" t="s">
        <v>11172</v>
      </c>
      <c r="R2014" t="s">
        <v>11180</v>
      </c>
      <c r="S2014" t="s">
        <v>9096</v>
      </c>
      <c r="T2014" t="s">
        <v>11183</v>
      </c>
      <c r="V2014" t="s">
        <v>421</v>
      </c>
      <c r="W2014">
        <v>237</v>
      </c>
      <c r="X2014" t="s">
        <v>11333</v>
      </c>
      <c r="Y2014" t="s">
        <v>11346</v>
      </c>
      <c r="Z2014" t="s">
        <v>12751</v>
      </c>
      <c r="AB2014" t="s">
        <v>17134</v>
      </c>
      <c r="AC2014">
        <v>25</v>
      </c>
      <c r="AD2014" t="s">
        <v>19566</v>
      </c>
      <c r="AE2014" t="s">
        <v>19586</v>
      </c>
      <c r="AF2014">
        <v>2</v>
      </c>
      <c r="AG2014">
        <v>1</v>
      </c>
      <c r="AH2014">
        <v>0</v>
      </c>
      <c r="AI2014">
        <v>74.27</v>
      </c>
      <c r="AL2014" t="s">
        <v>19615</v>
      </c>
      <c r="AM2014">
        <v>9276</v>
      </c>
      <c r="AS2014">
        <v>1.9</v>
      </c>
      <c r="AT2014" t="s">
        <v>362</v>
      </c>
      <c r="AU2014" t="s">
        <v>20635</v>
      </c>
    </row>
    <row r="2015" spans="1:48">
      <c r="A2015" s="1">
        <f>HYPERLINK("https://lsnyc.legalserver.org/matter/dynamic-profile/view/1899982","19-1899982")</f>
        <v>0</v>
      </c>
      <c r="B2015" t="s">
        <v>104</v>
      </c>
      <c r="C2015" t="s">
        <v>257</v>
      </c>
      <c r="D2015" t="s">
        <v>293</v>
      </c>
      <c r="E2015" t="s">
        <v>663</v>
      </c>
      <c r="F2015" t="s">
        <v>2075</v>
      </c>
      <c r="G2015" t="s">
        <v>4012</v>
      </c>
      <c r="H2015" t="s">
        <v>6768</v>
      </c>
      <c r="I2015" t="s">
        <v>8265</v>
      </c>
      <c r="J2015" t="s">
        <v>9065</v>
      </c>
      <c r="K2015">
        <v>10452</v>
      </c>
      <c r="L2015" t="s">
        <v>9094</v>
      </c>
      <c r="M2015" t="s">
        <v>9095</v>
      </c>
      <c r="N2015" t="s">
        <v>9932</v>
      </c>
      <c r="O2015" t="s">
        <v>11130</v>
      </c>
      <c r="P2015" t="s">
        <v>11164</v>
      </c>
      <c r="Q2015" t="s">
        <v>11172</v>
      </c>
      <c r="R2015" t="s">
        <v>11180</v>
      </c>
      <c r="S2015" t="s">
        <v>9096</v>
      </c>
      <c r="T2015" t="s">
        <v>11183</v>
      </c>
      <c r="V2015" t="s">
        <v>785</v>
      </c>
      <c r="W2015">
        <v>1200</v>
      </c>
      <c r="X2015" t="s">
        <v>11333</v>
      </c>
      <c r="Y2015" t="s">
        <v>11338</v>
      </c>
      <c r="Z2015" t="s">
        <v>12157</v>
      </c>
      <c r="AB2015" t="s">
        <v>17135</v>
      </c>
      <c r="AC2015">
        <v>30</v>
      </c>
      <c r="AD2015" t="s">
        <v>19566</v>
      </c>
      <c r="AE2015" t="s">
        <v>19580</v>
      </c>
      <c r="AF2015">
        <v>28</v>
      </c>
      <c r="AG2015">
        <v>1</v>
      </c>
      <c r="AH2015">
        <v>0</v>
      </c>
      <c r="AI2015">
        <v>74.27</v>
      </c>
      <c r="AL2015" t="s">
        <v>19614</v>
      </c>
      <c r="AM2015">
        <v>9276</v>
      </c>
      <c r="AS2015">
        <v>0.8</v>
      </c>
      <c r="AT2015" t="s">
        <v>293</v>
      </c>
      <c r="AU2015" t="s">
        <v>104</v>
      </c>
      <c r="AV2015" t="s">
        <v>20733</v>
      </c>
    </row>
    <row r="2016" spans="1:48">
      <c r="A2016" s="1">
        <f>HYPERLINK("https://lsnyc.legalserver.org/matter/dynamic-profile/view/1908436","19-1908436")</f>
        <v>0</v>
      </c>
      <c r="B2016" t="s">
        <v>122</v>
      </c>
      <c r="C2016" t="s">
        <v>256</v>
      </c>
      <c r="D2016" t="s">
        <v>339</v>
      </c>
      <c r="F2016" t="s">
        <v>1723</v>
      </c>
      <c r="G2016" t="s">
        <v>3498</v>
      </c>
      <c r="H2016" t="s">
        <v>6769</v>
      </c>
      <c r="I2016" t="s">
        <v>8131</v>
      </c>
      <c r="J2016" t="s">
        <v>9066</v>
      </c>
      <c r="K2016">
        <v>10304</v>
      </c>
      <c r="L2016" t="s">
        <v>9094</v>
      </c>
      <c r="M2016" t="s">
        <v>9095</v>
      </c>
      <c r="N2016" t="s">
        <v>9933</v>
      </c>
      <c r="O2016" t="s">
        <v>11129</v>
      </c>
      <c r="P2016" t="s">
        <v>11165</v>
      </c>
      <c r="R2016" t="s">
        <v>11180</v>
      </c>
      <c r="S2016" t="s">
        <v>9096</v>
      </c>
      <c r="T2016" t="s">
        <v>11183</v>
      </c>
      <c r="U2016" t="s">
        <v>11201</v>
      </c>
      <c r="V2016" t="s">
        <v>297</v>
      </c>
      <c r="W2016">
        <v>169</v>
      </c>
      <c r="X2016" t="s">
        <v>11334</v>
      </c>
      <c r="Y2016" t="s">
        <v>11345</v>
      </c>
      <c r="Z2016" t="s">
        <v>12752</v>
      </c>
      <c r="AB2016" t="s">
        <v>17136</v>
      </c>
      <c r="AC2016">
        <v>305</v>
      </c>
      <c r="AD2016" t="s">
        <v>19567</v>
      </c>
      <c r="AE2016" t="s">
        <v>19580</v>
      </c>
      <c r="AF2016">
        <v>18</v>
      </c>
      <c r="AG2016">
        <v>1</v>
      </c>
      <c r="AH2016">
        <v>0</v>
      </c>
      <c r="AI2016">
        <v>74.27</v>
      </c>
      <c r="AL2016" t="s">
        <v>19614</v>
      </c>
      <c r="AM2016">
        <v>9276</v>
      </c>
      <c r="AO2016" t="s">
        <v>20292</v>
      </c>
      <c r="AP2016" t="s">
        <v>20339</v>
      </c>
      <c r="AQ2016" t="s">
        <v>20369</v>
      </c>
      <c r="AR2016" t="s">
        <v>20482</v>
      </c>
      <c r="AS2016">
        <v>20.75</v>
      </c>
      <c r="AT2016" t="s">
        <v>483</v>
      </c>
      <c r="AU2016" t="s">
        <v>20653</v>
      </c>
      <c r="AV2016" t="s">
        <v>20733</v>
      </c>
    </row>
    <row r="2017" spans="1:48">
      <c r="A2017" s="1">
        <f>HYPERLINK("https://lsnyc.legalserver.org/matter/dynamic-profile/view/1850115","17-1850115")</f>
        <v>0</v>
      </c>
      <c r="B2017" t="s">
        <v>64</v>
      </c>
      <c r="C2017" t="s">
        <v>257</v>
      </c>
      <c r="D2017" t="s">
        <v>877</v>
      </c>
      <c r="E2017" t="s">
        <v>992</v>
      </c>
      <c r="F2017" t="s">
        <v>2076</v>
      </c>
      <c r="G2017" t="s">
        <v>3383</v>
      </c>
      <c r="H2017" t="s">
        <v>6770</v>
      </c>
      <c r="I2017" t="s">
        <v>8126</v>
      </c>
      <c r="J2017" t="s">
        <v>9059</v>
      </c>
      <c r="K2017">
        <v>11207</v>
      </c>
      <c r="L2017" t="s">
        <v>9094</v>
      </c>
      <c r="M2017" t="s">
        <v>9095</v>
      </c>
      <c r="P2017" t="s">
        <v>11167</v>
      </c>
      <c r="Q2017" t="s">
        <v>11172</v>
      </c>
      <c r="R2017" t="s">
        <v>11180</v>
      </c>
      <c r="T2017" t="s">
        <v>11183</v>
      </c>
      <c r="V2017" t="s">
        <v>937</v>
      </c>
      <c r="W2017">
        <v>761.1</v>
      </c>
      <c r="X2017" t="s">
        <v>11332</v>
      </c>
      <c r="Z2017" t="s">
        <v>12753</v>
      </c>
      <c r="AB2017" t="s">
        <v>17137</v>
      </c>
      <c r="AC2017">
        <v>5</v>
      </c>
      <c r="AF2017">
        <v>9</v>
      </c>
      <c r="AG2017">
        <v>1</v>
      </c>
      <c r="AH2017">
        <v>0</v>
      </c>
      <c r="AI2017">
        <v>74.33</v>
      </c>
      <c r="AL2017" t="s">
        <v>19614</v>
      </c>
      <c r="AM2017">
        <v>8964</v>
      </c>
      <c r="AS2017">
        <v>1.2</v>
      </c>
      <c r="AT2017" t="s">
        <v>937</v>
      </c>
      <c r="AU2017" t="s">
        <v>20638</v>
      </c>
    </row>
    <row r="2018" spans="1:48">
      <c r="A2018" s="1">
        <f>HYPERLINK("https://lsnyc.legalserver.org/matter/dynamic-profile/view/1896502","19-1896502")</f>
        <v>0</v>
      </c>
      <c r="B2018" t="s">
        <v>165</v>
      </c>
      <c r="C2018" t="s">
        <v>256</v>
      </c>
      <c r="D2018" t="s">
        <v>384</v>
      </c>
      <c r="F2018" t="s">
        <v>2077</v>
      </c>
      <c r="G2018" t="s">
        <v>4283</v>
      </c>
      <c r="H2018" t="s">
        <v>6210</v>
      </c>
      <c r="I2018">
        <v>7</v>
      </c>
      <c r="J2018" t="s">
        <v>9085</v>
      </c>
      <c r="K2018">
        <v>11233</v>
      </c>
      <c r="L2018" t="s">
        <v>9094</v>
      </c>
      <c r="M2018" t="s">
        <v>9094</v>
      </c>
      <c r="N2018" t="s">
        <v>9934</v>
      </c>
      <c r="O2018" t="s">
        <v>11130</v>
      </c>
      <c r="P2018" t="s">
        <v>11165</v>
      </c>
      <c r="R2018" t="s">
        <v>11180</v>
      </c>
      <c r="S2018" t="s">
        <v>9096</v>
      </c>
      <c r="T2018" t="s">
        <v>11183</v>
      </c>
      <c r="U2018" t="s">
        <v>11202</v>
      </c>
      <c r="V2018" t="s">
        <v>318</v>
      </c>
      <c r="W2018">
        <v>859</v>
      </c>
      <c r="X2018" t="s">
        <v>11332</v>
      </c>
      <c r="Z2018" t="s">
        <v>12754</v>
      </c>
      <c r="AB2018" t="s">
        <v>17138</v>
      </c>
      <c r="AC2018">
        <v>12</v>
      </c>
      <c r="AD2018" t="s">
        <v>19566</v>
      </c>
      <c r="AE2018" t="s">
        <v>19580</v>
      </c>
      <c r="AF2018">
        <v>0</v>
      </c>
      <c r="AG2018">
        <v>1</v>
      </c>
      <c r="AH2018">
        <v>0</v>
      </c>
      <c r="AI2018">
        <v>74.36</v>
      </c>
      <c r="AL2018" t="s">
        <v>19614</v>
      </c>
      <c r="AM2018">
        <v>9288</v>
      </c>
      <c r="AS2018">
        <v>103.45</v>
      </c>
      <c r="AT2018" t="s">
        <v>1130</v>
      </c>
      <c r="AU2018" t="s">
        <v>94</v>
      </c>
    </row>
    <row r="2019" spans="1:48">
      <c r="A2019" s="1">
        <f>HYPERLINK("https://lsnyc.legalserver.org/matter/dynamic-profile/view/1906584","19-1906584")</f>
        <v>0</v>
      </c>
      <c r="B2019" t="s">
        <v>100</v>
      </c>
      <c r="C2019" t="s">
        <v>257</v>
      </c>
      <c r="D2019" t="s">
        <v>333</v>
      </c>
      <c r="E2019" t="s">
        <v>563</v>
      </c>
      <c r="F2019" t="s">
        <v>1274</v>
      </c>
      <c r="G2019" t="s">
        <v>3332</v>
      </c>
      <c r="H2019" t="s">
        <v>6771</v>
      </c>
      <c r="I2019" t="s">
        <v>8542</v>
      </c>
      <c r="J2019" t="s">
        <v>9065</v>
      </c>
      <c r="K2019">
        <v>10452</v>
      </c>
      <c r="L2019" t="s">
        <v>9094</v>
      </c>
      <c r="M2019" t="s">
        <v>9095</v>
      </c>
      <c r="O2019" t="s">
        <v>9121</v>
      </c>
      <c r="P2019" t="s">
        <v>11164</v>
      </c>
      <c r="Q2019" t="s">
        <v>11172</v>
      </c>
      <c r="R2019" t="s">
        <v>11180</v>
      </c>
      <c r="S2019" t="s">
        <v>9096</v>
      </c>
      <c r="T2019" t="s">
        <v>11183</v>
      </c>
      <c r="V2019" t="s">
        <v>308</v>
      </c>
      <c r="W2019">
        <v>640</v>
      </c>
      <c r="X2019" t="s">
        <v>11333</v>
      </c>
      <c r="Y2019" t="s">
        <v>11340</v>
      </c>
      <c r="Z2019" t="s">
        <v>12755</v>
      </c>
      <c r="AB2019" t="s">
        <v>17139</v>
      </c>
      <c r="AC2019">
        <v>52</v>
      </c>
      <c r="AD2019" t="s">
        <v>19566</v>
      </c>
      <c r="AE2019" t="s">
        <v>19580</v>
      </c>
      <c r="AF2019">
        <v>6</v>
      </c>
      <c r="AG2019">
        <v>1</v>
      </c>
      <c r="AH2019">
        <v>0</v>
      </c>
      <c r="AI2019">
        <v>74.36</v>
      </c>
      <c r="AL2019" t="s">
        <v>19614</v>
      </c>
      <c r="AM2019">
        <v>9288</v>
      </c>
      <c r="AS2019">
        <v>2</v>
      </c>
      <c r="AT2019" t="s">
        <v>275</v>
      </c>
      <c r="AU2019" t="s">
        <v>20639</v>
      </c>
      <c r="AV2019" t="s">
        <v>20733</v>
      </c>
    </row>
    <row r="2020" spans="1:48">
      <c r="A2020" s="1">
        <f>HYPERLINK("https://lsnyc.legalserver.org/matter/dynamic-profile/view/1865145","18-1865145")</f>
        <v>0</v>
      </c>
      <c r="B2020" t="s">
        <v>111</v>
      </c>
      <c r="C2020" t="s">
        <v>256</v>
      </c>
      <c r="D2020" t="s">
        <v>674</v>
      </c>
      <c r="F2020" t="s">
        <v>1700</v>
      </c>
      <c r="G2020" t="s">
        <v>4284</v>
      </c>
      <c r="H2020" t="s">
        <v>6705</v>
      </c>
      <c r="I2020" t="s">
        <v>8543</v>
      </c>
      <c r="J2020" t="s">
        <v>9065</v>
      </c>
      <c r="K2020">
        <v>10452</v>
      </c>
      <c r="L2020" t="s">
        <v>9094</v>
      </c>
      <c r="M2020" t="s">
        <v>9094</v>
      </c>
      <c r="N2020" t="s">
        <v>9935</v>
      </c>
      <c r="O2020" t="s">
        <v>11128</v>
      </c>
      <c r="P2020" t="s">
        <v>11165</v>
      </c>
      <c r="R2020" t="s">
        <v>11180</v>
      </c>
      <c r="S2020" t="s">
        <v>9096</v>
      </c>
      <c r="T2020" t="s">
        <v>11183</v>
      </c>
      <c r="V2020" t="s">
        <v>11219</v>
      </c>
      <c r="W2020">
        <v>1005.05</v>
      </c>
      <c r="X2020" t="s">
        <v>11333</v>
      </c>
      <c r="Y2020" t="s">
        <v>11340</v>
      </c>
      <c r="Z2020" t="s">
        <v>12756</v>
      </c>
      <c r="AA2020" t="s">
        <v>15644</v>
      </c>
      <c r="AB2020" t="s">
        <v>17140</v>
      </c>
      <c r="AC2020">
        <v>54</v>
      </c>
      <c r="AD2020" t="s">
        <v>19566</v>
      </c>
      <c r="AE2020" t="s">
        <v>19580</v>
      </c>
      <c r="AF2020">
        <v>15</v>
      </c>
      <c r="AG2020">
        <v>1</v>
      </c>
      <c r="AH2020">
        <v>0</v>
      </c>
      <c r="AI2020">
        <v>74.43000000000001</v>
      </c>
      <c r="AL2020" t="s">
        <v>19615</v>
      </c>
      <c r="AM2020">
        <v>9036</v>
      </c>
      <c r="AS2020">
        <v>35.4</v>
      </c>
      <c r="AT2020" t="s">
        <v>453</v>
      </c>
      <c r="AU2020" t="s">
        <v>20642</v>
      </c>
    </row>
    <row r="2021" spans="1:48">
      <c r="A2021" s="1">
        <f>HYPERLINK("https://lsnyc.legalserver.org/matter/dynamic-profile/view/1906244","19-1906244")</f>
        <v>0</v>
      </c>
      <c r="B2021" t="s">
        <v>64</v>
      </c>
      <c r="C2021" t="s">
        <v>257</v>
      </c>
      <c r="D2021" t="s">
        <v>282</v>
      </c>
      <c r="E2021" t="s">
        <v>273</v>
      </c>
      <c r="F2021" t="s">
        <v>2078</v>
      </c>
      <c r="G2021" t="s">
        <v>3646</v>
      </c>
      <c r="H2021" t="s">
        <v>6772</v>
      </c>
      <c r="I2021" t="s">
        <v>8132</v>
      </c>
      <c r="J2021" t="s">
        <v>9059</v>
      </c>
      <c r="K2021">
        <v>11233</v>
      </c>
      <c r="L2021" t="s">
        <v>9094</v>
      </c>
      <c r="M2021" t="s">
        <v>9095</v>
      </c>
      <c r="N2021" t="s">
        <v>9154</v>
      </c>
      <c r="O2021" t="s">
        <v>9121</v>
      </c>
      <c r="P2021" t="s">
        <v>11167</v>
      </c>
      <c r="Q2021" t="s">
        <v>11173</v>
      </c>
      <c r="R2021" t="s">
        <v>11180</v>
      </c>
      <c r="S2021" t="s">
        <v>9096</v>
      </c>
      <c r="T2021" t="s">
        <v>11183</v>
      </c>
      <c r="V2021" t="s">
        <v>282</v>
      </c>
      <c r="W2021">
        <v>259</v>
      </c>
      <c r="X2021" t="s">
        <v>11332</v>
      </c>
      <c r="Y2021" t="s">
        <v>11340</v>
      </c>
      <c r="Z2021" t="s">
        <v>12757</v>
      </c>
      <c r="AC2021">
        <v>6</v>
      </c>
      <c r="AD2021" t="s">
        <v>19566</v>
      </c>
      <c r="AF2021">
        <v>9</v>
      </c>
      <c r="AG2021">
        <v>1</v>
      </c>
      <c r="AH2021">
        <v>0</v>
      </c>
      <c r="AI2021">
        <v>74.45999999999999</v>
      </c>
      <c r="AL2021" t="s">
        <v>19614</v>
      </c>
      <c r="AM2021">
        <v>9300</v>
      </c>
      <c r="AS2021">
        <v>0.4</v>
      </c>
      <c r="AT2021" t="s">
        <v>474</v>
      </c>
      <c r="AU2021" t="s">
        <v>20628</v>
      </c>
      <c r="AV2021" t="s">
        <v>20733</v>
      </c>
    </row>
    <row r="2022" spans="1:48">
      <c r="A2022" s="1">
        <f>HYPERLINK("https://lsnyc.legalserver.org/matter/dynamic-profile/view/1899990","19-1899990")</f>
        <v>0</v>
      </c>
      <c r="B2022" t="s">
        <v>113</v>
      </c>
      <c r="C2022" t="s">
        <v>256</v>
      </c>
      <c r="D2022" t="s">
        <v>293</v>
      </c>
      <c r="F2022" t="s">
        <v>2079</v>
      </c>
      <c r="G2022" t="s">
        <v>4285</v>
      </c>
      <c r="H2022" t="s">
        <v>5864</v>
      </c>
      <c r="I2022" t="s">
        <v>8544</v>
      </c>
      <c r="J2022" t="s">
        <v>9065</v>
      </c>
      <c r="K2022">
        <v>10460</v>
      </c>
      <c r="L2022" t="s">
        <v>9094</v>
      </c>
      <c r="M2022" t="s">
        <v>9095</v>
      </c>
      <c r="O2022" t="s">
        <v>9121</v>
      </c>
      <c r="P2022" t="s">
        <v>11166</v>
      </c>
      <c r="R2022" t="s">
        <v>11180</v>
      </c>
      <c r="S2022" t="s">
        <v>9094</v>
      </c>
      <c r="T2022" t="s">
        <v>11183</v>
      </c>
      <c r="V2022" t="s">
        <v>11218</v>
      </c>
      <c r="W2022">
        <v>241</v>
      </c>
      <c r="X2022" t="s">
        <v>11333</v>
      </c>
      <c r="Y2022" t="s">
        <v>11346</v>
      </c>
      <c r="Z2022" t="s">
        <v>12758</v>
      </c>
      <c r="AB2022" t="s">
        <v>17141</v>
      </c>
      <c r="AC2022">
        <v>168</v>
      </c>
      <c r="AD2022" t="s">
        <v>19566</v>
      </c>
      <c r="AE2022" t="s">
        <v>19580</v>
      </c>
      <c r="AF2022">
        <v>12</v>
      </c>
      <c r="AG2022">
        <v>1</v>
      </c>
      <c r="AH2022">
        <v>0</v>
      </c>
      <c r="AI2022">
        <v>74.45999999999999</v>
      </c>
      <c r="AL2022" t="s">
        <v>19614</v>
      </c>
      <c r="AM2022">
        <v>9300</v>
      </c>
      <c r="AS2022">
        <v>19</v>
      </c>
      <c r="AT2022" t="s">
        <v>404</v>
      </c>
      <c r="AU2022" t="s">
        <v>220</v>
      </c>
      <c r="AV2022" t="s">
        <v>20733</v>
      </c>
    </row>
    <row r="2023" spans="1:48">
      <c r="A2023" s="1">
        <f>HYPERLINK("https://lsnyc.legalserver.org/matter/dynamic-profile/view/1903229","19-1903229")</f>
        <v>0</v>
      </c>
      <c r="B2023" t="s">
        <v>136</v>
      </c>
      <c r="C2023" t="s">
        <v>257</v>
      </c>
      <c r="D2023" t="s">
        <v>280</v>
      </c>
      <c r="E2023" t="s">
        <v>314</v>
      </c>
      <c r="F2023" t="s">
        <v>2080</v>
      </c>
      <c r="G2023" t="s">
        <v>4286</v>
      </c>
      <c r="H2023" t="s">
        <v>6773</v>
      </c>
      <c r="I2023" t="s">
        <v>8545</v>
      </c>
      <c r="J2023" t="s">
        <v>9067</v>
      </c>
      <c r="K2023">
        <v>10034</v>
      </c>
      <c r="L2023" t="s">
        <v>9094</v>
      </c>
      <c r="M2023" t="s">
        <v>9095</v>
      </c>
      <c r="O2023" t="s">
        <v>11133</v>
      </c>
      <c r="P2023" t="s">
        <v>11168</v>
      </c>
      <c r="Q2023" t="s">
        <v>11177</v>
      </c>
      <c r="R2023" t="s">
        <v>11180</v>
      </c>
      <c r="S2023" t="s">
        <v>9096</v>
      </c>
      <c r="T2023" t="s">
        <v>11191</v>
      </c>
      <c r="U2023" t="s">
        <v>11201</v>
      </c>
      <c r="V2023" t="s">
        <v>280</v>
      </c>
      <c r="W2023">
        <v>544.6799999999999</v>
      </c>
      <c r="X2023" t="s">
        <v>11335</v>
      </c>
      <c r="Y2023" t="s">
        <v>11340</v>
      </c>
      <c r="Z2023" t="s">
        <v>12759</v>
      </c>
      <c r="AB2023" t="s">
        <v>17142</v>
      </c>
      <c r="AC2023">
        <v>200</v>
      </c>
      <c r="AD2023" t="s">
        <v>19569</v>
      </c>
      <c r="AE2023" t="s">
        <v>9144</v>
      </c>
      <c r="AF2023">
        <v>24</v>
      </c>
      <c r="AG2023">
        <v>1</v>
      </c>
      <c r="AH2023">
        <v>0</v>
      </c>
      <c r="AI2023">
        <v>74.47</v>
      </c>
      <c r="AL2023" t="s">
        <v>19614</v>
      </c>
      <c r="AM2023">
        <v>9301.32</v>
      </c>
      <c r="AP2023" t="s">
        <v>20324</v>
      </c>
      <c r="AQ2023" t="s">
        <v>20369</v>
      </c>
      <c r="AR2023" t="s">
        <v>20483</v>
      </c>
      <c r="AS2023">
        <v>2.05</v>
      </c>
      <c r="AT2023" t="s">
        <v>335</v>
      </c>
      <c r="AU2023" t="s">
        <v>20657</v>
      </c>
      <c r="AV2023" t="s">
        <v>20733</v>
      </c>
    </row>
    <row r="2024" spans="1:48">
      <c r="A2024" s="1">
        <f>HYPERLINK("https://lsnyc.legalserver.org/matter/dynamic-profile/view/1910624","19-1910624")</f>
        <v>0</v>
      </c>
      <c r="B2024" t="s">
        <v>82</v>
      </c>
      <c r="C2024" t="s">
        <v>256</v>
      </c>
      <c r="D2024" t="s">
        <v>259</v>
      </c>
      <c r="F2024" t="s">
        <v>2081</v>
      </c>
      <c r="G2024" t="s">
        <v>4287</v>
      </c>
      <c r="H2024" t="s">
        <v>5776</v>
      </c>
      <c r="I2024" t="s">
        <v>8193</v>
      </c>
      <c r="J2024" t="s">
        <v>9059</v>
      </c>
      <c r="K2024">
        <v>11226</v>
      </c>
      <c r="L2024" t="s">
        <v>9094</v>
      </c>
      <c r="M2024" t="s">
        <v>9095</v>
      </c>
      <c r="O2024" t="s">
        <v>11130</v>
      </c>
      <c r="P2024" t="s">
        <v>11165</v>
      </c>
      <c r="R2024" t="s">
        <v>11180</v>
      </c>
      <c r="S2024" t="s">
        <v>9094</v>
      </c>
      <c r="T2024" t="s">
        <v>11183</v>
      </c>
      <c r="U2024" t="s">
        <v>11201</v>
      </c>
      <c r="V2024" t="s">
        <v>899</v>
      </c>
      <c r="W2024">
        <v>582.34</v>
      </c>
      <c r="X2024" t="s">
        <v>11332</v>
      </c>
      <c r="Y2024" t="s">
        <v>11346</v>
      </c>
      <c r="Z2024" t="s">
        <v>12760</v>
      </c>
      <c r="AC2024">
        <v>16</v>
      </c>
      <c r="AD2024" t="s">
        <v>19566</v>
      </c>
      <c r="AF2024">
        <v>29</v>
      </c>
      <c r="AG2024">
        <v>2</v>
      </c>
      <c r="AH2024">
        <v>0</v>
      </c>
      <c r="AI2024">
        <v>74.51000000000001</v>
      </c>
      <c r="AL2024" t="s">
        <v>19614</v>
      </c>
      <c r="AM2024">
        <v>12600</v>
      </c>
      <c r="AS2024">
        <v>0.2</v>
      </c>
      <c r="AT2024" t="s">
        <v>259</v>
      </c>
      <c r="AU2024" t="s">
        <v>67</v>
      </c>
    </row>
    <row r="2025" spans="1:48">
      <c r="A2025" s="1">
        <f>HYPERLINK("https://lsnyc.legalserver.org/matter/dynamic-profile/view/1911773","19-1911773")</f>
        <v>0</v>
      </c>
      <c r="B2025" t="s">
        <v>82</v>
      </c>
      <c r="C2025" t="s">
        <v>256</v>
      </c>
      <c r="D2025" t="s">
        <v>290</v>
      </c>
      <c r="F2025" t="s">
        <v>2081</v>
      </c>
      <c r="G2025" t="s">
        <v>4287</v>
      </c>
      <c r="H2025" t="s">
        <v>5776</v>
      </c>
      <c r="I2025" t="s">
        <v>8193</v>
      </c>
      <c r="J2025" t="s">
        <v>9059</v>
      </c>
      <c r="K2025">
        <v>11226</v>
      </c>
      <c r="L2025" t="s">
        <v>9096</v>
      </c>
      <c r="M2025" t="s">
        <v>9095</v>
      </c>
      <c r="P2025" t="s">
        <v>11165</v>
      </c>
      <c r="R2025" t="s">
        <v>11180</v>
      </c>
      <c r="T2025" t="s">
        <v>11183</v>
      </c>
      <c r="W2025">
        <v>0</v>
      </c>
      <c r="X2025" t="s">
        <v>11332</v>
      </c>
      <c r="Z2025" t="s">
        <v>12760</v>
      </c>
      <c r="AC2025">
        <v>16</v>
      </c>
      <c r="AF2025">
        <v>0</v>
      </c>
      <c r="AG2025">
        <v>2</v>
      </c>
      <c r="AH2025">
        <v>0</v>
      </c>
      <c r="AI2025">
        <v>74.51000000000001</v>
      </c>
      <c r="AL2025" t="s">
        <v>19614</v>
      </c>
      <c r="AM2025">
        <v>12600</v>
      </c>
      <c r="AS2025">
        <v>0</v>
      </c>
      <c r="AU2025" t="s">
        <v>215</v>
      </c>
    </row>
    <row r="2026" spans="1:48">
      <c r="A2026" s="1">
        <f>HYPERLINK("https://lsnyc.legalserver.org/matter/dynamic-profile/view/1861579","18-1861579")</f>
        <v>0</v>
      </c>
      <c r="B2026" t="s">
        <v>132</v>
      </c>
      <c r="C2026" t="s">
        <v>256</v>
      </c>
      <c r="D2026" t="s">
        <v>752</v>
      </c>
      <c r="F2026" t="s">
        <v>1358</v>
      </c>
      <c r="G2026" t="s">
        <v>3424</v>
      </c>
      <c r="H2026" t="s">
        <v>5936</v>
      </c>
      <c r="I2026" t="s">
        <v>8139</v>
      </c>
      <c r="J2026" t="s">
        <v>9067</v>
      </c>
      <c r="K2026">
        <v>10040</v>
      </c>
      <c r="L2026" t="s">
        <v>9094</v>
      </c>
      <c r="M2026" t="s">
        <v>9095</v>
      </c>
      <c r="O2026" t="s">
        <v>11130</v>
      </c>
      <c r="P2026" t="s">
        <v>11165</v>
      </c>
      <c r="R2026" t="s">
        <v>11180</v>
      </c>
      <c r="S2026" t="s">
        <v>9094</v>
      </c>
      <c r="T2026" t="s">
        <v>11183</v>
      </c>
      <c r="V2026" t="s">
        <v>752</v>
      </c>
      <c r="W2026">
        <v>400</v>
      </c>
      <c r="X2026" t="s">
        <v>11335</v>
      </c>
      <c r="Y2026" t="s">
        <v>11338</v>
      </c>
      <c r="Z2026" t="s">
        <v>12761</v>
      </c>
      <c r="AB2026" t="s">
        <v>17143</v>
      </c>
      <c r="AC2026">
        <v>49</v>
      </c>
      <c r="AD2026" t="s">
        <v>19566</v>
      </c>
      <c r="AE2026" t="s">
        <v>9144</v>
      </c>
      <c r="AF2026">
        <v>43</v>
      </c>
      <c r="AG2026">
        <v>2</v>
      </c>
      <c r="AH2026">
        <v>0</v>
      </c>
      <c r="AI2026">
        <v>74.51000000000001</v>
      </c>
      <c r="AJ2026" t="s">
        <v>527</v>
      </c>
      <c r="AL2026" t="s">
        <v>19615</v>
      </c>
      <c r="AM2026">
        <v>12264</v>
      </c>
      <c r="AS2026">
        <v>2.6</v>
      </c>
      <c r="AT2026" t="s">
        <v>422</v>
      </c>
      <c r="AU2026" t="s">
        <v>130</v>
      </c>
    </row>
    <row r="2027" spans="1:48">
      <c r="A2027" s="1">
        <f>HYPERLINK("https://lsnyc.legalserver.org/matter/dynamic-profile/view/1837027","17-1837027")</f>
        <v>0</v>
      </c>
      <c r="B2027" t="s">
        <v>202</v>
      </c>
      <c r="C2027" t="s">
        <v>256</v>
      </c>
      <c r="D2027" t="s">
        <v>878</v>
      </c>
      <c r="F2027" t="s">
        <v>2019</v>
      </c>
      <c r="G2027" t="s">
        <v>4208</v>
      </c>
      <c r="H2027" t="s">
        <v>6687</v>
      </c>
      <c r="I2027" t="s">
        <v>8124</v>
      </c>
      <c r="J2027" t="s">
        <v>9059</v>
      </c>
      <c r="K2027">
        <v>11212</v>
      </c>
      <c r="L2027" t="s">
        <v>9094</v>
      </c>
      <c r="M2027" t="s">
        <v>9094</v>
      </c>
      <c r="O2027" t="s">
        <v>9121</v>
      </c>
      <c r="P2027" t="s">
        <v>11166</v>
      </c>
      <c r="R2027" t="s">
        <v>11180</v>
      </c>
      <c r="S2027" t="s">
        <v>9094</v>
      </c>
      <c r="T2027" t="s">
        <v>11183</v>
      </c>
      <c r="V2027" t="s">
        <v>837</v>
      </c>
      <c r="W2027">
        <v>1577</v>
      </c>
      <c r="X2027" t="s">
        <v>11332</v>
      </c>
      <c r="Z2027" t="s">
        <v>12629</v>
      </c>
      <c r="AA2027" t="s">
        <v>15616</v>
      </c>
      <c r="AB2027" t="s">
        <v>17014</v>
      </c>
      <c r="AC2027">
        <v>6</v>
      </c>
      <c r="AD2027" t="s">
        <v>19566</v>
      </c>
      <c r="AE2027" t="s">
        <v>11157</v>
      </c>
      <c r="AF2027">
        <v>18</v>
      </c>
      <c r="AG2027">
        <v>1</v>
      </c>
      <c r="AH2027">
        <v>0</v>
      </c>
      <c r="AI2027">
        <v>74.53</v>
      </c>
      <c r="AL2027" t="s">
        <v>19614</v>
      </c>
      <c r="AM2027">
        <v>8988</v>
      </c>
      <c r="AP2027" t="s">
        <v>20340</v>
      </c>
      <c r="AS2027">
        <v>8.949999999999999</v>
      </c>
      <c r="AT2027" t="s">
        <v>301</v>
      </c>
      <c r="AU2027" t="s">
        <v>20660</v>
      </c>
    </row>
    <row r="2028" spans="1:48">
      <c r="A2028" s="1">
        <f>HYPERLINK("https://lsnyc.legalserver.org/matter/dynamic-profile/view/1910392","19-1910392")</f>
        <v>0</v>
      </c>
      <c r="B2028" t="s">
        <v>193</v>
      </c>
      <c r="C2028" t="s">
        <v>256</v>
      </c>
      <c r="D2028" t="s">
        <v>341</v>
      </c>
      <c r="F2028" t="s">
        <v>2082</v>
      </c>
      <c r="G2028" t="s">
        <v>4288</v>
      </c>
      <c r="H2028" t="s">
        <v>6774</v>
      </c>
      <c r="I2028">
        <v>2</v>
      </c>
      <c r="J2028" t="s">
        <v>9068</v>
      </c>
      <c r="K2028">
        <v>11385</v>
      </c>
      <c r="L2028" t="s">
        <v>9095</v>
      </c>
      <c r="M2028" t="s">
        <v>9095</v>
      </c>
      <c r="N2028" t="s">
        <v>9936</v>
      </c>
      <c r="O2028" t="s">
        <v>11141</v>
      </c>
      <c r="R2028" t="s">
        <v>11180</v>
      </c>
      <c r="T2028" t="s">
        <v>11183</v>
      </c>
      <c r="W2028">
        <v>1450</v>
      </c>
      <c r="X2028" t="s">
        <v>11331</v>
      </c>
      <c r="Z2028" t="s">
        <v>12762</v>
      </c>
      <c r="AB2028" t="s">
        <v>17144</v>
      </c>
      <c r="AC2028">
        <v>2</v>
      </c>
      <c r="AD2028" t="s">
        <v>15441</v>
      </c>
      <c r="AE2028" t="s">
        <v>9144</v>
      </c>
      <c r="AF2028">
        <v>3</v>
      </c>
      <c r="AG2028">
        <v>2</v>
      </c>
      <c r="AH2028">
        <v>2</v>
      </c>
      <c r="AI2028">
        <v>74.56</v>
      </c>
      <c r="AL2028" t="s">
        <v>19614</v>
      </c>
      <c r="AM2028">
        <v>19200</v>
      </c>
      <c r="AS2028">
        <v>5.33</v>
      </c>
      <c r="AT2028" t="s">
        <v>521</v>
      </c>
      <c r="AU2028" t="s">
        <v>20619</v>
      </c>
    </row>
    <row r="2029" spans="1:48">
      <c r="A2029" s="1">
        <f>HYPERLINK("https://lsnyc.legalserver.org/matter/dynamic-profile/view/1902364","19-1902364")</f>
        <v>0</v>
      </c>
      <c r="B2029" t="s">
        <v>108</v>
      </c>
      <c r="C2029" t="s">
        <v>257</v>
      </c>
      <c r="D2029" t="s">
        <v>268</v>
      </c>
      <c r="E2029" t="s">
        <v>832</v>
      </c>
      <c r="F2029" t="s">
        <v>1805</v>
      </c>
      <c r="G2029" t="s">
        <v>3497</v>
      </c>
      <c r="H2029" t="s">
        <v>6775</v>
      </c>
      <c r="I2029">
        <v>11</v>
      </c>
      <c r="J2029" t="s">
        <v>9065</v>
      </c>
      <c r="K2029">
        <v>10467</v>
      </c>
      <c r="L2029" t="s">
        <v>9094</v>
      </c>
      <c r="M2029" t="s">
        <v>9095</v>
      </c>
      <c r="N2029" t="s">
        <v>9937</v>
      </c>
      <c r="O2029" t="s">
        <v>9121</v>
      </c>
      <c r="P2029" t="s">
        <v>11164</v>
      </c>
      <c r="Q2029" t="s">
        <v>11172</v>
      </c>
      <c r="R2029" t="s">
        <v>11180</v>
      </c>
      <c r="S2029" t="s">
        <v>9096</v>
      </c>
      <c r="T2029" t="s">
        <v>11183</v>
      </c>
      <c r="V2029" t="s">
        <v>11218</v>
      </c>
      <c r="W2029">
        <v>500</v>
      </c>
      <c r="X2029" t="s">
        <v>11333</v>
      </c>
      <c r="Y2029" t="s">
        <v>11338</v>
      </c>
      <c r="Z2029" t="s">
        <v>12763</v>
      </c>
      <c r="AB2029" t="s">
        <v>17145</v>
      </c>
      <c r="AC2029">
        <v>1</v>
      </c>
      <c r="AD2029" t="s">
        <v>19565</v>
      </c>
      <c r="AE2029" t="s">
        <v>9144</v>
      </c>
      <c r="AF2029">
        <v>35</v>
      </c>
      <c r="AG2029">
        <v>4</v>
      </c>
      <c r="AH2029">
        <v>1</v>
      </c>
      <c r="AI2029">
        <v>74.62</v>
      </c>
      <c r="AL2029" t="s">
        <v>19614</v>
      </c>
      <c r="AM2029">
        <v>22512</v>
      </c>
      <c r="AS2029">
        <v>0.1</v>
      </c>
      <c r="AT2029" t="s">
        <v>302</v>
      </c>
      <c r="AU2029" t="s">
        <v>108</v>
      </c>
      <c r="AV2029" t="s">
        <v>20733</v>
      </c>
    </row>
    <row r="2030" spans="1:48">
      <c r="A2030" s="1">
        <f>HYPERLINK("https://lsnyc.legalserver.org/matter/dynamic-profile/view/1882292","18-1882292")</f>
        <v>0</v>
      </c>
      <c r="B2030" t="s">
        <v>114</v>
      </c>
      <c r="C2030" t="s">
        <v>257</v>
      </c>
      <c r="D2030" t="s">
        <v>452</v>
      </c>
      <c r="E2030" t="s">
        <v>563</v>
      </c>
      <c r="F2030" t="s">
        <v>1561</v>
      </c>
      <c r="G2030" t="s">
        <v>4273</v>
      </c>
      <c r="H2030" t="s">
        <v>5907</v>
      </c>
      <c r="I2030" t="s">
        <v>8546</v>
      </c>
      <c r="J2030" t="s">
        <v>9065</v>
      </c>
      <c r="K2030">
        <v>10451</v>
      </c>
      <c r="L2030" t="s">
        <v>9094</v>
      </c>
      <c r="M2030" t="s">
        <v>9094</v>
      </c>
      <c r="N2030" t="s">
        <v>9259</v>
      </c>
      <c r="O2030" t="s">
        <v>11130</v>
      </c>
      <c r="P2030" t="s">
        <v>11165</v>
      </c>
      <c r="Q2030" t="s">
        <v>11174</v>
      </c>
      <c r="R2030" t="s">
        <v>11180</v>
      </c>
      <c r="S2030" t="s">
        <v>9094</v>
      </c>
      <c r="T2030" t="s">
        <v>11183</v>
      </c>
      <c r="V2030" t="s">
        <v>738</v>
      </c>
      <c r="W2030">
        <v>1020</v>
      </c>
      <c r="X2030" t="s">
        <v>11333</v>
      </c>
      <c r="Y2030" t="s">
        <v>11346</v>
      </c>
      <c r="Z2030" t="s">
        <v>12764</v>
      </c>
      <c r="AB2030" t="s">
        <v>17146</v>
      </c>
      <c r="AC2030">
        <v>100</v>
      </c>
      <c r="AD2030" t="s">
        <v>19566</v>
      </c>
      <c r="AE2030" t="s">
        <v>19587</v>
      </c>
      <c r="AF2030">
        <v>0</v>
      </c>
      <c r="AG2030">
        <v>1</v>
      </c>
      <c r="AH2030">
        <v>0</v>
      </c>
      <c r="AI2030">
        <v>74.63</v>
      </c>
      <c r="AL2030" t="s">
        <v>19615</v>
      </c>
      <c r="AM2030">
        <v>9060</v>
      </c>
      <c r="AS2030">
        <v>0.25</v>
      </c>
      <c r="AT2030" t="s">
        <v>563</v>
      </c>
      <c r="AU2030" t="s">
        <v>163</v>
      </c>
    </row>
    <row r="2031" spans="1:48">
      <c r="A2031" s="1">
        <f>HYPERLINK("https://lsnyc.legalserver.org/matter/dynamic-profile/view/1905954","19-1905954")</f>
        <v>0</v>
      </c>
      <c r="B2031" t="s">
        <v>138</v>
      </c>
      <c r="C2031" t="s">
        <v>256</v>
      </c>
      <c r="D2031" t="s">
        <v>329</v>
      </c>
      <c r="F2031" t="s">
        <v>1264</v>
      </c>
      <c r="G2031" t="s">
        <v>3656</v>
      </c>
      <c r="H2031" t="s">
        <v>6776</v>
      </c>
      <c r="I2031">
        <v>22</v>
      </c>
      <c r="J2031" t="s">
        <v>9067</v>
      </c>
      <c r="K2031">
        <v>10033</v>
      </c>
      <c r="L2031" t="s">
        <v>9094</v>
      </c>
      <c r="M2031" t="s">
        <v>9095</v>
      </c>
      <c r="O2031" t="s">
        <v>11136</v>
      </c>
      <c r="P2031" t="s">
        <v>11164</v>
      </c>
      <c r="R2031" t="s">
        <v>11180</v>
      </c>
      <c r="S2031" t="s">
        <v>9096</v>
      </c>
      <c r="T2031" t="s">
        <v>11183</v>
      </c>
      <c r="V2031" t="s">
        <v>329</v>
      </c>
      <c r="W2031">
        <v>1296.98</v>
      </c>
      <c r="X2031" t="s">
        <v>11335</v>
      </c>
      <c r="Y2031" t="s">
        <v>11351</v>
      </c>
      <c r="Z2031" t="s">
        <v>12765</v>
      </c>
      <c r="AB2031" t="s">
        <v>17147</v>
      </c>
      <c r="AC2031">
        <v>41</v>
      </c>
      <c r="AD2031" t="s">
        <v>19566</v>
      </c>
      <c r="AE2031" t="s">
        <v>9144</v>
      </c>
      <c r="AF2031">
        <v>26</v>
      </c>
      <c r="AG2031">
        <v>1</v>
      </c>
      <c r="AH2031">
        <v>0</v>
      </c>
      <c r="AI2031">
        <v>74.72</v>
      </c>
      <c r="AL2031" t="s">
        <v>19615</v>
      </c>
      <c r="AM2031">
        <v>9332.440000000001</v>
      </c>
      <c r="AS2031">
        <v>12.8</v>
      </c>
      <c r="AT2031" t="s">
        <v>1130</v>
      </c>
      <c r="AU2031" t="s">
        <v>130</v>
      </c>
      <c r="AV2031" t="s">
        <v>20733</v>
      </c>
    </row>
    <row r="2032" spans="1:48">
      <c r="A2032" s="1">
        <f>HYPERLINK("https://lsnyc.legalserver.org/matter/dynamic-profile/view/1844285","17-1844285")</f>
        <v>0</v>
      </c>
      <c r="B2032" t="s">
        <v>114</v>
      </c>
      <c r="C2032" t="s">
        <v>256</v>
      </c>
      <c r="D2032" t="s">
        <v>879</v>
      </c>
      <c r="F2032" t="s">
        <v>2073</v>
      </c>
      <c r="G2032" t="s">
        <v>3364</v>
      </c>
      <c r="H2032" t="s">
        <v>6766</v>
      </c>
      <c r="I2032" t="s">
        <v>8193</v>
      </c>
      <c r="J2032" t="s">
        <v>9065</v>
      </c>
      <c r="K2032">
        <v>10470</v>
      </c>
      <c r="L2032" t="s">
        <v>9094</v>
      </c>
      <c r="M2032" t="s">
        <v>9095</v>
      </c>
      <c r="N2032" t="s">
        <v>9938</v>
      </c>
      <c r="O2032" t="s">
        <v>11129</v>
      </c>
      <c r="P2032" t="s">
        <v>11165</v>
      </c>
      <c r="R2032" t="s">
        <v>11181</v>
      </c>
      <c r="S2032" t="s">
        <v>9096</v>
      </c>
      <c r="T2032" t="s">
        <v>11183</v>
      </c>
      <c r="V2032" t="s">
        <v>11232</v>
      </c>
      <c r="W2032">
        <v>1190.04</v>
      </c>
      <c r="X2032" t="s">
        <v>11333</v>
      </c>
      <c r="Y2032" t="s">
        <v>11337</v>
      </c>
      <c r="Z2032" t="s">
        <v>12749</v>
      </c>
      <c r="AA2032" t="s">
        <v>15643</v>
      </c>
      <c r="AB2032" t="s">
        <v>17132</v>
      </c>
      <c r="AC2032">
        <v>6</v>
      </c>
      <c r="AD2032" t="s">
        <v>19566</v>
      </c>
      <c r="AE2032" t="s">
        <v>19580</v>
      </c>
      <c r="AF2032">
        <v>5</v>
      </c>
      <c r="AG2032">
        <v>1</v>
      </c>
      <c r="AH2032">
        <v>0</v>
      </c>
      <c r="AI2032">
        <v>74.73</v>
      </c>
      <c r="AJ2032" t="s">
        <v>19591</v>
      </c>
      <c r="AK2032" t="s">
        <v>19608</v>
      </c>
      <c r="AL2032" t="s">
        <v>19614</v>
      </c>
      <c r="AM2032">
        <v>9012</v>
      </c>
      <c r="AS2032">
        <v>47.3</v>
      </c>
      <c r="AT2032" t="s">
        <v>332</v>
      </c>
      <c r="AU2032" t="s">
        <v>228</v>
      </c>
    </row>
    <row r="2033" spans="1:48">
      <c r="A2033" s="1">
        <f>HYPERLINK("https://lsnyc.legalserver.org/matter/dynamic-profile/view/0781949","15-0781949")</f>
        <v>0</v>
      </c>
      <c r="B2033" t="s">
        <v>101</v>
      </c>
      <c r="C2033" t="s">
        <v>256</v>
      </c>
      <c r="D2033" t="s">
        <v>880</v>
      </c>
      <c r="F2033" t="s">
        <v>2057</v>
      </c>
      <c r="G2033" t="s">
        <v>4260</v>
      </c>
      <c r="H2033" t="s">
        <v>6515</v>
      </c>
      <c r="I2033" t="s">
        <v>8527</v>
      </c>
      <c r="J2033" t="s">
        <v>9065</v>
      </c>
      <c r="K2033">
        <v>10453</v>
      </c>
      <c r="L2033" t="s">
        <v>9094</v>
      </c>
      <c r="M2033" t="s">
        <v>9095</v>
      </c>
      <c r="O2033" t="s">
        <v>11145</v>
      </c>
      <c r="P2033" t="s">
        <v>11168</v>
      </c>
      <c r="R2033" t="s">
        <v>11180</v>
      </c>
      <c r="S2033" t="s">
        <v>9096</v>
      </c>
      <c r="T2033" t="s">
        <v>11190</v>
      </c>
      <c r="V2033" t="s">
        <v>11221</v>
      </c>
      <c r="W2033">
        <v>1600</v>
      </c>
      <c r="X2033" t="s">
        <v>11333</v>
      </c>
      <c r="Y2033" t="s">
        <v>11338</v>
      </c>
      <c r="Z2033" t="s">
        <v>12712</v>
      </c>
      <c r="AB2033" t="s">
        <v>17089</v>
      </c>
      <c r="AC2033">
        <v>0</v>
      </c>
      <c r="AF2033">
        <v>24</v>
      </c>
      <c r="AG2033">
        <v>1</v>
      </c>
      <c r="AH2033">
        <v>0</v>
      </c>
      <c r="AI2033">
        <v>74.73</v>
      </c>
      <c r="AL2033" t="s">
        <v>19614</v>
      </c>
      <c r="AM2033">
        <v>8796</v>
      </c>
      <c r="AS2033">
        <v>42</v>
      </c>
      <c r="AT2033" t="s">
        <v>561</v>
      </c>
      <c r="AU2033" t="s">
        <v>20703</v>
      </c>
    </row>
    <row r="2034" spans="1:48">
      <c r="A2034" s="1">
        <f>HYPERLINK("https://lsnyc.legalserver.org/matter/dynamic-profile/view/1890485","19-1890485")</f>
        <v>0</v>
      </c>
      <c r="B2034" t="s">
        <v>52</v>
      </c>
      <c r="C2034" t="s">
        <v>256</v>
      </c>
      <c r="D2034" t="s">
        <v>482</v>
      </c>
      <c r="F2034" t="s">
        <v>1173</v>
      </c>
      <c r="G2034" t="s">
        <v>4289</v>
      </c>
      <c r="H2034" t="s">
        <v>6688</v>
      </c>
      <c r="I2034" t="s">
        <v>8547</v>
      </c>
      <c r="J2034" t="s">
        <v>9038</v>
      </c>
      <c r="K2034">
        <v>11691</v>
      </c>
      <c r="L2034" t="s">
        <v>9095</v>
      </c>
      <c r="M2034" t="s">
        <v>9095</v>
      </c>
      <c r="O2034" t="s">
        <v>9121</v>
      </c>
      <c r="P2034" t="s">
        <v>11165</v>
      </c>
      <c r="R2034" t="s">
        <v>11180</v>
      </c>
      <c r="S2034" t="s">
        <v>9096</v>
      </c>
      <c r="T2034" t="s">
        <v>11183</v>
      </c>
      <c r="U2034" t="s">
        <v>11201</v>
      </c>
      <c r="W2034">
        <v>155</v>
      </c>
      <c r="X2034" t="s">
        <v>11331</v>
      </c>
      <c r="Y2034" t="s">
        <v>11354</v>
      </c>
      <c r="Z2034" t="s">
        <v>12766</v>
      </c>
      <c r="AB2034" t="s">
        <v>17148</v>
      </c>
      <c r="AC2034">
        <v>200</v>
      </c>
      <c r="AD2034" t="s">
        <v>19566</v>
      </c>
      <c r="AE2034" t="s">
        <v>9144</v>
      </c>
      <c r="AF2034">
        <v>19</v>
      </c>
      <c r="AG2034">
        <v>1</v>
      </c>
      <c r="AH2034">
        <v>0</v>
      </c>
      <c r="AI2034">
        <v>74.75</v>
      </c>
      <c r="AL2034" t="s">
        <v>19614</v>
      </c>
      <c r="AM2034">
        <v>9336</v>
      </c>
      <c r="AS2034">
        <v>10.4</v>
      </c>
      <c r="AT2034" t="s">
        <v>483</v>
      </c>
      <c r="AU2034" t="s">
        <v>20635</v>
      </c>
    </row>
    <row r="2035" spans="1:48">
      <c r="A2035" s="1">
        <f>HYPERLINK("https://lsnyc.legalserver.org/matter/dynamic-profile/view/1914886","19-1914886")</f>
        <v>0</v>
      </c>
      <c r="B2035" t="s">
        <v>95</v>
      </c>
      <c r="C2035" t="s">
        <v>257</v>
      </c>
      <c r="D2035" t="s">
        <v>331</v>
      </c>
      <c r="E2035" t="s">
        <v>377</v>
      </c>
      <c r="F2035" t="s">
        <v>1264</v>
      </c>
      <c r="G2035" t="s">
        <v>1532</v>
      </c>
      <c r="H2035" t="s">
        <v>6777</v>
      </c>
      <c r="I2035" t="s">
        <v>8288</v>
      </c>
      <c r="J2035" t="s">
        <v>9059</v>
      </c>
      <c r="K2035">
        <v>11212</v>
      </c>
      <c r="L2035" t="s">
        <v>9096</v>
      </c>
      <c r="M2035" t="s">
        <v>9095</v>
      </c>
      <c r="N2035" t="s">
        <v>9102</v>
      </c>
      <c r="O2035" t="s">
        <v>9121</v>
      </c>
      <c r="P2035" t="s">
        <v>11164</v>
      </c>
      <c r="Q2035" t="s">
        <v>11172</v>
      </c>
      <c r="R2035" t="s">
        <v>11180</v>
      </c>
      <c r="S2035" t="s">
        <v>9096</v>
      </c>
      <c r="T2035" t="s">
        <v>11183</v>
      </c>
      <c r="U2035" t="s">
        <v>11201</v>
      </c>
      <c r="W2035">
        <v>1600</v>
      </c>
      <c r="X2035" t="s">
        <v>11332</v>
      </c>
      <c r="Z2035" t="s">
        <v>12767</v>
      </c>
      <c r="AA2035" t="s">
        <v>10769</v>
      </c>
      <c r="AB2035" t="s">
        <v>17149</v>
      </c>
      <c r="AC2035">
        <v>20</v>
      </c>
      <c r="AD2035" t="s">
        <v>19567</v>
      </c>
      <c r="AE2035" t="s">
        <v>19580</v>
      </c>
      <c r="AF2035">
        <v>6</v>
      </c>
      <c r="AG2035">
        <v>1</v>
      </c>
      <c r="AH2035">
        <v>0</v>
      </c>
      <c r="AI2035">
        <v>74.75</v>
      </c>
      <c r="AL2035" t="s">
        <v>19614</v>
      </c>
      <c r="AM2035">
        <v>9336</v>
      </c>
      <c r="AN2035" t="s">
        <v>19836</v>
      </c>
      <c r="AS2035">
        <v>1</v>
      </c>
      <c r="AT2035" t="s">
        <v>331</v>
      </c>
      <c r="AU2035" t="s">
        <v>20639</v>
      </c>
      <c r="AV2035" t="s">
        <v>9144</v>
      </c>
    </row>
    <row r="2036" spans="1:48">
      <c r="A2036" s="1">
        <f>HYPERLINK("https://lsnyc.legalserver.org/matter/dynamic-profile/view/0812626","16-0812626")</f>
        <v>0</v>
      </c>
      <c r="B2036" t="s">
        <v>108</v>
      </c>
      <c r="C2036" t="s">
        <v>256</v>
      </c>
      <c r="D2036" t="s">
        <v>881</v>
      </c>
      <c r="F2036" t="s">
        <v>1146</v>
      </c>
      <c r="G2036" t="s">
        <v>4290</v>
      </c>
      <c r="H2036" t="s">
        <v>6526</v>
      </c>
      <c r="I2036" t="s">
        <v>8212</v>
      </c>
      <c r="J2036" t="s">
        <v>9065</v>
      </c>
      <c r="K2036">
        <v>10452</v>
      </c>
      <c r="L2036" t="s">
        <v>9094</v>
      </c>
      <c r="M2036" t="s">
        <v>9095</v>
      </c>
      <c r="N2036" t="s">
        <v>9749</v>
      </c>
      <c r="O2036" t="s">
        <v>11135</v>
      </c>
      <c r="P2036" t="s">
        <v>11168</v>
      </c>
      <c r="R2036" t="s">
        <v>11180</v>
      </c>
      <c r="S2036" t="s">
        <v>9094</v>
      </c>
      <c r="T2036" t="s">
        <v>11183</v>
      </c>
      <c r="V2036" t="s">
        <v>11234</v>
      </c>
      <c r="W2036">
        <v>731.3099999999999</v>
      </c>
      <c r="X2036" t="s">
        <v>11333</v>
      </c>
      <c r="Y2036" t="s">
        <v>11346</v>
      </c>
      <c r="Z2036" t="s">
        <v>12768</v>
      </c>
      <c r="AB2036" t="s">
        <v>17150</v>
      </c>
      <c r="AC2036">
        <v>63</v>
      </c>
      <c r="AD2036" t="s">
        <v>19566</v>
      </c>
      <c r="AE2036" t="s">
        <v>19587</v>
      </c>
      <c r="AF2036">
        <v>29</v>
      </c>
      <c r="AG2036">
        <v>1</v>
      </c>
      <c r="AH2036">
        <v>0</v>
      </c>
      <c r="AI2036">
        <v>74.75</v>
      </c>
      <c r="AL2036" t="s">
        <v>19615</v>
      </c>
      <c r="AM2036">
        <v>8880</v>
      </c>
      <c r="AS2036">
        <v>0.7</v>
      </c>
      <c r="AT2036" t="s">
        <v>626</v>
      </c>
      <c r="AU2036" t="s">
        <v>20647</v>
      </c>
    </row>
    <row r="2037" spans="1:48">
      <c r="A2037" s="1">
        <f>HYPERLINK("https://lsnyc.legalserver.org/matter/dynamic-profile/view/1914971","19-1914971")</f>
        <v>0</v>
      </c>
      <c r="B2037" t="s">
        <v>136</v>
      </c>
      <c r="C2037" t="s">
        <v>256</v>
      </c>
      <c r="D2037" t="s">
        <v>377</v>
      </c>
      <c r="F2037" t="s">
        <v>2083</v>
      </c>
      <c r="G2037" t="s">
        <v>4291</v>
      </c>
      <c r="H2037" t="s">
        <v>6778</v>
      </c>
      <c r="I2037" t="s">
        <v>8140</v>
      </c>
      <c r="J2037" t="s">
        <v>9067</v>
      </c>
      <c r="K2037">
        <v>10035</v>
      </c>
      <c r="L2037" t="s">
        <v>9094</v>
      </c>
      <c r="M2037" t="s">
        <v>9095</v>
      </c>
      <c r="O2037" t="s">
        <v>9121</v>
      </c>
      <c r="P2037" t="s">
        <v>11169</v>
      </c>
      <c r="R2037" t="s">
        <v>11180</v>
      </c>
      <c r="S2037" t="s">
        <v>9096</v>
      </c>
      <c r="T2037" t="s">
        <v>11183</v>
      </c>
      <c r="U2037" t="s">
        <v>11201</v>
      </c>
      <c r="V2037" t="s">
        <v>377</v>
      </c>
      <c r="W2037">
        <v>399.05</v>
      </c>
      <c r="X2037" t="s">
        <v>11335</v>
      </c>
      <c r="Y2037" t="s">
        <v>11340</v>
      </c>
      <c r="Z2037" t="s">
        <v>12769</v>
      </c>
      <c r="AB2037" t="s">
        <v>17151</v>
      </c>
      <c r="AC2037">
        <v>20</v>
      </c>
      <c r="AD2037" t="s">
        <v>19566</v>
      </c>
      <c r="AE2037" t="s">
        <v>9144</v>
      </c>
      <c r="AF2037">
        <v>41</v>
      </c>
      <c r="AG2037">
        <v>1</v>
      </c>
      <c r="AH2037">
        <v>0</v>
      </c>
      <c r="AI2037">
        <v>74.75</v>
      </c>
      <c r="AL2037" t="s">
        <v>19614</v>
      </c>
      <c r="AM2037">
        <v>9336</v>
      </c>
      <c r="AS2037">
        <v>1.5</v>
      </c>
      <c r="AT2037" t="s">
        <v>377</v>
      </c>
      <c r="AU2037" t="s">
        <v>20657</v>
      </c>
      <c r="AV2037" t="s">
        <v>20733</v>
      </c>
    </row>
    <row r="2038" spans="1:48">
      <c r="A2038" s="1">
        <f>HYPERLINK("https://lsnyc.legalserver.org/matter/dynamic-profile/view/1861365","18-1861365")</f>
        <v>0</v>
      </c>
      <c r="B2038" t="s">
        <v>149</v>
      </c>
      <c r="C2038" t="s">
        <v>257</v>
      </c>
      <c r="D2038" t="s">
        <v>882</v>
      </c>
      <c r="E2038" t="s">
        <v>703</v>
      </c>
      <c r="F2038" t="s">
        <v>2084</v>
      </c>
      <c r="G2038" t="s">
        <v>4292</v>
      </c>
      <c r="H2038" t="s">
        <v>6779</v>
      </c>
      <c r="I2038">
        <v>507</v>
      </c>
      <c r="J2038" t="s">
        <v>9067</v>
      </c>
      <c r="K2038">
        <v>10037</v>
      </c>
      <c r="L2038" t="s">
        <v>9094</v>
      </c>
      <c r="M2038" t="s">
        <v>9095</v>
      </c>
      <c r="N2038" t="s">
        <v>9939</v>
      </c>
      <c r="O2038" t="s">
        <v>11128</v>
      </c>
      <c r="P2038" t="s">
        <v>11164</v>
      </c>
      <c r="Q2038" t="s">
        <v>11172</v>
      </c>
      <c r="R2038" t="s">
        <v>11180</v>
      </c>
      <c r="S2038" t="s">
        <v>9096</v>
      </c>
      <c r="T2038" t="s">
        <v>11183</v>
      </c>
      <c r="V2038" t="s">
        <v>673</v>
      </c>
      <c r="W2038">
        <v>1720.8</v>
      </c>
      <c r="X2038" t="s">
        <v>11335</v>
      </c>
      <c r="Y2038" t="s">
        <v>11338</v>
      </c>
      <c r="Z2038" t="s">
        <v>12082</v>
      </c>
      <c r="AB2038" t="s">
        <v>17152</v>
      </c>
      <c r="AC2038">
        <v>173</v>
      </c>
      <c r="AD2038" t="s">
        <v>19566</v>
      </c>
      <c r="AE2038" t="s">
        <v>19580</v>
      </c>
      <c r="AF2038">
        <v>4</v>
      </c>
      <c r="AG2038">
        <v>2</v>
      </c>
      <c r="AH2038">
        <v>3</v>
      </c>
      <c r="AI2038">
        <v>74.78</v>
      </c>
      <c r="AL2038" t="s">
        <v>19614</v>
      </c>
      <c r="AM2038">
        <v>22000</v>
      </c>
      <c r="AS2038">
        <v>0.1</v>
      </c>
      <c r="AT2038" t="s">
        <v>703</v>
      </c>
      <c r="AU2038" t="s">
        <v>20680</v>
      </c>
    </row>
    <row r="2039" spans="1:48">
      <c r="A2039" s="1">
        <f>HYPERLINK("https://lsnyc.legalserver.org/matter/dynamic-profile/view/1892304","19-1892304")</f>
        <v>0</v>
      </c>
      <c r="B2039" t="s">
        <v>115</v>
      </c>
      <c r="C2039" t="s">
        <v>257</v>
      </c>
      <c r="D2039" t="s">
        <v>473</v>
      </c>
      <c r="E2039" t="s">
        <v>669</v>
      </c>
      <c r="F2039" t="s">
        <v>1450</v>
      </c>
      <c r="G2039" t="s">
        <v>4156</v>
      </c>
      <c r="H2039" t="s">
        <v>6780</v>
      </c>
      <c r="I2039" t="s">
        <v>8212</v>
      </c>
      <c r="J2039" t="s">
        <v>9065</v>
      </c>
      <c r="K2039">
        <v>10451</v>
      </c>
      <c r="L2039" t="s">
        <v>9094</v>
      </c>
      <c r="M2039" t="s">
        <v>9094</v>
      </c>
      <c r="O2039" t="s">
        <v>11130</v>
      </c>
      <c r="P2039" t="s">
        <v>11164</v>
      </c>
      <c r="Q2039" t="s">
        <v>11172</v>
      </c>
      <c r="R2039" t="s">
        <v>11180</v>
      </c>
      <c r="S2039" t="s">
        <v>9096</v>
      </c>
      <c r="T2039" t="s">
        <v>11183</v>
      </c>
      <c r="U2039" t="s">
        <v>11201</v>
      </c>
      <c r="V2039" t="s">
        <v>473</v>
      </c>
      <c r="W2039">
        <v>0</v>
      </c>
      <c r="X2039" t="s">
        <v>11333</v>
      </c>
      <c r="Z2039" t="s">
        <v>11727</v>
      </c>
      <c r="AB2039" t="s">
        <v>17153</v>
      </c>
      <c r="AC2039">
        <v>0</v>
      </c>
      <c r="AD2039" t="s">
        <v>19566</v>
      </c>
      <c r="AF2039">
        <v>0</v>
      </c>
      <c r="AG2039">
        <v>2</v>
      </c>
      <c r="AH2039">
        <v>1</v>
      </c>
      <c r="AI2039">
        <v>74.81999999999999</v>
      </c>
      <c r="AL2039" t="s">
        <v>19615</v>
      </c>
      <c r="AM2039">
        <v>15960</v>
      </c>
      <c r="AS2039">
        <v>0.2</v>
      </c>
      <c r="AT2039" t="s">
        <v>669</v>
      </c>
      <c r="AU2039" t="s">
        <v>115</v>
      </c>
      <c r="AV2039" t="s">
        <v>20733</v>
      </c>
    </row>
    <row r="2040" spans="1:48">
      <c r="A2040" s="1">
        <f>HYPERLINK("https://lsnyc.legalserver.org/matter/dynamic-profile/view/0812500","16-0812500")</f>
        <v>0</v>
      </c>
      <c r="B2040" t="s">
        <v>108</v>
      </c>
      <c r="C2040" t="s">
        <v>256</v>
      </c>
      <c r="D2040" t="s">
        <v>883</v>
      </c>
      <c r="F2040" t="s">
        <v>1611</v>
      </c>
      <c r="G2040" t="s">
        <v>4293</v>
      </c>
      <c r="H2040" t="s">
        <v>6526</v>
      </c>
      <c r="I2040" t="s">
        <v>8218</v>
      </c>
      <c r="J2040" t="s">
        <v>9065</v>
      </c>
      <c r="K2040">
        <v>10452</v>
      </c>
      <c r="L2040" t="s">
        <v>9094</v>
      </c>
      <c r="M2040" t="s">
        <v>9095</v>
      </c>
      <c r="N2040" t="s">
        <v>9749</v>
      </c>
      <c r="O2040" t="s">
        <v>11135</v>
      </c>
      <c r="P2040" t="s">
        <v>11168</v>
      </c>
      <c r="R2040" t="s">
        <v>11180</v>
      </c>
      <c r="S2040" t="s">
        <v>9094</v>
      </c>
      <c r="T2040" t="s">
        <v>11183</v>
      </c>
      <c r="V2040" t="s">
        <v>11234</v>
      </c>
      <c r="W2040">
        <v>665.86</v>
      </c>
      <c r="X2040" t="s">
        <v>11333</v>
      </c>
      <c r="Y2040" t="s">
        <v>11346</v>
      </c>
      <c r="Z2040" t="s">
        <v>12770</v>
      </c>
      <c r="AB2040" t="s">
        <v>17154</v>
      </c>
      <c r="AC2040">
        <v>63</v>
      </c>
      <c r="AD2040" t="s">
        <v>19566</v>
      </c>
      <c r="AE2040" t="s">
        <v>9144</v>
      </c>
      <c r="AF2040">
        <v>22</v>
      </c>
      <c r="AG2040">
        <v>2</v>
      </c>
      <c r="AH2040">
        <v>0</v>
      </c>
      <c r="AI2040">
        <v>74.83</v>
      </c>
      <c r="AL2040" t="s">
        <v>19615</v>
      </c>
      <c r="AM2040">
        <v>11988</v>
      </c>
      <c r="AS2040">
        <v>0.2</v>
      </c>
      <c r="AT2040" t="s">
        <v>1122</v>
      </c>
      <c r="AU2040" t="s">
        <v>20647</v>
      </c>
    </row>
    <row r="2041" spans="1:48">
      <c r="A2041" s="1">
        <f>HYPERLINK("https://lsnyc.legalserver.org/matter/dynamic-profile/view/1903330","19-1903330")</f>
        <v>0</v>
      </c>
      <c r="B2041" t="s">
        <v>83</v>
      </c>
      <c r="C2041" t="s">
        <v>256</v>
      </c>
      <c r="D2041" t="s">
        <v>302</v>
      </c>
      <c r="F2041" t="s">
        <v>1276</v>
      </c>
      <c r="G2041" t="s">
        <v>4294</v>
      </c>
      <c r="H2041" t="s">
        <v>6781</v>
      </c>
      <c r="J2041" t="s">
        <v>9059</v>
      </c>
      <c r="K2041">
        <v>11220</v>
      </c>
      <c r="L2041" t="s">
        <v>9094</v>
      </c>
      <c r="M2041" t="s">
        <v>9095</v>
      </c>
      <c r="P2041" t="s">
        <v>11165</v>
      </c>
      <c r="R2041" t="s">
        <v>11180</v>
      </c>
      <c r="S2041" t="s">
        <v>9096</v>
      </c>
      <c r="T2041" t="s">
        <v>11183</v>
      </c>
      <c r="V2041" t="s">
        <v>302</v>
      </c>
      <c r="W2041">
        <v>0</v>
      </c>
      <c r="X2041" t="s">
        <v>11332</v>
      </c>
      <c r="Z2041" t="s">
        <v>12771</v>
      </c>
      <c r="AC2041">
        <v>0</v>
      </c>
      <c r="AF2041">
        <v>0</v>
      </c>
      <c r="AG2041">
        <v>1</v>
      </c>
      <c r="AH2041">
        <v>1</v>
      </c>
      <c r="AI2041">
        <v>74.87</v>
      </c>
      <c r="AL2041" t="s">
        <v>19614</v>
      </c>
      <c r="AM2041">
        <v>12660</v>
      </c>
      <c r="AS2041">
        <v>1.2</v>
      </c>
      <c r="AT2041" t="s">
        <v>736</v>
      </c>
      <c r="AU2041" t="s">
        <v>215</v>
      </c>
      <c r="AV2041" t="s">
        <v>20733</v>
      </c>
    </row>
    <row r="2042" spans="1:48">
      <c r="A2042" s="1">
        <f>HYPERLINK("https://lsnyc.legalserver.org/matter/dynamic-profile/view/0808625","16-0808625")</f>
        <v>0</v>
      </c>
      <c r="B2042" t="s">
        <v>138</v>
      </c>
      <c r="C2042" t="s">
        <v>256</v>
      </c>
      <c r="D2042" t="s">
        <v>884</v>
      </c>
      <c r="F2042" t="s">
        <v>2085</v>
      </c>
      <c r="G2042" t="s">
        <v>4295</v>
      </c>
      <c r="H2042" t="s">
        <v>6782</v>
      </c>
      <c r="I2042" t="s">
        <v>8112</v>
      </c>
      <c r="J2042" t="s">
        <v>9067</v>
      </c>
      <c r="K2042">
        <v>10035</v>
      </c>
      <c r="L2042" t="s">
        <v>9094</v>
      </c>
      <c r="M2042" t="s">
        <v>9095</v>
      </c>
      <c r="N2042" t="s">
        <v>9940</v>
      </c>
      <c r="O2042" t="s">
        <v>11128</v>
      </c>
      <c r="P2042" t="s">
        <v>11165</v>
      </c>
      <c r="R2042" t="s">
        <v>11180</v>
      </c>
      <c r="S2042" t="s">
        <v>9096</v>
      </c>
      <c r="T2042" t="s">
        <v>11183</v>
      </c>
      <c r="V2042" t="s">
        <v>11261</v>
      </c>
      <c r="W2042">
        <v>400</v>
      </c>
      <c r="X2042" t="s">
        <v>11335</v>
      </c>
      <c r="Y2042" t="s">
        <v>11350</v>
      </c>
      <c r="Z2042" t="s">
        <v>12772</v>
      </c>
      <c r="AB2042" t="s">
        <v>17155</v>
      </c>
      <c r="AC2042">
        <v>142</v>
      </c>
      <c r="AD2042" t="s">
        <v>19565</v>
      </c>
      <c r="AE2042" t="s">
        <v>19580</v>
      </c>
      <c r="AF2042">
        <v>30</v>
      </c>
      <c r="AG2042">
        <v>2</v>
      </c>
      <c r="AH2042">
        <v>2</v>
      </c>
      <c r="AI2042">
        <v>74.90000000000001</v>
      </c>
      <c r="AL2042" t="s">
        <v>19614</v>
      </c>
      <c r="AM2042">
        <v>18200</v>
      </c>
      <c r="AS2042">
        <v>110.35</v>
      </c>
      <c r="AT2042" t="s">
        <v>649</v>
      </c>
      <c r="AU2042" t="s">
        <v>20657</v>
      </c>
    </row>
    <row r="2043" spans="1:48">
      <c r="A2043" s="1">
        <f>HYPERLINK("https://lsnyc.legalserver.org/matter/dynamic-profile/view/1841709","17-1841709")</f>
        <v>0</v>
      </c>
      <c r="B2043" t="s">
        <v>111</v>
      </c>
      <c r="C2043" t="s">
        <v>256</v>
      </c>
      <c r="D2043" t="s">
        <v>885</v>
      </c>
      <c r="F2043" t="s">
        <v>1700</v>
      </c>
      <c r="G2043" t="s">
        <v>4284</v>
      </c>
      <c r="H2043" t="s">
        <v>6705</v>
      </c>
      <c r="I2043" t="s">
        <v>8543</v>
      </c>
      <c r="J2043" t="s">
        <v>9065</v>
      </c>
      <c r="K2043">
        <v>10452</v>
      </c>
      <c r="L2043" t="s">
        <v>9094</v>
      </c>
      <c r="M2043" t="s">
        <v>9094</v>
      </c>
      <c r="N2043" t="s">
        <v>9941</v>
      </c>
      <c r="O2043" t="s">
        <v>11135</v>
      </c>
      <c r="P2043" t="s">
        <v>11168</v>
      </c>
      <c r="R2043" t="s">
        <v>11180</v>
      </c>
      <c r="S2043" t="s">
        <v>9096</v>
      </c>
      <c r="T2043" t="s">
        <v>11183</v>
      </c>
      <c r="V2043" t="s">
        <v>11216</v>
      </c>
      <c r="W2043">
        <v>1005</v>
      </c>
      <c r="X2043" t="s">
        <v>11333</v>
      </c>
      <c r="Y2043" t="s">
        <v>11340</v>
      </c>
      <c r="Z2043" t="s">
        <v>12756</v>
      </c>
      <c r="AA2043" t="s">
        <v>15645</v>
      </c>
      <c r="AB2043" t="s">
        <v>17140</v>
      </c>
      <c r="AC2043">
        <v>54</v>
      </c>
      <c r="AD2043" t="s">
        <v>19566</v>
      </c>
      <c r="AE2043" t="s">
        <v>19580</v>
      </c>
      <c r="AF2043">
        <v>15</v>
      </c>
      <c r="AG2043">
        <v>1</v>
      </c>
      <c r="AH2043">
        <v>0</v>
      </c>
      <c r="AI2043">
        <v>74.93000000000001</v>
      </c>
      <c r="AL2043" t="s">
        <v>19615</v>
      </c>
      <c r="AM2043">
        <v>9036</v>
      </c>
      <c r="AS2043">
        <v>8.85</v>
      </c>
      <c r="AT2043" t="s">
        <v>370</v>
      </c>
      <c r="AU2043" t="s">
        <v>20704</v>
      </c>
    </row>
    <row r="2044" spans="1:48">
      <c r="A2044" s="1">
        <f>HYPERLINK("https://lsnyc.legalserver.org/matter/dynamic-profile/view/1906376","19-1906376")</f>
        <v>0</v>
      </c>
      <c r="B2044" t="s">
        <v>79</v>
      </c>
      <c r="C2044" t="s">
        <v>257</v>
      </c>
      <c r="D2044" t="s">
        <v>493</v>
      </c>
      <c r="E2044" t="s">
        <v>636</v>
      </c>
      <c r="F2044" t="s">
        <v>2086</v>
      </c>
      <c r="G2044" t="s">
        <v>4296</v>
      </c>
      <c r="H2044" t="s">
        <v>6783</v>
      </c>
      <c r="I2044" t="s">
        <v>8161</v>
      </c>
      <c r="J2044" t="s">
        <v>9059</v>
      </c>
      <c r="K2044">
        <v>11207</v>
      </c>
      <c r="L2044" t="s">
        <v>9096</v>
      </c>
      <c r="M2044" t="s">
        <v>9095</v>
      </c>
      <c r="N2044" t="s">
        <v>9121</v>
      </c>
      <c r="O2044" t="s">
        <v>9121</v>
      </c>
      <c r="P2044" t="s">
        <v>11164</v>
      </c>
      <c r="Q2044" t="s">
        <v>11172</v>
      </c>
      <c r="R2044" t="s">
        <v>11180</v>
      </c>
      <c r="S2044" t="s">
        <v>9096</v>
      </c>
      <c r="T2044" t="s">
        <v>11183</v>
      </c>
      <c r="W2044">
        <v>2400</v>
      </c>
      <c r="X2044" t="s">
        <v>11332</v>
      </c>
      <c r="Z2044" t="s">
        <v>12773</v>
      </c>
      <c r="AB2044" t="s">
        <v>17156</v>
      </c>
      <c r="AC2044">
        <v>8</v>
      </c>
      <c r="AD2044" t="s">
        <v>19566</v>
      </c>
      <c r="AE2044" t="s">
        <v>9144</v>
      </c>
      <c r="AF2044">
        <v>4</v>
      </c>
      <c r="AG2044">
        <v>1</v>
      </c>
      <c r="AH2044">
        <v>0</v>
      </c>
      <c r="AI2044">
        <v>74.94</v>
      </c>
      <c r="AL2044" t="s">
        <v>19615</v>
      </c>
      <c r="AM2044">
        <v>9360</v>
      </c>
      <c r="AN2044" t="s">
        <v>19837</v>
      </c>
      <c r="AS2044">
        <v>1</v>
      </c>
      <c r="AT2044" t="s">
        <v>493</v>
      </c>
      <c r="AU2044" t="s">
        <v>20627</v>
      </c>
      <c r="AV2044" t="s">
        <v>9144</v>
      </c>
    </row>
    <row r="2045" spans="1:48">
      <c r="A2045" s="1">
        <f>HYPERLINK("https://lsnyc.legalserver.org/matter/dynamic-profile/view/1905047","19-1905047")</f>
        <v>0</v>
      </c>
      <c r="B2045" t="s">
        <v>114</v>
      </c>
      <c r="C2045" t="s">
        <v>256</v>
      </c>
      <c r="D2045" t="s">
        <v>367</v>
      </c>
      <c r="F2045" t="s">
        <v>1266</v>
      </c>
      <c r="G2045" t="s">
        <v>4277</v>
      </c>
      <c r="H2045" t="s">
        <v>6762</v>
      </c>
      <c r="I2045" t="s">
        <v>8446</v>
      </c>
      <c r="J2045" t="s">
        <v>9065</v>
      </c>
      <c r="K2045">
        <v>10453</v>
      </c>
      <c r="L2045" t="s">
        <v>9095</v>
      </c>
      <c r="M2045" t="s">
        <v>9095</v>
      </c>
      <c r="R2045" t="s">
        <v>11180</v>
      </c>
      <c r="T2045" t="s">
        <v>11183</v>
      </c>
      <c r="W2045">
        <v>963.8</v>
      </c>
      <c r="X2045" t="s">
        <v>11333</v>
      </c>
      <c r="Y2045" t="s">
        <v>11340</v>
      </c>
      <c r="Z2045" t="s">
        <v>12742</v>
      </c>
      <c r="AB2045" t="s">
        <v>17157</v>
      </c>
      <c r="AC2045">
        <v>100</v>
      </c>
      <c r="AD2045" t="s">
        <v>19569</v>
      </c>
      <c r="AE2045" t="s">
        <v>19580</v>
      </c>
      <c r="AF2045">
        <v>28</v>
      </c>
      <c r="AG2045">
        <v>1</v>
      </c>
      <c r="AH2045">
        <v>0</v>
      </c>
      <c r="AI2045">
        <v>74.94</v>
      </c>
      <c r="AL2045" t="s">
        <v>19614</v>
      </c>
      <c r="AM2045">
        <v>9360</v>
      </c>
      <c r="AN2045" t="s">
        <v>19838</v>
      </c>
      <c r="AS2045">
        <v>13</v>
      </c>
      <c r="AT2045" t="s">
        <v>484</v>
      </c>
      <c r="AU2045" t="s">
        <v>20639</v>
      </c>
    </row>
    <row r="2046" spans="1:48">
      <c r="A2046" s="1">
        <f>HYPERLINK("https://lsnyc.legalserver.org/matter/dynamic-profile/view/1914134","19-1914134")</f>
        <v>0</v>
      </c>
      <c r="B2046" t="s">
        <v>132</v>
      </c>
      <c r="C2046" t="s">
        <v>256</v>
      </c>
      <c r="D2046" t="s">
        <v>395</v>
      </c>
      <c r="F2046" t="s">
        <v>1461</v>
      </c>
      <c r="G2046" t="s">
        <v>4297</v>
      </c>
      <c r="H2046" t="s">
        <v>6784</v>
      </c>
      <c r="I2046">
        <v>54</v>
      </c>
      <c r="J2046" t="s">
        <v>9067</v>
      </c>
      <c r="K2046">
        <v>10034</v>
      </c>
      <c r="L2046" t="s">
        <v>9094</v>
      </c>
      <c r="M2046" t="s">
        <v>9095</v>
      </c>
      <c r="P2046" t="s">
        <v>11169</v>
      </c>
      <c r="R2046" t="s">
        <v>11180</v>
      </c>
      <c r="S2046" t="s">
        <v>9096</v>
      </c>
      <c r="T2046" t="s">
        <v>11183</v>
      </c>
      <c r="V2046" t="s">
        <v>395</v>
      </c>
      <c r="W2046">
        <v>1840</v>
      </c>
      <c r="X2046" t="s">
        <v>11335</v>
      </c>
      <c r="Y2046" t="s">
        <v>11338</v>
      </c>
      <c r="Z2046" t="s">
        <v>12774</v>
      </c>
      <c r="AB2046" t="s">
        <v>17158</v>
      </c>
      <c r="AC2046">
        <v>28</v>
      </c>
      <c r="AD2046" t="s">
        <v>19566</v>
      </c>
      <c r="AE2046" t="s">
        <v>9144</v>
      </c>
      <c r="AF2046">
        <v>8</v>
      </c>
      <c r="AG2046">
        <v>1</v>
      </c>
      <c r="AH2046">
        <v>0</v>
      </c>
      <c r="AI2046">
        <v>74.94</v>
      </c>
      <c r="AL2046" t="s">
        <v>19614</v>
      </c>
      <c r="AM2046">
        <v>9360</v>
      </c>
      <c r="AS2046">
        <v>1</v>
      </c>
      <c r="AT2046" t="s">
        <v>270</v>
      </c>
      <c r="AU2046" t="s">
        <v>130</v>
      </c>
      <c r="AV2046" t="s">
        <v>20733</v>
      </c>
    </row>
    <row r="2047" spans="1:48">
      <c r="A2047" s="1">
        <f>HYPERLINK("https://lsnyc.legalserver.org/matter/dynamic-profile/view/1878656","18-1878656")</f>
        <v>0</v>
      </c>
      <c r="B2047" t="s">
        <v>78</v>
      </c>
      <c r="C2047" t="s">
        <v>256</v>
      </c>
      <c r="D2047" t="s">
        <v>346</v>
      </c>
      <c r="F2047" t="s">
        <v>2037</v>
      </c>
      <c r="G2047" t="s">
        <v>3702</v>
      </c>
      <c r="H2047" t="s">
        <v>6712</v>
      </c>
      <c r="I2047" t="s">
        <v>8134</v>
      </c>
      <c r="J2047" t="s">
        <v>9059</v>
      </c>
      <c r="K2047">
        <v>11221</v>
      </c>
      <c r="L2047" t="s">
        <v>9094</v>
      </c>
      <c r="M2047" t="s">
        <v>9094</v>
      </c>
      <c r="O2047" t="s">
        <v>11134</v>
      </c>
      <c r="P2047" t="s">
        <v>11168</v>
      </c>
      <c r="R2047" t="s">
        <v>11180</v>
      </c>
      <c r="S2047" t="s">
        <v>9094</v>
      </c>
      <c r="T2047" t="s">
        <v>11183</v>
      </c>
      <c r="V2047" t="s">
        <v>427</v>
      </c>
      <c r="W2047">
        <v>793</v>
      </c>
      <c r="X2047" t="s">
        <v>11332</v>
      </c>
      <c r="Y2047" t="s">
        <v>11346</v>
      </c>
      <c r="Z2047" t="s">
        <v>12671</v>
      </c>
      <c r="AB2047" t="s">
        <v>17051</v>
      </c>
      <c r="AC2047">
        <v>12</v>
      </c>
      <c r="AD2047" t="s">
        <v>19566</v>
      </c>
      <c r="AE2047" t="s">
        <v>9144</v>
      </c>
      <c r="AF2047">
        <v>15</v>
      </c>
      <c r="AG2047">
        <v>1</v>
      </c>
      <c r="AH2047">
        <v>0</v>
      </c>
      <c r="AI2047">
        <v>74.95999999999999</v>
      </c>
      <c r="AL2047" t="s">
        <v>19614</v>
      </c>
      <c r="AM2047">
        <v>9100</v>
      </c>
      <c r="AN2047" t="s">
        <v>19839</v>
      </c>
      <c r="AS2047">
        <v>0</v>
      </c>
      <c r="AU2047" t="s">
        <v>95</v>
      </c>
    </row>
    <row r="2048" spans="1:48">
      <c r="A2048" s="1">
        <f>HYPERLINK("https://lsnyc.legalserver.org/matter/dynamic-profile/view/1878659","18-1878659")</f>
        <v>0</v>
      </c>
      <c r="B2048" t="s">
        <v>78</v>
      </c>
      <c r="C2048" t="s">
        <v>256</v>
      </c>
      <c r="D2048" t="s">
        <v>346</v>
      </c>
      <c r="F2048" t="s">
        <v>2037</v>
      </c>
      <c r="G2048" t="s">
        <v>3702</v>
      </c>
      <c r="H2048" t="s">
        <v>6712</v>
      </c>
      <c r="I2048" t="s">
        <v>8134</v>
      </c>
      <c r="J2048" t="s">
        <v>9059</v>
      </c>
      <c r="K2048">
        <v>11221</v>
      </c>
      <c r="L2048" t="s">
        <v>9094</v>
      </c>
      <c r="M2048" t="s">
        <v>9094</v>
      </c>
      <c r="O2048" t="s">
        <v>11130</v>
      </c>
      <c r="P2048" t="s">
        <v>11165</v>
      </c>
      <c r="R2048" t="s">
        <v>11180</v>
      </c>
      <c r="S2048" t="s">
        <v>9094</v>
      </c>
      <c r="T2048" t="s">
        <v>11183</v>
      </c>
      <c r="V2048" t="s">
        <v>689</v>
      </c>
      <c r="W2048">
        <v>793</v>
      </c>
      <c r="X2048" t="s">
        <v>11332</v>
      </c>
      <c r="Y2048" t="s">
        <v>11346</v>
      </c>
      <c r="Z2048" t="s">
        <v>12671</v>
      </c>
      <c r="AB2048" t="s">
        <v>17051</v>
      </c>
      <c r="AC2048">
        <v>12</v>
      </c>
      <c r="AD2048" t="s">
        <v>19566</v>
      </c>
      <c r="AE2048" t="s">
        <v>9144</v>
      </c>
      <c r="AF2048">
        <v>15</v>
      </c>
      <c r="AG2048">
        <v>1</v>
      </c>
      <c r="AH2048">
        <v>0</v>
      </c>
      <c r="AI2048">
        <v>74.95999999999999</v>
      </c>
      <c r="AL2048" t="s">
        <v>19614</v>
      </c>
      <c r="AM2048">
        <v>9100</v>
      </c>
      <c r="AN2048" t="s">
        <v>19839</v>
      </c>
      <c r="AS2048">
        <v>0</v>
      </c>
      <c r="AU2048" t="s">
        <v>95</v>
      </c>
    </row>
    <row r="2049" spans="1:48">
      <c r="A2049" s="1">
        <f>HYPERLINK("https://lsnyc.legalserver.org/matter/dynamic-profile/view/1876642","18-1876642")</f>
        <v>0</v>
      </c>
      <c r="B2049" t="s">
        <v>93</v>
      </c>
      <c r="C2049" t="s">
        <v>256</v>
      </c>
      <c r="D2049" t="s">
        <v>593</v>
      </c>
      <c r="F2049" t="s">
        <v>2038</v>
      </c>
      <c r="G2049" t="s">
        <v>4233</v>
      </c>
      <c r="H2049" t="s">
        <v>6059</v>
      </c>
      <c r="I2049" t="s">
        <v>8212</v>
      </c>
      <c r="J2049" t="s">
        <v>9059</v>
      </c>
      <c r="K2049">
        <v>11212</v>
      </c>
      <c r="L2049" t="s">
        <v>9094</v>
      </c>
      <c r="M2049" t="s">
        <v>9094</v>
      </c>
      <c r="N2049" t="s">
        <v>9942</v>
      </c>
      <c r="O2049" t="s">
        <v>11129</v>
      </c>
      <c r="P2049" t="s">
        <v>11165</v>
      </c>
      <c r="R2049" t="s">
        <v>11180</v>
      </c>
      <c r="S2049" t="s">
        <v>9094</v>
      </c>
      <c r="T2049" t="s">
        <v>11183</v>
      </c>
      <c r="U2049" t="s">
        <v>11201</v>
      </c>
      <c r="V2049" t="s">
        <v>593</v>
      </c>
      <c r="W2049">
        <v>389.17</v>
      </c>
      <c r="X2049" t="s">
        <v>11332</v>
      </c>
      <c r="Y2049" t="s">
        <v>11339</v>
      </c>
      <c r="Z2049" t="s">
        <v>12672</v>
      </c>
      <c r="AB2049" t="s">
        <v>17052</v>
      </c>
      <c r="AC2049">
        <v>10</v>
      </c>
      <c r="AD2049" t="s">
        <v>19566</v>
      </c>
      <c r="AE2049" t="s">
        <v>9144</v>
      </c>
      <c r="AF2049">
        <v>6</v>
      </c>
      <c r="AG2049">
        <v>1</v>
      </c>
      <c r="AH2049">
        <v>0</v>
      </c>
      <c r="AI2049">
        <v>74.95999999999999</v>
      </c>
      <c r="AL2049" t="s">
        <v>19614</v>
      </c>
      <c r="AM2049">
        <v>9100</v>
      </c>
      <c r="AS2049">
        <v>13.3</v>
      </c>
      <c r="AT2049" t="s">
        <v>496</v>
      </c>
      <c r="AU2049" t="s">
        <v>94</v>
      </c>
    </row>
    <row r="2050" spans="1:48">
      <c r="A2050" s="1">
        <f>HYPERLINK("https://lsnyc.legalserver.org/matter/dynamic-profile/view/1892373","19-1892373")</f>
        <v>0</v>
      </c>
      <c r="B2050" t="s">
        <v>103</v>
      </c>
      <c r="C2050" t="s">
        <v>256</v>
      </c>
      <c r="D2050" t="s">
        <v>635</v>
      </c>
      <c r="F2050" t="s">
        <v>2087</v>
      </c>
      <c r="G2050" t="s">
        <v>4298</v>
      </c>
      <c r="H2050" t="s">
        <v>6785</v>
      </c>
      <c r="I2050" t="s">
        <v>8483</v>
      </c>
      <c r="J2050" t="s">
        <v>9065</v>
      </c>
      <c r="K2050">
        <v>10453</v>
      </c>
      <c r="L2050" t="s">
        <v>9094</v>
      </c>
      <c r="M2050" t="s">
        <v>9094</v>
      </c>
      <c r="O2050" t="s">
        <v>11134</v>
      </c>
      <c r="P2050" t="s">
        <v>11168</v>
      </c>
      <c r="R2050" t="s">
        <v>11180</v>
      </c>
      <c r="S2050" t="s">
        <v>9094</v>
      </c>
      <c r="T2050" t="s">
        <v>11183</v>
      </c>
      <c r="V2050" t="s">
        <v>512</v>
      </c>
      <c r="W2050">
        <v>1474</v>
      </c>
      <c r="X2050" t="s">
        <v>11333</v>
      </c>
      <c r="Y2050" t="s">
        <v>11339</v>
      </c>
      <c r="Z2050" t="s">
        <v>12775</v>
      </c>
      <c r="AC2050">
        <v>170</v>
      </c>
      <c r="AD2050" t="s">
        <v>19566</v>
      </c>
      <c r="AE2050" t="s">
        <v>9144</v>
      </c>
      <c r="AF2050">
        <v>14</v>
      </c>
      <c r="AG2050">
        <v>2</v>
      </c>
      <c r="AH2050">
        <v>0</v>
      </c>
      <c r="AI2050">
        <v>74.98999999999999</v>
      </c>
      <c r="AL2050" t="s">
        <v>19614</v>
      </c>
      <c r="AM2050">
        <v>12680</v>
      </c>
      <c r="AS2050">
        <v>0</v>
      </c>
      <c r="AU2050" t="s">
        <v>220</v>
      </c>
    </row>
    <row r="2051" spans="1:48">
      <c r="A2051" s="1">
        <f>HYPERLINK("https://lsnyc.legalserver.org/matter/dynamic-profile/view/1891937","19-1891937")</f>
        <v>0</v>
      </c>
      <c r="B2051" t="s">
        <v>103</v>
      </c>
      <c r="C2051" t="s">
        <v>256</v>
      </c>
      <c r="D2051" t="s">
        <v>868</v>
      </c>
      <c r="F2051" t="s">
        <v>2087</v>
      </c>
      <c r="G2051" t="s">
        <v>4298</v>
      </c>
      <c r="H2051" t="s">
        <v>6785</v>
      </c>
      <c r="I2051" t="s">
        <v>8483</v>
      </c>
      <c r="J2051" t="s">
        <v>9065</v>
      </c>
      <c r="K2051">
        <v>10453</v>
      </c>
      <c r="L2051" t="s">
        <v>9094</v>
      </c>
      <c r="M2051" t="s">
        <v>9094</v>
      </c>
      <c r="N2051" t="s">
        <v>9352</v>
      </c>
      <c r="O2051" t="s">
        <v>11130</v>
      </c>
      <c r="P2051" t="s">
        <v>11165</v>
      </c>
      <c r="R2051" t="s">
        <v>11180</v>
      </c>
      <c r="S2051" t="s">
        <v>9094</v>
      </c>
      <c r="T2051" t="s">
        <v>11183</v>
      </c>
      <c r="V2051" t="s">
        <v>512</v>
      </c>
      <c r="W2051">
        <v>1474</v>
      </c>
      <c r="X2051" t="s">
        <v>11333</v>
      </c>
      <c r="Y2051" t="s">
        <v>11346</v>
      </c>
      <c r="Z2051" t="s">
        <v>12775</v>
      </c>
      <c r="AA2051" t="s">
        <v>15646</v>
      </c>
      <c r="AC2051">
        <v>170</v>
      </c>
      <c r="AD2051" t="s">
        <v>19566</v>
      </c>
      <c r="AE2051" t="s">
        <v>9144</v>
      </c>
      <c r="AF2051">
        <v>1</v>
      </c>
      <c r="AG2051">
        <v>2</v>
      </c>
      <c r="AH2051">
        <v>0</v>
      </c>
      <c r="AI2051">
        <v>74.98999999999999</v>
      </c>
      <c r="AL2051" t="s">
        <v>19614</v>
      </c>
      <c r="AM2051">
        <v>12680</v>
      </c>
      <c r="AS2051">
        <v>0</v>
      </c>
      <c r="AU2051" t="s">
        <v>220</v>
      </c>
    </row>
    <row r="2052" spans="1:48">
      <c r="A2052" s="1">
        <f>HYPERLINK("https://lsnyc.legalserver.org/matter/dynamic-profile/view/0776282","15-0776282")</f>
        <v>0</v>
      </c>
      <c r="B2052" t="s">
        <v>64</v>
      </c>
      <c r="C2052" t="s">
        <v>257</v>
      </c>
      <c r="D2052" t="s">
        <v>886</v>
      </c>
      <c r="E2052" t="s">
        <v>425</v>
      </c>
      <c r="F2052" t="s">
        <v>1655</v>
      </c>
      <c r="G2052" t="s">
        <v>4299</v>
      </c>
      <c r="H2052" t="s">
        <v>6786</v>
      </c>
      <c r="I2052" t="s">
        <v>8128</v>
      </c>
      <c r="J2052" t="s">
        <v>9059</v>
      </c>
      <c r="K2052">
        <v>11207</v>
      </c>
      <c r="L2052" t="s">
        <v>9094</v>
      </c>
      <c r="M2052" t="s">
        <v>9095</v>
      </c>
      <c r="N2052" t="s">
        <v>9943</v>
      </c>
      <c r="O2052" t="s">
        <v>11135</v>
      </c>
      <c r="P2052" t="s">
        <v>11165</v>
      </c>
      <c r="Q2052" t="s">
        <v>11174</v>
      </c>
      <c r="R2052" t="s">
        <v>11180</v>
      </c>
      <c r="T2052" t="s">
        <v>11183</v>
      </c>
      <c r="V2052" t="s">
        <v>11262</v>
      </c>
      <c r="W2052">
        <v>1150</v>
      </c>
      <c r="X2052" t="s">
        <v>11332</v>
      </c>
      <c r="Y2052" t="s">
        <v>11338</v>
      </c>
      <c r="Z2052" t="s">
        <v>12776</v>
      </c>
      <c r="AB2052" t="s">
        <v>17159</v>
      </c>
      <c r="AC2052">
        <v>0</v>
      </c>
      <c r="AF2052">
        <v>3</v>
      </c>
      <c r="AG2052">
        <v>3</v>
      </c>
      <c r="AH2052">
        <v>1</v>
      </c>
      <c r="AI2052">
        <v>75.05</v>
      </c>
      <c r="AL2052" t="s">
        <v>19615</v>
      </c>
      <c r="AM2052">
        <v>18200</v>
      </c>
      <c r="AO2052" t="s">
        <v>20293</v>
      </c>
      <c r="AP2052" t="s">
        <v>20326</v>
      </c>
      <c r="AQ2052" t="s">
        <v>20369</v>
      </c>
      <c r="AS2052">
        <v>93.75</v>
      </c>
      <c r="AT2052" t="s">
        <v>946</v>
      </c>
      <c r="AU2052" t="s">
        <v>20628</v>
      </c>
      <c r="AV2052" t="s">
        <v>20733</v>
      </c>
    </row>
    <row r="2053" spans="1:48">
      <c r="A2053" s="1">
        <f>HYPERLINK("https://lsnyc.legalserver.org/matter/dynamic-profile/view/1864205","18-1864205")</f>
        <v>0</v>
      </c>
      <c r="B2053" t="s">
        <v>86</v>
      </c>
      <c r="C2053" t="s">
        <v>256</v>
      </c>
      <c r="D2053" t="s">
        <v>505</v>
      </c>
      <c r="F2053" t="s">
        <v>2088</v>
      </c>
      <c r="G2053" t="s">
        <v>4300</v>
      </c>
      <c r="H2053" t="s">
        <v>6787</v>
      </c>
      <c r="I2053" t="s">
        <v>8376</v>
      </c>
      <c r="J2053" t="s">
        <v>9059</v>
      </c>
      <c r="K2053">
        <v>11226</v>
      </c>
      <c r="L2053" t="s">
        <v>9094</v>
      </c>
      <c r="M2053" t="s">
        <v>9094</v>
      </c>
      <c r="O2053" t="s">
        <v>11130</v>
      </c>
      <c r="P2053" t="s">
        <v>11166</v>
      </c>
      <c r="R2053" t="s">
        <v>11180</v>
      </c>
      <c r="S2053" t="s">
        <v>9094</v>
      </c>
      <c r="T2053" t="s">
        <v>11183</v>
      </c>
      <c r="V2053" t="s">
        <v>945</v>
      </c>
      <c r="W2053">
        <v>884</v>
      </c>
      <c r="X2053" t="s">
        <v>11332</v>
      </c>
      <c r="Y2053" t="s">
        <v>11346</v>
      </c>
      <c r="Z2053" t="s">
        <v>12777</v>
      </c>
      <c r="AC2053">
        <v>6</v>
      </c>
      <c r="AD2053" t="s">
        <v>19566</v>
      </c>
      <c r="AE2053" t="s">
        <v>9144</v>
      </c>
      <c r="AF2053">
        <v>16</v>
      </c>
      <c r="AG2053">
        <v>2</v>
      </c>
      <c r="AH2053">
        <v>1</v>
      </c>
      <c r="AI2053">
        <v>75.06999999999999</v>
      </c>
      <c r="AL2053" t="s">
        <v>19614</v>
      </c>
      <c r="AM2053">
        <v>15600</v>
      </c>
      <c r="AS2053">
        <v>2</v>
      </c>
      <c r="AT2053" t="s">
        <v>791</v>
      </c>
      <c r="AU2053" t="s">
        <v>20630</v>
      </c>
    </row>
    <row r="2054" spans="1:48">
      <c r="A2054" s="1">
        <f>HYPERLINK("https://lsnyc.legalserver.org/matter/dynamic-profile/view/1864890","18-1864890")</f>
        <v>0</v>
      </c>
      <c r="B2054" t="s">
        <v>86</v>
      </c>
      <c r="C2054" t="s">
        <v>256</v>
      </c>
      <c r="D2054" t="s">
        <v>525</v>
      </c>
      <c r="F2054" t="s">
        <v>2088</v>
      </c>
      <c r="G2054" t="s">
        <v>4300</v>
      </c>
      <c r="H2054" t="s">
        <v>6787</v>
      </c>
      <c r="I2054" t="s">
        <v>8376</v>
      </c>
      <c r="J2054" t="s">
        <v>9059</v>
      </c>
      <c r="K2054">
        <v>11226</v>
      </c>
      <c r="L2054" t="s">
        <v>9094</v>
      </c>
      <c r="M2054" t="s">
        <v>9094</v>
      </c>
      <c r="O2054" t="s">
        <v>11136</v>
      </c>
      <c r="P2054" t="s">
        <v>11166</v>
      </c>
      <c r="R2054" t="s">
        <v>11180</v>
      </c>
      <c r="S2054" t="s">
        <v>9094</v>
      </c>
      <c r="T2054" t="s">
        <v>11183</v>
      </c>
      <c r="V2054" t="s">
        <v>906</v>
      </c>
      <c r="W2054">
        <v>884</v>
      </c>
      <c r="X2054" t="s">
        <v>11332</v>
      </c>
      <c r="Y2054" t="s">
        <v>11346</v>
      </c>
      <c r="Z2054" t="s">
        <v>12777</v>
      </c>
      <c r="AC2054">
        <v>6</v>
      </c>
      <c r="AD2054" t="s">
        <v>19566</v>
      </c>
      <c r="AE2054" t="s">
        <v>9144</v>
      </c>
      <c r="AF2054">
        <v>16</v>
      </c>
      <c r="AG2054">
        <v>2</v>
      </c>
      <c r="AH2054">
        <v>1</v>
      </c>
      <c r="AI2054">
        <v>75.06999999999999</v>
      </c>
      <c r="AL2054" t="s">
        <v>19614</v>
      </c>
      <c r="AM2054">
        <v>15600</v>
      </c>
      <c r="AS2054">
        <v>0.6</v>
      </c>
      <c r="AT2054" t="s">
        <v>515</v>
      </c>
      <c r="AU2054" t="s">
        <v>20630</v>
      </c>
    </row>
    <row r="2055" spans="1:48">
      <c r="A2055" s="1">
        <f>HYPERLINK("https://lsnyc.legalserver.org/matter/dynamic-profile/view/1886479","18-1886479")</f>
        <v>0</v>
      </c>
      <c r="B2055" t="s">
        <v>157</v>
      </c>
      <c r="C2055" t="s">
        <v>257</v>
      </c>
      <c r="D2055" t="s">
        <v>347</v>
      </c>
      <c r="E2055" t="s">
        <v>425</v>
      </c>
      <c r="F2055" t="s">
        <v>1187</v>
      </c>
      <c r="G2055" t="s">
        <v>4301</v>
      </c>
      <c r="H2055" t="s">
        <v>6788</v>
      </c>
      <c r="I2055" t="s">
        <v>8140</v>
      </c>
      <c r="J2055" t="s">
        <v>9059</v>
      </c>
      <c r="K2055">
        <v>11222</v>
      </c>
      <c r="L2055" t="s">
        <v>9094</v>
      </c>
      <c r="M2055" t="s">
        <v>9094</v>
      </c>
      <c r="O2055" t="s">
        <v>11141</v>
      </c>
      <c r="P2055" t="s">
        <v>11166</v>
      </c>
      <c r="Q2055" t="s">
        <v>11173</v>
      </c>
      <c r="R2055" t="s">
        <v>11180</v>
      </c>
      <c r="S2055" t="s">
        <v>9096</v>
      </c>
      <c r="T2055" t="s">
        <v>11193</v>
      </c>
      <c r="V2055" t="s">
        <v>11263</v>
      </c>
      <c r="W2055">
        <v>2500</v>
      </c>
      <c r="X2055" t="s">
        <v>11332</v>
      </c>
      <c r="Z2055" t="s">
        <v>12778</v>
      </c>
      <c r="AB2055" t="s">
        <v>17160</v>
      </c>
      <c r="AC2055">
        <v>0</v>
      </c>
      <c r="AD2055" t="s">
        <v>19565</v>
      </c>
      <c r="AF2055">
        <v>0</v>
      </c>
      <c r="AG2055">
        <v>1</v>
      </c>
      <c r="AH2055">
        <v>2</v>
      </c>
      <c r="AI2055">
        <v>75.06999999999999</v>
      </c>
      <c r="AL2055" t="s">
        <v>19614</v>
      </c>
      <c r="AM2055">
        <v>15600</v>
      </c>
      <c r="AS2055">
        <v>3.9</v>
      </c>
      <c r="AT2055" t="s">
        <v>791</v>
      </c>
      <c r="AU2055" t="s">
        <v>20635</v>
      </c>
    </row>
    <row r="2056" spans="1:48">
      <c r="A2056" s="1">
        <f>HYPERLINK("https://lsnyc.legalserver.org/matter/dynamic-profile/view/1882177","18-1882177")</f>
        <v>0</v>
      </c>
      <c r="B2056" t="s">
        <v>83</v>
      </c>
      <c r="C2056" t="s">
        <v>256</v>
      </c>
      <c r="D2056" t="s">
        <v>697</v>
      </c>
      <c r="F2056" t="s">
        <v>2089</v>
      </c>
      <c r="G2056" t="s">
        <v>3580</v>
      </c>
      <c r="H2056" t="s">
        <v>6789</v>
      </c>
      <c r="I2056">
        <v>2</v>
      </c>
      <c r="J2056" t="s">
        <v>9059</v>
      </c>
      <c r="K2056">
        <v>11206</v>
      </c>
      <c r="L2056" t="s">
        <v>9094</v>
      </c>
      <c r="M2056" t="s">
        <v>9094</v>
      </c>
      <c r="O2056" t="s">
        <v>11130</v>
      </c>
      <c r="P2056" t="s">
        <v>11165</v>
      </c>
      <c r="R2056" t="s">
        <v>11180</v>
      </c>
      <c r="T2056" t="s">
        <v>11183</v>
      </c>
      <c r="V2056" t="s">
        <v>697</v>
      </c>
      <c r="W2056">
        <v>0</v>
      </c>
      <c r="X2056" t="s">
        <v>11332</v>
      </c>
      <c r="Z2056" t="s">
        <v>12779</v>
      </c>
      <c r="AB2056" t="s">
        <v>17161</v>
      </c>
      <c r="AC2056">
        <v>0</v>
      </c>
      <c r="AF2056">
        <v>0</v>
      </c>
      <c r="AG2056">
        <v>2</v>
      </c>
      <c r="AH2056">
        <v>1</v>
      </c>
      <c r="AI2056">
        <v>75.06999999999999</v>
      </c>
      <c r="AL2056" t="s">
        <v>19615</v>
      </c>
      <c r="AM2056">
        <v>15600</v>
      </c>
      <c r="AS2056">
        <v>105.1</v>
      </c>
      <c r="AT2056" t="s">
        <v>496</v>
      </c>
      <c r="AU2056" t="s">
        <v>67</v>
      </c>
    </row>
    <row r="2057" spans="1:48">
      <c r="A2057" s="1">
        <f>HYPERLINK("https://lsnyc.legalserver.org/matter/dynamic-profile/view/1887046","19-1887046")</f>
        <v>0</v>
      </c>
      <c r="B2057" t="s">
        <v>117</v>
      </c>
      <c r="C2057" t="s">
        <v>256</v>
      </c>
      <c r="D2057" t="s">
        <v>324</v>
      </c>
      <c r="F2057" t="s">
        <v>2090</v>
      </c>
      <c r="G2057" t="s">
        <v>3448</v>
      </c>
      <c r="H2057" t="s">
        <v>5888</v>
      </c>
      <c r="I2057" t="s">
        <v>8262</v>
      </c>
      <c r="J2057" t="s">
        <v>9065</v>
      </c>
      <c r="K2057">
        <v>10453</v>
      </c>
      <c r="L2057" t="s">
        <v>9094</v>
      </c>
      <c r="M2057" t="s">
        <v>9094</v>
      </c>
      <c r="N2057" t="s">
        <v>9243</v>
      </c>
      <c r="O2057" t="s">
        <v>11130</v>
      </c>
      <c r="P2057" t="s">
        <v>11165</v>
      </c>
      <c r="R2057" t="s">
        <v>11180</v>
      </c>
      <c r="S2057" t="s">
        <v>9094</v>
      </c>
      <c r="T2057" t="s">
        <v>11183</v>
      </c>
      <c r="V2057" t="s">
        <v>512</v>
      </c>
      <c r="W2057">
        <v>0</v>
      </c>
      <c r="X2057" t="s">
        <v>11333</v>
      </c>
      <c r="Y2057" t="s">
        <v>11346</v>
      </c>
      <c r="Z2057" t="s">
        <v>12780</v>
      </c>
      <c r="AB2057" t="s">
        <v>17162</v>
      </c>
      <c r="AC2057">
        <v>49</v>
      </c>
      <c r="AD2057" t="s">
        <v>19566</v>
      </c>
      <c r="AE2057" t="s">
        <v>9144</v>
      </c>
      <c r="AF2057">
        <v>0</v>
      </c>
      <c r="AG2057">
        <v>1</v>
      </c>
      <c r="AH2057">
        <v>2</v>
      </c>
      <c r="AI2057">
        <v>75.06999999999999</v>
      </c>
      <c r="AL2057" t="s">
        <v>19614</v>
      </c>
      <c r="AM2057">
        <v>15600</v>
      </c>
      <c r="AS2057">
        <v>0</v>
      </c>
      <c r="AU2057" t="s">
        <v>20642</v>
      </c>
    </row>
    <row r="2058" spans="1:48">
      <c r="A2058" s="1">
        <f>HYPERLINK("https://lsnyc.legalserver.org/matter/dynamic-profile/view/1887089","19-1887089")</f>
        <v>0</v>
      </c>
      <c r="B2058" t="s">
        <v>117</v>
      </c>
      <c r="C2058" t="s">
        <v>256</v>
      </c>
      <c r="D2058" t="s">
        <v>324</v>
      </c>
      <c r="F2058" t="s">
        <v>2090</v>
      </c>
      <c r="G2058" t="s">
        <v>3448</v>
      </c>
      <c r="H2058" t="s">
        <v>5888</v>
      </c>
      <c r="I2058" t="s">
        <v>8262</v>
      </c>
      <c r="J2058" t="s">
        <v>9065</v>
      </c>
      <c r="K2058">
        <v>10453</v>
      </c>
      <c r="L2058" t="s">
        <v>9094</v>
      </c>
      <c r="M2058" t="s">
        <v>9094</v>
      </c>
      <c r="O2058" t="s">
        <v>9121</v>
      </c>
      <c r="P2058" t="s">
        <v>11166</v>
      </c>
      <c r="R2058" t="s">
        <v>11180</v>
      </c>
      <c r="S2058" t="s">
        <v>9094</v>
      </c>
      <c r="T2058" t="s">
        <v>11183</v>
      </c>
      <c r="V2058" t="s">
        <v>512</v>
      </c>
      <c r="W2058">
        <v>948</v>
      </c>
      <c r="X2058" t="s">
        <v>11333</v>
      </c>
      <c r="Y2058" t="s">
        <v>11346</v>
      </c>
      <c r="Z2058" t="s">
        <v>12780</v>
      </c>
      <c r="AB2058" t="s">
        <v>17162</v>
      </c>
      <c r="AC2058">
        <v>49</v>
      </c>
      <c r="AD2058" t="s">
        <v>19566</v>
      </c>
      <c r="AE2058" t="s">
        <v>9144</v>
      </c>
      <c r="AF2058">
        <v>3</v>
      </c>
      <c r="AG2058">
        <v>1</v>
      </c>
      <c r="AH2058">
        <v>2</v>
      </c>
      <c r="AI2058">
        <v>75.06999999999999</v>
      </c>
      <c r="AL2058" t="s">
        <v>19614</v>
      </c>
      <c r="AM2058">
        <v>15600</v>
      </c>
      <c r="AS2058">
        <v>0</v>
      </c>
      <c r="AU2058" t="s">
        <v>20642</v>
      </c>
    </row>
    <row r="2059" spans="1:48">
      <c r="A2059" s="1">
        <f>HYPERLINK("https://lsnyc.legalserver.org/matter/dynamic-profile/view/0827585","17-0827585")</f>
        <v>0</v>
      </c>
      <c r="B2059" t="s">
        <v>120</v>
      </c>
      <c r="C2059" t="s">
        <v>256</v>
      </c>
      <c r="D2059" t="s">
        <v>887</v>
      </c>
      <c r="F2059" t="s">
        <v>2091</v>
      </c>
      <c r="G2059" t="s">
        <v>3630</v>
      </c>
      <c r="H2059" t="s">
        <v>6790</v>
      </c>
      <c r="I2059">
        <v>12</v>
      </c>
      <c r="J2059" t="s">
        <v>9065</v>
      </c>
      <c r="K2059">
        <v>10453</v>
      </c>
      <c r="L2059" t="s">
        <v>9094</v>
      </c>
      <c r="M2059" t="s">
        <v>9095</v>
      </c>
      <c r="N2059" t="s">
        <v>9944</v>
      </c>
      <c r="O2059" t="s">
        <v>11128</v>
      </c>
      <c r="P2059" t="s">
        <v>11165</v>
      </c>
      <c r="R2059" t="s">
        <v>11180</v>
      </c>
      <c r="T2059" t="s">
        <v>11183</v>
      </c>
      <c r="V2059" t="s">
        <v>1070</v>
      </c>
      <c r="W2059">
        <v>0</v>
      </c>
      <c r="X2059" t="s">
        <v>11333</v>
      </c>
      <c r="Z2059" t="s">
        <v>12781</v>
      </c>
      <c r="AA2059" t="s">
        <v>15647</v>
      </c>
      <c r="AB2059" t="s">
        <v>17163</v>
      </c>
      <c r="AC2059">
        <v>26</v>
      </c>
      <c r="AD2059" t="s">
        <v>15441</v>
      </c>
      <c r="AF2059">
        <v>3</v>
      </c>
      <c r="AG2059">
        <v>2</v>
      </c>
      <c r="AH2059">
        <v>0</v>
      </c>
      <c r="AI2059">
        <v>75.09</v>
      </c>
      <c r="AL2059" t="s">
        <v>19614</v>
      </c>
      <c r="AM2059">
        <v>12194</v>
      </c>
      <c r="AO2059" t="s">
        <v>20293</v>
      </c>
      <c r="AP2059" t="s">
        <v>20317</v>
      </c>
      <c r="AQ2059" t="s">
        <v>20369</v>
      </c>
      <c r="AR2059" t="s">
        <v>20484</v>
      </c>
      <c r="AS2059">
        <v>86.05</v>
      </c>
      <c r="AT2059" t="s">
        <v>728</v>
      </c>
      <c r="AU2059" t="s">
        <v>20627</v>
      </c>
    </row>
    <row r="2060" spans="1:48">
      <c r="A2060" s="1">
        <f>HYPERLINK("https://lsnyc.legalserver.org/matter/dynamic-profile/view/1879311","18-1879311")</f>
        <v>0</v>
      </c>
      <c r="B2060" t="s">
        <v>211</v>
      </c>
      <c r="C2060" t="s">
        <v>256</v>
      </c>
      <c r="D2060" t="s">
        <v>306</v>
      </c>
      <c r="F2060" t="s">
        <v>2092</v>
      </c>
      <c r="G2060" t="s">
        <v>4302</v>
      </c>
      <c r="H2060" t="s">
        <v>6791</v>
      </c>
      <c r="I2060" t="s">
        <v>8548</v>
      </c>
      <c r="J2060" t="s">
        <v>9038</v>
      </c>
      <c r="K2060">
        <v>11691</v>
      </c>
      <c r="L2060" t="s">
        <v>9094</v>
      </c>
      <c r="M2060" t="s">
        <v>9094</v>
      </c>
      <c r="N2060" t="s">
        <v>9945</v>
      </c>
      <c r="O2060" t="s">
        <v>11128</v>
      </c>
      <c r="P2060" t="s">
        <v>11164</v>
      </c>
      <c r="R2060" t="s">
        <v>11180</v>
      </c>
      <c r="S2060" t="s">
        <v>9096</v>
      </c>
      <c r="T2060" t="s">
        <v>11183</v>
      </c>
      <c r="U2060" t="s">
        <v>11201</v>
      </c>
      <c r="V2060" t="s">
        <v>306</v>
      </c>
      <c r="W2060">
        <v>171</v>
      </c>
      <c r="X2060" t="s">
        <v>11331</v>
      </c>
      <c r="Y2060" t="s">
        <v>11336</v>
      </c>
      <c r="Z2060" t="s">
        <v>12782</v>
      </c>
      <c r="AA2060" t="s">
        <v>15648</v>
      </c>
      <c r="AB2060" t="s">
        <v>17164</v>
      </c>
      <c r="AC2060">
        <v>96</v>
      </c>
      <c r="AD2060" t="s">
        <v>19567</v>
      </c>
      <c r="AE2060" t="s">
        <v>9144</v>
      </c>
      <c r="AF2060">
        <v>3</v>
      </c>
      <c r="AG2060">
        <v>1</v>
      </c>
      <c r="AH2060">
        <v>0</v>
      </c>
      <c r="AI2060">
        <v>75.12</v>
      </c>
      <c r="AL2060" t="s">
        <v>19614</v>
      </c>
      <c r="AM2060">
        <v>9120</v>
      </c>
      <c r="AS2060">
        <v>0</v>
      </c>
      <c r="AU2060" t="s">
        <v>81</v>
      </c>
    </row>
    <row r="2061" spans="1:48">
      <c r="A2061" s="1">
        <f>HYPERLINK("https://lsnyc.legalserver.org/matter/dynamic-profile/view/1875900","18-1875900")</f>
        <v>0</v>
      </c>
      <c r="B2061" t="s">
        <v>74</v>
      </c>
      <c r="C2061" t="s">
        <v>256</v>
      </c>
      <c r="D2061" t="s">
        <v>427</v>
      </c>
      <c r="F2061" t="s">
        <v>2093</v>
      </c>
      <c r="G2061" t="s">
        <v>4303</v>
      </c>
      <c r="H2061" t="s">
        <v>6792</v>
      </c>
      <c r="I2061" t="s">
        <v>8142</v>
      </c>
      <c r="J2061" t="s">
        <v>9059</v>
      </c>
      <c r="K2061">
        <v>11237</v>
      </c>
      <c r="L2061" t="s">
        <v>9094</v>
      </c>
      <c r="M2061" t="s">
        <v>9094</v>
      </c>
      <c r="N2061" t="s">
        <v>9946</v>
      </c>
      <c r="O2061" t="s">
        <v>11129</v>
      </c>
      <c r="P2061" t="s">
        <v>11167</v>
      </c>
      <c r="R2061" t="s">
        <v>11180</v>
      </c>
      <c r="S2061" t="s">
        <v>9096</v>
      </c>
      <c r="T2061" t="s">
        <v>11183</v>
      </c>
      <c r="V2061" t="s">
        <v>427</v>
      </c>
      <c r="W2061">
        <v>0</v>
      </c>
      <c r="X2061" t="s">
        <v>11332</v>
      </c>
      <c r="Z2061" t="s">
        <v>12783</v>
      </c>
      <c r="AC2061">
        <v>0</v>
      </c>
      <c r="AF2061">
        <v>0</v>
      </c>
      <c r="AG2061">
        <v>5</v>
      </c>
      <c r="AH2061">
        <v>0</v>
      </c>
      <c r="AI2061">
        <v>75.12</v>
      </c>
      <c r="AL2061" t="s">
        <v>19614</v>
      </c>
      <c r="AM2061">
        <v>22100</v>
      </c>
      <c r="AS2061">
        <v>13</v>
      </c>
      <c r="AT2061" t="s">
        <v>906</v>
      </c>
      <c r="AU2061" t="s">
        <v>67</v>
      </c>
    </row>
    <row r="2062" spans="1:48">
      <c r="A2062" s="1">
        <f>HYPERLINK("https://lsnyc.legalserver.org/matter/dynamic-profile/view/1833850","17-1833850")</f>
        <v>0</v>
      </c>
      <c r="B2062" t="s">
        <v>149</v>
      </c>
      <c r="C2062" t="s">
        <v>256</v>
      </c>
      <c r="D2062" t="s">
        <v>888</v>
      </c>
      <c r="F2062" t="s">
        <v>2094</v>
      </c>
      <c r="G2062" t="s">
        <v>4304</v>
      </c>
      <c r="H2062" t="s">
        <v>6793</v>
      </c>
      <c r="I2062" t="s">
        <v>8549</v>
      </c>
      <c r="J2062" t="s">
        <v>9067</v>
      </c>
      <c r="K2062">
        <v>10035</v>
      </c>
      <c r="L2062" t="s">
        <v>9094</v>
      </c>
      <c r="M2062" t="s">
        <v>9095</v>
      </c>
      <c r="N2062" t="s">
        <v>9947</v>
      </c>
      <c r="O2062" t="s">
        <v>11129</v>
      </c>
      <c r="P2062" t="s">
        <v>11165</v>
      </c>
      <c r="R2062" t="s">
        <v>11180</v>
      </c>
      <c r="S2062" t="s">
        <v>9096</v>
      </c>
      <c r="T2062" t="s">
        <v>11183</v>
      </c>
      <c r="V2062" t="s">
        <v>953</v>
      </c>
      <c r="W2062">
        <v>2423</v>
      </c>
      <c r="X2062" t="s">
        <v>11335</v>
      </c>
      <c r="Y2062" t="s">
        <v>11338</v>
      </c>
      <c r="Z2062" t="s">
        <v>12784</v>
      </c>
      <c r="AB2062" t="s">
        <v>17165</v>
      </c>
      <c r="AC2062">
        <v>341</v>
      </c>
      <c r="AD2062" t="s">
        <v>19566</v>
      </c>
      <c r="AE2062" t="s">
        <v>19580</v>
      </c>
      <c r="AF2062">
        <v>17</v>
      </c>
      <c r="AG2062">
        <v>1</v>
      </c>
      <c r="AH2062">
        <v>0</v>
      </c>
      <c r="AI2062">
        <v>75.12</v>
      </c>
      <c r="AL2062" t="s">
        <v>19614</v>
      </c>
      <c r="AM2062">
        <v>9060</v>
      </c>
      <c r="AS2062">
        <v>30</v>
      </c>
      <c r="AT2062" t="s">
        <v>797</v>
      </c>
      <c r="AU2062" t="s">
        <v>20657</v>
      </c>
    </row>
    <row r="2063" spans="1:48">
      <c r="A2063" s="1">
        <f>HYPERLINK("https://lsnyc.legalserver.org/matter/dynamic-profile/view/1881953","18-1881953")</f>
        <v>0</v>
      </c>
      <c r="B2063" t="s">
        <v>141</v>
      </c>
      <c r="C2063" t="s">
        <v>257</v>
      </c>
      <c r="D2063" t="s">
        <v>514</v>
      </c>
      <c r="E2063" t="s">
        <v>328</v>
      </c>
      <c r="F2063" t="s">
        <v>1146</v>
      </c>
      <c r="G2063" t="s">
        <v>4305</v>
      </c>
      <c r="H2063" t="s">
        <v>6794</v>
      </c>
      <c r="I2063" t="s">
        <v>8550</v>
      </c>
      <c r="J2063" t="s">
        <v>9067</v>
      </c>
      <c r="K2063">
        <v>10034</v>
      </c>
      <c r="L2063" t="s">
        <v>9094</v>
      </c>
      <c r="M2063" t="s">
        <v>9094</v>
      </c>
      <c r="O2063" t="s">
        <v>11129</v>
      </c>
      <c r="P2063" t="s">
        <v>11164</v>
      </c>
      <c r="Q2063" t="s">
        <v>11172</v>
      </c>
      <c r="R2063" t="s">
        <v>11180</v>
      </c>
      <c r="S2063" t="s">
        <v>9096</v>
      </c>
      <c r="T2063" t="s">
        <v>11183</v>
      </c>
      <c r="V2063" t="s">
        <v>622</v>
      </c>
      <c r="W2063">
        <v>822.3200000000001</v>
      </c>
      <c r="X2063" t="s">
        <v>11335</v>
      </c>
      <c r="Y2063" t="s">
        <v>11338</v>
      </c>
      <c r="Z2063" t="s">
        <v>12785</v>
      </c>
      <c r="AB2063" t="s">
        <v>17166</v>
      </c>
      <c r="AC2063">
        <v>35</v>
      </c>
      <c r="AE2063" t="s">
        <v>19580</v>
      </c>
      <c r="AF2063">
        <v>38</v>
      </c>
      <c r="AG2063">
        <v>1</v>
      </c>
      <c r="AH2063">
        <v>0</v>
      </c>
      <c r="AI2063">
        <v>75.12</v>
      </c>
      <c r="AL2063" t="s">
        <v>19615</v>
      </c>
      <c r="AM2063">
        <v>9120</v>
      </c>
      <c r="AS2063">
        <v>0.65</v>
      </c>
      <c r="AT2063" t="s">
        <v>358</v>
      </c>
      <c r="AU2063" t="s">
        <v>20638</v>
      </c>
      <c r="AV2063" t="s">
        <v>20733</v>
      </c>
    </row>
    <row r="2064" spans="1:48">
      <c r="A2064" s="1">
        <f>HYPERLINK("https://lsnyc.legalserver.org/matter/dynamic-profile/view/1910141","19-1910141")</f>
        <v>0</v>
      </c>
      <c r="B2064" t="s">
        <v>118</v>
      </c>
      <c r="C2064" t="s">
        <v>256</v>
      </c>
      <c r="D2064" t="s">
        <v>435</v>
      </c>
      <c r="F2064" t="s">
        <v>2095</v>
      </c>
      <c r="G2064" t="s">
        <v>4306</v>
      </c>
      <c r="H2064" t="s">
        <v>6795</v>
      </c>
      <c r="I2064" t="s">
        <v>8151</v>
      </c>
      <c r="J2064" t="s">
        <v>9065</v>
      </c>
      <c r="K2064">
        <v>10468</v>
      </c>
      <c r="L2064" t="s">
        <v>9094</v>
      </c>
      <c r="M2064" t="s">
        <v>9095</v>
      </c>
      <c r="N2064" t="s">
        <v>9948</v>
      </c>
      <c r="O2064" t="s">
        <v>11130</v>
      </c>
      <c r="P2064" t="s">
        <v>11164</v>
      </c>
      <c r="R2064" t="s">
        <v>11180</v>
      </c>
      <c r="S2064" t="s">
        <v>9096</v>
      </c>
      <c r="T2064" t="s">
        <v>11183</v>
      </c>
      <c r="V2064" t="s">
        <v>294</v>
      </c>
      <c r="W2064">
        <v>913.75</v>
      </c>
      <c r="X2064" t="s">
        <v>11333</v>
      </c>
      <c r="Y2064" t="s">
        <v>11346</v>
      </c>
      <c r="Z2064" t="s">
        <v>12786</v>
      </c>
      <c r="AB2064" t="s">
        <v>17167</v>
      </c>
      <c r="AC2064">
        <v>0</v>
      </c>
      <c r="AD2064" t="s">
        <v>19566</v>
      </c>
      <c r="AE2064" t="s">
        <v>19587</v>
      </c>
      <c r="AF2064">
        <v>16</v>
      </c>
      <c r="AG2064">
        <v>1</v>
      </c>
      <c r="AH2064">
        <v>0</v>
      </c>
      <c r="AI2064">
        <v>75.13</v>
      </c>
      <c r="AM2064">
        <v>9384</v>
      </c>
      <c r="AS2064">
        <v>0</v>
      </c>
      <c r="AU2064" t="s">
        <v>118</v>
      </c>
      <c r="AV2064" t="s">
        <v>20733</v>
      </c>
    </row>
    <row r="2065" spans="1:48">
      <c r="A2065" s="1">
        <f>HYPERLINK("https://lsnyc.legalserver.org/matter/dynamic-profile/view/0820581","16-0820581")</f>
        <v>0</v>
      </c>
      <c r="B2065" t="s">
        <v>101</v>
      </c>
      <c r="C2065" t="s">
        <v>256</v>
      </c>
      <c r="D2065" t="s">
        <v>889</v>
      </c>
      <c r="F2065" t="s">
        <v>2096</v>
      </c>
      <c r="G2065" t="s">
        <v>1853</v>
      </c>
      <c r="H2065" t="s">
        <v>5898</v>
      </c>
      <c r="I2065" t="s">
        <v>8551</v>
      </c>
      <c r="J2065" t="s">
        <v>9065</v>
      </c>
      <c r="K2065">
        <v>10452</v>
      </c>
      <c r="L2065" t="s">
        <v>9094</v>
      </c>
      <c r="M2065" t="s">
        <v>9095</v>
      </c>
      <c r="O2065" t="s">
        <v>11132</v>
      </c>
      <c r="P2065" t="s">
        <v>11165</v>
      </c>
      <c r="R2065" t="s">
        <v>11180</v>
      </c>
      <c r="S2065" t="s">
        <v>9094</v>
      </c>
      <c r="T2065" t="s">
        <v>11183</v>
      </c>
      <c r="V2065" t="s">
        <v>11225</v>
      </c>
      <c r="W2065">
        <v>165</v>
      </c>
      <c r="X2065" t="s">
        <v>11333</v>
      </c>
      <c r="Y2065" t="s">
        <v>11346</v>
      </c>
      <c r="Z2065" t="s">
        <v>12787</v>
      </c>
      <c r="AC2065">
        <v>130</v>
      </c>
      <c r="AD2065" t="s">
        <v>19569</v>
      </c>
      <c r="AE2065" t="s">
        <v>19580</v>
      </c>
      <c r="AF2065">
        <v>1</v>
      </c>
      <c r="AG2065">
        <v>1</v>
      </c>
      <c r="AH2065">
        <v>0</v>
      </c>
      <c r="AI2065">
        <v>75.15000000000001</v>
      </c>
      <c r="AL2065" t="s">
        <v>19614</v>
      </c>
      <c r="AM2065">
        <v>8928</v>
      </c>
      <c r="AS2065">
        <v>0</v>
      </c>
      <c r="AU2065" t="s">
        <v>20643</v>
      </c>
    </row>
    <row r="2066" spans="1:48">
      <c r="A2066" s="1">
        <f>HYPERLINK("https://lsnyc.legalserver.org/matter/dynamic-profile/view/1906273","19-1906273")</f>
        <v>0</v>
      </c>
      <c r="B2066" t="s">
        <v>68</v>
      </c>
      <c r="C2066" t="s">
        <v>257</v>
      </c>
      <c r="D2066" t="s">
        <v>372</v>
      </c>
      <c r="E2066" t="s">
        <v>669</v>
      </c>
      <c r="F2066" t="s">
        <v>1413</v>
      </c>
      <c r="G2066" t="s">
        <v>4307</v>
      </c>
      <c r="H2066" t="s">
        <v>6796</v>
      </c>
      <c r="I2066" t="s">
        <v>8552</v>
      </c>
      <c r="J2066" t="s">
        <v>9059</v>
      </c>
      <c r="K2066">
        <v>11233</v>
      </c>
      <c r="L2066" t="s">
        <v>9094</v>
      </c>
      <c r="M2066" t="s">
        <v>9095</v>
      </c>
      <c r="N2066" t="s">
        <v>9949</v>
      </c>
      <c r="O2066" t="s">
        <v>11128</v>
      </c>
      <c r="P2066" t="s">
        <v>11165</v>
      </c>
      <c r="Q2066" t="s">
        <v>11174</v>
      </c>
      <c r="R2066" t="s">
        <v>11180</v>
      </c>
      <c r="S2066" t="s">
        <v>9096</v>
      </c>
      <c r="T2066" t="s">
        <v>11183</v>
      </c>
      <c r="U2066" t="s">
        <v>11201</v>
      </c>
      <c r="V2066" t="s">
        <v>282</v>
      </c>
      <c r="W2066">
        <v>2300</v>
      </c>
      <c r="X2066" t="s">
        <v>11332</v>
      </c>
      <c r="Y2066" t="s">
        <v>11157</v>
      </c>
      <c r="Z2066" t="s">
        <v>12788</v>
      </c>
      <c r="AB2066" t="s">
        <v>17168</v>
      </c>
      <c r="AC2066">
        <v>3</v>
      </c>
      <c r="AD2066" t="s">
        <v>19565</v>
      </c>
      <c r="AE2066" t="s">
        <v>19586</v>
      </c>
      <c r="AF2066">
        <v>4</v>
      </c>
      <c r="AG2066">
        <v>3</v>
      </c>
      <c r="AH2066">
        <v>3</v>
      </c>
      <c r="AI2066">
        <v>75.17</v>
      </c>
      <c r="AL2066" t="s">
        <v>19614</v>
      </c>
      <c r="AM2066">
        <v>26000</v>
      </c>
      <c r="AS2066">
        <v>2.3</v>
      </c>
      <c r="AT2066" t="s">
        <v>288</v>
      </c>
      <c r="AU2066" t="s">
        <v>79</v>
      </c>
      <c r="AV2066" t="s">
        <v>20733</v>
      </c>
    </row>
    <row r="2067" spans="1:48">
      <c r="A2067" s="1">
        <f>HYPERLINK("https://lsnyc.legalserver.org/matter/dynamic-profile/view/1909226","19-1909226")</f>
        <v>0</v>
      </c>
      <c r="B2067" t="s">
        <v>74</v>
      </c>
      <c r="C2067" t="s">
        <v>256</v>
      </c>
      <c r="D2067" t="s">
        <v>472</v>
      </c>
      <c r="F2067" t="s">
        <v>1413</v>
      </c>
      <c r="G2067" t="s">
        <v>4307</v>
      </c>
      <c r="H2067" t="s">
        <v>6796</v>
      </c>
      <c r="I2067" t="s">
        <v>8552</v>
      </c>
      <c r="J2067" t="s">
        <v>9059</v>
      </c>
      <c r="K2067">
        <v>11233</v>
      </c>
      <c r="L2067" t="s">
        <v>9094</v>
      </c>
      <c r="M2067" t="s">
        <v>9095</v>
      </c>
      <c r="N2067" t="s">
        <v>9950</v>
      </c>
      <c r="O2067" t="s">
        <v>11129</v>
      </c>
      <c r="P2067" t="s">
        <v>11165</v>
      </c>
      <c r="R2067" t="s">
        <v>11180</v>
      </c>
      <c r="S2067" t="s">
        <v>9096</v>
      </c>
      <c r="T2067" t="s">
        <v>11183</v>
      </c>
      <c r="U2067" t="s">
        <v>11201</v>
      </c>
      <c r="V2067" t="s">
        <v>282</v>
      </c>
      <c r="W2067">
        <v>2300</v>
      </c>
      <c r="X2067" t="s">
        <v>11332</v>
      </c>
      <c r="Y2067" t="s">
        <v>11340</v>
      </c>
      <c r="Z2067" t="s">
        <v>12788</v>
      </c>
      <c r="AA2067" t="s">
        <v>9144</v>
      </c>
      <c r="AB2067" t="s">
        <v>17168</v>
      </c>
      <c r="AC2067">
        <v>3</v>
      </c>
      <c r="AD2067" t="s">
        <v>19566</v>
      </c>
      <c r="AE2067" t="s">
        <v>19586</v>
      </c>
      <c r="AF2067">
        <v>4</v>
      </c>
      <c r="AG2067">
        <v>3</v>
      </c>
      <c r="AH2067">
        <v>3</v>
      </c>
      <c r="AI2067">
        <v>75.17</v>
      </c>
      <c r="AL2067" t="s">
        <v>19614</v>
      </c>
      <c r="AM2067">
        <v>26000</v>
      </c>
      <c r="AS2067">
        <v>3.4</v>
      </c>
      <c r="AT2067" t="s">
        <v>563</v>
      </c>
      <c r="AU2067" t="s">
        <v>95</v>
      </c>
      <c r="AV2067" t="s">
        <v>20733</v>
      </c>
    </row>
    <row r="2068" spans="1:48">
      <c r="A2068" s="1">
        <f>HYPERLINK("https://lsnyc.legalserver.org/matter/dynamic-profile/view/1907315","19-1907315")</f>
        <v>0</v>
      </c>
      <c r="B2068" t="s">
        <v>119</v>
      </c>
      <c r="C2068" t="s">
        <v>256</v>
      </c>
      <c r="D2068" t="s">
        <v>474</v>
      </c>
      <c r="F2068" t="s">
        <v>1402</v>
      </c>
      <c r="G2068" t="s">
        <v>4308</v>
      </c>
      <c r="H2068" t="s">
        <v>6797</v>
      </c>
      <c r="I2068">
        <v>9</v>
      </c>
      <c r="J2068" t="s">
        <v>9065</v>
      </c>
      <c r="K2068">
        <v>10451</v>
      </c>
      <c r="L2068" t="s">
        <v>9094</v>
      </c>
      <c r="M2068" t="s">
        <v>9095</v>
      </c>
      <c r="P2068" t="s">
        <v>11164</v>
      </c>
      <c r="R2068" t="s">
        <v>11180</v>
      </c>
      <c r="S2068" t="s">
        <v>9094</v>
      </c>
      <c r="T2068" t="s">
        <v>11183</v>
      </c>
      <c r="W2068">
        <v>1142</v>
      </c>
      <c r="X2068" t="s">
        <v>11333</v>
      </c>
      <c r="Y2068" t="s">
        <v>11346</v>
      </c>
      <c r="Z2068" t="s">
        <v>12789</v>
      </c>
      <c r="AB2068" t="s">
        <v>17169</v>
      </c>
      <c r="AC2068">
        <v>14</v>
      </c>
      <c r="AD2068" t="s">
        <v>15441</v>
      </c>
      <c r="AE2068" t="s">
        <v>9144</v>
      </c>
      <c r="AF2068">
        <v>14</v>
      </c>
      <c r="AG2068">
        <v>3</v>
      </c>
      <c r="AH2068">
        <v>3</v>
      </c>
      <c r="AI2068">
        <v>75.17</v>
      </c>
      <c r="AL2068" t="s">
        <v>19615</v>
      </c>
      <c r="AM2068">
        <v>26000</v>
      </c>
      <c r="AS2068">
        <v>0</v>
      </c>
      <c r="AU2068" t="s">
        <v>163</v>
      </c>
      <c r="AV2068" t="s">
        <v>20733</v>
      </c>
    </row>
    <row r="2069" spans="1:48">
      <c r="A2069" s="1">
        <f>HYPERLINK("https://lsnyc.legalserver.org/matter/dynamic-profile/view/1912969","19-1912969")</f>
        <v>0</v>
      </c>
      <c r="B2069" t="s">
        <v>132</v>
      </c>
      <c r="C2069" t="s">
        <v>256</v>
      </c>
      <c r="D2069" t="s">
        <v>294</v>
      </c>
      <c r="F2069" t="s">
        <v>1397</v>
      </c>
      <c r="G2069" t="s">
        <v>3364</v>
      </c>
      <c r="H2069" t="s">
        <v>6798</v>
      </c>
      <c r="I2069" t="s">
        <v>8178</v>
      </c>
      <c r="J2069" t="s">
        <v>9067</v>
      </c>
      <c r="K2069">
        <v>10032</v>
      </c>
      <c r="L2069" t="s">
        <v>9094</v>
      </c>
      <c r="M2069" t="s">
        <v>9095</v>
      </c>
      <c r="P2069" t="s">
        <v>11169</v>
      </c>
      <c r="R2069" t="s">
        <v>11180</v>
      </c>
      <c r="S2069" t="s">
        <v>9096</v>
      </c>
      <c r="T2069" t="s">
        <v>11183</v>
      </c>
      <c r="V2069" t="s">
        <v>294</v>
      </c>
      <c r="W2069">
        <v>2400</v>
      </c>
      <c r="X2069" t="s">
        <v>11335</v>
      </c>
      <c r="Y2069" t="s">
        <v>11339</v>
      </c>
      <c r="Z2069" t="s">
        <v>12790</v>
      </c>
      <c r="AC2069">
        <v>0</v>
      </c>
      <c r="AD2069" t="s">
        <v>19566</v>
      </c>
      <c r="AE2069" t="s">
        <v>9144</v>
      </c>
      <c r="AF2069">
        <v>9</v>
      </c>
      <c r="AG2069">
        <v>2</v>
      </c>
      <c r="AH2069">
        <v>4</v>
      </c>
      <c r="AI2069">
        <v>75.17</v>
      </c>
      <c r="AL2069" t="s">
        <v>19615</v>
      </c>
      <c r="AM2069">
        <v>26000</v>
      </c>
      <c r="AS2069">
        <v>7.2</v>
      </c>
      <c r="AT2069" t="s">
        <v>632</v>
      </c>
      <c r="AU2069" t="s">
        <v>130</v>
      </c>
      <c r="AV2069" t="s">
        <v>20733</v>
      </c>
    </row>
    <row r="2070" spans="1:48">
      <c r="A2070" s="1">
        <f>HYPERLINK("https://lsnyc.legalserver.org/matter/dynamic-profile/view/1849456","17-1849456")</f>
        <v>0</v>
      </c>
      <c r="B2070" t="s">
        <v>75</v>
      </c>
      <c r="C2070" t="s">
        <v>256</v>
      </c>
      <c r="D2070" t="s">
        <v>890</v>
      </c>
      <c r="F2070" t="s">
        <v>2097</v>
      </c>
      <c r="G2070" t="s">
        <v>3344</v>
      </c>
      <c r="H2070" t="s">
        <v>6799</v>
      </c>
      <c r="I2070" t="s">
        <v>8453</v>
      </c>
      <c r="J2070" t="s">
        <v>9059</v>
      </c>
      <c r="K2070">
        <v>11208</v>
      </c>
      <c r="L2070" t="s">
        <v>9094</v>
      </c>
      <c r="M2070" t="s">
        <v>9094</v>
      </c>
      <c r="N2070" t="s">
        <v>9951</v>
      </c>
      <c r="O2070" t="s">
        <v>11129</v>
      </c>
      <c r="P2070" t="s">
        <v>11165</v>
      </c>
      <c r="R2070" t="s">
        <v>11180</v>
      </c>
      <c r="S2070" t="s">
        <v>9096</v>
      </c>
      <c r="T2070" t="s">
        <v>11183</v>
      </c>
      <c r="U2070" t="s">
        <v>11201</v>
      </c>
      <c r="V2070" t="s">
        <v>890</v>
      </c>
      <c r="W2070">
        <v>1241.32</v>
      </c>
      <c r="X2070" t="s">
        <v>11332</v>
      </c>
      <c r="Z2070" t="s">
        <v>11622</v>
      </c>
      <c r="AA2070" t="s">
        <v>15649</v>
      </c>
      <c r="AB2070" t="s">
        <v>17170</v>
      </c>
      <c r="AC2070">
        <v>53</v>
      </c>
      <c r="AD2070" t="s">
        <v>19566</v>
      </c>
      <c r="AE2070" t="s">
        <v>19585</v>
      </c>
      <c r="AF2070">
        <v>10</v>
      </c>
      <c r="AG2070">
        <v>1</v>
      </c>
      <c r="AH2070">
        <v>0</v>
      </c>
      <c r="AI2070">
        <v>75.22</v>
      </c>
      <c r="AL2070" t="s">
        <v>19614</v>
      </c>
      <c r="AM2070">
        <v>9072</v>
      </c>
      <c r="AS2070">
        <v>97.40000000000001</v>
      </c>
      <c r="AT2070" t="s">
        <v>864</v>
      </c>
      <c r="AU2070" t="s">
        <v>20636</v>
      </c>
    </row>
    <row r="2071" spans="1:48">
      <c r="A2071" s="1">
        <f>HYPERLINK("https://lsnyc.legalserver.org/matter/dynamic-profile/view/0828022","17-0828022")</f>
        <v>0</v>
      </c>
      <c r="B2071" t="s">
        <v>139</v>
      </c>
      <c r="C2071" t="s">
        <v>256</v>
      </c>
      <c r="D2071" t="s">
        <v>747</v>
      </c>
      <c r="F2071" t="s">
        <v>2098</v>
      </c>
      <c r="G2071" t="s">
        <v>3510</v>
      </c>
      <c r="H2071" t="s">
        <v>6425</v>
      </c>
      <c r="I2071" t="s">
        <v>8170</v>
      </c>
      <c r="J2071" t="s">
        <v>9067</v>
      </c>
      <c r="K2071">
        <v>10034</v>
      </c>
      <c r="L2071" t="s">
        <v>9096</v>
      </c>
      <c r="M2071" t="s">
        <v>9095</v>
      </c>
      <c r="O2071" t="s">
        <v>11130</v>
      </c>
      <c r="P2071" t="s">
        <v>11165</v>
      </c>
      <c r="R2071" t="s">
        <v>11180</v>
      </c>
      <c r="S2071" t="s">
        <v>9094</v>
      </c>
      <c r="T2071" t="s">
        <v>11183</v>
      </c>
      <c r="V2071" t="s">
        <v>927</v>
      </c>
      <c r="W2071">
        <v>1529</v>
      </c>
      <c r="X2071" t="s">
        <v>11335</v>
      </c>
      <c r="Y2071" t="s">
        <v>11339</v>
      </c>
      <c r="Z2071" t="s">
        <v>11850</v>
      </c>
      <c r="AB2071" t="s">
        <v>17171</v>
      </c>
      <c r="AC2071">
        <v>25</v>
      </c>
      <c r="AD2071" t="s">
        <v>19566</v>
      </c>
      <c r="AE2071" t="s">
        <v>19580</v>
      </c>
      <c r="AF2071">
        <v>28</v>
      </c>
      <c r="AG2071">
        <v>1</v>
      </c>
      <c r="AH2071">
        <v>0</v>
      </c>
      <c r="AI2071">
        <v>75.22</v>
      </c>
      <c r="AL2071" t="s">
        <v>19615</v>
      </c>
      <c r="AM2071">
        <v>9072</v>
      </c>
      <c r="AS2071">
        <v>1</v>
      </c>
      <c r="AT2071" t="s">
        <v>397</v>
      </c>
      <c r="AU2071" t="s">
        <v>20657</v>
      </c>
    </row>
    <row r="2072" spans="1:48">
      <c r="A2072" s="1">
        <f>HYPERLINK("https://lsnyc.legalserver.org/matter/dynamic-profile/view/1898121","19-1898121")</f>
        <v>0</v>
      </c>
      <c r="B2072" t="s">
        <v>174</v>
      </c>
      <c r="C2072" t="s">
        <v>256</v>
      </c>
      <c r="D2072" t="s">
        <v>470</v>
      </c>
      <c r="F2072" t="s">
        <v>1476</v>
      </c>
      <c r="G2072" t="s">
        <v>4309</v>
      </c>
      <c r="H2072" t="s">
        <v>6800</v>
      </c>
      <c r="I2072" t="s">
        <v>8170</v>
      </c>
      <c r="J2072" t="s">
        <v>9065</v>
      </c>
      <c r="K2072">
        <v>10452</v>
      </c>
      <c r="L2072" t="s">
        <v>9094</v>
      </c>
      <c r="M2072" t="s">
        <v>9094</v>
      </c>
      <c r="O2072" t="s">
        <v>11128</v>
      </c>
      <c r="P2072" t="s">
        <v>11164</v>
      </c>
      <c r="R2072" t="s">
        <v>11180</v>
      </c>
      <c r="S2072" t="s">
        <v>9096</v>
      </c>
      <c r="T2072" t="s">
        <v>11183</v>
      </c>
      <c r="V2072" t="s">
        <v>470</v>
      </c>
      <c r="W2072">
        <v>550</v>
      </c>
      <c r="X2072" t="s">
        <v>11333</v>
      </c>
      <c r="Y2072" t="s">
        <v>11346</v>
      </c>
      <c r="Z2072" t="s">
        <v>11869</v>
      </c>
      <c r="AC2072">
        <v>21</v>
      </c>
      <c r="AD2072" t="s">
        <v>19566</v>
      </c>
      <c r="AE2072" t="s">
        <v>19587</v>
      </c>
      <c r="AF2072">
        <v>13</v>
      </c>
      <c r="AG2072">
        <v>1</v>
      </c>
      <c r="AH2072">
        <v>0</v>
      </c>
      <c r="AI2072">
        <v>75.23</v>
      </c>
      <c r="AL2072" t="s">
        <v>19614</v>
      </c>
      <c r="AM2072">
        <v>9396</v>
      </c>
      <c r="AS2072">
        <v>2.7</v>
      </c>
      <c r="AT2072" t="s">
        <v>486</v>
      </c>
      <c r="AU2072" t="s">
        <v>174</v>
      </c>
      <c r="AV2072" t="s">
        <v>20733</v>
      </c>
    </row>
    <row r="2073" spans="1:48">
      <c r="A2073" s="1">
        <f>HYPERLINK("https://lsnyc.legalserver.org/matter/dynamic-profile/view/1897501","19-1897501")</f>
        <v>0</v>
      </c>
      <c r="B2073" t="s">
        <v>57</v>
      </c>
      <c r="C2073" t="s">
        <v>256</v>
      </c>
      <c r="D2073" t="s">
        <v>318</v>
      </c>
      <c r="F2073" t="s">
        <v>1655</v>
      </c>
      <c r="G2073" t="s">
        <v>4310</v>
      </c>
      <c r="H2073" t="s">
        <v>6801</v>
      </c>
      <c r="I2073" t="s">
        <v>8218</v>
      </c>
      <c r="J2073" t="s">
        <v>9061</v>
      </c>
      <c r="K2073">
        <v>11102</v>
      </c>
      <c r="L2073" t="s">
        <v>9094</v>
      </c>
      <c r="M2073" t="s">
        <v>9094</v>
      </c>
      <c r="N2073" t="s">
        <v>9102</v>
      </c>
      <c r="O2073" t="s">
        <v>11137</v>
      </c>
      <c r="P2073" t="s">
        <v>11167</v>
      </c>
      <c r="R2073" t="s">
        <v>11180</v>
      </c>
      <c r="S2073" t="s">
        <v>9096</v>
      </c>
      <c r="T2073" t="s">
        <v>11183</v>
      </c>
      <c r="V2073" t="s">
        <v>318</v>
      </c>
      <c r="W2073">
        <v>1048.94</v>
      </c>
      <c r="X2073" t="s">
        <v>11331</v>
      </c>
      <c r="Y2073" t="s">
        <v>11346</v>
      </c>
      <c r="Z2073" t="s">
        <v>12791</v>
      </c>
      <c r="AB2073" t="s">
        <v>17172</v>
      </c>
      <c r="AC2073">
        <v>6</v>
      </c>
      <c r="AD2073" t="s">
        <v>19566</v>
      </c>
      <c r="AE2073" t="s">
        <v>19587</v>
      </c>
      <c r="AF2073">
        <v>30</v>
      </c>
      <c r="AG2073">
        <v>1</v>
      </c>
      <c r="AH2073">
        <v>0</v>
      </c>
      <c r="AI2073">
        <v>75.31999999999999</v>
      </c>
      <c r="AL2073" t="s">
        <v>19614</v>
      </c>
      <c r="AM2073">
        <v>9408</v>
      </c>
      <c r="AS2073">
        <v>1.8</v>
      </c>
      <c r="AT2073" t="s">
        <v>292</v>
      </c>
      <c r="AU2073" t="s">
        <v>59</v>
      </c>
      <c r="AV2073" t="s">
        <v>20733</v>
      </c>
    </row>
    <row r="2074" spans="1:48">
      <c r="A2074" s="1">
        <f>HYPERLINK("https://lsnyc.legalserver.org/matter/dynamic-profile/view/1901422","19-1901422")</f>
        <v>0</v>
      </c>
      <c r="B2074" t="s">
        <v>108</v>
      </c>
      <c r="C2074" t="s">
        <v>257</v>
      </c>
      <c r="D2074" t="s">
        <v>559</v>
      </c>
      <c r="E2074" t="s">
        <v>487</v>
      </c>
      <c r="F2074" t="s">
        <v>1281</v>
      </c>
      <c r="G2074" t="s">
        <v>2245</v>
      </c>
      <c r="H2074" t="s">
        <v>6178</v>
      </c>
      <c r="I2074" t="s">
        <v>8553</v>
      </c>
      <c r="J2074" t="s">
        <v>9065</v>
      </c>
      <c r="K2074">
        <v>10453</v>
      </c>
      <c r="L2074" t="s">
        <v>9094</v>
      </c>
      <c r="M2074" t="s">
        <v>9095</v>
      </c>
      <c r="N2074" t="s">
        <v>9952</v>
      </c>
      <c r="O2074" t="s">
        <v>9121</v>
      </c>
      <c r="P2074" t="s">
        <v>11167</v>
      </c>
      <c r="Q2074" t="s">
        <v>11173</v>
      </c>
      <c r="R2074" t="s">
        <v>11180</v>
      </c>
      <c r="S2074" t="s">
        <v>9096</v>
      </c>
      <c r="T2074" t="s">
        <v>11183</v>
      </c>
      <c r="V2074" t="s">
        <v>11218</v>
      </c>
      <c r="W2074">
        <v>1002</v>
      </c>
      <c r="X2074" t="s">
        <v>11333</v>
      </c>
      <c r="Y2074" t="s">
        <v>11340</v>
      </c>
      <c r="Z2074" t="s">
        <v>12792</v>
      </c>
      <c r="AB2074" t="s">
        <v>17173</v>
      </c>
      <c r="AC2074">
        <v>400</v>
      </c>
      <c r="AE2074" t="s">
        <v>9144</v>
      </c>
      <c r="AF2074">
        <v>4</v>
      </c>
      <c r="AG2074">
        <v>1</v>
      </c>
      <c r="AH2074">
        <v>0</v>
      </c>
      <c r="AI2074">
        <v>75.31999999999999</v>
      </c>
      <c r="AL2074" t="s">
        <v>19614</v>
      </c>
      <c r="AM2074">
        <v>9408</v>
      </c>
      <c r="AS2074">
        <v>1.9</v>
      </c>
      <c r="AT2074" t="s">
        <v>483</v>
      </c>
      <c r="AU2074" t="s">
        <v>20639</v>
      </c>
      <c r="AV2074" t="s">
        <v>20733</v>
      </c>
    </row>
    <row r="2075" spans="1:48">
      <c r="A2075" s="1">
        <f>HYPERLINK("https://lsnyc.legalserver.org/matter/dynamic-profile/view/1902898","19-1902898")</f>
        <v>0</v>
      </c>
      <c r="B2075" t="s">
        <v>50</v>
      </c>
      <c r="C2075" t="s">
        <v>256</v>
      </c>
      <c r="D2075" t="s">
        <v>760</v>
      </c>
      <c r="F2075" t="s">
        <v>1964</v>
      </c>
      <c r="G2075" t="s">
        <v>4311</v>
      </c>
      <c r="H2075" t="s">
        <v>6802</v>
      </c>
      <c r="I2075" t="s">
        <v>8554</v>
      </c>
      <c r="J2075" t="s">
        <v>9054</v>
      </c>
      <c r="K2075">
        <v>11368</v>
      </c>
      <c r="L2075" t="s">
        <v>9094</v>
      </c>
      <c r="M2075" t="s">
        <v>9095</v>
      </c>
      <c r="N2075" t="s">
        <v>9953</v>
      </c>
      <c r="O2075" t="s">
        <v>11134</v>
      </c>
      <c r="P2075" t="s">
        <v>11168</v>
      </c>
      <c r="R2075" t="s">
        <v>11180</v>
      </c>
      <c r="S2075" t="s">
        <v>9094</v>
      </c>
      <c r="T2075" t="s">
        <v>11183</v>
      </c>
      <c r="U2075" t="s">
        <v>11201</v>
      </c>
      <c r="V2075" t="s">
        <v>280</v>
      </c>
      <c r="W2075">
        <v>1240</v>
      </c>
      <c r="X2075" t="s">
        <v>11331</v>
      </c>
      <c r="Y2075" t="s">
        <v>11340</v>
      </c>
      <c r="Z2075" t="s">
        <v>12793</v>
      </c>
      <c r="AA2075" t="s">
        <v>15274</v>
      </c>
      <c r="AB2075" t="s">
        <v>17174</v>
      </c>
      <c r="AC2075">
        <v>230</v>
      </c>
      <c r="AD2075" t="s">
        <v>19566</v>
      </c>
      <c r="AE2075" t="s">
        <v>9144</v>
      </c>
      <c r="AF2075">
        <v>24</v>
      </c>
      <c r="AG2075">
        <v>2</v>
      </c>
      <c r="AH2075">
        <v>1</v>
      </c>
      <c r="AI2075">
        <v>75.39</v>
      </c>
      <c r="AM2075">
        <v>16080</v>
      </c>
      <c r="AS2075">
        <v>1</v>
      </c>
      <c r="AT2075" t="s">
        <v>760</v>
      </c>
      <c r="AU2075" t="s">
        <v>50</v>
      </c>
    </row>
    <row r="2076" spans="1:48">
      <c r="A2076" s="1">
        <f>HYPERLINK("https://lsnyc.legalserver.org/matter/dynamic-profile/view/1888246","19-1888246")</f>
        <v>0</v>
      </c>
      <c r="B2076" t="s">
        <v>113</v>
      </c>
      <c r="C2076" t="s">
        <v>256</v>
      </c>
      <c r="D2076" t="s">
        <v>756</v>
      </c>
      <c r="F2076" t="s">
        <v>1793</v>
      </c>
      <c r="G2076" t="s">
        <v>4250</v>
      </c>
      <c r="H2076" t="s">
        <v>5864</v>
      </c>
      <c r="I2076" t="s">
        <v>8511</v>
      </c>
      <c r="J2076" t="s">
        <v>9065</v>
      </c>
      <c r="K2076">
        <v>10460</v>
      </c>
      <c r="L2076" t="s">
        <v>9094</v>
      </c>
      <c r="M2076" t="s">
        <v>9094</v>
      </c>
      <c r="N2076" t="s">
        <v>9222</v>
      </c>
      <c r="O2076" t="s">
        <v>11130</v>
      </c>
      <c r="P2076" t="s">
        <v>11165</v>
      </c>
      <c r="R2076" t="s">
        <v>11180</v>
      </c>
      <c r="S2076" t="s">
        <v>9094</v>
      </c>
      <c r="T2076" t="s">
        <v>11183</v>
      </c>
      <c r="V2076" t="s">
        <v>512</v>
      </c>
      <c r="W2076">
        <v>1694</v>
      </c>
      <c r="X2076" t="s">
        <v>11333</v>
      </c>
      <c r="Y2076" t="s">
        <v>11346</v>
      </c>
      <c r="Z2076" t="s">
        <v>12698</v>
      </c>
      <c r="AB2076" t="s">
        <v>17077</v>
      </c>
      <c r="AC2076">
        <v>168</v>
      </c>
      <c r="AD2076" t="s">
        <v>19575</v>
      </c>
      <c r="AE2076" t="s">
        <v>19580</v>
      </c>
      <c r="AF2076">
        <v>35</v>
      </c>
      <c r="AG2076">
        <v>1</v>
      </c>
      <c r="AH2076">
        <v>0</v>
      </c>
      <c r="AI2076">
        <v>75.42</v>
      </c>
      <c r="AL2076" t="s">
        <v>19614</v>
      </c>
      <c r="AM2076">
        <v>9156</v>
      </c>
      <c r="AS2076">
        <v>0</v>
      </c>
      <c r="AU2076" t="s">
        <v>20647</v>
      </c>
    </row>
    <row r="2077" spans="1:48">
      <c r="A2077" s="1">
        <f>HYPERLINK("https://lsnyc.legalserver.org/matter/dynamic-profile/view/0820034","16-0820034")</f>
        <v>0</v>
      </c>
      <c r="B2077" t="s">
        <v>77</v>
      </c>
      <c r="C2077" t="s">
        <v>256</v>
      </c>
      <c r="D2077" t="s">
        <v>891</v>
      </c>
      <c r="F2077" t="s">
        <v>1891</v>
      </c>
      <c r="G2077" t="s">
        <v>4312</v>
      </c>
      <c r="H2077" t="s">
        <v>6803</v>
      </c>
      <c r="I2077" t="s">
        <v>8134</v>
      </c>
      <c r="J2077" t="s">
        <v>9059</v>
      </c>
      <c r="K2077">
        <v>11212</v>
      </c>
      <c r="L2077" t="s">
        <v>9094</v>
      </c>
      <c r="M2077" t="s">
        <v>9095</v>
      </c>
      <c r="O2077" t="s">
        <v>9121</v>
      </c>
      <c r="P2077" t="s">
        <v>11167</v>
      </c>
      <c r="R2077" t="s">
        <v>11180</v>
      </c>
      <c r="S2077" t="s">
        <v>9094</v>
      </c>
      <c r="T2077" t="s">
        <v>11183</v>
      </c>
      <c r="V2077" t="s">
        <v>11256</v>
      </c>
      <c r="W2077">
        <v>1268</v>
      </c>
      <c r="X2077" t="s">
        <v>11332</v>
      </c>
      <c r="Y2077" t="s">
        <v>11339</v>
      </c>
      <c r="Z2077" t="s">
        <v>12794</v>
      </c>
      <c r="AA2077" t="s">
        <v>15650</v>
      </c>
      <c r="AB2077" t="s">
        <v>17175</v>
      </c>
      <c r="AC2077">
        <v>71</v>
      </c>
      <c r="AD2077" t="s">
        <v>19566</v>
      </c>
      <c r="AE2077" t="s">
        <v>11157</v>
      </c>
      <c r="AF2077">
        <v>8</v>
      </c>
      <c r="AG2077">
        <v>1</v>
      </c>
      <c r="AH2077">
        <v>2</v>
      </c>
      <c r="AI2077">
        <v>75.48</v>
      </c>
      <c r="AL2077" t="s">
        <v>19614</v>
      </c>
      <c r="AM2077">
        <v>15216</v>
      </c>
      <c r="AS2077">
        <v>96.55</v>
      </c>
      <c r="AT2077" t="s">
        <v>502</v>
      </c>
      <c r="AU2077" t="s">
        <v>20685</v>
      </c>
    </row>
    <row r="2078" spans="1:48">
      <c r="A2078" s="1">
        <f>HYPERLINK("https://lsnyc.legalserver.org/matter/dynamic-profile/view/1898171","19-1898171")</f>
        <v>0</v>
      </c>
      <c r="B2078" t="s">
        <v>91</v>
      </c>
      <c r="C2078" t="s">
        <v>256</v>
      </c>
      <c r="D2078" t="s">
        <v>470</v>
      </c>
      <c r="F2078" t="s">
        <v>1598</v>
      </c>
      <c r="G2078" t="s">
        <v>3761</v>
      </c>
      <c r="H2078" t="s">
        <v>6169</v>
      </c>
      <c r="I2078" t="s">
        <v>8209</v>
      </c>
      <c r="J2078" t="s">
        <v>9059</v>
      </c>
      <c r="K2078">
        <v>11213</v>
      </c>
      <c r="L2078" t="s">
        <v>9094</v>
      </c>
      <c r="M2078" t="s">
        <v>9094</v>
      </c>
      <c r="N2078" t="s">
        <v>9954</v>
      </c>
      <c r="O2078" t="s">
        <v>11134</v>
      </c>
      <c r="P2078" t="s">
        <v>11168</v>
      </c>
      <c r="R2078" t="s">
        <v>11180</v>
      </c>
      <c r="S2078" t="s">
        <v>9094</v>
      </c>
      <c r="T2078" t="s">
        <v>11183</v>
      </c>
      <c r="U2078" t="s">
        <v>11201</v>
      </c>
      <c r="V2078" t="s">
        <v>394</v>
      </c>
      <c r="W2078">
        <v>0</v>
      </c>
      <c r="X2078" t="s">
        <v>11332</v>
      </c>
      <c r="Z2078" t="s">
        <v>11907</v>
      </c>
      <c r="AC2078">
        <v>35</v>
      </c>
      <c r="AD2078" t="s">
        <v>19566</v>
      </c>
      <c r="AF2078">
        <v>0</v>
      </c>
      <c r="AG2078">
        <v>3</v>
      </c>
      <c r="AH2078">
        <v>1</v>
      </c>
      <c r="AI2078">
        <v>75.5</v>
      </c>
      <c r="AL2078" t="s">
        <v>19614</v>
      </c>
      <c r="AM2078">
        <v>19440</v>
      </c>
      <c r="AS2078">
        <v>19.35</v>
      </c>
      <c r="AT2078" t="s">
        <v>336</v>
      </c>
      <c r="AU2078" t="s">
        <v>95</v>
      </c>
      <c r="AV2078" t="s">
        <v>20733</v>
      </c>
    </row>
    <row r="2079" spans="1:48">
      <c r="A2079" s="1">
        <f>HYPERLINK("https://lsnyc.legalserver.org/matter/dynamic-profile/view/1902193","19-1902193")</f>
        <v>0</v>
      </c>
      <c r="B2079" t="s">
        <v>73</v>
      </c>
      <c r="C2079" t="s">
        <v>256</v>
      </c>
      <c r="D2079" t="s">
        <v>584</v>
      </c>
      <c r="F2079" t="s">
        <v>2057</v>
      </c>
      <c r="G2079" t="s">
        <v>2154</v>
      </c>
      <c r="H2079" t="s">
        <v>6804</v>
      </c>
      <c r="I2079">
        <v>2</v>
      </c>
      <c r="J2079" t="s">
        <v>9059</v>
      </c>
      <c r="K2079">
        <v>11207</v>
      </c>
      <c r="L2079" t="s">
        <v>9094</v>
      </c>
      <c r="M2079" t="s">
        <v>9095</v>
      </c>
      <c r="N2079" t="s">
        <v>9955</v>
      </c>
      <c r="O2079" t="s">
        <v>11128</v>
      </c>
      <c r="P2079" t="s">
        <v>11165</v>
      </c>
      <c r="R2079" t="s">
        <v>11180</v>
      </c>
      <c r="S2079" t="s">
        <v>9096</v>
      </c>
      <c r="T2079" t="s">
        <v>11183</v>
      </c>
      <c r="V2079" t="s">
        <v>327</v>
      </c>
      <c r="W2079">
        <v>0</v>
      </c>
      <c r="X2079" t="s">
        <v>11332</v>
      </c>
      <c r="Y2079" t="s">
        <v>11157</v>
      </c>
      <c r="Z2079" t="s">
        <v>12795</v>
      </c>
      <c r="AB2079" t="s">
        <v>17176</v>
      </c>
      <c r="AC2079">
        <v>9</v>
      </c>
      <c r="AD2079" t="s">
        <v>19565</v>
      </c>
      <c r="AE2079" t="s">
        <v>19586</v>
      </c>
      <c r="AF2079">
        <v>3</v>
      </c>
      <c r="AG2079">
        <v>1</v>
      </c>
      <c r="AH2079">
        <v>0</v>
      </c>
      <c r="AI2079">
        <v>75.52</v>
      </c>
      <c r="AL2079" t="s">
        <v>19614</v>
      </c>
      <c r="AM2079">
        <v>9432</v>
      </c>
      <c r="AS2079">
        <v>19.2</v>
      </c>
      <c r="AT2079" t="s">
        <v>1063</v>
      </c>
      <c r="AU2079" t="s">
        <v>20638</v>
      </c>
      <c r="AV2079" t="s">
        <v>20733</v>
      </c>
    </row>
    <row r="2080" spans="1:48">
      <c r="A2080" s="1">
        <f>HYPERLINK("https://lsnyc.legalserver.org/matter/dynamic-profile/view/1905701","19-1905701")</f>
        <v>0</v>
      </c>
      <c r="B2080" t="s">
        <v>202</v>
      </c>
      <c r="C2080" t="s">
        <v>256</v>
      </c>
      <c r="D2080" t="s">
        <v>328</v>
      </c>
      <c r="F2080" t="s">
        <v>2000</v>
      </c>
      <c r="G2080" t="s">
        <v>4256</v>
      </c>
      <c r="H2080" t="s">
        <v>5976</v>
      </c>
      <c r="I2080" t="s">
        <v>8154</v>
      </c>
      <c r="J2080" t="s">
        <v>9059</v>
      </c>
      <c r="K2080">
        <v>11233</v>
      </c>
      <c r="L2080" t="s">
        <v>9094</v>
      </c>
      <c r="M2080" t="s">
        <v>9095</v>
      </c>
      <c r="N2080" t="s">
        <v>9672</v>
      </c>
      <c r="O2080" t="s">
        <v>11130</v>
      </c>
      <c r="P2080" t="s">
        <v>11165</v>
      </c>
      <c r="R2080" t="s">
        <v>11180</v>
      </c>
      <c r="S2080" t="s">
        <v>9094</v>
      </c>
      <c r="T2080" t="s">
        <v>11183</v>
      </c>
      <c r="U2080" t="s">
        <v>11201</v>
      </c>
      <c r="V2080" t="s">
        <v>512</v>
      </c>
      <c r="W2080">
        <v>900</v>
      </c>
      <c r="X2080" t="s">
        <v>11332</v>
      </c>
      <c r="Y2080" t="s">
        <v>11340</v>
      </c>
      <c r="Z2080" t="s">
        <v>12707</v>
      </c>
      <c r="AA2080" t="s">
        <v>15487</v>
      </c>
      <c r="AB2080" t="s">
        <v>17085</v>
      </c>
      <c r="AC2080">
        <v>6</v>
      </c>
      <c r="AD2080" t="s">
        <v>19566</v>
      </c>
      <c r="AE2080" t="s">
        <v>9144</v>
      </c>
      <c r="AF2080">
        <v>16</v>
      </c>
      <c r="AG2080">
        <v>2</v>
      </c>
      <c r="AH2080">
        <v>0</v>
      </c>
      <c r="AI2080">
        <v>75.65000000000001</v>
      </c>
      <c r="AL2080" t="s">
        <v>19614</v>
      </c>
      <c r="AM2080">
        <v>12792</v>
      </c>
      <c r="AS2080">
        <v>0</v>
      </c>
      <c r="AU2080" t="s">
        <v>95</v>
      </c>
      <c r="AV2080" t="s">
        <v>20733</v>
      </c>
    </row>
    <row r="2081" spans="1:48">
      <c r="A2081" s="1">
        <f>HYPERLINK("https://lsnyc.legalserver.org/matter/dynamic-profile/view/1905690","19-1905690")</f>
        <v>0</v>
      </c>
      <c r="B2081" t="s">
        <v>93</v>
      </c>
      <c r="C2081" t="s">
        <v>256</v>
      </c>
      <c r="D2081" t="s">
        <v>328</v>
      </c>
      <c r="F2081" t="s">
        <v>2000</v>
      </c>
      <c r="G2081" t="s">
        <v>4256</v>
      </c>
      <c r="H2081" t="s">
        <v>5976</v>
      </c>
      <c r="I2081" t="s">
        <v>8154</v>
      </c>
      <c r="J2081" t="s">
        <v>9059</v>
      </c>
      <c r="K2081">
        <v>11233</v>
      </c>
      <c r="L2081" t="s">
        <v>9094</v>
      </c>
      <c r="M2081" t="s">
        <v>9095</v>
      </c>
      <c r="N2081" t="s">
        <v>9154</v>
      </c>
      <c r="O2081" t="s">
        <v>11137</v>
      </c>
      <c r="P2081" t="s">
        <v>11167</v>
      </c>
      <c r="R2081" t="s">
        <v>11180</v>
      </c>
      <c r="T2081" t="s">
        <v>11183</v>
      </c>
      <c r="U2081" t="s">
        <v>11201</v>
      </c>
      <c r="V2081" t="s">
        <v>11229</v>
      </c>
      <c r="W2081">
        <v>900</v>
      </c>
      <c r="X2081" t="s">
        <v>11332</v>
      </c>
      <c r="Y2081" t="s">
        <v>11340</v>
      </c>
      <c r="Z2081" t="s">
        <v>12707</v>
      </c>
      <c r="AA2081" t="s">
        <v>9144</v>
      </c>
      <c r="AB2081" t="s">
        <v>17085</v>
      </c>
      <c r="AC2081">
        <v>6</v>
      </c>
      <c r="AD2081" t="s">
        <v>19566</v>
      </c>
      <c r="AE2081" t="s">
        <v>9144</v>
      </c>
      <c r="AF2081">
        <v>16</v>
      </c>
      <c r="AG2081">
        <v>2</v>
      </c>
      <c r="AH2081">
        <v>0</v>
      </c>
      <c r="AI2081">
        <v>75.65000000000001</v>
      </c>
      <c r="AL2081" t="s">
        <v>19614</v>
      </c>
      <c r="AM2081">
        <v>12792</v>
      </c>
      <c r="AS2081">
        <v>0</v>
      </c>
      <c r="AU2081" t="s">
        <v>95</v>
      </c>
      <c r="AV2081" t="s">
        <v>20733</v>
      </c>
    </row>
    <row r="2082" spans="1:48">
      <c r="A2082" s="1">
        <f>HYPERLINK("https://lsnyc.legalserver.org/matter/dynamic-profile/view/1905694","19-1905694")</f>
        <v>0</v>
      </c>
      <c r="B2082" t="s">
        <v>93</v>
      </c>
      <c r="C2082" t="s">
        <v>256</v>
      </c>
      <c r="D2082" t="s">
        <v>328</v>
      </c>
      <c r="F2082" t="s">
        <v>2000</v>
      </c>
      <c r="G2082" t="s">
        <v>4256</v>
      </c>
      <c r="H2082" t="s">
        <v>5976</v>
      </c>
      <c r="I2082" t="s">
        <v>8154</v>
      </c>
      <c r="J2082" t="s">
        <v>9059</v>
      </c>
      <c r="K2082">
        <v>11233</v>
      </c>
      <c r="L2082" t="s">
        <v>9094</v>
      </c>
      <c r="M2082" t="s">
        <v>9095</v>
      </c>
      <c r="O2082" t="s">
        <v>11137</v>
      </c>
      <c r="P2082" t="s">
        <v>11167</v>
      </c>
      <c r="R2082" t="s">
        <v>11180</v>
      </c>
      <c r="S2082" t="s">
        <v>9094</v>
      </c>
      <c r="T2082" t="s">
        <v>11183</v>
      </c>
      <c r="U2082" t="s">
        <v>11201</v>
      </c>
      <c r="V2082" t="s">
        <v>697</v>
      </c>
      <c r="W2082">
        <v>900</v>
      </c>
      <c r="X2082" t="s">
        <v>11332</v>
      </c>
      <c r="Y2082" t="s">
        <v>11340</v>
      </c>
      <c r="Z2082" t="s">
        <v>12707</v>
      </c>
      <c r="AA2082" t="s">
        <v>15287</v>
      </c>
      <c r="AB2082" t="s">
        <v>17085</v>
      </c>
      <c r="AC2082">
        <v>6</v>
      </c>
      <c r="AD2082" t="s">
        <v>19566</v>
      </c>
      <c r="AE2082" t="s">
        <v>9144</v>
      </c>
      <c r="AF2082">
        <v>16</v>
      </c>
      <c r="AG2082">
        <v>2</v>
      </c>
      <c r="AH2082">
        <v>0</v>
      </c>
      <c r="AI2082">
        <v>75.65000000000001</v>
      </c>
      <c r="AL2082" t="s">
        <v>19614</v>
      </c>
      <c r="AM2082">
        <v>12792</v>
      </c>
      <c r="AS2082">
        <v>0</v>
      </c>
      <c r="AU2082" t="s">
        <v>95</v>
      </c>
      <c r="AV2082" t="s">
        <v>20733</v>
      </c>
    </row>
    <row r="2083" spans="1:48">
      <c r="A2083" s="1">
        <f>HYPERLINK("https://lsnyc.legalserver.org/matter/dynamic-profile/view/1905696","19-1905696")</f>
        <v>0</v>
      </c>
      <c r="B2083" t="s">
        <v>93</v>
      </c>
      <c r="C2083" t="s">
        <v>256</v>
      </c>
      <c r="D2083" t="s">
        <v>328</v>
      </c>
      <c r="F2083" t="s">
        <v>2000</v>
      </c>
      <c r="G2083" t="s">
        <v>4256</v>
      </c>
      <c r="H2083" t="s">
        <v>5976</v>
      </c>
      <c r="I2083" t="s">
        <v>8154</v>
      </c>
      <c r="J2083" t="s">
        <v>9059</v>
      </c>
      <c r="K2083">
        <v>11233</v>
      </c>
      <c r="L2083" t="s">
        <v>9094</v>
      </c>
      <c r="M2083" t="s">
        <v>9095</v>
      </c>
      <c r="N2083" t="s">
        <v>9102</v>
      </c>
      <c r="O2083" t="s">
        <v>11137</v>
      </c>
      <c r="P2083" t="s">
        <v>11167</v>
      </c>
      <c r="R2083" t="s">
        <v>11180</v>
      </c>
      <c r="S2083" t="s">
        <v>9094</v>
      </c>
      <c r="T2083" t="s">
        <v>11183</v>
      </c>
      <c r="U2083" t="s">
        <v>11201</v>
      </c>
      <c r="V2083" t="s">
        <v>635</v>
      </c>
      <c r="W2083">
        <v>900</v>
      </c>
      <c r="X2083" t="s">
        <v>11332</v>
      </c>
      <c r="Y2083" t="s">
        <v>11340</v>
      </c>
      <c r="Z2083" t="s">
        <v>12707</v>
      </c>
      <c r="AA2083" t="s">
        <v>15290</v>
      </c>
      <c r="AB2083" t="s">
        <v>17085</v>
      </c>
      <c r="AC2083">
        <v>6</v>
      </c>
      <c r="AD2083" t="s">
        <v>19566</v>
      </c>
      <c r="AE2083" t="s">
        <v>9144</v>
      </c>
      <c r="AF2083">
        <v>16</v>
      </c>
      <c r="AG2083">
        <v>2</v>
      </c>
      <c r="AH2083">
        <v>0</v>
      </c>
      <c r="AI2083">
        <v>75.65000000000001</v>
      </c>
      <c r="AL2083" t="s">
        <v>19614</v>
      </c>
      <c r="AM2083">
        <v>12792</v>
      </c>
      <c r="AS2083">
        <v>0</v>
      </c>
      <c r="AU2083" t="s">
        <v>95</v>
      </c>
      <c r="AV2083" t="s">
        <v>20733</v>
      </c>
    </row>
    <row r="2084" spans="1:48">
      <c r="A2084" s="1">
        <f>HYPERLINK("https://lsnyc.legalserver.org/matter/dynamic-profile/view/1895203","19-1895203")</f>
        <v>0</v>
      </c>
      <c r="B2084" t="s">
        <v>122</v>
      </c>
      <c r="C2084" t="s">
        <v>256</v>
      </c>
      <c r="D2084" t="s">
        <v>350</v>
      </c>
      <c r="F2084" t="s">
        <v>1201</v>
      </c>
      <c r="G2084" t="s">
        <v>4313</v>
      </c>
      <c r="H2084" t="s">
        <v>6805</v>
      </c>
      <c r="I2084" t="s">
        <v>8248</v>
      </c>
      <c r="J2084" t="s">
        <v>9066</v>
      </c>
      <c r="K2084">
        <v>10301</v>
      </c>
      <c r="L2084" t="s">
        <v>9094</v>
      </c>
      <c r="M2084" t="s">
        <v>9094</v>
      </c>
      <c r="N2084" t="s">
        <v>9956</v>
      </c>
      <c r="O2084" t="s">
        <v>11128</v>
      </c>
      <c r="P2084" t="s">
        <v>11165</v>
      </c>
      <c r="R2084" t="s">
        <v>11180</v>
      </c>
      <c r="S2084" t="s">
        <v>9096</v>
      </c>
      <c r="T2084" t="s">
        <v>11183</v>
      </c>
      <c r="U2084" t="s">
        <v>11200</v>
      </c>
      <c r="V2084" t="s">
        <v>350</v>
      </c>
      <c r="W2084">
        <v>1500</v>
      </c>
      <c r="X2084" t="s">
        <v>11334</v>
      </c>
      <c r="Y2084" t="s">
        <v>11345</v>
      </c>
      <c r="Z2084" t="s">
        <v>12796</v>
      </c>
      <c r="AB2084" t="s">
        <v>17177</v>
      </c>
      <c r="AC2084">
        <v>2</v>
      </c>
      <c r="AD2084" t="s">
        <v>19565</v>
      </c>
      <c r="AE2084" t="s">
        <v>19582</v>
      </c>
      <c r="AF2084">
        <v>4</v>
      </c>
      <c r="AG2084">
        <v>4</v>
      </c>
      <c r="AH2084">
        <v>0</v>
      </c>
      <c r="AI2084">
        <v>75.7</v>
      </c>
      <c r="AL2084" t="s">
        <v>19614</v>
      </c>
      <c r="AM2084">
        <v>19492</v>
      </c>
      <c r="AS2084">
        <v>16.2</v>
      </c>
      <c r="AT2084" t="s">
        <v>487</v>
      </c>
      <c r="AU2084" t="s">
        <v>20653</v>
      </c>
      <c r="AV2084" t="s">
        <v>20733</v>
      </c>
    </row>
    <row r="2085" spans="1:48">
      <c r="A2085" s="1">
        <f>HYPERLINK("https://lsnyc.legalserver.org/matter/dynamic-profile/view/1870468","18-1870468")</f>
        <v>0</v>
      </c>
      <c r="B2085" t="s">
        <v>136</v>
      </c>
      <c r="C2085" t="s">
        <v>256</v>
      </c>
      <c r="D2085" t="s">
        <v>400</v>
      </c>
      <c r="F2085" t="s">
        <v>2099</v>
      </c>
      <c r="G2085" t="s">
        <v>4314</v>
      </c>
      <c r="H2085" t="s">
        <v>6806</v>
      </c>
      <c r="I2085" t="s">
        <v>8112</v>
      </c>
      <c r="J2085" t="s">
        <v>9067</v>
      </c>
      <c r="K2085">
        <v>10029</v>
      </c>
      <c r="L2085" t="s">
        <v>9094</v>
      </c>
      <c r="M2085" t="s">
        <v>9094</v>
      </c>
      <c r="N2085" t="s">
        <v>9957</v>
      </c>
      <c r="O2085" t="s">
        <v>11129</v>
      </c>
      <c r="P2085" t="s">
        <v>11165</v>
      </c>
      <c r="R2085" t="s">
        <v>11180</v>
      </c>
      <c r="S2085" t="s">
        <v>9096</v>
      </c>
      <c r="T2085" t="s">
        <v>11183</v>
      </c>
      <c r="U2085" t="s">
        <v>11201</v>
      </c>
      <c r="V2085" t="s">
        <v>869</v>
      </c>
      <c r="W2085">
        <v>986</v>
      </c>
      <c r="X2085" t="s">
        <v>11335</v>
      </c>
      <c r="Y2085" t="s">
        <v>11336</v>
      </c>
      <c r="Z2085" t="s">
        <v>12797</v>
      </c>
      <c r="AB2085" t="s">
        <v>17178</v>
      </c>
      <c r="AC2085">
        <v>24</v>
      </c>
      <c r="AD2085" t="s">
        <v>19571</v>
      </c>
      <c r="AE2085" t="s">
        <v>9144</v>
      </c>
      <c r="AF2085">
        <v>1</v>
      </c>
      <c r="AG2085">
        <v>2</v>
      </c>
      <c r="AH2085">
        <v>2</v>
      </c>
      <c r="AI2085">
        <v>75.7</v>
      </c>
      <c r="AL2085" t="s">
        <v>19615</v>
      </c>
      <c r="AM2085">
        <v>19000</v>
      </c>
      <c r="AS2085">
        <v>63.55</v>
      </c>
      <c r="AT2085" t="s">
        <v>1130</v>
      </c>
      <c r="AU2085" t="s">
        <v>20655</v>
      </c>
      <c r="AV2085" t="s">
        <v>20733</v>
      </c>
    </row>
    <row r="2086" spans="1:48">
      <c r="A2086" s="1">
        <f>HYPERLINK("https://lsnyc.legalserver.org/matter/dynamic-profile/view/1899242","19-1899242")</f>
        <v>0</v>
      </c>
      <c r="B2086" t="s">
        <v>124</v>
      </c>
      <c r="C2086" t="s">
        <v>257</v>
      </c>
      <c r="D2086" t="s">
        <v>486</v>
      </c>
      <c r="E2086" t="s">
        <v>284</v>
      </c>
      <c r="F2086" t="s">
        <v>2018</v>
      </c>
      <c r="G2086" t="s">
        <v>4315</v>
      </c>
      <c r="H2086" t="s">
        <v>6807</v>
      </c>
      <c r="J2086" t="s">
        <v>9066</v>
      </c>
      <c r="K2086">
        <v>10301</v>
      </c>
      <c r="L2086" t="s">
        <v>9094</v>
      </c>
      <c r="M2086" t="s">
        <v>9095</v>
      </c>
      <c r="O2086" t="s">
        <v>9121</v>
      </c>
      <c r="P2086" t="s">
        <v>11164</v>
      </c>
      <c r="Q2086" t="s">
        <v>11172</v>
      </c>
      <c r="R2086" t="s">
        <v>11181</v>
      </c>
      <c r="S2086" t="s">
        <v>9096</v>
      </c>
      <c r="T2086" t="s">
        <v>11189</v>
      </c>
      <c r="V2086" t="s">
        <v>486</v>
      </c>
      <c r="W2086">
        <v>0</v>
      </c>
      <c r="X2086" t="s">
        <v>11334</v>
      </c>
      <c r="Y2086" t="s">
        <v>11337</v>
      </c>
      <c r="Z2086" t="s">
        <v>12798</v>
      </c>
      <c r="AB2086" t="s">
        <v>17179</v>
      </c>
      <c r="AC2086">
        <v>0</v>
      </c>
      <c r="AE2086" t="s">
        <v>9144</v>
      </c>
      <c r="AF2086">
        <v>0</v>
      </c>
      <c r="AG2086">
        <v>1</v>
      </c>
      <c r="AH2086">
        <v>0</v>
      </c>
      <c r="AI2086">
        <v>75.70999999999999</v>
      </c>
      <c r="AL2086" t="s">
        <v>19614</v>
      </c>
      <c r="AM2086">
        <v>9456</v>
      </c>
      <c r="AP2086" t="s">
        <v>11157</v>
      </c>
      <c r="AQ2086" t="s">
        <v>20369</v>
      </c>
      <c r="AR2086" t="s">
        <v>20485</v>
      </c>
      <c r="AS2086">
        <v>2</v>
      </c>
      <c r="AT2086" t="s">
        <v>486</v>
      </c>
      <c r="AU2086" t="s">
        <v>124</v>
      </c>
    </row>
    <row r="2087" spans="1:48">
      <c r="A2087" s="1">
        <f>HYPERLINK("https://lsnyc.legalserver.org/matter/dynamic-profile/view/1912949","19-1912949")</f>
        <v>0</v>
      </c>
      <c r="B2087" t="s">
        <v>115</v>
      </c>
      <c r="C2087" t="s">
        <v>256</v>
      </c>
      <c r="D2087" t="s">
        <v>294</v>
      </c>
      <c r="F2087" t="s">
        <v>1481</v>
      </c>
      <c r="G2087" t="s">
        <v>3544</v>
      </c>
      <c r="H2087" t="s">
        <v>6028</v>
      </c>
      <c r="I2087" t="s">
        <v>8273</v>
      </c>
      <c r="J2087" t="s">
        <v>9065</v>
      </c>
      <c r="K2087">
        <v>10453</v>
      </c>
      <c r="L2087" t="s">
        <v>9094</v>
      </c>
      <c r="M2087" t="s">
        <v>9095</v>
      </c>
      <c r="N2087" t="s">
        <v>9958</v>
      </c>
      <c r="P2087" t="s">
        <v>11165</v>
      </c>
      <c r="R2087" t="s">
        <v>11180</v>
      </c>
      <c r="T2087" t="s">
        <v>11183</v>
      </c>
      <c r="W2087">
        <v>445</v>
      </c>
      <c r="X2087" t="s">
        <v>11333</v>
      </c>
      <c r="Y2087" t="s">
        <v>11347</v>
      </c>
      <c r="Z2087" t="s">
        <v>11754</v>
      </c>
      <c r="AB2087" t="s">
        <v>16217</v>
      </c>
      <c r="AC2087">
        <v>0</v>
      </c>
      <c r="AD2087" t="s">
        <v>19567</v>
      </c>
      <c r="AE2087" t="s">
        <v>19580</v>
      </c>
      <c r="AF2087">
        <v>40</v>
      </c>
      <c r="AG2087">
        <v>2</v>
      </c>
      <c r="AH2087">
        <v>0</v>
      </c>
      <c r="AI2087">
        <v>75.72</v>
      </c>
      <c r="AL2087" t="s">
        <v>19614</v>
      </c>
      <c r="AM2087">
        <v>12804</v>
      </c>
      <c r="AS2087">
        <v>5.2</v>
      </c>
      <c r="AT2087" t="s">
        <v>1135</v>
      </c>
      <c r="AU2087" t="s">
        <v>115</v>
      </c>
      <c r="AV2087" t="s">
        <v>20733</v>
      </c>
    </row>
    <row r="2088" spans="1:48">
      <c r="A2088" s="1">
        <f>HYPERLINK("https://lsnyc.legalserver.org/matter/dynamic-profile/view/1910156","19-1910156")</f>
        <v>0</v>
      </c>
      <c r="B2088" t="s">
        <v>59</v>
      </c>
      <c r="C2088" t="s">
        <v>256</v>
      </c>
      <c r="D2088" t="s">
        <v>442</v>
      </c>
      <c r="F2088" t="s">
        <v>2100</v>
      </c>
      <c r="G2088" t="s">
        <v>4316</v>
      </c>
      <c r="H2088" t="s">
        <v>6808</v>
      </c>
      <c r="J2088" t="s">
        <v>9086</v>
      </c>
      <c r="K2088">
        <v>11357</v>
      </c>
      <c r="L2088" t="s">
        <v>9094</v>
      </c>
      <c r="M2088" t="s">
        <v>9095</v>
      </c>
      <c r="N2088" t="s">
        <v>9959</v>
      </c>
      <c r="O2088" t="s">
        <v>11128</v>
      </c>
      <c r="P2088" t="s">
        <v>11165</v>
      </c>
      <c r="R2088" t="s">
        <v>11181</v>
      </c>
      <c r="S2088" t="s">
        <v>9096</v>
      </c>
      <c r="T2088" t="s">
        <v>11183</v>
      </c>
      <c r="U2088" t="s">
        <v>11203</v>
      </c>
      <c r="V2088" t="s">
        <v>442</v>
      </c>
      <c r="W2088">
        <v>0.01</v>
      </c>
      <c r="X2088" t="s">
        <v>11331</v>
      </c>
      <c r="Y2088" t="s">
        <v>11337</v>
      </c>
      <c r="Z2088" t="s">
        <v>12799</v>
      </c>
      <c r="AB2088" t="s">
        <v>17180</v>
      </c>
      <c r="AC2088">
        <v>2</v>
      </c>
      <c r="AD2088" t="s">
        <v>19565</v>
      </c>
      <c r="AE2088" t="s">
        <v>9144</v>
      </c>
      <c r="AF2088">
        <v>4</v>
      </c>
      <c r="AG2088">
        <v>1</v>
      </c>
      <c r="AH2088">
        <v>0</v>
      </c>
      <c r="AI2088">
        <v>75.8</v>
      </c>
      <c r="AJ2088" t="s">
        <v>19591</v>
      </c>
      <c r="AK2088" t="s">
        <v>19608</v>
      </c>
      <c r="AL2088" t="s">
        <v>19614</v>
      </c>
      <c r="AM2088">
        <v>9468</v>
      </c>
      <c r="AP2088" t="s">
        <v>20317</v>
      </c>
      <c r="AS2088">
        <v>15.25</v>
      </c>
      <c r="AT2088" t="s">
        <v>594</v>
      </c>
      <c r="AU2088" t="s">
        <v>59</v>
      </c>
      <c r="AV2088" t="s">
        <v>20733</v>
      </c>
    </row>
    <row r="2089" spans="1:48">
      <c r="A2089" s="1">
        <f>HYPERLINK("https://lsnyc.legalserver.org/matter/dynamic-profile/view/1884730","18-1884730")</f>
        <v>0</v>
      </c>
      <c r="B2089" t="s">
        <v>106</v>
      </c>
      <c r="C2089" t="s">
        <v>256</v>
      </c>
      <c r="D2089" t="s">
        <v>622</v>
      </c>
      <c r="F2089" t="s">
        <v>1877</v>
      </c>
      <c r="G2089" t="s">
        <v>3448</v>
      </c>
      <c r="H2089" t="s">
        <v>5874</v>
      </c>
      <c r="I2089" t="s">
        <v>8524</v>
      </c>
      <c r="J2089" t="s">
        <v>9065</v>
      </c>
      <c r="K2089">
        <v>10457</v>
      </c>
      <c r="L2089" t="s">
        <v>9094</v>
      </c>
      <c r="M2089" t="s">
        <v>9094</v>
      </c>
      <c r="N2089" t="s">
        <v>9231</v>
      </c>
      <c r="O2089" t="s">
        <v>11130</v>
      </c>
      <c r="P2089" t="s">
        <v>11165</v>
      </c>
      <c r="R2089" t="s">
        <v>11180</v>
      </c>
      <c r="S2089" t="s">
        <v>9094</v>
      </c>
      <c r="T2089" t="s">
        <v>11183</v>
      </c>
      <c r="V2089" t="s">
        <v>738</v>
      </c>
      <c r="W2089">
        <v>385</v>
      </c>
      <c r="X2089" t="s">
        <v>11333</v>
      </c>
      <c r="Y2089" t="s">
        <v>11346</v>
      </c>
      <c r="Z2089" t="s">
        <v>12701</v>
      </c>
      <c r="AB2089" t="s">
        <v>17079</v>
      </c>
      <c r="AC2089">
        <v>47</v>
      </c>
      <c r="AD2089" t="s">
        <v>19566</v>
      </c>
      <c r="AE2089" t="s">
        <v>19580</v>
      </c>
      <c r="AF2089">
        <v>5</v>
      </c>
      <c r="AG2089">
        <v>1</v>
      </c>
      <c r="AH2089">
        <v>0</v>
      </c>
      <c r="AI2089">
        <v>75.81999999999999</v>
      </c>
      <c r="AL2089" t="s">
        <v>19615</v>
      </c>
      <c r="AM2089">
        <v>9204</v>
      </c>
      <c r="AS2089">
        <v>2.2</v>
      </c>
      <c r="AT2089" t="s">
        <v>492</v>
      </c>
      <c r="AU2089" t="s">
        <v>20642</v>
      </c>
    </row>
    <row r="2090" spans="1:48">
      <c r="A2090" s="1">
        <f>HYPERLINK("https://lsnyc.legalserver.org/matter/dynamic-profile/view/1884739","18-1884739")</f>
        <v>0</v>
      </c>
      <c r="B2090" t="s">
        <v>106</v>
      </c>
      <c r="C2090" t="s">
        <v>256</v>
      </c>
      <c r="D2090" t="s">
        <v>622</v>
      </c>
      <c r="F2090" t="s">
        <v>1877</v>
      </c>
      <c r="G2090" t="s">
        <v>3448</v>
      </c>
      <c r="H2090" t="s">
        <v>5874</v>
      </c>
      <c r="I2090" t="s">
        <v>8524</v>
      </c>
      <c r="J2090" t="s">
        <v>9065</v>
      </c>
      <c r="K2090">
        <v>10457</v>
      </c>
      <c r="L2090" t="s">
        <v>9094</v>
      </c>
      <c r="M2090" t="s">
        <v>9094</v>
      </c>
      <c r="O2090" t="s">
        <v>11140</v>
      </c>
      <c r="P2090" t="s">
        <v>11167</v>
      </c>
      <c r="R2090" t="s">
        <v>11180</v>
      </c>
      <c r="S2090" t="s">
        <v>9096</v>
      </c>
      <c r="T2090" t="s">
        <v>11190</v>
      </c>
      <c r="V2090" t="s">
        <v>622</v>
      </c>
      <c r="W2090">
        <v>227</v>
      </c>
      <c r="X2090" t="s">
        <v>11333</v>
      </c>
      <c r="Y2090" t="s">
        <v>11340</v>
      </c>
      <c r="Z2090" t="s">
        <v>12701</v>
      </c>
      <c r="AB2090" t="s">
        <v>17079</v>
      </c>
      <c r="AC2090">
        <v>47</v>
      </c>
      <c r="AD2090" t="s">
        <v>19566</v>
      </c>
      <c r="AE2090" t="s">
        <v>19580</v>
      </c>
      <c r="AF2090">
        <v>25</v>
      </c>
      <c r="AG2090">
        <v>1</v>
      </c>
      <c r="AH2090">
        <v>0</v>
      </c>
      <c r="AI2090">
        <v>75.81999999999999</v>
      </c>
      <c r="AL2090" t="s">
        <v>19615</v>
      </c>
      <c r="AM2090">
        <v>9204</v>
      </c>
      <c r="AN2090" t="s">
        <v>19840</v>
      </c>
      <c r="AS2090">
        <v>2.2</v>
      </c>
      <c r="AT2090" t="s">
        <v>570</v>
      </c>
      <c r="AU2090" t="s">
        <v>20642</v>
      </c>
    </row>
    <row r="2091" spans="1:48">
      <c r="A2091" s="1">
        <f>HYPERLINK("https://lsnyc.legalserver.org/matter/dynamic-profile/view/1889389","19-1889389")</f>
        <v>0</v>
      </c>
      <c r="B2091" t="s">
        <v>103</v>
      </c>
      <c r="C2091" t="s">
        <v>256</v>
      </c>
      <c r="D2091" t="s">
        <v>348</v>
      </c>
      <c r="F2091" t="s">
        <v>2069</v>
      </c>
      <c r="G2091" t="s">
        <v>4317</v>
      </c>
      <c r="H2091" t="s">
        <v>6413</v>
      </c>
      <c r="I2091" t="s">
        <v>8475</v>
      </c>
      <c r="J2091" t="s">
        <v>9065</v>
      </c>
      <c r="K2091">
        <v>10456</v>
      </c>
      <c r="L2091" t="s">
        <v>9094</v>
      </c>
      <c r="M2091" t="s">
        <v>9094</v>
      </c>
      <c r="N2091" t="s">
        <v>9960</v>
      </c>
      <c r="O2091" t="s">
        <v>11134</v>
      </c>
      <c r="P2091" t="s">
        <v>11168</v>
      </c>
      <c r="R2091" t="s">
        <v>11180</v>
      </c>
      <c r="S2091" t="s">
        <v>9094</v>
      </c>
      <c r="T2091" t="s">
        <v>11183</v>
      </c>
      <c r="V2091" t="s">
        <v>617</v>
      </c>
      <c r="W2091">
        <v>1119.98</v>
      </c>
      <c r="X2091" t="s">
        <v>11333</v>
      </c>
      <c r="Y2091" t="s">
        <v>11346</v>
      </c>
      <c r="Z2091" t="s">
        <v>12800</v>
      </c>
      <c r="AB2091" t="s">
        <v>17181</v>
      </c>
      <c r="AC2091">
        <v>61</v>
      </c>
      <c r="AD2091" t="s">
        <v>19566</v>
      </c>
      <c r="AE2091" t="s">
        <v>9144</v>
      </c>
      <c r="AF2091">
        <v>43</v>
      </c>
      <c r="AG2091">
        <v>2</v>
      </c>
      <c r="AH2091">
        <v>0</v>
      </c>
      <c r="AI2091">
        <v>75.86</v>
      </c>
      <c r="AL2091" t="s">
        <v>19615</v>
      </c>
      <c r="AM2091">
        <v>12828</v>
      </c>
      <c r="AS2091">
        <v>0</v>
      </c>
      <c r="AU2091" t="s">
        <v>163</v>
      </c>
    </row>
    <row r="2092" spans="1:48">
      <c r="A2092" s="1">
        <f>HYPERLINK("https://lsnyc.legalserver.org/matter/dynamic-profile/view/0821390","16-0821390")</f>
        <v>0</v>
      </c>
      <c r="B2092" t="s">
        <v>104</v>
      </c>
      <c r="C2092" t="s">
        <v>256</v>
      </c>
      <c r="D2092" t="s">
        <v>571</v>
      </c>
      <c r="F2092" t="s">
        <v>1150</v>
      </c>
      <c r="G2092" t="s">
        <v>4318</v>
      </c>
      <c r="H2092" t="s">
        <v>5855</v>
      </c>
      <c r="I2092" t="s">
        <v>8191</v>
      </c>
      <c r="J2092" t="s">
        <v>9065</v>
      </c>
      <c r="K2092">
        <v>10467</v>
      </c>
      <c r="L2092" t="s">
        <v>9094</v>
      </c>
      <c r="M2092" t="s">
        <v>9095</v>
      </c>
      <c r="N2092" t="s">
        <v>9220</v>
      </c>
      <c r="O2092" t="s">
        <v>11143</v>
      </c>
      <c r="P2092" t="s">
        <v>11165</v>
      </c>
      <c r="R2092" t="s">
        <v>11180</v>
      </c>
      <c r="S2092" t="s">
        <v>9094</v>
      </c>
      <c r="T2092" t="s">
        <v>11183</v>
      </c>
      <c r="V2092" t="s">
        <v>11245</v>
      </c>
      <c r="W2092">
        <v>0</v>
      </c>
      <c r="X2092" t="s">
        <v>11333</v>
      </c>
      <c r="Y2092" t="s">
        <v>11338</v>
      </c>
      <c r="Z2092" t="s">
        <v>12801</v>
      </c>
      <c r="AB2092" t="s">
        <v>17182</v>
      </c>
      <c r="AC2092">
        <v>30</v>
      </c>
      <c r="AD2092" t="s">
        <v>19566</v>
      </c>
      <c r="AE2092" t="s">
        <v>19580</v>
      </c>
      <c r="AF2092">
        <v>0</v>
      </c>
      <c r="AG2092">
        <v>2</v>
      </c>
      <c r="AH2092">
        <v>0</v>
      </c>
      <c r="AI2092">
        <v>75.88</v>
      </c>
      <c r="AJ2092" t="s">
        <v>865</v>
      </c>
      <c r="AL2092" t="s">
        <v>19614</v>
      </c>
      <c r="AM2092">
        <v>15276</v>
      </c>
      <c r="AS2092">
        <v>0.1</v>
      </c>
      <c r="AT2092" t="s">
        <v>753</v>
      </c>
      <c r="AU2092" t="s">
        <v>20650</v>
      </c>
    </row>
    <row r="2093" spans="1:48">
      <c r="A2093" s="1">
        <f>HYPERLINK("https://lsnyc.legalserver.org/matter/dynamic-profile/view/1898229","19-1898229")</f>
        <v>0</v>
      </c>
      <c r="B2093" t="s">
        <v>49</v>
      </c>
      <c r="C2093" t="s">
        <v>257</v>
      </c>
      <c r="D2093" t="s">
        <v>596</v>
      </c>
      <c r="E2093" t="s">
        <v>1129</v>
      </c>
      <c r="F2093" t="s">
        <v>1788</v>
      </c>
      <c r="G2093" t="s">
        <v>3698</v>
      </c>
      <c r="H2093" t="s">
        <v>6809</v>
      </c>
      <c r="I2093">
        <v>404</v>
      </c>
      <c r="J2093" t="s">
        <v>9055</v>
      </c>
      <c r="K2093">
        <v>11354</v>
      </c>
      <c r="L2093" t="s">
        <v>9094</v>
      </c>
      <c r="M2093" t="s">
        <v>9094</v>
      </c>
      <c r="N2093" t="s">
        <v>9961</v>
      </c>
      <c r="O2093" t="s">
        <v>11129</v>
      </c>
      <c r="P2093" t="s">
        <v>11165</v>
      </c>
      <c r="Q2093" t="s">
        <v>11174</v>
      </c>
      <c r="R2093" t="s">
        <v>11180</v>
      </c>
      <c r="S2093" t="s">
        <v>9096</v>
      </c>
      <c r="T2093" t="s">
        <v>11183</v>
      </c>
      <c r="U2093" t="s">
        <v>11201</v>
      </c>
      <c r="V2093" t="s">
        <v>596</v>
      </c>
      <c r="W2093">
        <v>1355.8</v>
      </c>
      <c r="X2093" t="s">
        <v>11331</v>
      </c>
      <c r="Y2093" t="s">
        <v>11157</v>
      </c>
      <c r="Z2093" t="s">
        <v>12802</v>
      </c>
      <c r="AB2093" t="s">
        <v>17183</v>
      </c>
      <c r="AC2093">
        <v>130</v>
      </c>
      <c r="AD2093" t="s">
        <v>19566</v>
      </c>
      <c r="AE2093" t="s">
        <v>19587</v>
      </c>
      <c r="AF2093">
        <v>20</v>
      </c>
      <c r="AG2093">
        <v>1</v>
      </c>
      <c r="AH2093">
        <v>0</v>
      </c>
      <c r="AI2093">
        <v>75.90000000000001</v>
      </c>
      <c r="AL2093" t="s">
        <v>19614</v>
      </c>
      <c r="AM2093">
        <v>9480</v>
      </c>
      <c r="AO2093" t="s">
        <v>20290</v>
      </c>
      <c r="AP2093" t="s">
        <v>20309</v>
      </c>
      <c r="AQ2093" t="s">
        <v>20369</v>
      </c>
      <c r="AR2093" t="s">
        <v>20486</v>
      </c>
      <c r="AS2093">
        <v>2.9</v>
      </c>
      <c r="AT2093" t="s">
        <v>1129</v>
      </c>
      <c r="AU2093" t="s">
        <v>49</v>
      </c>
      <c r="AV2093" t="s">
        <v>20733</v>
      </c>
    </row>
    <row r="2094" spans="1:48">
      <c r="A2094" s="1">
        <f>HYPERLINK("https://lsnyc.legalserver.org/matter/dynamic-profile/view/1891776","19-1891776")</f>
        <v>0</v>
      </c>
      <c r="B2094" t="s">
        <v>100</v>
      </c>
      <c r="C2094" t="s">
        <v>256</v>
      </c>
      <c r="D2094" t="s">
        <v>383</v>
      </c>
      <c r="F2094" t="s">
        <v>1146</v>
      </c>
      <c r="G2094" t="s">
        <v>4319</v>
      </c>
      <c r="H2094" t="s">
        <v>5888</v>
      </c>
      <c r="I2094" t="s">
        <v>8151</v>
      </c>
      <c r="J2094" t="s">
        <v>9065</v>
      </c>
      <c r="K2094">
        <v>10453</v>
      </c>
      <c r="L2094" t="s">
        <v>9094</v>
      </c>
      <c r="M2094" t="s">
        <v>9094</v>
      </c>
      <c r="O2094" t="s">
        <v>11134</v>
      </c>
      <c r="P2094" t="s">
        <v>11168</v>
      </c>
      <c r="R2094" t="s">
        <v>11180</v>
      </c>
      <c r="S2094" t="s">
        <v>9094</v>
      </c>
      <c r="T2094" t="s">
        <v>11183</v>
      </c>
      <c r="V2094" t="s">
        <v>512</v>
      </c>
      <c r="W2094">
        <v>1060</v>
      </c>
      <c r="X2094" t="s">
        <v>11333</v>
      </c>
      <c r="Y2094" t="s">
        <v>11346</v>
      </c>
      <c r="Z2094" t="s">
        <v>11734</v>
      </c>
      <c r="AB2094" t="s">
        <v>17184</v>
      </c>
      <c r="AC2094">
        <v>49</v>
      </c>
      <c r="AD2094" t="s">
        <v>19566</v>
      </c>
      <c r="AE2094" t="s">
        <v>9144</v>
      </c>
      <c r="AF2094">
        <v>16</v>
      </c>
      <c r="AG2094">
        <v>1</v>
      </c>
      <c r="AH2094">
        <v>0</v>
      </c>
      <c r="AI2094">
        <v>75.90000000000001</v>
      </c>
      <c r="AL2094" t="s">
        <v>19614</v>
      </c>
      <c r="AM2094">
        <v>9480</v>
      </c>
      <c r="AS2094">
        <v>1.9</v>
      </c>
      <c r="AT2094" t="s">
        <v>373</v>
      </c>
      <c r="AU2094" t="s">
        <v>20647</v>
      </c>
    </row>
    <row r="2095" spans="1:48">
      <c r="A2095" s="1">
        <f>HYPERLINK("https://lsnyc.legalserver.org/matter/dynamic-profile/view/1891759","19-1891759")</f>
        <v>0</v>
      </c>
      <c r="B2095" t="s">
        <v>100</v>
      </c>
      <c r="C2095" t="s">
        <v>256</v>
      </c>
      <c r="D2095" t="s">
        <v>383</v>
      </c>
      <c r="F2095" t="s">
        <v>1146</v>
      </c>
      <c r="G2095" t="s">
        <v>4319</v>
      </c>
      <c r="H2095" t="s">
        <v>5888</v>
      </c>
      <c r="I2095" t="s">
        <v>8151</v>
      </c>
      <c r="J2095" t="s">
        <v>9065</v>
      </c>
      <c r="K2095">
        <v>10453</v>
      </c>
      <c r="L2095" t="s">
        <v>9094</v>
      </c>
      <c r="M2095" t="s">
        <v>9094</v>
      </c>
      <c r="N2095" t="s">
        <v>9243</v>
      </c>
      <c r="O2095" t="s">
        <v>11130</v>
      </c>
      <c r="P2095" t="s">
        <v>11165</v>
      </c>
      <c r="R2095" t="s">
        <v>11180</v>
      </c>
      <c r="S2095" t="s">
        <v>9094</v>
      </c>
      <c r="T2095" t="s">
        <v>11183</v>
      </c>
      <c r="V2095" t="s">
        <v>512</v>
      </c>
      <c r="W2095">
        <v>1060</v>
      </c>
      <c r="X2095" t="s">
        <v>11333</v>
      </c>
      <c r="Y2095" t="s">
        <v>11346</v>
      </c>
      <c r="Z2095" t="s">
        <v>11734</v>
      </c>
      <c r="AB2095" t="s">
        <v>17184</v>
      </c>
      <c r="AC2095">
        <v>49</v>
      </c>
      <c r="AD2095" t="s">
        <v>19566</v>
      </c>
      <c r="AE2095" t="s">
        <v>9144</v>
      </c>
      <c r="AF2095">
        <v>16</v>
      </c>
      <c r="AG2095">
        <v>1</v>
      </c>
      <c r="AH2095">
        <v>0</v>
      </c>
      <c r="AI2095">
        <v>75.90000000000001</v>
      </c>
      <c r="AL2095" t="s">
        <v>19614</v>
      </c>
      <c r="AM2095">
        <v>9480</v>
      </c>
      <c r="AS2095">
        <v>0.5</v>
      </c>
      <c r="AT2095" t="s">
        <v>669</v>
      </c>
      <c r="AU2095" t="s">
        <v>20647</v>
      </c>
    </row>
    <row r="2096" spans="1:48">
      <c r="A2096" s="1">
        <f>HYPERLINK("https://lsnyc.legalserver.org/matter/dynamic-profile/view/1857608","18-1857608")</f>
        <v>0</v>
      </c>
      <c r="B2096" t="s">
        <v>122</v>
      </c>
      <c r="C2096" t="s">
        <v>257</v>
      </c>
      <c r="D2096" t="s">
        <v>755</v>
      </c>
      <c r="E2096" t="s">
        <v>416</v>
      </c>
      <c r="F2096" t="s">
        <v>2101</v>
      </c>
      <c r="G2096" t="s">
        <v>4320</v>
      </c>
      <c r="H2096" t="s">
        <v>6444</v>
      </c>
      <c r="I2096" t="s">
        <v>8262</v>
      </c>
      <c r="J2096" t="s">
        <v>9066</v>
      </c>
      <c r="K2096">
        <v>10304</v>
      </c>
      <c r="L2096" t="s">
        <v>9094</v>
      </c>
      <c r="M2096" t="s">
        <v>9095</v>
      </c>
      <c r="N2096" t="s">
        <v>9171</v>
      </c>
      <c r="O2096" t="s">
        <v>11137</v>
      </c>
      <c r="P2096" t="s">
        <v>11166</v>
      </c>
      <c r="Q2096" t="s">
        <v>11176</v>
      </c>
      <c r="R2096" t="s">
        <v>11180</v>
      </c>
      <c r="S2096" t="s">
        <v>9094</v>
      </c>
      <c r="T2096" t="s">
        <v>11183</v>
      </c>
      <c r="V2096" t="s">
        <v>755</v>
      </c>
      <c r="W2096">
        <v>1155</v>
      </c>
      <c r="X2096" t="s">
        <v>11334</v>
      </c>
      <c r="Y2096" t="s">
        <v>11346</v>
      </c>
      <c r="Z2096" t="s">
        <v>12803</v>
      </c>
      <c r="AA2096" t="s">
        <v>9144</v>
      </c>
      <c r="AB2096" t="s">
        <v>17185</v>
      </c>
      <c r="AC2096">
        <v>86</v>
      </c>
      <c r="AD2096" t="s">
        <v>19566</v>
      </c>
      <c r="AE2096" t="s">
        <v>9144</v>
      </c>
      <c r="AF2096">
        <v>3</v>
      </c>
      <c r="AG2096">
        <v>2</v>
      </c>
      <c r="AH2096">
        <v>2</v>
      </c>
      <c r="AI2096">
        <v>75.90000000000001</v>
      </c>
      <c r="AM2096">
        <v>18672</v>
      </c>
      <c r="AS2096">
        <v>2.7</v>
      </c>
      <c r="AT2096" t="s">
        <v>416</v>
      </c>
      <c r="AU2096" t="s">
        <v>128</v>
      </c>
      <c r="AV2096" t="s">
        <v>20733</v>
      </c>
    </row>
    <row r="2097" spans="1:48">
      <c r="A2097" s="1">
        <f>HYPERLINK("https://lsnyc.legalserver.org/matter/dynamic-profile/view/1880103","18-1880103")</f>
        <v>0</v>
      </c>
      <c r="B2097" t="s">
        <v>134</v>
      </c>
      <c r="C2097" t="s">
        <v>256</v>
      </c>
      <c r="D2097" t="s">
        <v>699</v>
      </c>
      <c r="F2097" t="s">
        <v>2102</v>
      </c>
      <c r="G2097" t="s">
        <v>4321</v>
      </c>
      <c r="H2097" t="s">
        <v>6810</v>
      </c>
      <c r="I2097">
        <v>27</v>
      </c>
      <c r="J2097" t="s">
        <v>9067</v>
      </c>
      <c r="K2097">
        <v>10034</v>
      </c>
      <c r="L2097" t="s">
        <v>9094</v>
      </c>
      <c r="M2097" t="s">
        <v>9094</v>
      </c>
      <c r="O2097" t="s">
        <v>11130</v>
      </c>
      <c r="P2097" t="s">
        <v>11165</v>
      </c>
      <c r="R2097" t="s">
        <v>11180</v>
      </c>
      <c r="S2097" t="s">
        <v>9096</v>
      </c>
      <c r="T2097" t="s">
        <v>11183</v>
      </c>
      <c r="V2097" t="s">
        <v>699</v>
      </c>
      <c r="W2097">
        <v>1200.41</v>
      </c>
      <c r="X2097" t="s">
        <v>11335</v>
      </c>
      <c r="Y2097" t="s">
        <v>11338</v>
      </c>
      <c r="Z2097" t="s">
        <v>12804</v>
      </c>
      <c r="AB2097" t="s">
        <v>17186</v>
      </c>
      <c r="AC2097">
        <v>41</v>
      </c>
      <c r="AD2097" t="s">
        <v>19566</v>
      </c>
      <c r="AE2097" t="s">
        <v>19587</v>
      </c>
      <c r="AF2097">
        <v>9</v>
      </c>
      <c r="AG2097">
        <v>1</v>
      </c>
      <c r="AH2097">
        <v>0</v>
      </c>
      <c r="AI2097">
        <v>75.91</v>
      </c>
      <c r="AL2097" t="s">
        <v>19615</v>
      </c>
      <c r="AM2097">
        <v>9216</v>
      </c>
      <c r="AS2097">
        <v>90.95</v>
      </c>
      <c r="AT2097" t="s">
        <v>1135</v>
      </c>
      <c r="AU2097" t="s">
        <v>130</v>
      </c>
      <c r="AV2097" t="s">
        <v>9144</v>
      </c>
    </row>
    <row r="2098" spans="1:48">
      <c r="A2098" s="1">
        <f>HYPERLINK("https://lsnyc.legalserver.org/matter/dynamic-profile/view/1864902","18-1864902")</f>
        <v>0</v>
      </c>
      <c r="B2098" t="s">
        <v>86</v>
      </c>
      <c r="C2098" t="s">
        <v>256</v>
      </c>
      <c r="D2098" t="s">
        <v>525</v>
      </c>
      <c r="F2098" t="s">
        <v>2018</v>
      </c>
      <c r="G2098" t="s">
        <v>1362</v>
      </c>
      <c r="H2098" t="s">
        <v>6787</v>
      </c>
      <c r="I2098" t="s">
        <v>8555</v>
      </c>
      <c r="J2098" t="s">
        <v>9059</v>
      </c>
      <c r="K2098">
        <v>11226</v>
      </c>
      <c r="L2098" t="s">
        <v>9094</v>
      </c>
      <c r="M2098" t="s">
        <v>9094</v>
      </c>
      <c r="O2098" t="s">
        <v>11136</v>
      </c>
      <c r="P2098" t="s">
        <v>11166</v>
      </c>
      <c r="R2098" t="s">
        <v>11180</v>
      </c>
      <c r="S2098" t="s">
        <v>9094</v>
      </c>
      <c r="T2098" t="s">
        <v>11183</v>
      </c>
      <c r="V2098" t="s">
        <v>639</v>
      </c>
      <c r="W2098">
        <v>915</v>
      </c>
      <c r="X2098" t="s">
        <v>11332</v>
      </c>
      <c r="Y2098" t="s">
        <v>11346</v>
      </c>
      <c r="Z2098" t="s">
        <v>12805</v>
      </c>
      <c r="AB2098" t="s">
        <v>17187</v>
      </c>
      <c r="AC2098">
        <v>6</v>
      </c>
      <c r="AD2098" t="s">
        <v>19566</v>
      </c>
      <c r="AE2098" t="s">
        <v>9144</v>
      </c>
      <c r="AF2098">
        <v>9</v>
      </c>
      <c r="AG2098">
        <v>2</v>
      </c>
      <c r="AH2098">
        <v>0</v>
      </c>
      <c r="AI2098">
        <v>75.94</v>
      </c>
      <c r="AL2098" t="s">
        <v>19614</v>
      </c>
      <c r="AM2098">
        <v>12500</v>
      </c>
      <c r="AS2098">
        <v>2.75</v>
      </c>
      <c r="AT2098" t="s">
        <v>577</v>
      </c>
      <c r="AU2098" t="s">
        <v>20630</v>
      </c>
    </row>
    <row r="2099" spans="1:48">
      <c r="A2099" s="1">
        <f>HYPERLINK("https://lsnyc.legalserver.org/matter/dynamic-profile/view/1907769","19-1907769")</f>
        <v>0</v>
      </c>
      <c r="B2099" t="s">
        <v>78</v>
      </c>
      <c r="C2099" t="s">
        <v>256</v>
      </c>
      <c r="D2099" t="s">
        <v>396</v>
      </c>
      <c r="F2099" t="s">
        <v>2103</v>
      </c>
      <c r="G2099" t="s">
        <v>3746</v>
      </c>
      <c r="H2099" t="s">
        <v>5984</v>
      </c>
      <c r="I2099" t="s">
        <v>8229</v>
      </c>
      <c r="J2099" t="s">
        <v>9059</v>
      </c>
      <c r="K2099">
        <v>11212</v>
      </c>
      <c r="L2099" t="s">
        <v>9094</v>
      </c>
      <c r="M2099" t="s">
        <v>9095</v>
      </c>
      <c r="N2099" t="s">
        <v>9144</v>
      </c>
      <c r="O2099" t="s">
        <v>11137</v>
      </c>
      <c r="P2099" t="s">
        <v>11167</v>
      </c>
      <c r="R2099" t="s">
        <v>11180</v>
      </c>
      <c r="S2099" t="s">
        <v>9094</v>
      </c>
      <c r="T2099" t="s">
        <v>11183</v>
      </c>
      <c r="U2099" t="s">
        <v>11201</v>
      </c>
      <c r="V2099" t="s">
        <v>370</v>
      </c>
      <c r="W2099">
        <v>257</v>
      </c>
      <c r="X2099" t="s">
        <v>11332</v>
      </c>
      <c r="Y2099" t="s">
        <v>11346</v>
      </c>
      <c r="Z2099" t="s">
        <v>12806</v>
      </c>
      <c r="AB2099" t="s">
        <v>17188</v>
      </c>
      <c r="AC2099">
        <v>96</v>
      </c>
      <c r="AD2099" t="s">
        <v>19566</v>
      </c>
      <c r="AE2099" t="s">
        <v>11157</v>
      </c>
      <c r="AF2099">
        <v>6</v>
      </c>
      <c r="AG2099">
        <v>1</v>
      </c>
      <c r="AH2099">
        <v>0</v>
      </c>
      <c r="AI2099">
        <v>76</v>
      </c>
      <c r="AL2099" t="s">
        <v>19614</v>
      </c>
      <c r="AM2099">
        <v>9492</v>
      </c>
      <c r="AS2099">
        <v>0.08</v>
      </c>
      <c r="AT2099" t="s">
        <v>664</v>
      </c>
      <c r="AU2099" t="s">
        <v>79</v>
      </c>
      <c r="AV2099" t="s">
        <v>20733</v>
      </c>
    </row>
    <row r="2100" spans="1:48">
      <c r="A2100" s="1">
        <f>HYPERLINK("https://lsnyc.legalserver.org/matter/dynamic-profile/view/1910748","19-1910748")</f>
        <v>0</v>
      </c>
      <c r="B2100" t="s">
        <v>72</v>
      </c>
      <c r="C2100" t="s">
        <v>256</v>
      </c>
      <c r="D2100" t="s">
        <v>307</v>
      </c>
      <c r="F2100" t="s">
        <v>2104</v>
      </c>
      <c r="G2100" t="s">
        <v>2968</v>
      </c>
      <c r="H2100" t="s">
        <v>6811</v>
      </c>
      <c r="J2100" t="s">
        <v>9059</v>
      </c>
      <c r="K2100">
        <v>11208</v>
      </c>
      <c r="L2100" t="s">
        <v>9094</v>
      </c>
      <c r="M2100" t="s">
        <v>9095</v>
      </c>
      <c r="N2100" t="s">
        <v>9962</v>
      </c>
      <c r="O2100" t="s">
        <v>11129</v>
      </c>
      <c r="P2100" t="s">
        <v>11169</v>
      </c>
      <c r="R2100" t="s">
        <v>11180</v>
      </c>
      <c r="S2100" t="s">
        <v>9096</v>
      </c>
      <c r="T2100" t="s">
        <v>11183</v>
      </c>
      <c r="U2100" t="s">
        <v>11201</v>
      </c>
      <c r="V2100" t="s">
        <v>307</v>
      </c>
      <c r="W2100">
        <v>1057</v>
      </c>
      <c r="X2100" t="s">
        <v>11332</v>
      </c>
      <c r="Z2100" t="s">
        <v>12807</v>
      </c>
      <c r="AA2100" t="s">
        <v>15651</v>
      </c>
      <c r="AB2100" t="s">
        <v>17189</v>
      </c>
      <c r="AC2100">
        <v>300</v>
      </c>
      <c r="AD2100" t="s">
        <v>19572</v>
      </c>
      <c r="AE2100" t="s">
        <v>19588</v>
      </c>
      <c r="AF2100">
        <v>2</v>
      </c>
      <c r="AG2100">
        <v>1</v>
      </c>
      <c r="AH2100">
        <v>0</v>
      </c>
      <c r="AI2100">
        <v>76</v>
      </c>
      <c r="AL2100" t="s">
        <v>19614</v>
      </c>
      <c r="AM2100">
        <v>9492</v>
      </c>
      <c r="AS2100">
        <v>4.5</v>
      </c>
      <c r="AT2100" t="s">
        <v>632</v>
      </c>
      <c r="AU2100" t="s">
        <v>20627</v>
      </c>
      <c r="AV2100" t="s">
        <v>20733</v>
      </c>
    </row>
    <row r="2101" spans="1:48">
      <c r="A2101" s="1">
        <f>HYPERLINK("https://lsnyc.legalserver.org/matter/dynamic-profile/view/1912175","19-1912175")</f>
        <v>0</v>
      </c>
      <c r="B2101" t="s">
        <v>69</v>
      </c>
      <c r="C2101" t="s">
        <v>256</v>
      </c>
      <c r="D2101" t="s">
        <v>570</v>
      </c>
      <c r="F2101" t="s">
        <v>2104</v>
      </c>
      <c r="G2101" t="s">
        <v>2968</v>
      </c>
      <c r="H2101" t="s">
        <v>6266</v>
      </c>
      <c r="J2101" t="s">
        <v>9059</v>
      </c>
      <c r="K2101">
        <v>11208</v>
      </c>
      <c r="L2101" t="s">
        <v>9094</v>
      </c>
      <c r="M2101" t="s">
        <v>9095</v>
      </c>
      <c r="N2101" t="s">
        <v>9962</v>
      </c>
      <c r="O2101" t="s">
        <v>11131</v>
      </c>
      <c r="R2101" t="s">
        <v>11180</v>
      </c>
      <c r="S2101" t="s">
        <v>9096</v>
      </c>
      <c r="T2101" t="s">
        <v>11184</v>
      </c>
      <c r="W2101">
        <v>1057</v>
      </c>
      <c r="X2101" t="s">
        <v>11332</v>
      </c>
      <c r="Y2101" t="s">
        <v>11157</v>
      </c>
      <c r="Z2101" t="s">
        <v>12807</v>
      </c>
      <c r="AB2101" t="s">
        <v>17189</v>
      </c>
      <c r="AC2101">
        <v>300</v>
      </c>
      <c r="AD2101" t="s">
        <v>19566</v>
      </c>
      <c r="AE2101" t="s">
        <v>19588</v>
      </c>
      <c r="AF2101">
        <v>2</v>
      </c>
      <c r="AG2101">
        <v>1</v>
      </c>
      <c r="AH2101">
        <v>0</v>
      </c>
      <c r="AI2101">
        <v>76</v>
      </c>
      <c r="AL2101" t="s">
        <v>19614</v>
      </c>
      <c r="AM2101">
        <v>9492</v>
      </c>
      <c r="AN2101" t="s">
        <v>19841</v>
      </c>
      <c r="AS2101">
        <v>5.75</v>
      </c>
      <c r="AT2101" t="s">
        <v>632</v>
      </c>
      <c r="AU2101" t="s">
        <v>79</v>
      </c>
      <c r="AV2101" t="s">
        <v>20733</v>
      </c>
    </row>
    <row r="2102" spans="1:48">
      <c r="A2102" s="1">
        <f>HYPERLINK("https://lsnyc.legalserver.org/matter/dynamic-profile/view/1906734","19-1906734")</f>
        <v>0</v>
      </c>
      <c r="B2102" t="s">
        <v>106</v>
      </c>
      <c r="C2102" t="s">
        <v>256</v>
      </c>
      <c r="D2102" t="s">
        <v>333</v>
      </c>
      <c r="F2102" t="s">
        <v>1854</v>
      </c>
      <c r="G2102" t="s">
        <v>3464</v>
      </c>
      <c r="H2102" t="s">
        <v>6482</v>
      </c>
      <c r="I2102" t="s">
        <v>8556</v>
      </c>
      <c r="J2102" t="s">
        <v>9065</v>
      </c>
      <c r="K2102">
        <v>10457</v>
      </c>
      <c r="L2102" t="s">
        <v>9096</v>
      </c>
      <c r="M2102" t="s">
        <v>9095</v>
      </c>
      <c r="O2102" t="s">
        <v>9121</v>
      </c>
      <c r="P2102" t="s">
        <v>11164</v>
      </c>
      <c r="R2102" t="s">
        <v>11180</v>
      </c>
      <c r="S2102" t="s">
        <v>9094</v>
      </c>
      <c r="T2102" t="s">
        <v>11183</v>
      </c>
      <c r="W2102">
        <v>371</v>
      </c>
      <c r="X2102" t="s">
        <v>11333</v>
      </c>
      <c r="Y2102" t="s">
        <v>11346</v>
      </c>
      <c r="Z2102" t="s">
        <v>12326</v>
      </c>
      <c r="AA2102" t="s">
        <v>15540</v>
      </c>
      <c r="AB2102" t="s">
        <v>16741</v>
      </c>
      <c r="AC2102">
        <v>20</v>
      </c>
      <c r="AD2102" t="s">
        <v>19566</v>
      </c>
      <c r="AF2102">
        <v>17</v>
      </c>
      <c r="AG2102">
        <v>1</v>
      </c>
      <c r="AH2102">
        <v>0</v>
      </c>
      <c r="AI2102">
        <v>76</v>
      </c>
      <c r="AL2102" t="s">
        <v>19614</v>
      </c>
      <c r="AM2102">
        <v>9492</v>
      </c>
      <c r="AN2102" t="s">
        <v>19842</v>
      </c>
      <c r="AS2102">
        <v>6.55</v>
      </c>
      <c r="AT2102" t="s">
        <v>270</v>
      </c>
      <c r="AU2102" t="s">
        <v>20647</v>
      </c>
      <c r="AV2102" t="s">
        <v>20734</v>
      </c>
    </row>
    <row r="2103" spans="1:48">
      <c r="A2103" s="1">
        <f>HYPERLINK("https://lsnyc.legalserver.org/matter/dynamic-profile/view/1900643","19-1900643")</f>
        <v>0</v>
      </c>
      <c r="B2103" t="s">
        <v>99</v>
      </c>
      <c r="C2103" t="s">
        <v>257</v>
      </c>
      <c r="D2103" t="s">
        <v>283</v>
      </c>
      <c r="E2103" t="s">
        <v>276</v>
      </c>
      <c r="F2103" t="s">
        <v>1162</v>
      </c>
      <c r="G2103" t="s">
        <v>3220</v>
      </c>
      <c r="H2103" t="s">
        <v>5888</v>
      </c>
      <c r="I2103" t="s">
        <v>8124</v>
      </c>
      <c r="J2103" t="s">
        <v>9065</v>
      </c>
      <c r="K2103">
        <v>10453</v>
      </c>
      <c r="L2103" t="s">
        <v>9094</v>
      </c>
      <c r="M2103" t="s">
        <v>9095</v>
      </c>
      <c r="N2103" t="s">
        <v>9171</v>
      </c>
      <c r="O2103" t="s">
        <v>9121</v>
      </c>
      <c r="P2103" t="s">
        <v>11164</v>
      </c>
      <c r="Q2103" t="s">
        <v>11172</v>
      </c>
      <c r="R2103" t="s">
        <v>11180</v>
      </c>
      <c r="S2103" t="s">
        <v>9096</v>
      </c>
      <c r="T2103" t="s">
        <v>11183</v>
      </c>
      <c r="V2103" t="s">
        <v>283</v>
      </c>
      <c r="W2103">
        <v>1495.91</v>
      </c>
      <c r="X2103" t="s">
        <v>11333</v>
      </c>
      <c r="Y2103" t="s">
        <v>11346</v>
      </c>
      <c r="Z2103" t="s">
        <v>12808</v>
      </c>
      <c r="AC2103">
        <v>49</v>
      </c>
      <c r="AD2103" t="s">
        <v>19566</v>
      </c>
      <c r="AE2103" t="s">
        <v>19580</v>
      </c>
      <c r="AF2103">
        <v>16</v>
      </c>
      <c r="AG2103">
        <v>1</v>
      </c>
      <c r="AH2103">
        <v>0</v>
      </c>
      <c r="AI2103">
        <v>76</v>
      </c>
      <c r="AL2103" t="s">
        <v>19615</v>
      </c>
      <c r="AM2103">
        <v>9492</v>
      </c>
      <c r="AS2103">
        <v>1.4</v>
      </c>
      <c r="AT2103" t="s">
        <v>276</v>
      </c>
      <c r="AU2103" t="s">
        <v>99</v>
      </c>
      <c r="AV2103" t="s">
        <v>20733</v>
      </c>
    </row>
    <row r="2104" spans="1:48">
      <c r="A2104" s="1">
        <f>HYPERLINK("https://lsnyc.legalserver.org/matter/dynamic-profile/view/1897378","19-1897378")</f>
        <v>0</v>
      </c>
      <c r="B2104" t="s">
        <v>101</v>
      </c>
      <c r="C2104" t="s">
        <v>256</v>
      </c>
      <c r="D2104" t="s">
        <v>434</v>
      </c>
      <c r="F2104" t="s">
        <v>1162</v>
      </c>
      <c r="G2104" t="s">
        <v>3220</v>
      </c>
      <c r="H2104" t="s">
        <v>5888</v>
      </c>
      <c r="I2104" t="s">
        <v>8124</v>
      </c>
      <c r="J2104" t="s">
        <v>9065</v>
      </c>
      <c r="K2104">
        <v>10453</v>
      </c>
      <c r="L2104" t="s">
        <v>9094</v>
      </c>
      <c r="M2104" t="s">
        <v>9094</v>
      </c>
      <c r="O2104" t="s">
        <v>11136</v>
      </c>
      <c r="P2104" t="s">
        <v>11164</v>
      </c>
      <c r="R2104" t="s">
        <v>11180</v>
      </c>
      <c r="S2104" t="s">
        <v>9096</v>
      </c>
      <c r="T2104" t="s">
        <v>11183</v>
      </c>
      <c r="V2104" t="s">
        <v>434</v>
      </c>
      <c r="W2104">
        <v>1525.83</v>
      </c>
      <c r="X2104" t="s">
        <v>11333</v>
      </c>
      <c r="Y2104" t="s">
        <v>11338</v>
      </c>
      <c r="Z2104" t="s">
        <v>12808</v>
      </c>
      <c r="AC2104">
        <v>0</v>
      </c>
      <c r="AD2104" t="s">
        <v>19566</v>
      </c>
      <c r="AE2104" t="s">
        <v>19580</v>
      </c>
      <c r="AF2104">
        <v>16</v>
      </c>
      <c r="AG2104">
        <v>1</v>
      </c>
      <c r="AH2104">
        <v>0</v>
      </c>
      <c r="AI2104">
        <v>76</v>
      </c>
      <c r="AL2104" t="s">
        <v>19615</v>
      </c>
      <c r="AM2104">
        <v>9492</v>
      </c>
      <c r="AS2104">
        <v>1</v>
      </c>
      <c r="AT2104" t="s">
        <v>434</v>
      </c>
      <c r="AU2104" t="s">
        <v>101</v>
      </c>
      <c r="AV2104" t="s">
        <v>20733</v>
      </c>
    </row>
    <row r="2105" spans="1:48">
      <c r="A2105" s="1">
        <f>HYPERLINK("https://lsnyc.legalserver.org/matter/dynamic-profile/view/1892846","19-1892846")</f>
        <v>0</v>
      </c>
      <c r="B2105" t="s">
        <v>137</v>
      </c>
      <c r="C2105" t="s">
        <v>256</v>
      </c>
      <c r="D2105" t="s">
        <v>523</v>
      </c>
      <c r="F2105" t="s">
        <v>2105</v>
      </c>
      <c r="G2105" t="s">
        <v>4322</v>
      </c>
      <c r="H2105" t="s">
        <v>6625</v>
      </c>
      <c r="I2105">
        <v>52</v>
      </c>
      <c r="J2105" t="s">
        <v>9067</v>
      </c>
      <c r="K2105">
        <v>10034</v>
      </c>
      <c r="L2105" t="s">
        <v>9094</v>
      </c>
      <c r="M2105" t="s">
        <v>9094</v>
      </c>
      <c r="P2105" t="s">
        <v>11164</v>
      </c>
      <c r="R2105" t="s">
        <v>11180</v>
      </c>
      <c r="S2105" t="s">
        <v>9094</v>
      </c>
      <c r="T2105" t="s">
        <v>11183</v>
      </c>
      <c r="V2105" t="s">
        <v>523</v>
      </c>
      <c r="W2105">
        <v>900</v>
      </c>
      <c r="X2105" t="s">
        <v>11335</v>
      </c>
      <c r="Y2105" t="s">
        <v>11338</v>
      </c>
      <c r="Z2105" t="s">
        <v>12809</v>
      </c>
      <c r="AA2105" t="s">
        <v>15652</v>
      </c>
      <c r="AB2105" t="s">
        <v>17190</v>
      </c>
      <c r="AC2105">
        <v>25</v>
      </c>
      <c r="AD2105" t="s">
        <v>19566</v>
      </c>
      <c r="AE2105" t="s">
        <v>9144</v>
      </c>
      <c r="AF2105">
        <v>35</v>
      </c>
      <c r="AG2105">
        <v>1</v>
      </c>
      <c r="AH2105">
        <v>0</v>
      </c>
      <c r="AI2105">
        <v>76</v>
      </c>
      <c r="AL2105" t="s">
        <v>19615</v>
      </c>
      <c r="AM2105">
        <v>9492</v>
      </c>
      <c r="AS2105">
        <v>0.6</v>
      </c>
      <c r="AT2105" t="s">
        <v>320</v>
      </c>
      <c r="AU2105" t="s">
        <v>130</v>
      </c>
    </row>
    <row r="2106" spans="1:48">
      <c r="A2106" s="1">
        <f>HYPERLINK("https://lsnyc.legalserver.org/matter/dynamic-profile/view/1905947","19-1905947")</f>
        <v>0</v>
      </c>
      <c r="B2106" t="s">
        <v>212</v>
      </c>
      <c r="C2106" t="s">
        <v>256</v>
      </c>
      <c r="D2106" t="s">
        <v>329</v>
      </c>
      <c r="F2106" t="s">
        <v>2106</v>
      </c>
      <c r="G2106" t="s">
        <v>4323</v>
      </c>
      <c r="H2106" t="s">
        <v>6812</v>
      </c>
      <c r="I2106" t="s">
        <v>8557</v>
      </c>
      <c r="J2106" t="s">
        <v>9067</v>
      </c>
      <c r="K2106">
        <v>10032</v>
      </c>
      <c r="L2106" t="s">
        <v>9094</v>
      </c>
      <c r="M2106" t="s">
        <v>9095</v>
      </c>
      <c r="N2106" t="s">
        <v>9963</v>
      </c>
      <c r="O2106" t="s">
        <v>11128</v>
      </c>
      <c r="P2106" t="s">
        <v>11169</v>
      </c>
      <c r="R2106" t="s">
        <v>11180</v>
      </c>
      <c r="S2106" t="s">
        <v>9096</v>
      </c>
      <c r="T2106" t="s">
        <v>11183</v>
      </c>
      <c r="V2106" t="s">
        <v>329</v>
      </c>
      <c r="W2106">
        <v>711</v>
      </c>
      <c r="X2106" t="s">
        <v>11335</v>
      </c>
      <c r="Y2106" t="s">
        <v>11336</v>
      </c>
      <c r="Z2106" t="s">
        <v>12810</v>
      </c>
      <c r="AA2106" t="s">
        <v>15653</v>
      </c>
      <c r="AB2106" t="s">
        <v>17191</v>
      </c>
      <c r="AC2106">
        <v>22</v>
      </c>
      <c r="AD2106" t="s">
        <v>19566</v>
      </c>
      <c r="AE2106" t="s">
        <v>9144</v>
      </c>
      <c r="AF2106">
        <v>30</v>
      </c>
      <c r="AG2106">
        <v>1</v>
      </c>
      <c r="AH2106">
        <v>0</v>
      </c>
      <c r="AI2106">
        <v>76</v>
      </c>
      <c r="AL2106" t="s">
        <v>19615</v>
      </c>
      <c r="AM2106">
        <v>9492</v>
      </c>
      <c r="AS2106">
        <v>1.3</v>
      </c>
      <c r="AT2106" t="s">
        <v>570</v>
      </c>
      <c r="AU2106" t="s">
        <v>20659</v>
      </c>
      <c r="AV2106" t="s">
        <v>20734</v>
      </c>
    </row>
    <row r="2107" spans="1:48">
      <c r="A2107" s="1">
        <f>HYPERLINK("https://lsnyc.legalserver.org/matter/dynamic-profile/view/0821825","16-0821825")</f>
        <v>0</v>
      </c>
      <c r="B2107" t="s">
        <v>111</v>
      </c>
      <c r="C2107" t="s">
        <v>256</v>
      </c>
      <c r="D2107" t="s">
        <v>892</v>
      </c>
      <c r="F2107" t="s">
        <v>1700</v>
      </c>
      <c r="G2107" t="s">
        <v>4284</v>
      </c>
      <c r="H2107" t="s">
        <v>6705</v>
      </c>
      <c r="I2107" t="s">
        <v>8543</v>
      </c>
      <c r="J2107" t="s">
        <v>9065</v>
      </c>
      <c r="K2107">
        <v>10452</v>
      </c>
      <c r="L2107" t="s">
        <v>9094</v>
      </c>
      <c r="M2107" t="s">
        <v>9094</v>
      </c>
      <c r="O2107" t="s">
        <v>11151</v>
      </c>
      <c r="P2107" t="s">
        <v>11166</v>
      </c>
      <c r="R2107" t="s">
        <v>11180</v>
      </c>
      <c r="S2107" t="s">
        <v>9096</v>
      </c>
      <c r="T2107" t="s">
        <v>11190</v>
      </c>
      <c r="V2107" t="s">
        <v>892</v>
      </c>
      <c r="W2107">
        <v>1005</v>
      </c>
      <c r="X2107" t="s">
        <v>11333</v>
      </c>
      <c r="Y2107" t="s">
        <v>11349</v>
      </c>
      <c r="Z2107" t="s">
        <v>12756</v>
      </c>
      <c r="AA2107" t="s">
        <v>15644</v>
      </c>
      <c r="AB2107" t="s">
        <v>17140</v>
      </c>
      <c r="AC2107">
        <v>54</v>
      </c>
      <c r="AD2107" t="s">
        <v>19566</v>
      </c>
      <c r="AE2107" t="s">
        <v>19580</v>
      </c>
      <c r="AF2107">
        <v>15</v>
      </c>
      <c r="AG2107">
        <v>1</v>
      </c>
      <c r="AH2107">
        <v>0</v>
      </c>
      <c r="AI2107">
        <v>76.06</v>
      </c>
      <c r="AL2107" t="s">
        <v>19615</v>
      </c>
      <c r="AM2107">
        <v>9036</v>
      </c>
      <c r="AS2107">
        <v>51.5</v>
      </c>
      <c r="AT2107" t="s">
        <v>481</v>
      </c>
      <c r="AU2107" t="s">
        <v>20704</v>
      </c>
    </row>
    <row r="2108" spans="1:48">
      <c r="A2108" s="1">
        <f>HYPERLINK("https://lsnyc.legalserver.org/matter/dynamic-profile/view/1861154","18-1861154")</f>
        <v>0</v>
      </c>
      <c r="B2108" t="s">
        <v>76</v>
      </c>
      <c r="C2108" t="s">
        <v>256</v>
      </c>
      <c r="D2108" t="s">
        <v>721</v>
      </c>
      <c r="F2108" t="s">
        <v>2107</v>
      </c>
      <c r="G2108" t="s">
        <v>4324</v>
      </c>
      <c r="H2108" t="s">
        <v>6813</v>
      </c>
      <c r="I2108" t="s">
        <v>8558</v>
      </c>
      <c r="J2108" t="s">
        <v>9059</v>
      </c>
      <c r="K2108">
        <v>11212</v>
      </c>
      <c r="L2108" t="s">
        <v>9096</v>
      </c>
      <c r="M2108" t="s">
        <v>9095</v>
      </c>
      <c r="N2108" t="s">
        <v>9121</v>
      </c>
      <c r="R2108" t="s">
        <v>11180</v>
      </c>
      <c r="T2108" t="s">
        <v>11183</v>
      </c>
      <c r="W2108">
        <v>48</v>
      </c>
      <c r="X2108" t="s">
        <v>11332</v>
      </c>
      <c r="Y2108" t="s">
        <v>11338</v>
      </c>
      <c r="Z2108" t="s">
        <v>12811</v>
      </c>
      <c r="AB2108" t="s">
        <v>17192</v>
      </c>
      <c r="AC2108">
        <v>43</v>
      </c>
      <c r="AD2108" t="s">
        <v>19566</v>
      </c>
      <c r="AE2108" t="s">
        <v>19580</v>
      </c>
      <c r="AF2108">
        <v>9</v>
      </c>
      <c r="AG2108">
        <v>1</v>
      </c>
      <c r="AH2108">
        <v>0</v>
      </c>
      <c r="AI2108">
        <v>76.11</v>
      </c>
      <c r="AL2108" t="s">
        <v>19615</v>
      </c>
      <c r="AM2108">
        <v>9240</v>
      </c>
      <c r="AS2108">
        <v>1.75</v>
      </c>
      <c r="AT2108" t="s">
        <v>619</v>
      </c>
      <c r="AU2108" t="s">
        <v>20638</v>
      </c>
    </row>
    <row r="2109" spans="1:48">
      <c r="A2109" s="1">
        <f>HYPERLINK("https://lsnyc.legalserver.org/matter/dynamic-profile/view/1866945","18-1866945")</f>
        <v>0</v>
      </c>
      <c r="B2109" t="s">
        <v>78</v>
      </c>
      <c r="C2109" t="s">
        <v>256</v>
      </c>
      <c r="D2109" t="s">
        <v>600</v>
      </c>
      <c r="F2109" t="s">
        <v>2108</v>
      </c>
      <c r="G2109" t="s">
        <v>4325</v>
      </c>
      <c r="H2109" t="s">
        <v>5809</v>
      </c>
      <c r="J2109" t="s">
        <v>9059</v>
      </c>
      <c r="K2109">
        <v>11212</v>
      </c>
      <c r="L2109" t="s">
        <v>9094</v>
      </c>
      <c r="M2109" t="s">
        <v>9094</v>
      </c>
      <c r="P2109" t="s">
        <v>11168</v>
      </c>
      <c r="R2109" t="s">
        <v>11180</v>
      </c>
      <c r="S2109" t="s">
        <v>9094</v>
      </c>
      <c r="T2109" t="s">
        <v>11183</v>
      </c>
      <c r="V2109" t="s">
        <v>675</v>
      </c>
      <c r="W2109">
        <v>932</v>
      </c>
      <c r="X2109" t="s">
        <v>11332</v>
      </c>
      <c r="Y2109" t="s">
        <v>11340</v>
      </c>
      <c r="Z2109" t="s">
        <v>12812</v>
      </c>
      <c r="AB2109" t="s">
        <v>17193</v>
      </c>
      <c r="AC2109">
        <v>31</v>
      </c>
      <c r="AD2109" t="s">
        <v>19566</v>
      </c>
      <c r="AE2109" t="s">
        <v>9144</v>
      </c>
      <c r="AF2109">
        <v>13</v>
      </c>
      <c r="AG2109">
        <v>1</v>
      </c>
      <c r="AH2109">
        <v>0</v>
      </c>
      <c r="AI2109">
        <v>76.11</v>
      </c>
      <c r="AL2109" t="s">
        <v>19614</v>
      </c>
      <c r="AM2109">
        <v>9240</v>
      </c>
      <c r="AS2109">
        <v>9</v>
      </c>
      <c r="AT2109" t="s">
        <v>319</v>
      </c>
      <c r="AU2109" t="s">
        <v>95</v>
      </c>
    </row>
    <row r="2110" spans="1:48">
      <c r="A2110" s="1">
        <f>HYPERLINK("https://lsnyc.legalserver.org/matter/dynamic-profile/view/1877946","18-1877946")</f>
        <v>0</v>
      </c>
      <c r="B2110" t="s">
        <v>64</v>
      </c>
      <c r="C2110" t="s">
        <v>256</v>
      </c>
      <c r="D2110" t="s">
        <v>846</v>
      </c>
      <c r="F2110" t="s">
        <v>2109</v>
      </c>
      <c r="G2110" t="s">
        <v>4326</v>
      </c>
      <c r="H2110" t="s">
        <v>6814</v>
      </c>
      <c r="I2110">
        <v>21</v>
      </c>
      <c r="J2110" t="s">
        <v>9059</v>
      </c>
      <c r="K2110">
        <v>11206</v>
      </c>
      <c r="L2110" t="s">
        <v>9094</v>
      </c>
      <c r="M2110" t="s">
        <v>9094</v>
      </c>
      <c r="N2110" t="s">
        <v>9964</v>
      </c>
      <c r="O2110" t="s">
        <v>11129</v>
      </c>
      <c r="P2110" t="s">
        <v>11165</v>
      </c>
      <c r="R2110" t="s">
        <v>11180</v>
      </c>
      <c r="T2110" t="s">
        <v>11183</v>
      </c>
      <c r="V2110" t="s">
        <v>635</v>
      </c>
      <c r="W2110">
        <v>0</v>
      </c>
      <c r="X2110" t="s">
        <v>11332</v>
      </c>
      <c r="Y2110" t="s">
        <v>11336</v>
      </c>
      <c r="Z2110" t="s">
        <v>12813</v>
      </c>
      <c r="AB2110" t="s">
        <v>17194</v>
      </c>
      <c r="AC2110">
        <v>0</v>
      </c>
      <c r="AE2110" t="s">
        <v>19580</v>
      </c>
      <c r="AF2110">
        <v>15</v>
      </c>
      <c r="AG2110">
        <v>1</v>
      </c>
      <c r="AH2110">
        <v>0</v>
      </c>
      <c r="AI2110">
        <v>76.11</v>
      </c>
      <c r="AL2110" t="s">
        <v>19614</v>
      </c>
      <c r="AM2110">
        <v>9240</v>
      </c>
      <c r="AS2110">
        <v>10.3</v>
      </c>
      <c r="AT2110" t="s">
        <v>360</v>
      </c>
      <c r="AU2110" t="s">
        <v>20625</v>
      </c>
    </row>
    <row r="2111" spans="1:48">
      <c r="A2111" s="1">
        <f>HYPERLINK("https://lsnyc.legalserver.org/matter/dynamic-profile/view/1878035","18-1878035")</f>
        <v>0</v>
      </c>
      <c r="B2111" t="s">
        <v>64</v>
      </c>
      <c r="C2111" t="s">
        <v>257</v>
      </c>
      <c r="D2111" t="s">
        <v>846</v>
      </c>
      <c r="E2111" t="s">
        <v>992</v>
      </c>
      <c r="F2111" t="s">
        <v>2109</v>
      </c>
      <c r="G2111" t="s">
        <v>4326</v>
      </c>
      <c r="H2111" t="s">
        <v>6814</v>
      </c>
      <c r="I2111">
        <v>21</v>
      </c>
      <c r="J2111" t="s">
        <v>9059</v>
      </c>
      <c r="K2111">
        <v>11206</v>
      </c>
      <c r="L2111" t="s">
        <v>9094</v>
      </c>
      <c r="M2111" t="s">
        <v>9094</v>
      </c>
      <c r="N2111" t="s">
        <v>9964</v>
      </c>
      <c r="P2111" t="s">
        <v>11164</v>
      </c>
      <c r="Q2111" t="s">
        <v>11172</v>
      </c>
      <c r="R2111" t="s">
        <v>11180</v>
      </c>
      <c r="T2111" t="s">
        <v>11184</v>
      </c>
      <c r="W2111">
        <v>0</v>
      </c>
      <c r="X2111" t="s">
        <v>11332</v>
      </c>
      <c r="Z2111" t="s">
        <v>12813</v>
      </c>
      <c r="AB2111" t="s">
        <v>17194</v>
      </c>
      <c r="AC2111">
        <v>0</v>
      </c>
      <c r="AE2111" t="s">
        <v>19580</v>
      </c>
      <c r="AF2111">
        <v>15</v>
      </c>
      <c r="AG2111">
        <v>1</v>
      </c>
      <c r="AH2111">
        <v>0</v>
      </c>
      <c r="AI2111">
        <v>76.11</v>
      </c>
      <c r="AL2111" t="s">
        <v>19614</v>
      </c>
      <c r="AM2111">
        <v>9240</v>
      </c>
      <c r="AS2111">
        <v>0.2</v>
      </c>
      <c r="AT2111" t="s">
        <v>846</v>
      </c>
      <c r="AU2111" t="s">
        <v>20625</v>
      </c>
    </row>
    <row r="2112" spans="1:48">
      <c r="A2112" s="1">
        <f>HYPERLINK("https://lsnyc.legalserver.org/matter/dynamic-profile/view/1866415","18-1866415")</f>
        <v>0</v>
      </c>
      <c r="B2112" t="s">
        <v>127</v>
      </c>
      <c r="C2112" t="s">
        <v>256</v>
      </c>
      <c r="D2112" t="s">
        <v>893</v>
      </c>
      <c r="F2112" t="s">
        <v>2110</v>
      </c>
      <c r="G2112" t="s">
        <v>3704</v>
      </c>
      <c r="H2112" t="s">
        <v>6815</v>
      </c>
      <c r="I2112" t="s">
        <v>8559</v>
      </c>
      <c r="J2112" t="s">
        <v>9065</v>
      </c>
      <c r="K2112">
        <v>10458</v>
      </c>
      <c r="L2112" t="s">
        <v>9094</v>
      </c>
      <c r="M2112" t="s">
        <v>9094</v>
      </c>
      <c r="N2112" t="s">
        <v>9965</v>
      </c>
      <c r="O2112" t="s">
        <v>11154</v>
      </c>
      <c r="P2112" t="s">
        <v>11170</v>
      </c>
      <c r="R2112" t="s">
        <v>11180</v>
      </c>
      <c r="S2112" t="s">
        <v>9094</v>
      </c>
      <c r="T2112" t="s">
        <v>11183</v>
      </c>
      <c r="V2112" t="s">
        <v>727</v>
      </c>
      <c r="W2112">
        <v>867</v>
      </c>
      <c r="X2112" t="s">
        <v>11334</v>
      </c>
      <c r="Y2112" t="s">
        <v>11342</v>
      </c>
      <c r="Z2112" t="s">
        <v>12814</v>
      </c>
      <c r="AB2112" t="s">
        <v>17195</v>
      </c>
      <c r="AC2112">
        <v>467</v>
      </c>
      <c r="AD2112" t="s">
        <v>19566</v>
      </c>
      <c r="AE2112" t="s">
        <v>19585</v>
      </c>
      <c r="AF2112">
        <v>1</v>
      </c>
      <c r="AG2112">
        <v>1</v>
      </c>
      <c r="AH2112">
        <v>0</v>
      </c>
      <c r="AI2112">
        <v>76.11</v>
      </c>
      <c r="AL2112" t="s">
        <v>19614</v>
      </c>
      <c r="AM2112">
        <v>9240</v>
      </c>
      <c r="AP2112" t="s">
        <v>11157</v>
      </c>
      <c r="AS2112">
        <v>76.20999999999999</v>
      </c>
      <c r="AT2112" t="s">
        <v>404</v>
      </c>
      <c r="AU2112" t="s">
        <v>154</v>
      </c>
    </row>
    <row r="2113" spans="1:48">
      <c r="A2113" s="1">
        <f>HYPERLINK("https://lsnyc.legalserver.org/matter/dynamic-profile/view/1871646","18-1871646")</f>
        <v>0</v>
      </c>
      <c r="B2113" t="s">
        <v>135</v>
      </c>
      <c r="C2113" t="s">
        <v>256</v>
      </c>
      <c r="D2113" t="s">
        <v>609</v>
      </c>
      <c r="F2113" t="s">
        <v>1365</v>
      </c>
      <c r="G2113" t="s">
        <v>3510</v>
      </c>
      <c r="H2113" t="s">
        <v>6816</v>
      </c>
      <c r="I2113">
        <v>504</v>
      </c>
      <c r="J2113" t="s">
        <v>9067</v>
      </c>
      <c r="K2113">
        <v>10029</v>
      </c>
      <c r="L2113" t="s">
        <v>9094</v>
      </c>
      <c r="M2113" t="s">
        <v>9094</v>
      </c>
      <c r="N2113" t="s">
        <v>9966</v>
      </c>
      <c r="O2113" t="s">
        <v>11128</v>
      </c>
      <c r="P2113" t="s">
        <v>11165</v>
      </c>
      <c r="R2113" t="s">
        <v>11180</v>
      </c>
      <c r="S2113" t="s">
        <v>9096</v>
      </c>
      <c r="T2113" t="s">
        <v>11183</v>
      </c>
      <c r="U2113" t="s">
        <v>11201</v>
      </c>
      <c r="V2113" t="s">
        <v>609</v>
      </c>
      <c r="W2113">
        <v>1000</v>
      </c>
      <c r="X2113" t="s">
        <v>11335</v>
      </c>
      <c r="Y2113" t="s">
        <v>11338</v>
      </c>
      <c r="Z2113" t="s">
        <v>12815</v>
      </c>
      <c r="AB2113" t="s">
        <v>17196</v>
      </c>
      <c r="AC2113">
        <v>78</v>
      </c>
      <c r="AD2113" t="s">
        <v>19566</v>
      </c>
      <c r="AE2113" t="s">
        <v>19580</v>
      </c>
      <c r="AF2113">
        <v>9</v>
      </c>
      <c r="AG2113">
        <v>1</v>
      </c>
      <c r="AH2113">
        <v>0</v>
      </c>
      <c r="AI2113">
        <v>76.11</v>
      </c>
      <c r="AL2113" t="s">
        <v>19615</v>
      </c>
      <c r="AM2113">
        <v>9240</v>
      </c>
      <c r="AS2113">
        <v>96.7</v>
      </c>
      <c r="AT2113" t="s">
        <v>429</v>
      </c>
      <c r="AU2113" t="s">
        <v>20657</v>
      </c>
      <c r="AV2113" t="s">
        <v>20733</v>
      </c>
    </row>
    <row r="2114" spans="1:48">
      <c r="A2114" s="1">
        <f>HYPERLINK("https://lsnyc.legalserver.org/matter/dynamic-profile/view/1867832","18-1867832")</f>
        <v>0</v>
      </c>
      <c r="B2114" t="s">
        <v>213</v>
      </c>
      <c r="C2114" t="s">
        <v>257</v>
      </c>
      <c r="D2114" t="s">
        <v>894</v>
      </c>
      <c r="E2114" t="s">
        <v>326</v>
      </c>
      <c r="F2114" t="s">
        <v>1450</v>
      </c>
      <c r="G2114" t="s">
        <v>4290</v>
      </c>
      <c r="H2114" t="s">
        <v>6817</v>
      </c>
      <c r="I2114">
        <v>20</v>
      </c>
      <c r="J2114" t="s">
        <v>9067</v>
      </c>
      <c r="K2114">
        <v>10010</v>
      </c>
      <c r="L2114" t="s">
        <v>9094</v>
      </c>
      <c r="M2114" t="s">
        <v>9094</v>
      </c>
      <c r="O2114" t="s">
        <v>9121</v>
      </c>
      <c r="P2114" t="s">
        <v>11164</v>
      </c>
      <c r="Q2114" t="s">
        <v>11172</v>
      </c>
      <c r="R2114" t="s">
        <v>11180</v>
      </c>
      <c r="S2114" t="s">
        <v>9096</v>
      </c>
      <c r="T2114" t="s">
        <v>11183</v>
      </c>
      <c r="V2114" t="s">
        <v>11229</v>
      </c>
      <c r="W2114">
        <v>643.36</v>
      </c>
      <c r="X2114" t="s">
        <v>11335</v>
      </c>
      <c r="Y2114" t="s">
        <v>11339</v>
      </c>
      <c r="Z2114" t="s">
        <v>12816</v>
      </c>
      <c r="AB2114" t="s">
        <v>17197</v>
      </c>
      <c r="AC2114">
        <v>30</v>
      </c>
      <c r="AD2114" t="s">
        <v>19566</v>
      </c>
      <c r="AE2114" t="s">
        <v>19587</v>
      </c>
      <c r="AF2114">
        <v>41</v>
      </c>
      <c r="AG2114">
        <v>1</v>
      </c>
      <c r="AH2114">
        <v>0</v>
      </c>
      <c r="AI2114">
        <v>76.11</v>
      </c>
      <c r="AL2114" t="s">
        <v>19615</v>
      </c>
      <c r="AM2114">
        <v>9240</v>
      </c>
      <c r="AS2114">
        <v>0.6</v>
      </c>
      <c r="AT2114" t="s">
        <v>326</v>
      </c>
      <c r="AU2114" t="s">
        <v>20655</v>
      </c>
      <c r="AV2114" t="s">
        <v>20733</v>
      </c>
    </row>
    <row r="2115" spans="1:48">
      <c r="A2115" s="1">
        <f>HYPERLINK("https://lsnyc.legalserver.org/matter/dynamic-profile/view/1887993","19-1887993")</f>
        <v>0</v>
      </c>
      <c r="B2115" t="s">
        <v>214</v>
      </c>
      <c r="C2115" t="s">
        <v>257</v>
      </c>
      <c r="D2115" t="s">
        <v>443</v>
      </c>
      <c r="E2115" t="s">
        <v>597</v>
      </c>
      <c r="F2115" t="s">
        <v>1143</v>
      </c>
      <c r="G2115" t="s">
        <v>3746</v>
      </c>
      <c r="H2115" t="s">
        <v>6818</v>
      </c>
      <c r="I2115">
        <v>5</v>
      </c>
      <c r="J2115" t="s">
        <v>9065</v>
      </c>
      <c r="K2115">
        <v>10457</v>
      </c>
      <c r="L2115" t="s">
        <v>9094</v>
      </c>
      <c r="M2115" t="s">
        <v>9094</v>
      </c>
      <c r="O2115" t="s">
        <v>11133</v>
      </c>
      <c r="P2115" t="s">
        <v>11167</v>
      </c>
      <c r="Q2115" t="s">
        <v>11173</v>
      </c>
      <c r="R2115" t="s">
        <v>11180</v>
      </c>
      <c r="S2115" t="s">
        <v>9096</v>
      </c>
      <c r="T2115" t="s">
        <v>11189</v>
      </c>
      <c r="V2115" t="s">
        <v>719</v>
      </c>
      <c r="W2115">
        <v>1321.11</v>
      </c>
      <c r="X2115" t="s">
        <v>11333</v>
      </c>
      <c r="Y2115" t="s">
        <v>11347</v>
      </c>
      <c r="Z2115" t="s">
        <v>12817</v>
      </c>
      <c r="AB2115" t="s">
        <v>17198</v>
      </c>
      <c r="AC2115">
        <v>60</v>
      </c>
      <c r="AD2115" t="s">
        <v>19566</v>
      </c>
      <c r="AE2115" t="s">
        <v>9144</v>
      </c>
      <c r="AF2115">
        <v>2</v>
      </c>
      <c r="AG2115">
        <v>1</v>
      </c>
      <c r="AH2115">
        <v>0</v>
      </c>
      <c r="AI2115">
        <v>76.20999999999999</v>
      </c>
      <c r="AL2115" t="s">
        <v>19614</v>
      </c>
      <c r="AM2115">
        <v>9252</v>
      </c>
      <c r="AN2115" t="s">
        <v>19843</v>
      </c>
      <c r="AS2115">
        <v>2.95</v>
      </c>
      <c r="AT2115" t="s">
        <v>597</v>
      </c>
      <c r="AU2115" t="s">
        <v>214</v>
      </c>
    </row>
    <row r="2116" spans="1:48">
      <c r="A2116" s="1">
        <f>HYPERLINK("https://lsnyc.legalserver.org/matter/dynamic-profile/view/1899921","19-1899921")</f>
        <v>0</v>
      </c>
      <c r="B2116" t="s">
        <v>182</v>
      </c>
      <c r="C2116" t="s">
        <v>256</v>
      </c>
      <c r="D2116" t="s">
        <v>411</v>
      </c>
      <c r="F2116" t="s">
        <v>2111</v>
      </c>
      <c r="G2116" t="s">
        <v>4327</v>
      </c>
      <c r="H2116" t="s">
        <v>6819</v>
      </c>
      <c r="I2116" t="s">
        <v>8384</v>
      </c>
      <c r="J2116" t="s">
        <v>9059</v>
      </c>
      <c r="K2116">
        <v>11226</v>
      </c>
      <c r="L2116" t="s">
        <v>9095</v>
      </c>
      <c r="M2116" t="s">
        <v>9095</v>
      </c>
      <c r="N2116" t="s">
        <v>9967</v>
      </c>
      <c r="O2116" t="s">
        <v>11129</v>
      </c>
      <c r="R2116" t="s">
        <v>11180</v>
      </c>
      <c r="S2116" t="s">
        <v>9094</v>
      </c>
      <c r="T2116" t="s">
        <v>11183</v>
      </c>
      <c r="W2116">
        <v>771.66</v>
      </c>
      <c r="X2116" t="s">
        <v>11332</v>
      </c>
      <c r="Y2116" t="s">
        <v>11340</v>
      </c>
      <c r="Z2116" t="s">
        <v>12818</v>
      </c>
      <c r="AA2116">
        <v>35037572</v>
      </c>
      <c r="AB2116" t="s">
        <v>17199</v>
      </c>
      <c r="AC2116">
        <v>16</v>
      </c>
      <c r="AD2116" t="s">
        <v>19566</v>
      </c>
      <c r="AF2116">
        <v>36</v>
      </c>
      <c r="AG2116">
        <v>4</v>
      </c>
      <c r="AH2116">
        <v>1</v>
      </c>
      <c r="AI2116">
        <v>76.23</v>
      </c>
      <c r="AL2116" t="s">
        <v>19614</v>
      </c>
      <c r="AM2116">
        <v>23000</v>
      </c>
      <c r="AS2116">
        <v>21.85</v>
      </c>
      <c r="AT2116" t="s">
        <v>1135</v>
      </c>
      <c r="AU2116" t="s">
        <v>20705</v>
      </c>
    </row>
    <row r="2117" spans="1:48">
      <c r="A2117" s="1">
        <f>HYPERLINK("https://lsnyc.legalserver.org/matter/dynamic-profile/view/1857252","18-1857252")</f>
        <v>0</v>
      </c>
      <c r="B2117" t="s">
        <v>119</v>
      </c>
      <c r="C2117" t="s">
        <v>257</v>
      </c>
      <c r="D2117" t="s">
        <v>466</v>
      </c>
      <c r="E2117" t="s">
        <v>664</v>
      </c>
      <c r="F2117" t="s">
        <v>2112</v>
      </c>
      <c r="G2117" t="s">
        <v>4328</v>
      </c>
      <c r="H2117" t="s">
        <v>6820</v>
      </c>
      <c r="I2117" t="s">
        <v>8560</v>
      </c>
      <c r="J2117" t="s">
        <v>9065</v>
      </c>
      <c r="K2117">
        <v>10453</v>
      </c>
      <c r="L2117" t="s">
        <v>9094</v>
      </c>
      <c r="M2117" t="s">
        <v>9095</v>
      </c>
      <c r="N2117" t="s">
        <v>9968</v>
      </c>
      <c r="O2117" t="s">
        <v>11129</v>
      </c>
      <c r="P2117" t="s">
        <v>11165</v>
      </c>
      <c r="Q2117" t="s">
        <v>11174</v>
      </c>
      <c r="R2117" t="s">
        <v>11180</v>
      </c>
      <c r="S2117" t="s">
        <v>9096</v>
      </c>
      <c r="T2117" t="s">
        <v>11183</v>
      </c>
      <c r="V2117" t="s">
        <v>466</v>
      </c>
      <c r="W2117">
        <v>1376.48</v>
      </c>
      <c r="X2117" t="s">
        <v>11333</v>
      </c>
      <c r="Y2117" t="s">
        <v>11349</v>
      </c>
      <c r="Z2117" t="s">
        <v>12819</v>
      </c>
      <c r="AA2117" t="s">
        <v>15654</v>
      </c>
      <c r="AB2117" t="s">
        <v>17200</v>
      </c>
      <c r="AC2117">
        <v>56</v>
      </c>
      <c r="AD2117" t="s">
        <v>19566</v>
      </c>
      <c r="AE2117" t="s">
        <v>19582</v>
      </c>
      <c r="AF2117">
        <v>5</v>
      </c>
      <c r="AG2117">
        <v>1</v>
      </c>
      <c r="AH2117">
        <v>4</v>
      </c>
      <c r="AI2117">
        <v>76.23</v>
      </c>
      <c r="AL2117" t="s">
        <v>19615</v>
      </c>
      <c r="AM2117">
        <v>21940</v>
      </c>
      <c r="AS2117">
        <v>76</v>
      </c>
      <c r="AT2117" t="s">
        <v>664</v>
      </c>
      <c r="AU2117" t="s">
        <v>163</v>
      </c>
    </row>
    <row r="2118" spans="1:48">
      <c r="A2118" s="1">
        <f>HYPERLINK("https://lsnyc.legalserver.org/matter/dynamic-profile/view/1907767","19-1907767")</f>
        <v>0</v>
      </c>
      <c r="B2118" t="s">
        <v>78</v>
      </c>
      <c r="C2118" t="s">
        <v>256</v>
      </c>
      <c r="D2118" t="s">
        <v>396</v>
      </c>
      <c r="F2118" t="s">
        <v>1186</v>
      </c>
      <c r="G2118" t="s">
        <v>2375</v>
      </c>
      <c r="H2118" t="s">
        <v>5984</v>
      </c>
      <c r="I2118" t="s">
        <v>8192</v>
      </c>
      <c r="J2118" t="s">
        <v>9059</v>
      </c>
      <c r="K2118">
        <v>11212</v>
      </c>
      <c r="L2118" t="s">
        <v>9094</v>
      </c>
      <c r="M2118" t="s">
        <v>9095</v>
      </c>
      <c r="N2118" t="s">
        <v>9144</v>
      </c>
      <c r="O2118" t="s">
        <v>11137</v>
      </c>
      <c r="P2118" t="s">
        <v>11167</v>
      </c>
      <c r="R2118" t="s">
        <v>11180</v>
      </c>
      <c r="S2118" t="s">
        <v>9094</v>
      </c>
      <c r="T2118" t="s">
        <v>11183</v>
      </c>
      <c r="V2118" t="s">
        <v>333</v>
      </c>
      <c r="W2118">
        <v>165</v>
      </c>
      <c r="X2118" t="s">
        <v>11332</v>
      </c>
      <c r="Y2118" t="s">
        <v>11346</v>
      </c>
      <c r="Z2118" t="s">
        <v>12820</v>
      </c>
      <c r="AB2118" t="s">
        <v>17201</v>
      </c>
      <c r="AC2118">
        <v>96</v>
      </c>
      <c r="AD2118" t="s">
        <v>19566</v>
      </c>
      <c r="AE2118" t="s">
        <v>11157</v>
      </c>
      <c r="AF2118">
        <v>6</v>
      </c>
      <c r="AG2118">
        <v>1</v>
      </c>
      <c r="AH2118">
        <v>0</v>
      </c>
      <c r="AI2118">
        <v>76.29000000000001</v>
      </c>
      <c r="AL2118" t="s">
        <v>19614</v>
      </c>
      <c r="AM2118">
        <v>9528</v>
      </c>
      <c r="AS2118">
        <v>0</v>
      </c>
      <c r="AU2118" t="s">
        <v>79</v>
      </c>
      <c r="AV2118" t="s">
        <v>20733</v>
      </c>
    </row>
    <row r="2119" spans="1:48">
      <c r="A2119" s="1">
        <f>HYPERLINK("https://lsnyc.legalserver.org/matter/dynamic-profile/view/0821992","16-0821992")</f>
        <v>0</v>
      </c>
      <c r="B2119" t="s">
        <v>103</v>
      </c>
      <c r="C2119" t="s">
        <v>256</v>
      </c>
      <c r="D2119" t="s">
        <v>463</v>
      </c>
      <c r="F2119" t="s">
        <v>2113</v>
      </c>
      <c r="G2119" t="s">
        <v>3499</v>
      </c>
      <c r="H2119" t="s">
        <v>5899</v>
      </c>
      <c r="I2119" t="s">
        <v>8140</v>
      </c>
      <c r="J2119" t="s">
        <v>9065</v>
      </c>
      <c r="K2119">
        <v>10452</v>
      </c>
      <c r="L2119" t="s">
        <v>9094</v>
      </c>
      <c r="M2119" t="s">
        <v>9095</v>
      </c>
      <c r="O2119" t="s">
        <v>11135</v>
      </c>
      <c r="P2119" t="s">
        <v>11168</v>
      </c>
      <c r="R2119" t="s">
        <v>11180</v>
      </c>
      <c r="S2119" t="s">
        <v>9094</v>
      </c>
      <c r="T2119" t="s">
        <v>11183</v>
      </c>
      <c r="V2119" t="s">
        <v>463</v>
      </c>
      <c r="W2119">
        <v>301</v>
      </c>
      <c r="X2119" t="s">
        <v>11333</v>
      </c>
      <c r="Y2119" t="s">
        <v>11346</v>
      </c>
      <c r="Z2119" t="s">
        <v>12821</v>
      </c>
      <c r="AB2119" t="s">
        <v>17202</v>
      </c>
      <c r="AC2119">
        <v>63</v>
      </c>
      <c r="AD2119" t="s">
        <v>19566</v>
      </c>
      <c r="AE2119" t="s">
        <v>19580</v>
      </c>
      <c r="AF2119">
        <v>16</v>
      </c>
      <c r="AG2119">
        <v>1</v>
      </c>
      <c r="AH2119">
        <v>0</v>
      </c>
      <c r="AI2119">
        <v>76.36</v>
      </c>
      <c r="AL2119" t="s">
        <v>19615</v>
      </c>
      <c r="AM2119">
        <v>9072</v>
      </c>
      <c r="AS2119">
        <v>0</v>
      </c>
      <c r="AU2119" t="s">
        <v>20643</v>
      </c>
    </row>
    <row r="2120" spans="1:48">
      <c r="A2120" s="1">
        <f>HYPERLINK("https://lsnyc.legalserver.org/matter/dynamic-profile/view/0821995","16-0821995")</f>
        <v>0</v>
      </c>
      <c r="B2120" t="s">
        <v>103</v>
      </c>
      <c r="C2120" t="s">
        <v>256</v>
      </c>
      <c r="D2120" t="s">
        <v>519</v>
      </c>
      <c r="F2120" t="s">
        <v>2113</v>
      </c>
      <c r="G2120" t="s">
        <v>3499</v>
      </c>
      <c r="H2120" t="s">
        <v>5899</v>
      </c>
      <c r="I2120" t="s">
        <v>8140</v>
      </c>
      <c r="J2120" t="s">
        <v>9065</v>
      </c>
      <c r="K2120">
        <v>10452</v>
      </c>
      <c r="L2120" t="s">
        <v>9094</v>
      </c>
      <c r="M2120" t="s">
        <v>9095</v>
      </c>
      <c r="O2120" t="s">
        <v>11135</v>
      </c>
      <c r="P2120" t="s">
        <v>11168</v>
      </c>
      <c r="R2120" t="s">
        <v>11180</v>
      </c>
      <c r="S2120" t="s">
        <v>9094</v>
      </c>
      <c r="T2120" t="s">
        <v>11183</v>
      </c>
      <c r="V2120" t="s">
        <v>519</v>
      </c>
      <c r="W2120">
        <v>301</v>
      </c>
      <c r="X2120" t="s">
        <v>11333</v>
      </c>
      <c r="Y2120" t="s">
        <v>11346</v>
      </c>
      <c r="Z2120" t="s">
        <v>12821</v>
      </c>
      <c r="AB2120" t="s">
        <v>17202</v>
      </c>
      <c r="AC2120">
        <v>63</v>
      </c>
      <c r="AD2120" t="s">
        <v>19566</v>
      </c>
      <c r="AE2120" t="s">
        <v>19580</v>
      </c>
      <c r="AF2120">
        <v>16</v>
      </c>
      <c r="AG2120">
        <v>1</v>
      </c>
      <c r="AH2120">
        <v>0</v>
      </c>
      <c r="AI2120">
        <v>76.36</v>
      </c>
      <c r="AL2120" t="s">
        <v>19615</v>
      </c>
      <c r="AM2120">
        <v>9072</v>
      </c>
      <c r="AS2120">
        <v>0</v>
      </c>
      <c r="AU2120" t="s">
        <v>20643</v>
      </c>
    </row>
    <row r="2121" spans="1:48">
      <c r="A2121" s="1">
        <f>HYPERLINK("https://lsnyc.legalserver.org/matter/dynamic-profile/view/1856437","18-1856437")</f>
        <v>0</v>
      </c>
      <c r="B2121" t="s">
        <v>113</v>
      </c>
      <c r="C2121" t="s">
        <v>257</v>
      </c>
      <c r="D2121" t="s">
        <v>812</v>
      </c>
      <c r="E2121" t="s">
        <v>1130</v>
      </c>
      <c r="F2121" t="s">
        <v>1576</v>
      </c>
      <c r="G2121" t="s">
        <v>4329</v>
      </c>
      <c r="H2121" t="s">
        <v>6821</v>
      </c>
      <c r="I2121" t="s">
        <v>8218</v>
      </c>
      <c r="J2121" t="s">
        <v>9065</v>
      </c>
      <c r="K2121">
        <v>10452</v>
      </c>
      <c r="L2121" t="s">
        <v>9094</v>
      </c>
      <c r="M2121" t="s">
        <v>9095</v>
      </c>
      <c r="N2121" t="s">
        <v>9969</v>
      </c>
      <c r="O2121" t="s">
        <v>11129</v>
      </c>
      <c r="P2121" t="s">
        <v>11165</v>
      </c>
      <c r="Q2121" t="s">
        <v>11174</v>
      </c>
      <c r="R2121" t="s">
        <v>11180</v>
      </c>
      <c r="S2121" t="s">
        <v>9096</v>
      </c>
      <c r="T2121" t="s">
        <v>11183</v>
      </c>
      <c r="V2121" t="s">
        <v>468</v>
      </c>
      <c r="W2121">
        <v>1200</v>
      </c>
      <c r="X2121" t="s">
        <v>11333</v>
      </c>
      <c r="Y2121" t="s">
        <v>11346</v>
      </c>
      <c r="Z2121" t="s">
        <v>12822</v>
      </c>
      <c r="AA2121" t="s">
        <v>15655</v>
      </c>
      <c r="AB2121" t="s">
        <v>17203</v>
      </c>
      <c r="AC2121">
        <v>110</v>
      </c>
      <c r="AD2121" t="s">
        <v>19566</v>
      </c>
      <c r="AE2121" t="s">
        <v>9144</v>
      </c>
      <c r="AF2121">
        <v>5</v>
      </c>
      <c r="AG2121">
        <v>2</v>
      </c>
      <c r="AH2121">
        <v>1</v>
      </c>
      <c r="AI2121">
        <v>76.40000000000001</v>
      </c>
      <c r="AL2121" t="s">
        <v>19615</v>
      </c>
      <c r="AM2121">
        <v>15600</v>
      </c>
      <c r="AN2121" t="s">
        <v>19699</v>
      </c>
      <c r="AS2121">
        <v>116.55</v>
      </c>
      <c r="AT2121" t="s">
        <v>1130</v>
      </c>
      <c r="AU2121" t="s">
        <v>20642</v>
      </c>
    </row>
    <row r="2122" spans="1:48">
      <c r="A2122" s="1">
        <f>HYPERLINK("https://lsnyc.legalserver.org/matter/dynamic-profile/view/1888382","19-1888382")</f>
        <v>0</v>
      </c>
      <c r="B2122" t="s">
        <v>103</v>
      </c>
      <c r="C2122" t="s">
        <v>256</v>
      </c>
      <c r="D2122" t="s">
        <v>540</v>
      </c>
      <c r="F2122" t="s">
        <v>1992</v>
      </c>
      <c r="G2122" t="s">
        <v>3333</v>
      </c>
      <c r="H2122" t="s">
        <v>5887</v>
      </c>
      <c r="I2122" t="s">
        <v>8499</v>
      </c>
      <c r="J2122" t="s">
        <v>9065</v>
      </c>
      <c r="K2122">
        <v>10453</v>
      </c>
      <c r="L2122" t="s">
        <v>9094</v>
      </c>
      <c r="M2122" t="s">
        <v>9096</v>
      </c>
      <c r="N2122" t="s">
        <v>9352</v>
      </c>
      <c r="O2122" t="s">
        <v>11130</v>
      </c>
      <c r="P2122" t="s">
        <v>11165</v>
      </c>
      <c r="R2122" t="s">
        <v>11180</v>
      </c>
      <c r="S2122" t="s">
        <v>9094</v>
      </c>
      <c r="T2122" t="s">
        <v>11183</v>
      </c>
      <c r="V2122" t="s">
        <v>512</v>
      </c>
      <c r="W2122">
        <v>0</v>
      </c>
      <c r="X2122" t="s">
        <v>11333</v>
      </c>
      <c r="Y2122" t="s">
        <v>11340</v>
      </c>
      <c r="Z2122" t="s">
        <v>12583</v>
      </c>
      <c r="AB2122" t="s">
        <v>16975</v>
      </c>
      <c r="AC2122">
        <v>170</v>
      </c>
      <c r="AD2122" t="s">
        <v>19566</v>
      </c>
      <c r="AE2122" t="s">
        <v>19580</v>
      </c>
      <c r="AF2122">
        <v>28</v>
      </c>
      <c r="AG2122">
        <v>1</v>
      </c>
      <c r="AH2122">
        <v>0</v>
      </c>
      <c r="AI2122">
        <v>76.41</v>
      </c>
      <c r="AL2122" t="s">
        <v>19615</v>
      </c>
      <c r="AM2122">
        <v>9276</v>
      </c>
      <c r="AS2122">
        <v>663.42</v>
      </c>
      <c r="AT2122" t="s">
        <v>1135</v>
      </c>
      <c r="AU2122" t="s">
        <v>99</v>
      </c>
      <c r="AV2122" t="s">
        <v>20733</v>
      </c>
    </row>
    <row r="2123" spans="1:48">
      <c r="A2123" s="1">
        <f>HYPERLINK("https://lsnyc.legalserver.org/matter/dynamic-profile/view/1882296","18-1882296")</f>
        <v>0</v>
      </c>
      <c r="B2123" t="s">
        <v>114</v>
      </c>
      <c r="C2123" t="s">
        <v>257</v>
      </c>
      <c r="D2123" t="s">
        <v>477</v>
      </c>
      <c r="E2123" t="s">
        <v>263</v>
      </c>
      <c r="F2123" t="s">
        <v>2114</v>
      </c>
      <c r="G2123" t="s">
        <v>3653</v>
      </c>
      <c r="H2123" t="s">
        <v>5907</v>
      </c>
      <c r="I2123" t="s">
        <v>8561</v>
      </c>
      <c r="J2123" t="s">
        <v>9065</v>
      </c>
      <c r="K2123">
        <v>10451</v>
      </c>
      <c r="L2123" t="s">
        <v>9094</v>
      </c>
      <c r="M2123" t="s">
        <v>9094</v>
      </c>
      <c r="N2123" t="s">
        <v>9259</v>
      </c>
      <c r="O2123" t="s">
        <v>11130</v>
      </c>
      <c r="P2123" t="s">
        <v>11165</v>
      </c>
      <c r="Q2123" t="s">
        <v>11174</v>
      </c>
      <c r="R2123" t="s">
        <v>11180</v>
      </c>
      <c r="S2123" t="s">
        <v>9094</v>
      </c>
      <c r="T2123" t="s">
        <v>11183</v>
      </c>
      <c r="V2123" t="s">
        <v>738</v>
      </c>
      <c r="W2123">
        <v>2000</v>
      </c>
      <c r="X2123" t="s">
        <v>11333</v>
      </c>
      <c r="Y2123" t="s">
        <v>11346</v>
      </c>
      <c r="Z2123" t="s">
        <v>12823</v>
      </c>
      <c r="AB2123" t="s">
        <v>17204</v>
      </c>
      <c r="AC2123">
        <v>100</v>
      </c>
      <c r="AD2123" t="s">
        <v>19566</v>
      </c>
      <c r="AE2123" t="s">
        <v>19580</v>
      </c>
      <c r="AF2123">
        <v>22</v>
      </c>
      <c r="AG2123">
        <v>1</v>
      </c>
      <c r="AH2123">
        <v>0</v>
      </c>
      <c r="AI2123">
        <v>76.41</v>
      </c>
      <c r="AL2123" t="s">
        <v>19615</v>
      </c>
      <c r="AM2123">
        <v>9276</v>
      </c>
      <c r="AS2123">
        <v>0.25</v>
      </c>
      <c r="AT2123" t="s">
        <v>263</v>
      </c>
      <c r="AU2123" t="s">
        <v>163</v>
      </c>
    </row>
    <row r="2124" spans="1:48">
      <c r="A2124" s="1">
        <f>HYPERLINK("https://lsnyc.legalserver.org/matter/dynamic-profile/view/1894785","19-1894785")</f>
        <v>0</v>
      </c>
      <c r="B2124" t="s">
        <v>106</v>
      </c>
      <c r="C2124" t="s">
        <v>256</v>
      </c>
      <c r="D2124" t="s">
        <v>694</v>
      </c>
      <c r="F2124" t="s">
        <v>1964</v>
      </c>
      <c r="G2124" t="s">
        <v>4330</v>
      </c>
      <c r="H2124" t="s">
        <v>6624</v>
      </c>
      <c r="I2124" t="s">
        <v>8562</v>
      </c>
      <c r="J2124" t="s">
        <v>9065</v>
      </c>
      <c r="K2124">
        <v>10458</v>
      </c>
      <c r="L2124" t="s">
        <v>9094</v>
      </c>
      <c r="M2124" t="s">
        <v>9095</v>
      </c>
      <c r="N2124" t="s">
        <v>9819</v>
      </c>
      <c r="O2124" t="s">
        <v>11134</v>
      </c>
      <c r="P2124" t="s">
        <v>11168</v>
      </c>
      <c r="R2124" t="s">
        <v>11180</v>
      </c>
      <c r="S2124" t="s">
        <v>9094</v>
      </c>
      <c r="T2124" t="s">
        <v>11183</v>
      </c>
      <c r="U2124" t="s">
        <v>11201</v>
      </c>
      <c r="V2124" t="s">
        <v>11212</v>
      </c>
      <c r="W2124">
        <v>1252.6</v>
      </c>
      <c r="X2124" t="s">
        <v>11333</v>
      </c>
      <c r="Y2124" t="s">
        <v>11346</v>
      </c>
      <c r="Z2124" t="s">
        <v>12824</v>
      </c>
      <c r="AB2124" t="s">
        <v>17205</v>
      </c>
      <c r="AC2124">
        <v>129</v>
      </c>
      <c r="AD2124" t="s">
        <v>19566</v>
      </c>
      <c r="AF2124">
        <v>11</v>
      </c>
      <c r="AG2124">
        <v>1</v>
      </c>
      <c r="AH2124">
        <v>2</v>
      </c>
      <c r="AI2124">
        <v>76.42</v>
      </c>
      <c r="AL2124" t="s">
        <v>19614</v>
      </c>
      <c r="AM2124">
        <v>16300</v>
      </c>
      <c r="AS2124">
        <v>6.75</v>
      </c>
      <c r="AT2124" t="s">
        <v>632</v>
      </c>
      <c r="AU2124" t="s">
        <v>106</v>
      </c>
      <c r="AV2124" t="s">
        <v>20733</v>
      </c>
    </row>
    <row r="2125" spans="1:48">
      <c r="A2125" s="1">
        <f>HYPERLINK("https://lsnyc.legalserver.org/matter/dynamic-profile/view/0795235","15-0795235")</f>
        <v>0</v>
      </c>
      <c r="B2125" t="s">
        <v>49</v>
      </c>
      <c r="C2125" t="s">
        <v>256</v>
      </c>
      <c r="D2125" t="s">
        <v>895</v>
      </c>
      <c r="F2125" t="s">
        <v>1358</v>
      </c>
      <c r="G2125" t="s">
        <v>4331</v>
      </c>
      <c r="H2125" t="s">
        <v>5736</v>
      </c>
      <c r="I2125" t="s">
        <v>8563</v>
      </c>
      <c r="J2125" t="s">
        <v>9055</v>
      </c>
      <c r="K2125">
        <v>11354</v>
      </c>
      <c r="L2125" t="s">
        <v>9094</v>
      </c>
      <c r="M2125" t="s">
        <v>9095</v>
      </c>
      <c r="N2125" t="s">
        <v>9717</v>
      </c>
      <c r="O2125" t="s">
        <v>11135</v>
      </c>
      <c r="P2125" t="s">
        <v>11168</v>
      </c>
      <c r="R2125" t="s">
        <v>11180</v>
      </c>
      <c r="T2125" t="s">
        <v>11183</v>
      </c>
      <c r="V2125" t="s">
        <v>11206</v>
      </c>
      <c r="W2125">
        <v>1079</v>
      </c>
      <c r="X2125" t="s">
        <v>11331</v>
      </c>
      <c r="Y2125" t="s">
        <v>11342</v>
      </c>
      <c r="Z2125" t="s">
        <v>12823</v>
      </c>
      <c r="AB2125" t="s">
        <v>17206</v>
      </c>
      <c r="AC2125">
        <v>175</v>
      </c>
      <c r="AD2125" t="s">
        <v>19566</v>
      </c>
      <c r="AE2125" t="s">
        <v>9144</v>
      </c>
      <c r="AF2125">
        <v>19</v>
      </c>
      <c r="AG2125">
        <v>1</v>
      </c>
      <c r="AH2125">
        <v>0</v>
      </c>
      <c r="AI2125">
        <v>76.47</v>
      </c>
      <c r="AL2125" t="s">
        <v>19615</v>
      </c>
      <c r="AM2125">
        <v>9000</v>
      </c>
      <c r="AS2125">
        <v>0.35</v>
      </c>
      <c r="AT2125" t="s">
        <v>448</v>
      </c>
      <c r="AU2125" t="s">
        <v>20621</v>
      </c>
    </row>
    <row r="2126" spans="1:48">
      <c r="A2126" s="1">
        <f>HYPERLINK("https://lsnyc.legalserver.org/matter/dynamic-profile/view/1883829","18-1883829")</f>
        <v>0</v>
      </c>
      <c r="B2126" t="s">
        <v>96</v>
      </c>
      <c r="C2126" t="s">
        <v>256</v>
      </c>
      <c r="D2126" t="s">
        <v>353</v>
      </c>
      <c r="F2126" t="s">
        <v>2115</v>
      </c>
      <c r="G2126" t="s">
        <v>3991</v>
      </c>
      <c r="H2126" t="s">
        <v>5821</v>
      </c>
      <c r="I2126" t="s">
        <v>8197</v>
      </c>
      <c r="J2126" t="s">
        <v>9059</v>
      </c>
      <c r="K2126">
        <v>11208</v>
      </c>
      <c r="L2126" t="s">
        <v>9094</v>
      </c>
      <c r="M2126" t="s">
        <v>9095</v>
      </c>
      <c r="O2126" t="s">
        <v>11134</v>
      </c>
      <c r="P2126" t="s">
        <v>11164</v>
      </c>
      <c r="R2126" t="s">
        <v>11180</v>
      </c>
      <c r="T2126" t="s">
        <v>11183</v>
      </c>
      <c r="V2126" t="s">
        <v>353</v>
      </c>
      <c r="W2126">
        <v>800</v>
      </c>
      <c r="X2126" t="s">
        <v>11332</v>
      </c>
      <c r="Y2126" t="s">
        <v>11340</v>
      </c>
      <c r="Z2126" t="s">
        <v>12825</v>
      </c>
      <c r="AB2126" t="s">
        <v>17207</v>
      </c>
      <c r="AC2126">
        <v>11</v>
      </c>
      <c r="AD2126" t="s">
        <v>19565</v>
      </c>
      <c r="AF2126">
        <v>2</v>
      </c>
      <c r="AG2126">
        <v>1</v>
      </c>
      <c r="AH2126">
        <v>1</v>
      </c>
      <c r="AI2126">
        <v>76.48</v>
      </c>
      <c r="AL2126" t="s">
        <v>19614</v>
      </c>
      <c r="AM2126">
        <v>12588</v>
      </c>
      <c r="AS2126">
        <v>18</v>
      </c>
      <c r="AT2126" t="s">
        <v>612</v>
      </c>
      <c r="AU2126" t="s">
        <v>20628</v>
      </c>
    </row>
    <row r="2127" spans="1:48">
      <c r="A2127" s="1">
        <f>HYPERLINK("https://lsnyc.legalserver.org/matter/dynamic-profile/view/1870491","18-1870491")</f>
        <v>0</v>
      </c>
      <c r="B2127" t="s">
        <v>96</v>
      </c>
      <c r="C2127" t="s">
        <v>256</v>
      </c>
      <c r="D2127" t="s">
        <v>400</v>
      </c>
      <c r="F2127" t="s">
        <v>2115</v>
      </c>
      <c r="G2127" t="s">
        <v>3991</v>
      </c>
      <c r="H2127" t="s">
        <v>5821</v>
      </c>
      <c r="I2127" t="s">
        <v>8197</v>
      </c>
      <c r="J2127" t="s">
        <v>9059</v>
      </c>
      <c r="K2127">
        <v>11208</v>
      </c>
      <c r="L2127" t="s">
        <v>9095</v>
      </c>
      <c r="M2127" t="s">
        <v>9095</v>
      </c>
      <c r="N2127" t="s">
        <v>9195</v>
      </c>
      <c r="O2127" t="s">
        <v>11130</v>
      </c>
      <c r="R2127" t="s">
        <v>11180</v>
      </c>
      <c r="T2127" t="s">
        <v>11183</v>
      </c>
      <c r="W2127">
        <v>800</v>
      </c>
      <c r="X2127" t="s">
        <v>11332</v>
      </c>
      <c r="Z2127" t="s">
        <v>12825</v>
      </c>
      <c r="AB2127" t="s">
        <v>17207</v>
      </c>
      <c r="AC2127">
        <v>11</v>
      </c>
      <c r="AD2127" t="s">
        <v>19565</v>
      </c>
      <c r="AF2127">
        <v>2</v>
      </c>
      <c r="AG2127">
        <v>1</v>
      </c>
      <c r="AH2127">
        <v>1</v>
      </c>
      <c r="AI2127">
        <v>76.48</v>
      </c>
      <c r="AL2127" t="s">
        <v>19614</v>
      </c>
      <c r="AM2127">
        <v>12588</v>
      </c>
      <c r="AS2127">
        <v>35</v>
      </c>
      <c r="AT2127" t="s">
        <v>594</v>
      </c>
      <c r="AU2127" t="s">
        <v>20626</v>
      </c>
    </row>
    <row r="2128" spans="1:48">
      <c r="A2128" s="1">
        <f>HYPERLINK("https://lsnyc.legalserver.org/matter/dynamic-profile/view/1871449","18-1871449")</f>
        <v>0</v>
      </c>
      <c r="B2128" t="s">
        <v>103</v>
      </c>
      <c r="C2128" t="s">
        <v>257</v>
      </c>
      <c r="D2128" t="s">
        <v>767</v>
      </c>
      <c r="E2128" t="s">
        <v>275</v>
      </c>
      <c r="F2128" t="s">
        <v>2116</v>
      </c>
      <c r="G2128" t="s">
        <v>4332</v>
      </c>
      <c r="H2128" t="s">
        <v>5854</v>
      </c>
      <c r="I2128" t="s">
        <v>8273</v>
      </c>
      <c r="J2128" t="s">
        <v>9065</v>
      </c>
      <c r="K2128">
        <v>10468</v>
      </c>
      <c r="L2128" t="s">
        <v>9094</v>
      </c>
      <c r="M2128" t="s">
        <v>9094</v>
      </c>
      <c r="O2128" t="s">
        <v>11135</v>
      </c>
      <c r="P2128" t="s">
        <v>11168</v>
      </c>
      <c r="Q2128" t="s">
        <v>11176</v>
      </c>
      <c r="R2128" t="s">
        <v>11180</v>
      </c>
      <c r="S2128" t="s">
        <v>9094</v>
      </c>
      <c r="T2128" t="s">
        <v>11183</v>
      </c>
      <c r="V2128" t="s">
        <v>572</v>
      </c>
      <c r="W2128">
        <v>861</v>
      </c>
      <c r="X2128" t="s">
        <v>11333</v>
      </c>
      <c r="Y2128" t="s">
        <v>11346</v>
      </c>
      <c r="Z2128" t="s">
        <v>12826</v>
      </c>
      <c r="AB2128" t="s">
        <v>17208</v>
      </c>
      <c r="AC2128">
        <v>58</v>
      </c>
      <c r="AD2128" t="s">
        <v>19569</v>
      </c>
      <c r="AE2128" t="s">
        <v>19587</v>
      </c>
      <c r="AF2128">
        <v>30</v>
      </c>
      <c r="AG2128">
        <v>4</v>
      </c>
      <c r="AH2128">
        <v>0</v>
      </c>
      <c r="AI2128">
        <v>76.48999999999999</v>
      </c>
      <c r="AL2128" t="s">
        <v>19615</v>
      </c>
      <c r="AM2128">
        <v>19200</v>
      </c>
      <c r="AS2128">
        <v>2.3</v>
      </c>
      <c r="AT2128" t="s">
        <v>275</v>
      </c>
      <c r="AU2128" t="s">
        <v>20642</v>
      </c>
    </row>
    <row r="2129" spans="1:48">
      <c r="A2129" s="1">
        <f>HYPERLINK("https://lsnyc.legalserver.org/matter/dynamic-profile/view/1871444","18-1871444")</f>
        <v>0</v>
      </c>
      <c r="B2129" t="s">
        <v>103</v>
      </c>
      <c r="C2129" t="s">
        <v>257</v>
      </c>
      <c r="D2129" t="s">
        <v>767</v>
      </c>
      <c r="E2129" t="s">
        <v>275</v>
      </c>
      <c r="F2129" t="s">
        <v>2116</v>
      </c>
      <c r="G2129" t="s">
        <v>4332</v>
      </c>
      <c r="H2129" t="s">
        <v>5854</v>
      </c>
      <c r="I2129" t="s">
        <v>8273</v>
      </c>
      <c r="J2129" t="s">
        <v>9065</v>
      </c>
      <c r="K2129">
        <v>10468</v>
      </c>
      <c r="L2129" t="s">
        <v>9094</v>
      </c>
      <c r="M2129" t="s">
        <v>9094</v>
      </c>
      <c r="N2129" t="s">
        <v>9219</v>
      </c>
      <c r="O2129" t="s">
        <v>11130</v>
      </c>
      <c r="P2129" t="s">
        <v>11165</v>
      </c>
      <c r="Q2129" t="s">
        <v>11174</v>
      </c>
      <c r="R2129" t="s">
        <v>11180</v>
      </c>
      <c r="S2129" t="s">
        <v>9094</v>
      </c>
      <c r="T2129" t="s">
        <v>11183</v>
      </c>
      <c r="V2129" t="s">
        <v>767</v>
      </c>
      <c r="W2129">
        <v>861</v>
      </c>
      <c r="X2129" t="s">
        <v>11333</v>
      </c>
      <c r="Y2129" t="s">
        <v>11346</v>
      </c>
      <c r="Z2129" t="s">
        <v>12826</v>
      </c>
      <c r="AB2129" t="s">
        <v>17208</v>
      </c>
      <c r="AC2129">
        <v>58</v>
      </c>
      <c r="AD2129" t="s">
        <v>19566</v>
      </c>
      <c r="AE2129" t="s">
        <v>19587</v>
      </c>
      <c r="AF2129">
        <v>30</v>
      </c>
      <c r="AG2129">
        <v>4</v>
      </c>
      <c r="AH2129">
        <v>0</v>
      </c>
      <c r="AI2129">
        <v>76.48999999999999</v>
      </c>
      <c r="AL2129" t="s">
        <v>19615</v>
      </c>
      <c r="AM2129">
        <v>19200</v>
      </c>
      <c r="AS2129">
        <v>553.99</v>
      </c>
      <c r="AT2129" t="s">
        <v>275</v>
      </c>
      <c r="AU2129" t="s">
        <v>20642</v>
      </c>
    </row>
    <row r="2130" spans="1:48">
      <c r="A2130" s="1">
        <f>HYPERLINK("https://lsnyc.legalserver.org/matter/dynamic-profile/view/1878794","18-1878794")</f>
        <v>0</v>
      </c>
      <c r="B2130" t="s">
        <v>52</v>
      </c>
      <c r="C2130" t="s">
        <v>256</v>
      </c>
      <c r="D2130" t="s">
        <v>701</v>
      </c>
      <c r="F2130" t="s">
        <v>1145</v>
      </c>
      <c r="G2130" t="s">
        <v>4333</v>
      </c>
      <c r="H2130" t="s">
        <v>6822</v>
      </c>
      <c r="I2130" t="s">
        <v>8564</v>
      </c>
      <c r="J2130" t="s">
        <v>9087</v>
      </c>
      <c r="K2130">
        <v>11414</v>
      </c>
      <c r="L2130" t="s">
        <v>9094</v>
      </c>
      <c r="M2130" t="s">
        <v>9094</v>
      </c>
      <c r="N2130" t="s">
        <v>9970</v>
      </c>
      <c r="O2130" t="s">
        <v>11128</v>
      </c>
      <c r="P2130" t="s">
        <v>11165</v>
      </c>
      <c r="R2130" t="s">
        <v>11180</v>
      </c>
      <c r="S2130" t="s">
        <v>9096</v>
      </c>
      <c r="T2130" t="s">
        <v>11183</v>
      </c>
      <c r="U2130" t="s">
        <v>11201</v>
      </c>
      <c r="V2130" t="s">
        <v>701</v>
      </c>
      <c r="W2130">
        <v>1900</v>
      </c>
      <c r="X2130" t="s">
        <v>11331</v>
      </c>
      <c r="Y2130" t="s">
        <v>11336</v>
      </c>
      <c r="Z2130" t="s">
        <v>12827</v>
      </c>
      <c r="AB2130" t="s">
        <v>17209</v>
      </c>
      <c r="AC2130">
        <v>2</v>
      </c>
      <c r="AD2130" t="s">
        <v>19565</v>
      </c>
      <c r="AE2130" t="s">
        <v>9144</v>
      </c>
      <c r="AF2130">
        <v>2</v>
      </c>
      <c r="AG2130">
        <v>1</v>
      </c>
      <c r="AH2130">
        <v>1</v>
      </c>
      <c r="AI2130">
        <v>76.55</v>
      </c>
      <c r="AL2130" t="s">
        <v>19614</v>
      </c>
      <c r="AM2130">
        <v>12600</v>
      </c>
      <c r="AO2130" t="s">
        <v>20293</v>
      </c>
      <c r="AP2130" t="s">
        <v>11157</v>
      </c>
      <c r="AQ2130" t="s">
        <v>20368</v>
      </c>
      <c r="AR2130" t="s">
        <v>20487</v>
      </c>
      <c r="AS2130">
        <v>18.15</v>
      </c>
      <c r="AT2130" t="s">
        <v>573</v>
      </c>
      <c r="AU2130" t="s">
        <v>153</v>
      </c>
    </row>
    <row r="2131" spans="1:48">
      <c r="A2131" s="1">
        <f>HYPERLINK("https://lsnyc.legalserver.org/matter/dynamic-profile/view/0820733","16-0820733")</f>
        <v>0</v>
      </c>
      <c r="B2131" t="s">
        <v>138</v>
      </c>
      <c r="C2131" t="s">
        <v>256</v>
      </c>
      <c r="D2131" t="s">
        <v>896</v>
      </c>
      <c r="F2131" t="s">
        <v>1855</v>
      </c>
      <c r="G2131" t="s">
        <v>3652</v>
      </c>
      <c r="H2131" t="s">
        <v>6718</v>
      </c>
      <c r="I2131">
        <v>51</v>
      </c>
      <c r="J2131" t="s">
        <v>9067</v>
      </c>
      <c r="K2131">
        <v>10034</v>
      </c>
      <c r="L2131" t="s">
        <v>9094</v>
      </c>
      <c r="M2131" t="s">
        <v>9095</v>
      </c>
      <c r="O2131" t="s">
        <v>9121</v>
      </c>
      <c r="P2131" t="s">
        <v>11167</v>
      </c>
      <c r="R2131" t="s">
        <v>11180</v>
      </c>
      <c r="S2131" t="s">
        <v>9094</v>
      </c>
      <c r="T2131" t="s">
        <v>11183</v>
      </c>
      <c r="V2131" t="s">
        <v>896</v>
      </c>
      <c r="W2131">
        <v>877.63</v>
      </c>
      <c r="X2131" t="s">
        <v>11335</v>
      </c>
      <c r="Y2131" t="s">
        <v>11339</v>
      </c>
      <c r="Z2131" t="s">
        <v>12828</v>
      </c>
      <c r="AB2131" t="s">
        <v>17210</v>
      </c>
      <c r="AC2131">
        <v>25</v>
      </c>
      <c r="AD2131" t="s">
        <v>19566</v>
      </c>
      <c r="AE2131" t="s">
        <v>9144</v>
      </c>
      <c r="AF2131">
        <v>38</v>
      </c>
      <c r="AG2131">
        <v>2</v>
      </c>
      <c r="AH2131">
        <v>0</v>
      </c>
      <c r="AI2131">
        <v>76.56</v>
      </c>
      <c r="AL2131" t="s">
        <v>19615</v>
      </c>
      <c r="AM2131">
        <v>12264.48</v>
      </c>
      <c r="AS2131">
        <v>17.8</v>
      </c>
      <c r="AT2131" t="s">
        <v>609</v>
      </c>
      <c r="AU2131" t="s">
        <v>20669</v>
      </c>
    </row>
    <row r="2132" spans="1:48">
      <c r="A2132" s="1">
        <f>HYPERLINK("https://lsnyc.legalserver.org/matter/dynamic-profile/view/1887865","19-1887865")</f>
        <v>0</v>
      </c>
      <c r="B2132" t="s">
        <v>113</v>
      </c>
      <c r="C2132" t="s">
        <v>256</v>
      </c>
      <c r="D2132" t="s">
        <v>443</v>
      </c>
      <c r="F2132" t="s">
        <v>2079</v>
      </c>
      <c r="G2132" t="s">
        <v>4285</v>
      </c>
      <c r="H2132" t="s">
        <v>5864</v>
      </c>
      <c r="I2132" t="s">
        <v>8544</v>
      </c>
      <c r="J2132" t="s">
        <v>9065</v>
      </c>
      <c r="K2132">
        <v>10460</v>
      </c>
      <c r="L2132" t="s">
        <v>9094</v>
      </c>
      <c r="M2132" t="s">
        <v>9094</v>
      </c>
      <c r="N2132" t="s">
        <v>9971</v>
      </c>
      <c r="O2132" t="s">
        <v>11128</v>
      </c>
      <c r="P2132" t="s">
        <v>11165</v>
      </c>
      <c r="R2132" t="s">
        <v>11180</v>
      </c>
      <c r="S2132" t="s">
        <v>9096</v>
      </c>
      <c r="T2132" t="s">
        <v>11183</v>
      </c>
      <c r="V2132" t="s">
        <v>11218</v>
      </c>
      <c r="W2132">
        <v>241</v>
      </c>
      <c r="X2132" t="s">
        <v>11333</v>
      </c>
      <c r="Y2132" t="s">
        <v>11340</v>
      </c>
      <c r="Z2132" t="s">
        <v>12758</v>
      </c>
      <c r="AB2132" t="s">
        <v>17141</v>
      </c>
      <c r="AC2132">
        <v>169</v>
      </c>
      <c r="AD2132" t="s">
        <v>19572</v>
      </c>
      <c r="AE2132" t="s">
        <v>19580</v>
      </c>
      <c r="AF2132">
        <v>12</v>
      </c>
      <c r="AG2132">
        <v>1</v>
      </c>
      <c r="AH2132">
        <v>0</v>
      </c>
      <c r="AI2132">
        <v>76.61</v>
      </c>
      <c r="AL2132" t="s">
        <v>19614</v>
      </c>
      <c r="AM2132">
        <v>9300</v>
      </c>
      <c r="AS2132">
        <v>32.2</v>
      </c>
      <c r="AT2132" t="s">
        <v>330</v>
      </c>
      <c r="AU2132" t="s">
        <v>20647</v>
      </c>
      <c r="AV2132" t="s">
        <v>20733</v>
      </c>
    </row>
    <row r="2133" spans="1:48">
      <c r="A2133" s="1">
        <f>HYPERLINK("https://lsnyc.legalserver.org/matter/dynamic-profile/view/1885983","18-1885983")</f>
        <v>0</v>
      </c>
      <c r="B2133" t="s">
        <v>113</v>
      </c>
      <c r="C2133" t="s">
        <v>257</v>
      </c>
      <c r="D2133" t="s">
        <v>357</v>
      </c>
      <c r="E2133" t="s">
        <v>321</v>
      </c>
      <c r="F2133" t="s">
        <v>2079</v>
      </c>
      <c r="G2133" t="s">
        <v>4285</v>
      </c>
      <c r="H2133" t="s">
        <v>5864</v>
      </c>
      <c r="I2133" t="s">
        <v>8544</v>
      </c>
      <c r="J2133" t="s">
        <v>9065</v>
      </c>
      <c r="K2133">
        <v>10460</v>
      </c>
      <c r="L2133" t="s">
        <v>9094</v>
      </c>
      <c r="M2133" t="s">
        <v>9094</v>
      </c>
      <c r="N2133" t="s">
        <v>9222</v>
      </c>
      <c r="O2133" t="s">
        <v>11130</v>
      </c>
      <c r="P2133" t="s">
        <v>11165</v>
      </c>
      <c r="Q2133" t="s">
        <v>11174</v>
      </c>
      <c r="R2133" t="s">
        <v>11180</v>
      </c>
      <c r="S2133" t="s">
        <v>9094</v>
      </c>
      <c r="T2133" t="s">
        <v>11183</v>
      </c>
      <c r="V2133" t="s">
        <v>512</v>
      </c>
      <c r="W2133">
        <v>241</v>
      </c>
      <c r="X2133" t="s">
        <v>11333</v>
      </c>
      <c r="Y2133" t="s">
        <v>11346</v>
      </c>
      <c r="Z2133" t="s">
        <v>12758</v>
      </c>
      <c r="AB2133" t="s">
        <v>17141</v>
      </c>
      <c r="AC2133">
        <v>169</v>
      </c>
      <c r="AD2133" t="s">
        <v>19572</v>
      </c>
      <c r="AE2133" t="s">
        <v>19580</v>
      </c>
      <c r="AF2133">
        <v>12</v>
      </c>
      <c r="AG2133">
        <v>1</v>
      </c>
      <c r="AH2133">
        <v>0</v>
      </c>
      <c r="AI2133">
        <v>76.61</v>
      </c>
      <c r="AL2133" t="s">
        <v>19614</v>
      </c>
      <c r="AM2133">
        <v>9300</v>
      </c>
      <c r="AS2133">
        <v>4.25</v>
      </c>
      <c r="AT2133" t="s">
        <v>321</v>
      </c>
      <c r="AU2133" t="s">
        <v>158</v>
      </c>
    </row>
    <row r="2134" spans="1:48">
      <c r="A2134" s="1">
        <f>HYPERLINK("https://lsnyc.legalserver.org/matter/dynamic-profile/view/1835868","17-1835868")</f>
        <v>0</v>
      </c>
      <c r="B2134" t="s">
        <v>93</v>
      </c>
      <c r="C2134" t="s">
        <v>256</v>
      </c>
      <c r="D2134" t="s">
        <v>897</v>
      </c>
      <c r="F2134" t="s">
        <v>2108</v>
      </c>
      <c r="G2134" t="s">
        <v>4325</v>
      </c>
      <c r="H2134" t="s">
        <v>5809</v>
      </c>
      <c r="J2134" t="s">
        <v>9059</v>
      </c>
      <c r="K2134">
        <v>11212</v>
      </c>
      <c r="L2134" t="s">
        <v>9094</v>
      </c>
      <c r="M2134" t="s">
        <v>9094</v>
      </c>
      <c r="O2134" t="s">
        <v>11135</v>
      </c>
      <c r="P2134" t="s">
        <v>11168</v>
      </c>
      <c r="R2134" t="s">
        <v>11180</v>
      </c>
      <c r="T2134" t="s">
        <v>11183</v>
      </c>
      <c r="V2134" t="s">
        <v>897</v>
      </c>
      <c r="W2134">
        <v>0</v>
      </c>
      <c r="X2134" t="s">
        <v>11332</v>
      </c>
      <c r="Z2134" t="s">
        <v>12812</v>
      </c>
      <c r="AB2134" t="s">
        <v>17193</v>
      </c>
      <c r="AC2134">
        <v>31</v>
      </c>
      <c r="AD2134" t="s">
        <v>19566</v>
      </c>
      <c r="AF2134">
        <v>0</v>
      </c>
      <c r="AG2134">
        <v>1</v>
      </c>
      <c r="AH2134">
        <v>0</v>
      </c>
      <c r="AI2134">
        <v>76.62</v>
      </c>
      <c r="AL2134" t="s">
        <v>19614</v>
      </c>
      <c r="AM2134">
        <v>9240</v>
      </c>
      <c r="AS2134">
        <v>58.1</v>
      </c>
      <c r="AT2134" t="s">
        <v>988</v>
      </c>
      <c r="AU2134" t="s">
        <v>59</v>
      </c>
    </row>
    <row r="2135" spans="1:48">
      <c r="A2135" s="1">
        <f>HYPERLINK("https://lsnyc.legalserver.org/matter/dynamic-profile/view/0826220","17-0826220")</f>
        <v>0</v>
      </c>
      <c r="B2135" t="s">
        <v>93</v>
      </c>
      <c r="C2135" t="s">
        <v>256</v>
      </c>
      <c r="D2135" t="s">
        <v>876</v>
      </c>
      <c r="F2135" t="s">
        <v>2108</v>
      </c>
      <c r="G2135" t="s">
        <v>4325</v>
      </c>
      <c r="H2135" t="s">
        <v>5809</v>
      </c>
      <c r="J2135" t="s">
        <v>9059</v>
      </c>
      <c r="K2135">
        <v>11212</v>
      </c>
      <c r="L2135" t="s">
        <v>9094</v>
      </c>
      <c r="M2135" t="s">
        <v>9095</v>
      </c>
      <c r="N2135" t="s">
        <v>9189</v>
      </c>
      <c r="O2135" t="s">
        <v>9121</v>
      </c>
      <c r="P2135" t="s">
        <v>11168</v>
      </c>
      <c r="R2135" t="s">
        <v>11180</v>
      </c>
      <c r="S2135" t="s">
        <v>9094</v>
      </c>
      <c r="T2135" t="s">
        <v>11183</v>
      </c>
      <c r="V2135" t="s">
        <v>1087</v>
      </c>
      <c r="W2135">
        <v>932</v>
      </c>
      <c r="X2135" t="s">
        <v>11332</v>
      </c>
      <c r="Y2135" t="s">
        <v>11340</v>
      </c>
      <c r="Z2135" t="s">
        <v>12812</v>
      </c>
      <c r="AB2135" t="s">
        <v>17193</v>
      </c>
      <c r="AC2135">
        <v>31</v>
      </c>
      <c r="AD2135" t="s">
        <v>19566</v>
      </c>
      <c r="AE2135" t="s">
        <v>9144</v>
      </c>
      <c r="AF2135">
        <v>13</v>
      </c>
      <c r="AG2135">
        <v>1</v>
      </c>
      <c r="AH2135">
        <v>0</v>
      </c>
      <c r="AI2135">
        <v>76.62</v>
      </c>
      <c r="AL2135" t="s">
        <v>19614</v>
      </c>
      <c r="AM2135">
        <v>9240</v>
      </c>
      <c r="AS2135">
        <v>194.7</v>
      </c>
      <c r="AT2135" t="s">
        <v>402</v>
      </c>
      <c r="AU2135" t="s">
        <v>95</v>
      </c>
    </row>
    <row r="2136" spans="1:48">
      <c r="A2136" s="1">
        <f>HYPERLINK("https://lsnyc.legalserver.org/matter/dynamic-profile/view/1855990","18-1855990")</f>
        <v>0</v>
      </c>
      <c r="B2136" t="s">
        <v>78</v>
      </c>
      <c r="C2136" t="s">
        <v>257</v>
      </c>
      <c r="D2136" t="s">
        <v>898</v>
      </c>
      <c r="E2136" t="s">
        <v>426</v>
      </c>
      <c r="F2136" t="s">
        <v>1426</v>
      </c>
      <c r="G2136" t="s">
        <v>4257</v>
      </c>
      <c r="H2136" t="s">
        <v>6453</v>
      </c>
      <c r="I2136" t="s">
        <v>8191</v>
      </c>
      <c r="J2136" t="s">
        <v>9059</v>
      </c>
      <c r="K2136">
        <v>11206</v>
      </c>
      <c r="L2136" t="s">
        <v>9094</v>
      </c>
      <c r="M2136" t="s">
        <v>9095</v>
      </c>
      <c r="N2136" t="s">
        <v>9972</v>
      </c>
      <c r="O2136" t="s">
        <v>11134</v>
      </c>
      <c r="P2136" t="s">
        <v>11168</v>
      </c>
      <c r="Q2136" t="s">
        <v>11177</v>
      </c>
      <c r="R2136" t="s">
        <v>11180</v>
      </c>
      <c r="S2136" t="s">
        <v>9094</v>
      </c>
      <c r="T2136" t="s">
        <v>11183</v>
      </c>
      <c r="V2136" t="s">
        <v>977</v>
      </c>
      <c r="W2136">
        <v>473</v>
      </c>
      <c r="X2136" t="s">
        <v>11332</v>
      </c>
      <c r="Y2136" t="s">
        <v>11339</v>
      </c>
      <c r="Z2136" t="s">
        <v>12708</v>
      </c>
      <c r="AB2136" t="s">
        <v>17086</v>
      </c>
      <c r="AC2136">
        <v>25</v>
      </c>
      <c r="AD2136" t="s">
        <v>19566</v>
      </c>
      <c r="AE2136" t="s">
        <v>9144</v>
      </c>
      <c r="AF2136">
        <v>7</v>
      </c>
      <c r="AG2136">
        <v>1</v>
      </c>
      <c r="AH2136">
        <v>0</v>
      </c>
      <c r="AI2136">
        <v>76.62</v>
      </c>
      <c r="AL2136" t="s">
        <v>19614</v>
      </c>
      <c r="AM2136">
        <v>9240</v>
      </c>
      <c r="AS2136">
        <v>0.25</v>
      </c>
      <c r="AT2136" t="s">
        <v>578</v>
      </c>
      <c r="AU2136" t="s">
        <v>95</v>
      </c>
    </row>
    <row r="2137" spans="1:48">
      <c r="A2137" s="1">
        <f>HYPERLINK("https://lsnyc.legalserver.org/matter/dynamic-profile/view/1857194","18-1857194")</f>
        <v>0</v>
      </c>
      <c r="B2137" t="s">
        <v>78</v>
      </c>
      <c r="C2137" t="s">
        <v>256</v>
      </c>
      <c r="D2137" t="s">
        <v>466</v>
      </c>
      <c r="F2137" t="s">
        <v>1426</v>
      </c>
      <c r="G2137" t="s">
        <v>4257</v>
      </c>
      <c r="H2137" t="s">
        <v>6453</v>
      </c>
      <c r="I2137" t="s">
        <v>8191</v>
      </c>
      <c r="J2137" t="s">
        <v>9059</v>
      </c>
      <c r="K2137">
        <v>11206</v>
      </c>
      <c r="L2137" t="s">
        <v>9094</v>
      </c>
      <c r="M2137" t="s">
        <v>9095</v>
      </c>
      <c r="O2137" t="s">
        <v>11130</v>
      </c>
      <c r="P2137" t="s">
        <v>11165</v>
      </c>
      <c r="R2137" t="s">
        <v>11180</v>
      </c>
      <c r="S2137" t="s">
        <v>9094</v>
      </c>
      <c r="T2137" t="s">
        <v>11183</v>
      </c>
      <c r="V2137" t="s">
        <v>970</v>
      </c>
      <c r="W2137">
        <v>473</v>
      </c>
      <c r="X2137" t="s">
        <v>11332</v>
      </c>
      <c r="Y2137" t="s">
        <v>11339</v>
      </c>
      <c r="Z2137" t="s">
        <v>12708</v>
      </c>
      <c r="AB2137" t="s">
        <v>17086</v>
      </c>
      <c r="AC2137">
        <v>25</v>
      </c>
      <c r="AD2137" t="s">
        <v>19566</v>
      </c>
      <c r="AE2137" t="s">
        <v>9144</v>
      </c>
      <c r="AF2137">
        <v>7</v>
      </c>
      <c r="AG2137">
        <v>1</v>
      </c>
      <c r="AH2137">
        <v>0</v>
      </c>
      <c r="AI2137">
        <v>76.62</v>
      </c>
      <c r="AL2137" t="s">
        <v>19614</v>
      </c>
      <c r="AM2137">
        <v>9240</v>
      </c>
      <c r="AS2137">
        <v>0</v>
      </c>
      <c r="AU2137" t="s">
        <v>95</v>
      </c>
    </row>
    <row r="2138" spans="1:48">
      <c r="A2138" s="1">
        <f>HYPERLINK("https://lsnyc.legalserver.org/matter/dynamic-profile/view/1894682","19-1894682")</f>
        <v>0</v>
      </c>
      <c r="B2138" t="s">
        <v>71</v>
      </c>
      <c r="C2138" t="s">
        <v>256</v>
      </c>
      <c r="D2138" t="s">
        <v>502</v>
      </c>
      <c r="F2138" t="s">
        <v>1324</v>
      </c>
      <c r="G2138" t="s">
        <v>3370</v>
      </c>
      <c r="H2138" t="s">
        <v>6823</v>
      </c>
      <c r="I2138">
        <v>1</v>
      </c>
      <c r="J2138" t="s">
        <v>9059</v>
      </c>
      <c r="K2138">
        <v>11208</v>
      </c>
      <c r="L2138" t="s">
        <v>9094</v>
      </c>
      <c r="M2138" t="s">
        <v>9094</v>
      </c>
      <c r="N2138" t="s">
        <v>9973</v>
      </c>
      <c r="O2138" t="s">
        <v>11128</v>
      </c>
      <c r="P2138" t="s">
        <v>11165</v>
      </c>
      <c r="R2138" t="s">
        <v>11180</v>
      </c>
      <c r="S2138" t="s">
        <v>9096</v>
      </c>
      <c r="T2138" t="s">
        <v>11183</v>
      </c>
      <c r="U2138" t="s">
        <v>11201</v>
      </c>
      <c r="V2138" t="s">
        <v>421</v>
      </c>
      <c r="W2138">
        <v>1100</v>
      </c>
      <c r="X2138" t="s">
        <v>11332</v>
      </c>
      <c r="Y2138" t="s">
        <v>11336</v>
      </c>
      <c r="Z2138" t="s">
        <v>12829</v>
      </c>
      <c r="AA2138" t="s">
        <v>15656</v>
      </c>
      <c r="AB2138" t="s">
        <v>17211</v>
      </c>
      <c r="AC2138">
        <v>3</v>
      </c>
      <c r="AD2138" t="s">
        <v>19565</v>
      </c>
      <c r="AE2138" t="s">
        <v>11157</v>
      </c>
      <c r="AF2138">
        <v>21</v>
      </c>
      <c r="AG2138">
        <v>4</v>
      </c>
      <c r="AH2138">
        <v>6</v>
      </c>
      <c r="AI2138">
        <v>76.67</v>
      </c>
      <c r="AL2138" t="s">
        <v>19614</v>
      </c>
      <c r="AM2138">
        <v>40075</v>
      </c>
      <c r="AS2138">
        <v>25.5</v>
      </c>
      <c r="AT2138" t="s">
        <v>806</v>
      </c>
      <c r="AU2138" t="s">
        <v>79</v>
      </c>
      <c r="AV2138" t="s">
        <v>20733</v>
      </c>
    </row>
    <row r="2139" spans="1:48">
      <c r="A2139" s="1">
        <f>HYPERLINK("https://lsnyc.legalserver.org/matter/dynamic-profile/view/1912653","19-1912653")</f>
        <v>0</v>
      </c>
      <c r="B2139" t="s">
        <v>110</v>
      </c>
      <c r="C2139" t="s">
        <v>257</v>
      </c>
      <c r="D2139" t="s">
        <v>570</v>
      </c>
      <c r="E2139" t="s">
        <v>321</v>
      </c>
      <c r="F2139" t="s">
        <v>1199</v>
      </c>
      <c r="G2139" t="s">
        <v>4135</v>
      </c>
      <c r="H2139" t="s">
        <v>6063</v>
      </c>
      <c r="I2139" t="s">
        <v>8202</v>
      </c>
      <c r="J2139" t="s">
        <v>9065</v>
      </c>
      <c r="K2139">
        <v>10452</v>
      </c>
      <c r="L2139" t="s">
        <v>9094</v>
      </c>
      <c r="M2139" t="s">
        <v>9095</v>
      </c>
      <c r="O2139" t="s">
        <v>9121</v>
      </c>
      <c r="P2139" t="s">
        <v>11167</v>
      </c>
      <c r="Q2139" t="s">
        <v>11173</v>
      </c>
      <c r="R2139" t="s">
        <v>11180</v>
      </c>
      <c r="S2139" t="s">
        <v>9096</v>
      </c>
      <c r="T2139" t="s">
        <v>11183</v>
      </c>
      <c r="W2139">
        <v>231.3</v>
      </c>
      <c r="X2139" t="s">
        <v>11333</v>
      </c>
      <c r="Y2139" t="s">
        <v>11157</v>
      </c>
      <c r="Z2139" t="s">
        <v>12830</v>
      </c>
      <c r="AB2139" t="s">
        <v>17212</v>
      </c>
      <c r="AC2139">
        <v>149</v>
      </c>
      <c r="AD2139" t="s">
        <v>19566</v>
      </c>
      <c r="AE2139" t="s">
        <v>11157</v>
      </c>
      <c r="AF2139">
        <v>24</v>
      </c>
      <c r="AG2139">
        <v>1</v>
      </c>
      <c r="AH2139">
        <v>0</v>
      </c>
      <c r="AI2139">
        <v>76.73999999999999</v>
      </c>
      <c r="AL2139" t="s">
        <v>19614</v>
      </c>
      <c r="AM2139">
        <v>9584.52</v>
      </c>
      <c r="AS2139">
        <v>3.25</v>
      </c>
      <c r="AT2139" t="s">
        <v>321</v>
      </c>
      <c r="AU2139" t="s">
        <v>110</v>
      </c>
      <c r="AV2139" t="s">
        <v>20733</v>
      </c>
    </row>
    <row r="2140" spans="1:48">
      <c r="A2140" s="1">
        <f>HYPERLINK("https://lsnyc.legalserver.org/matter/dynamic-profile/view/1915656","19-1915656")</f>
        <v>0</v>
      </c>
      <c r="B2140" t="s">
        <v>204</v>
      </c>
      <c r="C2140" t="s">
        <v>256</v>
      </c>
      <c r="D2140" t="s">
        <v>484</v>
      </c>
      <c r="F2140" t="s">
        <v>2024</v>
      </c>
      <c r="G2140" t="s">
        <v>3773</v>
      </c>
      <c r="H2140" t="s">
        <v>6824</v>
      </c>
      <c r="I2140">
        <v>1</v>
      </c>
      <c r="J2140" t="s">
        <v>9059</v>
      </c>
      <c r="K2140">
        <v>11233</v>
      </c>
      <c r="L2140" t="s">
        <v>9094</v>
      </c>
      <c r="M2140" t="s">
        <v>9095</v>
      </c>
      <c r="N2140" t="s">
        <v>9974</v>
      </c>
      <c r="O2140" t="s">
        <v>11129</v>
      </c>
      <c r="R2140" t="s">
        <v>11180</v>
      </c>
      <c r="S2140" t="s">
        <v>9096</v>
      </c>
      <c r="T2140" t="s">
        <v>11183</v>
      </c>
      <c r="U2140" t="s">
        <v>11201</v>
      </c>
      <c r="W2140">
        <v>1550</v>
      </c>
      <c r="X2140" t="s">
        <v>11332</v>
      </c>
      <c r="Y2140" t="s">
        <v>11345</v>
      </c>
      <c r="Z2140" t="s">
        <v>12831</v>
      </c>
      <c r="AB2140" t="s">
        <v>17213</v>
      </c>
      <c r="AC2140">
        <v>5</v>
      </c>
      <c r="AD2140" t="s">
        <v>19565</v>
      </c>
      <c r="AE2140" t="s">
        <v>19585</v>
      </c>
      <c r="AF2140">
        <v>2</v>
      </c>
      <c r="AG2140">
        <v>1</v>
      </c>
      <c r="AH2140">
        <v>0</v>
      </c>
      <c r="AI2140">
        <v>76.77</v>
      </c>
      <c r="AL2140" t="s">
        <v>19614</v>
      </c>
      <c r="AM2140">
        <v>9588</v>
      </c>
      <c r="AS2140">
        <v>0.25</v>
      </c>
      <c r="AT2140" t="s">
        <v>1135</v>
      </c>
      <c r="AU2140" t="s">
        <v>20678</v>
      </c>
      <c r="AV2140" t="s">
        <v>20733</v>
      </c>
    </row>
    <row r="2141" spans="1:48">
      <c r="A2141" s="1">
        <f>HYPERLINK("https://lsnyc.legalserver.org/matter/dynamic-profile/view/1908389","19-1908389")</f>
        <v>0</v>
      </c>
      <c r="B2141" t="s">
        <v>73</v>
      </c>
      <c r="C2141" t="s">
        <v>256</v>
      </c>
      <c r="D2141" t="s">
        <v>314</v>
      </c>
      <c r="F2141" t="s">
        <v>2117</v>
      </c>
      <c r="G2141" t="s">
        <v>4334</v>
      </c>
      <c r="H2141" t="s">
        <v>6825</v>
      </c>
      <c r="I2141" t="s">
        <v>8179</v>
      </c>
      <c r="J2141" t="s">
        <v>9059</v>
      </c>
      <c r="K2141">
        <v>11239</v>
      </c>
      <c r="L2141" t="s">
        <v>9094</v>
      </c>
      <c r="M2141" t="s">
        <v>9095</v>
      </c>
      <c r="N2141" t="s">
        <v>9975</v>
      </c>
      <c r="O2141" t="s">
        <v>11128</v>
      </c>
      <c r="P2141" t="s">
        <v>11165</v>
      </c>
      <c r="R2141" t="s">
        <v>11180</v>
      </c>
      <c r="S2141" t="s">
        <v>9096</v>
      </c>
      <c r="T2141" t="s">
        <v>11183</v>
      </c>
      <c r="U2141" t="s">
        <v>11201</v>
      </c>
      <c r="V2141" t="s">
        <v>263</v>
      </c>
      <c r="W2141">
        <v>2050</v>
      </c>
      <c r="X2141" t="s">
        <v>11332</v>
      </c>
      <c r="Y2141" t="s">
        <v>11345</v>
      </c>
      <c r="Z2141" t="s">
        <v>12832</v>
      </c>
      <c r="AA2141" t="s">
        <v>15285</v>
      </c>
      <c r="AC2141">
        <v>1164</v>
      </c>
      <c r="AD2141" t="s">
        <v>19567</v>
      </c>
      <c r="AE2141" t="s">
        <v>19580</v>
      </c>
      <c r="AF2141">
        <v>3</v>
      </c>
      <c r="AG2141">
        <v>1</v>
      </c>
      <c r="AH2141">
        <v>0</v>
      </c>
      <c r="AI2141">
        <v>76.86</v>
      </c>
      <c r="AL2141" t="s">
        <v>19614</v>
      </c>
      <c r="AM2141">
        <v>9600</v>
      </c>
      <c r="AS2141">
        <v>7.2</v>
      </c>
      <c r="AT2141" t="s">
        <v>484</v>
      </c>
      <c r="AU2141" t="s">
        <v>20627</v>
      </c>
      <c r="AV2141" t="s">
        <v>20733</v>
      </c>
    </row>
    <row r="2142" spans="1:48">
      <c r="A2142" s="1">
        <f>HYPERLINK("https://lsnyc.legalserver.org/matter/dynamic-profile/view/1912882","19-1912882")</f>
        <v>0</v>
      </c>
      <c r="B2142" t="s">
        <v>67</v>
      </c>
      <c r="C2142" t="s">
        <v>256</v>
      </c>
      <c r="D2142" t="s">
        <v>563</v>
      </c>
      <c r="F2142" t="s">
        <v>2118</v>
      </c>
      <c r="G2142" t="s">
        <v>4335</v>
      </c>
      <c r="H2142" t="s">
        <v>6826</v>
      </c>
      <c r="I2142" t="s">
        <v>8565</v>
      </c>
      <c r="J2142" t="s">
        <v>9059</v>
      </c>
      <c r="K2142">
        <v>11226</v>
      </c>
      <c r="L2142" t="s">
        <v>9094</v>
      </c>
      <c r="M2142" t="s">
        <v>9095</v>
      </c>
      <c r="O2142" t="s">
        <v>9121</v>
      </c>
      <c r="P2142" t="s">
        <v>11166</v>
      </c>
      <c r="R2142" t="s">
        <v>11180</v>
      </c>
      <c r="S2142" t="s">
        <v>9096</v>
      </c>
      <c r="T2142" t="s">
        <v>11183</v>
      </c>
      <c r="V2142" t="s">
        <v>563</v>
      </c>
      <c r="W2142">
        <v>865</v>
      </c>
      <c r="X2142" t="s">
        <v>11332</v>
      </c>
      <c r="Z2142" t="s">
        <v>12833</v>
      </c>
      <c r="AB2142" t="s">
        <v>17214</v>
      </c>
      <c r="AC2142">
        <v>0</v>
      </c>
      <c r="AF2142">
        <v>37</v>
      </c>
      <c r="AG2142">
        <v>1</v>
      </c>
      <c r="AH2142">
        <v>0</v>
      </c>
      <c r="AI2142">
        <v>76.86</v>
      </c>
      <c r="AL2142" t="s">
        <v>19614</v>
      </c>
      <c r="AM2142">
        <v>9600</v>
      </c>
      <c r="AS2142">
        <v>0</v>
      </c>
      <c r="AU2142" t="s">
        <v>215</v>
      </c>
      <c r="AV2142" t="s">
        <v>20733</v>
      </c>
    </row>
    <row r="2143" spans="1:48">
      <c r="A2143" s="1">
        <f>HYPERLINK("https://lsnyc.legalserver.org/matter/dynamic-profile/view/1908772","19-1908772")</f>
        <v>0</v>
      </c>
      <c r="B2143" t="s">
        <v>64</v>
      </c>
      <c r="C2143" t="s">
        <v>257</v>
      </c>
      <c r="D2143" t="s">
        <v>481</v>
      </c>
      <c r="E2143" t="s">
        <v>297</v>
      </c>
      <c r="F2143" t="s">
        <v>2119</v>
      </c>
      <c r="G2143" t="s">
        <v>3618</v>
      </c>
      <c r="H2143" t="s">
        <v>6827</v>
      </c>
      <c r="I2143" t="s">
        <v>8364</v>
      </c>
      <c r="J2143" t="s">
        <v>9059</v>
      </c>
      <c r="K2143">
        <v>11212</v>
      </c>
      <c r="L2143" t="s">
        <v>9096</v>
      </c>
      <c r="M2143" t="s">
        <v>9095</v>
      </c>
      <c r="N2143" t="s">
        <v>9171</v>
      </c>
      <c r="O2143" t="s">
        <v>11130</v>
      </c>
      <c r="P2143" t="s">
        <v>11164</v>
      </c>
      <c r="Q2143" t="s">
        <v>11172</v>
      </c>
      <c r="R2143" t="s">
        <v>11180</v>
      </c>
      <c r="S2143" t="s">
        <v>9096</v>
      </c>
      <c r="T2143" t="s">
        <v>11183</v>
      </c>
      <c r="U2143" t="s">
        <v>11201</v>
      </c>
      <c r="W2143">
        <v>1300</v>
      </c>
      <c r="X2143" t="s">
        <v>11332</v>
      </c>
      <c r="Z2143" t="s">
        <v>12834</v>
      </c>
      <c r="AA2143" t="s">
        <v>15290</v>
      </c>
      <c r="AB2143" t="s">
        <v>17215</v>
      </c>
      <c r="AC2143">
        <v>60</v>
      </c>
      <c r="AE2143" t="s">
        <v>19585</v>
      </c>
      <c r="AF2143">
        <v>1</v>
      </c>
      <c r="AG2143">
        <v>1</v>
      </c>
      <c r="AH2143">
        <v>0</v>
      </c>
      <c r="AI2143">
        <v>76.86</v>
      </c>
      <c r="AL2143" t="s">
        <v>19614</v>
      </c>
      <c r="AM2143">
        <v>9600</v>
      </c>
      <c r="AN2143" t="s">
        <v>19844</v>
      </c>
      <c r="AS2143">
        <v>1.4</v>
      </c>
      <c r="AT2143" t="s">
        <v>472</v>
      </c>
      <c r="AU2143" t="s">
        <v>20627</v>
      </c>
      <c r="AV2143" t="s">
        <v>9144</v>
      </c>
    </row>
    <row r="2144" spans="1:48">
      <c r="A2144" s="1">
        <f>HYPERLINK("https://lsnyc.legalserver.org/matter/dynamic-profile/view/1901141","19-1901141")</f>
        <v>0</v>
      </c>
      <c r="B2144" t="s">
        <v>151</v>
      </c>
      <c r="C2144" t="s">
        <v>256</v>
      </c>
      <c r="D2144" t="s">
        <v>394</v>
      </c>
      <c r="F2144" t="s">
        <v>1565</v>
      </c>
      <c r="G2144" t="s">
        <v>3572</v>
      </c>
      <c r="H2144" t="s">
        <v>6828</v>
      </c>
      <c r="I2144" t="s">
        <v>8566</v>
      </c>
      <c r="J2144" t="s">
        <v>9059</v>
      </c>
      <c r="K2144">
        <v>11212</v>
      </c>
      <c r="L2144" t="s">
        <v>9094</v>
      </c>
      <c r="M2144" t="s">
        <v>9095</v>
      </c>
      <c r="N2144" t="s">
        <v>9154</v>
      </c>
      <c r="O2144" t="s">
        <v>11129</v>
      </c>
      <c r="P2144" t="s">
        <v>11164</v>
      </c>
      <c r="R2144" t="s">
        <v>11180</v>
      </c>
      <c r="S2144" t="s">
        <v>9096</v>
      </c>
      <c r="T2144" t="s">
        <v>11183</v>
      </c>
      <c r="U2144" t="s">
        <v>11201</v>
      </c>
      <c r="V2144" t="s">
        <v>394</v>
      </c>
      <c r="W2144">
        <v>247</v>
      </c>
      <c r="X2144" t="s">
        <v>11332</v>
      </c>
      <c r="Z2144" t="s">
        <v>12835</v>
      </c>
      <c r="AC2144">
        <v>0</v>
      </c>
      <c r="AE2144" t="s">
        <v>19580</v>
      </c>
      <c r="AF2144">
        <v>0</v>
      </c>
      <c r="AG2144">
        <v>1</v>
      </c>
      <c r="AH2144">
        <v>0</v>
      </c>
      <c r="AI2144">
        <v>76.86</v>
      </c>
      <c r="AL2144" t="s">
        <v>19614</v>
      </c>
      <c r="AM2144">
        <v>9600</v>
      </c>
      <c r="AS2144">
        <v>2.5</v>
      </c>
      <c r="AT2144" t="s">
        <v>314</v>
      </c>
      <c r="AU2144" t="s">
        <v>151</v>
      </c>
      <c r="AV2144" t="s">
        <v>9144</v>
      </c>
    </row>
    <row r="2145" spans="1:48">
      <c r="A2145" s="1">
        <f>HYPERLINK("https://lsnyc.legalserver.org/matter/dynamic-profile/view/1908151","19-1908151")</f>
        <v>0</v>
      </c>
      <c r="B2145" t="s">
        <v>95</v>
      </c>
      <c r="C2145" t="s">
        <v>257</v>
      </c>
      <c r="D2145" t="s">
        <v>899</v>
      </c>
      <c r="E2145" t="s">
        <v>425</v>
      </c>
      <c r="F2145" t="s">
        <v>1227</v>
      </c>
      <c r="G2145" t="s">
        <v>4019</v>
      </c>
      <c r="H2145" t="s">
        <v>6829</v>
      </c>
      <c r="I2145" t="s">
        <v>8154</v>
      </c>
      <c r="J2145" t="s">
        <v>9059</v>
      </c>
      <c r="K2145">
        <v>11207</v>
      </c>
      <c r="L2145" t="s">
        <v>9096</v>
      </c>
      <c r="M2145" t="s">
        <v>9095</v>
      </c>
      <c r="N2145" t="s">
        <v>9171</v>
      </c>
      <c r="O2145" t="s">
        <v>9121</v>
      </c>
      <c r="Q2145" t="s">
        <v>11172</v>
      </c>
      <c r="R2145" t="s">
        <v>11180</v>
      </c>
      <c r="S2145" t="s">
        <v>9096</v>
      </c>
      <c r="T2145" t="s">
        <v>11183</v>
      </c>
      <c r="W2145">
        <v>1300</v>
      </c>
      <c r="X2145" t="s">
        <v>11332</v>
      </c>
      <c r="Z2145" t="s">
        <v>12836</v>
      </c>
      <c r="AA2145" t="s">
        <v>15290</v>
      </c>
      <c r="AB2145" t="s">
        <v>17216</v>
      </c>
      <c r="AC2145">
        <v>2</v>
      </c>
      <c r="AD2145" t="s">
        <v>19565</v>
      </c>
      <c r="AE2145" t="s">
        <v>9144</v>
      </c>
      <c r="AF2145">
        <v>7</v>
      </c>
      <c r="AG2145">
        <v>1</v>
      </c>
      <c r="AH2145">
        <v>0</v>
      </c>
      <c r="AI2145">
        <v>76.86</v>
      </c>
      <c r="AL2145" t="s">
        <v>19614</v>
      </c>
      <c r="AM2145">
        <v>9600</v>
      </c>
      <c r="AN2145" t="s">
        <v>19845</v>
      </c>
      <c r="AS2145">
        <v>1</v>
      </c>
      <c r="AT2145" t="s">
        <v>899</v>
      </c>
      <c r="AU2145" t="s">
        <v>20660</v>
      </c>
      <c r="AV2145" t="s">
        <v>9144</v>
      </c>
    </row>
    <row r="2146" spans="1:48">
      <c r="A2146" s="1">
        <f>HYPERLINK("https://lsnyc.legalserver.org/matter/dynamic-profile/view/1906776","19-1906776")</f>
        <v>0</v>
      </c>
      <c r="B2146" t="s">
        <v>67</v>
      </c>
      <c r="C2146" t="s">
        <v>257</v>
      </c>
      <c r="D2146" t="s">
        <v>474</v>
      </c>
      <c r="E2146" t="s">
        <v>415</v>
      </c>
      <c r="F2146" t="s">
        <v>2120</v>
      </c>
      <c r="G2146" t="s">
        <v>4336</v>
      </c>
      <c r="H2146" t="s">
        <v>6830</v>
      </c>
      <c r="I2146" t="s">
        <v>8329</v>
      </c>
      <c r="J2146" t="s">
        <v>9059</v>
      </c>
      <c r="K2146">
        <v>11206</v>
      </c>
      <c r="L2146" t="s">
        <v>9094</v>
      </c>
      <c r="M2146" t="s">
        <v>9095</v>
      </c>
      <c r="O2146" t="s">
        <v>11151</v>
      </c>
      <c r="P2146" t="s">
        <v>11168</v>
      </c>
      <c r="Q2146" t="s">
        <v>11177</v>
      </c>
      <c r="R2146" t="s">
        <v>11180</v>
      </c>
      <c r="S2146" t="s">
        <v>9096</v>
      </c>
      <c r="T2146" t="s">
        <v>11183</v>
      </c>
      <c r="V2146" t="s">
        <v>474</v>
      </c>
      <c r="W2146">
        <v>0</v>
      </c>
      <c r="X2146" t="s">
        <v>11332</v>
      </c>
      <c r="Z2146" t="s">
        <v>12837</v>
      </c>
      <c r="AB2146" t="s">
        <v>17217</v>
      </c>
      <c r="AC2146">
        <v>774</v>
      </c>
      <c r="AF2146">
        <v>0</v>
      </c>
      <c r="AG2146">
        <v>1</v>
      </c>
      <c r="AH2146">
        <v>0</v>
      </c>
      <c r="AI2146">
        <v>76.86</v>
      </c>
      <c r="AL2146" t="s">
        <v>19635</v>
      </c>
      <c r="AM2146">
        <v>9600</v>
      </c>
      <c r="AQ2146" t="s">
        <v>20369</v>
      </c>
      <c r="AR2146" t="s">
        <v>20398</v>
      </c>
      <c r="AS2146">
        <v>7.6</v>
      </c>
      <c r="AT2146" t="s">
        <v>416</v>
      </c>
      <c r="AU2146" t="s">
        <v>67</v>
      </c>
      <c r="AV2146" t="s">
        <v>20733</v>
      </c>
    </row>
    <row r="2147" spans="1:48">
      <c r="A2147" s="1">
        <f>HYPERLINK("https://lsnyc.legalserver.org/matter/dynamic-profile/view/1900646","19-1900646")</f>
        <v>0</v>
      </c>
      <c r="B2147" t="s">
        <v>57</v>
      </c>
      <c r="C2147" t="s">
        <v>256</v>
      </c>
      <c r="D2147" t="s">
        <v>283</v>
      </c>
      <c r="F2147" t="s">
        <v>2121</v>
      </c>
      <c r="G2147" t="s">
        <v>4337</v>
      </c>
      <c r="H2147" t="s">
        <v>6221</v>
      </c>
      <c r="I2147" t="s">
        <v>8567</v>
      </c>
      <c r="J2147" t="s">
        <v>9063</v>
      </c>
      <c r="K2147">
        <v>11101</v>
      </c>
      <c r="L2147" t="s">
        <v>9094</v>
      </c>
      <c r="M2147" t="s">
        <v>9095</v>
      </c>
      <c r="N2147" t="s">
        <v>9976</v>
      </c>
      <c r="O2147" t="s">
        <v>11129</v>
      </c>
      <c r="P2147" t="s">
        <v>11165</v>
      </c>
      <c r="R2147" t="s">
        <v>11180</v>
      </c>
      <c r="S2147" t="s">
        <v>9094</v>
      </c>
      <c r="T2147" t="s">
        <v>11183</v>
      </c>
      <c r="U2147" t="s">
        <v>11201</v>
      </c>
      <c r="V2147" t="s">
        <v>283</v>
      </c>
      <c r="W2147">
        <v>1268</v>
      </c>
      <c r="X2147" t="s">
        <v>11331</v>
      </c>
      <c r="Y2147" t="s">
        <v>11336</v>
      </c>
      <c r="Z2147" t="s">
        <v>12200</v>
      </c>
      <c r="AA2147" t="s">
        <v>15657</v>
      </c>
      <c r="AB2147" t="s">
        <v>17218</v>
      </c>
      <c r="AC2147">
        <v>200</v>
      </c>
      <c r="AD2147" t="s">
        <v>19566</v>
      </c>
      <c r="AE2147" t="s">
        <v>19586</v>
      </c>
      <c r="AF2147">
        <v>2</v>
      </c>
      <c r="AG2147">
        <v>1</v>
      </c>
      <c r="AH2147">
        <v>0</v>
      </c>
      <c r="AI2147">
        <v>76.86</v>
      </c>
      <c r="AL2147" t="s">
        <v>19615</v>
      </c>
      <c r="AM2147">
        <v>9600</v>
      </c>
      <c r="AO2147" t="s">
        <v>20293</v>
      </c>
      <c r="AP2147" t="s">
        <v>20317</v>
      </c>
      <c r="AQ2147" t="s">
        <v>20369</v>
      </c>
      <c r="AR2147" t="s">
        <v>20488</v>
      </c>
      <c r="AS2147">
        <v>15.7</v>
      </c>
      <c r="AT2147" t="s">
        <v>669</v>
      </c>
      <c r="AU2147" t="s">
        <v>20622</v>
      </c>
      <c r="AV2147" t="s">
        <v>20733</v>
      </c>
    </row>
    <row r="2148" spans="1:48">
      <c r="A2148" s="1">
        <f>HYPERLINK("https://lsnyc.legalserver.org/matter/dynamic-profile/view/1907083","19-1907083")</f>
        <v>0</v>
      </c>
      <c r="B2148" t="s">
        <v>117</v>
      </c>
      <c r="C2148" t="s">
        <v>257</v>
      </c>
      <c r="D2148" t="s">
        <v>498</v>
      </c>
      <c r="E2148" t="s">
        <v>307</v>
      </c>
      <c r="F2148" t="s">
        <v>1994</v>
      </c>
      <c r="G2148" t="s">
        <v>1464</v>
      </c>
      <c r="H2148" t="s">
        <v>6664</v>
      </c>
      <c r="I2148">
        <v>2</v>
      </c>
      <c r="J2148" t="s">
        <v>9065</v>
      </c>
      <c r="K2148">
        <v>10473</v>
      </c>
      <c r="L2148" t="s">
        <v>9094</v>
      </c>
      <c r="M2148" t="s">
        <v>9095</v>
      </c>
      <c r="O2148" t="s">
        <v>11128</v>
      </c>
      <c r="P2148" t="s">
        <v>11165</v>
      </c>
      <c r="Q2148" t="s">
        <v>11179</v>
      </c>
      <c r="R2148" t="s">
        <v>11180</v>
      </c>
      <c r="S2148" t="s">
        <v>9096</v>
      </c>
      <c r="T2148" t="s">
        <v>11183</v>
      </c>
      <c r="U2148" t="s">
        <v>11201</v>
      </c>
      <c r="W2148">
        <v>0</v>
      </c>
      <c r="X2148" t="s">
        <v>11333</v>
      </c>
      <c r="Y2148" t="s">
        <v>11346</v>
      </c>
      <c r="Z2148" t="s">
        <v>12591</v>
      </c>
      <c r="AC2148">
        <v>0</v>
      </c>
      <c r="AD2148" t="s">
        <v>15441</v>
      </c>
      <c r="AE2148" t="s">
        <v>19581</v>
      </c>
      <c r="AF2148">
        <v>2</v>
      </c>
      <c r="AG2148">
        <v>1</v>
      </c>
      <c r="AH2148">
        <v>0</v>
      </c>
      <c r="AI2148">
        <v>76.86</v>
      </c>
      <c r="AL2148" t="s">
        <v>19614</v>
      </c>
      <c r="AM2148">
        <v>9600</v>
      </c>
      <c r="AS2148">
        <v>46.3</v>
      </c>
      <c r="AT2148" t="s">
        <v>307</v>
      </c>
      <c r="AU2148" t="s">
        <v>163</v>
      </c>
      <c r="AV2148" t="s">
        <v>20733</v>
      </c>
    </row>
    <row r="2149" spans="1:48">
      <c r="A2149" s="1">
        <f>HYPERLINK("https://lsnyc.legalserver.org/matter/dynamic-profile/view/1907058","19-1907058")</f>
        <v>0</v>
      </c>
      <c r="B2149" t="s">
        <v>117</v>
      </c>
      <c r="C2149" t="s">
        <v>256</v>
      </c>
      <c r="D2149" t="s">
        <v>333</v>
      </c>
      <c r="F2149" t="s">
        <v>1994</v>
      </c>
      <c r="G2149" t="s">
        <v>1464</v>
      </c>
      <c r="H2149" t="s">
        <v>6664</v>
      </c>
      <c r="I2149">
        <v>2</v>
      </c>
      <c r="J2149" t="s">
        <v>9065</v>
      </c>
      <c r="K2149">
        <v>10473</v>
      </c>
      <c r="L2149" t="s">
        <v>9094</v>
      </c>
      <c r="M2149" t="s">
        <v>9095</v>
      </c>
      <c r="O2149" t="s">
        <v>11130</v>
      </c>
      <c r="P2149" t="s">
        <v>11165</v>
      </c>
      <c r="R2149" t="s">
        <v>11180</v>
      </c>
      <c r="S2149" t="s">
        <v>9096</v>
      </c>
      <c r="T2149" t="s">
        <v>11183</v>
      </c>
      <c r="W2149">
        <v>0</v>
      </c>
      <c r="X2149" t="s">
        <v>11333</v>
      </c>
      <c r="Y2149" t="s">
        <v>11346</v>
      </c>
      <c r="Z2149" t="s">
        <v>12591</v>
      </c>
      <c r="AC2149">
        <v>3</v>
      </c>
      <c r="AD2149" t="s">
        <v>15441</v>
      </c>
      <c r="AE2149" t="s">
        <v>19581</v>
      </c>
      <c r="AF2149">
        <v>2</v>
      </c>
      <c r="AG2149">
        <v>1</v>
      </c>
      <c r="AH2149">
        <v>0</v>
      </c>
      <c r="AI2149">
        <v>76.86</v>
      </c>
      <c r="AL2149" t="s">
        <v>19614</v>
      </c>
      <c r="AM2149">
        <v>9600</v>
      </c>
      <c r="AS2149">
        <v>6</v>
      </c>
      <c r="AT2149" t="s">
        <v>284</v>
      </c>
      <c r="AU2149" t="s">
        <v>163</v>
      </c>
      <c r="AV2149" t="s">
        <v>20733</v>
      </c>
    </row>
    <row r="2150" spans="1:48">
      <c r="A2150" s="1">
        <f>HYPERLINK("https://lsnyc.legalserver.org/matter/dynamic-profile/view/1905440","19-1905440")</f>
        <v>0</v>
      </c>
      <c r="B2150" t="s">
        <v>98</v>
      </c>
      <c r="C2150" t="s">
        <v>257</v>
      </c>
      <c r="D2150" t="s">
        <v>408</v>
      </c>
      <c r="E2150" t="s">
        <v>372</v>
      </c>
      <c r="F2150" t="s">
        <v>1342</v>
      </c>
      <c r="G2150" t="s">
        <v>1215</v>
      </c>
      <c r="H2150" t="s">
        <v>5881</v>
      </c>
      <c r="I2150" t="s">
        <v>8229</v>
      </c>
      <c r="J2150" t="s">
        <v>9065</v>
      </c>
      <c r="K2150">
        <v>10456</v>
      </c>
      <c r="L2150" t="s">
        <v>9094</v>
      </c>
      <c r="M2150" t="s">
        <v>9095</v>
      </c>
      <c r="N2150" t="s">
        <v>9977</v>
      </c>
      <c r="O2150" t="s">
        <v>11130</v>
      </c>
      <c r="P2150" t="s">
        <v>11164</v>
      </c>
      <c r="Q2150" t="s">
        <v>11172</v>
      </c>
      <c r="R2150" t="s">
        <v>11180</v>
      </c>
      <c r="S2150" t="s">
        <v>9096</v>
      </c>
      <c r="T2150" t="s">
        <v>11183</v>
      </c>
      <c r="V2150" t="s">
        <v>493</v>
      </c>
      <c r="W2150">
        <v>255</v>
      </c>
      <c r="X2150" t="s">
        <v>11333</v>
      </c>
      <c r="Y2150" t="s">
        <v>11346</v>
      </c>
      <c r="Z2150" t="s">
        <v>11589</v>
      </c>
      <c r="AB2150" t="s">
        <v>16075</v>
      </c>
      <c r="AC2150">
        <v>65</v>
      </c>
      <c r="AD2150" t="s">
        <v>19575</v>
      </c>
      <c r="AE2150" t="s">
        <v>9144</v>
      </c>
      <c r="AF2150">
        <v>6</v>
      </c>
      <c r="AG2150">
        <v>1</v>
      </c>
      <c r="AH2150">
        <v>0</v>
      </c>
      <c r="AI2150">
        <v>76.86</v>
      </c>
      <c r="AM2150">
        <v>9600</v>
      </c>
      <c r="AS2150">
        <v>1</v>
      </c>
      <c r="AT2150" t="s">
        <v>329</v>
      </c>
      <c r="AU2150" t="s">
        <v>20642</v>
      </c>
      <c r="AV2150" t="s">
        <v>20733</v>
      </c>
    </row>
    <row r="2151" spans="1:48">
      <c r="A2151" s="1">
        <f>HYPERLINK("https://lsnyc.legalserver.org/matter/dynamic-profile/view/1913397","19-1913397")</f>
        <v>0</v>
      </c>
      <c r="B2151" t="s">
        <v>115</v>
      </c>
      <c r="C2151" t="s">
        <v>256</v>
      </c>
      <c r="D2151" t="s">
        <v>286</v>
      </c>
      <c r="F2151" t="s">
        <v>1146</v>
      </c>
      <c r="G2151" t="s">
        <v>3688</v>
      </c>
      <c r="H2151" t="s">
        <v>6831</v>
      </c>
      <c r="I2151" t="s">
        <v>8568</v>
      </c>
      <c r="J2151" t="s">
        <v>9065</v>
      </c>
      <c r="K2151">
        <v>10452</v>
      </c>
      <c r="L2151" t="s">
        <v>9094</v>
      </c>
      <c r="M2151" t="s">
        <v>9095</v>
      </c>
      <c r="P2151" t="s">
        <v>11164</v>
      </c>
      <c r="R2151" t="s">
        <v>11180</v>
      </c>
      <c r="T2151" t="s">
        <v>11189</v>
      </c>
      <c r="W2151">
        <v>641.28</v>
      </c>
      <c r="X2151" t="s">
        <v>11333</v>
      </c>
      <c r="Z2151" t="s">
        <v>12838</v>
      </c>
      <c r="AB2151" t="s">
        <v>17219</v>
      </c>
      <c r="AC2151">
        <v>0</v>
      </c>
      <c r="AD2151" t="s">
        <v>19566</v>
      </c>
      <c r="AE2151" t="s">
        <v>19587</v>
      </c>
      <c r="AF2151">
        <v>50</v>
      </c>
      <c r="AG2151">
        <v>1</v>
      </c>
      <c r="AH2151">
        <v>0</v>
      </c>
      <c r="AI2151">
        <v>76.86</v>
      </c>
      <c r="AL2151" t="s">
        <v>19615</v>
      </c>
      <c r="AM2151">
        <v>9600</v>
      </c>
      <c r="AS2151">
        <v>0.1</v>
      </c>
      <c r="AT2151" t="s">
        <v>484</v>
      </c>
      <c r="AU2151" t="s">
        <v>115</v>
      </c>
      <c r="AV2151" t="s">
        <v>20733</v>
      </c>
    </row>
    <row r="2152" spans="1:48">
      <c r="A2152" s="1">
        <f>HYPERLINK("https://lsnyc.legalserver.org/matter/dynamic-profile/view/1895291","19-1895291")</f>
        <v>0</v>
      </c>
      <c r="B2152" t="s">
        <v>126</v>
      </c>
      <c r="C2152" t="s">
        <v>257</v>
      </c>
      <c r="D2152" t="s">
        <v>454</v>
      </c>
      <c r="E2152" t="s">
        <v>372</v>
      </c>
      <c r="F2152" t="s">
        <v>1231</v>
      </c>
      <c r="G2152" t="s">
        <v>3639</v>
      </c>
      <c r="H2152" t="s">
        <v>6832</v>
      </c>
      <c r="J2152" t="s">
        <v>9066</v>
      </c>
      <c r="K2152">
        <v>10312</v>
      </c>
      <c r="L2152" t="s">
        <v>9094</v>
      </c>
      <c r="M2152" t="s">
        <v>9095</v>
      </c>
      <c r="N2152" t="s">
        <v>9978</v>
      </c>
      <c r="O2152" t="s">
        <v>11128</v>
      </c>
      <c r="P2152" t="s">
        <v>11165</v>
      </c>
      <c r="Q2152" t="s">
        <v>11174</v>
      </c>
      <c r="R2152" t="s">
        <v>11180</v>
      </c>
      <c r="S2152" t="s">
        <v>9096</v>
      </c>
      <c r="T2152" t="s">
        <v>11183</v>
      </c>
      <c r="U2152" t="s">
        <v>11201</v>
      </c>
      <c r="W2152">
        <v>1400</v>
      </c>
      <c r="X2152" t="s">
        <v>11334</v>
      </c>
      <c r="Y2152" t="s">
        <v>11157</v>
      </c>
      <c r="Z2152" t="s">
        <v>12839</v>
      </c>
      <c r="AB2152" t="s">
        <v>17220</v>
      </c>
      <c r="AC2152">
        <v>2</v>
      </c>
      <c r="AD2152" t="s">
        <v>19565</v>
      </c>
      <c r="AE2152" t="s">
        <v>19580</v>
      </c>
      <c r="AF2152">
        <v>1</v>
      </c>
      <c r="AG2152">
        <v>1</v>
      </c>
      <c r="AH2152">
        <v>0</v>
      </c>
      <c r="AI2152">
        <v>76.86</v>
      </c>
      <c r="AL2152" t="s">
        <v>19614</v>
      </c>
      <c r="AM2152">
        <v>9600</v>
      </c>
      <c r="AO2152" t="s">
        <v>20293</v>
      </c>
      <c r="AP2152" t="s">
        <v>11157</v>
      </c>
      <c r="AQ2152" t="s">
        <v>20368</v>
      </c>
      <c r="AS2152">
        <v>10.5</v>
      </c>
      <c r="AT2152" t="s">
        <v>457</v>
      </c>
      <c r="AU2152" t="s">
        <v>20653</v>
      </c>
      <c r="AV2152" t="s">
        <v>20733</v>
      </c>
    </row>
    <row r="2153" spans="1:48">
      <c r="A2153" s="1">
        <f>HYPERLINK("https://lsnyc.legalserver.org/matter/dynamic-profile/view/1896446","19-1896446")</f>
        <v>0</v>
      </c>
      <c r="B2153" t="s">
        <v>138</v>
      </c>
      <c r="C2153" t="s">
        <v>256</v>
      </c>
      <c r="D2153" t="s">
        <v>350</v>
      </c>
      <c r="F2153" t="s">
        <v>2122</v>
      </c>
      <c r="G2153" t="s">
        <v>3536</v>
      </c>
      <c r="H2153" t="s">
        <v>6532</v>
      </c>
      <c r="I2153" t="s">
        <v>8160</v>
      </c>
      <c r="J2153" t="s">
        <v>9067</v>
      </c>
      <c r="K2153">
        <v>10034</v>
      </c>
      <c r="L2153" t="s">
        <v>9094</v>
      </c>
      <c r="M2153" t="s">
        <v>9095</v>
      </c>
      <c r="N2153" t="s">
        <v>9979</v>
      </c>
      <c r="O2153" t="s">
        <v>11129</v>
      </c>
      <c r="P2153" t="s">
        <v>11167</v>
      </c>
      <c r="R2153" t="s">
        <v>11180</v>
      </c>
      <c r="S2153" t="s">
        <v>9096</v>
      </c>
      <c r="T2153" t="s">
        <v>11183</v>
      </c>
      <c r="U2153" t="s">
        <v>11201</v>
      </c>
      <c r="V2153" t="s">
        <v>11229</v>
      </c>
      <c r="W2153">
        <v>0</v>
      </c>
      <c r="X2153" t="s">
        <v>11335</v>
      </c>
      <c r="Y2153" t="s">
        <v>11338</v>
      </c>
      <c r="Z2153" t="s">
        <v>12226</v>
      </c>
      <c r="AB2153" t="s">
        <v>17221</v>
      </c>
      <c r="AC2153">
        <v>44</v>
      </c>
      <c r="AD2153" t="s">
        <v>19566</v>
      </c>
      <c r="AE2153" t="s">
        <v>19587</v>
      </c>
      <c r="AF2153">
        <v>33</v>
      </c>
      <c r="AG2153">
        <v>1</v>
      </c>
      <c r="AH2153">
        <v>0</v>
      </c>
      <c r="AI2153">
        <v>76.86</v>
      </c>
      <c r="AJ2153" t="s">
        <v>19591</v>
      </c>
      <c r="AL2153" t="s">
        <v>19615</v>
      </c>
      <c r="AM2153">
        <v>9600</v>
      </c>
      <c r="AS2153">
        <v>3.1</v>
      </c>
      <c r="AT2153" t="s">
        <v>329</v>
      </c>
      <c r="AU2153" t="s">
        <v>20658</v>
      </c>
      <c r="AV2153" t="s">
        <v>20733</v>
      </c>
    </row>
    <row r="2154" spans="1:48">
      <c r="A2154" s="1">
        <f>HYPERLINK("https://lsnyc.legalserver.org/matter/dynamic-profile/view/1904896","19-1904896")</f>
        <v>0</v>
      </c>
      <c r="B2154" t="s">
        <v>138</v>
      </c>
      <c r="C2154" t="s">
        <v>256</v>
      </c>
      <c r="D2154" t="s">
        <v>660</v>
      </c>
      <c r="F2154" t="s">
        <v>1264</v>
      </c>
      <c r="G2154" t="s">
        <v>3097</v>
      </c>
      <c r="H2154" t="s">
        <v>6833</v>
      </c>
      <c r="I2154" t="s">
        <v>8569</v>
      </c>
      <c r="J2154" t="s">
        <v>9067</v>
      </c>
      <c r="K2154">
        <v>10034</v>
      </c>
      <c r="L2154" t="s">
        <v>9094</v>
      </c>
      <c r="M2154" t="s">
        <v>9095</v>
      </c>
      <c r="P2154" t="s">
        <v>11167</v>
      </c>
      <c r="R2154" t="s">
        <v>11180</v>
      </c>
      <c r="S2154" t="s">
        <v>9096</v>
      </c>
      <c r="T2154" t="s">
        <v>11183</v>
      </c>
      <c r="V2154" t="s">
        <v>660</v>
      </c>
      <c r="W2154">
        <v>1036.77</v>
      </c>
      <c r="X2154" t="s">
        <v>11335</v>
      </c>
      <c r="Y2154" t="s">
        <v>11338</v>
      </c>
      <c r="Z2154" t="s">
        <v>12840</v>
      </c>
      <c r="AB2154" t="s">
        <v>17222</v>
      </c>
      <c r="AC2154">
        <v>65</v>
      </c>
      <c r="AD2154" t="s">
        <v>19566</v>
      </c>
      <c r="AE2154" t="s">
        <v>9144</v>
      </c>
      <c r="AF2154">
        <v>4</v>
      </c>
      <c r="AG2154">
        <v>1</v>
      </c>
      <c r="AH2154">
        <v>0</v>
      </c>
      <c r="AI2154">
        <v>76.86</v>
      </c>
      <c r="AL2154" t="s">
        <v>19614</v>
      </c>
      <c r="AM2154">
        <v>9600</v>
      </c>
      <c r="AS2154">
        <v>1.9</v>
      </c>
      <c r="AT2154" t="s">
        <v>288</v>
      </c>
      <c r="AU2154" t="s">
        <v>130</v>
      </c>
      <c r="AV2154" t="s">
        <v>20733</v>
      </c>
    </row>
    <row r="2155" spans="1:48">
      <c r="A2155" s="1">
        <f>HYPERLINK("https://lsnyc.legalserver.org/matter/dynamic-profile/view/1912397","19-1912397")</f>
        <v>0</v>
      </c>
      <c r="B2155" t="s">
        <v>142</v>
      </c>
      <c r="C2155" t="s">
        <v>256</v>
      </c>
      <c r="D2155" t="s">
        <v>744</v>
      </c>
      <c r="F2155" t="s">
        <v>2123</v>
      </c>
      <c r="G2155" t="s">
        <v>3498</v>
      </c>
      <c r="H2155" t="s">
        <v>6834</v>
      </c>
      <c r="I2155" t="s">
        <v>8132</v>
      </c>
      <c r="J2155" t="s">
        <v>9067</v>
      </c>
      <c r="K2155">
        <v>10029</v>
      </c>
      <c r="L2155" t="s">
        <v>9094</v>
      </c>
      <c r="M2155" t="s">
        <v>9095</v>
      </c>
      <c r="O2155" t="s">
        <v>9121</v>
      </c>
      <c r="P2155" t="s">
        <v>11164</v>
      </c>
      <c r="R2155" t="s">
        <v>11180</v>
      </c>
      <c r="S2155" t="s">
        <v>9096</v>
      </c>
      <c r="T2155" t="s">
        <v>11183</v>
      </c>
      <c r="U2155" t="s">
        <v>11201</v>
      </c>
      <c r="V2155" t="s">
        <v>404</v>
      </c>
      <c r="W2155">
        <v>259.33</v>
      </c>
      <c r="X2155" t="s">
        <v>11335</v>
      </c>
      <c r="Y2155" t="s">
        <v>11339</v>
      </c>
      <c r="Z2155" t="s">
        <v>12841</v>
      </c>
      <c r="AA2155" t="s">
        <v>15658</v>
      </c>
      <c r="AB2155" t="s">
        <v>17223</v>
      </c>
      <c r="AC2155">
        <v>18</v>
      </c>
      <c r="AD2155" t="s">
        <v>19566</v>
      </c>
      <c r="AE2155" t="s">
        <v>9144</v>
      </c>
      <c r="AF2155">
        <v>15</v>
      </c>
      <c r="AG2155">
        <v>1</v>
      </c>
      <c r="AH2155">
        <v>0</v>
      </c>
      <c r="AI2155">
        <v>76.86</v>
      </c>
      <c r="AL2155" t="s">
        <v>19615</v>
      </c>
      <c r="AM2155">
        <v>9600</v>
      </c>
      <c r="AS2155">
        <v>1</v>
      </c>
      <c r="AT2155" t="s">
        <v>556</v>
      </c>
      <c r="AU2155" t="s">
        <v>20657</v>
      </c>
      <c r="AV2155" t="s">
        <v>20733</v>
      </c>
    </row>
    <row r="2156" spans="1:48">
      <c r="A2156" s="1">
        <f>HYPERLINK("https://lsnyc.legalserver.org/matter/dynamic-profile/view/1892004","19-1892004")</f>
        <v>0</v>
      </c>
      <c r="B2156" t="s">
        <v>70</v>
      </c>
      <c r="C2156" t="s">
        <v>256</v>
      </c>
      <c r="D2156" t="s">
        <v>868</v>
      </c>
      <c r="F2156" t="s">
        <v>1580</v>
      </c>
      <c r="G2156" t="s">
        <v>3483</v>
      </c>
      <c r="H2156" t="s">
        <v>5748</v>
      </c>
      <c r="I2156" t="s">
        <v>8279</v>
      </c>
      <c r="J2156" t="s">
        <v>9059</v>
      </c>
      <c r="K2156">
        <v>11233</v>
      </c>
      <c r="L2156" t="s">
        <v>9094</v>
      </c>
      <c r="M2156" t="s">
        <v>9096</v>
      </c>
      <c r="N2156" t="s">
        <v>9145</v>
      </c>
      <c r="O2156" t="s">
        <v>11134</v>
      </c>
      <c r="P2156" t="s">
        <v>11168</v>
      </c>
      <c r="R2156" t="s">
        <v>11180</v>
      </c>
      <c r="S2156" t="s">
        <v>9094</v>
      </c>
      <c r="T2156" t="s">
        <v>11183</v>
      </c>
      <c r="U2156" t="s">
        <v>11201</v>
      </c>
      <c r="V2156" t="s">
        <v>482</v>
      </c>
      <c r="W2156">
        <v>654.65</v>
      </c>
      <c r="X2156" t="s">
        <v>11332</v>
      </c>
      <c r="Y2156" t="s">
        <v>11157</v>
      </c>
      <c r="Z2156" t="s">
        <v>12842</v>
      </c>
      <c r="AC2156">
        <v>359</v>
      </c>
      <c r="AD2156" t="s">
        <v>19566</v>
      </c>
      <c r="AE2156" t="s">
        <v>9144</v>
      </c>
      <c r="AF2156">
        <v>17</v>
      </c>
      <c r="AG2156">
        <v>1</v>
      </c>
      <c r="AH2156">
        <v>1</v>
      </c>
      <c r="AI2156">
        <v>76.88</v>
      </c>
      <c r="AL2156" t="s">
        <v>19614</v>
      </c>
      <c r="AM2156">
        <v>13000</v>
      </c>
      <c r="AN2156" t="s">
        <v>19846</v>
      </c>
      <c r="AS2156">
        <v>0</v>
      </c>
      <c r="AU2156" t="s">
        <v>79</v>
      </c>
    </row>
    <row r="2157" spans="1:48">
      <c r="A2157" s="1">
        <f>HYPERLINK("https://lsnyc.legalserver.org/matter/dynamic-profile/view/1892008","19-1892008")</f>
        <v>0</v>
      </c>
      <c r="B2157" t="s">
        <v>70</v>
      </c>
      <c r="C2157" t="s">
        <v>256</v>
      </c>
      <c r="D2157" t="s">
        <v>868</v>
      </c>
      <c r="F2157" t="s">
        <v>1580</v>
      </c>
      <c r="G2157" t="s">
        <v>3483</v>
      </c>
      <c r="H2157" t="s">
        <v>5748</v>
      </c>
      <c r="I2157" t="s">
        <v>8279</v>
      </c>
      <c r="J2157" t="s">
        <v>9059</v>
      </c>
      <c r="K2157">
        <v>11233</v>
      </c>
      <c r="L2157" t="s">
        <v>9094</v>
      </c>
      <c r="M2157" t="s">
        <v>9096</v>
      </c>
      <c r="O2157" t="s">
        <v>11137</v>
      </c>
      <c r="P2157" t="s">
        <v>11167</v>
      </c>
      <c r="R2157" t="s">
        <v>11180</v>
      </c>
      <c r="S2157" t="s">
        <v>9094</v>
      </c>
      <c r="T2157" t="s">
        <v>11183</v>
      </c>
      <c r="U2157" t="s">
        <v>11201</v>
      </c>
      <c r="V2157" t="s">
        <v>749</v>
      </c>
      <c r="W2157">
        <v>654.65</v>
      </c>
      <c r="X2157" t="s">
        <v>11332</v>
      </c>
      <c r="Y2157" t="s">
        <v>11157</v>
      </c>
      <c r="Z2157" t="s">
        <v>12842</v>
      </c>
      <c r="AC2157">
        <v>359</v>
      </c>
      <c r="AD2157" t="s">
        <v>19566</v>
      </c>
      <c r="AE2157" t="s">
        <v>9144</v>
      </c>
      <c r="AF2157">
        <v>17</v>
      </c>
      <c r="AG2157">
        <v>1</v>
      </c>
      <c r="AH2157">
        <v>1</v>
      </c>
      <c r="AI2157">
        <v>76.88</v>
      </c>
      <c r="AL2157" t="s">
        <v>19614</v>
      </c>
      <c r="AM2157">
        <v>13000</v>
      </c>
      <c r="AN2157" t="s">
        <v>19847</v>
      </c>
      <c r="AS2157">
        <v>0</v>
      </c>
      <c r="AU2157" t="s">
        <v>79</v>
      </c>
    </row>
    <row r="2158" spans="1:48">
      <c r="A2158" s="1">
        <f>HYPERLINK("https://lsnyc.legalserver.org/matter/dynamic-profile/view/1891139","19-1891139")</f>
        <v>0</v>
      </c>
      <c r="B2158" t="s">
        <v>215</v>
      </c>
      <c r="C2158" t="s">
        <v>256</v>
      </c>
      <c r="D2158" t="s">
        <v>900</v>
      </c>
      <c r="F2158" t="s">
        <v>2124</v>
      </c>
      <c r="G2158" t="s">
        <v>3387</v>
      </c>
      <c r="H2158" t="s">
        <v>6835</v>
      </c>
      <c r="I2158" t="s">
        <v>8234</v>
      </c>
      <c r="J2158" t="s">
        <v>9059</v>
      </c>
      <c r="K2158">
        <v>11226</v>
      </c>
      <c r="L2158" t="s">
        <v>9094</v>
      </c>
      <c r="M2158" t="s">
        <v>9094</v>
      </c>
      <c r="O2158" t="s">
        <v>11136</v>
      </c>
      <c r="P2158" t="s">
        <v>11167</v>
      </c>
      <c r="R2158" t="s">
        <v>11180</v>
      </c>
      <c r="T2158" t="s">
        <v>11183</v>
      </c>
      <c r="V2158" t="s">
        <v>536</v>
      </c>
      <c r="W2158">
        <v>1106.76</v>
      </c>
      <c r="X2158" t="s">
        <v>11332</v>
      </c>
      <c r="Z2158" t="s">
        <v>12843</v>
      </c>
      <c r="AC2158">
        <v>0</v>
      </c>
      <c r="AF2158">
        <v>25</v>
      </c>
      <c r="AG2158">
        <v>2</v>
      </c>
      <c r="AH2158">
        <v>0</v>
      </c>
      <c r="AI2158">
        <v>76.88</v>
      </c>
      <c r="AL2158" t="s">
        <v>19614</v>
      </c>
      <c r="AM2158">
        <v>13000</v>
      </c>
      <c r="AS2158">
        <v>0.2</v>
      </c>
      <c r="AT2158" t="s">
        <v>559</v>
      </c>
      <c r="AU2158" t="s">
        <v>215</v>
      </c>
    </row>
    <row r="2159" spans="1:48">
      <c r="A2159" s="1">
        <f>HYPERLINK("https://lsnyc.legalserver.org/matter/dynamic-profile/view/1900068","19-1900068")</f>
        <v>0</v>
      </c>
      <c r="B2159" t="s">
        <v>100</v>
      </c>
      <c r="C2159" t="s">
        <v>257</v>
      </c>
      <c r="D2159" t="s">
        <v>551</v>
      </c>
      <c r="E2159" t="s">
        <v>551</v>
      </c>
      <c r="F2159" t="s">
        <v>1228</v>
      </c>
      <c r="G2159" t="s">
        <v>4338</v>
      </c>
      <c r="H2159" t="s">
        <v>6836</v>
      </c>
      <c r="J2159" t="s">
        <v>9065</v>
      </c>
      <c r="K2159">
        <v>10467</v>
      </c>
      <c r="L2159" t="s">
        <v>9095</v>
      </c>
      <c r="M2159" t="s">
        <v>9095</v>
      </c>
      <c r="P2159" t="s">
        <v>11164</v>
      </c>
      <c r="Q2159" t="s">
        <v>11172</v>
      </c>
      <c r="R2159" t="s">
        <v>11180</v>
      </c>
      <c r="S2159" t="s">
        <v>9096</v>
      </c>
      <c r="T2159" t="s">
        <v>11183</v>
      </c>
      <c r="W2159">
        <v>1074.58</v>
      </c>
      <c r="X2159" t="s">
        <v>11333</v>
      </c>
      <c r="Z2159" t="s">
        <v>12844</v>
      </c>
      <c r="AB2159" t="s">
        <v>17224</v>
      </c>
      <c r="AC2159">
        <v>0</v>
      </c>
      <c r="AD2159" t="s">
        <v>19566</v>
      </c>
      <c r="AF2159">
        <v>13</v>
      </c>
      <c r="AG2159">
        <v>1</v>
      </c>
      <c r="AH2159">
        <v>1</v>
      </c>
      <c r="AI2159">
        <v>76.88</v>
      </c>
      <c r="AM2159">
        <v>13000</v>
      </c>
      <c r="AS2159">
        <v>0.5</v>
      </c>
      <c r="AT2159" t="s">
        <v>551</v>
      </c>
      <c r="AU2159" t="s">
        <v>100</v>
      </c>
    </row>
    <row r="2160" spans="1:48">
      <c r="A2160" s="1">
        <f>HYPERLINK("https://lsnyc.legalserver.org/matter/dynamic-profile/view/1904672","19-1904672")</f>
        <v>0</v>
      </c>
      <c r="B2160" t="s">
        <v>119</v>
      </c>
      <c r="C2160" t="s">
        <v>256</v>
      </c>
      <c r="D2160" t="s">
        <v>497</v>
      </c>
      <c r="F2160" t="s">
        <v>2125</v>
      </c>
      <c r="G2160" t="s">
        <v>3550</v>
      </c>
      <c r="H2160" t="s">
        <v>6095</v>
      </c>
      <c r="J2160" t="s">
        <v>9065</v>
      </c>
      <c r="K2160">
        <v>10456</v>
      </c>
      <c r="L2160" t="s">
        <v>9094</v>
      </c>
      <c r="M2160" t="s">
        <v>9095</v>
      </c>
      <c r="N2160" t="s">
        <v>9401</v>
      </c>
      <c r="O2160" t="s">
        <v>11134</v>
      </c>
      <c r="P2160" t="s">
        <v>11168</v>
      </c>
      <c r="R2160" t="s">
        <v>11180</v>
      </c>
      <c r="S2160" t="s">
        <v>9094</v>
      </c>
      <c r="T2160" t="s">
        <v>11183</v>
      </c>
      <c r="V2160" t="s">
        <v>11218</v>
      </c>
      <c r="W2160">
        <v>1238.23</v>
      </c>
      <c r="X2160" t="s">
        <v>11333</v>
      </c>
      <c r="Y2160" t="s">
        <v>11346</v>
      </c>
      <c r="Z2160" t="s">
        <v>12845</v>
      </c>
      <c r="AB2160" t="s">
        <v>17225</v>
      </c>
      <c r="AC2160">
        <v>131</v>
      </c>
      <c r="AD2160" t="s">
        <v>19566</v>
      </c>
      <c r="AE2160" t="s">
        <v>9144</v>
      </c>
      <c r="AF2160">
        <v>10</v>
      </c>
      <c r="AG2160">
        <v>1</v>
      </c>
      <c r="AH2160">
        <v>1</v>
      </c>
      <c r="AI2160">
        <v>76.88</v>
      </c>
      <c r="AL2160" t="s">
        <v>19614</v>
      </c>
      <c r="AM2160">
        <v>13000</v>
      </c>
      <c r="AS2160">
        <v>0</v>
      </c>
      <c r="AU2160" t="s">
        <v>163</v>
      </c>
      <c r="AV2160" t="s">
        <v>20733</v>
      </c>
    </row>
    <row r="2161" spans="1:48">
      <c r="A2161" s="1">
        <f>HYPERLINK("https://lsnyc.legalserver.org/matter/dynamic-profile/view/1905894","19-1905894")</f>
        <v>0</v>
      </c>
      <c r="B2161" t="s">
        <v>111</v>
      </c>
      <c r="C2161" t="s">
        <v>257</v>
      </c>
      <c r="D2161" t="s">
        <v>426</v>
      </c>
      <c r="E2161" t="s">
        <v>1135</v>
      </c>
      <c r="F2161" t="s">
        <v>2126</v>
      </c>
      <c r="G2161" t="s">
        <v>4339</v>
      </c>
      <c r="H2161" t="s">
        <v>5879</v>
      </c>
      <c r="I2161" t="s">
        <v>8151</v>
      </c>
      <c r="J2161" t="s">
        <v>9065</v>
      </c>
      <c r="K2161">
        <v>10456</v>
      </c>
      <c r="L2161" t="s">
        <v>9094</v>
      </c>
      <c r="M2161" t="s">
        <v>9095</v>
      </c>
      <c r="N2161" t="s">
        <v>9980</v>
      </c>
      <c r="O2161" t="s">
        <v>11129</v>
      </c>
      <c r="P2161" t="s">
        <v>11164</v>
      </c>
      <c r="Q2161" t="s">
        <v>11172</v>
      </c>
      <c r="R2161" t="s">
        <v>11180</v>
      </c>
      <c r="S2161" t="s">
        <v>9096</v>
      </c>
      <c r="T2161" t="s">
        <v>11183</v>
      </c>
      <c r="U2161" t="s">
        <v>11201</v>
      </c>
      <c r="W2161">
        <v>1511.88</v>
      </c>
      <c r="X2161" t="s">
        <v>11333</v>
      </c>
      <c r="Y2161" t="s">
        <v>11346</v>
      </c>
      <c r="Z2161" t="s">
        <v>12846</v>
      </c>
      <c r="AB2161" t="s">
        <v>17226</v>
      </c>
      <c r="AC2161">
        <v>30</v>
      </c>
      <c r="AD2161" t="s">
        <v>19566</v>
      </c>
      <c r="AE2161" t="s">
        <v>9144</v>
      </c>
      <c r="AF2161">
        <v>5</v>
      </c>
      <c r="AG2161">
        <v>1</v>
      </c>
      <c r="AH2161">
        <v>1</v>
      </c>
      <c r="AI2161">
        <v>76.88</v>
      </c>
      <c r="AL2161" t="s">
        <v>19614</v>
      </c>
      <c r="AM2161">
        <v>13000</v>
      </c>
      <c r="AS2161">
        <v>0.01</v>
      </c>
      <c r="AT2161" t="s">
        <v>1135</v>
      </c>
      <c r="AU2161" t="s">
        <v>20642</v>
      </c>
      <c r="AV2161" t="s">
        <v>20733</v>
      </c>
    </row>
    <row r="2162" spans="1:48">
      <c r="A2162" s="1">
        <f>HYPERLINK("https://lsnyc.legalserver.org/matter/dynamic-profile/view/1915005","19-1915005")</f>
        <v>0</v>
      </c>
      <c r="B2162" t="s">
        <v>119</v>
      </c>
      <c r="C2162" t="s">
        <v>256</v>
      </c>
      <c r="D2162" t="s">
        <v>377</v>
      </c>
      <c r="F2162" t="s">
        <v>2125</v>
      </c>
      <c r="G2162" t="s">
        <v>3550</v>
      </c>
      <c r="H2162" t="s">
        <v>6095</v>
      </c>
      <c r="J2162" t="s">
        <v>9065</v>
      </c>
      <c r="K2162">
        <v>10456</v>
      </c>
      <c r="L2162" t="s">
        <v>9094</v>
      </c>
      <c r="M2162" t="s">
        <v>9095</v>
      </c>
      <c r="P2162" t="s">
        <v>11168</v>
      </c>
      <c r="R2162" t="s">
        <v>11180</v>
      </c>
      <c r="S2162" t="s">
        <v>9094</v>
      </c>
      <c r="T2162" t="s">
        <v>11183</v>
      </c>
      <c r="W2162">
        <v>1238.23</v>
      </c>
      <c r="X2162" t="s">
        <v>11333</v>
      </c>
      <c r="Y2162" t="s">
        <v>11340</v>
      </c>
      <c r="Z2162" t="s">
        <v>12845</v>
      </c>
      <c r="AB2162" t="s">
        <v>17225</v>
      </c>
      <c r="AC2162">
        <v>131</v>
      </c>
      <c r="AD2162" t="s">
        <v>19566</v>
      </c>
      <c r="AE2162" t="s">
        <v>9144</v>
      </c>
      <c r="AF2162">
        <v>11</v>
      </c>
      <c r="AG2162">
        <v>1</v>
      </c>
      <c r="AH2162">
        <v>1</v>
      </c>
      <c r="AI2162">
        <v>76.88</v>
      </c>
      <c r="AL2162" t="s">
        <v>19614</v>
      </c>
      <c r="AM2162">
        <v>13000</v>
      </c>
      <c r="AS2162">
        <v>0</v>
      </c>
      <c r="AU2162" t="s">
        <v>20642</v>
      </c>
      <c r="AV2162" t="s">
        <v>20733</v>
      </c>
    </row>
    <row r="2163" spans="1:48">
      <c r="A2163" s="1">
        <f>HYPERLINK("https://lsnyc.legalserver.org/matter/dynamic-profile/view/1914885","19-1914885")</f>
        <v>0</v>
      </c>
      <c r="B2163" t="s">
        <v>119</v>
      </c>
      <c r="C2163" t="s">
        <v>257</v>
      </c>
      <c r="D2163" t="s">
        <v>563</v>
      </c>
      <c r="E2163" t="s">
        <v>321</v>
      </c>
      <c r="F2163" t="s">
        <v>1358</v>
      </c>
      <c r="G2163" t="s">
        <v>4340</v>
      </c>
      <c r="H2163" t="s">
        <v>6837</v>
      </c>
      <c r="I2163" t="s">
        <v>8171</v>
      </c>
      <c r="J2163" t="s">
        <v>9065</v>
      </c>
      <c r="K2163">
        <v>10452</v>
      </c>
      <c r="L2163" t="s">
        <v>9094</v>
      </c>
      <c r="M2163" t="s">
        <v>9095</v>
      </c>
      <c r="O2163" t="s">
        <v>11130</v>
      </c>
      <c r="P2163" t="s">
        <v>11164</v>
      </c>
      <c r="Q2163" t="s">
        <v>11172</v>
      </c>
      <c r="R2163" t="s">
        <v>11180</v>
      </c>
      <c r="T2163" t="s">
        <v>11183</v>
      </c>
      <c r="W2163">
        <v>896</v>
      </c>
      <c r="X2163" t="s">
        <v>11333</v>
      </c>
      <c r="Y2163" t="s">
        <v>11346</v>
      </c>
      <c r="Z2163" t="s">
        <v>12847</v>
      </c>
      <c r="AC2163">
        <v>89</v>
      </c>
      <c r="AD2163" t="s">
        <v>15441</v>
      </c>
      <c r="AE2163" t="s">
        <v>19580</v>
      </c>
      <c r="AF2163">
        <v>24</v>
      </c>
      <c r="AG2163">
        <v>2</v>
      </c>
      <c r="AH2163">
        <v>0</v>
      </c>
      <c r="AI2163">
        <v>76.88</v>
      </c>
      <c r="AL2163" t="s">
        <v>19615</v>
      </c>
      <c r="AM2163">
        <v>13000</v>
      </c>
      <c r="AS2163">
        <v>1</v>
      </c>
      <c r="AT2163" t="s">
        <v>321</v>
      </c>
      <c r="AU2163" t="s">
        <v>163</v>
      </c>
      <c r="AV2163" t="s">
        <v>20733</v>
      </c>
    </row>
    <row r="2164" spans="1:48">
      <c r="A2164" s="1">
        <f>HYPERLINK("https://lsnyc.legalserver.org/matter/dynamic-profile/view/1899008","19-1899008")</f>
        <v>0</v>
      </c>
      <c r="B2164" t="s">
        <v>115</v>
      </c>
      <c r="C2164" t="s">
        <v>257</v>
      </c>
      <c r="D2164" t="s">
        <v>310</v>
      </c>
      <c r="E2164" t="s">
        <v>669</v>
      </c>
      <c r="F2164" t="s">
        <v>1412</v>
      </c>
      <c r="G2164" t="s">
        <v>3765</v>
      </c>
      <c r="H2164" t="s">
        <v>6838</v>
      </c>
      <c r="I2164" t="s">
        <v>8570</v>
      </c>
      <c r="J2164" t="s">
        <v>9065</v>
      </c>
      <c r="K2164">
        <v>10452</v>
      </c>
      <c r="L2164" t="s">
        <v>9094</v>
      </c>
      <c r="M2164" t="s">
        <v>9095</v>
      </c>
      <c r="O2164" t="s">
        <v>11129</v>
      </c>
      <c r="P2164" t="s">
        <v>11167</v>
      </c>
      <c r="Q2164" t="s">
        <v>11172</v>
      </c>
      <c r="R2164" t="s">
        <v>11180</v>
      </c>
      <c r="S2164" t="s">
        <v>9096</v>
      </c>
      <c r="T2164" t="s">
        <v>11183</v>
      </c>
      <c r="U2164" t="s">
        <v>11200</v>
      </c>
      <c r="W2164">
        <v>1303</v>
      </c>
      <c r="X2164" t="s">
        <v>11333</v>
      </c>
      <c r="Y2164" t="s">
        <v>11345</v>
      </c>
      <c r="Z2164" t="s">
        <v>12848</v>
      </c>
      <c r="AB2164" t="s">
        <v>17227</v>
      </c>
      <c r="AC2164">
        <v>105</v>
      </c>
      <c r="AD2164" t="s">
        <v>19566</v>
      </c>
      <c r="AE2164" t="s">
        <v>19582</v>
      </c>
      <c r="AF2164">
        <v>1</v>
      </c>
      <c r="AG2164">
        <v>1</v>
      </c>
      <c r="AH2164">
        <v>1</v>
      </c>
      <c r="AI2164">
        <v>76.88</v>
      </c>
      <c r="AL2164" t="s">
        <v>19615</v>
      </c>
      <c r="AM2164">
        <v>12999.99</v>
      </c>
      <c r="AS2164">
        <v>1.2</v>
      </c>
      <c r="AT2164" t="s">
        <v>338</v>
      </c>
      <c r="AU2164" t="s">
        <v>20639</v>
      </c>
      <c r="AV2164" t="s">
        <v>20733</v>
      </c>
    </row>
    <row r="2165" spans="1:48">
      <c r="A2165" s="1">
        <f>HYPERLINK("https://lsnyc.legalserver.org/matter/dynamic-profile/view/1899473","19-1899473")</f>
        <v>0</v>
      </c>
      <c r="B2165" t="s">
        <v>119</v>
      </c>
      <c r="C2165" t="s">
        <v>257</v>
      </c>
      <c r="D2165" t="s">
        <v>454</v>
      </c>
      <c r="E2165" t="s">
        <v>664</v>
      </c>
      <c r="F2165" t="s">
        <v>2127</v>
      </c>
      <c r="G2165" t="s">
        <v>3674</v>
      </c>
      <c r="H2165" t="s">
        <v>6839</v>
      </c>
      <c r="I2165" t="s">
        <v>8140</v>
      </c>
      <c r="J2165" t="s">
        <v>9065</v>
      </c>
      <c r="K2165">
        <v>10456</v>
      </c>
      <c r="L2165" t="s">
        <v>9094</v>
      </c>
      <c r="M2165" t="s">
        <v>9095</v>
      </c>
      <c r="P2165" t="s">
        <v>11167</v>
      </c>
      <c r="Q2165" t="s">
        <v>11173</v>
      </c>
      <c r="R2165" t="s">
        <v>11180</v>
      </c>
      <c r="S2165" t="s">
        <v>9096</v>
      </c>
      <c r="T2165" t="s">
        <v>11183</v>
      </c>
      <c r="V2165" t="s">
        <v>11218</v>
      </c>
      <c r="W2165">
        <v>0</v>
      </c>
      <c r="X2165" t="s">
        <v>11333</v>
      </c>
      <c r="Y2165" t="s">
        <v>11346</v>
      </c>
      <c r="Z2165" t="s">
        <v>12849</v>
      </c>
      <c r="AB2165" t="s">
        <v>17228</v>
      </c>
      <c r="AC2165">
        <v>72</v>
      </c>
      <c r="AD2165" t="s">
        <v>15441</v>
      </c>
      <c r="AE2165" t="s">
        <v>19580</v>
      </c>
      <c r="AF2165">
        <v>25</v>
      </c>
      <c r="AG2165">
        <v>1</v>
      </c>
      <c r="AH2165">
        <v>0</v>
      </c>
      <c r="AI2165">
        <v>76.95999999999999</v>
      </c>
      <c r="AL2165" t="s">
        <v>19615</v>
      </c>
      <c r="AM2165">
        <v>9612</v>
      </c>
      <c r="AS2165">
        <v>0.5</v>
      </c>
      <c r="AT2165" t="s">
        <v>279</v>
      </c>
      <c r="AU2165" t="s">
        <v>163</v>
      </c>
      <c r="AV2165" t="s">
        <v>20733</v>
      </c>
    </row>
    <row r="2166" spans="1:48">
      <c r="A2166" s="1">
        <f>HYPERLINK("https://lsnyc.legalserver.org/matter/dynamic-profile/view/1864049","18-1864049")</f>
        <v>0</v>
      </c>
      <c r="B2166" t="s">
        <v>140</v>
      </c>
      <c r="C2166" t="s">
        <v>256</v>
      </c>
      <c r="D2166" t="s">
        <v>505</v>
      </c>
      <c r="F2166" t="s">
        <v>1576</v>
      </c>
      <c r="G2166" t="s">
        <v>4341</v>
      </c>
      <c r="H2166" t="s">
        <v>5999</v>
      </c>
      <c r="I2166" t="s">
        <v>8149</v>
      </c>
      <c r="J2166" t="s">
        <v>9067</v>
      </c>
      <c r="K2166">
        <v>10040</v>
      </c>
      <c r="L2166" t="s">
        <v>9094</v>
      </c>
      <c r="M2166" t="s">
        <v>9095</v>
      </c>
      <c r="N2166" t="s">
        <v>9314</v>
      </c>
      <c r="O2166" t="s">
        <v>11130</v>
      </c>
      <c r="P2166" t="s">
        <v>11165</v>
      </c>
      <c r="R2166" t="s">
        <v>11180</v>
      </c>
      <c r="S2166" t="s">
        <v>9094</v>
      </c>
      <c r="T2166" t="s">
        <v>11183</v>
      </c>
      <c r="V2166" t="s">
        <v>505</v>
      </c>
      <c r="W2166">
        <v>1074</v>
      </c>
      <c r="X2166" t="s">
        <v>11335</v>
      </c>
      <c r="Y2166" t="s">
        <v>11340</v>
      </c>
      <c r="Z2166" t="s">
        <v>12850</v>
      </c>
      <c r="AB2166" t="s">
        <v>17229</v>
      </c>
      <c r="AC2166">
        <v>44</v>
      </c>
      <c r="AD2166" t="s">
        <v>19566</v>
      </c>
      <c r="AE2166" t="s">
        <v>9144</v>
      </c>
      <c r="AF2166">
        <v>20</v>
      </c>
      <c r="AG2166">
        <v>2</v>
      </c>
      <c r="AH2166">
        <v>1</v>
      </c>
      <c r="AI2166">
        <v>77</v>
      </c>
      <c r="AJ2166" t="s">
        <v>982</v>
      </c>
      <c r="AL2166" t="s">
        <v>19615</v>
      </c>
      <c r="AM2166">
        <v>16000</v>
      </c>
      <c r="AS2166">
        <v>0.02</v>
      </c>
      <c r="AT2166" t="s">
        <v>487</v>
      </c>
      <c r="AU2166" t="s">
        <v>130</v>
      </c>
      <c r="AV2166" t="s">
        <v>20733</v>
      </c>
    </row>
    <row r="2167" spans="1:48">
      <c r="A2167" s="1">
        <f>HYPERLINK("https://lsnyc.legalserver.org/matter/dynamic-profile/view/1861081","18-1861081")</f>
        <v>0</v>
      </c>
      <c r="B2167" t="s">
        <v>56</v>
      </c>
      <c r="C2167" t="s">
        <v>256</v>
      </c>
      <c r="D2167" t="s">
        <v>485</v>
      </c>
      <c r="F2167" t="s">
        <v>1494</v>
      </c>
      <c r="G2167" t="s">
        <v>4342</v>
      </c>
      <c r="H2167" t="s">
        <v>6840</v>
      </c>
      <c r="I2167" t="s">
        <v>8344</v>
      </c>
      <c r="J2167" t="s">
        <v>9088</v>
      </c>
      <c r="K2167">
        <v>11369</v>
      </c>
      <c r="L2167" t="s">
        <v>9094</v>
      </c>
      <c r="M2167" t="s">
        <v>9095</v>
      </c>
      <c r="N2167" t="s">
        <v>9981</v>
      </c>
      <c r="O2167" t="s">
        <v>11129</v>
      </c>
      <c r="P2167" t="s">
        <v>11165</v>
      </c>
      <c r="R2167" t="s">
        <v>11180</v>
      </c>
      <c r="S2167" t="s">
        <v>9096</v>
      </c>
      <c r="T2167" t="s">
        <v>11183</v>
      </c>
      <c r="V2167" t="s">
        <v>485</v>
      </c>
      <c r="W2167">
        <v>800</v>
      </c>
      <c r="X2167" t="s">
        <v>11331</v>
      </c>
      <c r="Y2167" t="s">
        <v>11340</v>
      </c>
      <c r="Z2167" t="s">
        <v>12851</v>
      </c>
      <c r="AA2167" t="s">
        <v>9171</v>
      </c>
      <c r="AB2167" t="s">
        <v>17230</v>
      </c>
      <c r="AC2167">
        <v>60</v>
      </c>
      <c r="AD2167" t="s">
        <v>15441</v>
      </c>
      <c r="AE2167" t="s">
        <v>11157</v>
      </c>
      <c r="AF2167">
        <v>6</v>
      </c>
      <c r="AG2167">
        <v>1</v>
      </c>
      <c r="AH2167">
        <v>0</v>
      </c>
      <c r="AI2167">
        <v>77.06</v>
      </c>
      <c r="AL2167" t="s">
        <v>19614</v>
      </c>
      <c r="AM2167">
        <v>9355.200000000001</v>
      </c>
      <c r="AS2167">
        <v>15.35</v>
      </c>
      <c r="AT2167" t="s">
        <v>959</v>
      </c>
      <c r="AU2167" t="s">
        <v>56</v>
      </c>
    </row>
    <row r="2168" spans="1:48">
      <c r="A2168" s="1">
        <f>HYPERLINK("https://lsnyc.legalserver.org/matter/dynamic-profile/view/1874174","18-1874174")</f>
        <v>0</v>
      </c>
      <c r="B2168" t="s">
        <v>72</v>
      </c>
      <c r="C2168" t="s">
        <v>257</v>
      </c>
      <c r="D2168" t="s">
        <v>585</v>
      </c>
      <c r="E2168" t="s">
        <v>457</v>
      </c>
      <c r="F2168" t="s">
        <v>2128</v>
      </c>
      <c r="G2168" t="s">
        <v>3736</v>
      </c>
      <c r="H2168" t="s">
        <v>6841</v>
      </c>
      <c r="I2168" t="s">
        <v>8161</v>
      </c>
      <c r="J2168" t="s">
        <v>9059</v>
      </c>
      <c r="K2168">
        <v>11208</v>
      </c>
      <c r="L2168" t="s">
        <v>9094</v>
      </c>
      <c r="M2168" t="s">
        <v>9094</v>
      </c>
      <c r="N2168" t="s">
        <v>9982</v>
      </c>
      <c r="O2168" t="s">
        <v>11129</v>
      </c>
      <c r="P2168" t="s">
        <v>11165</v>
      </c>
      <c r="Q2168" t="s">
        <v>11174</v>
      </c>
      <c r="R2168" t="s">
        <v>11180</v>
      </c>
      <c r="T2168" t="s">
        <v>11183</v>
      </c>
      <c r="V2168" t="s">
        <v>585</v>
      </c>
      <c r="W2168">
        <v>180</v>
      </c>
      <c r="X2168" t="s">
        <v>11332</v>
      </c>
      <c r="Y2168" t="s">
        <v>11344</v>
      </c>
      <c r="Z2168" t="s">
        <v>12852</v>
      </c>
      <c r="AC2168">
        <v>4</v>
      </c>
      <c r="AF2168">
        <v>15</v>
      </c>
      <c r="AG2168">
        <v>1</v>
      </c>
      <c r="AH2168">
        <v>0</v>
      </c>
      <c r="AI2168">
        <v>77.09999999999999</v>
      </c>
      <c r="AL2168" t="s">
        <v>19614</v>
      </c>
      <c r="AM2168">
        <v>9360</v>
      </c>
      <c r="AS2168">
        <v>61.75</v>
      </c>
      <c r="AT2168" t="s">
        <v>300</v>
      </c>
      <c r="AU2168" t="s">
        <v>20625</v>
      </c>
      <c r="AV2168" t="s">
        <v>20733</v>
      </c>
    </row>
    <row r="2169" spans="1:48">
      <c r="A2169" s="1">
        <f>HYPERLINK("https://lsnyc.legalserver.org/matter/dynamic-profile/view/1876131","18-1876131")</f>
        <v>0</v>
      </c>
      <c r="B2169" t="s">
        <v>136</v>
      </c>
      <c r="C2169" t="s">
        <v>256</v>
      </c>
      <c r="D2169" t="s">
        <v>501</v>
      </c>
      <c r="F2169" t="s">
        <v>1450</v>
      </c>
      <c r="G2169" t="s">
        <v>4343</v>
      </c>
      <c r="H2169" t="s">
        <v>6379</v>
      </c>
      <c r="I2169" t="s">
        <v>8164</v>
      </c>
      <c r="J2169" t="s">
        <v>9067</v>
      </c>
      <c r="K2169">
        <v>10031</v>
      </c>
      <c r="L2169" t="s">
        <v>9094</v>
      </c>
      <c r="M2169" t="s">
        <v>9094</v>
      </c>
      <c r="O2169" t="s">
        <v>9121</v>
      </c>
      <c r="P2169" t="s">
        <v>11164</v>
      </c>
      <c r="R2169" t="s">
        <v>11180</v>
      </c>
      <c r="S2169" t="s">
        <v>9094</v>
      </c>
      <c r="T2169" t="s">
        <v>11183</v>
      </c>
      <c r="U2169" t="s">
        <v>11201</v>
      </c>
      <c r="V2169" t="s">
        <v>501</v>
      </c>
      <c r="W2169">
        <v>144</v>
      </c>
      <c r="X2169" t="s">
        <v>11335</v>
      </c>
      <c r="Y2169" t="s">
        <v>11339</v>
      </c>
      <c r="Z2169" t="s">
        <v>11645</v>
      </c>
      <c r="AC2169">
        <v>42</v>
      </c>
      <c r="AD2169" t="s">
        <v>19567</v>
      </c>
      <c r="AE2169" t="s">
        <v>19580</v>
      </c>
      <c r="AF2169">
        <v>23</v>
      </c>
      <c r="AG2169">
        <v>1</v>
      </c>
      <c r="AH2169">
        <v>0</v>
      </c>
      <c r="AI2169">
        <v>77.09999999999999</v>
      </c>
      <c r="AL2169" t="s">
        <v>19614</v>
      </c>
      <c r="AM2169">
        <v>9360</v>
      </c>
      <c r="AN2169" t="s">
        <v>19697</v>
      </c>
      <c r="AS2169">
        <v>0.2</v>
      </c>
      <c r="AT2169" t="s">
        <v>448</v>
      </c>
      <c r="AU2169" t="s">
        <v>20657</v>
      </c>
    </row>
    <row r="2170" spans="1:48">
      <c r="A2170" s="1">
        <f>HYPERLINK("https://lsnyc.legalserver.org/matter/dynamic-profile/view/1887291","19-1887291")</f>
        <v>0</v>
      </c>
      <c r="B2170" t="s">
        <v>65</v>
      </c>
      <c r="C2170" t="s">
        <v>256</v>
      </c>
      <c r="D2170" t="s">
        <v>402</v>
      </c>
      <c r="F2170" t="s">
        <v>1144</v>
      </c>
      <c r="G2170" t="s">
        <v>3490</v>
      </c>
      <c r="H2170" t="s">
        <v>5843</v>
      </c>
      <c r="I2170" t="s">
        <v>8207</v>
      </c>
      <c r="J2170" t="s">
        <v>9059</v>
      </c>
      <c r="K2170">
        <v>11203</v>
      </c>
      <c r="L2170" t="s">
        <v>9094</v>
      </c>
      <c r="M2170" t="s">
        <v>9096</v>
      </c>
      <c r="N2170" t="s">
        <v>9983</v>
      </c>
      <c r="O2170" t="s">
        <v>11129</v>
      </c>
      <c r="P2170" t="s">
        <v>11165</v>
      </c>
      <c r="R2170" t="s">
        <v>11180</v>
      </c>
      <c r="S2170" t="s">
        <v>9096</v>
      </c>
      <c r="T2170" t="s">
        <v>11190</v>
      </c>
      <c r="U2170" t="s">
        <v>11201</v>
      </c>
      <c r="V2170" t="s">
        <v>402</v>
      </c>
      <c r="W2170">
        <v>180</v>
      </c>
      <c r="X2170" t="s">
        <v>11332</v>
      </c>
      <c r="Y2170" t="s">
        <v>11340</v>
      </c>
      <c r="Z2170" t="s">
        <v>11543</v>
      </c>
      <c r="AB2170" t="s">
        <v>16038</v>
      </c>
      <c r="AC2170">
        <v>101</v>
      </c>
      <c r="AD2170" t="s">
        <v>19575</v>
      </c>
      <c r="AE2170" t="s">
        <v>19580</v>
      </c>
      <c r="AF2170">
        <v>8</v>
      </c>
      <c r="AG2170">
        <v>1</v>
      </c>
      <c r="AH2170">
        <v>0</v>
      </c>
      <c r="AI2170">
        <v>77.2</v>
      </c>
      <c r="AM2170">
        <v>9372</v>
      </c>
      <c r="AO2170" t="s">
        <v>20297</v>
      </c>
      <c r="AS2170">
        <v>26.5</v>
      </c>
      <c r="AT2170" t="s">
        <v>331</v>
      </c>
      <c r="AU2170" t="s">
        <v>65</v>
      </c>
      <c r="AV2170" t="s">
        <v>20733</v>
      </c>
    </row>
    <row r="2171" spans="1:48">
      <c r="A2171" s="1">
        <f>HYPERLINK("https://lsnyc.legalserver.org/matter/dynamic-profile/view/1903611","19-1903611")</f>
        <v>0</v>
      </c>
      <c r="B2171" t="s">
        <v>100</v>
      </c>
      <c r="C2171" t="s">
        <v>257</v>
      </c>
      <c r="D2171" t="s">
        <v>551</v>
      </c>
      <c r="E2171" t="s">
        <v>551</v>
      </c>
      <c r="F2171" t="s">
        <v>2129</v>
      </c>
      <c r="G2171" t="s">
        <v>4344</v>
      </c>
      <c r="H2171" t="s">
        <v>6842</v>
      </c>
      <c r="J2171" t="s">
        <v>9065</v>
      </c>
      <c r="K2171">
        <v>10453</v>
      </c>
      <c r="L2171" t="s">
        <v>9095</v>
      </c>
      <c r="M2171" t="s">
        <v>9095</v>
      </c>
      <c r="O2171" t="s">
        <v>11130</v>
      </c>
      <c r="P2171" t="s">
        <v>11164</v>
      </c>
      <c r="Q2171" t="s">
        <v>11172</v>
      </c>
      <c r="R2171" t="s">
        <v>11180</v>
      </c>
      <c r="T2171" t="s">
        <v>11183</v>
      </c>
      <c r="W2171">
        <v>0</v>
      </c>
      <c r="X2171" t="s">
        <v>11333</v>
      </c>
      <c r="Y2171" t="s">
        <v>11338</v>
      </c>
      <c r="Z2171" t="s">
        <v>12853</v>
      </c>
      <c r="AB2171" t="s">
        <v>17231</v>
      </c>
      <c r="AC2171">
        <v>49</v>
      </c>
      <c r="AF2171">
        <v>6</v>
      </c>
      <c r="AG2171">
        <v>2</v>
      </c>
      <c r="AH2171">
        <v>0</v>
      </c>
      <c r="AI2171">
        <v>77.20999999999999</v>
      </c>
      <c r="AL2171" t="s">
        <v>19614</v>
      </c>
      <c r="AM2171">
        <v>13056</v>
      </c>
      <c r="AS2171">
        <v>0.5</v>
      </c>
      <c r="AT2171" t="s">
        <v>551</v>
      </c>
      <c r="AU2171" t="s">
        <v>100</v>
      </c>
    </row>
    <row r="2172" spans="1:48">
      <c r="A2172" s="1">
        <f>HYPERLINK("https://lsnyc.legalserver.org/matter/dynamic-profile/view/1875101","18-1875101")</f>
        <v>0</v>
      </c>
      <c r="B2172" t="s">
        <v>136</v>
      </c>
      <c r="C2172" t="s">
        <v>256</v>
      </c>
      <c r="D2172" t="s">
        <v>624</v>
      </c>
      <c r="F2172" t="s">
        <v>1468</v>
      </c>
      <c r="G2172" t="s">
        <v>3398</v>
      </c>
      <c r="H2172" t="s">
        <v>6379</v>
      </c>
      <c r="I2172" t="s">
        <v>8213</v>
      </c>
      <c r="J2172" t="s">
        <v>9067</v>
      </c>
      <c r="K2172">
        <v>10031</v>
      </c>
      <c r="L2172" t="s">
        <v>9094</v>
      </c>
      <c r="M2172" t="s">
        <v>9094</v>
      </c>
      <c r="N2172" t="s">
        <v>9984</v>
      </c>
      <c r="O2172" t="s">
        <v>11130</v>
      </c>
      <c r="P2172" t="s">
        <v>11165</v>
      </c>
      <c r="R2172" t="s">
        <v>11180</v>
      </c>
      <c r="S2172" t="s">
        <v>9094</v>
      </c>
      <c r="T2172" t="s">
        <v>11183</v>
      </c>
      <c r="U2172" t="s">
        <v>11201</v>
      </c>
      <c r="V2172" t="s">
        <v>624</v>
      </c>
      <c r="W2172">
        <v>0</v>
      </c>
      <c r="X2172" t="s">
        <v>11335</v>
      </c>
      <c r="Y2172" t="s">
        <v>11339</v>
      </c>
      <c r="Z2172" t="s">
        <v>12854</v>
      </c>
      <c r="AC2172">
        <v>42</v>
      </c>
      <c r="AD2172" t="s">
        <v>19567</v>
      </c>
      <c r="AE2172" t="s">
        <v>19580</v>
      </c>
      <c r="AF2172">
        <v>31</v>
      </c>
      <c r="AG2172">
        <v>1</v>
      </c>
      <c r="AH2172">
        <v>0</v>
      </c>
      <c r="AI2172">
        <v>77.27</v>
      </c>
      <c r="AL2172" t="s">
        <v>19614</v>
      </c>
      <c r="AM2172">
        <v>9380.040000000001</v>
      </c>
      <c r="AN2172" t="s">
        <v>19848</v>
      </c>
      <c r="AO2172" t="s">
        <v>20293</v>
      </c>
      <c r="AS2172">
        <v>1.25</v>
      </c>
      <c r="AT2172" t="s">
        <v>271</v>
      </c>
      <c r="AU2172" t="s">
        <v>20657</v>
      </c>
      <c r="AV2172" t="s">
        <v>20733</v>
      </c>
    </row>
    <row r="2173" spans="1:48">
      <c r="A2173" s="1">
        <f>HYPERLINK("https://lsnyc.legalserver.org/matter/dynamic-profile/view/1866694","18-1866694")</f>
        <v>0</v>
      </c>
      <c r="B2173" t="s">
        <v>131</v>
      </c>
      <c r="C2173" t="s">
        <v>256</v>
      </c>
      <c r="D2173" t="s">
        <v>901</v>
      </c>
      <c r="F2173" t="s">
        <v>1749</v>
      </c>
      <c r="G2173" t="s">
        <v>3923</v>
      </c>
      <c r="H2173" t="s">
        <v>6350</v>
      </c>
      <c r="I2173" t="s">
        <v>8171</v>
      </c>
      <c r="J2173" t="s">
        <v>9067</v>
      </c>
      <c r="K2173">
        <v>10034</v>
      </c>
      <c r="L2173" t="s">
        <v>9095</v>
      </c>
      <c r="M2173" t="s">
        <v>9095</v>
      </c>
      <c r="N2173" t="s">
        <v>9609</v>
      </c>
      <c r="O2173" t="s">
        <v>11129</v>
      </c>
      <c r="P2173" t="s">
        <v>11164</v>
      </c>
      <c r="R2173" t="s">
        <v>11180</v>
      </c>
      <c r="S2173" t="s">
        <v>9094</v>
      </c>
      <c r="T2173" t="s">
        <v>11183</v>
      </c>
      <c r="U2173" t="s">
        <v>11201</v>
      </c>
      <c r="V2173" t="s">
        <v>901</v>
      </c>
      <c r="W2173">
        <v>1093</v>
      </c>
      <c r="X2173" t="s">
        <v>11335</v>
      </c>
      <c r="Y2173" t="s">
        <v>11348</v>
      </c>
      <c r="Z2173" t="s">
        <v>12150</v>
      </c>
      <c r="AA2173" t="s">
        <v>15659</v>
      </c>
      <c r="AB2173" t="s">
        <v>16584</v>
      </c>
      <c r="AC2173">
        <v>36</v>
      </c>
      <c r="AD2173" t="s">
        <v>19566</v>
      </c>
      <c r="AE2173" t="s">
        <v>9144</v>
      </c>
      <c r="AF2173">
        <v>18</v>
      </c>
      <c r="AG2173">
        <v>1</v>
      </c>
      <c r="AH2173">
        <v>0</v>
      </c>
      <c r="AI2173">
        <v>77.3</v>
      </c>
      <c r="AL2173" t="s">
        <v>19614</v>
      </c>
      <c r="AM2173">
        <v>9384</v>
      </c>
      <c r="AS2173">
        <v>1.6</v>
      </c>
      <c r="AT2173" t="s">
        <v>622</v>
      </c>
      <c r="AU2173" t="s">
        <v>20623</v>
      </c>
    </row>
    <row r="2174" spans="1:48">
      <c r="A2174" s="1">
        <f>HYPERLINK("https://lsnyc.legalserver.org/matter/dynamic-profile/view/1891991","19-1891991")</f>
        <v>0</v>
      </c>
      <c r="B2174" t="s">
        <v>70</v>
      </c>
      <c r="C2174" t="s">
        <v>256</v>
      </c>
      <c r="D2174" t="s">
        <v>868</v>
      </c>
      <c r="F2174" t="s">
        <v>1518</v>
      </c>
      <c r="G2174" t="s">
        <v>4345</v>
      </c>
      <c r="H2174" t="s">
        <v>5750</v>
      </c>
      <c r="I2174" t="s">
        <v>8571</v>
      </c>
      <c r="J2174" t="s">
        <v>9059</v>
      </c>
      <c r="K2174">
        <v>11233</v>
      </c>
      <c r="L2174" t="s">
        <v>9094</v>
      </c>
      <c r="M2174" t="s">
        <v>9096</v>
      </c>
      <c r="N2174" t="s">
        <v>9145</v>
      </c>
      <c r="O2174" t="s">
        <v>11134</v>
      </c>
      <c r="P2174" t="s">
        <v>11168</v>
      </c>
      <c r="R2174" t="s">
        <v>11180</v>
      </c>
      <c r="S2174" t="s">
        <v>9094</v>
      </c>
      <c r="T2174" t="s">
        <v>11183</v>
      </c>
      <c r="U2174" t="s">
        <v>11201</v>
      </c>
      <c r="V2174" t="s">
        <v>482</v>
      </c>
      <c r="W2174">
        <v>1040.6</v>
      </c>
      <c r="X2174" t="s">
        <v>11332</v>
      </c>
      <c r="Y2174" t="s">
        <v>11157</v>
      </c>
      <c r="Z2174" t="s">
        <v>12855</v>
      </c>
      <c r="AC2174">
        <v>359</v>
      </c>
      <c r="AD2174" t="s">
        <v>19566</v>
      </c>
      <c r="AE2174" t="s">
        <v>19580</v>
      </c>
      <c r="AF2174">
        <v>29</v>
      </c>
      <c r="AG2174">
        <v>2</v>
      </c>
      <c r="AH2174">
        <v>0</v>
      </c>
      <c r="AI2174">
        <v>77.31999999999999</v>
      </c>
      <c r="AL2174" t="s">
        <v>19614</v>
      </c>
      <c r="AM2174">
        <v>13074</v>
      </c>
      <c r="AN2174" t="s">
        <v>19849</v>
      </c>
      <c r="AS2174">
        <v>0</v>
      </c>
      <c r="AU2174" t="s">
        <v>79</v>
      </c>
    </row>
    <row r="2175" spans="1:48">
      <c r="A2175" s="1">
        <f>HYPERLINK("https://lsnyc.legalserver.org/matter/dynamic-profile/view/1891999","19-1891999")</f>
        <v>0</v>
      </c>
      <c r="B2175" t="s">
        <v>70</v>
      </c>
      <c r="C2175" t="s">
        <v>256</v>
      </c>
      <c r="D2175" t="s">
        <v>868</v>
      </c>
      <c r="F2175" t="s">
        <v>1518</v>
      </c>
      <c r="G2175" t="s">
        <v>4345</v>
      </c>
      <c r="H2175" t="s">
        <v>5750</v>
      </c>
      <c r="I2175" t="s">
        <v>8571</v>
      </c>
      <c r="J2175" t="s">
        <v>9059</v>
      </c>
      <c r="K2175">
        <v>11233</v>
      </c>
      <c r="L2175" t="s">
        <v>9094</v>
      </c>
      <c r="M2175" t="s">
        <v>9096</v>
      </c>
      <c r="O2175" t="s">
        <v>11137</v>
      </c>
      <c r="P2175" t="s">
        <v>11167</v>
      </c>
      <c r="R2175" t="s">
        <v>11180</v>
      </c>
      <c r="S2175" t="s">
        <v>9094</v>
      </c>
      <c r="T2175" t="s">
        <v>11183</v>
      </c>
      <c r="U2175" t="s">
        <v>11201</v>
      </c>
      <c r="V2175" t="s">
        <v>749</v>
      </c>
      <c r="W2175">
        <v>1040.6</v>
      </c>
      <c r="X2175" t="s">
        <v>11332</v>
      </c>
      <c r="Y2175" t="s">
        <v>11157</v>
      </c>
      <c r="Z2175" t="s">
        <v>12855</v>
      </c>
      <c r="AC2175">
        <v>359</v>
      </c>
      <c r="AD2175" t="s">
        <v>19566</v>
      </c>
      <c r="AE2175" t="s">
        <v>19580</v>
      </c>
      <c r="AF2175">
        <v>29</v>
      </c>
      <c r="AG2175">
        <v>2</v>
      </c>
      <c r="AH2175">
        <v>0</v>
      </c>
      <c r="AI2175">
        <v>77.31999999999999</v>
      </c>
      <c r="AL2175" t="s">
        <v>19614</v>
      </c>
      <c r="AM2175">
        <v>13074</v>
      </c>
      <c r="AN2175" t="s">
        <v>19850</v>
      </c>
      <c r="AS2175">
        <v>0</v>
      </c>
      <c r="AU2175" t="s">
        <v>79</v>
      </c>
    </row>
    <row r="2176" spans="1:48">
      <c r="A2176" s="1">
        <f>HYPERLINK("https://lsnyc.legalserver.org/matter/dynamic-profile/view/1899942","19-1899942")</f>
        <v>0</v>
      </c>
      <c r="B2176" t="s">
        <v>113</v>
      </c>
      <c r="C2176" t="s">
        <v>256</v>
      </c>
      <c r="D2176" t="s">
        <v>293</v>
      </c>
      <c r="F2176" t="s">
        <v>1212</v>
      </c>
      <c r="G2176" t="s">
        <v>4346</v>
      </c>
      <c r="H2176" t="s">
        <v>5864</v>
      </c>
      <c r="I2176" t="s">
        <v>8572</v>
      </c>
      <c r="J2176" t="s">
        <v>9065</v>
      </c>
      <c r="K2176">
        <v>10460</v>
      </c>
      <c r="L2176" t="s">
        <v>9094</v>
      </c>
      <c r="M2176" t="s">
        <v>9095</v>
      </c>
      <c r="O2176" t="s">
        <v>9121</v>
      </c>
      <c r="P2176" t="s">
        <v>11166</v>
      </c>
      <c r="R2176" t="s">
        <v>11180</v>
      </c>
      <c r="S2176" t="s">
        <v>9094</v>
      </c>
      <c r="T2176" t="s">
        <v>11183</v>
      </c>
      <c r="V2176" t="s">
        <v>11218</v>
      </c>
      <c r="W2176">
        <v>263</v>
      </c>
      <c r="X2176" t="s">
        <v>11333</v>
      </c>
      <c r="Y2176" t="s">
        <v>11346</v>
      </c>
      <c r="Z2176" t="s">
        <v>12856</v>
      </c>
      <c r="AB2176" t="s">
        <v>17232</v>
      </c>
      <c r="AC2176">
        <v>168</v>
      </c>
      <c r="AD2176" t="s">
        <v>19567</v>
      </c>
      <c r="AE2176" t="s">
        <v>19580</v>
      </c>
      <c r="AF2176">
        <v>44</v>
      </c>
      <c r="AG2176">
        <v>1</v>
      </c>
      <c r="AH2176">
        <v>0</v>
      </c>
      <c r="AI2176">
        <v>77.34</v>
      </c>
      <c r="AL2176" t="s">
        <v>19614</v>
      </c>
      <c r="AM2176">
        <v>9660</v>
      </c>
      <c r="AS2176">
        <v>0</v>
      </c>
      <c r="AU2176" t="s">
        <v>220</v>
      </c>
    </row>
    <row r="2177" spans="1:48">
      <c r="A2177" s="1">
        <f>HYPERLINK("https://lsnyc.legalserver.org/matter/dynamic-profile/view/1906928","19-1906928")</f>
        <v>0</v>
      </c>
      <c r="B2177" t="s">
        <v>117</v>
      </c>
      <c r="C2177" t="s">
        <v>256</v>
      </c>
      <c r="D2177" t="s">
        <v>370</v>
      </c>
      <c r="F2177" t="s">
        <v>2113</v>
      </c>
      <c r="G2177" t="s">
        <v>3499</v>
      </c>
      <c r="H2177" t="s">
        <v>5899</v>
      </c>
      <c r="I2177" t="s">
        <v>8140</v>
      </c>
      <c r="J2177" t="s">
        <v>9065</v>
      </c>
      <c r="K2177">
        <v>10452</v>
      </c>
      <c r="L2177" t="s">
        <v>9094</v>
      </c>
      <c r="M2177" t="s">
        <v>9095</v>
      </c>
      <c r="R2177" t="s">
        <v>11180</v>
      </c>
      <c r="S2177" t="s">
        <v>9094</v>
      </c>
      <c r="T2177" t="s">
        <v>11183</v>
      </c>
      <c r="W2177">
        <v>0</v>
      </c>
      <c r="X2177" t="s">
        <v>11333</v>
      </c>
      <c r="Y2177" t="s">
        <v>11339</v>
      </c>
      <c r="Z2177" t="s">
        <v>12821</v>
      </c>
      <c r="AB2177" t="s">
        <v>17202</v>
      </c>
      <c r="AC2177">
        <v>63</v>
      </c>
      <c r="AD2177" t="s">
        <v>15441</v>
      </c>
      <c r="AE2177" t="s">
        <v>19580</v>
      </c>
      <c r="AF2177">
        <v>20</v>
      </c>
      <c r="AG2177">
        <v>1</v>
      </c>
      <c r="AH2177">
        <v>0</v>
      </c>
      <c r="AI2177">
        <v>77.34</v>
      </c>
      <c r="AL2177" t="s">
        <v>19615</v>
      </c>
      <c r="AM2177">
        <v>9660</v>
      </c>
      <c r="AS2177">
        <v>0</v>
      </c>
      <c r="AU2177" t="s">
        <v>220</v>
      </c>
    </row>
    <row r="2178" spans="1:48">
      <c r="A2178" s="1">
        <f>HYPERLINK("https://lsnyc.legalserver.org/matter/dynamic-profile/view/1914804","19-1914804")</f>
        <v>0</v>
      </c>
      <c r="B2178" t="s">
        <v>117</v>
      </c>
      <c r="C2178" t="s">
        <v>256</v>
      </c>
      <c r="D2178" t="s">
        <v>632</v>
      </c>
      <c r="F2178" t="s">
        <v>2113</v>
      </c>
      <c r="G2178" t="s">
        <v>3499</v>
      </c>
      <c r="H2178" t="s">
        <v>5899</v>
      </c>
      <c r="I2178" t="s">
        <v>8140</v>
      </c>
      <c r="J2178" t="s">
        <v>9065</v>
      </c>
      <c r="K2178">
        <v>10452</v>
      </c>
      <c r="L2178" t="s">
        <v>9094</v>
      </c>
      <c r="M2178" t="s">
        <v>9095</v>
      </c>
      <c r="R2178" t="s">
        <v>11180</v>
      </c>
      <c r="S2178" t="s">
        <v>9094</v>
      </c>
      <c r="T2178" t="s">
        <v>11183</v>
      </c>
      <c r="W2178">
        <v>0</v>
      </c>
      <c r="X2178" t="s">
        <v>11333</v>
      </c>
      <c r="Y2178" t="s">
        <v>11339</v>
      </c>
      <c r="Z2178" t="s">
        <v>12821</v>
      </c>
      <c r="AB2178" t="s">
        <v>17202</v>
      </c>
      <c r="AC2178">
        <v>63</v>
      </c>
      <c r="AD2178" t="s">
        <v>15441</v>
      </c>
      <c r="AE2178" t="s">
        <v>19580</v>
      </c>
      <c r="AF2178">
        <v>20</v>
      </c>
      <c r="AG2178">
        <v>1</v>
      </c>
      <c r="AH2178">
        <v>0</v>
      </c>
      <c r="AI2178">
        <v>77.34</v>
      </c>
      <c r="AL2178" t="s">
        <v>19615</v>
      </c>
      <c r="AM2178">
        <v>9660</v>
      </c>
      <c r="AS2178">
        <v>0</v>
      </c>
      <c r="AU2178" t="s">
        <v>163</v>
      </c>
      <c r="AV2178" t="s">
        <v>20733</v>
      </c>
    </row>
    <row r="2179" spans="1:48">
      <c r="A2179" s="1">
        <f>HYPERLINK("https://lsnyc.legalserver.org/matter/dynamic-profile/view/1910089","19-1910089")</f>
        <v>0</v>
      </c>
      <c r="B2179" t="s">
        <v>118</v>
      </c>
      <c r="C2179" t="s">
        <v>256</v>
      </c>
      <c r="D2179" t="s">
        <v>435</v>
      </c>
      <c r="F2179" t="s">
        <v>1358</v>
      </c>
      <c r="G2179" t="s">
        <v>3507</v>
      </c>
      <c r="H2179" t="s">
        <v>6843</v>
      </c>
      <c r="I2179" t="s">
        <v>8573</v>
      </c>
      <c r="J2179" t="s">
        <v>9065</v>
      </c>
      <c r="K2179">
        <v>10451</v>
      </c>
      <c r="L2179" t="s">
        <v>9094</v>
      </c>
      <c r="M2179" t="s">
        <v>9095</v>
      </c>
      <c r="P2179" t="s">
        <v>11164</v>
      </c>
      <c r="R2179" t="s">
        <v>11180</v>
      </c>
      <c r="T2179" t="s">
        <v>11183</v>
      </c>
      <c r="W2179">
        <v>191</v>
      </c>
      <c r="X2179" t="s">
        <v>11333</v>
      </c>
      <c r="Y2179" t="s">
        <v>11346</v>
      </c>
      <c r="Z2179" t="s">
        <v>12857</v>
      </c>
      <c r="AB2179" t="s">
        <v>17233</v>
      </c>
      <c r="AC2179">
        <v>0</v>
      </c>
      <c r="AD2179" t="s">
        <v>15441</v>
      </c>
      <c r="AE2179" t="s">
        <v>19580</v>
      </c>
      <c r="AF2179">
        <v>10</v>
      </c>
      <c r="AG2179">
        <v>1</v>
      </c>
      <c r="AH2179">
        <v>0</v>
      </c>
      <c r="AI2179">
        <v>77.34</v>
      </c>
      <c r="AL2179" t="s">
        <v>19614</v>
      </c>
      <c r="AM2179">
        <v>9660</v>
      </c>
      <c r="AS2179">
        <v>1.3</v>
      </c>
      <c r="AT2179" t="s">
        <v>703</v>
      </c>
      <c r="AU2179" t="s">
        <v>118</v>
      </c>
      <c r="AV2179" t="s">
        <v>20733</v>
      </c>
    </row>
    <row r="2180" spans="1:48">
      <c r="A2180" s="1">
        <f>HYPERLINK("https://lsnyc.legalserver.org/matter/dynamic-profile/view/0793216","15-0793216")</f>
        <v>0</v>
      </c>
      <c r="B2180" t="s">
        <v>49</v>
      </c>
      <c r="C2180" t="s">
        <v>256</v>
      </c>
      <c r="D2180" t="s">
        <v>902</v>
      </c>
      <c r="F2180" t="s">
        <v>2130</v>
      </c>
      <c r="G2180" t="s">
        <v>4037</v>
      </c>
      <c r="H2180" t="s">
        <v>5736</v>
      </c>
      <c r="I2180" t="s">
        <v>8154</v>
      </c>
      <c r="J2180" t="s">
        <v>9055</v>
      </c>
      <c r="K2180">
        <v>11354</v>
      </c>
      <c r="L2180" t="s">
        <v>9094</v>
      </c>
      <c r="M2180" t="s">
        <v>9095</v>
      </c>
      <c r="N2180" t="s">
        <v>9717</v>
      </c>
      <c r="O2180" t="s">
        <v>11135</v>
      </c>
      <c r="P2180" t="s">
        <v>11168</v>
      </c>
      <c r="R2180" t="s">
        <v>11180</v>
      </c>
      <c r="T2180" t="s">
        <v>11183</v>
      </c>
      <c r="V2180" t="s">
        <v>303</v>
      </c>
      <c r="W2180">
        <v>1780</v>
      </c>
      <c r="X2180" t="s">
        <v>11331</v>
      </c>
      <c r="Y2180" t="s">
        <v>11341</v>
      </c>
      <c r="Z2180" t="s">
        <v>12858</v>
      </c>
      <c r="AB2180" t="s">
        <v>17234</v>
      </c>
      <c r="AC2180">
        <v>175</v>
      </c>
      <c r="AD2180" t="s">
        <v>19566</v>
      </c>
      <c r="AE2180" t="s">
        <v>9144</v>
      </c>
      <c r="AF2180">
        <v>9</v>
      </c>
      <c r="AG2180">
        <v>3</v>
      </c>
      <c r="AH2180">
        <v>0</v>
      </c>
      <c r="AI2180">
        <v>77.45</v>
      </c>
      <c r="AL2180" t="s">
        <v>19623</v>
      </c>
      <c r="AM2180">
        <v>15560</v>
      </c>
      <c r="AS2180">
        <v>0.65</v>
      </c>
      <c r="AT2180" t="s">
        <v>448</v>
      </c>
      <c r="AU2180" t="s">
        <v>20621</v>
      </c>
    </row>
    <row r="2181" spans="1:48">
      <c r="A2181" s="1">
        <f>HYPERLINK("https://lsnyc.legalserver.org/matter/dynamic-profile/view/1904441","19-1904441")</f>
        <v>0</v>
      </c>
      <c r="B2181" t="s">
        <v>113</v>
      </c>
      <c r="C2181" t="s">
        <v>256</v>
      </c>
      <c r="D2181" t="s">
        <v>736</v>
      </c>
      <c r="F2181" t="s">
        <v>1220</v>
      </c>
      <c r="G2181" t="s">
        <v>4347</v>
      </c>
      <c r="H2181" t="s">
        <v>5864</v>
      </c>
      <c r="I2181" t="s">
        <v>8574</v>
      </c>
      <c r="J2181" t="s">
        <v>9065</v>
      </c>
      <c r="K2181">
        <v>10460</v>
      </c>
      <c r="L2181" t="s">
        <v>9094</v>
      </c>
      <c r="M2181" t="s">
        <v>9095</v>
      </c>
      <c r="O2181" t="s">
        <v>9121</v>
      </c>
      <c r="P2181" t="s">
        <v>11166</v>
      </c>
      <c r="R2181" t="s">
        <v>11180</v>
      </c>
      <c r="S2181" t="s">
        <v>9094</v>
      </c>
      <c r="T2181" t="s">
        <v>11183</v>
      </c>
      <c r="V2181" t="s">
        <v>11218</v>
      </c>
      <c r="W2181">
        <v>1100</v>
      </c>
      <c r="X2181" t="s">
        <v>11333</v>
      </c>
      <c r="Y2181" t="s">
        <v>11346</v>
      </c>
      <c r="Z2181" t="s">
        <v>12859</v>
      </c>
      <c r="AB2181" t="s">
        <v>17235</v>
      </c>
      <c r="AC2181">
        <v>248</v>
      </c>
      <c r="AD2181" t="s">
        <v>19566</v>
      </c>
      <c r="AF2181">
        <v>4</v>
      </c>
      <c r="AG2181">
        <v>1</v>
      </c>
      <c r="AH2181">
        <v>0</v>
      </c>
      <c r="AI2181">
        <v>77.53</v>
      </c>
      <c r="AL2181" t="s">
        <v>19614</v>
      </c>
      <c r="AM2181">
        <v>9684</v>
      </c>
      <c r="AS2181">
        <v>0</v>
      </c>
      <c r="AU2181" t="s">
        <v>110</v>
      </c>
      <c r="AV2181" t="s">
        <v>20733</v>
      </c>
    </row>
    <row r="2182" spans="1:48">
      <c r="A2182" s="1">
        <f>HYPERLINK("https://lsnyc.legalserver.org/matter/dynamic-profile/view/1904693","19-1904693")</f>
        <v>0</v>
      </c>
      <c r="B2182" t="s">
        <v>137</v>
      </c>
      <c r="C2182" t="s">
        <v>256</v>
      </c>
      <c r="D2182" t="s">
        <v>497</v>
      </c>
      <c r="F2182" t="s">
        <v>1413</v>
      </c>
      <c r="G2182" t="s">
        <v>4348</v>
      </c>
      <c r="H2182" t="s">
        <v>5950</v>
      </c>
      <c r="I2182">
        <v>31</v>
      </c>
      <c r="J2182" t="s">
        <v>9067</v>
      </c>
      <c r="K2182">
        <v>10034</v>
      </c>
      <c r="L2182" t="s">
        <v>9094</v>
      </c>
      <c r="M2182" t="s">
        <v>9095</v>
      </c>
      <c r="P2182" t="s">
        <v>11169</v>
      </c>
      <c r="R2182" t="s">
        <v>11180</v>
      </c>
      <c r="S2182" t="s">
        <v>9094</v>
      </c>
      <c r="T2182" t="s">
        <v>11183</v>
      </c>
      <c r="V2182" t="s">
        <v>497</v>
      </c>
      <c r="W2182">
        <v>997</v>
      </c>
      <c r="X2182" t="s">
        <v>11335</v>
      </c>
      <c r="Y2182" t="s">
        <v>11338</v>
      </c>
      <c r="Z2182" t="s">
        <v>12860</v>
      </c>
      <c r="AC2182">
        <v>25</v>
      </c>
      <c r="AD2182" t="s">
        <v>19566</v>
      </c>
      <c r="AE2182" t="s">
        <v>9144</v>
      </c>
      <c r="AF2182">
        <v>5</v>
      </c>
      <c r="AG2182">
        <v>3</v>
      </c>
      <c r="AH2182">
        <v>2</v>
      </c>
      <c r="AI2182">
        <v>77.56</v>
      </c>
      <c r="AL2182" t="s">
        <v>19615</v>
      </c>
      <c r="AM2182">
        <v>23400</v>
      </c>
      <c r="AS2182">
        <v>0</v>
      </c>
      <c r="AU2182" t="s">
        <v>130</v>
      </c>
      <c r="AV2182" t="s">
        <v>20733</v>
      </c>
    </row>
    <row r="2183" spans="1:48">
      <c r="A2183" s="1">
        <f>HYPERLINK("https://lsnyc.legalserver.org/matter/dynamic-profile/view/1905437","19-1905437")</f>
        <v>0</v>
      </c>
      <c r="B2183" t="s">
        <v>141</v>
      </c>
      <c r="C2183" t="s">
        <v>256</v>
      </c>
      <c r="D2183" t="s">
        <v>408</v>
      </c>
      <c r="F2183" t="s">
        <v>1489</v>
      </c>
      <c r="G2183" t="s">
        <v>3593</v>
      </c>
      <c r="H2183" t="s">
        <v>6844</v>
      </c>
      <c r="I2183">
        <v>16</v>
      </c>
      <c r="J2183" t="s">
        <v>9067</v>
      </c>
      <c r="K2183">
        <v>10032</v>
      </c>
      <c r="L2183" t="s">
        <v>9094</v>
      </c>
      <c r="M2183" t="s">
        <v>9095</v>
      </c>
      <c r="N2183" t="s">
        <v>9985</v>
      </c>
      <c r="O2183" t="s">
        <v>11134</v>
      </c>
      <c r="P2183" t="s">
        <v>11168</v>
      </c>
      <c r="R2183" t="s">
        <v>11180</v>
      </c>
      <c r="S2183" t="s">
        <v>9096</v>
      </c>
      <c r="T2183" t="s">
        <v>11183</v>
      </c>
      <c r="V2183" t="s">
        <v>408</v>
      </c>
      <c r="W2183">
        <v>1142.3</v>
      </c>
      <c r="X2183" t="s">
        <v>11335</v>
      </c>
      <c r="Y2183" t="s">
        <v>11340</v>
      </c>
      <c r="Z2183" t="s">
        <v>11686</v>
      </c>
      <c r="AB2183" t="s">
        <v>17236</v>
      </c>
      <c r="AC2183">
        <v>20</v>
      </c>
      <c r="AD2183" t="s">
        <v>19566</v>
      </c>
      <c r="AE2183" t="s">
        <v>9144</v>
      </c>
      <c r="AF2183">
        <v>25</v>
      </c>
      <c r="AG2183">
        <v>3</v>
      </c>
      <c r="AH2183">
        <v>2</v>
      </c>
      <c r="AI2183">
        <v>77.56</v>
      </c>
      <c r="AL2183" t="s">
        <v>19615</v>
      </c>
      <c r="AM2183">
        <v>23400</v>
      </c>
      <c r="AS2183">
        <v>0.1</v>
      </c>
      <c r="AT2183" t="s">
        <v>408</v>
      </c>
      <c r="AU2183" t="s">
        <v>130</v>
      </c>
      <c r="AV2183" t="s">
        <v>20733</v>
      </c>
    </row>
    <row r="2184" spans="1:48">
      <c r="A2184" s="1">
        <f>HYPERLINK("https://lsnyc.legalserver.org/matter/dynamic-profile/view/0805358","16-0805358")</f>
        <v>0</v>
      </c>
      <c r="B2184" t="s">
        <v>120</v>
      </c>
      <c r="C2184" t="s">
        <v>256</v>
      </c>
      <c r="D2184" t="s">
        <v>903</v>
      </c>
      <c r="F2184" t="s">
        <v>2131</v>
      </c>
      <c r="G2184" t="s">
        <v>4349</v>
      </c>
      <c r="H2184" t="s">
        <v>5892</v>
      </c>
      <c r="I2184" t="s">
        <v>8575</v>
      </c>
      <c r="J2184" t="s">
        <v>9065</v>
      </c>
      <c r="K2184">
        <v>10453</v>
      </c>
      <c r="L2184" t="s">
        <v>9094</v>
      </c>
      <c r="M2184" t="s">
        <v>9095</v>
      </c>
      <c r="O2184" t="s">
        <v>11135</v>
      </c>
      <c r="P2184" t="s">
        <v>11166</v>
      </c>
      <c r="R2184" t="s">
        <v>11180</v>
      </c>
      <c r="S2184" t="s">
        <v>9094</v>
      </c>
      <c r="T2184" t="s">
        <v>11183</v>
      </c>
      <c r="V2184" t="s">
        <v>351</v>
      </c>
      <c r="W2184">
        <v>1700</v>
      </c>
      <c r="X2184" t="s">
        <v>11333</v>
      </c>
      <c r="Y2184" t="s">
        <v>11339</v>
      </c>
      <c r="Z2184" t="s">
        <v>12861</v>
      </c>
      <c r="AC2184">
        <v>99</v>
      </c>
      <c r="AD2184" t="s">
        <v>19566</v>
      </c>
      <c r="AF2184">
        <v>2</v>
      </c>
      <c r="AG2184">
        <v>2</v>
      </c>
      <c r="AH2184">
        <v>2</v>
      </c>
      <c r="AI2184">
        <v>77.56999999999999</v>
      </c>
      <c r="AL2184" t="s">
        <v>19636</v>
      </c>
      <c r="AM2184">
        <v>18850</v>
      </c>
      <c r="AS2184">
        <v>12.1</v>
      </c>
      <c r="AT2184" t="s">
        <v>20595</v>
      </c>
      <c r="AU2184" t="s">
        <v>20647</v>
      </c>
    </row>
    <row r="2185" spans="1:48">
      <c r="A2185" s="1">
        <f>HYPERLINK("https://lsnyc.legalserver.org/matter/dynamic-profile/view/1859013","18-1859013")</f>
        <v>0</v>
      </c>
      <c r="B2185" t="s">
        <v>62</v>
      </c>
      <c r="C2185" t="s">
        <v>257</v>
      </c>
      <c r="D2185" t="s">
        <v>904</v>
      </c>
      <c r="E2185" t="s">
        <v>328</v>
      </c>
      <c r="F2185" t="s">
        <v>2132</v>
      </c>
      <c r="G2185" t="s">
        <v>4350</v>
      </c>
      <c r="H2185" t="s">
        <v>6845</v>
      </c>
      <c r="I2185" t="s">
        <v>8169</v>
      </c>
      <c r="J2185" t="s">
        <v>9059</v>
      </c>
      <c r="K2185">
        <v>11233</v>
      </c>
      <c r="L2185" t="s">
        <v>9094</v>
      </c>
      <c r="M2185" t="s">
        <v>9094</v>
      </c>
      <c r="N2185" t="s">
        <v>9986</v>
      </c>
      <c r="P2185" t="s">
        <v>11165</v>
      </c>
      <c r="Q2185" t="s">
        <v>11174</v>
      </c>
      <c r="R2185" t="s">
        <v>11180</v>
      </c>
      <c r="S2185" t="s">
        <v>9096</v>
      </c>
      <c r="T2185" t="s">
        <v>11183</v>
      </c>
      <c r="V2185" t="s">
        <v>856</v>
      </c>
      <c r="W2185">
        <v>1866</v>
      </c>
      <c r="X2185" t="s">
        <v>11332</v>
      </c>
      <c r="Y2185" t="s">
        <v>11349</v>
      </c>
      <c r="Z2185" t="s">
        <v>12862</v>
      </c>
      <c r="AA2185" t="s">
        <v>15660</v>
      </c>
      <c r="AB2185" t="s">
        <v>17237</v>
      </c>
      <c r="AC2185">
        <v>24</v>
      </c>
      <c r="AD2185" t="s">
        <v>15441</v>
      </c>
      <c r="AE2185" t="s">
        <v>19580</v>
      </c>
      <c r="AF2185">
        <v>4</v>
      </c>
      <c r="AG2185">
        <v>2</v>
      </c>
      <c r="AH2185">
        <v>0</v>
      </c>
      <c r="AI2185">
        <v>77.59</v>
      </c>
      <c r="AL2185" t="s">
        <v>19614</v>
      </c>
      <c r="AM2185">
        <v>12600</v>
      </c>
      <c r="AQ2185" t="s">
        <v>20368</v>
      </c>
      <c r="AR2185" t="s">
        <v>20489</v>
      </c>
      <c r="AS2185">
        <v>54.4</v>
      </c>
      <c r="AT2185" t="s">
        <v>445</v>
      </c>
      <c r="AU2185" t="s">
        <v>20639</v>
      </c>
    </row>
    <row r="2186" spans="1:48">
      <c r="A2186" s="1">
        <f>HYPERLINK("https://lsnyc.legalserver.org/matter/dynamic-profile/view/0793236","15-0793236")</f>
        <v>0</v>
      </c>
      <c r="B2186" t="s">
        <v>49</v>
      </c>
      <c r="C2186" t="s">
        <v>256</v>
      </c>
      <c r="D2186" t="s">
        <v>902</v>
      </c>
      <c r="F2186" t="s">
        <v>2133</v>
      </c>
      <c r="G2186" t="s">
        <v>4351</v>
      </c>
      <c r="H2186" t="s">
        <v>5736</v>
      </c>
      <c r="I2186" t="s">
        <v>8576</v>
      </c>
      <c r="J2186" t="s">
        <v>9055</v>
      </c>
      <c r="K2186">
        <v>11354</v>
      </c>
      <c r="L2186" t="s">
        <v>9094</v>
      </c>
      <c r="M2186" t="s">
        <v>9095</v>
      </c>
      <c r="N2186" t="s">
        <v>9717</v>
      </c>
      <c r="O2186" t="s">
        <v>11135</v>
      </c>
      <c r="P2186" t="s">
        <v>11168</v>
      </c>
      <c r="R2186" t="s">
        <v>11180</v>
      </c>
      <c r="T2186" t="s">
        <v>11183</v>
      </c>
      <c r="V2186" t="s">
        <v>303</v>
      </c>
      <c r="W2186">
        <v>1900</v>
      </c>
      <c r="X2186" t="s">
        <v>11331</v>
      </c>
      <c r="Y2186" t="s">
        <v>11342</v>
      </c>
      <c r="Z2186" t="s">
        <v>12863</v>
      </c>
      <c r="AB2186" t="s">
        <v>17238</v>
      </c>
      <c r="AC2186">
        <v>175</v>
      </c>
      <c r="AD2186" t="s">
        <v>19566</v>
      </c>
      <c r="AE2186" t="s">
        <v>9144</v>
      </c>
      <c r="AF2186">
        <v>2</v>
      </c>
      <c r="AG2186">
        <v>3</v>
      </c>
      <c r="AH2186">
        <v>0</v>
      </c>
      <c r="AI2186">
        <v>77.65000000000001</v>
      </c>
      <c r="AL2186" t="s">
        <v>19626</v>
      </c>
      <c r="AM2186">
        <v>15600</v>
      </c>
      <c r="AS2186">
        <v>2.25</v>
      </c>
      <c r="AT2186" t="s">
        <v>448</v>
      </c>
      <c r="AU2186" t="s">
        <v>20621</v>
      </c>
    </row>
    <row r="2187" spans="1:48">
      <c r="A2187" s="1">
        <f>HYPERLINK("https://lsnyc.legalserver.org/matter/dynamic-profile/view/1889657","19-1889657")</f>
        <v>0</v>
      </c>
      <c r="B2187" t="s">
        <v>52</v>
      </c>
      <c r="C2187" t="s">
        <v>256</v>
      </c>
      <c r="D2187" t="s">
        <v>784</v>
      </c>
      <c r="F2187" t="s">
        <v>2134</v>
      </c>
      <c r="G2187" t="s">
        <v>4352</v>
      </c>
      <c r="H2187" t="s">
        <v>6846</v>
      </c>
      <c r="I2187" t="s">
        <v>8214</v>
      </c>
      <c r="J2187" t="s">
        <v>9051</v>
      </c>
      <c r="K2187">
        <v>11374</v>
      </c>
      <c r="L2187" t="s">
        <v>9094</v>
      </c>
      <c r="M2187" t="s">
        <v>9094</v>
      </c>
      <c r="N2187" t="s">
        <v>9987</v>
      </c>
      <c r="O2187" t="s">
        <v>11129</v>
      </c>
      <c r="P2187" t="s">
        <v>11167</v>
      </c>
      <c r="R2187" t="s">
        <v>11181</v>
      </c>
      <c r="S2187" t="s">
        <v>9096</v>
      </c>
      <c r="T2187" t="s">
        <v>11183</v>
      </c>
      <c r="U2187" t="s">
        <v>11199</v>
      </c>
      <c r="V2187" t="s">
        <v>348</v>
      </c>
      <c r="W2187">
        <v>1800</v>
      </c>
      <c r="X2187" t="s">
        <v>11331</v>
      </c>
      <c r="Y2187" t="s">
        <v>11337</v>
      </c>
      <c r="Z2187" t="s">
        <v>12864</v>
      </c>
      <c r="AA2187" t="s">
        <v>15274</v>
      </c>
      <c r="AB2187" t="s">
        <v>15274</v>
      </c>
      <c r="AC2187">
        <v>6</v>
      </c>
      <c r="AD2187" t="s">
        <v>19566</v>
      </c>
      <c r="AE2187" t="s">
        <v>9144</v>
      </c>
      <c r="AF2187">
        <v>0</v>
      </c>
      <c r="AG2187">
        <v>2</v>
      </c>
      <c r="AH2187">
        <v>2</v>
      </c>
      <c r="AI2187">
        <v>77.67</v>
      </c>
      <c r="AJ2187" t="s">
        <v>19591</v>
      </c>
      <c r="AK2187" t="s">
        <v>19608</v>
      </c>
      <c r="AL2187" t="s">
        <v>19614</v>
      </c>
      <c r="AM2187">
        <v>20000</v>
      </c>
      <c r="AS2187">
        <v>1.95</v>
      </c>
      <c r="AT2187" t="s">
        <v>573</v>
      </c>
      <c r="AU2187" t="s">
        <v>81</v>
      </c>
    </row>
    <row r="2188" spans="1:48">
      <c r="A2188" s="1">
        <f>HYPERLINK("https://lsnyc.legalserver.org/matter/dynamic-profile/view/1900799","19-1900799")</f>
        <v>0</v>
      </c>
      <c r="B2188" t="s">
        <v>76</v>
      </c>
      <c r="C2188" t="s">
        <v>256</v>
      </c>
      <c r="D2188" t="s">
        <v>315</v>
      </c>
      <c r="F2188" t="s">
        <v>2135</v>
      </c>
      <c r="G2188" t="s">
        <v>4353</v>
      </c>
      <c r="H2188" t="s">
        <v>6169</v>
      </c>
      <c r="I2188" t="s">
        <v>8151</v>
      </c>
      <c r="J2188" t="s">
        <v>9059</v>
      </c>
      <c r="K2188">
        <v>11213</v>
      </c>
      <c r="L2188" t="s">
        <v>9094</v>
      </c>
      <c r="M2188" t="s">
        <v>9095</v>
      </c>
      <c r="O2188" t="s">
        <v>9121</v>
      </c>
      <c r="P2188" t="s">
        <v>11166</v>
      </c>
      <c r="R2188" t="s">
        <v>11180</v>
      </c>
      <c r="S2188" t="s">
        <v>9094</v>
      </c>
      <c r="T2188" t="s">
        <v>11183</v>
      </c>
      <c r="U2188" t="s">
        <v>11201</v>
      </c>
      <c r="V2188" t="s">
        <v>291</v>
      </c>
      <c r="W2188">
        <v>1200</v>
      </c>
      <c r="X2188" t="s">
        <v>11332</v>
      </c>
      <c r="Z2188" t="s">
        <v>12865</v>
      </c>
      <c r="AB2188" t="s">
        <v>17239</v>
      </c>
      <c r="AC2188">
        <v>35</v>
      </c>
      <c r="AD2188" t="s">
        <v>19566</v>
      </c>
      <c r="AF2188">
        <v>10</v>
      </c>
      <c r="AG2188">
        <v>3</v>
      </c>
      <c r="AH2188">
        <v>1</v>
      </c>
      <c r="AI2188">
        <v>77.67</v>
      </c>
      <c r="AL2188" t="s">
        <v>19614</v>
      </c>
      <c r="AM2188">
        <v>20000</v>
      </c>
      <c r="AN2188" t="s">
        <v>19851</v>
      </c>
      <c r="AS2188">
        <v>0</v>
      </c>
      <c r="AU2188" t="s">
        <v>95</v>
      </c>
      <c r="AV2188" t="s">
        <v>20733</v>
      </c>
    </row>
    <row r="2189" spans="1:48">
      <c r="A2189" s="1">
        <f>HYPERLINK("https://lsnyc.legalserver.org/matter/dynamic-profile/view/1899117","19-1899117")</f>
        <v>0</v>
      </c>
      <c r="B2189" t="s">
        <v>98</v>
      </c>
      <c r="C2189" t="s">
        <v>257</v>
      </c>
      <c r="D2189" t="s">
        <v>492</v>
      </c>
      <c r="E2189" t="s">
        <v>574</v>
      </c>
      <c r="F2189" t="s">
        <v>2136</v>
      </c>
      <c r="G2189" t="s">
        <v>4354</v>
      </c>
      <c r="H2189" t="s">
        <v>6081</v>
      </c>
      <c r="I2189" t="s">
        <v>8153</v>
      </c>
      <c r="J2189" t="s">
        <v>9065</v>
      </c>
      <c r="K2189">
        <v>10452</v>
      </c>
      <c r="L2189" t="s">
        <v>9094</v>
      </c>
      <c r="M2189" t="s">
        <v>9095</v>
      </c>
      <c r="O2189" t="s">
        <v>11134</v>
      </c>
      <c r="P2189" t="s">
        <v>11167</v>
      </c>
      <c r="Q2189" t="s">
        <v>11173</v>
      </c>
      <c r="R2189" t="s">
        <v>11180</v>
      </c>
      <c r="S2189" t="s">
        <v>9094</v>
      </c>
      <c r="T2189" t="s">
        <v>11183</v>
      </c>
      <c r="V2189" t="s">
        <v>299</v>
      </c>
      <c r="W2189">
        <v>1500</v>
      </c>
      <c r="X2189" t="s">
        <v>11333</v>
      </c>
      <c r="Y2189" t="s">
        <v>11339</v>
      </c>
      <c r="Z2189" t="s">
        <v>12866</v>
      </c>
      <c r="AB2189" t="s">
        <v>17240</v>
      </c>
      <c r="AC2189">
        <v>41</v>
      </c>
      <c r="AD2189" t="s">
        <v>19565</v>
      </c>
      <c r="AE2189" t="s">
        <v>9144</v>
      </c>
      <c r="AF2189">
        <v>4</v>
      </c>
      <c r="AG2189">
        <v>2</v>
      </c>
      <c r="AH2189">
        <v>2</v>
      </c>
      <c r="AI2189">
        <v>77.67</v>
      </c>
      <c r="AL2189" t="s">
        <v>19615</v>
      </c>
      <c r="AM2189">
        <v>20000</v>
      </c>
      <c r="AS2189">
        <v>0.25</v>
      </c>
      <c r="AT2189" t="s">
        <v>410</v>
      </c>
      <c r="AU2189" t="s">
        <v>20642</v>
      </c>
      <c r="AV2189" t="s">
        <v>20733</v>
      </c>
    </row>
    <row r="2190" spans="1:48">
      <c r="A2190" s="1">
        <f>HYPERLINK("https://lsnyc.legalserver.org/matter/dynamic-profile/view/1880639","18-1880639")</f>
        <v>0</v>
      </c>
      <c r="B2190" t="s">
        <v>103</v>
      </c>
      <c r="C2190" t="s">
        <v>256</v>
      </c>
      <c r="D2190" t="s">
        <v>477</v>
      </c>
      <c r="F2190" t="s">
        <v>2069</v>
      </c>
      <c r="G2190" t="s">
        <v>4317</v>
      </c>
      <c r="H2190" t="s">
        <v>6413</v>
      </c>
      <c r="I2190" t="s">
        <v>8475</v>
      </c>
      <c r="J2190" t="s">
        <v>9065</v>
      </c>
      <c r="K2190">
        <v>10456</v>
      </c>
      <c r="L2190" t="s">
        <v>9094</v>
      </c>
      <c r="M2190" t="s">
        <v>9094</v>
      </c>
      <c r="N2190" t="s">
        <v>9732</v>
      </c>
      <c r="O2190" t="s">
        <v>11134</v>
      </c>
      <c r="P2190" t="s">
        <v>11168</v>
      </c>
      <c r="R2190" t="s">
        <v>11180</v>
      </c>
      <c r="S2190" t="s">
        <v>9094</v>
      </c>
      <c r="T2190" t="s">
        <v>11183</v>
      </c>
      <c r="V2190" t="s">
        <v>617</v>
      </c>
      <c r="W2190">
        <v>1119.98</v>
      </c>
      <c r="X2190" t="s">
        <v>11333</v>
      </c>
      <c r="Y2190" t="s">
        <v>11346</v>
      </c>
      <c r="Z2190" t="s">
        <v>12800</v>
      </c>
      <c r="AB2190" t="s">
        <v>17181</v>
      </c>
      <c r="AC2190">
        <v>61</v>
      </c>
      <c r="AD2190" t="s">
        <v>19566</v>
      </c>
      <c r="AE2190" t="s">
        <v>9144</v>
      </c>
      <c r="AF2190">
        <v>43</v>
      </c>
      <c r="AG2190">
        <v>2</v>
      </c>
      <c r="AH2190">
        <v>0</v>
      </c>
      <c r="AI2190">
        <v>77.93000000000001</v>
      </c>
      <c r="AL2190" t="s">
        <v>19615</v>
      </c>
      <c r="AM2190">
        <v>12828</v>
      </c>
      <c r="AS2190">
        <v>0</v>
      </c>
      <c r="AU2190" t="s">
        <v>20642</v>
      </c>
    </row>
    <row r="2191" spans="1:48">
      <c r="A2191" s="1">
        <f>HYPERLINK("https://lsnyc.legalserver.org/matter/dynamic-profile/view/1843143","17-1843143")</f>
        <v>0</v>
      </c>
      <c r="B2191" t="s">
        <v>216</v>
      </c>
      <c r="C2191" t="s">
        <v>256</v>
      </c>
      <c r="D2191" t="s">
        <v>766</v>
      </c>
      <c r="F2191" t="s">
        <v>2137</v>
      </c>
      <c r="G2191" t="s">
        <v>3647</v>
      </c>
      <c r="H2191" t="s">
        <v>6847</v>
      </c>
      <c r="I2191">
        <v>2</v>
      </c>
      <c r="J2191" t="s">
        <v>9067</v>
      </c>
      <c r="K2191">
        <v>10002</v>
      </c>
      <c r="L2191" t="s">
        <v>9095</v>
      </c>
      <c r="M2191" t="s">
        <v>9095</v>
      </c>
      <c r="O2191" t="s">
        <v>9121</v>
      </c>
      <c r="P2191" t="s">
        <v>11165</v>
      </c>
      <c r="R2191" t="s">
        <v>11180</v>
      </c>
      <c r="T2191" t="s">
        <v>11183</v>
      </c>
      <c r="W2191">
        <v>0</v>
      </c>
      <c r="X2191" t="s">
        <v>11335</v>
      </c>
      <c r="Z2191" t="s">
        <v>12867</v>
      </c>
      <c r="AB2191" t="s">
        <v>17241</v>
      </c>
      <c r="AC2191">
        <v>0</v>
      </c>
      <c r="AF2191">
        <v>0</v>
      </c>
      <c r="AG2191">
        <v>2</v>
      </c>
      <c r="AH2191">
        <v>2</v>
      </c>
      <c r="AI2191">
        <v>78.05</v>
      </c>
      <c r="AM2191">
        <v>38400</v>
      </c>
      <c r="AS2191">
        <v>45.15</v>
      </c>
      <c r="AT2191" t="s">
        <v>608</v>
      </c>
      <c r="AU2191" t="s">
        <v>20696</v>
      </c>
    </row>
    <row r="2192" spans="1:48">
      <c r="A2192" s="1">
        <f>HYPERLINK("https://lsnyc.legalserver.org/matter/dynamic-profile/view/1881753","18-1881753")</f>
        <v>0</v>
      </c>
      <c r="B2192" t="s">
        <v>64</v>
      </c>
      <c r="C2192" t="s">
        <v>257</v>
      </c>
      <c r="D2192" t="s">
        <v>711</v>
      </c>
      <c r="E2192" t="s">
        <v>483</v>
      </c>
      <c r="F2192" t="s">
        <v>2138</v>
      </c>
      <c r="G2192" t="s">
        <v>4355</v>
      </c>
      <c r="H2192" t="s">
        <v>6848</v>
      </c>
      <c r="I2192">
        <v>1</v>
      </c>
      <c r="J2192" t="s">
        <v>9059</v>
      </c>
      <c r="K2192">
        <v>11208</v>
      </c>
      <c r="L2192" t="s">
        <v>9094</v>
      </c>
      <c r="M2192" t="s">
        <v>9094</v>
      </c>
      <c r="N2192" t="s">
        <v>9988</v>
      </c>
      <c r="O2192" t="s">
        <v>11128</v>
      </c>
      <c r="P2192" t="s">
        <v>11164</v>
      </c>
      <c r="Q2192" t="s">
        <v>11172</v>
      </c>
      <c r="R2192" t="s">
        <v>11180</v>
      </c>
      <c r="S2192" t="s">
        <v>9096</v>
      </c>
      <c r="T2192" t="s">
        <v>11183</v>
      </c>
      <c r="U2192" t="s">
        <v>11201</v>
      </c>
      <c r="V2192" t="s">
        <v>875</v>
      </c>
      <c r="W2192">
        <v>1201</v>
      </c>
      <c r="X2192" t="s">
        <v>11332</v>
      </c>
      <c r="Y2192" t="s">
        <v>11342</v>
      </c>
      <c r="Z2192" t="s">
        <v>12868</v>
      </c>
      <c r="AA2192" t="s">
        <v>15285</v>
      </c>
      <c r="AB2192" t="s">
        <v>17242</v>
      </c>
      <c r="AC2192">
        <v>3</v>
      </c>
      <c r="AD2192" t="s">
        <v>19565</v>
      </c>
      <c r="AE2192" t="s">
        <v>19580</v>
      </c>
      <c r="AF2192">
        <v>4</v>
      </c>
      <c r="AG2192">
        <v>1</v>
      </c>
      <c r="AH2192">
        <v>0</v>
      </c>
      <c r="AI2192">
        <v>78.09</v>
      </c>
      <c r="AL2192" t="s">
        <v>19614</v>
      </c>
      <c r="AM2192">
        <v>9480</v>
      </c>
      <c r="AS2192">
        <v>1.3</v>
      </c>
      <c r="AT2192" t="s">
        <v>360</v>
      </c>
      <c r="AU2192" t="s">
        <v>95</v>
      </c>
      <c r="AV2192" t="s">
        <v>20733</v>
      </c>
    </row>
    <row r="2193" spans="1:48">
      <c r="A2193" s="1">
        <f>HYPERLINK("https://lsnyc.legalserver.org/matter/dynamic-profile/view/1876399","18-1876399")</f>
        <v>0</v>
      </c>
      <c r="B2193" t="s">
        <v>69</v>
      </c>
      <c r="C2193" t="s">
        <v>257</v>
      </c>
      <c r="D2193" t="s">
        <v>773</v>
      </c>
      <c r="E2193" t="s">
        <v>1130</v>
      </c>
      <c r="F2193" t="s">
        <v>1274</v>
      </c>
      <c r="G2193" t="s">
        <v>3486</v>
      </c>
      <c r="H2193" t="s">
        <v>6849</v>
      </c>
      <c r="I2193" t="s">
        <v>8153</v>
      </c>
      <c r="J2193" t="s">
        <v>9067</v>
      </c>
      <c r="K2193">
        <v>10035</v>
      </c>
      <c r="L2193" t="s">
        <v>9094</v>
      </c>
      <c r="M2193" t="s">
        <v>9094</v>
      </c>
      <c r="O2193" t="s">
        <v>11131</v>
      </c>
      <c r="P2193" t="s">
        <v>11168</v>
      </c>
      <c r="Q2193" t="s">
        <v>11176</v>
      </c>
      <c r="R2193" t="s">
        <v>11180</v>
      </c>
      <c r="S2193" t="s">
        <v>9096</v>
      </c>
      <c r="T2193" t="s">
        <v>11191</v>
      </c>
      <c r="U2193" t="s">
        <v>11201</v>
      </c>
      <c r="V2193" t="s">
        <v>1061</v>
      </c>
      <c r="W2193">
        <v>2100</v>
      </c>
      <c r="X2193" t="s">
        <v>11335</v>
      </c>
      <c r="Y2193" t="s">
        <v>11347</v>
      </c>
      <c r="Z2193" t="s">
        <v>12869</v>
      </c>
      <c r="AB2193" t="s">
        <v>17243</v>
      </c>
      <c r="AC2193">
        <v>35</v>
      </c>
      <c r="AD2193" t="s">
        <v>19567</v>
      </c>
      <c r="AE2193" t="s">
        <v>19580</v>
      </c>
      <c r="AF2193">
        <v>15</v>
      </c>
      <c r="AG2193">
        <v>1</v>
      </c>
      <c r="AH2193">
        <v>0</v>
      </c>
      <c r="AI2193">
        <v>78.09</v>
      </c>
      <c r="AL2193" t="s">
        <v>19614</v>
      </c>
      <c r="AM2193">
        <v>9480</v>
      </c>
      <c r="AS2193">
        <v>3.5</v>
      </c>
      <c r="AT2193" t="s">
        <v>931</v>
      </c>
      <c r="AU2193" t="s">
        <v>20657</v>
      </c>
      <c r="AV2193" t="s">
        <v>20733</v>
      </c>
    </row>
    <row r="2194" spans="1:48">
      <c r="A2194" s="1">
        <f>HYPERLINK("https://lsnyc.legalserver.org/matter/dynamic-profile/view/1895191","19-1895191")</f>
        <v>0</v>
      </c>
      <c r="B2194" t="s">
        <v>92</v>
      </c>
      <c r="C2194" t="s">
        <v>256</v>
      </c>
      <c r="D2194" t="s">
        <v>278</v>
      </c>
      <c r="F2194" t="s">
        <v>2139</v>
      </c>
      <c r="G2194" t="s">
        <v>3359</v>
      </c>
      <c r="H2194" t="s">
        <v>5984</v>
      </c>
      <c r="I2194" t="s">
        <v>8176</v>
      </c>
      <c r="J2194" t="s">
        <v>9059</v>
      </c>
      <c r="K2194">
        <v>11212</v>
      </c>
      <c r="L2194" t="s">
        <v>9094</v>
      </c>
      <c r="M2194" t="s">
        <v>9094</v>
      </c>
      <c r="O2194" t="s">
        <v>11137</v>
      </c>
      <c r="P2194" t="s">
        <v>11167</v>
      </c>
      <c r="R2194" t="s">
        <v>11180</v>
      </c>
      <c r="S2194" t="s">
        <v>9094</v>
      </c>
      <c r="T2194" t="s">
        <v>11183</v>
      </c>
      <c r="V2194" t="s">
        <v>278</v>
      </c>
      <c r="W2194">
        <v>0</v>
      </c>
      <c r="X2194" t="s">
        <v>11332</v>
      </c>
      <c r="Z2194" t="s">
        <v>12870</v>
      </c>
      <c r="AB2194" t="s">
        <v>17244</v>
      </c>
      <c r="AC2194">
        <v>0</v>
      </c>
      <c r="AF2194">
        <v>0</v>
      </c>
      <c r="AG2194">
        <v>1</v>
      </c>
      <c r="AH2194">
        <v>0</v>
      </c>
      <c r="AI2194">
        <v>78.11</v>
      </c>
      <c r="AL2194" t="s">
        <v>19614</v>
      </c>
      <c r="AM2194">
        <v>9756</v>
      </c>
      <c r="AS2194">
        <v>28.4</v>
      </c>
      <c r="AT2194" t="s">
        <v>314</v>
      </c>
      <c r="AU2194" t="s">
        <v>92</v>
      </c>
    </row>
    <row r="2195" spans="1:48">
      <c r="A2195" s="1">
        <f>HYPERLINK("https://lsnyc.legalserver.org/matter/dynamic-profile/view/1907499","19-1907499")</f>
        <v>0</v>
      </c>
      <c r="B2195" t="s">
        <v>109</v>
      </c>
      <c r="C2195" t="s">
        <v>256</v>
      </c>
      <c r="D2195" t="s">
        <v>676</v>
      </c>
      <c r="F2195" t="s">
        <v>1484</v>
      </c>
      <c r="G2195" t="s">
        <v>4356</v>
      </c>
      <c r="H2195" t="s">
        <v>6850</v>
      </c>
      <c r="I2195">
        <v>2</v>
      </c>
      <c r="J2195" t="s">
        <v>9065</v>
      </c>
      <c r="K2195">
        <v>10464</v>
      </c>
      <c r="L2195" t="s">
        <v>9094</v>
      </c>
      <c r="M2195" t="s">
        <v>9095</v>
      </c>
      <c r="R2195" t="s">
        <v>11180</v>
      </c>
      <c r="S2195" t="s">
        <v>9094</v>
      </c>
      <c r="T2195" t="s">
        <v>11183</v>
      </c>
      <c r="W2195">
        <v>2700</v>
      </c>
      <c r="X2195" t="s">
        <v>11333</v>
      </c>
      <c r="Y2195" t="s">
        <v>11346</v>
      </c>
      <c r="Z2195" t="s">
        <v>12643</v>
      </c>
      <c r="AB2195" t="s">
        <v>17245</v>
      </c>
      <c r="AC2195">
        <v>0</v>
      </c>
      <c r="AD2195" t="s">
        <v>15441</v>
      </c>
      <c r="AE2195" t="s">
        <v>19581</v>
      </c>
      <c r="AF2195">
        <v>4</v>
      </c>
      <c r="AG2195">
        <v>1</v>
      </c>
      <c r="AH2195">
        <v>0</v>
      </c>
      <c r="AI2195">
        <v>78.20999999999999</v>
      </c>
      <c r="AL2195" t="s">
        <v>19614</v>
      </c>
      <c r="AM2195">
        <v>9768</v>
      </c>
      <c r="AS2195">
        <v>0.5</v>
      </c>
      <c r="AT2195" t="s">
        <v>288</v>
      </c>
      <c r="AU2195" t="s">
        <v>20647</v>
      </c>
      <c r="AV2195" t="s">
        <v>20733</v>
      </c>
    </row>
    <row r="2196" spans="1:48">
      <c r="A2196" s="1">
        <f>HYPERLINK("https://lsnyc.legalserver.org/matter/dynamic-profile/view/1915427","19-1915427")</f>
        <v>0</v>
      </c>
      <c r="B2196" t="s">
        <v>178</v>
      </c>
      <c r="C2196" t="s">
        <v>256</v>
      </c>
      <c r="D2196" t="s">
        <v>487</v>
      </c>
      <c r="F2196" t="s">
        <v>1146</v>
      </c>
      <c r="G2196" t="s">
        <v>3592</v>
      </c>
      <c r="H2196" t="s">
        <v>6851</v>
      </c>
      <c r="I2196" t="s">
        <v>8390</v>
      </c>
      <c r="J2196" t="s">
        <v>9065</v>
      </c>
      <c r="K2196">
        <v>10457</v>
      </c>
      <c r="L2196" t="s">
        <v>9094</v>
      </c>
      <c r="M2196" t="s">
        <v>9095</v>
      </c>
      <c r="N2196" t="s">
        <v>9989</v>
      </c>
      <c r="R2196" t="s">
        <v>11180</v>
      </c>
      <c r="S2196" t="s">
        <v>9096</v>
      </c>
      <c r="T2196" t="s">
        <v>11183</v>
      </c>
      <c r="W2196">
        <v>1255.98</v>
      </c>
      <c r="X2196" t="s">
        <v>11333</v>
      </c>
      <c r="Y2196" t="s">
        <v>11346</v>
      </c>
      <c r="Z2196" t="s">
        <v>12157</v>
      </c>
      <c r="AA2196" t="s">
        <v>15661</v>
      </c>
      <c r="AB2196" t="s">
        <v>16592</v>
      </c>
      <c r="AC2196">
        <v>55</v>
      </c>
      <c r="AD2196" t="s">
        <v>19566</v>
      </c>
      <c r="AE2196" t="s">
        <v>19580</v>
      </c>
      <c r="AF2196">
        <v>17</v>
      </c>
      <c r="AG2196">
        <v>1</v>
      </c>
      <c r="AH2196">
        <v>0</v>
      </c>
      <c r="AI2196">
        <v>78.20999999999999</v>
      </c>
      <c r="AL2196" t="s">
        <v>19615</v>
      </c>
      <c r="AM2196">
        <v>9768</v>
      </c>
      <c r="AS2196">
        <v>0</v>
      </c>
      <c r="AU2196" t="s">
        <v>220</v>
      </c>
    </row>
    <row r="2197" spans="1:48">
      <c r="A2197" s="1">
        <f>HYPERLINK("https://lsnyc.legalserver.org/matter/dynamic-profile/view/1912980","19-1912980")</f>
        <v>0</v>
      </c>
      <c r="B2197" t="s">
        <v>98</v>
      </c>
      <c r="C2197" t="s">
        <v>256</v>
      </c>
      <c r="D2197" t="s">
        <v>294</v>
      </c>
      <c r="F2197" t="s">
        <v>2140</v>
      </c>
      <c r="G2197" t="s">
        <v>3097</v>
      </c>
      <c r="H2197" t="s">
        <v>6216</v>
      </c>
      <c r="I2197" t="s">
        <v>8250</v>
      </c>
      <c r="J2197" t="s">
        <v>9065</v>
      </c>
      <c r="K2197">
        <v>10452</v>
      </c>
      <c r="L2197" t="s">
        <v>9094</v>
      </c>
      <c r="M2197" t="s">
        <v>9095</v>
      </c>
      <c r="N2197" t="s">
        <v>9497</v>
      </c>
      <c r="O2197" t="s">
        <v>11134</v>
      </c>
      <c r="P2197" t="s">
        <v>11168</v>
      </c>
      <c r="R2197" t="s">
        <v>11180</v>
      </c>
      <c r="S2197" t="s">
        <v>9094</v>
      </c>
      <c r="T2197" t="s">
        <v>11183</v>
      </c>
      <c r="W2197">
        <v>971.7</v>
      </c>
      <c r="X2197" t="s">
        <v>11333</v>
      </c>
      <c r="Y2197" t="s">
        <v>11345</v>
      </c>
      <c r="Z2197" t="s">
        <v>12871</v>
      </c>
      <c r="AB2197" t="s">
        <v>17246</v>
      </c>
      <c r="AC2197">
        <v>67</v>
      </c>
      <c r="AD2197" t="s">
        <v>19566</v>
      </c>
      <c r="AE2197" t="s">
        <v>9144</v>
      </c>
      <c r="AF2197">
        <v>21</v>
      </c>
      <c r="AG2197">
        <v>1</v>
      </c>
      <c r="AH2197">
        <v>0</v>
      </c>
      <c r="AI2197">
        <v>78.20999999999999</v>
      </c>
      <c r="AL2197" t="s">
        <v>19615</v>
      </c>
      <c r="AM2197">
        <v>9768</v>
      </c>
      <c r="AS2197">
        <v>0</v>
      </c>
      <c r="AU2197" t="s">
        <v>20642</v>
      </c>
      <c r="AV2197" t="s">
        <v>20733</v>
      </c>
    </row>
    <row r="2198" spans="1:48">
      <c r="A2198" s="1">
        <f>HYPERLINK("https://lsnyc.legalserver.org/matter/dynamic-profile/view/1906755","19-1906755")</f>
        <v>0</v>
      </c>
      <c r="B2198" t="s">
        <v>117</v>
      </c>
      <c r="C2198" t="s">
        <v>256</v>
      </c>
      <c r="D2198" t="s">
        <v>474</v>
      </c>
      <c r="F2198" t="s">
        <v>1491</v>
      </c>
      <c r="G2198" t="s">
        <v>4357</v>
      </c>
      <c r="H2198" t="s">
        <v>5899</v>
      </c>
      <c r="I2198" t="s">
        <v>8266</v>
      </c>
      <c r="J2198" t="s">
        <v>9065</v>
      </c>
      <c r="K2198">
        <v>10452</v>
      </c>
      <c r="L2198" t="s">
        <v>9094</v>
      </c>
      <c r="M2198" t="s">
        <v>9095</v>
      </c>
      <c r="R2198" t="s">
        <v>11180</v>
      </c>
      <c r="S2198" t="s">
        <v>9094</v>
      </c>
      <c r="T2198" t="s">
        <v>11183</v>
      </c>
      <c r="W2198">
        <v>450</v>
      </c>
      <c r="X2198" t="s">
        <v>11333</v>
      </c>
      <c r="Y2198" t="s">
        <v>11346</v>
      </c>
      <c r="Z2198" t="s">
        <v>11431</v>
      </c>
      <c r="AB2198" t="s">
        <v>17247</v>
      </c>
      <c r="AC2198">
        <v>65</v>
      </c>
      <c r="AD2198" t="s">
        <v>19566</v>
      </c>
      <c r="AE2198" t="s">
        <v>19580</v>
      </c>
      <c r="AF2198">
        <v>28</v>
      </c>
      <c r="AG2198">
        <v>1</v>
      </c>
      <c r="AH2198">
        <v>0</v>
      </c>
      <c r="AI2198">
        <v>78.20999999999999</v>
      </c>
      <c r="AL2198" t="s">
        <v>19615</v>
      </c>
      <c r="AM2198">
        <v>9768</v>
      </c>
      <c r="AS2198">
        <v>0</v>
      </c>
      <c r="AU2198" t="s">
        <v>220</v>
      </c>
    </row>
    <row r="2199" spans="1:48">
      <c r="A2199" s="1">
        <f>HYPERLINK("https://lsnyc.legalserver.org/matter/dynamic-profile/view/1914858","19-1914858")</f>
        <v>0</v>
      </c>
      <c r="B2199" t="s">
        <v>117</v>
      </c>
      <c r="C2199" t="s">
        <v>256</v>
      </c>
      <c r="D2199" t="s">
        <v>331</v>
      </c>
      <c r="F2199" t="s">
        <v>1491</v>
      </c>
      <c r="G2199" t="s">
        <v>4357</v>
      </c>
      <c r="H2199" t="s">
        <v>5899</v>
      </c>
      <c r="I2199" t="s">
        <v>8266</v>
      </c>
      <c r="J2199" t="s">
        <v>9065</v>
      </c>
      <c r="K2199">
        <v>10452</v>
      </c>
      <c r="L2199" t="s">
        <v>9094</v>
      </c>
      <c r="M2199" t="s">
        <v>9095</v>
      </c>
      <c r="P2199" t="s">
        <v>11169</v>
      </c>
      <c r="R2199" t="s">
        <v>11180</v>
      </c>
      <c r="S2199" t="s">
        <v>9094</v>
      </c>
      <c r="T2199" t="s">
        <v>11183</v>
      </c>
      <c r="W2199">
        <v>450</v>
      </c>
      <c r="X2199" t="s">
        <v>11333</v>
      </c>
      <c r="Y2199" t="s">
        <v>11346</v>
      </c>
      <c r="Z2199" t="s">
        <v>11431</v>
      </c>
      <c r="AB2199" t="s">
        <v>17247</v>
      </c>
      <c r="AC2199">
        <v>65</v>
      </c>
      <c r="AD2199" t="s">
        <v>19566</v>
      </c>
      <c r="AE2199" t="s">
        <v>19580</v>
      </c>
      <c r="AF2199">
        <v>28</v>
      </c>
      <c r="AG2199">
        <v>1</v>
      </c>
      <c r="AH2199">
        <v>0</v>
      </c>
      <c r="AI2199">
        <v>78.20999999999999</v>
      </c>
      <c r="AL2199" t="s">
        <v>19615</v>
      </c>
      <c r="AM2199">
        <v>9768</v>
      </c>
      <c r="AS2199">
        <v>0</v>
      </c>
      <c r="AU2199" t="s">
        <v>220</v>
      </c>
    </row>
    <row r="2200" spans="1:48">
      <c r="A2200" s="1">
        <f>HYPERLINK("https://lsnyc.legalserver.org/matter/dynamic-profile/view/1843585","17-1843585")</f>
        <v>0</v>
      </c>
      <c r="B2200" t="s">
        <v>140</v>
      </c>
      <c r="C2200" t="s">
        <v>256</v>
      </c>
      <c r="D2200" t="s">
        <v>530</v>
      </c>
      <c r="F2200" t="s">
        <v>1576</v>
      </c>
      <c r="G2200" t="s">
        <v>4341</v>
      </c>
      <c r="H2200" t="s">
        <v>5999</v>
      </c>
      <c r="I2200" t="s">
        <v>8149</v>
      </c>
      <c r="J2200" t="s">
        <v>9067</v>
      </c>
      <c r="K2200">
        <v>10040</v>
      </c>
      <c r="L2200" t="s">
        <v>9094</v>
      </c>
      <c r="M2200" t="s">
        <v>9095</v>
      </c>
      <c r="N2200" t="s">
        <v>9314</v>
      </c>
      <c r="O2200" t="s">
        <v>11130</v>
      </c>
      <c r="P2200" t="s">
        <v>11165</v>
      </c>
      <c r="R2200" t="s">
        <v>11180</v>
      </c>
      <c r="S2200" t="s">
        <v>9094</v>
      </c>
      <c r="T2200" t="s">
        <v>11183</v>
      </c>
      <c r="V2200" t="s">
        <v>534</v>
      </c>
      <c r="W2200">
        <v>1074</v>
      </c>
      <c r="X2200" t="s">
        <v>11335</v>
      </c>
      <c r="Y2200" t="s">
        <v>11338</v>
      </c>
      <c r="Z2200" t="s">
        <v>12850</v>
      </c>
      <c r="AB2200" t="s">
        <v>17229</v>
      </c>
      <c r="AC2200">
        <v>44</v>
      </c>
      <c r="AD2200" t="s">
        <v>19566</v>
      </c>
      <c r="AE2200" t="s">
        <v>9144</v>
      </c>
      <c r="AF2200">
        <v>20</v>
      </c>
      <c r="AG2200">
        <v>2</v>
      </c>
      <c r="AH2200">
        <v>1</v>
      </c>
      <c r="AI2200">
        <v>78.34999999999999</v>
      </c>
      <c r="AJ2200" t="s">
        <v>982</v>
      </c>
      <c r="AL2200" t="s">
        <v>19615</v>
      </c>
      <c r="AM2200">
        <v>16000</v>
      </c>
      <c r="AS2200">
        <v>10.51</v>
      </c>
      <c r="AT2200" t="s">
        <v>327</v>
      </c>
      <c r="AU2200" t="s">
        <v>130</v>
      </c>
    </row>
    <row r="2201" spans="1:48">
      <c r="A2201" s="1">
        <f>HYPERLINK("https://lsnyc.legalserver.org/matter/dynamic-profile/view/1911832","19-1911832")</f>
        <v>0</v>
      </c>
      <c r="B2201" t="s">
        <v>66</v>
      </c>
      <c r="C2201" t="s">
        <v>256</v>
      </c>
      <c r="D2201" t="s">
        <v>284</v>
      </c>
      <c r="F2201" t="s">
        <v>1186</v>
      </c>
      <c r="G2201" t="s">
        <v>4358</v>
      </c>
      <c r="H2201" t="s">
        <v>6852</v>
      </c>
      <c r="I2201" t="s">
        <v>8577</v>
      </c>
      <c r="J2201" t="s">
        <v>9059</v>
      </c>
      <c r="K2201">
        <v>11238</v>
      </c>
      <c r="L2201" t="s">
        <v>9094</v>
      </c>
      <c r="M2201" t="s">
        <v>9095</v>
      </c>
      <c r="O2201" t="s">
        <v>11129</v>
      </c>
      <c r="P2201" t="s">
        <v>11165</v>
      </c>
      <c r="R2201" t="s">
        <v>11180</v>
      </c>
      <c r="S2201" t="s">
        <v>9096</v>
      </c>
      <c r="T2201" t="s">
        <v>11183</v>
      </c>
      <c r="V2201" t="s">
        <v>284</v>
      </c>
      <c r="W2201">
        <v>838.96</v>
      </c>
      <c r="X2201" t="s">
        <v>11332</v>
      </c>
      <c r="Z2201" t="s">
        <v>12872</v>
      </c>
      <c r="AB2201" t="s">
        <v>17248</v>
      </c>
      <c r="AC2201">
        <v>35</v>
      </c>
      <c r="AF2201">
        <v>34</v>
      </c>
      <c r="AG2201">
        <v>1</v>
      </c>
      <c r="AH2201">
        <v>0</v>
      </c>
      <c r="AI2201">
        <v>78.40000000000001</v>
      </c>
      <c r="AL2201" t="s">
        <v>19614</v>
      </c>
      <c r="AM2201">
        <v>9792</v>
      </c>
      <c r="AS2201">
        <v>2</v>
      </c>
      <c r="AT2201" t="s">
        <v>309</v>
      </c>
      <c r="AU2201" t="s">
        <v>215</v>
      </c>
      <c r="AV2201" t="s">
        <v>20733</v>
      </c>
    </row>
    <row r="2202" spans="1:48">
      <c r="A2202" s="1">
        <f>HYPERLINK("https://lsnyc.legalserver.org/matter/dynamic-profile/view/1888071","19-1888071")</f>
        <v>0</v>
      </c>
      <c r="B2202" t="s">
        <v>134</v>
      </c>
      <c r="C2202" t="s">
        <v>256</v>
      </c>
      <c r="D2202" t="s">
        <v>756</v>
      </c>
      <c r="F2202" t="s">
        <v>1961</v>
      </c>
      <c r="G2202" t="s">
        <v>3811</v>
      </c>
      <c r="H2202" t="s">
        <v>5957</v>
      </c>
      <c r="I2202" t="s">
        <v>8216</v>
      </c>
      <c r="J2202" t="s">
        <v>9067</v>
      </c>
      <c r="K2202">
        <v>10032</v>
      </c>
      <c r="L2202" t="s">
        <v>9094</v>
      </c>
      <c r="M2202" t="s">
        <v>9094</v>
      </c>
      <c r="P2202" t="s">
        <v>11165</v>
      </c>
      <c r="R2202" t="s">
        <v>11180</v>
      </c>
      <c r="S2202" t="s">
        <v>9096</v>
      </c>
      <c r="T2202" t="s">
        <v>11183</v>
      </c>
      <c r="V2202" t="s">
        <v>756</v>
      </c>
      <c r="W2202">
        <v>921.22</v>
      </c>
      <c r="X2202" t="s">
        <v>11335</v>
      </c>
      <c r="Y2202" t="s">
        <v>11338</v>
      </c>
      <c r="Z2202" t="s">
        <v>12873</v>
      </c>
      <c r="AB2202" t="s">
        <v>17249</v>
      </c>
      <c r="AC2202">
        <v>42</v>
      </c>
      <c r="AD2202" t="s">
        <v>19566</v>
      </c>
      <c r="AE2202" t="s">
        <v>9144</v>
      </c>
      <c r="AF2202">
        <v>0</v>
      </c>
      <c r="AG2202">
        <v>3</v>
      </c>
      <c r="AH2202">
        <v>0</v>
      </c>
      <c r="AI2202">
        <v>78.42</v>
      </c>
      <c r="AL2202" t="s">
        <v>19615</v>
      </c>
      <c r="AM2202">
        <v>16296</v>
      </c>
      <c r="AS2202">
        <v>1.2</v>
      </c>
      <c r="AT2202" t="s">
        <v>329</v>
      </c>
      <c r="AU2202" t="s">
        <v>130</v>
      </c>
      <c r="AV2202" t="s">
        <v>20733</v>
      </c>
    </row>
    <row r="2203" spans="1:48">
      <c r="A2203" s="1">
        <f>HYPERLINK("https://lsnyc.legalserver.org/matter/dynamic-profile/view/1882847","18-1882847")</f>
        <v>0</v>
      </c>
      <c r="B2203" t="s">
        <v>106</v>
      </c>
      <c r="C2203" t="s">
        <v>257</v>
      </c>
      <c r="D2203" t="s">
        <v>477</v>
      </c>
      <c r="E2203" t="s">
        <v>396</v>
      </c>
      <c r="F2203" t="s">
        <v>1964</v>
      </c>
      <c r="G2203" t="s">
        <v>4330</v>
      </c>
      <c r="H2203" t="s">
        <v>6624</v>
      </c>
      <c r="I2203" t="s">
        <v>8562</v>
      </c>
      <c r="J2203" t="s">
        <v>9065</v>
      </c>
      <c r="K2203">
        <v>10458</v>
      </c>
      <c r="L2203" t="s">
        <v>9094</v>
      </c>
      <c r="M2203" t="s">
        <v>9094</v>
      </c>
      <c r="N2203" t="s">
        <v>9825</v>
      </c>
      <c r="O2203" t="s">
        <v>11130</v>
      </c>
      <c r="P2203" t="s">
        <v>11165</v>
      </c>
      <c r="Q2203" t="s">
        <v>11179</v>
      </c>
      <c r="R2203" t="s">
        <v>11180</v>
      </c>
      <c r="S2203" t="s">
        <v>9094</v>
      </c>
      <c r="T2203" t="s">
        <v>11183</v>
      </c>
      <c r="V2203" t="s">
        <v>11212</v>
      </c>
      <c r="W2203">
        <v>1252.6</v>
      </c>
      <c r="X2203" t="s">
        <v>11333</v>
      </c>
      <c r="Y2203" t="s">
        <v>11346</v>
      </c>
      <c r="Z2203" t="s">
        <v>12824</v>
      </c>
      <c r="AB2203" t="s">
        <v>17205</v>
      </c>
      <c r="AC2203">
        <v>129</v>
      </c>
      <c r="AD2203" t="s">
        <v>19569</v>
      </c>
      <c r="AE2203" t="s">
        <v>9144</v>
      </c>
      <c r="AF2203">
        <v>11</v>
      </c>
      <c r="AG2203">
        <v>1</v>
      </c>
      <c r="AH2203">
        <v>2</v>
      </c>
      <c r="AI2203">
        <v>78.44</v>
      </c>
      <c r="AL2203" t="s">
        <v>19614</v>
      </c>
      <c r="AM2203">
        <v>16300</v>
      </c>
      <c r="AS2203">
        <v>104.95</v>
      </c>
      <c r="AT2203" t="s">
        <v>396</v>
      </c>
      <c r="AU2203" t="s">
        <v>163</v>
      </c>
      <c r="AV2203" t="s">
        <v>20733</v>
      </c>
    </row>
    <row r="2204" spans="1:48">
      <c r="A2204" s="1">
        <f>HYPERLINK("https://lsnyc.legalserver.org/matter/dynamic-profile/view/1833810","17-1833810")</f>
        <v>0</v>
      </c>
      <c r="B2204" t="s">
        <v>143</v>
      </c>
      <c r="C2204" t="s">
        <v>256</v>
      </c>
      <c r="D2204" t="s">
        <v>888</v>
      </c>
      <c r="F2204" t="s">
        <v>1274</v>
      </c>
      <c r="G2204" t="s">
        <v>3486</v>
      </c>
      <c r="H2204" t="s">
        <v>6849</v>
      </c>
      <c r="I2204" t="s">
        <v>8153</v>
      </c>
      <c r="J2204" t="s">
        <v>9067</v>
      </c>
      <c r="K2204">
        <v>10035</v>
      </c>
      <c r="L2204" t="s">
        <v>9094</v>
      </c>
      <c r="M2204" t="s">
        <v>9094</v>
      </c>
      <c r="N2204" t="s">
        <v>9990</v>
      </c>
      <c r="O2204" t="s">
        <v>11128</v>
      </c>
      <c r="P2204" t="s">
        <v>11165</v>
      </c>
      <c r="R2204" t="s">
        <v>11180</v>
      </c>
      <c r="S2204" t="s">
        <v>9096</v>
      </c>
      <c r="T2204" t="s">
        <v>11190</v>
      </c>
      <c r="U2204" t="s">
        <v>11204</v>
      </c>
      <c r="V2204" t="s">
        <v>878</v>
      </c>
      <c r="W2204">
        <v>2100</v>
      </c>
      <c r="X2204" t="s">
        <v>11335</v>
      </c>
      <c r="Y2204" t="s">
        <v>11349</v>
      </c>
      <c r="Z2204" t="s">
        <v>12869</v>
      </c>
      <c r="AB2204" t="s">
        <v>17243</v>
      </c>
      <c r="AC2204">
        <v>35</v>
      </c>
      <c r="AD2204" t="s">
        <v>19567</v>
      </c>
      <c r="AF2204">
        <v>14</v>
      </c>
      <c r="AG2204">
        <v>1</v>
      </c>
      <c r="AH2204">
        <v>0</v>
      </c>
      <c r="AI2204">
        <v>78.61</v>
      </c>
      <c r="AL2204" t="s">
        <v>19614</v>
      </c>
      <c r="AM2204">
        <v>9480</v>
      </c>
      <c r="AO2204" t="s">
        <v>20293</v>
      </c>
      <c r="AS2204">
        <v>73.5</v>
      </c>
      <c r="AT2204" t="s">
        <v>611</v>
      </c>
      <c r="AU2204" t="s">
        <v>20629</v>
      </c>
    </row>
    <row r="2205" spans="1:48">
      <c r="A2205" s="1">
        <f>HYPERLINK("https://lsnyc.legalserver.org/matter/dynamic-profile/view/1905779","19-1905779")</f>
        <v>0</v>
      </c>
      <c r="B2205" t="s">
        <v>60</v>
      </c>
      <c r="C2205" t="s">
        <v>256</v>
      </c>
      <c r="D2205" t="s">
        <v>328</v>
      </c>
      <c r="F2205" t="s">
        <v>1241</v>
      </c>
      <c r="G2205" t="s">
        <v>4359</v>
      </c>
      <c r="H2205" t="s">
        <v>6853</v>
      </c>
      <c r="I2205" t="s">
        <v>8578</v>
      </c>
      <c r="J2205" t="s">
        <v>9038</v>
      </c>
      <c r="K2205">
        <v>11691</v>
      </c>
      <c r="L2205" t="s">
        <v>9094</v>
      </c>
      <c r="M2205" t="s">
        <v>9095</v>
      </c>
      <c r="N2205" t="s">
        <v>9991</v>
      </c>
      <c r="O2205" t="s">
        <v>11128</v>
      </c>
      <c r="P2205" t="s">
        <v>11165</v>
      </c>
      <c r="R2205" t="s">
        <v>11180</v>
      </c>
      <c r="S2205" t="s">
        <v>9096</v>
      </c>
      <c r="T2205" t="s">
        <v>11183</v>
      </c>
      <c r="U2205" t="s">
        <v>11198</v>
      </c>
      <c r="V2205" t="s">
        <v>282</v>
      </c>
      <c r="W2205">
        <v>1400</v>
      </c>
      <c r="X2205" t="s">
        <v>11331</v>
      </c>
      <c r="Y2205" t="s">
        <v>11342</v>
      </c>
      <c r="Z2205" t="s">
        <v>12874</v>
      </c>
      <c r="AB2205" t="s">
        <v>17250</v>
      </c>
      <c r="AC2205">
        <v>462</v>
      </c>
      <c r="AD2205" t="s">
        <v>19568</v>
      </c>
      <c r="AE2205" t="s">
        <v>19580</v>
      </c>
      <c r="AF2205">
        <v>35</v>
      </c>
      <c r="AG2205">
        <v>1</v>
      </c>
      <c r="AH2205">
        <v>0</v>
      </c>
      <c r="AI2205">
        <v>78.78</v>
      </c>
      <c r="AL2205" t="s">
        <v>19614</v>
      </c>
      <c r="AM2205">
        <v>9840</v>
      </c>
      <c r="AP2205" t="s">
        <v>20309</v>
      </c>
      <c r="AS2205">
        <v>26.91</v>
      </c>
      <c r="AT2205" t="s">
        <v>556</v>
      </c>
      <c r="AU2205" t="s">
        <v>59</v>
      </c>
      <c r="AV2205" t="s">
        <v>20733</v>
      </c>
    </row>
    <row r="2206" spans="1:48">
      <c r="A2206" s="1">
        <f>HYPERLINK("https://lsnyc.legalserver.org/matter/dynamic-profile/view/1901785","19-1901785")</f>
        <v>0</v>
      </c>
      <c r="B2206" t="s">
        <v>55</v>
      </c>
      <c r="C2206" t="s">
        <v>256</v>
      </c>
      <c r="D2206" t="s">
        <v>610</v>
      </c>
      <c r="F2206" t="s">
        <v>2141</v>
      </c>
      <c r="G2206" t="s">
        <v>4360</v>
      </c>
      <c r="H2206" t="s">
        <v>6854</v>
      </c>
      <c r="I2206" t="s">
        <v>8119</v>
      </c>
      <c r="J2206" t="s">
        <v>9055</v>
      </c>
      <c r="K2206">
        <v>11354</v>
      </c>
      <c r="L2206" t="s">
        <v>9094</v>
      </c>
      <c r="M2206" t="s">
        <v>9095</v>
      </c>
      <c r="N2206" t="s">
        <v>9992</v>
      </c>
      <c r="O2206" t="s">
        <v>11129</v>
      </c>
      <c r="P2206" t="s">
        <v>11165</v>
      </c>
      <c r="R2206" t="s">
        <v>11180</v>
      </c>
      <c r="S2206" t="s">
        <v>9096</v>
      </c>
      <c r="T2206" t="s">
        <v>11183</v>
      </c>
      <c r="U2206" t="s">
        <v>11200</v>
      </c>
      <c r="V2206" t="s">
        <v>610</v>
      </c>
      <c r="W2206">
        <v>939.65</v>
      </c>
      <c r="X2206" t="s">
        <v>11331</v>
      </c>
      <c r="Y2206" t="s">
        <v>11336</v>
      </c>
      <c r="Z2206" t="s">
        <v>12875</v>
      </c>
      <c r="AB2206" t="s">
        <v>17251</v>
      </c>
      <c r="AC2206">
        <v>91</v>
      </c>
      <c r="AD2206" t="s">
        <v>19574</v>
      </c>
      <c r="AE2206" t="s">
        <v>9144</v>
      </c>
      <c r="AF2206">
        <v>30</v>
      </c>
      <c r="AG2206">
        <v>1</v>
      </c>
      <c r="AH2206">
        <v>0</v>
      </c>
      <c r="AI2206">
        <v>78.78</v>
      </c>
      <c r="AL2206" t="s">
        <v>19614</v>
      </c>
      <c r="AM2206">
        <v>9840</v>
      </c>
      <c r="AS2206">
        <v>2.9</v>
      </c>
      <c r="AT2206" t="s">
        <v>1136</v>
      </c>
      <c r="AU2206" t="s">
        <v>20620</v>
      </c>
      <c r="AV2206" t="s">
        <v>20733</v>
      </c>
    </row>
    <row r="2207" spans="1:48">
      <c r="A2207" s="1">
        <f>HYPERLINK("https://lsnyc.legalserver.org/matter/dynamic-profile/view/1871525","18-1871525")</f>
        <v>0</v>
      </c>
      <c r="B2207" t="s">
        <v>104</v>
      </c>
      <c r="C2207" t="s">
        <v>256</v>
      </c>
      <c r="D2207" t="s">
        <v>389</v>
      </c>
      <c r="F2207" t="s">
        <v>1450</v>
      </c>
      <c r="G2207" t="s">
        <v>3639</v>
      </c>
      <c r="H2207" t="s">
        <v>6855</v>
      </c>
      <c r="I2207" t="s">
        <v>8170</v>
      </c>
      <c r="J2207" t="s">
        <v>9065</v>
      </c>
      <c r="K2207">
        <v>10460</v>
      </c>
      <c r="L2207" t="s">
        <v>9094</v>
      </c>
      <c r="M2207" t="s">
        <v>9094</v>
      </c>
      <c r="N2207" t="s">
        <v>9993</v>
      </c>
      <c r="O2207" t="s">
        <v>11129</v>
      </c>
      <c r="P2207" t="s">
        <v>11165</v>
      </c>
      <c r="R2207" t="s">
        <v>11180</v>
      </c>
      <c r="S2207" t="s">
        <v>9096</v>
      </c>
      <c r="T2207" t="s">
        <v>11183</v>
      </c>
      <c r="U2207" t="s">
        <v>11202</v>
      </c>
      <c r="V2207" t="s">
        <v>389</v>
      </c>
      <c r="W2207">
        <v>1325.9</v>
      </c>
      <c r="X2207" t="s">
        <v>11333</v>
      </c>
      <c r="Y2207" t="s">
        <v>11340</v>
      </c>
      <c r="Z2207" t="s">
        <v>12876</v>
      </c>
      <c r="AA2207" t="s">
        <v>15662</v>
      </c>
      <c r="AB2207" t="s">
        <v>17252</v>
      </c>
      <c r="AC2207">
        <v>107</v>
      </c>
      <c r="AD2207" t="s">
        <v>19565</v>
      </c>
      <c r="AE2207" t="s">
        <v>19580</v>
      </c>
      <c r="AF2207">
        <v>20</v>
      </c>
      <c r="AG2207">
        <v>1</v>
      </c>
      <c r="AH2207">
        <v>0</v>
      </c>
      <c r="AI2207">
        <v>78.78</v>
      </c>
      <c r="AL2207" t="s">
        <v>19615</v>
      </c>
      <c r="AM2207">
        <v>9564</v>
      </c>
      <c r="AO2207" t="s">
        <v>20290</v>
      </c>
      <c r="AP2207" t="s">
        <v>20317</v>
      </c>
      <c r="AQ2207" t="s">
        <v>20369</v>
      </c>
      <c r="AR2207" t="s">
        <v>20490</v>
      </c>
      <c r="AS2207">
        <v>18.6</v>
      </c>
      <c r="AT2207" t="s">
        <v>718</v>
      </c>
      <c r="AU2207" t="s">
        <v>20647</v>
      </c>
    </row>
    <row r="2208" spans="1:48">
      <c r="A2208" s="1">
        <f>HYPERLINK("https://lsnyc.legalserver.org/matter/dynamic-profile/view/1887014","19-1887014")</f>
        <v>0</v>
      </c>
      <c r="B2208" t="s">
        <v>104</v>
      </c>
      <c r="C2208" t="s">
        <v>256</v>
      </c>
      <c r="D2208" t="s">
        <v>582</v>
      </c>
      <c r="F2208" t="s">
        <v>1450</v>
      </c>
      <c r="G2208" t="s">
        <v>3639</v>
      </c>
      <c r="H2208" t="s">
        <v>6855</v>
      </c>
      <c r="I2208" t="s">
        <v>8170</v>
      </c>
      <c r="J2208" t="s">
        <v>9065</v>
      </c>
      <c r="K2208">
        <v>10460</v>
      </c>
      <c r="L2208" t="s">
        <v>9094</v>
      </c>
      <c r="M2208" t="s">
        <v>9094</v>
      </c>
      <c r="O2208" t="s">
        <v>11140</v>
      </c>
      <c r="P2208" t="s">
        <v>11166</v>
      </c>
      <c r="R2208" t="s">
        <v>11180</v>
      </c>
      <c r="S2208" t="s">
        <v>9096</v>
      </c>
      <c r="T2208" t="s">
        <v>11190</v>
      </c>
      <c r="V2208" t="s">
        <v>582</v>
      </c>
      <c r="W2208">
        <v>1325.9</v>
      </c>
      <c r="X2208" t="s">
        <v>11333</v>
      </c>
      <c r="Y2208" t="s">
        <v>11340</v>
      </c>
      <c r="Z2208" t="s">
        <v>12876</v>
      </c>
      <c r="AA2208" t="s">
        <v>15662</v>
      </c>
      <c r="AB2208" t="s">
        <v>17252</v>
      </c>
      <c r="AC2208">
        <v>107</v>
      </c>
      <c r="AD2208" t="s">
        <v>19565</v>
      </c>
      <c r="AE2208" t="s">
        <v>19580</v>
      </c>
      <c r="AF2208">
        <v>20</v>
      </c>
      <c r="AG2208">
        <v>1</v>
      </c>
      <c r="AH2208">
        <v>0</v>
      </c>
      <c r="AI2208">
        <v>78.78</v>
      </c>
      <c r="AL2208" t="s">
        <v>19615</v>
      </c>
      <c r="AM2208">
        <v>9564</v>
      </c>
      <c r="AN2208" t="s">
        <v>19852</v>
      </c>
      <c r="AS2208">
        <v>2.2</v>
      </c>
      <c r="AT2208" t="s">
        <v>482</v>
      </c>
      <c r="AU2208" t="s">
        <v>20647</v>
      </c>
    </row>
    <row r="2209" spans="1:48">
      <c r="A2209" s="1">
        <f>HYPERLINK("https://lsnyc.legalserver.org/matter/dynamic-profile/view/1912709","19-1912709")</f>
        <v>0</v>
      </c>
      <c r="B2209" t="s">
        <v>110</v>
      </c>
      <c r="C2209" t="s">
        <v>257</v>
      </c>
      <c r="D2209" t="s">
        <v>570</v>
      </c>
      <c r="E2209" t="s">
        <v>632</v>
      </c>
      <c r="F2209" t="s">
        <v>2142</v>
      </c>
      <c r="G2209" t="s">
        <v>4361</v>
      </c>
      <c r="H2209" t="s">
        <v>6856</v>
      </c>
      <c r="I2209" t="s">
        <v>8308</v>
      </c>
      <c r="J2209" t="s">
        <v>9065</v>
      </c>
      <c r="K2209">
        <v>10452</v>
      </c>
      <c r="L2209" t="s">
        <v>9094</v>
      </c>
      <c r="M2209" t="s">
        <v>9095</v>
      </c>
      <c r="O2209" t="s">
        <v>9121</v>
      </c>
      <c r="P2209" t="s">
        <v>11164</v>
      </c>
      <c r="Q2209" t="s">
        <v>11172</v>
      </c>
      <c r="R2209" t="s">
        <v>11180</v>
      </c>
      <c r="S2209" t="s">
        <v>9096</v>
      </c>
      <c r="T2209" t="s">
        <v>11183</v>
      </c>
      <c r="W2209">
        <v>1400</v>
      </c>
      <c r="X2209" t="s">
        <v>11333</v>
      </c>
      <c r="Y2209" t="s">
        <v>11346</v>
      </c>
      <c r="Z2209" t="s">
        <v>12877</v>
      </c>
      <c r="AB2209" t="s">
        <v>17253</v>
      </c>
      <c r="AC2209">
        <v>48</v>
      </c>
      <c r="AD2209" t="s">
        <v>19566</v>
      </c>
      <c r="AE2209" t="s">
        <v>19580</v>
      </c>
      <c r="AF2209">
        <v>12</v>
      </c>
      <c r="AG2209">
        <v>1</v>
      </c>
      <c r="AH2209">
        <v>0</v>
      </c>
      <c r="AI2209">
        <v>78.78</v>
      </c>
      <c r="AL2209" t="s">
        <v>19614</v>
      </c>
      <c r="AM2209">
        <v>9840</v>
      </c>
      <c r="AS2209">
        <v>2.25</v>
      </c>
      <c r="AT2209" t="s">
        <v>321</v>
      </c>
      <c r="AU2209" t="s">
        <v>110</v>
      </c>
      <c r="AV2209" t="s">
        <v>20733</v>
      </c>
    </row>
    <row r="2210" spans="1:48">
      <c r="A2210" s="1">
        <f>HYPERLINK("https://lsnyc.legalserver.org/matter/dynamic-profile/view/1833090","17-1833090")</f>
        <v>0</v>
      </c>
      <c r="B2210" t="s">
        <v>138</v>
      </c>
      <c r="C2210" t="s">
        <v>256</v>
      </c>
      <c r="D2210" t="s">
        <v>905</v>
      </c>
      <c r="F2210" t="s">
        <v>2143</v>
      </c>
      <c r="G2210" t="s">
        <v>4362</v>
      </c>
      <c r="H2210" t="s">
        <v>6857</v>
      </c>
      <c r="I2210">
        <v>41</v>
      </c>
      <c r="J2210" t="s">
        <v>9067</v>
      </c>
      <c r="K2210">
        <v>10040</v>
      </c>
      <c r="L2210" t="s">
        <v>9094</v>
      </c>
      <c r="M2210" t="s">
        <v>9095</v>
      </c>
      <c r="O2210" t="s">
        <v>9121</v>
      </c>
      <c r="P2210" t="s">
        <v>11166</v>
      </c>
      <c r="R2210" t="s">
        <v>11180</v>
      </c>
      <c r="S2210" t="s">
        <v>9096</v>
      </c>
      <c r="T2210" t="s">
        <v>11183</v>
      </c>
      <c r="V2210" t="s">
        <v>837</v>
      </c>
      <c r="W2210">
        <v>1194</v>
      </c>
      <c r="X2210" t="s">
        <v>11335</v>
      </c>
      <c r="Y2210" t="s">
        <v>11157</v>
      </c>
      <c r="Z2210" t="s">
        <v>12878</v>
      </c>
      <c r="AB2210" t="s">
        <v>17254</v>
      </c>
      <c r="AC2210">
        <v>21</v>
      </c>
      <c r="AD2210" t="s">
        <v>19566</v>
      </c>
      <c r="AE2210" t="s">
        <v>9144</v>
      </c>
      <c r="AF2210">
        <v>20</v>
      </c>
      <c r="AG2210">
        <v>1</v>
      </c>
      <c r="AH2210">
        <v>0</v>
      </c>
      <c r="AI2210">
        <v>78.81</v>
      </c>
      <c r="AJ2210" t="s">
        <v>936</v>
      </c>
      <c r="AL2210" t="s">
        <v>19615</v>
      </c>
      <c r="AM2210">
        <v>9504</v>
      </c>
      <c r="AS2210">
        <v>63</v>
      </c>
      <c r="AT2210" t="s">
        <v>426</v>
      </c>
      <c r="AU2210" t="s">
        <v>20657</v>
      </c>
    </row>
    <row r="2211" spans="1:48">
      <c r="A2211" s="1">
        <f>HYPERLINK("https://lsnyc.legalserver.org/matter/dynamic-profile/view/1899726","19-1899726")</f>
        <v>0</v>
      </c>
      <c r="B2211" t="s">
        <v>119</v>
      </c>
      <c r="C2211" t="s">
        <v>257</v>
      </c>
      <c r="D2211" t="s">
        <v>454</v>
      </c>
      <c r="E2211" t="s">
        <v>664</v>
      </c>
      <c r="F2211" t="s">
        <v>1270</v>
      </c>
      <c r="G2211" t="s">
        <v>4236</v>
      </c>
      <c r="H2211" t="s">
        <v>6714</v>
      </c>
      <c r="I2211">
        <v>220</v>
      </c>
      <c r="J2211" t="s">
        <v>9065</v>
      </c>
      <c r="K2211">
        <v>10459</v>
      </c>
      <c r="L2211" t="s">
        <v>9094</v>
      </c>
      <c r="M2211" t="s">
        <v>9095</v>
      </c>
      <c r="P2211" t="s">
        <v>11167</v>
      </c>
      <c r="Q2211" t="s">
        <v>11173</v>
      </c>
      <c r="R2211" t="s">
        <v>11180</v>
      </c>
      <c r="S2211" t="s">
        <v>9096</v>
      </c>
      <c r="T2211" t="s">
        <v>11183</v>
      </c>
      <c r="W2211">
        <v>1041</v>
      </c>
      <c r="X2211" t="s">
        <v>11333</v>
      </c>
      <c r="Y2211" t="s">
        <v>11346</v>
      </c>
      <c r="Z2211" t="s">
        <v>12678</v>
      </c>
      <c r="AB2211" t="s">
        <v>17057</v>
      </c>
      <c r="AC2211">
        <v>141</v>
      </c>
      <c r="AD2211" t="s">
        <v>15441</v>
      </c>
      <c r="AE2211" t="s">
        <v>19582</v>
      </c>
      <c r="AF2211">
        <v>3</v>
      </c>
      <c r="AG2211">
        <v>1</v>
      </c>
      <c r="AH2211">
        <v>2</v>
      </c>
      <c r="AI2211">
        <v>78.95</v>
      </c>
      <c r="AL2211" t="s">
        <v>19615</v>
      </c>
      <c r="AM2211">
        <v>16840</v>
      </c>
      <c r="AN2211" t="s">
        <v>19853</v>
      </c>
      <c r="AS2211">
        <v>0.8</v>
      </c>
      <c r="AT2211" t="s">
        <v>315</v>
      </c>
      <c r="AU2211" t="s">
        <v>163</v>
      </c>
      <c r="AV2211" t="s">
        <v>20733</v>
      </c>
    </row>
    <row r="2212" spans="1:48">
      <c r="A2212" s="1">
        <f>HYPERLINK("https://lsnyc.legalserver.org/matter/dynamic-profile/view/1881098","18-1881098")</f>
        <v>0</v>
      </c>
      <c r="B2212" t="s">
        <v>64</v>
      </c>
      <c r="C2212" t="s">
        <v>256</v>
      </c>
      <c r="D2212" t="s">
        <v>906</v>
      </c>
      <c r="F2212" t="s">
        <v>2144</v>
      </c>
      <c r="G2212" t="s">
        <v>3632</v>
      </c>
      <c r="H2212" t="s">
        <v>6858</v>
      </c>
      <c r="I2212" t="s">
        <v>8209</v>
      </c>
      <c r="J2212" t="s">
        <v>9059</v>
      </c>
      <c r="K2212">
        <v>11208</v>
      </c>
      <c r="L2212" t="s">
        <v>9094</v>
      </c>
      <c r="M2212" t="s">
        <v>9094</v>
      </c>
      <c r="N2212" t="s">
        <v>9994</v>
      </c>
      <c r="O2212" t="s">
        <v>11129</v>
      </c>
      <c r="P2212" t="s">
        <v>11165</v>
      </c>
      <c r="R2212" t="s">
        <v>11180</v>
      </c>
      <c r="S2212" t="s">
        <v>9096</v>
      </c>
      <c r="T2212" t="s">
        <v>11183</v>
      </c>
      <c r="V2212" t="s">
        <v>635</v>
      </c>
      <c r="W2212">
        <v>1088</v>
      </c>
      <c r="X2212" t="s">
        <v>11332</v>
      </c>
      <c r="Y2212" t="s">
        <v>11336</v>
      </c>
      <c r="Z2212" t="s">
        <v>12879</v>
      </c>
      <c r="AA2212" t="s">
        <v>15663</v>
      </c>
      <c r="AB2212" t="s">
        <v>17255</v>
      </c>
      <c r="AC2212">
        <v>6</v>
      </c>
      <c r="AE2212" t="s">
        <v>19580</v>
      </c>
      <c r="AF2212">
        <v>13</v>
      </c>
      <c r="AG2212">
        <v>1</v>
      </c>
      <c r="AH2212">
        <v>1</v>
      </c>
      <c r="AI2212">
        <v>78.98</v>
      </c>
      <c r="AL2212" t="s">
        <v>19614</v>
      </c>
      <c r="AM2212">
        <v>13000</v>
      </c>
      <c r="AS2212">
        <v>24.2</v>
      </c>
      <c r="AT2212" t="s">
        <v>1135</v>
      </c>
      <c r="AU2212" t="s">
        <v>20625</v>
      </c>
    </row>
    <row r="2213" spans="1:48">
      <c r="A2213" s="1">
        <f>HYPERLINK("https://lsnyc.legalserver.org/matter/dynamic-profile/view/1876713","18-1876713")</f>
        <v>0</v>
      </c>
      <c r="B2213" t="s">
        <v>119</v>
      </c>
      <c r="C2213" t="s">
        <v>256</v>
      </c>
      <c r="D2213" t="s">
        <v>593</v>
      </c>
      <c r="F2213" t="s">
        <v>2125</v>
      </c>
      <c r="G2213" t="s">
        <v>3550</v>
      </c>
      <c r="H2213" t="s">
        <v>6095</v>
      </c>
      <c r="J2213" t="s">
        <v>9065</v>
      </c>
      <c r="K2213">
        <v>10456</v>
      </c>
      <c r="L2213" t="s">
        <v>9094</v>
      </c>
      <c r="M2213" t="s">
        <v>9094</v>
      </c>
      <c r="N2213" t="s">
        <v>9419</v>
      </c>
      <c r="O2213" t="s">
        <v>11134</v>
      </c>
      <c r="P2213" t="s">
        <v>11168</v>
      </c>
      <c r="R2213" t="s">
        <v>11180</v>
      </c>
      <c r="S2213" t="s">
        <v>9094</v>
      </c>
      <c r="T2213" t="s">
        <v>11183</v>
      </c>
      <c r="V2213" t="s">
        <v>593</v>
      </c>
      <c r="W2213">
        <v>1238.23</v>
      </c>
      <c r="X2213" t="s">
        <v>11333</v>
      </c>
      <c r="Y2213" t="s">
        <v>11346</v>
      </c>
      <c r="Z2213" t="s">
        <v>12845</v>
      </c>
      <c r="AB2213" t="s">
        <v>17225</v>
      </c>
      <c r="AC2213">
        <v>131</v>
      </c>
      <c r="AD2213" t="s">
        <v>19566</v>
      </c>
      <c r="AE2213" t="s">
        <v>9144</v>
      </c>
      <c r="AF2213">
        <v>10</v>
      </c>
      <c r="AG2213">
        <v>1</v>
      </c>
      <c r="AH2213">
        <v>1</v>
      </c>
      <c r="AI2213">
        <v>78.98</v>
      </c>
      <c r="AL2213" t="s">
        <v>19614</v>
      </c>
      <c r="AM2213">
        <v>13000</v>
      </c>
      <c r="AS2213">
        <v>0</v>
      </c>
      <c r="AU2213" t="s">
        <v>163</v>
      </c>
    </row>
    <row r="2214" spans="1:48">
      <c r="A2214" s="1">
        <f>HYPERLINK("https://lsnyc.legalserver.org/matter/dynamic-profile/view/1886347","18-1886347")</f>
        <v>0</v>
      </c>
      <c r="B2214" t="s">
        <v>119</v>
      </c>
      <c r="C2214" t="s">
        <v>256</v>
      </c>
      <c r="D2214" t="s">
        <v>688</v>
      </c>
      <c r="F2214" t="s">
        <v>2125</v>
      </c>
      <c r="G2214" t="s">
        <v>3550</v>
      </c>
      <c r="H2214" t="s">
        <v>6095</v>
      </c>
      <c r="J2214" t="s">
        <v>9065</v>
      </c>
      <c r="K2214">
        <v>10456</v>
      </c>
      <c r="L2214" t="s">
        <v>9094</v>
      </c>
      <c r="M2214" t="s">
        <v>9094</v>
      </c>
      <c r="N2214" t="s">
        <v>9401</v>
      </c>
      <c r="O2214" t="s">
        <v>11134</v>
      </c>
      <c r="P2214" t="s">
        <v>11168</v>
      </c>
      <c r="R2214" t="s">
        <v>11180</v>
      </c>
      <c r="S2214" t="s">
        <v>9094</v>
      </c>
      <c r="T2214" t="s">
        <v>11183</v>
      </c>
      <c r="V2214" t="s">
        <v>738</v>
      </c>
      <c r="W2214">
        <v>1238.23</v>
      </c>
      <c r="X2214" t="s">
        <v>11333</v>
      </c>
      <c r="Y2214" t="s">
        <v>11346</v>
      </c>
      <c r="Z2214" t="s">
        <v>12845</v>
      </c>
      <c r="AB2214" t="s">
        <v>17225</v>
      </c>
      <c r="AC2214">
        <v>131</v>
      </c>
      <c r="AD2214" t="s">
        <v>19566</v>
      </c>
      <c r="AE2214" t="s">
        <v>9144</v>
      </c>
      <c r="AF2214">
        <v>10</v>
      </c>
      <c r="AG2214">
        <v>1</v>
      </c>
      <c r="AH2214">
        <v>1</v>
      </c>
      <c r="AI2214">
        <v>78.98</v>
      </c>
      <c r="AL2214" t="s">
        <v>19614</v>
      </c>
      <c r="AM2214">
        <v>13000</v>
      </c>
      <c r="AS2214">
        <v>0</v>
      </c>
      <c r="AU2214" t="s">
        <v>163</v>
      </c>
    </row>
    <row r="2215" spans="1:48">
      <c r="A2215" s="1">
        <f>HYPERLINK("https://lsnyc.legalserver.org/matter/dynamic-profile/view/1876708","18-1876708")</f>
        <v>0</v>
      </c>
      <c r="B2215" t="s">
        <v>119</v>
      </c>
      <c r="C2215" t="s">
        <v>256</v>
      </c>
      <c r="D2215" t="s">
        <v>593</v>
      </c>
      <c r="F2215" t="s">
        <v>2125</v>
      </c>
      <c r="G2215" t="s">
        <v>3550</v>
      </c>
      <c r="H2215" t="s">
        <v>6095</v>
      </c>
      <c r="J2215" t="s">
        <v>9065</v>
      </c>
      <c r="K2215">
        <v>10456</v>
      </c>
      <c r="L2215" t="s">
        <v>9094</v>
      </c>
      <c r="M2215" t="s">
        <v>9094</v>
      </c>
      <c r="N2215" t="s">
        <v>9403</v>
      </c>
      <c r="O2215" t="s">
        <v>11130</v>
      </c>
      <c r="P2215" t="s">
        <v>11165</v>
      </c>
      <c r="R2215" t="s">
        <v>11180</v>
      </c>
      <c r="S2215" t="s">
        <v>9094</v>
      </c>
      <c r="T2215" t="s">
        <v>11183</v>
      </c>
      <c r="V2215" t="s">
        <v>593</v>
      </c>
      <c r="W2215">
        <v>1238.23</v>
      </c>
      <c r="X2215" t="s">
        <v>11333</v>
      </c>
      <c r="Y2215" t="s">
        <v>11346</v>
      </c>
      <c r="Z2215" t="s">
        <v>12845</v>
      </c>
      <c r="AB2215" t="s">
        <v>17225</v>
      </c>
      <c r="AC2215">
        <v>131</v>
      </c>
      <c r="AD2215" t="s">
        <v>19566</v>
      </c>
      <c r="AE2215" t="s">
        <v>9144</v>
      </c>
      <c r="AF2215">
        <v>10</v>
      </c>
      <c r="AG2215">
        <v>1</v>
      </c>
      <c r="AH2215">
        <v>1</v>
      </c>
      <c r="AI2215">
        <v>78.98</v>
      </c>
      <c r="AL2215" t="s">
        <v>19614</v>
      </c>
      <c r="AM2215">
        <v>13000</v>
      </c>
      <c r="AS2215">
        <v>0</v>
      </c>
      <c r="AU2215" t="s">
        <v>163</v>
      </c>
    </row>
    <row r="2216" spans="1:48">
      <c r="A2216" s="1">
        <f>HYPERLINK("https://lsnyc.legalserver.org/matter/dynamic-profile/view/1845335","17-1845335")</f>
        <v>0</v>
      </c>
      <c r="B2216" t="s">
        <v>150</v>
      </c>
      <c r="C2216" t="s">
        <v>256</v>
      </c>
      <c r="D2216" t="s">
        <v>548</v>
      </c>
      <c r="F2216" t="s">
        <v>2145</v>
      </c>
      <c r="G2216" t="s">
        <v>4363</v>
      </c>
      <c r="H2216" t="s">
        <v>6207</v>
      </c>
      <c r="I2216" t="s">
        <v>8196</v>
      </c>
      <c r="J2216" t="s">
        <v>9059</v>
      </c>
      <c r="K2216">
        <v>11213</v>
      </c>
      <c r="L2216" t="s">
        <v>9094</v>
      </c>
      <c r="M2216" t="s">
        <v>9095</v>
      </c>
      <c r="O2216" t="s">
        <v>11130</v>
      </c>
      <c r="P2216" t="s">
        <v>11165</v>
      </c>
      <c r="R2216" t="s">
        <v>11180</v>
      </c>
      <c r="S2216" t="s">
        <v>9094</v>
      </c>
      <c r="T2216" t="s">
        <v>11183</v>
      </c>
      <c r="V2216" t="s">
        <v>837</v>
      </c>
      <c r="W2216">
        <v>1108.91</v>
      </c>
      <c r="X2216" t="s">
        <v>11332</v>
      </c>
      <c r="Z2216" t="s">
        <v>12880</v>
      </c>
      <c r="AC2216">
        <v>74</v>
      </c>
      <c r="AD2216" t="s">
        <v>19566</v>
      </c>
      <c r="AF2216">
        <v>25</v>
      </c>
      <c r="AG2216">
        <v>2</v>
      </c>
      <c r="AH2216">
        <v>0</v>
      </c>
      <c r="AI2216">
        <v>78.98999999999999</v>
      </c>
      <c r="AJ2216" t="s">
        <v>1108</v>
      </c>
      <c r="AL2216" t="s">
        <v>19614</v>
      </c>
      <c r="AM2216">
        <v>12828</v>
      </c>
      <c r="AS2216">
        <v>0</v>
      </c>
      <c r="AU2216" t="s">
        <v>20636</v>
      </c>
    </row>
    <row r="2217" spans="1:48">
      <c r="A2217" s="1">
        <f>HYPERLINK("https://lsnyc.legalserver.org/matter/dynamic-profile/view/1854196","17-1854196")</f>
        <v>0</v>
      </c>
      <c r="B2217" t="s">
        <v>103</v>
      </c>
      <c r="C2217" t="s">
        <v>256</v>
      </c>
      <c r="D2217" t="s">
        <v>789</v>
      </c>
      <c r="F2217" t="s">
        <v>2069</v>
      </c>
      <c r="G2217" t="s">
        <v>4317</v>
      </c>
      <c r="H2217" t="s">
        <v>6413</v>
      </c>
      <c r="I2217" t="s">
        <v>8475</v>
      </c>
      <c r="J2217" t="s">
        <v>9065</v>
      </c>
      <c r="K2217">
        <v>10456</v>
      </c>
      <c r="L2217" t="s">
        <v>9094</v>
      </c>
      <c r="M2217" t="s">
        <v>9095</v>
      </c>
      <c r="N2217" t="s">
        <v>9740</v>
      </c>
      <c r="O2217" t="s">
        <v>11135</v>
      </c>
      <c r="P2217" t="s">
        <v>11168</v>
      </c>
      <c r="R2217" t="s">
        <v>11180</v>
      </c>
      <c r="S2217" t="s">
        <v>9094</v>
      </c>
      <c r="T2217" t="s">
        <v>11183</v>
      </c>
      <c r="V2217" t="s">
        <v>11223</v>
      </c>
      <c r="W2217">
        <v>1119.98</v>
      </c>
      <c r="X2217" t="s">
        <v>11333</v>
      </c>
      <c r="Y2217" t="s">
        <v>11346</v>
      </c>
      <c r="Z2217" t="s">
        <v>12800</v>
      </c>
      <c r="AB2217" t="s">
        <v>17181</v>
      </c>
      <c r="AC2217">
        <v>61</v>
      </c>
      <c r="AD2217" t="s">
        <v>19566</v>
      </c>
      <c r="AE2217" t="s">
        <v>9144</v>
      </c>
      <c r="AF2217">
        <v>43</v>
      </c>
      <c r="AG2217">
        <v>2</v>
      </c>
      <c r="AH2217">
        <v>0</v>
      </c>
      <c r="AI2217">
        <v>78.98999999999999</v>
      </c>
      <c r="AJ2217" t="s">
        <v>19597</v>
      </c>
      <c r="AL2217" t="s">
        <v>19615</v>
      </c>
      <c r="AM2217">
        <v>12828</v>
      </c>
      <c r="AS2217">
        <v>0</v>
      </c>
      <c r="AU2217" t="s">
        <v>20643</v>
      </c>
    </row>
    <row r="2218" spans="1:48">
      <c r="A2218" s="1">
        <f>HYPERLINK("https://lsnyc.legalserver.org/matter/dynamic-profile/view/1906917","19-1906917")</f>
        <v>0</v>
      </c>
      <c r="B2218" t="s">
        <v>99</v>
      </c>
      <c r="C2218" t="s">
        <v>257</v>
      </c>
      <c r="D2218" t="s">
        <v>370</v>
      </c>
      <c r="E2218" t="s">
        <v>779</v>
      </c>
      <c r="F2218" t="s">
        <v>1146</v>
      </c>
      <c r="G2218" t="s">
        <v>3688</v>
      </c>
      <c r="H2218" t="s">
        <v>6831</v>
      </c>
      <c r="I2218" t="s">
        <v>8568</v>
      </c>
      <c r="J2218" t="s">
        <v>9065</v>
      </c>
      <c r="K2218">
        <v>10452</v>
      </c>
      <c r="L2218" t="s">
        <v>9094</v>
      </c>
      <c r="M2218" t="s">
        <v>9095</v>
      </c>
      <c r="O2218" t="s">
        <v>9121</v>
      </c>
      <c r="P2218" t="s">
        <v>11167</v>
      </c>
      <c r="Q2218" t="s">
        <v>11173</v>
      </c>
      <c r="R2218" t="s">
        <v>11180</v>
      </c>
      <c r="S2218" t="s">
        <v>9096</v>
      </c>
      <c r="T2218" t="s">
        <v>11183</v>
      </c>
      <c r="V2218" t="s">
        <v>396</v>
      </c>
      <c r="W2218">
        <v>422.23</v>
      </c>
      <c r="X2218" t="s">
        <v>11333</v>
      </c>
      <c r="Y2218" t="s">
        <v>11346</v>
      </c>
      <c r="Z2218" t="s">
        <v>12838</v>
      </c>
      <c r="AB2218" t="s">
        <v>17219</v>
      </c>
      <c r="AC2218">
        <v>60</v>
      </c>
      <c r="AD2218" t="s">
        <v>19569</v>
      </c>
      <c r="AE2218" t="s">
        <v>19587</v>
      </c>
      <c r="AF2218">
        <v>0</v>
      </c>
      <c r="AG2218">
        <v>1</v>
      </c>
      <c r="AH2218">
        <v>0</v>
      </c>
      <c r="AI2218">
        <v>79.06999999999999</v>
      </c>
      <c r="AL2218" t="s">
        <v>19615</v>
      </c>
      <c r="AM2218">
        <v>9876</v>
      </c>
      <c r="AS2218">
        <v>1.4</v>
      </c>
      <c r="AT2218" t="s">
        <v>779</v>
      </c>
      <c r="AU2218" t="s">
        <v>99</v>
      </c>
      <c r="AV2218" t="s">
        <v>20733</v>
      </c>
    </row>
    <row r="2219" spans="1:48">
      <c r="A2219" s="1">
        <f>HYPERLINK("https://lsnyc.legalserver.org/matter/dynamic-profile/view/1883701","18-1883701")</f>
        <v>0</v>
      </c>
      <c r="B2219" t="s">
        <v>64</v>
      </c>
      <c r="C2219" t="s">
        <v>257</v>
      </c>
      <c r="D2219" t="s">
        <v>371</v>
      </c>
      <c r="E2219" t="s">
        <v>331</v>
      </c>
      <c r="F2219" t="s">
        <v>1212</v>
      </c>
      <c r="G2219" t="s">
        <v>3971</v>
      </c>
      <c r="H2219" t="s">
        <v>6590</v>
      </c>
      <c r="I2219" t="s">
        <v>8229</v>
      </c>
      <c r="J2219" t="s">
        <v>9059</v>
      </c>
      <c r="K2219">
        <v>11233</v>
      </c>
      <c r="L2219" t="s">
        <v>9094</v>
      </c>
      <c r="M2219" t="s">
        <v>9094</v>
      </c>
      <c r="N2219" t="s">
        <v>9995</v>
      </c>
      <c r="O2219" t="s">
        <v>11129</v>
      </c>
      <c r="P2219" t="s">
        <v>11165</v>
      </c>
      <c r="Q2219" t="s">
        <v>11174</v>
      </c>
      <c r="R2219" t="s">
        <v>11180</v>
      </c>
      <c r="S2219" t="s">
        <v>9096</v>
      </c>
      <c r="T2219" t="s">
        <v>11183</v>
      </c>
      <c r="U2219" t="s">
        <v>11201</v>
      </c>
      <c r="V2219" t="s">
        <v>784</v>
      </c>
      <c r="W2219">
        <v>1400</v>
      </c>
      <c r="X2219" t="s">
        <v>11332</v>
      </c>
      <c r="Y2219" t="s">
        <v>11341</v>
      </c>
      <c r="Z2219" t="s">
        <v>12881</v>
      </c>
      <c r="AA2219" t="s">
        <v>15664</v>
      </c>
      <c r="AB2219" t="s">
        <v>17256</v>
      </c>
      <c r="AC2219">
        <v>44</v>
      </c>
      <c r="AD2219" t="s">
        <v>19567</v>
      </c>
      <c r="AE2219" t="s">
        <v>19580</v>
      </c>
      <c r="AF2219">
        <v>32</v>
      </c>
      <c r="AG2219">
        <v>1</v>
      </c>
      <c r="AH2219">
        <v>0</v>
      </c>
      <c r="AI2219">
        <v>79.08</v>
      </c>
      <c r="AL2219" t="s">
        <v>19614</v>
      </c>
      <c r="AM2219">
        <v>9600</v>
      </c>
      <c r="AS2219">
        <v>6.4</v>
      </c>
      <c r="AT2219" t="s">
        <v>11240</v>
      </c>
      <c r="AU2219" t="s">
        <v>95</v>
      </c>
    </row>
    <row r="2220" spans="1:48">
      <c r="A2220" s="1">
        <f>HYPERLINK("https://lsnyc.legalserver.org/matter/dynamic-profile/view/1870868","18-1870868")</f>
        <v>0</v>
      </c>
      <c r="B2220" t="s">
        <v>86</v>
      </c>
      <c r="C2220" t="s">
        <v>256</v>
      </c>
      <c r="D2220" t="s">
        <v>659</v>
      </c>
      <c r="F2220" t="s">
        <v>2146</v>
      </c>
      <c r="G2220" t="s">
        <v>3486</v>
      </c>
      <c r="H2220" t="s">
        <v>5786</v>
      </c>
      <c r="I2220" t="s">
        <v>8579</v>
      </c>
      <c r="J2220" t="s">
        <v>9059</v>
      </c>
      <c r="K2220">
        <v>11225</v>
      </c>
      <c r="L2220" t="s">
        <v>9094</v>
      </c>
      <c r="M2220" t="s">
        <v>9095</v>
      </c>
      <c r="O2220" t="s">
        <v>11130</v>
      </c>
      <c r="P2220" t="s">
        <v>11165</v>
      </c>
      <c r="R2220" t="s">
        <v>11180</v>
      </c>
      <c r="S2220" t="s">
        <v>9094</v>
      </c>
      <c r="T2220" t="s">
        <v>11183</v>
      </c>
      <c r="V2220" t="s">
        <v>917</v>
      </c>
      <c r="W2220">
        <v>0</v>
      </c>
      <c r="X2220" t="s">
        <v>11332</v>
      </c>
      <c r="Y2220" t="s">
        <v>11346</v>
      </c>
      <c r="Z2220" t="s">
        <v>12882</v>
      </c>
      <c r="AC2220">
        <v>47</v>
      </c>
      <c r="AD2220" t="s">
        <v>19566</v>
      </c>
      <c r="AE2220" t="s">
        <v>9144</v>
      </c>
      <c r="AF2220">
        <v>28</v>
      </c>
      <c r="AG2220">
        <v>1</v>
      </c>
      <c r="AH2220">
        <v>0</v>
      </c>
      <c r="AI2220">
        <v>79.08</v>
      </c>
      <c r="AL2220" t="s">
        <v>19614</v>
      </c>
      <c r="AM2220">
        <v>9600</v>
      </c>
      <c r="AS2220">
        <v>1</v>
      </c>
      <c r="AT2220" t="s">
        <v>555</v>
      </c>
      <c r="AU2220" t="s">
        <v>20630</v>
      </c>
    </row>
    <row r="2221" spans="1:48">
      <c r="A2221" s="1">
        <f>HYPERLINK("https://lsnyc.legalserver.org/matter/dynamic-profile/view/1884048","18-1884048")</f>
        <v>0</v>
      </c>
      <c r="B2221" t="s">
        <v>64</v>
      </c>
      <c r="C2221" t="s">
        <v>257</v>
      </c>
      <c r="D2221" t="s">
        <v>358</v>
      </c>
      <c r="E2221" t="s">
        <v>549</v>
      </c>
      <c r="F2221" t="s">
        <v>1319</v>
      </c>
      <c r="G2221" t="s">
        <v>4364</v>
      </c>
      <c r="H2221" t="s">
        <v>6859</v>
      </c>
      <c r="I2221" t="s">
        <v>8132</v>
      </c>
      <c r="J2221" t="s">
        <v>9059</v>
      </c>
      <c r="K2221">
        <v>11209</v>
      </c>
      <c r="L2221" t="s">
        <v>9096</v>
      </c>
      <c r="M2221" t="s">
        <v>9095</v>
      </c>
      <c r="O2221" t="s">
        <v>9121</v>
      </c>
      <c r="Q2221" t="s">
        <v>11172</v>
      </c>
      <c r="R2221" t="s">
        <v>11180</v>
      </c>
      <c r="T2221" t="s">
        <v>11183</v>
      </c>
      <c r="W2221">
        <v>0</v>
      </c>
      <c r="X2221" t="s">
        <v>11332</v>
      </c>
      <c r="Z2221" t="s">
        <v>12883</v>
      </c>
      <c r="AB2221" t="s">
        <v>17257</v>
      </c>
      <c r="AC2221">
        <v>0</v>
      </c>
      <c r="AD2221" t="s">
        <v>15441</v>
      </c>
      <c r="AE2221" t="s">
        <v>9144</v>
      </c>
      <c r="AF2221">
        <v>25</v>
      </c>
      <c r="AG2221">
        <v>1</v>
      </c>
      <c r="AH2221">
        <v>0</v>
      </c>
      <c r="AI2221">
        <v>79.08</v>
      </c>
      <c r="AL2221" t="s">
        <v>19614</v>
      </c>
      <c r="AM2221">
        <v>9600</v>
      </c>
      <c r="AS2221">
        <v>1.2</v>
      </c>
      <c r="AT2221" t="s">
        <v>511</v>
      </c>
      <c r="AU2221" t="s">
        <v>20660</v>
      </c>
      <c r="AV2221" t="s">
        <v>9144</v>
      </c>
    </row>
    <row r="2222" spans="1:48">
      <c r="A2222" s="1">
        <f>HYPERLINK("https://lsnyc.legalserver.org/matter/dynamic-profile/view/1887646","19-1887646")</f>
        <v>0</v>
      </c>
      <c r="B2222" t="s">
        <v>119</v>
      </c>
      <c r="C2222" t="s">
        <v>256</v>
      </c>
      <c r="D2222" t="s">
        <v>650</v>
      </c>
      <c r="F2222" t="s">
        <v>2147</v>
      </c>
      <c r="G2222" t="s">
        <v>4365</v>
      </c>
      <c r="H2222" t="s">
        <v>6860</v>
      </c>
      <c r="I2222" t="s">
        <v>8175</v>
      </c>
      <c r="J2222" t="s">
        <v>9065</v>
      </c>
      <c r="K2222">
        <v>10453</v>
      </c>
      <c r="L2222" t="s">
        <v>9094</v>
      </c>
      <c r="M2222" t="s">
        <v>9094</v>
      </c>
      <c r="O2222" t="s">
        <v>11130</v>
      </c>
      <c r="P2222" t="s">
        <v>11165</v>
      </c>
      <c r="R2222" t="s">
        <v>11180</v>
      </c>
      <c r="S2222" t="s">
        <v>9096</v>
      </c>
      <c r="T2222" t="s">
        <v>11183</v>
      </c>
      <c r="V2222" t="s">
        <v>363</v>
      </c>
      <c r="W2222">
        <v>1039.51</v>
      </c>
      <c r="X2222" t="s">
        <v>11333</v>
      </c>
      <c r="Y2222" t="s">
        <v>11346</v>
      </c>
      <c r="Z2222" t="s">
        <v>12884</v>
      </c>
      <c r="AB2222" t="s">
        <v>17258</v>
      </c>
      <c r="AC2222">
        <v>69</v>
      </c>
      <c r="AD2222" t="s">
        <v>19566</v>
      </c>
      <c r="AE2222" t="s">
        <v>9144</v>
      </c>
      <c r="AF2222">
        <v>15</v>
      </c>
      <c r="AG2222">
        <v>1</v>
      </c>
      <c r="AH2222">
        <v>0</v>
      </c>
      <c r="AI2222">
        <v>79.08</v>
      </c>
      <c r="AL2222" t="s">
        <v>5133</v>
      </c>
      <c r="AM2222">
        <v>9600</v>
      </c>
      <c r="AS2222">
        <v>44.45</v>
      </c>
      <c r="AT2222" t="s">
        <v>476</v>
      </c>
      <c r="AU2222" t="s">
        <v>163</v>
      </c>
    </row>
    <row r="2223" spans="1:48">
      <c r="A2223" s="1">
        <f>HYPERLINK("https://lsnyc.legalserver.org/matter/dynamic-profile/view/1862986","18-1862986")</f>
        <v>0</v>
      </c>
      <c r="B2223" t="s">
        <v>119</v>
      </c>
      <c r="C2223" t="s">
        <v>256</v>
      </c>
      <c r="D2223" t="s">
        <v>873</v>
      </c>
      <c r="F2223" t="s">
        <v>2147</v>
      </c>
      <c r="G2223" t="s">
        <v>4365</v>
      </c>
      <c r="H2223" t="s">
        <v>6860</v>
      </c>
      <c r="I2223" t="s">
        <v>8175</v>
      </c>
      <c r="J2223" t="s">
        <v>9065</v>
      </c>
      <c r="K2223">
        <v>10453</v>
      </c>
      <c r="L2223" t="s">
        <v>9094</v>
      </c>
      <c r="M2223" t="s">
        <v>9095</v>
      </c>
      <c r="N2223" t="s">
        <v>9996</v>
      </c>
      <c r="O2223" t="s">
        <v>11129</v>
      </c>
      <c r="P2223" t="s">
        <v>11165</v>
      </c>
      <c r="R2223" t="s">
        <v>11180</v>
      </c>
      <c r="S2223" t="s">
        <v>9096</v>
      </c>
      <c r="T2223" t="s">
        <v>11183</v>
      </c>
      <c r="V2223" t="s">
        <v>675</v>
      </c>
      <c r="W2223">
        <v>1039.51</v>
      </c>
      <c r="X2223" t="s">
        <v>11333</v>
      </c>
      <c r="Y2223" t="s">
        <v>11346</v>
      </c>
      <c r="Z2223" t="s">
        <v>12884</v>
      </c>
      <c r="AB2223" t="s">
        <v>17258</v>
      </c>
      <c r="AC2223">
        <v>69</v>
      </c>
      <c r="AD2223" t="s">
        <v>19566</v>
      </c>
      <c r="AE2223" t="s">
        <v>9144</v>
      </c>
      <c r="AF2223">
        <v>15</v>
      </c>
      <c r="AG2223">
        <v>1</v>
      </c>
      <c r="AH2223">
        <v>0</v>
      </c>
      <c r="AI2223">
        <v>79.08</v>
      </c>
      <c r="AL2223" t="s">
        <v>5133</v>
      </c>
      <c r="AM2223">
        <v>9600</v>
      </c>
      <c r="AN2223" t="s">
        <v>19854</v>
      </c>
      <c r="AS2223">
        <v>42.2</v>
      </c>
      <c r="AT2223" t="s">
        <v>407</v>
      </c>
      <c r="AU2223" t="s">
        <v>163</v>
      </c>
    </row>
    <row r="2224" spans="1:48">
      <c r="A2224" s="1">
        <f>HYPERLINK("https://lsnyc.legalserver.org/matter/dynamic-profile/view/1868343","18-1868343")</f>
        <v>0</v>
      </c>
      <c r="B2224" t="s">
        <v>111</v>
      </c>
      <c r="C2224" t="s">
        <v>256</v>
      </c>
      <c r="D2224" t="s">
        <v>708</v>
      </c>
      <c r="F2224" t="s">
        <v>2148</v>
      </c>
      <c r="G2224" t="s">
        <v>4366</v>
      </c>
      <c r="H2224" t="s">
        <v>6861</v>
      </c>
      <c r="I2224" t="s">
        <v>8580</v>
      </c>
      <c r="J2224" t="s">
        <v>9065</v>
      </c>
      <c r="K2224">
        <v>10453</v>
      </c>
      <c r="L2224" t="s">
        <v>9094</v>
      </c>
      <c r="M2224" t="s">
        <v>9095</v>
      </c>
      <c r="N2224" t="s">
        <v>9997</v>
      </c>
      <c r="O2224" t="s">
        <v>11129</v>
      </c>
      <c r="P2224" t="s">
        <v>11165</v>
      </c>
      <c r="R2224" t="s">
        <v>11180</v>
      </c>
      <c r="S2224" t="s">
        <v>9096</v>
      </c>
      <c r="T2224" t="s">
        <v>11183</v>
      </c>
      <c r="V2224" t="s">
        <v>675</v>
      </c>
      <c r="W2224">
        <v>1130.25</v>
      </c>
      <c r="X2224" t="s">
        <v>11333</v>
      </c>
      <c r="Y2224" t="s">
        <v>11340</v>
      </c>
      <c r="Z2224" t="s">
        <v>12885</v>
      </c>
      <c r="AB2224" t="s">
        <v>17259</v>
      </c>
      <c r="AC2224">
        <v>46</v>
      </c>
      <c r="AD2224" t="s">
        <v>19566</v>
      </c>
      <c r="AE2224" t="s">
        <v>19585</v>
      </c>
      <c r="AF2224">
        <v>5</v>
      </c>
      <c r="AG2224">
        <v>1</v>
      </c>
      <c r="AH2224">
        <v>0</v>
      </c>
      <c r="AI2224">
        <v>79.08</v>
      </c>
      <c r="AL2224" t="s">
        <v>19614</v>
      </c>
      <c r="AM2224">
        <v>9600</v>
      </c>
      <c r="AO2224" t="s">
        <v>20294</v>
      </c>
      <c r="AP2224" t="s">
        <v>20309</v>
      </c>
      <c r="AQ2224" t="s">
        <v>20369</v>
      </c>
      <c r="AR2224" t="s">
        <v>20491</v>
      </c>
      <c r="AS2224">
        <v>23.8</v>
      </c>
      <c r="AT2224" t="s">
        <v>1061</v>
      </c>
      <c r="AU2224" t="s">
        <v>20642</v>
      </c>
    </row>
    <row r="2225" spans="1:48">
      <c r="A2225" s="1">
        <f>HYPERLINK("https://lsnyc.legalserver.org/matter/dynamic-profile/view/1866214","18-1866214")</f>
        <v>0</v>
      </c>
      <c r="B2225" t="s">
        <v>135</v>
      </c>
      <c r="C2225" t="s">
        <v>256</v>
      </c>
      <c r="D2225" t="s">
        <v>696</v>
      </c>
      <c r="F2225" t="s">
        <v>2149</v>
      </c>
      <c r="G2225" t="s">
        <v>3572</v>
      </c>
      <c r="H2225" t="s">
        <v>6862</v>
      </c>
      <c r="I2225">
        <v>3</v>
      </c>
      <c r="J2225" t="s">
        <v>9067</v>
      </c>
      <c r="K2225">
        <v>10035</v>
      </c>
      <c r="L2225" t="s">
        <v>9094</v>
      </c>
      <c r="M2225" t="s">
        <v>9094</v>
      </c>
      <c r="O2225" t="s">
        <v>9121</v>
      </c>
      <c r="P2225" t="s">
        <v>11167</v>
      </c>
      <c r="R2225" t="s">
        <v>11180</v>
      </c>
      <c r="S2225" t="s">
        <v>9096</v>
      </c>
      <c r="T2225" t="s">
        <v>11190</v>
      </c>
      <c r="V2225" t="s">
        <v>930</v>
      </c>
      <c r="W2225">
        <v>900</v>
      </c>
      <c r="X2225" t="s">
        <v>11335</v>
      </c>
      <c r="Y2225" t="s">
        <v>11354</v>
      </c>
      <c r="Z2225" t="s">
        <v>12886</v>
      </c>
      <c r="AB2225" t="s">
        <v>17260</v>
      </c>
      <c r="AC2225">
        <v>6</v>
      </c>
      <c r="AD2225" t="s">
        <v>19566</v>
      </c>
      <c r="AE2225" t="s">
        <v>19580</v>
      </c>
      <c r="AF2225">
        <v>17</v>
      </c>
      <c r="AG2225">
        <v>1</v>
      </c>
      <c r="AH2225">
        <v>0</v>
      </c>
      <c r="AI2225">
        <v>79.08</v>
      </c>
      <c r="AL2225" t="s">
        <v>19614</v>
      </c>
      <c r="AM2225">
        <v>9600</v>
      </c>
      <c r="AS2225">
        <v>38.93</v>
      </c>
      <c r="AT2225" t="s">
        <v>377</v>
      </c>
      <c r="AU2225" t="s">
        <v>20635</v>
      </c>
    </row>
    <row r="2226" spans="1:48">
      <c r="A2226" s="1">
        <f>HYPERLINK("https://lsnyc.legalserver.org/matter/dynamic-profile/view/1863799","18-1863799")</f>
        <v>0</v>
      </c>
      <c r="B2226" t="s">
        <v>141</v>
      </c>
      <c r="C2226" t="s">
        <v>256</v>
      </c>
      <c r="D2226" t="s">
        <v>504</v>
      </c>
      <c r="F2226" t="s">
        <v>2150</v>
      </c>
      <c r="G2226" t="s">
        <v>4367</v>
      </c>
      <c r="H2226" t="s">
        <v>5952</v>
      </c>
      <c r="I2226" t="s">
        <v>8133</v>
      </c>
      <c r="J2226" t="s">
        <v>9067</v>
      </c>
      <c r="K2226">
        <v>10033</v>
      </c>
      <c r="L2226" t="s">
        <v>9094</v>
      </c>
      <c r="M2226" t="s">
        <v>9095</v>
      </c>
      <c r="O2226" t="s">
        <v>11135</v>
      </c>
      <c r="P2226" t="s">
        <v>11168</v>
      </c>
      <c r="R2226" t="s">
        <v>11180</v>
      </c>
      <c r="S2226" t="s">
        <v>9094</v>
      </c>
      <c r="T2226" t="s">
        <v>11183</v>
      </c>
      <c r="V2226" t="s">
        <v>504</v>
      </c>
      <c r="W2226">
        <v>181</v>
      </c>
      <c r="X2226" t="s">
        <v>11335</v>
      </c>
      <c r="Y2226" t="s">
        <v>11340</v>
      </c>
      <c r="Z2226" t="s">
        <v>12887</v>
      </c>
      <c r="AC2226">
        <v>20</v>
      </c>
      <c r="AD2226" t="s">
        <v>19566</v>
      </c>
      <c r="AE2226" t="s">
        <v>9144</v>
      </c>
      <c r="AF2226">
        <v>20</v>
      </c>
      <c r="AG2226">
        <v>1</v>
      </c>
      <c r="AH2226">
        <v>0</v>
      </c>
      <c r="AI2226">
        <v>79.08</v>
      </c>
      <c r="AJ2226" t="s">
        <v>973</v>
      </c>
      <c r="AL2226" t="s">
        <v>19615</v>
      </c>
      <c r="AM2226">
        <v>9600</v>
      </c>
      <c r="AS2226">
        <v>0</v>
      </c>
      <c r="AU2226" t="s">
        <v>130</v>
      </c>
    </row>
    <row r="2227" spans="1:48">
      <c r="A2227" s="1">
        <f>HYPERLINK("https://lsnyc.legalserver.org/matter/dynamic-profile/view/1878828","18-1878828")</f>
        <v>0</v>
      </c>
      <c r="B2227" t="s">
        <v>69</v>
      </c>
      <c r="C2227" t="s">
        <v>256</v>
      </c>
      <c r="D2227" t="s">
        <v>701</v>
      </c>
      <c r="F2227" t="s">
        <v>2151</v>
      </c>
      <c r="G2227" t="s">
        <v>3365</v>
      </c>
      <c r="H2227" t="s">
        <v>6863</v>
      </c>
      <c r="I2227" t="s">
        <v>8581</v>
      </c>
      <c r="J2227" t="s">
        <v>9067</v>
      </c>
      <c r="K2227">
        <v>10029</v>
      </c>
      <c r="L2227" t="s">
        <v>9094</v>
      </c>
      <c r="M2227" t="s">
        <v>9094</v>
      </c>
      <c r="O2227" t="s">
        <v>11131</v>
      </c>
      <c r="P2227" t="s">
        <v>11167</v>
      </c>
      <c r="R2227" t="s">
        <v>11180</v>
      </c>
      <c r="S2227" t="s">
        <v>9096</v>
      </c>
      <c r="T2227" t="s">
        <v>11191</v>
      </c>
      <c r="U2227" t="s">
        <v>11201</v>
      </c>
      <c r="V2227" t="s">
        <v>701</v>
      </c>
      <c r="W2227">
        <v>1146</v>
      </c>
      <c r="X2227" t="s">
        <v>11335</v>
      </c>
      <c r="Y2227" t="s">
        <v>11347</v>
      </c>
      <c r="Z2227" t="s">
        <v>12888</v>
      </c>
      <c r="AB2227" t="s">
        <v>15274</v>
      </c>
      <c r="AC2227">
        <v>400</v>
      </c>
      <c r="AD2227" t="s">
        <v>19568</v>
      </c>
      <c r="AE2227" t="s">
        <v>19587</v>
      </c>
      <c r="AF2227">
        <v>41</v>
      </c>
      <c r="AG2227">
        <v>1</v>
      </c>
      <c r="AH2227">
        <v>0</v>
      </c>
      <c r="AI2227">
        <v>79.08</v>
      </c>
      <c r="AL2227" t="s">
        <v>19614</v>
      </c>
      <c r="AM2227">
        <v>9600</v>
      </c>
      <c r="AS2227">
        <v>2.6</v>
      </c>
      <c r="AT2227" t="s">
        <v>426</v>
      </c>
      <c r="AU2227" t="s">
        <v>20657</v>
      </c>
    </row>
    <row r="2228" spans="1:48">
      <c r="A2228" s="1">
        <f>HYPERLINK("https://lsnyc.legalserver.org/matter/dynamic-profile/view/0807023","16-0807023")</f>
        <v>0</v>
      </c>
      <c r="B2228" t="s">
        <v>94</v>
      </c>
      <c r="C2228" t="s">
        <v>257</v>
      </c>
      <c r="D2228" t="s">
        <v>907</v>
      </c>
      <c r="E2228" t="s">
        <v>498</v>
      </c>
      <c r="F2228" t="s">
        <v>2152</v>
      </c>
      <c r="G2228" t="s">
        <v>4368</v>
      </c>
      <c r="H2228" t="s">
        <v>6864</v>
      </c>
      <c r="I2228">
        <v>50</v>
      </c>
      <c r="J2228" t="s">
        <v>9059</v>
      </c>
      <c r="K2228">
        <v>11203</v>
      </c>
      <c r="L2228" t="s">
        <v>9094</v>
      </c>
      <c r="M2228" t="s">
        <v>9095</v>
      </c>
      <c r="N2228" t="s">
        <v>9998</v>
      </c>
      <c r="O2228" t="s">
        <v>11128</v>
      </c>
      <c r="P2228" t="s">
        <v>11165</v>
      </c>
      <c r="Q2228" t="s">
        <v>11172</v>
      </c>
      <c r="R2228" t="s">
        <v>11180</v>
      </c>
      <c r="T2228" t="s">
        <v>11183</v>
      </c>
      <c r="U2228" t="s">
        <v>11201</v>
      </c>
      <c r="V2228" t="s">
        <v>907</v>
      </c>
      <c r="W2228">
        <v>246</v>
      </c>
      <c r="X2228" t="s">
        <v>11332</v>
      </c>
      <c r="Y2228" t="s">
        <v>11349</v>
      </c>
      <c r="Z2228" t="s">
        <v>12889</v>
      </c>
      <c r="AB2228" t="s">
        <v>17261</v>
      </c>
      <c r="AC2228">
        <v>100</v>
      </c>
      <c r="AD2228" t="s">
        <v>19566</v>
      </c>
      <c r="AF2228">
        <v>4</v>
      </c>
      <c r="AG2228">
        <v>1</v>
      </c>
      <c r="AH2228">
        <v>0</v>
      </c>
      <c r="AI2228">
        <v>79.09</v>
      </c>
      <c r="AM2228">
        <v>9396</v>
      </c>
      <c r="AP2228" t="s">
        <v>20309</v>
      </c>
      <c r="AQ2228" t="s">
        <v>20369</v>
      </c>
      <c r="AR2228" t="s">
        <v>20463</v>
      </c>
      <c r="AS2228">
        <v>157.45</v>
      </c>
      <c r="AT2228" t="s">
        <v>904</v>
      </c>
      <c r="AU2228" t="s">
        <v>20628</v>
      </c>
      <c r="AV2228" t="s">
        <v>20733</v>
      </c>
    </row>
    <row r="2229" spans="1:48">
      <c r="A2229" s="1">
        <f>HYPERLINK("https://lsnyc.legalserver.org/matter/dynamic-profile/view/1887963","19-1887963")</f>
        <v>0</v>
      </c>
      <c r="B2229" t="s">
        <v>138</v>
      </c>
      <c r="C2229" t="s">
        <v>256</v>
      </c>
      <c r="D2229" t="s">
        <v>443</v>
      </c>
      <c r="F2229" t="s">
        <v>2045</v>
      </c>
      <c r="G2229" t="s">
        <v>4369</v>
      </c>
      <c r="H2229" t="s">
        <v>6093</v>
      </c>
      <c r="I2229">
        <v>22</v>
      </c>
      <c r="J2229" t="s">
        <v>9067</v>
      </c>
      <c r="K2229">
        <v>10034</v>
      </c>
      <c r="L2229" t="s">
        <v>9094</v>
      </c>
      <c r="M2229" t="s">
        <v>9094</v>
      </c>
      <c r="N2229" t="s">
        <v>9999</v>
      </c>
      <c r="O2229" t="s">
        <v>11130</v>
      </c>
      <c r="P2229" t="s">
        <v>11165</v>
      </c>
      <c r="R2229" t="s">
        <v>11180</v>
      </c>
      <c r="S2229" t="s">
        <v>9094</v>
      </c>
      <c r="T2229" t="s">
        <v>11183</v>
      </c>
      <c r="V2229" t="s">
        <v>443</v>
      </c>
      <c r="W2229">
        <v>174.62</v>
      </c>
      <c r="X2229" t="s">
        <v>11335</v>
      </c>
      <c r="Y2229" t="s">
        <v>11338</v>
      </c>
      <c r="Z2229" t="s">
        <v>12890</v>
      </c>
      <c r="AA2229">
        <v>81732</v>
      </c>
      <c r="AC2229">
        <v>25</v>
      </c>
      <c r="AD2229" t="s">
        <v>19566</v>
      </c>
      <c r="AE2229" t="s">
        <v>9144</v>
      </c>
      <c r="AF2229">
        <v>40</v>
      </c>
      <c r="AG2229">
        <v>1</v>
      </c>
      <c r="AH2229">
        <v>0</v>
      </c>
      <c r="AI2229">
        <v>79.12</v>
      </c>
      <c r="AL2229" t="s">
        <v>19615</v>
      </c>
      <c r="AM2229">
        <v>9604.799999999999</v>
      </c>
      <c r="AS2229">
        <v>0.3</v>
      </c>
      <c r="AT2229" t="s">
        <v>1135</v>
      </c>
      <c r="AU2229" t="s">
        <v>130</v>
      </c>
    </row>
    <row r="2230" spans="1:48">
      <c r="A2230" s="1">
        <f>HYPERLINK("https://lsnyc.legalserver.org/matter/dynamic-profile/view/1850261","17-1850261")</f>
        <v>0</v>
      </c>
      <c r="B2230" t="s">
        <v>122</v>
      </c>
      <c r="C2230" t="s">
        <v>256</v>
      </c>
      <c r="D2230" t="s">
        <v>729</v>
      </c>
      <c r="F2230" t="s">
        <v>2153</v>
      </c>
      <c r="G2230" t="s">
        <v>4370</v>
      </c>
      <c r="H2230" t="s">
        <v>6865</v>
      </c>
      <c r="I2230" t="s">
        <v>8142</v>
      </c>
      <c r="J2230" t="s">
        <v>9066</v>
      </c>
      <c r="K2230">
        <v>10304</v>
      </c>
      <c r="L2230" t="s">
        <v>9094</v>
      </c>
      <c r="M2230" t="s">
        <v>9095</v>
      </c>
      <c r="N2230" t="s">
        <v>10000</v>
      </c>
      <c r="O2230" t="s">
        <v>11151</v>
      </c>
      <c r="P2230" t="s">
        <v>11165</v>
      </c>
      <c r="R2230" t="s">
        <v>11180</v>
      </c>
      <c r="S2230" t="s">
        <v>9096</v>
      </c>
      <c r="T2230" t="s">
        <v>11183</v>
      </c>
      <c r="U2230" t="s">
        <v>11201</v>
      </c>
      <c r="V2230" t="s">
        <v>729</v>
      </c>
      <c r="W2230">
        <v>1170</v>
      </c>
      <c r="X2230" t="s">
        <v>11334</v>
      </c>
      <c r="Y2230" t="s">
        <v>11339</v>
      </c>
      <c r="Z2230" t="s">
        <v>12891</v>
      </c>
      <c r="AB2230" t="s">
        <v>17262</v>
      </c>
      <c r="AC2230">
        <v>362</v>
      </c>
      <c r="AD2230" t="s">
        <v>19567</v>
      </c>
      <c r="AE2230" t="s">
        <v>19580</v>
      </c>
      <c r="AF2230">
        <v>7</v>
      </c>
      <c r="AG2230">
        <v>1</v>
      </c>
      <c r="AH2230">
        <v>0</v>
      </c>
      <c r="AI2230">
        <v>79.2</v>
      </c>
      <c r="AL2230" t="s">
        <v>19614</v>
      </c>
      <c r="AM2230">
        <v>9552</v>
      </c>
      <c r="AS2230">
        <v>35.85</v>
      </c>
      <c r="AT2230" t="s">
        <v>760</v>
      </c>
      <c r="AU2230" t="s">
        <v>20652</v>
      </c>
      <c r="AV2230" t="s">
        <v>20733</v>
      </c>
    </row>
    <row r="2231" spans="1:48">
      <c r="A2231" s="1">
        <f>HYPERLINK("https://lsnyc.legalserver.org/matter/dynamic-profile/view/1896009","19-1896009")</f>
        <v>0</v>
      </c>
      <c r="B2231" t="s">
        <v>108</v>
      </c>
      <c r="C2231" t="s">
        <v>257</v>
      </c>
      <c r="D2231" t="s">
        <v>300</v>
      </c>
      <c r="E2231" t="s">
        <v>483</v>
      </c>
      <c r="F2231" t="s">
        <v>1540</v>
      </c>
      <c r="G2231" t="s">
        <v>4371</v>
      </c>
      <c r="H2231" t="s">
        <v>6866</v>
      </c>
      <c r="I2231">
        <v>502</v>
      </c>
      <c r="J2231" t="s">
        <v>9065</v>
      </c>
      <c r="K2231">
        <v>10466</v>
      </c>
      <c r="L2231" t="s">
        <v>9094</v>
      </c>
      <c r="M2231" t="s">
        <v>9094</v>
      </c>
      <c r="N2231" t="s">
        <v>9171</v>
      </c>
      <c r="O2231" t="s">
        <v>9121</v>
      </c>
      <c r="P2231" t="s">
        <v>11164</v>
      </c>
      <c r="Q2231" t="s">
        <v>11172</v>
      </c>
      <c r="R2231" t="s">
        <v>11180</v>
      </c>
      <c r="S2231" t="s">
        <v>9096</v>
      </c>
      <c r="T2231" t="s">
        <v>11183</v>
      </c>
      <c r="V2231" t="s">
        <v>327</v>
      </c>
      <c r="W2231">
        <v>202</v>
      </c>
      <c r="X2231" t="s">
        <v>11333</v>
      </c>
      <c r="Y2231" t="s">
        <v>11338</v>
      </c>
      <c r="Z2231" t="s">
        <v>12892</v>
      </c>
      <c r="AC2231">
        <v>0</v>
      </c>
      <c r="AD2231" t="s">
        <v>19571</v>
      </c>
      <c r="AE2231" t="s">
        <v>11157</v>
      </c>
      <c r="AF2231">
        <v>7</v>
      </c>
      <c r="AG2231">
        <v>1</v>
      </c>
      <c r="AH2231">
        <v>0</v>
      </c>
      <c r="AI2231">
        <v>79.26000000000001</v>
      </c>
      <c r="AL2231" t="s">
        <v>19615</v>
      </c>
      <c r="AM2231">
        <v>9900</v>
      </c>
      <c r="AS2231">
        <v>0.3</v>
      </c>
      <c r="AT2231" t="s">
        <v>832</v>
      </c>
      <c r="AU2231" t="s">
        <v>108</v>
      </c>
      <c r="AV2231" t="s">
        <v>20733</v>
      </c>
    </row>
    <row r="2232" spans="1:48">
      <c r="A2232" s="1">
        <f>HYPERLINK("https://lsnyc.legalserver.org/matter/dynamic-profile/view/1899522","19-1899522")</f>
        <v>0</v>
      </c>
      <c r="B2232" t="s">
        <v>119</v>
      </c>
      <c r="C2232" t="s">
        <v>257</v>
      </c>
      <c r="D2232" t="s">
        <v>454</v>
      </c>
      <c r="E2232" t="s">
        <v>664</v>
      </c>
      <c r="F2232" t="s">
        <v>2154</v>
      </c>
      <c r="G2232" t="s">
        <v>4372</v>
      </c>
      <c r="H2232" t="s">
        <v>6867</v>
      </c>
      <c r="J2232" t="s">
        <v>9065</v>
      </c>
      <c r="K2232">
        <v>10456</v>
      </c>
      <c r="L2232" t="s">
        <v>9094</v>
      </c>
      <c r="M2232" t="s">
        <v>9095</v>
      </c>
      <c r="O2232" t="s">
        <v>9121</v>
      </c>
      <c r="P2232" t="s">
        <v>11164</v>
      </c>
      <c r="Q2232" t="s">
        <v>11172</v>
      </c>
      <c r="R2232" t="s">
        <v>11180</v>
      </c>
      <c r="S2232" t="s">
        <v>9096</v>
      </c>
      <c r="T2232" t="s">
        <v>11183</v>
      </c>
      <c r="V2232" t="s">
        <v>11218</v>
      </c>
      <c r="W2232">
        <v>0</v>
      </c>
      <c r="X2232" t="s">
        <v>11333</v>
      </c>
      <c r="Y2232" t="s">
        <v>11346</v>
      </c>
      <c r="Z2232" t="s">
        <v>12893</v>
      </c>
      <c r="AB2232" t="s">
        <v>17263</v>
      </c>
      <c r="AC2232">
        <v>1</v>
      </c>
      <c r="AD2232" t="s">
        <v>15441</v>
      </c>
      <c r="AE2232" t="s">
        <v>9144</v>
      </c>
      <c r="AF2232">
        <v>0</v>
      </c>
      <c r="AG2232">
        <v>1</v>
      </c>
      <c r="AH2232">
        <v>0</v>
      </c>
      <c r="AI2232">
        <v>79.26000000000001</v>
      </c>
      <c r="AL2232" t="s">
        <v>19614</v>
      </c>
      <c r="AM2232">
        <v>9900</v>
      </c>
      <c r="AS2232">
        <v>0.5</v>
      </c>
      <c r="AT2232" t="s">
        <v>760</v>
      </c>
      <c r="AU2232" t="s">
        <v>163</v>
      </c>
      <c r="AV2232" t="s">
        <v>20733</v>
      </c>
    </row>
    <row r="2233" spans="1:48">
      <c r="A2233" s="1">
        <f>HYPERLINK("https://lsnyc.legalserver.org/matter/dynamic-profile/view/1898247","19-1898247")</f>
        <v>0</v>
      </c>
      <c r="B2233" t="s">
        <v>154</v>
      </c>
      <c r="C2233" t="s">
        <v>257</v>
      </c>
      <c r="D2233" t="s">
        <v>411</v>
      </c>
      <c r="E2233" t="s">
        <v>736</v>
      </c>
      <c r="F2233" t="s">
        <v>1847</v>
      </c>
      <c r="G2233" t="s">
        <v>3497</v>
      </c>
      <c r="H2233" t="s">
        <v>6769</v>
      </c>
      <c r="I2233" t="s">
        <v>8582</v>
      </c>
      <c r="J2233" t="s">
        <v>9066</v>
      </c>
      <c r="K2233">
        <v>10304</v>
      </c>
      <c r="L2233" t="s">
        <v>9095</v>
      </c>
      <c r="M2233" t="s">
        <v>9095</v>
      </c>
      <c r="P2233" t="s">
        <v>11165</v>
      </c>
      <c r="Q2233" t="s">
        <v>11174</v>
      </c>
      <c r="R2233" t="s">
        <v>11180</v>
      </c>
      <c r="T2233" t="s">
        <v>11183</v>
      </c>
      <c r="U2233" t="s">
        <v>11201</v>
      </c>
      <c r="W2233">
        <v>372</v>
      </c>
      <c r="X2233" t="s">
        <v>11334</v>
      </c>
      <c r="Y2233" t="s">
        <v>11340</v>
      </c>
      <c r="Z2233" t="s">
        <v>12894</v>
      </c>
      <c r="AB2233" t="s">
        <v>17264</v>
      </c>
      <c r="AC2233">
        <v>403</v>
      </c>
      <c r="AD2233" t="s">
        <v>19567</v>
      </c>
      <c r="AE2233" t="s">
        <v>19580</v>
      </c>
      <c r="AF2233">
        <v>449</v>
      </c>
      <c r="AG2233">
        <v>1</v>
      </c>
      <c r="AH2233">
        <v>0</v>
      </c>
      <c r="AI2233">
        <v>79.26000000000001</v>
      </c>
      <c r="AL2233" t="s">
        <v>19614</v>
      </c>
      <c r="AM2233">
        <v>9900</v>
      </c>
      <c r="AS2233">
        <v>5.6</v>
      </c>
      <c r="AT2233" t="s">
        <v>736</v>
      </c>
      <c r="AU2233" t="s">
        <v>20653</v>
      </c>
    </row>
    <row r="2234" spans="1:48">
      <c r="A2234" s="1">
        <f>HYPERLINK("https://lsnyc.legalserver.org/matter/dynamic-profile/view/1838569","17-1838569")</f>
        <v>0</v>
      </c>
      <c r="B2234" t="s">
        <v>80</v>
      </c>
      <c r="C2234" t="s">
        <v>256</v>
      </c>
      <c r="D2234" t="s">
        <v>406</v>
      </c>
      <c r="F2234" t="s">
        <v>2155</v>
      </c>
      <c r="G2234" t="s">
        <v>4373</v>
      </c>
      <c r="H2234" t="s">
        <v>6868</v>
      </c>
      <c r="I2234" t="s">
        <v>8162</v>
      </c>
      <c r="J2234" t="s">
        <v>9059</v>
      </c>
      <c r="K2234">
        <v>11220</v>
      </c>
      <c r="L2234" t="s">
        <v>9094</v>
      </c>
      <c r="M2234" t="s">
        <v>9095</v>
      </c>
      <c r="N2234" t="s">
        <v>10001</v>
      </c>
      <c r="O2234" t="s">
        <v>11128</v>
      </c>
      <c r="P2234" t="s">
        <v>11165</v>
      </c>
      <c r="R2234" t="s">
        <v>11180</v>
      </c>
      <c r="S2234" t="s">
        <v>9096</v>
      </c>
      <c r="T2234" t="s">
        <v>11183</v>
      </c>
      <c r="V2234" t="s">
        <v>857</v>
      </c>
      <c r="W2234">
        <v>0</v>
      </c>
      <c r="X2234" t="s">
        <v>11332</v>
      </c>
      <c r="Y2234" t="s">
        <v>11336</v>
      </c>
      <c r="Z2234" t="s">
        <v>12895</v>
      </c>
      <c r="AB2234" t="s">
        <v>17265</v>
      </c>
      <c r="AC2234">
        <v>391</v>
      </c>
      <c r="AD2234" t="s">
        <v>19568</v>
      </c>
      <c r="AF2234">
        <v>10</v>
      </c>
      <c r="AG2234">
        <v>1</v>
      </c>
      <c r="AH2234">
        <v>0</v>
      </c>
      <c r="AI2234">
        <v>79.3</v>
      </c>
      <c r="AJ2234" t="s">
        <v>1081</v>
      </c>
      <c r="AL2234" t="s">
        <v>19627</v>
      </c>
      <c r="AM2234">
        <v>9564</v>
      </c>
      <c r="AS2234">
        <v>68.23</v>
      </c>
      <c r="AT2234" t="s">
        <v>864</v>
      </c>
      <c r="AU2234" t="s">
        <v>20679</v>
      </c>
    </row>
    <row r="2235" spans="1:48">
      <c r="A2235" s="1">
        <f>HYPERLINK("https://lsnyc.legalserver.org/matter/dynamic-profile/view/0821427","16-0821427")</f>
        <v>0</v>
      </c>
      <c r="B2235" t="s">
        <v>119</v>
      </c>
      <c r="C2235" t="s">
        <v>257</v>
      </c>
      <c r="D2235" t="s">
        <v>571</v>
      </c>
      <c r="E2235" t="s">
        <v>483</v>
      </c>
      <c r="F2235" t="s">
        <v>2156</v>
      </c>
      <c r="G2235" t="s">
        <v>4374</v>
      </c>
      <c r="H2235" t="s">
        <v>6238</v>
      </c>
      <c r="I2235" t="s">
        <v>8583</v>
      </c>
      <c r="J2235" t="s">
        <v>9065</v>
      </c>
      <c r="K2235">
        <v>10468</v>
      </c>
      <c r="L2235" t="s">
        <v>9094</v>
      </c>
      <c r="M2235" t="s">
        <v>9095</v>
      </c>
      <c r="O2235" t="s">
        <v>11136</v>
      </c>
      <c r="P2235" t="s">
        <v>11166</v>
      </c>
      <c r="Q2235" t="s">
        <v>11173</v>
      </c>
      <c r="R2235" t="s">
        <v>11180</v>
      </c>
      <c r="S2235" t="s">
        <v>9094</v>
      </c>
      <c r="T2235" t="s">
        <v>11183</v>
      </c>
      <c r="V2235" t="s">
        <v>1075</v>
      </c>
      <c r="W2235">
        <v>905.27</v>
      </c>
      <c r="X2235" t="s">
        <v>11333</v>
      </c>
      <c r="Y2235" t="s">
        <v>11346</v>
      </c>
      <c r="Z2235" t="s">
        <v>12896</v>
      </c>
      <c r="AA2235" t="s">
        <v>15665</v>
      </c>
      <c r="AB2235" t="s">
        <v>17266</v>
      </c>
      <c r="AC2235">
        <v>37</v>
      </c>
      <c r="AD2235" t="s">
        <v>15441</v>
      </c>
      <c r="AE2235" t="s">
        <v>9144</v>
      </c>
      <c r="AF2235">
        <v>30</v>
      </c>
      <c r="AG2235">
        <v>3</v>
      </c>
      <c r="AH2235">
        <v>2</v>
      </c>
      <c r="AI2235">
        <v>79.31999999999999</v>
      </c>
      <c r="AJ2235" t="s">
        <v>529</v>
      </c>
      <c r="AL2235" t="s">
        <v>19614</v>
      </c>
      <c r="AM2235">
        <v>22560</v>
      </c>
      <c r="AS2235">
        <v>1.1</v>
      </c>
      <c r="AT2235" t="s">
        <v>483</v>
      </c>
      <c r="AU2235" t="s">
        <v>20643</v>
      </c>
    </row>
    <row r="2236" spans="1:48">
      <c r="A2236" s="1">
        <f>HYPERLINK("https://lsnyc.legalserver.org/matter/dynamic-profile/view/1899937","19-1899937")</f>
        <v>0</v>
      </c>
      <c r="B2236" t="s">
        <v>113</v>
      </c>
      <c r="C2236" t="s">
        <v>256</v>
      </c>
      <c r="D2236" t="s">
        <v>293</v>
      </c>
      <c r="F2236" t="s">
        <v>1755</v>
      </c>
      <c r="G2236" t="s">
        <v>4375</v>
      </c>
      <c r="H2236" t="s">
        <v>5864</v>
      </c>
      <c r="I2236" t="s">
        <v>8584</v>
      </c>
      <c r="J2236" t="s">
        <v>9065</v>
      </c>
      <c r="K2236">
        <v>10460</v>
      </c>
      <c r="L2236" t="s">
        <v>9094</v>
      </c>
      <c r="M2236" t="s">
        <v>9095</v>
      </c>
      <c r="O2236" t="s">
        <v>9121</v>
      </c>
      <c r="P2236" t="s">
        <v>11166</v>
      </c>
      <c r="R2236" t="s">
        <v>11180</v>
      </c>
      <c r="S2236" t="s">
        <v>9094</v>
      </c>
      <c r="T2236" t="s">
        <v>11183</v>
      </c>
      <c r="V2236" t="s">
        <v>11218</v>
      </c>
      <c r="W2236">
        <v>238</v>
      </c>
      <c r="X2236" t="s">
        <v>11333</v>
      </c>
      <c r="Y2236" t="s">
        <v>11346</v>
      </c>
      <c r="Z2236" t="s">
        <v>12897</v>
      </c>
      <c r="AA2236" t="s">
        <v>15666</v>
      </c>
      <c r="AB2236" t="s">
        <v>17267</v>
      </c>
      <c r="AC2236">
        <v>168</v>
      </c>
      <c r="AD2236" t="s">
        <v>19566</v>
      </c>
      <c r="AE2236" t="s">
        <v>19580</v>
      </c>
      <c r="AF2236">
        <v>24</v>
      </c>
      <c r="AG2236">
        <v>1</v>
      </c>
      <c r="AH2236">
        <v>0</v>
      </c>
      <c r="AI2236">
        <v>79.36</v>
      </c>
      <c r="AL2236" t="s">
        <v>19614</v>
      </c>
      <c r="AM2236">
        <v>9912</v>
      </c>
      <c r="AS2236">
        <v>0</v>
      </c>
      <c r="AU2236" t="s">
        <v>220</v>
      </c>
      <c r="AV2236" t="s">
        <v>20733</v>
      </c>
    </row>
    <row r="2237" spans="1:48">
      <c r="A2237" s="1">
        <f>HYPERLINK("https://lsnyc.legalserver.org/matter/dynamic-profile/view/1880164","18-1880164")</f>
        <v>0</v>
      </c>
      <c r="B2237" t="s">
        <v>82</v>
      </c>
      <c r="C2237" t="s">
        <v>257</v>
      </c>
      <c r="D2237" t="s">
        <v>569</v>
      </c>
      <c r="E2237" t="s">
        <v>396</v>
      </c>
      <c r="F2237" t="s">
        <v>2157</v>
      </c>
      <c r="G2237" t="s">
        <v>4351</v>
      </c>
      <c r="H2237" t="s">
        <v>6869</v>
      </c>
      <c r="I2237" t="s">
        <v>8585</v>
      </c>
      <c r="J2237" t="s">
        <v>9059</v>
      </c>
      <c r="K2237">
        <v>11230</v>
      </c>
      <c r="L2237" t="s">
        <v>9094</v>
      </c>
      <c r="M2237" t="s">
        <v>9094</v>
      </c>
      <c r="O2237" t="s">
        <v>11137</v>
      </c>
      <c r="P2237" t="s">
        <v>11166</v>
      </c>
      <c r="Q2237" t="s">
        <v>11173</v>
      </c>
      <c r="R2237" t="s">
        <v>11180</v>
      </c>
      <c r="S2237" t="s">
        <v>9094</v>
      </c>
      <c r="T2237" t="s">
        <v>11183</v>
      </c>
      <c r="V2237" t="s">
        <v>697</v>
      </c>
      <c r="W2237">
        <v>0</v>
      </c>
      <c r="X2237" t="s">
        <v>11332</v>
      </c>
      <c r="Y2237" t="s">
        <v>11346</v>
      </c>
      <c r="Z2237" t="s">
        <v>12898</v>
      </c>
      <c r="AC2237">
        <v>60</v>
      </c>
      <c r="AD2237" t="s">
        <v>19566</v>
      </c>
      <c r="AF2237">
        <v>0</v>
      </c>
      <c r="AG2237">
        <v>2</v>
      </c>
      <c r="AH2237">
        <v>0</v>
      </c>
      <c r="AI2237">
        <v>79.47</v>
      </c>
      <c r="AM2237">
        <v>13080</v>
      </c>
      <c r="AS2237">
        <v>0.1</v>
      </c>
      <c r="AT2237" t="s">
        <v>396</v>
      </c>
      <c r="AU2237" t="s">
        <v>82</v>
      </c>
    </row>
    <row r="2238" spans="1:48">
      <c r="A2238" s="1">
        <f>HYPERLINK("https://lsnyc.legalserver.org/matter/dynamic-profile/view/1885579","18-1885579")</f>
        <v>0</v>
      </c>
      <c r="B2238" t="s">
        <v>113</v>
      </c>
      <c r="C2238" t="s">
        <v>257</v>
      </c>
      <c r="D2238" t="s">
        <v>357</v>
      </c>
      <c r="E2238" t="s">
        <v>301</v>
      </c>
      <c r="F2238" t="s">
        <v>1220</v>
      </c>
      <c r="G2238" t="s">
        <v>4347</v>
      </c>
      <c r="H2238" t="s">
        <v>5864</v>
      </c>
      <c r="I2238" t="s">
        <v>8574</v>
      </c>
      <c r="J2238" t="s">
        <v>9065</v>
      </c>
      <c r="K2238">
        <v>10460</v>
      </c>
      <c r="L2238" t="s">
        <v>9094</v>
      </c>
      <c r="M2238" t="s">
        <v>9094</v>
      </c>
      <c r="N2238" t="s">
        <v>9222</v>
      </c>
      <c r="O2238" t="s">
        <v>11130</v>
      </c>
      <c r="P2238" t="s">
        <v>11165</v>
      </c>
      <c r="Q2238" t="s">
        <v>11174</v>
      </c>
      <c r="R2238" t="s">
        <v>11180</v>
      </c>
      <c r="S2238" t="s">
        <v>9094</v>
      </c>
      <c r="T2238" t="s">
        <v>11183</v>
      </c>
      <c r="V2238" t="s">
        <v>512</v>
      </c>
      <c r="W2238">
        <v>1100</v>
      </c>
      <c r="X2238" t="s">
        <v>11333</v>
      </c>
      <c r="Y2238" t="s">
        <v>11346</v>
      </c>
      <c r="Z2238" t="s">
        <v>12859</v>
      </c>
      <c r="AB2238" t="s">
        <v>17235</v>
      </c>
      <c r="AC2238">
        <v>169</v>
      </c>
      <c r="AD2238" t="s">
        <v>19566</v>
      </c>
      <c r="AE2238" t="s">
        <v>19585</v>
      </c>
      <c r="AF2238">
        <v>4</v>
      </c>
      <c r="AG2238">
        <v>1</v>
      </c>
      <c r="AH2238">
        <v>0</v>
      </c>
      <c r="AI2238">
        <v>79.47</v>
      </c>
      <c r="AL2238" t="s">
        <v>19614</v>
      </c>
      <c r="AM2238">
        <v>9648</v>
      </c>
      <c r="AS2238">
        <v>0.25</v>
      </c>
      <c r="AT2238" t="s">
        <v>301</v>
      </c>
      <c r="AU2238" t="s">
        <v>163</v>
      </c>
    </row>
    <row r="2239" spans="1:48">
      <c r="A2239" s="1">
        <f>HYPERLINK("https://lsnyc.legalserver.org/matter/dynamic-profile/view/1900683","19-1900683")</f>
        <v>0</v>
      </c>
      <c r="B2239" t="s">
        <v>76</v>
      </c>
      <c r="C2239" t="s">
        <v>256</v>
      </c>
      <c r="D2239" t="s">
        <v>338</v>
      </c>
      <c r="F2239" t="s">
        <v>2158</v>
      </c>
      <c r="G2239" t="s">
        <v>4376</v>
      </c>
      <c r="H2239" t="s">
        <v>6169</v>
      </c>
      <c r="I2239" t="s">
        <v>8156</v>
      </c>
      <c r="J2239" t="s">
        <v>9059</v>
      </c>
      <c r="K2239">
        <v>11213</v>
      </c>
      <c r="L2239" t="s">
        <v>9094</v>
      </c>
      <c r="M2239" t="s">
        <v>9095</v>
      </c>
      <c r="N2239" t="s">
        <v>9144</v>
      </c>
      <c r="O2239" t="s">
        <v>9121</v>
      </c>
      <c r="P2239" t="s">
        <v>11166</v>
      </c>
      <c r="R2239" t="s">
        <v>11180</v>
      </c>
      <c r="S2239" t="s">
        <v>9094</v>
      </c>
      <c r="T2239" t="s">
        <v>11183</v>
      </c>
      <c r="U2239" t="s">
        <v>11201</v>
      </c>
      <c r="V2239" t="s">
        <v>291</v>
      </c>
      <c r="W2239">
        <v>606</v>
      </c>
      <c r="X2239" t="s">
        <v>11332</v>
      </c>
      <c r="Y2239" t="s">
        <v>11346</v>
      </c>
      <c r="Z2239" t="s">
        <v>12899</v>
      </c>
      <c r="AC2239">
        <v>35</v>
      </c>
      <c r="AD2239" t="s">
        <v>19566</v>
      </c>
      <c r="AE2239" t="s">
        <v>9144</v>
      </c>
      <c r="AF2239">
        <v>5</v>
      </c>
      <c r="AG2239">
        <v>2</v>
      </c>
      <c r="AH2239">
        <v>3</v>
      </c>
      <c r="AI2239">
        <v>79.55</v>
      </c>
      <c r="AL2239" t="s">
        <v>19614</v>
      </c>
      <c r="AM2239">
        <v>24000</v>
      </c>
      <c r="AN2239" t="s">
        <v>19855</v>
      </c>
      <c r="AS2239">
        <v>0</v>
      </c>
      <c r="AU2239" t="s">
        <v>95</v>
      </c>
      <c r="AV2239" t="s">
        <v>20733</v>
      </c>
    </row>
    <row r="2240" spans="1:48">
      <c r="A2240" s="1">
        <f>HYPERLINK("https://lsnyc.legalserver.org/matter/dynamic-profile/view/1891154","19-1891154")</f>
        <v>0</v>
      </c>
      <c r="B2240" t="s">
        <v>98</v>
      </c>
      <c r="C2240" t="s">
        <v>257</v>
      </c>
      <c r="D2240" t="s">
        <v>491</v>
      </c>
      <c r="E2240" t="s">
        <v>676</v>
      </c>
      <c r="F2240" t="s">
        <v>2159</v>
      </c>
      <c r="G2240" t="s">
        <v>4377</v>
      </c>
      <c r="H2240" t="s">
        <v>6870</v>
      </c>
      <c r="I2240" t="s">
        <v>8149</v>
      </c>
      <c r="J2240" t="s">
        <v>9065</v>
      </c>
      <c r="K2240">
        <v>10461</v>
      </c>
      <c r="L2240" t="s">
        <v>9094</v>
      </c>
      <c r="M2240" t="s">
        <v>9094</v>
      </c>
      <c r="O2240" t="s">
        <v>11134</v>
      </c>
      <c r="P2240" t="s">
        <v>11167</v>
      </c>
      <c r="Q2240" t="s">
        <v>11173</v>
      </c>
      <c r="R2240" t="s">
        <v>11180</v>
      </c>
      <c r="S2240" t="s">
        <v>9094</v>
      </c>
      <c r="T2240" t="s">
        <v>11183</v>
      </c>
      <c r="V2240" t="s">
        <v>299</v>
      </c>
      <c r="W2240">
        <v>800</v>
      </c>
      <c r="X2240" t="s">
        <v>11333</v>
      </c>
      <c r="Y2240" t="s">
        <v>11346</v>
      </c>
      <c r="Z2240" t="s">
        <v>12900</v>
      </c>
      <c r="AA2240" t="s">
        <v>15667</v>
      </c>
      <c r="AB2240" t="s">
        <v>17268</v>
      </c>
      <c r="AC2240">
        <v>125</v>
      </c>
      <c r="AD2240" t="s">
        <v>15441</v>
      </c>
      <c r="AE2240" t="s">
        <v>9144</v>
      </c>
      <c r="AF2240">
        <v>14</v>
      </c>
      <c r="AG2240">
        <v>1</v>
      </c>
      <c r="AH2240">
        <v>0</v>
      </c>
      <c r="AI2240">
        <v>79.55</v>
      </c>
      <c r="AL2240" t="s">
        <v>19614</v>
      </c>
      <c r="AM2240">
        <v>9936</v>
      </c>
      <c r="AS2240">
        <v>0.06</v>
      </c>
      <c r="AT2240" t="s">
        <v>676</v>
      </c>
      <c r="AU2240" t="s">
        <v>20642</v>
      </c>
    </row>
    <row r="2241" spans="1:48">
      <c r="A2241" s="1">
        <f>HYPERLINK("https://lsnyc.legalserver.org/matter/dynamic-profile/view/1899829","19-1899829")</f>
        <v>0</v>
      </c>
      <c r="B2241" t="s">
        <v>113</v>
      </c>
      <c r="C2241" t="s">
        <v>256</v>
      </c>
      <c r="D2241" t="s">
        <v>411</v>
      </c>
      <c r="F2241" t="s">
        <v>1146</v>
      </c>
      <c r="G2241" t="s">
        <v>3448</v>
      </c>
      <c r="H2241" t="s">
        <v>5864</v>
      </c>
      <c r="I2241" t="s">
        <v>8586</v>
      </c>
      <c r="J2241" t="s">
        <v>9065</v>
      </c>
      <c r="K2241">
        <v>10460</v>
      </c>
      <c r="L2241" t="s">
        <v>9094</v>
      </c>
      <c r="M2241" t="s">
        <v>9095</v>
      </c>
      <c r="N2241" t="s">
        <v>9171</v>
      </c>
      <c r="O2241" t="s">
        <v>9121</v>
      </c>
      <c r="P2241" t="s">
        <v>11166</v>
      </c>
      <c r="R2241" t="s">
        <v>11180</v>
      </c>
      <c r="S2241" t="s">
        <v>9094</v>
      </c>
      <c r="T2241" t="s">
        <v>11183</v>
      </c>
      <c r="V2241" t="s">
        <v>11218</v>
      </c>
      <c r="W2241">
        <v>1500</v>
      </c>
      <c r="X2241" t="s">
        <v>11333</v>
      </c>
      <c r="Y2241" t="s">
        <v>11346</v>
      </c>
      <c r="Z2241" t="s">
        <v>12901</v>
      </c>
      <c r="AB2241" t="s">
        <v>17269</v>
      </c>
      <c r="AC2241">
        <v>168</v>
      </c>
      <c r="AE2241" t="s">
        <v>19587</v>
      </c>
      <c r="AF2241">
        <v>2</v>
      </c>
      <c r="AG2241">
        <v>1</v>
      </c>
      <c r="AH2241">
        <v>0</v>
      </c>
      <c r="AI2241">
        <v>79.55</v>
      </c>
      <c r="AL2241" t="s">
        <v>19615</v>
      </c>
      <c r="AM2241">
        <v>9936</v>
      </c>
      <c r="AS2241">
        <v>0</v>
      </c>
      <c r="AU2241" t="s">
        <v>163</v>
      </c>
      <c r="AV2241" t="s">
        <v>20733</v>
      </c>
    </row>
    <row r="2242" spans="1:48">
      <c r="A2242" s="1">
        <f>HYPERLINK("https://lsnyc.legalserver.org/matter/dynamic-profile/view/1904367","19-1904367")</f>
        <v>0</v>
      </c>
      <c r="B2242" t="s">
        <v>139</v>
      </c>
      <c r="C2242" t="s">
        <v>256</v>
      </c>
      <c r="D2242" t="s">
        <v>736</v>
      </c>
      <c r="F2242" t="s">
        <v>2160</v>
      </c>
      <c r="G2242" t="s">
        <v>3621</v>
      </c>
      <c r="H2242" t="s">
        <v>6871</v>
      </c>
      <c r="I2242">
        <v>6</v>
      </c>
      <c r="J2242" t="s">
        <v>9067</v>
      </c>
      <c r="K2242">
        <v>10033</v>
      </c>
      <c r="L2242" t="s">
        <v>9094</v>
      </c>
      <c r="M2242" t="s">
        <v>9095</v>
      </c>
      <c r="O2242" t="s">
        <v>11132</v>
      </c>
      <c r="P2242" t="s">
        <v>11165</v>
      </c>
      <c r="R2242" t="s">
        <v>11180</v>
      </c>
      <c r="S2242" t="s">
        <v>9096</v>
      </c>
      <c r="T2242" t="s">
        <v>11183</v>
      </c>
      <c r="V2242" t="s">
        <v>736</v>
      </c>
      <c r="W2242">
        <v>163</v>
      </c>
      <c r="X2242" t="s">
        <v>11335</v>
      </c>
      <c r="Y2242" t="s">
        <v>11340</v>
      </c>
      <c r="Z2242" t="s">
        <v>12902</v>
      </c>
      <c r="AB2242" t="s">
        <v>17270</v>
      </c>
      <c r="AC2242">
        <v>36</v>
      </c>
      <c r="AD2242" t="s">
        <v>19566</v>
      </c>
      <c r="AE2242" t="s">
        <v>19580</v>
      </c>
      <c r="AF2242">
        <v>22</v>
      </c>
      <c r="AG2242">
        <v>1</v>
      </c>
      <c r="AH2242">
        <v>0</v>
      </c>
      <c r="AI2242">
        <v>79.55</v>
      </c>
      <c r="AL2242" t="s">
        <v>19615</v>
      </c>
      <c r="AM2242">
        <v>9936</v>
      </c>
      <c r="AS2242">
        <v>8.550000000000001</v>
      </c>
      <c r="AT2242" t="s">
        <v>301</v>
      </c>
      <c r="AU2242" t="s">
        <v>130</v>
      </c>
      <c r="AV2242" t="s">
        <v>20733</v>
      </c>
    </row>
    <row r="2243" spans="1:48">
      <c r="A2243" s="1">
        <f>HYPERLINK("https://lsnyc.legalserver.org/matter/dynamic-profile/view/1900993","19-1900993")</f>
        <v>0</v>
      </c>
      <c r="B2243" t="s">
        <v>139</v>
      </c>
      <c r="C2243" t="s">
        <v>256</v>
      </c>
      <c r="D2243" t="s">
        <v>445</v>
      </c>
      <c r="F2243" t="s">
        <v>2160</v>
      </c>
      <c r="G2243" t="s">
        <v>3621</v>
      </c>
      <c r="H2243" t="s">
        <v>6871</v>
      </c>
      <c r="I2243">
        <v>6</v>
      </c>
      <c r="J2243" t="s">
        <v>9067</v>
      </c>
      <c r="K2243">
        <v>10033</v>
      </c>
      <c r="L2243" t="s">
        <v>9094</v>
      </c>
      <c r="M2243" t="s">
        <v>9095</v>
      </c>
      <c r="N2243" t="s">
        <v>10002</v>
      </c>
      <c r="O2243" t="s">
        <v>11136</v>
      </c>
      <c r="P2243" t="s">
        <v>11165</v>
      </c>
      <c r="R2243" t="s">
        <v>11180</v>
      </c>
      <c r="S2243" t="s">
        <v>9096</v>
      </c>
      <c r="T2243" t="s">
        <v>11183</v>
      </c>
      <c r="V2243" t="s">
        <v>445</v>
      </c>
      <c r="W2243">
        <v>163</v>
      </c>
      <c r="X2243" t="s">
        <v>11335</v>
      </c>
      <c r="Y2243" t="s">
        <v>11338</v>
      </c>
      <c r="Z2243" t="s">
        <v>12902</v>
      </c>
      <c r="AB2243" t="s">
        <v>17270</v>
      </c>
      <c r="AC2243">
        <v>36</v>
      </c>
      <c r="AD2243" t="s">
        <v>19566</v>
      </c>
      <c r="AE2243" t="s">
        <v>19580</v>
      </c>
      <c r="AF2243">
        <v>22</v>
      </c>
      <c r="AG2243">
        <v>1</v>
      </c>
      <c r="AH2243">
        <v>0</v>
      </c>
      <c r="AI2243">
        <v>79.55</v>
      </c>
      <c r="AL2243" t="s">
        <v>19615</v>
      </c>
      <c r="AM2243">
        <v>9936</v>
      </c>
      <c r="AS2243">
        <v>12.2</v>
      </c>
      <c r="AT2243" t="s">
        <v>280</v>
      </c>
      <c r="AU2243" t="s">
        <v>130</v>
      </c>
      <c r="AV2243" t="s">
        <v>20733</v>
      </c>
    </row>
    <row r="2244" spans="1:48">
      <c r="A2244" s="1">
        <f>HYPERLINK("https://lsnyc.legalserver.org/matter/dynamic-profile/view/1885944","18-1885944")</f>
        <v>0</v>
      </c>
      <c r="B2244" t="s">
        <v>113</v>
      </c>
      <c r="C2244" t="s">
        <v>257</v>
      </c>
      <c r="D2244" t="s">
        <v>448</v>
      </c>
      <c r="E2244" t="s">
        <v>270</v>
      </c>
      <c r="F2244" t="s">
        <v>1212</v>
      </c>
      <c r="G2244" t="s">
        <v>4346</v>
      </c>
      <c r="H2244" t="s">
        <v>5864</v>
      </c>
      <c r="I2244" t="s">
        <v>8572</v>
      </c>
      <c r="J2244" t="s">
        <v>9065</v>
      </c>
      <c r="K2244">
        <v>10460</v>
      </c>
      <c r="L2244" t="s">
        <v>9094</v>
      </c>
      <c r="M2244" t="s">
        <v>9094</v>
      </c>
      <c r="O2244" t="s">
        <v>9121</v>
      </c>
      <c r="P2244" t="s">
        <v>11166</v>
      </c>
      <c r="Q2244" t="s">
        <v>11174</v>
      </c>
      <c r="R2244" t="s">
        <v>11180</v>
      </c>
      <c r="S2244" t="s">
        <v>9094</v>
      </c>
      <c r="T2244" t="s">
        <v>11183</v>
      </c>
      <c r="V2244" t="s">
        <v>512</v>
      </c>
      <c r="W2244">
        <v>263</v>
      </c>
      <c r="X2244" t="s">
        <v>11333</v>
      </c>
      <c r="Y2244" t="s">
        <v>11346</v>
      </c>
      <c r="Z2244" t="s">
        <v>12856</v>
      </c>
      <c r="AB2244" t="s">
        <v>17232</v>
      </c>
      <c r="AC2244">
        <v>169</v>
      </c>
      <c r="AD2244" t="s">
        <v>19567</v>
      </c>
      <c r="AE2244" t="s">
        <v>19580</v>
      </c>
      <c r="AF2244">
        <v>44</v>
      </c>
      <c r="AG2244">
        <v>1</v>
      </c>
      <c r="AH2244">
        <v>0</v>
      </c>
      <c r="AI2244">
        <v>79.56999999999999</v>
      </c>
      <c r="AL2244" t="s">
        <v>19614</v>
      </c>
      <c r="AM2244">
        <v>9660</v>
      </c>
      <c r="AS2244">
        <v>0.25</v>
      </c>
      <c r="AT2244" t="s">
        <v>270</v>
      </c>
      <c r="AU2244" t="s">
        <v>158</v>
      </c>
    </row>
    <row r="2245" spans="1:48">
      <c r="A2245" s="1">
        <f>HYPERLINK("https://lsnyc.legalserver.org/matter/dynamic-profile/view/1845272","17-1845272")</f>
        <v>0</v>
      </c>
      <c r="B2245" t="s">
        <v>76</v>
      </c>
      <c r="C2245" t="s">
        <v>257</v>
      </c>
      <c r="D2245" t="s">
        <v>399</v>
      </c>
      <c r="E2245" t="s">
        <v>328</v>
      </c>
      <c r="F2245" t="s">
        <v>2161</v>
      </c>
      <c r="G2245" t="s">
        <v>4378</v>
      </c>
      <c r="H2245" t="s">
        <v>5820</v>
      </c>
      <c r="J2245" t="s">
        <v>9059</v>
      </c>
      <c r="K2245">
        <v>11208</v>
      </c>
      <c r="L2245" t="s">
        <v>9094</v>
      </c>
      <c r="M2245" t="s">
        <v>9095</v>
      </c>
      <c r="O2245" t="s">
        <v>11130</v>
      </c>
      <c r="P2245" t="s">
        <v>11165</v>
      </c>
      <c r="Q2245" t="s">
        <v>11173</v>
      </c>
      <c r="R2245" t="s">
        <v>11180</v>
      </c>
      <c r="S2245" t="s">
        <v>9094</v>
      </c>
      <c r="T2245" t="s">
        <v>11183</v>
      </c>
      <c r="V2245" t="s">
        <v>11215</v>
      </c>
      <c r="W2245">
        <v>0</v>
      </c>
      <c r="X2245" t="s">
        <v>11332</v>
      </c>
      <c r="Y2245" t="s">
        <v>11341</v>
      </c>
      <c r="Z2245" t="s">
        <v>12903</v>
      </c>
      <c r="AC2245">
        <v>16</v>
      </c>
      <c r="AD2245" t="s">
        <v>19566</v>
      </c>
      <c r="AF2245">
        <v>0</v>
      </c>
      <c r="AG2245">
        <v>1</v>
      </c>
      <c r="AH2245">
        <v>0</v>
      </c>
      <c r="AI2245">
        <v>79.59999999999999</v>
      </c>
      <c r="AL2245" t="s">
        <v>19614</v>
      </c>
      <c r="AM2245">
        <v>9600</v>
      </c>
      <c r="AS2245">
        <v>1.63</v>
      </c>
      <c r="AT2245" t="s">
        <v>606</v>
      </c>
      <c r="AU2245" t="s">
        <v>95</v>
      </c>
    </row>
    <row r="2246" spans="1:48">
      <c r="A2246" s="1">
        <f>HYPERLINK("https://lsnyc.legalserver.org/matter/dynamic-profile/view/0831848","17-0831848")</f>
        <v>0</v>
      </c>
      <c r="B2246" t="s">
        <v>113</v>
      </c>
      <c r="C2246" t="s">
        <v>257</v>
      </c>
      <c r="D2246" t="s">
        <v>908</v>
      </c>
      <c r="E2246" t="s">
        <v>270</v>
      </c>
      <c r="F2246" t="s">
        <v>2162</v>
      </c>
      <c r="G2246" t="s">
        <v>2104</v>
      </c>
      <c r="H2246" t="s">
        <v>6872</v>
      </c>
      <c r="I2246" t="s">
        <v>8169</v>
      </c>
      <c r="J2246" t="s">
        <v>9065</v>
      </c>
      <c r="K2246">
        <v>10473</v>
      </c>
      <c r="L2246" t="s">
        <v>9094</v>
      </c>
      <c r="M2246" t="s">
        <v>9095</v>
      </c>
      <c r="N2246" t="s">
        <v>10003</v>
      </c>
      <c r="O2246" t="s">
        <v>11128</v>
      </c>
      <c r="P2246" t="s">
        <v>11165</v>
      </c>
      <c r="Q2246" t="s">
        <v>11174</v>
      </c>
      <c r="R2246" t="s">
        <v>11180</v>
      </c>
      <c r="S2246" t="s">
        <v>9096</v>
      </c>
      <c r="T2246" t="s">
        <v>11183</v>
      </c>
      <c r="V2246" t="s">
        <v>11264</v>
      </c>
      <c r="W2246">
        <v>834</v>
      </c>
      <c r="X2246" t="s">
        <v>11333</v>
      </c>
      <c r="Y2246" t="s">
        <v>11349</v>
      </c>
      <c r="Z2246" t="s">
        <v>11760</v>
      </c>
      <c r="AB2246" t="s">
        <v>17271</v>
      </c>
      <c r="AC2246">
        <v>225</v>
      </c>
      <c r="AD2246" t="s">
        <v>19566</v>
      </c>
      <c r="AE2246" t="s">
        <v>9144</v>
      </c>
      <c r="AF2246">
        <v>20</v>
      </c>
      <c r="AG2246">
        <v>1</v>
      </c>
      <c r="AH2246">
        <v>0</v>
      </c>
      <c r="AI2246">
        <v>79.59999999999999</v>
      </c>
      <c r="AJ2246" t="s">
        <v>11269</v>
      </c>
      <c r="AK2246" t="s">
        <v>19609</v>
      </c>
      <c r="AL2246" t="s">
        <v>19614</v>
      </c>
      <c r="AM2246">
        <v>9600</v>
      </c>
      <c r="AS2246">
        <v>144.35</v>
      </c>
      <c r="AT2246" t="s">
        <v>402</v>
      </c>
      <c r="AU2246" t="s">
        <v>20704</v>
      </c>
    </row>
    <row r="2247" spans="1:48">
      <c r="A2247" s="1">
        <f>HYPERLINK("https://lsnyc.legalserver.org/matter/dynamic-profile/view/1852140","17-1852140")</f>
        <v>0</v>
      </c>
      <c r="B2247" t="s">
        <v>111</v>
      </c>
      <c r="C2247" t="s">
        <v>256</v>
      </c>
      <c r="D2247" t="s">
        <v>909</v>
      </c>
      <c r="F2247" t="s">
        <v>2148</v>
      </c>
      <c r="G2247" t="s">
        <v>4366</v>
      </c>
      <c r="H2247" t="s">
        <v>6861</v>
      </c>
      <c r="I2247" t="s">
        <v>8580</v>
      </c>
      <c r="J2247" t="s">
        <v>9065</v>
      </c>
      <c r="K2247">
        <v>10453</v>
      </c>
      <c r="L2247" t="s">
        <v>9094</v>
      </c>
      <c r="M2247" t="s">
        <v>9095</v>
      </c>
      <c r="N2247" t="s">
        <v>10004</v>
      </c>
      <c r="O2247" t="s">
        <v>11129</v>
      </c>
      <c r="P2247" t="s">
        <v>11165</v>
      </c>
      <c r="R2247" t="s">
        <v>11180</v>
      </c>
      <c r="S2247" t="s">
        <v>9096</v>
      </c>
      <c r="T2247" t="s">
        <v>11183</v>
      </c>
      <c r="V2247" t="s">
        <v>1122</v>
      </c>
      <c r="W2247">
        <v>1130.25</v>
      </c>
      <c r="X2247" t="s">
        <v>11333</v>
      </c>
      <c r="Y2247" t="s">
        <v>11340</v>
      </c>
      <c r="Z2247" t="s">
        <v>12885</v>
      </c>
      <c r="AA2247" t="s">
        <v>15668</v>
      </c>
      <c r="AB2247" t="s">
        <v>17259</v>
      </c>
      <c r="AC2247">
        <v>46</v>
      </c>
      <c r="AD2247" t="s">
        <v>19566</v>
      </c>
      <c r="AE2247" t="s">
        <v>9144</v>
      </c>
      <c r="AF2247">
        <v>3</v>
      </c>
      <c r="AG2247">
        <v>1</v>
      </c>
      <c r="AH2247">
        <v>0</v>
      </c>
      <c r="AI2247">
        <v>79.59999999999999</v>
      </c>
      <c r="AL2247" t="s">
        <v>19614</v>
      </c>
      <c r="AM2247">
        <v>9600</v>
      </c>
      <c r="AR2247" t="s">
        <v>20405</v>
      </c>
      <c r="AS2247">
        <v>45.6</v>
      </c>
      <c r="AT2247" t="s">
        <v>975</v>
      </c>
      <c r="AU2247" t="s">
        <v>20642</v>
      </c>
    </row>
    <row r="2248" spans="1:48">
      <c r="A2248" s="1">
        <f>HYPERLINK("https://lsnyc.legalserver.org/matter/dynamic-profile/view/1855154","18-1855154")</f>
        <v>0</v>
      </c>
      <c r="B2248" t="s">
        <v>149</v>
      </c>
      <c r="C2248" t="s">
        <v>257</v>
      </c>
      <c r="D2248" t="s">
        <v>266</v>
      </c>
      <c r="E2248" t="s">
        <v>706</v>
      </c>
      <c r="F2248" t="s">
        <v>1450</v>
      </c>
      <c r="G2248" t="s">
        <v>4379</v>
      </c>
      <c r="H2248" t="s">
        <v>6873</v>
      </c>
      <c r="I2248" t="s">
        <v>8372</v>
      </c>
      <c r="J2248" t="s">
        <v>9067</v>
      </c>
      <c r="K2248">
        <v>10040</v>
      </c>
      <c r="L2248" t="s">
        <v>9094</v>
      </c>
      <c r="M2248" t="s">
        <v>9095</v>
      </c>
      <c r="N2248" t="s">
        <v>10005</v>
      </c>
      <c r="O2248" t="s">
        <v>11129</v>
      </c>
      <c r="P2248" t="s">
        <v>11164</v>
      </c>
      <c r="Q2248" t="s">
        <v>11172</v>
      </c>
      <c r="R2248" t="s">
        <v>11180</v>
      </c>
      <c r="S2248" t="s">
        <v>9096</v>
      </c>
      <c r="T2248" t="s">
        <v>11183</v>
      </c>
      <c r="V2248" t="s">
        <v>11249</v>
      </c>
      <c r="W2248">
        <v>801</v>
      </c>
      <c r="X2248" t="s">
        <v>11335</v>
      </c>
      <c r="Y2248" t="s">
        <v>11338</v>
      </c>
      <c r="Z2248" t="s">
        <v>12904</v>
      </c>
      <c r="AA2248" t="s">
        <v>15669</v>
      </c>
      <c r="AB2248" t="s">
        <v>17272</v>
      </c>
      <c r="AC2248">
        <v>62</v>
      </c>
      <c r="AD2248" t="s">
        <v>19566</v>
      </c>
      <c r="AE2248" t="s">
        <v>19587</v>
      </c>
      <c r="AF2248">
        <v>40</v>
      </c>
      <c r="AG2248">
        <v>1</v>
      </c>
      <c r="AH2248">
        <v>0</v>
      </c>
      <c r="AI2248">
        <v>79.59999999999999</v>
      </c>
      <c r="AL2248" t="s">
        <v>19615</v>
      </c>
      <c r="AM2248">
        <v>9600</v>
      </c>
      <c r="AS2248">
        <v>1.4</v>
      </c>
      <c r="AT2248" t="s">
        <v>983</v>
      </c>
      <c r="AU2248" t="s">
        <v>20706</v>
      </c>
    </row>
    <row r="2249" spans="1:48">
      <c r="A2249" s="1">
        <f>HYPERLINK("https://lsnyc.legalserver.org/matter/dynamic-profile/view/1850274","17-1850274")</f>
        <v>0</v>
      </c>
      <c r="B2249" t="s">
        <v>138</v>
      </c>
      <c r="C2249" t="s">
        <v>256</v>
      </c>
      <c r="D2249" t="s">
        <v>910</v>
      </c>
      <c r="F2249" t="s">
        <v>2163</v>
      </c>
      <c r="G2249" t="s">
        <v>4116</v>
      </c>
      <c r="H2249" t="s">
        <v>6874</v>
      </c>
      <c r="I2249" t="s">
        <v>8187</v>
      </c>
      <c r="J2249" t="s">
        <v>9067</v>
      </c>
      <c r="K2249">
        <v>10034</v>
      </c>
      <c r="L2249" t="s">
        <v>9094</v>
      </c>
      <c r="M2249" t="s">
        <v>9095</v>
      </c>
      <c r="P2249" t="s">
        <v>11166</v>
      </c>
      <c r="R2249" t="s">
        <v>11180</v>
      </c>
      <c r="S2249" t="s">
        <v>9096</v>
      </c>
      <c r="T2249" t="s">
        <v>11183</v>
      </c>
      <c r="V2249" t="s">
        <v>1057</v>
      </c>
      <c r="W2249">
        <v>1375</v>
      </c>
      <c r="X2249" t="s">
        <v>11335</v>
      </c>
      <c r="Y2249" t="s">
        <v>11338</v>
      </c>
      <c r="Z2249" t="s">
        <v>12905</v>
      </c>
      <c r="AB2249" t="s">
        <v>17273</v>
      </c>
      <c r="AC2249">
        <v>28</v>
      </c>
      <c r="AD2249" t="s">
        <v>19566</v>
      </c>
      <c r="AE2249" t="s">
        <v>9144</v>
      </c>
      <c r="AF2249">
        <v>3</v>
      </c>
      <c r="AG2249">
        <v>1</v>
      </c>
      <c r="AH2249">
        <v>0</v>
      </c>
      <c r="AI2249">
        <v>79.59999999999999</v>
      </c>
      <c r="AL2249" t="s">
        <v>19615</v>
      </c>
      <c r="AM2249">
        <v>9600</v>
      </c>
      <c r="AS2249">
        <v>12.4</v>
      </c>
      <c r="AT2249" t="s">
        <v>700</v>
      </c>
      <c r="AU2249" t="s">
        <v>130</v>
      </c>
    </row>
    <row r="2250" spans="1:48">
      <c r="A2250" s="1">
        <f>HYPERLINK("https://lsnyc.legalserver.org/matter/dynamic-profile/view/1834572","17-1834572")</f>
        <v>0</v>
      </c>
      <c r="B2250" t="s">
        <v>141</v>
      </c>
      <c r="C2250" t="s">
        <v>256</v>
      </c>
      <c r="D2250" t="s">
        <v>550</v>
      </c>
      <c r="F2250" t="s">
        <v>2150</v>
      </c>
      <c r="G2250" t="s">
        <v>4367</v>
      </c>
      <c r="H2250" t="s">
        <v>5952</v>
      </c>
      <c r="I2250" t="s">
        <v>8133</v>
      </c>
      <c r="J2250" t="s">
        <v>9067</v>
      </c>
      <c r="K2250">
        <v>10033</v>
      </c>
      <c r="L2250" t="s">
        <v>9094</v>
      </c>
      <c r="M2250" t="s">
        <v>9095</v>
      </c>
      <c r="O2250" t="s">
        <v>11130</v>
      </c>
      <c r="P2250" t="s">
        <v>11166</v>
      </c>
      <c r="R2250" t="s">
        <v>11180</v>
      </c>
      <c r="S2250" t="s">
        <v>9094</v>
      </c>
      <c r="T2250" t="s">
        <v>11183</v>
      </c>
      <c r="V2250" t="s">
        <v>837</v>
      </c>
      <c r="W2250">
        <v>181</v>
      </c>
      <c r="X2250" t="s">
        <v>11335</v>
      </c>
      <c r="Y2250" t="s">
        <v>11338</v>
      </c>
      <c r="Z2250" t="s">
        <v>12887</v>
      </c>
      <c r="AC2250">
        <v>25</v>
      </c>
      <c r="AD2250" t="s">
        <v>19566</v>
      </c>
      <c r="AE2250" t="s">
        <v>19580</v>
      </c>
      <c r="AF2250">
        <v>20</v>
      </c>
      <c r="AG2250">
        <v>1</v>
      </c>
      <c r="AH2250">
        <v>0</v>
      </c>
      <c r="AI2250">
        <v>79.59999999999999</v>
      </c>
      <c r="AJ2250" t="s">
        <v>973</v>
      </c>
      <c r="AL2250" t="s">
        <v>19615</v>
      </c>
      <c r="AM2250">
        <v>9600</v>
      </c>
      <c r="AS2250">
        <v>0</v>
      </c>
      <c r="AU2250" t="s">
        <v>20657</v>
      </c>
    </row>
    <row r="2251" spans="1:48">
      <c r="A2251" s="1">
        <f>HYPERLINK("https://lsnyc.legalserver.org/matter/dynamic-profile/view/1834576","17-1834576")</f>
        <v>0</v>
      </c>
      <c r="B2251" t="s">
        <v>141</v>
      </c>
      <c r="C2251" t="s">
        <v>256</v>
      </c>
      <c r="D2251" t="s">
        <v>550</v>
      </c>
      <c r="F2251" t="s">
        <v>2150</v>
      </c>
      <c r="G2251" t="s">
        <v>4367</v>
      </c>
      <c r="H2251" t="s">
        <v>5952</v>
      </c>
      <c r="I2251" t="s">
        <v>8133</v>
      </c>
      <c r="J2251" t="s">
        <v>9067</v>
      </c>
      <c r="K2251">
        <v>10033</v>
      </c>
      <c r="L2251" t="s">
        <v>9094</v>
      </c>
      <c r="M2251" t="s">
        <v>9094</v>
      </c>
      <c r="N2251" t="s">
        <v>9685</v>
      </c>
      <c r="O2251" t="s">
        <v>11130</v>
      </c>
      <c r="P2251" t="s">
        <v>11165</v>
      </c>
      <c r="R2251" t="s">
        <v>11180</v>
      </c>
      <c r="S2251" t="s">
        <v>9094</v>
      </c>
      <c r="T2251" t="s">
        <v>11183</v>
      </c>
      <c r="V2251" t="s">
        <v>345</v>
      </c>
      <c r="W2251">
        <v>0</v>
      </c>
      <c r="X2251" t="s">
        <v>11335</v>
      </c>
      <c r="Y2251" t="s">
        <v>11350</v>
      </c>
      <c r="Z2251" t="s">
        <v>12887</v>
      </c>
      <c r="AC2251">
        <v>24</v>
      </c>
      <c r="AD2251" t="s">
        <v>19566</v>
      </c>
      <c r="AE2251" t="s">
        <v>19580</v>
      </c>
      <c r="AF2251">
        <v>20</v>
      </c>
      <c r="AG2251">
        <v>1</v>
      </c>
      <c r="AH2251">
        <v>0</v>
      </c>
      <c r="AI2251">
        <v>79.59999999999999</v>
      </c>
      <c r="AJ2251" t="s">
        <v>973</v>
      </c>
      <c r="AL2251" t="s">
        <v>19615</v>
      </c>
      <c r="AM2251">
        <v>9600</v>
      </c>
      <c r="AS2251">
        <v>0</v>
      </c>
      <c r="AU2251" t="s">
        <v>20657</v>
      </c>
    </row>
    <row r="2252" spans="1:48">
      <c r="A2252" s="1">
        <f>HYPERLINK("https://lsnyc.legalserver.org/matter/dynamic-profile/view/1879255","18-1879255")</f>
        <v>0</v>
      </c>
      <c r="B2252" t="s">
        <v>76</v>
      </c>
      <c r="C2252" t="s">
        <v>256</v>
      </c>
      <c r="D2252" t="s">
        <v>572</v>
      </c>
      <c r="F2252" t="s">
        <v>2135</v>
      </c>
      <c r="G2252" t="s">
        <v>4353</v>
      </c>
      <c r="H2252" t="s">
        <v>6169</v>
      </c>
      <c r="I2252" t="s">
        <v>8151</v>
      </c>
      <c r="J2252" t="s">
        <v>9059</v>
      </c>
      <c r="K2252">
        <v>11213</v>
      </c>
      <c r="L2252" t="s">
        <v>9094</v>
      </c>
      <c r="M2252" t="s">
        <v>9094</v>
      </c>
      <c r="N2252" t="s">
        <v>9179</v>
      </c>
      <c r="O2252" t="s">
        <v>11130</v>
      </c>
      <c r="P2252" t="s">
        <v>11165</v>
      </c>
      <c r="R2252" t="s">
        <v>11180</v>
      </c>
      <c r="S2252" t="s">
        <v>9094</v>
      </c>
      <c r="T2252" t="s">
        <v>11183</v>
      </c>
      <c r="V2252" t="s">
        <v>304</v>
      </c>
      <c r="W2252">
        <v>1200</v>
      </c>
      <c r="X2252" t="s">
        <v>11332</v>
      </c>
      <c r="Z2252" t="s">
        <v>12865</v>
      </c>
      <c r="AB2252" t="s">
        <v>17239</v>
      </c>
      <c r="AC2252">
        <v>35</v>
      </c>
      <c r="AD2252" t="s">
        <v>19566</v>
      </c>
      <c r="AF2252">
        <v>10</v>
      </c>
      <c r="AG2252">
        <v>3</v>
      </c>
      <c r="AH2252">
        <v>1</v>
      </c>
      <c r="AI2252">
        <v>79.68000000000001</v>
      </c>
      <c r="AL2252" t="s">
        <v>19614</v>
      </c>
      <c r="AM2252">
        <v>20000</v>
      </c>
      <c r="AS2252">
        <v>0.1</v>
      </c>
      <c r="AT2252" t="s">
        <v>283</v>
      </c>
      <c r="AU2252" t="s">
        <v>95</v>
      </c>
      <c r="AV2252" t="s">
        <v>20733</v>
      </c>
    </row>
    <row r="2253" spans="1:48">
      <c r="A2253" s="1">
        <f>HYPERLINK("https://lsnyc.legalserver.org/matter/dynamic-profile/view/1883419","18-1883419")</f>
        <v>0</v>
      </c>
      <c r="B2253" t="s">
        <v>98</v>
      </c>
      <c r="C2253" t="s">
        <v>257</v>
      </c>
      <c r="D2253" t="s">
        <v>583</v>
      </c>
      <c r="E2253" t="s">
        <v>574</v>
      </c>
      <c r="F2253" t="s">
        <v>2136</v>
      </c>
      <c r="G2253" t="s">
        <v>4354</v>
      </c>
      <c r="H2253" t="s">
        <v>6081</v>
      </c>
      <c r="I2253" t="s">
        <v>8153</v>
      </c>
      <c r="J2253" t="s">
        <v>9065</v>
      </c>
      <c r="K2253">
        <v>10452</v>
      </c>
      <c r="L2253" t="s">
        <v>9094</v>
      </c>
      <c r="M2253" t="s">
        <v>9094</v>
      </c>
      <c r="N2253" t="s">
        <v>9397</v>
      </c>
      <c r="O2253" t="s">
        <v>11130</v>
      </c>
      <c r="P2253" t="s">
        <v>11165</v>
      </c>
      <c r="Q2253" t="s">
        <v>11174</v>
      </c>
      <c r="R2253" t="s">
        <v>11180</v>
      </c>
      <c r="S2253" t="s">
        <v>9094</v>
      </c>
      <c r="T2253" t="s">
        <v>11183</v>
      </c>
      <c r="V2253" t="s">
        <v>738</v>
      </c>
      <c r="W2253">
        <v>1500</v>
      </c>
      <c r="X2253" t="s">
        <v>11333</v>
      </c>
      <c r="Y2253" t="s">
        <v>11339</v>
      </c>
      <c r="Z2253" t="s">
        <v>12866</v>
      </c>
      <c r="AB2253" t="s">
        <v>17240</v>
      </c>
      <c r="AC2253">
        <v>41</v>
      </c>
      <c r="AD2253" t="s">
        <v>19565</v>
      </c>
      <c r="AE2253" t="s">
        <v>9144</v>
      </c>
      <c r="AF2253">
        <v>4</v>
      </c>
      <c r="AG2253">
        <v>2</v>
      </c>
      <c r="AH2253">
        <v>2</v>
      </c>
      <c r="AI2253">
        <v>79.68000000000001</v>
      </c>
      <c r="AL2253" t="s">
        <v>19615</v>
      </c>
      <c r="AM2253">
        <v>20000</v>
      </c>
      <c r="AS2253">
        <v>0.15</v>
      </c>
      <c r="AT2253" t="s">
        <v>335</v>
      </c>
      <c r="AU2253" t="s">
        <v>20642</v>
      </c>
    </row>
    <row r="2254" spans="1:48">
      <c r="A2254" s="1">
        <f>HYPERLINK("https://lsnyc.legalserver.org/matter/dynamic-profile/view/1914342","19-1914342")</f>
        <v>0</v>
      </c>
      <c r="B2254" t="s">
        <v>64</v>
      </c>
      <c r="C2254" t="s">
        <v>256</v>
      </c>
      <c r="D2254" t="s">
        <v>703</v>
      </c>
      <c r="F2254" t="s">
        <v>2164</v>
      </c>
      <c r="G2254" t="s">
        <v>4380</v>
      </c>
      <c r="H2254" t="s">
        <v>6875</v>
      </c>
      <c r="I2254" t="s">
        <v>8587</v>
      </c>
      <c r="J2254" t="s">
        <v>9059</v>
      </c>
      <c r="K2254">
        <v>11233</v>
      </c>
      <c r="L2254" t="s">
        <v>9096</v>
      </c>
      <c r="M2254" t="s">
        <v>9095</v>
      </c>
      <c r="N2254" t="s">
        <v>10006</v>
      </c>
      <c r="O2254" t="s">
        <v>11128</v>
      </c>
      <c r="R2254" t="s">
        <v>11180</v>
      </c>
      <c r="S2254" t="s">
        <v>9096</v>
      </c>
      <c r="T2254" t="s">
        <v>11183</v>
      </c>
      <c r="W2254">
        <v>1818</v>
      </c>
      <c r="X2254" t="s">
        <v>11332</v>
      </c>
      <c r="Y2254" t="s">
        <v>11352</v>
      </c>
      <c r="Z2254" t="s">
        <v>12906</v>
      </c>
      <c r="AB2254" t="s">
        <v>17274</v>
      </c>
      <c r="AC2254">
        <v>3</v>
      </c>
      <c r="AD2254" t="s">
        <v>19565</v>
      </c>
      <c r="AE2254" t="s">
        <v>19580</v>
      </c>
      <c r="AF2254">
        <v>5</v>
      </c>
      <c r="AG2254">
        <v>3</v>
      </c>
      <c r="AH2254">
        <v>0</v>
      </c>
      <c r="AI2254">
        <v>79.72</v>
      </c>
      <c r="AL2254" t="s">
        <v>19614</v>
      </c>
      <c r="AM2254">
        <v>17004</v>
      </c>
      <c r="AS2254">
        <v>1.6</v>
      </c>
      <c r="AT2254" t="s">
        <v>1130</v>
      </c>
      <c r="AU2254" t="s">
        <v>20639</v>
      </c>
      <c r="AV2254" t="s">
        <v>9144</v>
      </c>
    </row>
    <row r="2255" spans="1:48">
      <c r="A2255" s="1">
        <f>HYPERLINK("https://lsnyc.legalserver.org/matter/dynamic-profile/view/1906190","19-1906190")</f>
        <v>0</v>
      </c>
      <c r="B2255" t="s">
        <v>113</v>
      </c>
      <c r="C2255" t="s">
        <v>256</v>
      </c>
      <c r="D2255" t="s">
        <v>282</v>
      </c>
      <c r="F2255" t="s">
        <v>1212</v>
      </c>
      <c r="G2255" t="s">
        <v>4346</v>
      </c>
      <c r="H2255" t="s">
        <v>5864</v>
      </c>
      <c r="I2255" t="s">
        <v>8588</v>
      </c>
      <c r="J2255" t="s">
        <v>9065</v>
      </c>
      <c r="K2255">
        <v>10460</v>
      </c>
      <c r="L2255" t="s">
        <v>9094</v>
      </c>
      <c r="M2255" t="s">
        <v>9095</v>
      </c>
      <c r="N2255" t="s">
        <v>10007</v>
      </c>
      <c r="O2255" t="s">
        <v>11128</v>
      </c>
      <c r="P2255" t="s">
        <v>11165</v>
      </c>
      <c r="R2255" t="s">
        <v>11180</v>
      </c>
      <c r="S2255" t="s">
        <v>9096</v>
      </c>
      <c r="T2255" t="s">
        <v>11183</v>
      </c>
      <c r="W2255">
        <v>239</v>
      </c>
      <c r="X2255" t="s">
        <v>11333</v>
      </c>
      <c r="Y2255" t="s">
        <v>11346</v>
      </c>
      <c r="Z2255" t="s">
        <v>12856</v>
      </c>
      <c r="AB2255" t="s">
        <v>17232</v>
      </c>
      <c r="AC2255">
        <v>169</v>
      </c>
      <c r="AD2255" t="s">
        <v>19571</v>
      </c>
      <c r="AE2255" t="s">
        <v>19580</v>
      </c>
      <c r="AF2255">
        <v>45</v>
      </c>
      <c r="AG2255">
        <v>1</v>
      </c>
      <c r="AH2255">
        <v>0</v>
      </c>
      <c r="AI2255">
        <v>79.73999999999999</v>
      </c>
      <c r="AM2255">
        <v>9960</v>
      </c>
      <c r="AS2255">
        <v>5</v>
      </c>
      <c r="AT2255" t="s">
        <v>429</v>
      </c>
      <c r="AU2255" t="s">
        <v>220</v>
      </c>
    </row>
    <row r="2256" spans="1:48">
      <c r="A2256" s="1">
        <f>HYPERLINK("https://lsnyc.legalserver.org/matter/dynamic-profile/view/1888942","19-1888942")</f>
        <v>0</v>
      </c>
      <c r="B2256" t="s">
        <v>118</v>
      </c>
      <c r="C2256" t="s">
        <v>256</v>
      </c>
      <c r="D2256" t="s">
        <v>616</v>
      </c>
      <c r="F2256" t="s">
        <v>1158</v>
      </c>
      <c r="G2256" t="s">
        <v>4381</v>
      </c>
      <c r="H2256" t="s">
        <v>6158</v>
      </c>
      <c r="I2256" t="s">
        <v>8175</v>
      </c>
      <c r="J2256" t="s">
        <v>9065</v>
      </c>
      <c r="K2256">
        <v>10452</v>
      </c>
      <c r="L2256" t="s">
        <v>9094</v>
      </c>
      <c r="M2256" t="s">
        <v>9094</v>
      </c>
      <c r="N2256" t="s">
        <v>9447</v>
      </c>
      <c r="O2256" t="s">
        <v>11132</v>
      </c>
      <c r="P2256" t="s">
        <v>11165</v>
      </c>
      <c r="R2256" t="s">
        <v>11180</v>
      </c>
      <c r="S2256" t="s">
        <v>9094</v>
      </c>
      <c r="T2256" t="s">
        <v>11183</v>
      </c>
      <c r="V2256" t="s">
        <v>11212</v>
      </c>
      <c r="W2256">
        <v>1100</v>
      </c>
      <c r="X2256" t="s">
        <v>11333</v>
      </c>
      <c r="Y2256" t="s">
        <v>11346</v>
      </c>
      <c r="Z2256" t="s">
        <v>12907</v>
      </c>
      <c r="AB2256" t="s">
        <v>17275</v>
      </c>
      <c r="AC2256">
        <v>0</v>
      </c>
      <c r="AD2256" t="s">
        <v>19566</v>
      </c>
      <c r="AE2256" t="s">
        <v>11157</v>
      </c>
      <c r="AF2256">
        <v>4</v>
      </c>
      <c r="AG2256">
        <v>1</v>
      </c>
      <c r="AH2256">
        <v>0</v>
      </c>
      <c r="AI2256">
        <v>79.73999999999999</v>
      </c>
      <c r="AL2256" t="s">
        <v>19614</v>
      </c>
      <c r="AM2256">
        <v>9960</v>
      </c>
      <c r="AS2256">
        <v>0.5</v>
      </c>
      <c r="AT2256" t="s">
        <v>615</v>
      </c>
      <c r="AU2256" t="s">
        <v>174</v>
      </c>
      <c r="AV2256" t="s">
        <v>20733</v>
      </c>
    </row>
    <row r="2257" spans="1:48">
      <c r="A2257" s="1">
        <f>HYPERLINK("https://lsnyc.legalserver.org/matter/dynamic-profile/view/1888148","19-1888148")</f>
        <v>0</v>
      </c>
      <c r="B2257" t="s">
        <v>134</v>
      </c>
      <c r="C2257" t="s">
        <v>256</v>
      </c>
      <c r="D2257" t="s">
        <v>510</v>
      </c>
      <c r="F2257" t="s">
        <v>1341</v>
      </c>
      <c r="G2257" t="s">
        <v>3448</v>
      </c>
      <c r="H2257" t="s">
        <v>5957</v>
      </c>
      <c r="I2257" t="s">
        <v>8149</v>
      </c>
      <c r="J2257" t="s">
        <v>9067</v>
      </c>
      <c r="K2257">
        <v>10032</v>
      </c>
      <c r="L2257" t="s">
        <v>9094</v>
      </c>
      <c r="M2257" t="s">
        <v>9094</v>
      </c>
      <c r="P2257" t="s">
        <v>11165</v>
      </c>
      <c r="R2257" t="s">
        <v>11180</v>
      </c>
      <c r="S2257" t="s">
        <v>9094</v>
      </c>
      <c r="T2257" t="s">
        <v>11183</v>
      </c>
      <c r="V2257" t="s">
        <v>510</v>
      </c>
      <c r="W2257">
        <v>510.85</v>
      </c>
      <c r="X2257" t="s">
        <v>11335</v>
      </c>
      <c r="Y2257" t="s">
        <v>11338</v>
      </c>
      <c r="Z2257" t="s">
        <v>12908</v>
      </c>
      <c r="AB2257" t="s">
        <v>17276</v>
      </c>
      <c r="AC2257">
        <v>42</v>
      </c>
      <c r="AD2257" t="s">
        <v>19566</v>
      </c>
      <c r="AE2257" t="s">
        <v>19587</v>
      </c>
      <c r="AF2257">
        <v>32</v>
      </c>
      <c r="AG2257">
        <v>1</v>
      </c>
      <c r="AH2257">
        <v>0</v>
      </c>
      <c r="AI2257">
        <v>79.87</v>
      </c>
      <c r="AL2257" t="s">
        <v>19615</v>
      </c>
      <c r="AM2257">
        <v>9696</v>
      </c>
      <c r="AS2257">
        <v>0</v>
      </c>
      <c r="AU2257" t="s">
        <v>130</v>
      </c>
      <c r="AV2257" t="s">
        <v>20733</v>
      </c>
    </row>
    <row r="2258" spans="1:48">
      <c r="A2258" s="1">
        <f>HYPERLINK("https://lsnyc.legalserver.org/matter/dynamic-profile/view/1904190","19-1904190")</f>
        <v>0</v>
      </c>
      <c r="B2258" t="s">
        <v>136</v>
      </c>
      <c r="C2258" t="s">
        <v>256</v>
      </c>
      <c r="D2258" t="s">
        <v>312</v>
      </c>
      <c r="F2258" t="s">
        <v>2165</v>
      </c>
      <c r="G2258" t="s">
        <v>3370</v>
      </c>
      <c r="H2258" t="s">
        <v>5961</v>
      </c>
      <c r="I2258">
        <v>309</v>
      </c>
      <c r="J2258" t="s">
        <v>9067</v>
      </c>
      <c r="K2258">
        <v>10029</v>
      </c>
      <c r="L2258" t="s">
        <v>9094</v>
      </c>
      <c r="M2258" t="s">
        <v>9095</v>
      </c>
      <c r="O2258" t="s">
        <v>11130</v>
      </c>
      <c r="P2258" t="s">
        <v>11164</v>
      </c>
      <c r="R2258" t="s">
        <v>11180</v>
      </c>
      <c r="S2258" t="s">
        <v>9094</v>
      </c>
      <c r="T2258" t="s">
        <v>11183</v>
      </c>
      <c r="U2258" t="s">
        <v>11201</v>
      </c>
      <c r="V2258" t="s">
        <v>271</v>
      </c>
      <c r="W2258">
        <v>274</v>
      </c>
      <c r="X2258" t="s">
        <v>11335</v>
      </c>
      <c r="Y2258" t="s">
        <v>11339</v>
      </c>
      <c r="Z2258" t="s">
        <v>12909</v>
      </c>
      <c r="AB2258" t="s">
        <v>17277</v>
      </c>
      <c r="AC2258">
        <v>108</v>
      </c>
      <c r="AD2258" t="s">
        <v>19567</v>
      </c>
      <c r="AE2258" t="s">
        <v>9144</v>
      </c>
      <c r="AF2258">
        <v>29</v>
      </c>
      <c r="AG2258">
        <v>2</v>
      </c>
      <c r="AH2258">
        <v>0</v>
      </c>
      <c r="AI2258">
        <v>79.91</v>
      </c>
      <c r="AL2258" t="s">
        <v>19614</v>
      </c>
      <c r="AM2258">
        <v>13512</v>
      </c>
      <c r="AS2258">
        <v>1.2</v>
      </c>
      <c r="AT2258" t="s">
        <v>612</v>
      </c>
      <c r="AU2258" t="s">
        <v>20657</v>
      </c>
      <c r="AV2258" t="s">
        <v>20733</v>
      </c>
    </row>
    <row r="2259" spans="1:48">
      <c r="A2259" s="1">
        <f>HYPERLINK("https://lsnyc.legalserver.org/matter/dynamic-profile/view/1910942","19-1910942")</f>
        <v>0</v>
      </c>
      <c r="B2259" t="s">
        <v>217</v>
      </c>
      <c r="C2259" t="s">
        <v>256</v>
      </c>
      <c r="D2259" t="s">
        <v>295</v>
      </c>
      <c r="F2259" t="s">
        <v>2166</v>
      </c>
      <c r="G2259" t="s">
        <v>4382</v>
      </c>
      <c r="H2259" t="s">
        <v>6876</v>
      </c>
      <c r="I2259" t="s">
        <v>8265</v>
      </c>
      <c r="J2259" t="s">
        <v>9067</v>
      </c>
      <c r="K2259">
        <v>10034</v>
      </c>
      <c r="L2259" t="s">
        <v>9094</v>
      </c>
      <c r="M2259" t="s">
        <v>9095</v>
      </c>
      <c r="P2259" t="s">
        <v>11165</v>
      </c>
      <c r="R2259" t="s">
        <v>11180</v>
      </c>
      <c r="S2259" t="s">
        <v>9096</v>
      </c>
      <c r="T2259" t="s">
        <v>11183</v>
      </c>
      <c r="V2259" t="s">
        <v>295</v>
      </c>
      <c r="W2259">
        <v>919.16</v>
      </c>
      <c r="X2259" t="s">
        <v>11335</v>
      </c>
      <c r="Y2259" t="s">
        <v>11338</v>
      </c>
      <c r="Z2259" t="s">
        <v>12910</v>
      </c>
      <c r="AB2259" t="s">
        <v>17278</v>
      </c>
      <c r="AC2259">
        <v>74</v>
      </c>
      <c r="AD2259" t="s">
        <v>19566</v>
      </c>
      <c r="AE2259" t="s">
        <v>9144</v>
      </c>
      <c r="AF2259">
        <v>29</v>
      </c>
      <c r="AG2259">
        <v>2</v>
      </c>
      <c r="AH2259">
        <v>0</v>
      </c>
      <c r="AI2259">
        <v>79.95</v>
      </c>
      <c r="AL2259" t="s">
        <v>19614</v>
      </c>
      <c r="AM2259">
        <v>13520</v>
      </c>
      <c r="AS2259">
        <v>23.1</v>
      </c>
      <c r="AT2259" t="s">
        <v>1135</v>
      </c>
      <c r="AU2259" t="s">
        <v>130</v>
      </c>
      <c r="AV2259" t="s">
        <v>20733</v>
      </c>
    </row>
    <row r="2260" spans="1:48">
      <c r="A2260" s="1">
        <f>HYPERLINK("https://lsnyc.legalserver.org/matter/dynamic-profile/view/1894814","19-1894814")</f>
        <v>0</v>
      </c>
      <c r="B2260" t="s">
        <v>124</v>
      </c>
      <c r="C2260" t="s">
        <v>257</v>
      </c>
      <c r="D2260" t="s">
        <v>512</v>
      </c>
      <c r="E2260" t="s">
        <v>295</v>
      </c>
      <c r="F2260" t="s">
        <v>1264</v>
      </c>
      <c r="G2260" t="s">
        <v>3586</v>
      </c>
      <c r="H2260" t="s">
        <v>6877</v>
      </c>
      <c r="I2260" t="s">
        <v>8248</v>
      </c>
      <c r="J2260" t="s">
        <v>9066</v>
      </c>
      <c r="K2260">
        <v>10301</v>
      </c>
      <c r="L2260" t="s">
        <v>9094</v>
      </c>
      <c r="M2260" t="s">
        <v>9094</v>
      </c>
      <c r="N2260" t="s">
        <v>10008</v>
      </c>
      <c r="O2260" t="s">
        <v>11129</v>
      </c>
      <c r="P2260" t="s">
        <v>11165</v>
      </c>
      <c r="Q2260" t="s">
        <v>11174</v>
      </c>
      <c r="R2260" t="s">
        <v>11180</v>
      </c>
      <c r="S2260" t="s">
        <v>9096</v>
      </c>
      <c r="T2260" t="s">
        <v>11183</v>
      </c>
      <c r="U2260" t="s">
        <v>11201</v>
      </c>
      <c r="V2260" t="s">
        <v>512</v>
      </c>
      <c r="W2260">
        <v>2117</v>
      </c>
      <c r="X2260" t="s">
        <v>11334</v>
      </c>
      <c r="Y2260" t="s">
        <v>11345</v>
      </c>
      <c r="Z2260" t="s">
        <v>12911</v>
      </c>
      <c r="AA2260" t="s">
        <v>15670</v>
      </c>
      <c r="AB2260" t="s">
        <v>17279</v>
      </c>
      <c r="AC2260">
        <v>3</v>
      </c>
      <c r="AD2260" t="s">
        <v>19565</v>
      </c>
      <c r="AE2260" t="s">
        <v>19586</v>
      </c>
      <c r="AF2260">
        <v>1</v>
      </c>
      <c r="AG2260">
        <v>2</v>
      </c>
      <c r="AH2260">
        <v>5</v>
      </c>
      <c r="AI2260">
        <v>79.98</v>
      </c>
      <c r="AL2260" t="s">
        <v>19615</v>
      </c>
      <c r="AM2260">
        <v>31200</v>
      </c>
      <c r="AO2260" t="s">
        <v>20290</v>
      </c>
      <c r="AP2260" t="s">
        <v>20309</v>
      </c>
      <c r="AQ2260" t="s">
        <v>20368</v>
      </c>
      <c r="AS2260">
        <v>7.5</v>
      </c>
      <c r="AT2260" t="s">
        <v>283</v>
      </c>
      <c r="AU2260" t="s">
        <v>20653</v>
      </c>
      <c r="AV2260" t="s">
        <v>20733</v>
      </c>
    </row>
    <row r="2261" spans="1:48">
      <c r="A2261" s="1">
        <f>HYPERLINK("https://lsnyc.legalserver.org/matter/dynamic-profile/view/1914227","19-1914227")</f>
        <v>0</v>
      </c>
      <c r="B2261" t="s">
        <v>133</v>
      </c>
      <c r="C2261" t="s">
        <v>256</v>
      </c>
      <c r="D2261" t="s">
        <v>496</v>
      </c>
      <c r="F2261" t="s">
        <v>1256</v>
      </c>
      <c r="G2261" t="s">
        <v>4383</v>
      </c>
      <c r="H2261" t="s">
        <v>6784</v>
      </c>
      <c r="I2261">
        <v>46</v>
      </c>
      <c r="J2261" t="s">
        <v>9067</v>
      </c>
      <c r="K2261">
        <v>10034</v>
      </c>
      <c r="L2261" t="s">
        <v>9094</v>
      </c>
      <c r="M2261" t="s">
        <v>9095</v>
      </c>
      <c r="O2261" t="s">
        <v>11133</v>
      </c>
      <c r="P2261" t="s">
        <v>11167</v>
      </c>
      <c r="R2261" t="s">
        <v>11180</v>
      </c>
      <c r="S2261" t="s">
        <v>9096</v>
      </c>
      <c r="T2261" t="s">
        <v>11183</v>
      </c>
      <c r="V2261" t="s">
        <v>496</v>
      </c>
      <c r="W2261">
        <v>867.85</v>
      </c>
      <c r="X2261" t="s">
        <v>11335</v>
      </c>
      <c r="Y2261" t="s">
        <v>11340</v>
      </c>
      <c r="Z2261" t="s">
        <v>12912</v>
      </c>
      <c r="AB2261" t="s">
        <v>17280</v>
      </c>
      <c r="AC2261">
        <v>28</v>
      </c>
      <c r="AD2261" t="s">
        <v>19566</v>
      </c>
      <c r="AE2261" t="s">
        <v>19587</v>
      </c>
      <c r="AF2261">
        <v>24</v>
      </c>
      <c r="AG2261">
        <v>2</v>
      </c>
      <c r="AH2261">
        <v>0</v>
      </c>
      <c r="AI2261">
        <v>79.98</v>
      </c>
      <c r="AL2261" t="s">
        <v>19615</v>
      </c>
      <c r="AM2261">
        <v>13524</v>
      </c>
      <c r="AS2261">
        <v>1.2</v>
      </c>
      <c r="AT2261" t="s">
        <v>395</v>
      </c>
      <c r="AU2261" t="s">
        <v>130</v>
      </c>
      <c r="AV2261" t="s">
        <v>20733</v>
      </c>
    </row>
    <row r="2262" spans="1:48">
      <c r="A2262" s="1">
        <f>HYPERLINK("https://lsnyc.legalserver.org/matter/dynamic-profile/view/0827352","17-0827352")</f>
        <v>0</v>
      </c>
      <c r="B2262" t="s">
        <v>141</v>
      </c>
      <c r="C2262" t="s">
        <v>256</v>
      </c>
      <c r="D2262" t="s">
        <v>911</v>
      </c>
      <c r="F2262" t="s">
        <v>2167</v>
      </c>
      <c r="G2262" t="s">
        <v>4384</v>
      </c>
      <c r="H2262" t="s">
        <v>6382</v>
      </c>
      <c r="I2262" t="s">
        <v>8266</v>
      </c>
      <c r="J2262" t="s">
        <v>9067</v>
      </c>
      <c r="K2262">
        <v>10034</v>
      </c>
      <c r="L2262" t="s">
        <v>9094</v>
      </c>
      <c r="M2262" t="s">
        <v>9095</v>
      </c>
      <c r="N2262" t="s">
        <v>10009</v>
      </c>
      <c r="O2262" t="s">
        <v>11130</v>
      </c>
      <c r="P2262" t="s">
        <v>11165</v>
      </c>
      <c r="R2262" t="s">
        <v>11180</v>
      </c>
      <c r="S2262" t="s">
        <v>9094</v>
      </c>
      <c r="T2262" t="s">
        <v>11183</v>
      </c>
      <c r="V2262" t="s">
        <v>11234</v>
      </c>
      <c r="W2262">
        <v>890.8200000000001</v>
      </c>
      <c r="X2262" t="s">
        <v>11335</v>
      </c>
      <c r="Y2262" t="s">
        <v>11338</v>
      </c>
      <c r="Z2262" t="s">
        <v>12913</v>
      </c>
      <c r="AC2262">
        <v>44</v>
      </c>
      <c r="AD2262" t="s">
        <v>19566</v>
      </c>
      <c r="AE2262" t="s">
        <v>9144</v>
      </c>
      <c r="AF2262">
        <v>24</v>
      </c>
      <c r="AG2262">
        <v>1</v>
      </c>
      <c r="AH2262">
        <v>1</v>
      </c>
      <c r="AI2262">
        <v>80.05</v>
      </c>
      <c r="AL2262" t="s">
        <v>19615</v>
      </c>
      <c r="AM2262">
        <v>13000</v>
      </c>
      <c r="AS2262">
        <v>0</v>
      </c>
      <c r="AU2262" t="s">
        <v>141</v>
      </c>
    </row>
    <row r="2263" spans="1:48">
      <c r="A2263" s="1">
        <f>HYPERLINK("https://lsnyc.legalserver.org/matter/dynamic-profile/view/1897637","19-1897637")</f>
        <v>0</v>
      </c>
      <c r="B2263" t="s">
        <v>165</v>
      </c>
      <c r="C2263" t="s">
        <v>256</v>
      </c>
      <c r="D2263" t="s">
        <v>617</v>
      </c>
      <c r="F2263" t="s">
        <v>1896</v>
      </c>
      <c r="G2263" t="s">
        <v>4385</v>
      </c>
      <c r="H2263" t="s">
        <v>6529</v>
      </c>
      <c r="I2263" t="s">
        <v>8141</v>
      </c>
      <c r="J2263" t="s">
        <v>9059</v>
      </c>
      <c r="K2263">
        <v>11233</v>
      </c>
      <c r="L2263" t="s">
        <v>9094</v>
      </c>
      <c r="M2263" t="s">
        <v>9094</v>
      </c>
      <c r="O2263" t="s">
        <v>11134</v>
      </c>
      <c r="P2263" t="s">
        <v>11168</v>
      </c>
      <c r="R2263" t="s">
        <v>11180</v>
      </c>
      <c r="S2263" t="s">
        <v>9096</v>
      </c>
      <c r="T2263" t="s">
        <v>11183</v>
      </c>
      <c r="V2263" t="s">
        <v>617</v>
      </c>
      <c r="W2263">
        <v>606</v>
      </c>
      <c r="X2263" t="s">
        <v>11332</v>
      </c>
      <c r="Z2263" t="s">
        <v>12392</v>
      </c>
      <c r="AB2263" t="s">
        <v>16804</v>
      </c>
      <c r="AC2263">
        <v>6</v>
      </c>
      <c r="AD2263" t="s">
        <v>19566</v>
      </c>
      <c r="AE2263" t="s">
        <v>9144</v>
      </c>
      <c r="AF2263">
        <v>40</v>
      </c>
      <c r="AG2263">
        <v>1</v>
      </c>
      <c r="AH2263">
        <v>0</v>
      </c>
      <c r="AI2263">
        <v>80.06</v>
      </c>
      <c r="AL2263" t="s">
        <v>19614</v>
      </c>
      <c r="AM2263">
        <v>10000</v>
      </c>
      <c r="AS2263">
        <v>0.7</v>
      </c>
      <c r="AT2263" t="s">
        <v>498</v>
      </c>
      <c r="AU2263" t="s">
        <v>165</v>
      </c>
    </row>
    <row r="2264" spans="1:48">
      <c r="A2264" s="1">
        <f>HYPERLINK("https://lsnyc.legalserver.org/matter/dynamic-profile/view/1901986","19-1901986")</f>
        <v>0</v>
      </c>
      <c r="B2264" t="s">
        <v>70</v>
      </c>
      <c r="C2264" t="s">
        <v>256</v>
      </c>
      <c r="D2264" t="s">
        <v>319</v>
      </c>
      <c r="F2264" t="s">
        <v>2168</v>
      </c>
      <c r="G2264" t="s">
        <v>3991</v>
      </c>
      <c r="H2264" t="s">
        <v>6474</v>
      </c>
      <c r="I2264" t="s">
        <v>8589</v>
      </c>
      <c r="J2264" t="s">
        <v>9059</v>
      </c>
      <c r="K2264">
        <v>11233</v>
      </c>
      <c r="L2264" t="s">
        <v>9094</v>
      </c>
      <c r="M2264" t="s">
        <v>9095</v>
      </c>
      <c r="N2264" t="s">
        <v>9146</v>
      </c>
      <c r="O2264" t="s">
        <v>11134</v>
      </c>
      <c r="P2264" t="s">
        <v>11168</v>
      </c>
      <c r="R2264" t="s">
        <v>11180</v>
      </c>
      <c r="S2264" t="s">
        <v>9094</v>
      </c>
      <c r="T2264" t="s">
        <v>11183</v>
      </c>
      <c r="U2264" t="s">
        <v>11201</v>
      </c>
      <c r="V2264" t="s">
        <v>482</v>
      </c>
      <c r="W2264">
        <v>1099.98</v>
      </c>
      <c r="X2264" t="s">
        <v>11332</v>
      </c>
      <c r="Y2264" t="s">
        <v>11157</v>
      </c>
      <c r="Z2264" t="s">
        <v>12914</v>
      </c>
      <c r="AC2264">
        <v>359</v>
      </c>
      <c r="AD2264" t="s">
        <v>19566</v>
      </c>
      <c r="AF2264">
        <v>51</v>
      </c>
      <c r="AG2264">
        <v>1</v>
      </c>
      <c r="AH2264">
        <v>0</v>
      </c>
      <c r="AI2264">
        <v>80.06</v>
      </c>
      <c r="AL2264" t="s">
        <v>19614</v>
      </c>
      <c r="AM2264">
        <v>10000</v>
      </c>
      <c r="AN2264" t="s">
        <v>19642</v>
      </c>
      <c r="AS2264">
        <v>0</v>
      </c>
      <c r="AU2264" t="s">
        <v>79</v>
      </c>
      <c r="AV2264" t="s">
        <v>9144</v>
      </c>
    </row>
    <row r="2265" spans="1:48">
      <c r="A2265" s="1">
        <f>HYPERLINK("https://lsnyc.legalserver.org/matter/dynamic-profile/view/1897435","19-1897435")</f>
        <v>0</v>
      </c>
      <c r="B2265" t="s">
        <v>165</v>
      </c>
      <c r="C2265" t="s">
        <v>256</v>
      </c>
      <c r="D2265" t="s">
        <v>318</v>
      </c>
      <c r="F2265" t="s">
        <v>1896</v>
      </c>
      <c r="G2265" t="s">
        <v>4385</v>
      </c>
      <c r="H2265" t="s">
        <v>6529</v>
      </c>
      <c r="I2265" t="s">
        <v>8141</v>
      </c>
      <c r="J2265" t="s">
        <v>9059</v>
      </c>
      <c r="K2265">
        <v>11233</v>
      </c>
      <c r="L2265" t="s">
        <v>9094</v>
      </c>
      <c r="M2265" t="s">
        <v>9094</v>
      </c>
      <c r="N2265" t="s">
        <v>9102</v>
      </c>
      <c r="O2265" t="s">
        <v>9121</v>
      </c>
      <c r="P2265" t="s">
        <v>11167</v>
      </c>
      <c r="R2265" t="s">
        <v>11180</v>
      </c>
      <c r="S2265" t="s">
        <v>9096</v>
      </c>
      <c r="T2265" t="s">
        <v>11183</v>
      </c>
      <c r="U2265" t="s">
        <v>11201</v>
      </c>
      <c r="V2265" t="s">
        <v>318</v>
      </c>
      <c r="W2265">
        <v>0</v>
      </c>
      <c r="X2265" t="s">
        <v>11332</v>
      </c>
      <c r="Z2265" t="s">
        <v>12392</v>
      </c>
      <c r="AB2265" t="s">
        <v>16804</v>
      </c>
      <c r="AC2265">
        <v>6</v>
      </c>
      <c r="AD2265" t="s">
        <v>19566</v>
      </c>
      <c r="AF2265">
        <v>0</v>
      </c>
      <c r="AG2265">
        <v>1</v>
      </c>
      <c r="AH2265">
        <v>0</v>
      </c>
      <c r="AI2265">
        <v>80.06</v>
      </c>
      <c r="AL2265" t="s">
        <v>19614</v>
      </c>
      <c r="AM2265">
        <v>10000</v>
      </c>
      <c r="AN2265" t="s">
        <v>19856</v>
      </c>
      <c r="AS2265">
        <v>0</v>
      </c>
      <c r="AU2265" t="s">
        <v>95</v>
      </c>
    </row>
    <row r="2266" spans="1:48">
      <c r="A2266" s="1">
        <f>HYPERLINK("https://lsnyc.legalserver.org/matter/dynamic-profile/view/1897431","19-1897431")</f>
        <v>0</v>
      </c>
      <c r="B2266" t="s">
        <v>165</v>
      </c>
      <c r="C2266" t="s">
        <v>256</v>
      </c>
      <c r="D2266" t="s">
        <v>318</v>
      </c>
      <c r="F2266" t="s">
        <v>1896</v>
      </c>
      <c r="G2266" t="s">
        <v>4385</v>
      </c>
      <c r="H2266" t="s">
        <v>6529</v>
      </c>
      <c r="I2266" t="s">
        <v>8141</v>
      </c>
      <c r="J2266" t="s">
        <v>9059</v>
      </c>
      <c r="K2266">
        <v>11233</v>
      </c>
      <c r="L2266" t="s">
        <v>9094</v>
      </c>
      <c r="M2266" t="s">
        <v>9094</v>
      </c>
      <c r="O2266" t="s">
        <v>11137</v>
      </c>
      <c r="P2266" t="s">
        <v>11167</v>
      </c>
      <c r="R2266" t="s">
        <v>11180</v>
      </c>
      <c r="S2266" t="s">
        <v>9096</v>
      </c>
      <c r="T2266" t="s">
        <v>11183</v>
      </c>
      <c r="U2266" t="s">
        <v>11201</v>
      </c>
      <c r="V2266" t="s">
        <v>473</v>
      </c>
      <c r="W2266">
        <v>0</v>
      </c>
      <c r="X2266" t="s">
        <v>11332</v>
      </c>
      <c r="Y2266" t="s">
        <v>11340</v>
      </c>
      <c r="Z2266" t="s">
        <v>12392</v>
      </c>
      <c r="AB2266" t="s">
        <v>16804</v>
      </c>
      <c r="AC2266">
        <v>6</v>
      </c>
      <c r="AD2266" t="s">
        <v>19566</v>
      </c>
      <c r="AF2266">
        <v>0</v>
      </c>
      <c r="AG2266">
        <v>1</v>
      </c>
      <c r="AH2266">
        <v>0</v>
      </c>
      <c r="AI2266">
        <v>80.06</v>
      </c>
      <c r="AL2266" t="s">
        <v>19614</v>
      </c>
      <c r="AM2266">
        <v>10000</v>
      </c>
      <c r="AS2266">
        <v>33.5</v>
      </c>
      <c r="AT2266" t="s">
        <v>728</v>
      </c>
      <c r="AU2266" t="s">
        <v>95</v>
      </c>
    </row>
    <row r="2267" spans="1:48">
      <c r="A2267" s="1">
        <f>HYPERLINK("https://lsnyc.legalserver.org/matter/dynamic-profile/view/1901989","19-1901989")</f>
        <v>0</v>
      </c>
      <c r="B2267" t="s">
        <v>70</v>
      </c>
      <c r="C2267" t="s">
        <v>256</v>
      </c>
      <c r="D2267" t="s">
        <v>319</v>
      </c>
      <c r="F2267" t="s">
        <v>2168</v>
      </c>
      <c r="G2267" t="s">
        <v>3991</v>
      </c>
      <c r="H2267" t="s">
        <v>6474</v>
      </c>
      <c r="I2267" t="s">
        <v>8589</v>
      </c>
      <c r="J2267" t="s">
        <v>9059</v>
      </c>
      <c r="K2267">
        <v>11233</v>
      </c>
      <c r="L2267" t="s">
        <v>9094</v>
      </c>
      <c r="M2267" t="s">
        <v>9095</v>
      </c>
      <c r="N2267" t="s">
        <v>9121</v>
      </c>
      <c r="O2267" t="s">
        <v>11137</v>
      </c>
      <c r="P2267" t="s">
        <v>11167</v>
      </c>
      <c r="R2267" t="s">
        <v>11180</v>
      </c>
      <c r="S2267" t="s">
        <v>9094</v>
      </c>
      <c r="T2267" t="s">
        <v>11183</v>
      </c>
      <c r="U2267" t="s">
        <v>11201</v>
      </c>
      <c r="V2267" t="s">
        <v>749</v>
      </c>
      <c r="W2267">
        <v>1099.98</v>
      </c>
      <c r="X2267" t="s">
        <v>11332</v>
      </c>
      <c r="Y2267" t="s">
        <v>11157</v>
      </c>
      <c r="Z2267" t="s">
        <v>12914</v>
      </c>
      <c r="AC2267">
        <v>359</v>
      </c>
      <c r="AD2267" t="s">
        <v>19566</v>
      </c>
      <c r="AF2267">
        <v>51</v>
      </c>
      <c r="AG2267">
        <v>1</v>
      </c>
      <c r="AH2267">
        <v>0</v>
      </c>
      <c r="AI2267">
        <v>80.06</v>
      </c>
      <c r="AL2267" t="s">
        <v>19614</v>
      </c>
      <c r="AM2267">
        <v>10000</v>
      </c>
      <c r="AN2267" t="s">
        <v>19857</v>
      </c>
      <c r="AS2267">
        <v>0</v>
      </c>
      <c r="AU2267" t="s">
        <v>79</v>
      </c>
      <c r="AV2267" t="s">
        <v>9144</v>
      </c>
    </row>
    <row r="2268" spans="1:48">
      <c r="A2268" s="1">
        <f>HYPERLINK("https://lsnyc.legalserver.org/matter/dynamic-profile/view/1897447","19-1897447")</f>
        <v>0</v>
      </c>
      <c r="B2268" t="s">
        <v>165</v>
      </c>
      <c r="C2268" t="s">
        <v>256</v>
      </c>
      <c r="D2268" t="s">
        <v>318</v>
      </c>
      <c r="F2268" t="s">
        <v>1896</v>
      </c>
      <c r="G2268" t="s">
        <v>4385</v>
      </c>
      <c r="H2268" t="s">
        <v>6529</v>
      </c>
      <c r="I2268" t="s">
        <v>8141</v>
      </c>
      <c r="J2268" t="s">
        <v>9059</v>
      </c>
      <c r="K2268">
        <v>11233</v>
      </c>
      <c r="L2268" t="s">
        <v>9094</v>
      </c>
      <c r="M2268" t="s">
        <v>9094</v>
      </c>
      <c r="O2268" t="s">
        <v>11133</v>
      </c>
      <c r="P2268" t="s">
        <v>11167</v>
      </c>
      <c r="R2268" t="s">
        <v>11180</v>
      </c>
      <c r="S2268" t="s">
        <v>9096</v>
      </c>
      <c r="T2268" t="s">
        <v>11183</v>
      </c>
      <c r="U2268" t="s">
        <v>11201</v>
      </c>
      <c r="V2268" t="s">
        <v>11218</v>
      </c>
      <c r="W2268">
        <v>0</v>
      </c>
      <c r="X2268" t="s">
        <v>11332</v>
      </c>
      <c r="Z2268" t="s">
        <v>12392</v>
      </c>
      <c r="AB2268" t="s">
        <v>16804</v>
      </c>
      <c r="AC2268">
        <v>6</v>
      </c>
      <c r="AD2268" t="s">
        <v>19566</v>
      </c>
      <c r="AF2268">
        <v>0</v>
      </c>
      <c r="AG2268">
        <v>1</v>
      </c>
      <c r="AH2268">
        <v>0</v>
      </c>
      <c r="AI2268">
        <v>80.06</v>
      </c>
      <c r="AL2268" t="s">
        <v>19614</v>
      </c>
      <c r="AM2268">
        <v>10000</v>
      </c>
      <c r="AN2268" t="s">
        <v>19856</v>
      </c>
      <c r="AS2268">
        <v>1.5</v>
      </c>
      <c r="AT2268" t="s">
        <v>481</v>
      </c>
      <c r="AU2268" t="s">
        <v>95</v>
      </c>
    </row>
    <row r="2269" spans="1:48">
      <c r="A2269" s="1">
        <f>HYPERLINK("https://lsnyc.legalserver.org/matter/dynamic-profile/view/1889254","19-1889254")</f>
        <v>0</v>
      </c>
      <c r="B2269" t="s">
        <v>66</v>
      </c>
      <c r="C2269" t="s">
        <v>256</v>
      </c>
      <c r="D2269" t="s">
        <v>602</v>
      </c>
      <c r="F2269" t="s">
        <v>1360</v>
      </c>
      <c r="G2269" t="s">
        <v>2505</v>
      </c>
      <c r="H2269" t="s">
        <v>5774</v>
      </c>
      <c r="I2269" t="s">
        <v>8213</v>
      </c>
      <c r="J2269" t="s">
        <v>9059</v>
      </c>
      <c r="K2269">
        <v>11226</v>
      </c>
      <c r="L2269" t="s">
        <v>9096</v>
      </c>
      <c r="M2269" t="s">
        <v>9094</v>
      </c>
      <c r="O2269" t="s">
        <v>11134</v>
      </c>
      <c r="P2269" t="s">
        <v>11166</v>
      </c>
      <c r="R2269" t="s">
        <v>11180</v>
      </c>
      <c r="S2269" t="s">
        <v>9094</v>
      </c>
      <c r="T2269" t="s">
        <v>11183</v>
      </c>
      <c r="V2269" t="s">
        <v>402</v>
      </c>
      <c r="W2269">
        <v>916</v>
      </c>
      <c r="X2269" t="s">
        <v>11332</v>
      </c>
      <c r="Z2269" t="s">
        <v>11422</v>
      </c>
      <c r="AC2269">
        <v>0</v>
      </c>
      <c r="AF2269">
        <v>33</v>
      </c>
      <c r="AG2269">
        <v>1</v>
      </c>
      <c r="AH2269">
        <v>0</v>
      </c>
      <c r="AI2269">
        <v>80.06</v>
      </c>
      <c r="AL2269" t="s">
        <v>19614</v>
      </c>
      <c r="AM2269">
        <v>10000</v>
      </c>
      <c r="AS2269">
        <v>0</v>
      </c>
      <c r="AU2269" t="s">
        <v>215</v>
      </c>
    </row>
    <row r="2270" spans="1:48">
      <c r="A2270" s="1">
        <f>HYPERLINK("https://lsnyc.legalserver.org/matter/dynamic-profile/view/1889208","19-1889208")</f>
        <v>0</v>
      </c>
      <c r="B2270" t="s">
        <v>65</v>
      </c>
      <c r="C2270" t="s">
        <v>256</v>
      </c>
      <c r="D2270" t="s">
        <v>602</v>
      </c>
      <c r="F2270" t="s">
        <v>1360</v>
      </c>
      <c r="G2270" t="s">
        <v>2505</v>
      </c>
      <c r="H2270" t="s">
        <v>5774</v>
      </c>
      <c r="J2270" t="s">
        <v>9059</v>
      </c>
      <c r="K2270">
        <v>11226</v>
      </c>
      <c r="L2270" t="s">
        <v>9096</v>
      </c>
      <c r="M2270" t="s">
        <v>9094</v>
      </c>
      <c r="P2270" t="s">
        <v>11168</v>
      </c>
      <c r="R2270" t="s">
        <v>11180</v>
      </c>
      <c r="S2270" t="s">
        <v>9094</v>
      </c>
      <c r="T2270" t="s">
        <v>11183</v>
      </c>
      <c r="V2270" t="s">
        <v>685</v>
      </c>
      <c r="W2270">
        <v>916</v>
      </c>
      <c r="X2270" t="s">
        <v>11332</v>
      </c>
      <c r="Z2270" t="s">
        <v>11422</v>
      </c>
      <c r="AC2270">
        <v>0</v>
      </c>
      <c r="AF2270">
        <v>33</v>
      </c>
      <c r="AG2270">
        <v>1</v>
      </c>
      <c r="AH2270">
        <v>0</v>
      </c>
      <c r="AI2270">
        <v>80.06</v>
      </c>
      <c r="AL2270" t="s">
        <v>19614</v>
      </c>
      <c r="AM2270">
        <v>10000</v>
      </c>
      <c r="AS2270">
        <v>0.2</v>
      </c>
      <c r="AT2270" t="s">
        <v>288</v>
      </c>
      <c r="AU2270" t="s">
        <v>215</v>
      </c>
    </row>
    <row r="2271" spans="1:48">
      <c r="A2271" s="1">
        <f>HYPERLINK("https://lsnyc.legalserver.org/matter/dynamic-profile/view/1899749","19-1899749")</f>
        <v>0</v>
      </c>
      <c r="B2271" t="s">
        <v>140</v>
      </c>
      <c r="C2271" t="s">
        <v>256</v>
      </c>
      <c r="D2271" t="s">
        <v>261</v>
      </c>
      <c r="F2271" t="s">
        <v>1173</v>
      </c>
      <c r="G2271" t="s">
        <v>4386</v>
      </c>
      <c r="H2271" t="s">
        <v>6466</v>
      </c>
      <c r="I2271" t="s">
        <v>8134</v>
      </c>
      <c r="J2271" t="s">
        <v>9067</v>
      </c>
      <c r="K2271">
        <v>10034</v>
      </c>
      <c r="L2271" t="s">
        <v>9094</v>
      </c>
      <c r="M2271" t="s">
        <v>9095</v>
      </c>
      <c r="O2271" t="s">
        <v>11129</v>
      </c>
      <c r="P2271" t="s">
        <v>11166</v>
      </c>
      <c r="R2271" t="s">
        <v>11180</v>
      </c>
      <c r="S2271" t="s">
        <v>9094</v>
      </c>
      <c r="T2271" t="s">
        <v>11183</v>
      </c>
      <c r="V2271" t="s">
        <v>261</v>
      </c>
      <c r="W2271">
        <v>1270</v>
      </c>
      <c r="X2271" t="s">
        <v>11335</v>
      </c>
      <c r="Y2271" t="s">
        <v>11338</v>
      </c>
      <c r="Z2271" t="s">
        <v>12915</v>
      </c>
      <c r="AA2271" t="s">
        <v>15671</v>
      </c>
      <c r="AB2271" t="s">
        <v>17281</v>
      </c>
      <c r="AC2271">
        <v>44</v>
      </c>
      <c r="AD2271" t="s">
        <v>19566</v>
      </c>
      <c r="AE2271" t="s">
        <v>9144</v>
      </c>
      <c r="AF2271">
        <v>5</v>
      </c>
      <c r="AG2271">
        <v>1</v>
      </c>
      <c r="AH2271">
        <v>0</v>
      </c>
      <c r="AI2271">
        <v>80.06</v>
      </c>
      <c r="AL2271" t="s">
        <v>19614</v>
      </c>
      <c r="AM2271">
        <v>10000</v>
      </c>
      <c r="AS2271">
        <v>37.55</v>
      </c>
      <c r="AT2271" t="s">
        <v>487</v>
      </c>
      <c r="AU2271" t="s">
        <v>130</v>
      </c>
      <c r="AV2271" t="s">
        <v>20733</v>
      </c>
    </row>
    <row r="2272" spans="1:48">
      <c r="A2272" s="1">
        <f>HYPERLINK("https://lsnyc.legalserver.org/matter/dynamic-profile/view/1908249","19-1908249")</f>
        <v>0</v>
      </c>
      <c r="B2272" t="s">
        <v>134</v>
      </c>
      <c r="C2272" t="s">
        <v>256</v>
      </c>
      <c r="D2272" t="s">
        <v>335</v>
      </c>
      <c r="F2272" t="s">
        <v>1173</v>
      </c>
      <c r="G2272" t="s">
        <v>4386</v>
      </c>
      <c r="H2272" t="s">
        <v>6466</v>
      </c>
      <c r="I2272" t="s">
        <v>8134</v>
      </c>
      <c r="J2272" t="s">
        <v>9067</v>
      </c>
      <c r="K2272">
        <v>10034</v>
      </c>
      <c r="L2272" t="s">
        <v>9094</v>
      </c>
      <c r="M2272" t="s">
        <v>9095</v>
      </c>
      <c r="N2272" t="s">
        <v>10010</v>
      </c>
      <c r="O2272" t="s">
        <v>11129</v>
      </c>
      <c r="P2272" t="s">
        <v>11165</v>
      </c>
      <c r="R2272" t="s">
        <v>11180</v>
      </c>
      <c r="S2272" t="s">
        <v>9096</v>
      </c>
      <c r="T2272" t="s">
        <v>11183</v>
      </c>
      <c r="W2272">
        <v>1270</v>
      </c>
      <c r="X2272" t="s">
        <v>11335</v>
      </c>
      <c r="Y2272" t="s">
        <v>11340</v>
      </c>
      <c r="Z2272" t="s">
        <v>12915</v>
      </c>
      <c r="AA2272" t="s">
        <v>15671</v>
      </c>
      <c r="AB2272" t="s">
        <v>17281</v>
      </c>
      <c r="AC2272">
        <v>44</v>
      </c>
      <c r="AD2272" t="s">
        <v>19566</v>
      </c>
      <c r="AF2272">
        <v>5</v>
      </c>
      <c r="AG2272">
        <v>1</v>
      </c>
      <c r="AH2272">
        <v>0</v>
      </c>
      <c r="AI2272">
        <v>80.06</v>
      </c>
      <c r="AL2272" t="s">
        <v>19614</v>
      </c>
      <c r="AM2272">
        <v>10000</v>
      </c>
      <c r="AS2272">
        <v>7.95</v>
      </c>
      <c r="AT2272" t="s">
        <v>833</v>
      </c>
      <c r="AU2272" t="s">
        <v>20659</v>
      </c>
      <c r="AV2272" t="s">
        <v>20734</v>
      </c>
    </row>
    <row r="2273" spans="1:48">
      <c r="A2273" s="1">
        <f>HYPERLINK("https://lsnyc.legalserver.org/matter/dynamic-profile/view/1841631","17-1841631")</f>
        <v>0</v>
      </c>
      <c r="B2273" t="s">
        <v>75</v>
      </c>
      <c r="C2273" t="s">
        <v>256</v>
      </c>
      <c r="D2273" t="s">
        <v>885</v>
      </c>
      <c r="F2273" t="s">
        <v>1877</v>
      </c>
      <c r="G2273" t="s">
        <v>3765</v>
      </c>
      <c r="H2273" t="s">
        <v>6878</v>
      </c>
      <c r="I2273" t="s">
        <v>8218</v>
      </c>
      <c r="J2273" t="s">
        <v>9059</v>
      </c>
      <c r="K2273">
        <v>11215</v>
      </c>
      <c r="L2273" t="s">
        <v>9094</v>
      </c>
      <c r="M2273" t="s">
        <v>9095</v>
      </c>
      <c r="O2273" t="s">
        <v>11157</v>
      </c>
      <c r="P2273" t="s">
        <v>11168</v>
      </c>
      <c r="R2273" t="s">
        <v>11180</v>
      </c>
      <c r="S2273" t="s">
        <v>9096</v>
      </c>
      <c r="T2273" t="s">
        <v>11183</v>
      </c>
      <c r="V2273" t="s">
        <v>837</v>
      </c>
      <c r="W2273">
        <v>500</v>
      </c>
      <c r="X2273" t="s">
        <v>11332</v>
      </c>
      <c r="Y2273" t="s">
        <v>11346</v>
      </c>
      <c r="Z2273" t="s">
        <v>12916</v>
      </c>
      <c r="AB2273" t="s">
        <v>17282</v>
      </c>
      <c r="AC2273">
        <v>8</v>
      </c>
      <c r="AD2273" t="s">
        <v>19566</v>
      </c>
      <c r="AF2273">
        <v>10</v>
      </c>
      <c r="AG2273">
        <v>1</v>
      </c>
      <c r="AH2273">
        <v>0</v>
      </c>
      <c r="AI2273">
        <v>80.2</v>
      </c>
      <c r="AK2273" t="s">
        <v>19609</v>
      </c>
      <c r="AL2273" t="s">
        <v>19614</v>
      </c>
      <c r="AM2273">
        <v>9672</v>
      </c>
      <c r="AS2273">
        <v>70.25</v>
      </c>
      <c r="AT2273" t="s">
        <v>1130</v>
      </c>
      <c r="AU2273" t="s">
        <v>75</v>
      </c>
      <c r="AV2273" t="s">
        <v>20733</v>
      </c>
    </row>
    <row r="2274" spans="1:48">
      <c r="A2274" s="1">
        <f>HYPERLINK("https://lsnyc.legalserver.org/matter/dynamic-profile/view/1901368","19-1901368")</f>
        <v>0</v>
      </c>
      <c r="B2274" t="s">
        <v>67</v>
      </c>
      <c r="C2274" t="s">
        <v>257</v>
      </c>
      <c r="D2274" t="s">
        <v>471</v>
      </c>
      <c r="E2274" t="s">
        <v>703</v>
      </c>
      <c r="F2274" t="s">
        <v>2169</v>
      </c>
      <c r="G2274" t="s">
        <v>4387</v>
      </c>
      <c r="H2274" t="s">
        <v>6879</v>
      </c>
      <c r="I2274" t="s">
        <v>8218</v>
      </c>
      <c r="J2274" t="s">
        <v>9059</v>
      </c>
      <c r="K2274">
        <v>11218</v>
      </c>
      <c r="L2274" t="s">
        <v>9094</v>
      </c>
      <c r="M2274" t="s">
        <v>9095</v>
      </c>
      <c r="O2274" t="s">
        <v>11137</v>
      </c>
      <c r="P2274" t="s">
        <v>11166</v>
      </c>
      <c r="Q2274" t="s">
        <v>11173</v>
      </c>
      <c r="R2274" t="s">
        <v>11180</v>
      </c>
      <c r="S2274" t="s">
        <v>9094</v>
      </c>
      <c r="T2274" t="s">
        <v>11183</v>
      </c>
      <c r="V2274" t="s">
        <v>471</v>
      </c>
      <c r="W2274">
        <v>0</v>
      </c>
      <c r="X2274" t="s">
        <v>11332</v>
      </c>
      <c r="Z2274" t="s">
        <v>12056</v>
      </c>
      <c r="AC2274">
        <v>0</v>
      </c>
      <c r="AF2274">
        <v>0</v>
      </c>
      <c r="AG2274">
        <v>3</v>
      </c>
      <c r="AH2274">
        <v>2</v>
      </c>
      <c r="AI2274">
        <v>80.20999999999999</v>
      </c>
      <c r="AL2274" t="s">
        <v>19614</v>
      </c>
      <c r="AM2274">
        <v>24200</v>
      </c>
      <c r="AS2274">
        <v>0.8</v>
      </c>
      <c r="AT2274" t="s">
        <v>703</v>
      </c>
      <c r="AU2274" t="s">
        <v>67</v>
      </c>
    </row>
    <row r="2275" spans="1:48">
      <c r="A2275" s="1">
        <f>HYPERLINK("https://lsnyc.legalserver.org/matter/dynamic-profile/view/1900474","19-1900474")</f>
        <v>0</v>
      </c>
      <c r="B2275" t="s">
        <v>138</v>
      </c>
      <c r="C2275" t="s">
        <v>256</v>
      </c>
      <c r="D2275" t="s">
        <v>262</v>
      </c>
      <c r="F2275" t="s">
        <v>2170</v>
      </c>
      <c r="G2275" t="s">
        <v>3593</v>
      </c>
      <c r="H2275" t="s">
        <v>6880</v>
      </c>
      <c r="I2275" t="s">
        <v>8590</v>
      </c>
      <c r="J2275" t="s">
        <v>9067</v>
      </c>
      <c r="K2275">
        <v>10034</v>
      </c>
      <c r="L2275" t="s">
        <v>9094</v>
      </c>
      <c r="M2275" t="s">
        <v>9095</v>
      </c>
      <c r="O2275" t="s">
        <v>11136</v>
      </c>
      <c r="P2275" t="s">
        <v>11164</v>
      </c>
      <c r="R2275" t="s">
        <v>11180</v>
      </c>
      <c r="S2275" t="s">
        <v>9096</v>
      </c>
      <c r="T2275" t="s">
        <v>11183</v>
      </c>
      <c r="V2275" t="s">
        <v>262</v>
      </c>
      <c r="W2275">
        <v>215.56</v>
      </c>
      <c r="X2275" t="s">
        <v>11335</v>
      </c>
      <c r="Y2275" t="s">
        <v>11340</v>
      </c>
      <c r="Z2275" t="s">
        <v>12917</v>
      </c>
      <c r="AB2275" t="s">
        <v>17283</v>
      </c>
      <c r="AC2275">
        <v>21</v>
      </c>
      <c r="AD2275" t="s">
        <v>19566</v>
      </c>
      <c r="AE2275" t="s">
        <v>19587</v>
      </c>
      <c r="AF2275">
        <v>25</v>
      </c>
      <c r="AG2275">
        <v>1</v>
      </c>
      <c r="AH2275">
        <v>0</v>
      </c>
      <c r="AI2275">
        <v>80.22</v>
      </c>
      <c r="AL2275" t="s">
        <v>19615</v>
      </c>
      <c r="AM2275">
        <v>10020</v>
      </c>
      <c r="AS2275">
        <v>3.2</v>
      </c>
      <c r="AT2275" t="s">
        <v>854</v>
      </c>
      <c r="AU2275" t="s">
        <v>130</v>
      </c>
      <c r="AV2275" t="s">
        <v>20733</v>
      </c>
    </row>
    <row r="2276" spans="1:48">
      <c r="A2276" s="1">
        <f>HYPERLINK("https://lsnyc.legalserver.org/matter/dynamic-profile/view/0781883","15-0781883")</f>
        <v>0</v>
      </c>
      <c r="B2276" t="s">
        <v>49</v>
      </c>
      <c r="C2276" t="s">
        <v>256</v>
      </c>
      <c r="D2276" t="s">
        <v>912</v>
      </c>
      <c r="F2276" t="s">
        <v>2171</v>
      </c>
      <c r="G2276" t="s">
        <v>4388</v>
      </c>
      <c r="H2276" t="s">
        <v>6881</v>
      </c>
      <c r="I2276" t="s">
        <v>8264</v>
      </c>
      <c r="J2276" t="s">
        <v>9055</v>
      </c>
      <c r="K2276">
        <v>11354</v>
      </c>
      <c r="L2276" t="s">
        <v>9094</v>
      </c>
      <c r="M2276" t="s">
        <v>9095</v>
      </c>
      <c r="N2276" t="s">
        <v>9717</v>
      </c>
      <c r="O2276" t="s">
        <v>11135</v>
      </c>
      <c r="P2276" t="s">
        <v>11168</v>
      </c>
      <c r="R2276" t="s">
        <v>11180</v>
      </c>
      <c r="S2276" t="s">
        <v>9094</v>
      </c>
      <c r="T2276" t="s">
        <v>11183</v>
      </c>
      <c r="V2276" t="s">
        <v>303</v>
      </c>
      <c r="W2276">
        <v>1600</v>
      </c>
      <c r="X2276" t="s">
        <v>11331</v>
      </c>
      <c r="Y2276" t="s">
        <v>11342</v>
      </c>
      <c r="Z2276" t="s">
        <v>12918</v>
      </c>
      <c r="AB2276" t="s">
        <v>17284</v>
      </c>
      <c r="AC2276">
        <v>175</v>
      </c>
      <c r="AD2276" t="s">
        <v>19566</v>
      </c>
      <c r="AE2276" t="s">
        <v>9144</v>
      </c>
      <c r="AF2276">
        <v>10</v>
      </c>
      <c r="AG2276">
        <v>3</v>
      </c>
      <c r="AH2276">
        <v>2</v>
      </c>
      <c r="AI2276">
        <v>80.25</v>
      </c>
      <c r="AL2276" t="s">
        <v>19623</v>
      </c>
      <c r="AM2276">
        <v>22800</v>
      </c>
      <c r="AS2276">
        <v>3.8</v>
      </c>
      <c r="AT2276" t="s">
        <v>448</v>
      </c>
      <c r="AU2276" t="s">
        <v>153</v>
      </c>
    </row>
    <row r="2277" spans="1:48">
      <c r="A2277" s="1">
        <f>HYPERLINK("https://lsnyc.legalserver.org/matter/dynamic-profile/view/1885059","18-1885059")</f>
        <v>0</v>
      </c>
      <c r="B2277" t="s">
        <v>92</v>
      </c>
      <c r="C2277" t="s">
        <v>257</v>
      </c>
      <c r="D2277" t="s">
        <v>375</v>
      </c>
      <c r="E2277" t="s">
        <v>426</v>
      </c>
      <c r="F2277" t="s">
        <v>2139</v>
      </c>
      <c r="G2277" t="s">
        <v>3359</v>
      </c>
      <c r="H2277" t="s">
        <v>5984</v>
      </c>
      <c r="I2277" t="s">
        <v>8176</v>
      </c>
      <c r="J2277" t="s">
        <v>9059</v>
      </c>
      <c r="K2277">
        <v>11212</v>
      </c>
      <c r="L2277" t="s">
        <v>9094</v>
      </c>
      <c r="M2277" t="s">
        <v>9094</v>
      </c>
      <c r="N2277" t="s">
        <v>10011</v>
      </c>
      <c r="O2277" t="s">
        <v>11129</v>
      </c>
      <c r="P2277" t="s">
        <v>11165</v>
      </c>
      <c r="Q2277" t="s">
        <v>11174</v>
      </c>
      <c r="R2277" t="s">
        <v>11180</v>
      </c>
      <c r="S2277" t="s">
        <v>9096</v>
      </c>
      <c r="T2277" t="s">
        <v>11183</v>
      </c>
      <c r="U2277" t="s">
        <v>11201</v>
      </c>
      <c r="V2277" t="s">
        <v>375</v>
      </c>
      <c r="W2277">
        <v>0</v>
      </c>
      <c r="X2277" t="s">
        <v>11332</v>
      </c>
      <c r="Y2277" t="s">
        <v>11346</v>
      </c>
      <c r="Z2277" t="s">
        <v>12870</v>
      </c>
      <c r="AA2277" t="s">
        <v>15290</v>
      </c>
      <c r="AB2277" t="s">
        <v>17244</v>
      </c>
      <c r="AC2277">
        <v>96</v>
      </c>
      <c r="AD2277" t="s">
        <v>19566</v>
      </c>
      <c r="AE2277" t="s">
        <v>19587</v>
      </c>
      <c r="AF2277">
        <v>35</v>
      </c>
      <c r="AG2277">
        <v>1</v>
      </c>
      <c r="AH2277">
        <v>0</v>
      </c>
      <c r="AI2277">
        <v>80.36</v>
      </c>
      <c r="AL2277" t="s">
        <v>19614</v>
      </c>
      <c r="AM2277">
        <v>9756</v>
      </c>
      <c r="AN2277" t="s">
        <v>19858</v>
      </c>
      <c r="AS2277">
        <v>38.2</v>
      </c>
      <c r="AT2277" t="s">
        <v>414</v>
      </c>
      <c r="AU2277" t="s">
        <v>95</v>
      </c>
      <c r="AV2277" t="s">
        <v>20733</v>
      </c>
    </row>
    <row r="2278" spans="1:48">
      <c r="A2278" s="1">
        <f>HYPERLINK("https://lsnyc.legalserver.org/matter/dynamic-profile/view/1904435","19-1904435")</f>
        <v>0</v>
      </c>
      <c r="B2278" t="s">
        <v>211</v>
      </c>
      <c r="C2278" t="s">
        <v>256</v>
      </c>
      <c r="D2278" t="s">
        <v>736</v>
      </c>
      <c r="F2278" t="s">
        <v>2172</v>
      </c>
      <c r="G2278" t="s">
        <v>1948</v>
      </c>
      <c r="H2278" t="s">
        <v>6882</v>
      </c>
      <c r="J2278" t="s">
        <v>9089</v>
      </c>
      <c r="K2278">
        <v>14212</v>
      </c>
      <c r="L2278" t="s">
        <v>9095</v>
      </c>
      <c r="M2278" t="s">
        <v>9095</v>
      </c>
      <c r="N2278" t="s">
        <v>10012</v>
      </c>
      <c r="O2278" t="s">
        <v>11141</v>
      </c>
      <c r="P2278" t="s">
        <v>11165</v>
      </c>
      <c r="R2278" t="s">
        <v>11180</v>
      </c>
      <c r="S2278" t="s">
        <v>9096</v>
      </c>
      <c r="T2278" t="s">
        <v>11189</v>
      </c>
      <c r="U2278" t="s">
        <v>11201</v>
      </c>
      <c r="W2278">
        <v>0</v>
      </c>
      <c r="X2278" t="s">
        <v>11331</v>
      </c>
      <c r="Y2278" t="s">
        <v>11340</v>
      </c>
      <c r="Z2278" t="s">
        <v>12323</v>
      </c>
      <c r="AB2278" t="s">
        <v>17285</v>
      </c>
      <c r="AC2278">
        <v>1</v>
      </c>
      <c r="AD2278" t="s">
        <v>15441</v>
      </c>
      <c r="AE2278" t="s">
        <v>9144</v>
      </c>
      <c r="AF2278">
        <v>-1</v>
      </c>
      <c r="AG2278">
        <v>3</v>
      </c>
      <c r="AH2278">
        <v>1</v>
      </c>
      <c r="AI2278">
        <v>80.39</v>
      </c>
      <c r="AL2278" t="s">
        <v>19614</v>
      </c>
      <c r="AM2278">
        <v>20700</v>
      </c>
      <c r="AS2278">
        <v>39.4</v>
      </c>
      <c r="AT2278" t="s">
        <v>276</v>
      </c>
      <c r="AU2278" t="s">
        <v>211</v>
      </c>
    </row>
    <row r="2279" spans="1:48">
      <c r="A2279" s="1">
        <f>HYPERLINK("https://lsnyc.legalserver.org/matter/dynamic-profile/view/1913698","19-1913698")</f>
        <v>0</v>
      </c>
      <c r="B2279" t="s">
        <v>67</v>
      </c>
      <c r="C2279" t="s">
        <v>256</v>
      </c>
      <c r="D2279" t="s">
        <v>484</v>
      </c>
      <c r="F2279" t="s">
        <v>2128</v>
      </c>
      <c r="G2279" t="s">
        <v>3448</v>
      </c>
      <c r="H2279" t="s">
        <v>6883</v>
      </c>
      <c r="I2279">
        <v>7</v>
      </c>
      <c r="J2279" t="s">
        <v>9059</v>
      </c>
      <c r="K2279">
        <v>11215</v>
      </c>
      <c r="L2279" t="s">
        <v>9095</v>
      </c>
      <c r="M2279" t="s">
        <v>9095</v>
      </c>
      <c r="P2279" t="s">
        <v>11166</v>
      </c>
      <c r="R2279" t="s">
        <v>11180</v>
      </c>
      <c r="T2279" t="s">
        <v>11183</v>
      </c>
      <c r="W2279">
        <v>0</v>
      </c>
      <c r="X2279" t="s">
        <v>11332</v>
      </c>
      <c r="Z2279" t="s">
        <v>12919</v>
      </c>
      <c r="AB2279" t="s">
        <v>17286</v>
      </c>
      <c r="AC2279">
        <v>0</v>
      </c>
      <c r="AF2279">
        <v>0</v>
      </c>
      <c r="AG2279">
        <v>1</v>
      </c>
      <c r="AH2279">
        <v>0</v>
      </c>
      <c r="AI2279">
        <v>80.42</v>
      </c>
      <c r="AL2279" t="s">
        <v>19614</v>
      </c>
      <c r="AM2279">
        <v>10044</v>
      </c>
      <c r="AS2279">
        <v>2.9</v>
      </c>
      <c r="AT2279" t="s">
        <v>703</v>
      </c>
      <c r="AU2279" t="s">
        <v>67</v>
      </c>
    </row>
    <row r="2280" spans="1:48">
      <c r="A2280" s="1">
        <f>HYPERLINK("https://lsnyc.legalserver.org/matter/dynamic-profile/view/1904675","19-1904675")</f>
        <v>0</v>
      </c>
      <c r="B2280" t="s">
        <v>119</v>
      </c>
      <c r="C2280" t="s">
        <v>256</v>
      </c>
      <c r="D2280" t="s">
        <v>497</v>
      </c>
      <c r="F2280" t="s">
        <v>1846</v>
      </c>
      <c r="G2280" t="s">
        <v>4389</v>
      </c>
      <c r="H2280" t="s">
        <v>6095</v>
      </c>
      <c r="I2280" t="s">
        <v>8267</v>
      </c>
      <c r="J2280" t="s">
        <v>9065</v>
      </c>
      <c r="K2280">
        <v>10456</v>
      </c>
      <c r="L2280" t="s">
        <v>9094</v>
      </c>
      <c r="M2280" t="s">
        <v>9095</v>
      </c>
      <c r="N2280" t="s">
        <v>9401</v>
      </c>
      <c r="O2280" t="s">
        <v>11134</v>
      </c>
      <c r="P2280" t="s">
        <v>11168</v>
      </c>
      <c r="R2280" t="s">
        <v>11180</v>
      </c>
      <c r="S2280" t="s">
        <v>9094</v>
      </c>
      <c r="T2280" t="s">
        <v>11183</v>
      </c>
      <c r="V2280" t="s">
        <v>11218</v>
      </c>
      <c r="W2280">
        <v>942</v>
      </c>
      <c r="X2280" t="s">
        <v>11333</v>
      </c>
      <c r="Y2280" t="s">
        <v>11346</v>
      </c>
      <c r="Z2280" t="s">
        <v>12920</v>
      </c>
      <c r="AB2280" t="s">
        <v>17287</v>
      </c>
      <c r="AC2280">
        <v>27</v>
      </c>
      <c r="AD2280" t="s">
        <v>19566</v>
      </c>
      <c r="AE2280" t="s">
        <v>9144</v>
      </c>
      <c r="AF2280">
        <v>27</v>
      </c>
      <c r="AG2280">
        <v>1</v>
      </c>
      <c r="AH2280">
        <v>0</v>
      </c>
      <c r="AI2280">
        <v>80.42</v>
      </c>
      <c r="AL2280" t="s">
        <v>19615</v>
      </c>
      <c r="AM2280">
        <v>10044</v>
      </c>
      <c r="AS2280">
        <v>0</v>
      </c>
      <c r="AU2280" t="s">
        <v>163</v>
      </c>
      <c r="AV2280" t="s">
        <v>20733</v>
      </c>
    </row>
    <row r="2281" spans="1:48">
      <c r="A2281" s="1">
        <f>HYPERLINK("https://lsnyc.legalserver.org/matter/dynamic-profile/view/1914996","19-1914996")</f>
        <v>0</v>
      </c>
      <c r="B2281" t="s">
        <v>119</v>
      </c>
      <c r="C2281" t="s">
        <v>256</v>
      </c>
      <c r="D2281" t="s">
        <v>377</v>
      </c>
      <c r="F2281" t="s">
        <v>1846</v>
      </c>
      <c r="G2281" t="s">
        <v>4389</v>
      </c>
      <c r="H2281" t="s">
        <v>6095</v>
      </c>
      <c r="I2281" t="s">
        <v>8267</v>
      </c>
      <c r="J2281" t="s">
        <v>9065</v>
      </c>
      <c r="K2281">
        <v>10456</v>
      </c>
      <c r="L2281" t="s">
        <v>9094</v>
      </c>
      <c r="M2281" t="s">
        <v>9095</v>
      </c>
      <c r="O2281" t="s">
        <v>11134</v>
      </c>
      <c r="P2281" t="s">
        <v>11168</v>
      </c>
      <c r="R2281" t="s">
        <v>11180</v>
      </c>
      <c r="T2281" t="s">
        <v>11183</v>
      </c>
      <c r="W2281">
        <v>942</v>
      </c>
      <c r="X2281" t="s">
        <v>11333</v>
      </c>
      <c r="Y2281" t="s">
        <v>11340</v>
      </c>
      <c r="Z2281" t="s">
        <v>12920</v>
      </c>
      <c r="AB2281" t="s">
        <v>17287</v>
      </c>
      <c r="AC2281">
        <v>131</v>
      </c>
      <c r="AD2281" t="s">
        <v>19566</v>
      </c>
      <c r="AE2281" t="s">
        <v>9144</v>
      </c>
      <c r="AF2281">
        <v>28</v>
      </c>
      <c r="AG2281">
        <v>1</v>
      </c>
      <c r="AH2281">
        <v>0</v>
      </c>
      <c r="AI2281">
        <v>80.42</v>
      </c>
      <c r="AL2281" t="s">
        <v>19615</v>
      </c>
      <c r="AM2281">
        <v>10044</v>
      </c>
      <c r="AS2281">
        <v>0</v>
      </c>
      <c r="AU2281" t="s">
        <v>20642</v>
      </c>
      <c r="AV2281" t="s">
        <v>20733</v>
      </c>
    </row>
    <row r="2282" spans="1:48">
      <c r="A2282" s="1">
        <f>HYPERLINK("https://lsnyc.legalserver.org/matter/dynamic-profile/view/1910783","19-1910783")</f>
        <v>0</v>
      </c>
      <c r="B2282" t="s">
        <v>119</v>
      </c>
      <c r="C2282" t="s">
        <v>256</v>
      </c>
      <c r="D2282" t="s">
        <v>259</v>
      </c>
      <c r="F2282" t="s">
        <v>2173</v>
      </c>
      <c r="G2282" t="s">
        <v>3418</v>
      </c>
      <c r="H2282" t="s">
        <v>6884</v>
      </c>
      <c r="I2282" t="s">
        <v>8329</v>
      </c>
      <c r="J2282" t="s">
        <v>9065</v>
      </c>
      <c r="K2282">
        <v>10456</v>
      </c>
      <c r="L2282" t="s">
        <v>9094</v>
      </c>
      <c r="M2282" t="s">
        <v>9095</v>
      </c>
      <c r="O2282" t="s">
        <v>9121</v>
      </c>
      <c r="P2282" t="s">
        <v>11164</v>
      </c>
      <c r="R2282" t="s">
        <v>11180</v>
      </c>
      <c r="S2282" t="s">
        <v>9096</v>
      </c>
      <c r="T2282" t="s">
        <v>11183</v>
      </c>
      <c r="W2282">
        <v>441.73</v>
      </c>
      <c r="X2282" t="s">
        <v>11333</v>
      </c>
      <c r="Y2282" t="s">
        <v>11340</v>
      </c>
      <c r="Z2282" t="s">
        <v>12921</v>
      </c>
      <c r="AC2282">
        <v>0</v>
      </c>
      <c r="AD2282" t="s">
        <v>19566</v>
      </c>
      <c r="AE2282" t="s">
        <v>19580</v>
      </c>
      <c r="AF2282">
        <v>47</v>
      </c>
      <c r="AG2282">
        <v>1</v>
      </c>
      <c r="AH2282">
        <v>0</v>
      </c>
      <c r="AI2282">
        <v>80.42</v>
      </c>
      <c r="AL2282" t="s">
        <v>19614</v>
      </c>
      <c r="AM2282">
        <v>10044</v>
      </c>
      <c r="AS2282">
        <v>12.25</v>
      </c>
      <c r="AT2282" t="s">
        <v>476</v>
      </c>
      <c r="AU2282" t="s">
        <v>110</v>
      </c>
      <c r="AV2282" t="s">
        <v>20733</v>
      </c>
    </row>
    <row r="2283" spans="1:48">
      <c r="A2283" s="1">
        <f>HYPERLINK("https://lsnyc.legalserver.org/matter/dynamic-profile/view/1902606","19-1902606")</f>
        <v>0</v>
      </c>
      <c r="B2283" t="s">
        <v>111</v>
      </c>
      <c r="C2283" t="s">
        <v>256</v>
      </c>
      <c r="D2283" t="s">
        <v>327</v>
      </c>
      <c r="F2283" t="s">
        <v>2174</v>
      </c>
      <c r="G2283" t="s">
        <v>4390</v>
      </c>
      <c r="H2283" t="s">
        <v>6885</v>
      </c>
      <c r="I2283" t="s">
        <v>8149</v>
      </c>
      <c r="J2283" t="s">
        <v>9065</v>
      </c>
      <c r="K2283">
        <v>10451</v>
      </c>
      <c r="L2283" t="s">
        <v>9094</v>
      </c>
      <c r="M2283" t="s">
        <v>9095</v>
      </c>
      <c r="N2283" t="s">
        <v>10013</v>
      </c>
      <c r="O2283" t="s">
        <v>11129</v>
      </c>
      <c r="P2283" t="s">
        <v>11165</v>
      </c>
      <c r="R2283" t="s">
        <v>11180</v>
      </c>
      <c r="S2283" t="s">
        <v>9096</v>
      </c>
      <c r="T2283" t="s">
        <v>11183</v>
      </c>
      <c r="U2283" t="s">
        <v>11201</v>
      </c>
      <c r="V2283" t="s">
        <v>11218</v>
      </c>
      <c r="W2283">
        <v>1640</v>
      </c>
      <c r="X2283" t="s">
        <v>11333</v>
      </c>
      <c r="Y2283" t="s">
        <v>11340</v>
      </c>
      <c r="Z2283" t="s">
        <v>12922</v>
      </c>
      <c r="AA2283" t="s">
        <v>15672</v>
      </c>
      <c r="AB2283" t="s">
        <v>17288</v>
      </c>
      <c r="AC2283">
        <v>77</v>
      </c>
      <c r="AD2283" t="s">
        <v>19571</v>
      </c>
      <c r="AE2283" t="s">
        <v>19585</v>
      </c>
      <c r="AF2283">
        <v>2</v>
      </c>
      <c r="AG2283">
        <v>3</v>
      </c>
      <c r="AH2283">
        <v>1</v>
      </c>
      <c r="AI2283">
        <v>80.43000000000001</v>
      </c>
      <c r="AL2283" t="s">
        <v>19614</v>
      </c>
      <c r="AM2283">
        <v>20712</v>
      </c>
      <c r="AN2283" t="s">
        <v>19729</v>
      </c>
      <c r="AS2283">
        <v>3.2</v>
      </c>
      <c r="AT2283" t="s">
        <v>320</v>
      </c>
      <c r="AU2283" t="s">
        <v>20642</v>
      </c>
      <c r="AV2283" t="s">
        <v>20734</v>
      </c>
    </row>
    <row r="2284" spans="1:48">
      <c r="A2284" s="1">
        <f>HYPERLINK("https://lsnyc.legalserver.org/matter/dynamic-profile/view/1878390","18-1878390")</f>
        <v>0</v>
      </c>
      <c r="B2284" t="s">
        <v>218</v>
      </c>
      <c r="C2284" t="s">
        <v>256</v>
      </c>
      <c r="D2284" t="s">
        <v>509</v>
      </c>
      <c r="F2284" t="s">
        <v>1383</v>
      </c>
      <c r="G2284" t="s">
        <v>4391</v>
      </c>
      <c r="H2284" t="s">
        <v>6886</v>
      </c>
      <c r="I2284" t="s">
        <v>8591</v>
      </c>
      <c r="J2284" t="s">
        <v>9067</v>
      </c>
      <c r="K2284">
        <v>10029</v>
      </c>
      <c r="L2284" t="s">
        <v>9094</v>
      </c>
      <c r="M2284" t="s">
        <v>9094</v>
      </c>
      <c r="N2284" t="s">
        <v>10014</v>
      </c>
      <c r="O2284" t="s">
        <v>11129</v>
      </c>
      <c r="P2284" t="s">
        <v>11165</v>
      </c>
      <c r="R2284" t="s">
        <v>11180</v>
      </c>
      <c r="S2284" t="s">
        <v>9094</v>
      </c>
      <c r="T2284" t="s">
        <v>11183</v>
      </c>
      <c r="U2284" t="s">
        <v>11201</v>
      </c>
      <c r="V2284" t="s">
        <v>569</v>
      </c>
      <c r="W2284">
        <v>3958</v>
      </c>
      <c r="X2284" t="s">
        <v>11335</v>
      </c>
      <c r="Y2284" t="s">
        <v>11339</v>
      </c>
      <c r="Z2284" t="s">
        <v>12923</v>
      </c>
      <c r="AB2284" t="s">
        <v>17289</v>
      </c>
      <c r="AC2284">
        <v>758</v>
      </c>
      <c r="AD2284" t="s">
        <v>19567</v>
      </c>
      <c r="AE2284" t="s">
        <v>19580</v>
      </c>
      <c r="AF2284">
        <v>38</v>
      </c>
      <c r="AG2284">
        <v>1</v>
      </c>
      <c r="AH2284">
        <v>0</v>
      </c>
      <c r="AI2284">
        <v>80.45999999999999</v>
      </c>
      <c r="AL2284" t="s">
        <v>19614</v>
      </c>
      <c r="AM2284">
        <v>9768</v>
      </c>
      <c r="AS2284">
        <v>69.01000000000001</v>
      </c>
      <c r="AT2284" t="s">
        <v>612</v>
      </c>
      <c r="AU2284" t="s">
        <v>20623</v>
      </c>
      <c r="AV2284" t="s">
        <v>20733</v>
      </c>
    </row>
    <row r="2285" spans="1:48">
      <c r="A2285" s="1">
        <f>HYPERLINK("https://lsnyc.legalserver.org/matter/dynamic-profile/view/1907979","19-1907979")</f>
        <v>0</v>
      </c>
      <c r="B2285" t="s">
        <v>64</v>
      </c>
      <c r="C2285" t="s">
        <v>257</v>
      </c>
      <c r="D2285" t="s">
        <v>288</v>
      </c>
      <c r="E2285" t="s">
        <v>574</v>
      </c>
      <c r="F2285" t="s">
        <v>2175</v>
      </c>
      <c r="G2285" t="s">
        <v>4064</v>
      </c>
      <c r="H2285" t="s">
        <v>6887</v>
      </c>
      <c r="I2285" t="s">
        <v>8592</v>
      </c>
      <c r="J2285" t="s">
        <v>9059</v>
      </c>
      <c r="K2285">
        <v>11225</v>
      </c>
      <c r="L2285" t="s">
        <v>9094</v>
      </c>
      <c r="M2285" t="s">
        <v>9095</v>
      </c>
      <c r="N2285" t="s">
        <v>10015</v>
      </c>
      <c r="O2285" t="s">
        <v>11128</v>
      </c>
      <c r="P2285" t="s">
        <v>11164</v>
      </c>
      <c r="Q2285" t="s">
        <v>11172</v>
      </c>
      <c r="R2285" t="s">
        <v>11180</v>
      </c>
      <c r="S2285" t="s">
        <v>9096</v>
      </c>
      <c r="T2285" t="s">
        <v>11183</v>
      </c>
      <c r="U2285" t="s">
        <v>11198</v>
      </c>
      <c r="V2285" t="s">
        <v>288</v>
      </c>
      <c r="W2285">
        <v>800</v>
      </c>
      <c r="X2285" t="s">
        <v>11332</v>
      </c>
      <c r="Y2285" t="s">
        <v>11345</v>
      </c>
      <c r="Z2285" t="s">
        <v>12924</v>
      </c>
      <c r="AA2285" t="s">
        <v>15290</v>
      </c>
      <c r="AB2285" t="s">
        <v>17290</v>
      </c>
      <c r="AC2285">
        <v>3</v>
      </c>
      <c r="AD2285" t="s">
        <v>15441</v>
      </c>
      <c r="AE2285" t="s">
        <v>9144</v>
      </c>
      <c r="AF2285">
        <v>5</v>
      </c>
      <c r="AG2285">
        <v>1</v>
      </c>
      <c r="AH2285">
        <v>0</v>
      </c>
      <c r="AI2285">
        <v>80.51000000000001</v>
      </c>
      <c r="AL2285" t="s">
        <v>19614</v>
      </c>
      <c r="AM2285">
        <v>10056</v>
      </c>
      <c r="AS2285">
        <v>0.6</v>
      </c>
      <c r="AT2285" t="s">
        <v>288</v>
      </c>
      <c r="AU2285" t="s">
        <v>20626</v>
      </c>
      <c r="AV2285" t="s">
        <v>20733</v>
      </c>
    </row>
    <row r="2286" spans="1:48">
      <c r="A2286" s="1">
        <f>HYPERLINK("https://lsnyc.legalserver.org/matter/dynamic-profile/view/1836411","17-1836411")</f>
        <v>0</v>
      </c>
      <c r="B2286" t="s">
        <v>140</v>
      </c>
      <c r="C2286" t="s">
        <v>256</v>
      </c>
      <c r="D2286" t="s">
        <v>913</v>
      </c>
      <c r="F2286" t="s">
        <v>1637</v>
      </c>
      <c r="G2286" t="s">
        <v>4392</v>
      </c>
      <c r="H2286" t="s">
        <v>5999</v>
      </c>
      <c r="I2286" t="s">
        <v>8171</v>
      </c>
      <c r="J2286" t="s">
        <v>9067</v>
      </c>
      <c r="K2286">
        <v>10040</v>
      </c>
      <c r="L2286" t="s">
        <v>9094</v>
      </c>
      <c r="M2286" t="s">
        <v>9095</v>
      </c>
      <c r="O2286" t="s">
        <v>11130</v>
      </c>
      <c r="P2286" t="s">
        <v>11168</v>
      </c>
      <c r="R2286" t="s">
        <v>11180</v>
      </c>
      <c r="S2286" t="s">
        <v>9094</v>
      </c>
      <c r="T2286" t="s">
        <v>11183</v>
      </c>
      <c r="V2286" t="s">
        <v>878</v>
      </c>
      <c r="W2286">
        <v>10085</v>
      </c>
      <c r="X2286" t="s">
        <v>11335</v>
      </c>
      <c r="Y2286" t="s">
        <v>11339</v>
      </c>
      <c r="Z2286" t="s">
        <v>12925</v>
      </c>
      <c r="AA2286" t="s">
        <v>15673</v>
      </c>
      <c r="AB2286" t="s">
        <v>17291</v>
      </c>
      <c r="AC2286">
        <v>45</v>
      </c>
      <c r="AD2286" t="s">
        <v>19566</v>
      </c>
      <c r="AE2286" t="s">
        <v>9144</v>
      </c>
      <c r="AF2286">
        <v>20</v>
      </c>
      <c r="AG2286">
        <v>2</v>
      </c>
      <c r="AH2286">
        <v>1</v>
      </c>
      <c r="AI2286">
        <v>80.51000000000001</v>
      </c>
      <c r="AJ2286" t="s">
        <v>982</v>
      </c>
      <c r="AL2286" t="s">
        <v>19615</v>
      </c>
      <c r="AM2286">
        <v>16440</v>
      </c>
      <c r="AS2286">
        <v>0.21</v>
      </c>
      <c r="AT2286" t="s">
        <v>327</v>
      </c>
      <c r="AU2286" t="s">
        <v>20657</v>
      </c>
    </row>
    <row r="2287" spans="1:48">
      <c r="A2287" s="1">
        <f>HYPERLINK("https://lsnyc.legalserver.org/matter/dynamic-profile/view/1880540","18-1880540")</f>
        <v>0</v>
      </c>
      <c r="B2287" t="s">
        <v>101</v>
      </c>
      <c r="C2287" t="s">
        <v>256</v>
      </c>
      <c r="D2287" t="s">
        <v>477</v>
      </c>
      <c r="F2287" t="s">
        <v>2176</v>
      </c>
      <c r="G2287" t="s">
        <v>4393</v>
      </c>
      <c r="H2287" t="s">
        <v>6063</v>
      </c>
      <c r="I2287" t="s">
        <v>8375</v>
      </c>
      <c r="J2287" t="s">
        <v>9065</v>
      </c>
      <c r="K2287">
        <v>10452</v>
      </c>
      <c r="L2287" t="s">
        <v>9094</v>
      </c>
      <c r="M2287" t="s">
        <v>9094</v>
      </c>
      <c r="N2287" t="s">
        <v>9564</v>
      </c>
      <c r="O2287" t="s">
        <v>11130</v>
      </c>
      <c r="P2287" t="s">
        <v>11165</v>
      </c>
      <c r="R2287" t="s">
        <v>11180</v>
      </c>
      <c r="S2287" t="s">
        <v>9094</v>
      </c>
      <c r="T2287" t="s">
        <v>11183</v>
      </c>
      <c r="V2287" t="s">
        <v>738</v>
      </c>
      <c r="W2287">
        <v>1042</v>
      </c>
      <c r="X2287" t="s">
        <v>11333</v>
      </c>
      <c r="Y2287" t="s">
        <v>11346</v>
      </c>
      <c r="Z2287" t="s">
        <v>12926</v>
      </c>
      <c r="AB2287" t="s">
        <v>17292</v>
      </c>
      <c r="AC2287">
        <v>149</v>
      </c>
      <c r="AD2287" t="s">
        <v>19566</v>
      </c>
      <c r="AE2287" t="s">
        <v>9144</v>
      </c>
      <c r="AF2287">
        <v>14</v>
      </c>
      <c r="AG2287">
        <v>1</v>
      </c>
      <c r="AH2287">
        <v>0</v>
      </c>
      <c r="AI2287">
        <v>80.53</v>
      </c>
      <c r="AL2287" t="s">
        <v>19614</v>
      </c>
      <c r="AM2287">
        <v>9776</v>
      </c>
      <c r="AS2287">
        <v>0</v>
      </c>
      <c r="AU2287" t="s">
        <v>20647</v>
      </c>
    </row>
    <row r="2288" spans="1:48">
      <c r="A2288" s="1">
        <f>HYPERLINK("https://lsnyc.legalserver.org/matter/dynamic-profile/view/1911927","19-1911927")</f>
        <v>0</v>
      </c>
      <c r="B2288" t="s">
        <v>98</v>
      </c>
      <c r="C2288" t="s">
        <v>256</v>
      </c>
      <c r="D2288" t="s">
        <v>292</v>
      </c>
      <c r="F2288" t="s">
        <v>1550</v>
      </c>
      <c r="G2288" t="s">
        <v>1193</v>
      </c>
      <c r="H2288" t="s">
        <v>6888</v>
      </c>
      <c r="I2288" t="s">
        <v>8200</v>
      </c>
      <c r="J2288" t="s">
        <v>9065</v>
      </c>
      <c r="K2288">
        <v>10458</v>
      </c>
      <c r="L2288" t="s">
        <v>9094</v>
      </c>
      <c r="M2288" t="s">
        <v>9095</v>
      </c>
      <c r="O2288" t="s">
        <v>11130</v>
      </c>
      <c r="P2288" t="s">
        <v>11165</v>
      </c>
      <c r="R2288" t="s">
        <v>11180</v>
      </c>
      <c r="S2288" t="s">
        <v>9094</v>
      </c>
      <c r="T2288" t="s">
        <v>11183</v>
      </c>
      <c r="W2288">
        <v>1052.53</v>
      </c>
      <c r="X2288" t="s">
        <v>11333</v>
      </c>
      <c r="Y2288" t="s">
        <v>11346</v>
      </c>
      <c r="Z2288" t="s">
        <v>12927</v>
      </c>
      <c r="AB2288" t="s">
        <v>17293</v>
      </c>
      <c r="AC2288">
        <v>94</v>
      </c>
      <c r="AD2288" t="s">
        <v>15441</v>
      </c>
      <c r="AE2288" t="s">
        <v>9144</v>
      </c>
      <c r="AF2288">
        <v>6</v>
      </c>
      <c r="AG2288">
        <v>1</v>
      </c>
      <c r="AH2288">
        <v>2</v>
      </c>
      <c r="AI2288">
        <v>80.64</v>
      </c>
      <c r="AL2288" t="s">
        <v>19614</v>
      </c>
      <c r="AM2288">
        <v>17200</v>
      </c>
      <c r="AS2288">
        <v>0.5</v>
      </c>
      <c r="AT2288" t="s">
        <v>404</v>
      </c>
      <c r="AU2288" t="s">
        <v>20642</v>
      </c>
      <c r="AV2288" t="s">
        <v>20734</v>
      </c>
    </row>
    <row r="2289" spans="1:48">
      <c r="A2289" s="1">
        <f>HYPERLINK("https://lsnyc.legalserver.org/matter/dynamic-profile/view/1912558","19-1912558")</f>
        <v>0</v>
      </c>
      <c r="B2289" t="s">
        <v>114</v>
      </c>
      <c r="C2289" t="s">
        <v>256</v>
      </c>
      <c r="D2289" t="s">
        <v>263</v>
      </c>
      <c r="F2289" t="s">
        <v>1550</v>
      </c>
      <c r="G2289" t="s">
        <v>1193</v>
      </c>
      <c r="H2289" t="s">
        <v>6888</v>
      </c>
      <c r="I2289" t="s">
        <v>8200</v>
      </c>
      <c r="J2289" t="s">
        <v>9065</v>
      </c>
      <c r="K2289">
        <v>10458</v>
      </c>
      <c r="L2289" t="s">
        <v>9094</v>
      </c>
      <c r="M2289" t="s">
        <v>9095</v>
      </c>
      <c r="N2289" t="s">
        <v>10016</v>
      </c>
      <c r="O2289" t="s">
        <v>11129</v>
      </c>
      <c r="P2289" t="s">
        <v>11165</v>
      </c>
      <c r="R2289" t="s">
        <v>11180</v>
      </c>
      <c r="S2289" t="s">
        <v>9096</v>
      </c>
      <c r="T2289" t="s">
        <v>11183</v>
      </c>
      <c r="V2289" t="s">
        <v>263</v>
      </c>
      <c r="W2289">
        <v>1052.53</v>
      </c>
      <c r="X2289" t="s">
        <v>11333</v>
      </c>
      <c r="Y2289" t="s">
        <v>11346</v>
      </c>
      <c r="Z2289" t="s">
        <v>12927</v>
      </c>
      <c r="AB2289" t="s">
        <v>17293</v>
      </c>
      <c r="AC2289">
        <v>94</v>
      </c>
      <c r="AD2289" t="s">
        <v>15441</v>
      </c>
      <c r="AE2289" t="s">
        <v>9144</v>
      </c>
      <c r="AF2289">
        <v>6</v>
      </c>
      <c r="AG2289">
        <v>1</v>
      </c>
      <c r="AH2289">
        <v>2</v>
      </c>
      <c r="AI2289">
        <v>80.64</v>
      </c>
      <c r="AL2289" t="s">
        <v>19614</v>
      </c>
      <c r="AM2289">
        <v>17200</v>
      </c>
      <c r="AS2289">
        <v>3</v>
      </c>
      <c r="AT2289" t="s">
        <v>521</v>
      </c>
      <c r="AU2289" t="s">
        <v>20642</v>
      </c>
      <c r="AV2289" t="s">
        <v>20734</v>
      </c>
    </row>
    <row r="2290" spans="1:48">
      <c r="A2290" s="1">
        <f>HYPERLINK("https://lsnyc.legalserver.org/matter/dynamic-profile/view/1903507","19-1903507")</f>
        <v>0</v>
      </c>
      <c r="B2290" t="s">
        <v>79</v>
      </c>
      <c r="C2290" t="s">
        <v>257</v>
      </c>
      <c r="D2290" t="s">
        <v>750</v>
      </c>
      <c r="E2290" t="s">
        <v>339</v>
      </c>
      <c r="F2290" t="s">
        <v>2177</v>
      </c>
      <c r="G2290" t="s">
        <v>4394</v>
      </c>
      <c r="H2290" t="s">
        <v>6889</v>
      </c>
      <c r="I2290">
        <v>402</v>
      </c>
      <c r="J2290" t="s">
        <v>9059</v>
      </c>
      <c r="K2290">
        <v>11212</v>
      </c>
      <c r="L2290" t="s">
        <v>9094</v>
      </c>
      <c r="M2290" t="s">
        <v>9095</v>
      </c>
      <c r="N2290" t="s">
        <v>9121</v>
      </c>
      <c r="O2290" t="s">
        <v>9121</v>
      </c>
      <c r="P2290" t="s">
        <v>11164</v>
      </c>
      <c r="Q2290" t="s">
        <v>11172</v>
      </c>
      <c r="R2290" t="s">
        <v>11180</v>
      </c>
      <c r="S2290" t="s">
        <v>9096</v>
      </c>
      <c r="T2290" t="s">
        <v>11183</v>
      </c>
      <c r="V2290" t="s">
        <v>706</v>
      </c>
      <c r="W2290">
        <v>336</v>
      </c>
      <c r="X2290" t="s">
        <v>11332</v>
      </c>
      <c r="Y2290" t="s">
        <v>11157</v>
      </c>
      <c r="Z2290" t="s">
        <v>12928</v>
      </c>
      <c r="AB2290" t="s">
        <v>17294</v>
      </c>
      <c r="AC2290">
        <v>161</v>
      </c>
      <c r="AD2290" t="s">
        <v>19571</v>
      </c>
      <c r="AE2290" t="s">
        <v>19585</v>
      </c>
      <c r="AF2290">
        <v>2</v>
      </c>
      <c r="AG2290">
        <v>1</v>
      </c>
      <c r="AH2290">
        <v>0</v>
      </c>
      <c r="AI2290">
        <v>80.7</v>
      </c>
      <c r="AL2290" t="s">
        <v>19614</v>
      </c>
      <c r="AM2290">
        <v>10080</v>
      </c>
      <c r="AS2290">
        <v>2</v>
      </c>
      <c r="AT2290" t="s">
        <v>663</v>
      </c>
      <c r="AU2290" t="s">
        <v>20660</v>
      </c>
      <c r="AV2290" t="s">
        <v>20733</v>
      </c>
    </row>
    <row r="2291" spans="1:48">
      <c r="A2291" s="1">
        <f>HYPERLINK("https://lsnyc.legalserver.org/matter/dynamic-profile/view/1907759","19-1907759")</f>
        <v>0</v>
      </c>
      <c r="B2291" t="s">
        <v>92</v>
      </c>
      <c r="C2291" t="s">
        <v>256</v>
      </c>
      <c r="D2291" t="s">
        <v>396</v>
      </c>
      <c r="F2291" t="s">
        <v>2139</v>
      </c>
      <c r="G2291" t="s">
        <v>3359</v>
      </c>
      <c r="H2291" t="s">
        <v>5984</v>
      </c>
      <c r="I2291" t="s">
        <v>8417</v>
      </c>
      <c r="J2291" t="s">
        <v>9059</v>
      </c>
      <c r="K2291">
        <v>11212</v>
      </c>
      <c r="L2291" t="s">
        <v>9094</v>
      </c>
      <c r="M2291" t="s">
        <v>9095</v>
      </c>
      <c r="N2291" t="s">
        <v>9144</v>
      </c>
      <c r="O2291" t="s">
        <v>11137</v>
      </c>
      <c r="P2291" t="s">
        <v>11167</v>
      </c>
      <c r="R2291" t="s">
        <v>11180</v>
      </c>
      <c r="S2291" t="s">
        <v>9094</v>
      </c>
      <c r="T2291" t="s">
        <v>11183</v>
      </c>
      <c r="U2291" t="s">
        <v>11201</v>
      </c>
      <c r="V2291" t="s">
        <v>330</v>
      </c>
      <c r="W2291">
        <v>594.1799999999999</v>
      </c>
      <c r="X2291" t="s">
        <v>11332</v>
      </c>
      <c r="Y2291" t="s">
        <v>11346</v>
      </c>
      <c r="Z2291" t="s">
        <v>12870</v>
      </c>
      <c r="AB2291" t="s">
        <v>17244</v>
      </c>
      <c r="AC2291">
        <v>96</v>
      </c>
      <c r="AD2291" t="s">
        <v>19566</v>
      </c>
      <c r="AE2291" t="s">
        <v>19587</v>
      </c>
      <c r="AF2291">
        <v>35</v>
      </c>
      <c r="AG2291">
        <v>1</v>
      </c>
      <c r="AH2291">
        <v>0</v>
      </c>
      <c r="AI2291">
        <v>80.7</v>
      </c>
      <c r="AL2291" t="s">
        <v>19614</v>
      </c>
      <c r="AM2291">
        <v>10080</v>
      </c>
      <c r="AS2291">
        <v>119.7</v>
      </c>
      <c r="AT2291" t="s">
        <v>594</v>
      </c>
      <c r="AU2291" t="s">
        <v>79</v>
      </c>
      <c r="AV2291" t="s">
        <v>20733</v>
      </c>
    </row>
    <row r="2292" spans="1:48">
      <c r="A2292" s="1">
        <f>HYPERLINK("https://lsnyc.legalserver.org/matter/dynamic-profile/view/1908822","19-1908822")</f>
        <v>0</v>
      </c>
      <c r="B2292" t="s">
        <v>219</v>
      </c>
      <c r="C2292" t="s">
        <v>257</v>
      </c>
      <c r="D2292" t="s">
        <v>481</v>
      </c>
      <c r="E2292" t="s">
        <v>481</v>
      </c>
      <c r="F2292" t="s">
        <v>1318</v>
      </c>
      <c r="G2292" t="s">
        <v>4152</v>
      </c>
      <c r="H2292" t="s">
        <v>6890</v>
      </c>
      <c r="I2292">
        <v>2</v>
      </c>
      <c r="J2292" t="s">
        <v>9059</v>
      </c>
      <c r="K2292">
        <v>11207</v>
      </c>
      <c r="L2292" t="s">
        <v>9094</v>
      </c>
      <c r="M2292" t="s">
        <v>9095</v>
      </c>
      <c r="N2292" t="s">
        <v>10017</v>
      </c>
      <c r="O2292" t="s">
        <v>11149</v>
      </c>
      <c r="P2292" t="s">
        <v>11164</v>
      </c>
      <c r="Q2292" t="s">
        <v>11172</v>
      </c>
      <c r="R2292" t="s">
        <v>11180</v>
      </c>
      <c r="T2292" t="s">
        <v>11183</v>
      </c>
      <c r="W2292">
        <v>0</v>
      </c>
      <c r="X2292" t="s">
        <v>11332</v>
      </c>
      <c r="Y2292" t="s">
        <v>11336</v>
      </c>
      <c r="Z2292" t="s">
        <v>12929</v>
      </c>
      <c r="AA2292" t="s">
        <v>15674</v>
      </c>
      <c r="AB2292" t="s">
        <v>17295</v>
      </c>
      <c r="AC2292">
        <v>0</v>
      </c>
      <c r="AF2292">
        <v>0</v>
      </c>
      <c r="AG2292">
        <v>1</v>
      </c>
      <c r="AH2292">
        <v>0</v>
      </c>
      <c r="AI2292">
        <v>80.7</v>
      </c>
      <c r="AL2292" t="s">
        <v>19615</v>
      </c>
      <c r="AM2292">
        <v>10080</v>
      </c>
      <c r="AS2292">
        <v>0.4</v>
      </c>
      <c r="AT2292" t="s">
        <v>339</v>
      </c>
      <c r="AU2292" t="s">
        <v>20626</v>
      </c>
      <c r="AV2292" t="s">
        <v>20733</v>
      </c>
    </row>
    <row r="2293" spans="1:48">
      <c r="A2293" s="1">
        <f>HYPERLINK("https://lsnyc.legalserver.org/matter/dynamic-profile/view/1909584","19-1909584")</f>
        <v>0</v>
      </c>
      <c r="B2293" t="s">
        <v>115</v>
      </c>
      <c r="C2293" t="s">
        <v>257</v>
      </c>
      <c r="D2293" t="s">
        <v>273</v>
      </c>
      <c r="E2293" t="s">
        <v>444</v>
      </c>
      <c r="F2293" t="s">
        <v>2178</v>
      </c>
      <c r="G2293" t="s">
        <v>4395</v>
      </c>
      <c r="H2293" t="s">
        <v>6891</v>
      </c>
      <c r="I2293" t="s">
        <v>8419</v>
      </c>
      <c r="J2293" t="s">
        <v>9065</v>
      </c>
      <c r="K2293">
        <v>10457</v>
      </c>
      <c r="L2293" t="s">
        <v>9094</v>
      </c>
      <c r="M2293" t="s">
        <v>9095</v>
      </c>
      <c r="N2293" t="s">
        <v>10018</v>
      </c>
      <c r="O2293" t="s">
        <v>11130</v>
      </c>
      <c r="P2293" t="s">
        <v>11164</v>
      </c>
      <c r="Q2293" t="s">
        <v>11172</v>
      </c>
      <c r="R2293" t="s">
        <v>11180</v>
      </c>
      <c r="S2293" t="s">
        <v>9096</v>
      </c>
      <c r="T2293" t="s">
        <v>11183</v>
      </c>
      <c r="U2293" t="s">
        <v>11201</v>
      </c>
      <c r="V2293" t="s">
        <v>1131</v>
      </c>
      <c r="W2293">
        <v>172</v>
      </c>
      <c r="X2293" t="s">
        <v>11333</v>
      </c>
      <c r="Y2293" t="s">
        <v>11339</v>
      </c>
      <c r="Z2293" t="s">
        <v>12930</v>
      </c>
      <c r="AB2293" t="s">
        <v>17296</v>
      </c>
      <c r="AC2293">
        <v>0</v>
      </c>
      <c r="AD2293" t="s">
        <v>19567</v>
      </c>
      <c r="AE2293" t="s">
        <v>19580</v>
      </c>
      <c r="AF2293">
        <v>17</v>
      </c>
      <c r="AG2293">
        <v>1</v>
      </c>
      <c r="AH2293">
        <v>0</v>
      </c>
      <c r="AI2293">
        <v>80.7</v>
      </c>
      <c r="AL2293" t="s">
        <v>19614</v>
      </c>
      <c r="AM2293">
        <v>10080</v>
      </c>
      <c r="AS2293">
        <v>0.2</v>
      </c>
      <c r="AT2293" t="s">
        <v>444</v>
      </c>
      <c r="AU2293" t="s">
        <v>115</v>
      </c>
      <c r="AV2293" t="s">
        <v>20733</v>
      </c>
    </row>
    <row r="2294" spans="1:48">
      <c r="A2294" s="1">
        <f>HYPERLINK("https://lsnyc.legalserver.org/matter/dynamic-profile/view/1909788","19-1909788")</f>
        <v>0</v>
      </c>
      <c r="B2294" t="s">
        <v>113</v>
      </c>
      <c r="C2294" t="s">
        <v>257</v>
      </c>
      <c r="D2294" t="s">
        <v>425</v>
      </c>
      <c r="E2294" t="s">
        <v>594</v>
      </c>
      <c r="F2294" t="s">
        <v>2178</v>
      </c>
      <c r="G2294" t="s">
        <v>4395</v>
      </c>
      <c r="H2294" t="s">
        <v>6891</v>
      </c>
      <c r="I2294" t="s">
        <v>8419</v>
      </c>
      <c r="J2294" t="s">
        <v>9065</v>
      </c>
      <c r="K2294">
        <v>10457</v>
      </c>
      <c r="L2294" t="s">
        <v>9094</v>
      </c>
      <c r="M2294" t="s">
        <v>9095</v>
      </c>
      <c r="O2294" t="s">
        <v>11130</v>
      </c>
      <c r="P2294" t="s">
        <v>11164</v>
      </c>
      <c r="Q2294" t="s">
        <v>11172</v>
      </c>
      <c r="R2294" t="s">
        <v>11180</v>
      </c>
      <c r="T2294" t="s">
        <v>11183</v>
      </c>
      <c r="W2294">
        <v>172</v>
      </c>
      <c r="X2294" t="s">
        <v>11333</v>
      </c>
      <c r="Z2294" t="s">
        <v>12930</v>
      </c>
      <c r="AC2294">
        <v>25</v>
      </c>
      <c r="AD2294" t="s">
        <v>19566</v>
      </c>
      <c r="AF2294">
        <v>17</v>
      </c>
      <c r="AG2294">
        <v>1</v>
      </c>
      <c r="AH2294">
        <v>0</v>
      </c>
      <c r="AI2294">
        <v>80.7</v>
      </c>
      <c r="AL2294" t="s">
        <v>19614</v>
      </c>
      <c r="AM2294">
        <v>10080</v>
      </c>
      <c r="AS2294">
        <v>0.5</v>
      </c>
      <c r="AT2294" t="s">
        <v>594</v>
      </c>
      <c r="AU2294" t="s">
        <v>113</v>
      </c>
      <c r="AV2294" t="s">
        <v>20733</v>
      </c>
    </row>
    <row r="2295" spans="1:48">
      <c r="A2295" s="1">
        <f>HYPERLINK("https://lsnyc.legalserver.org/matter/dynamic-profile/view/1905887","19-1905887")</f>
        <v>0</v>
      </c>
      <c r="B2295" t="s">
        <v>114</v>
      </c>
      <c r="C2295" t="s">
        <v>256</v>
      </c>
      <c r="D2295" t="s">
        <v>426</v>
      </c>
      <c r="F2295" t="s">
        <v>2179</v>
      </c>
      <c r="G2295" t="s">
        <v>4396</v>
      </c>
      <c r="H2295" t="s">
        <v>6892</v>
      </c>
      <c r="I2295" t="s">
        <v>8285</v>
      </c>
      <c r="J2295" t="s">
        <v>9065</v>
      </c>
      <c r="K2295">
        <v>10453</v>
      </c>
      <c r="L2295" t="s">
        <v>9095</v>
      </c>
      <c r="M2295" t="s">
        <v>9095</v>
      </c>
      <c r="R2295" t="s">
        <v>11180</v>
      </c>
      <c r="T2295" t="s">
        <v>11183</v>
      </c>
      <c r="W2295">
        <v>1126</v>
      </c>
      <c r="X2295" t="s">
        <v>11333</v>
      </c>
      <c r="Y2295" t="s">
        <v>11341</v>
      </c>
      <c r="Z2295" t="s">
        <v>12931</v>
      </c>
      <c r="AB2295" t="s">
        <v>17297</v>
      </c>
      <c r="AC2295">
        <v>35</v>
      </c>
      <c r="AE2295" t="s">
        <v>9144</v>
      </c>
      <c r="AF2295">
        <v>16</v>
      </c>
      <c r="AG2295">
        <v>1</v>
      </c>
      <c r="AH2295">
        <v>0</v>
      </c>
      <c r="AI2295">
        <v>80.7</v>
      </c>
      <c r="AL2295" t="s">
        <v>19614</v>
      </c>
      <c r="AM2295">
        <v>10080</v>
      </c>
      <c r="AS2295">
        <v>1</v>
      </c>
      <c r="AT2295" t="s">
        <v>426</v>
      </c>
      <c r="AU2295" t="s">
        <v>20639</v>
      </c>
    </row>
    <row r="2296" spans="1:48">
      <c r="A2296" s="1">
        <f>HYPERLINK("https://lsnyc.legalserver.org/matter/dynamic-profile/view/1906922","19-1906922")</f>
        <v>0</v>
      </c>
      <c r="B2296" t="s">
        <v>220</v>
      </c>
      <c r="C2296" t="s">
        <v>256</v>
      </c>
      <c r="D2296" t="s">
        <v>370</v>
      </c>
      <c r="F2296" t="s">
        <v>2180</v>
      </c>
      <c r="G2296" t="s">
        <v>3536</v>
      </c>
      <c r="H2296" t="s">
        <v>5899</v>
      </c>
      <c r="I2296" t="s">
        <v>8216</v>
      </c>
      <c r="J2296" t="s">
        <v>9065</v>
      </c>
      <c r="K2296">
        <v>10452</v>
      </c>
      <c r="L2296" t="s">
        <v>9094</v>
      </c>
      <c r="M2296" t="s">
        <v>9095</v>
      </c>
      <c r="R2296" t="s">
        <v>11180</v>
      </c>
      <c r="S2296" t="s">
        <v>9094</v>
      </c>
      <c r="T2296" t="s">
        <v>11183</v>
      </c>
      <c r="W2296">
        <v>671.5</v>
      </c>
      <c r="X2296" t="s">
        <v>11333</v>
      </c>
      <c r="Y2296" t="s">
        <v>11339</v>
      </c>
      <c r="Z2296" t="s">
        <v>12932</v>
      </c>
      <c r="AB2296" t="s">
        <v>17298</v>
      </c>
      <c r="AC2296">
        <v>65</v>
      </c>
      <c r="AD2296" t="s">
        <v>19566</v>
      </c>
      <c r="AE2296" t="s">
        <v>9144</v>
      </c>
      <c r="AF2296">
        <v>38</v>
      </c>
      <c r="AG2296">
        <v>1</v>
      </c>
      <c r="AH2296">
        <v>0</v>
      </c>
      <c r="AI2296">
        <v>80.7</v>
      </c>
      <c r="AL2296" t="s">
        <v>19615</v>
      </c>
      <c r="AM2296">
        <v>10080</v>
      </c>
      <c r="AS2296">
        <v>0</v>
      </c>
      <c r="AU2296" t="s">
        <v>220</v>
      </c>
    </row>
    <row r="2297" spans="1:48">
      <c r="A2297" s="1">
        <f>HYPERLINK("https://lsnyc.legalserver.org/matter/dynamic-profile/view/1914959","19-1914959")</f>
        <v>0</v>
      </c>
      <c r="B2297" t="s">
        <v>117</v>
      </c>
      <c r="C2297" t="s">
        <v>256</v>
      </c>
      <c r="D2297" t="s">
        <v>331</v>
      </c>
      <c r="F2297" t="s">
        <v>2180</v>
      </c>
      <c r="G2297" t="s">
        <v>3536</v>
      </c>
      <c r="H2297" t="s">
        <v>5899</v>
      </c>
      <c r="I2297" t="s">
        <v>8216</v>
      </c>
      <c r="J2297" t="s">
        <v>9065</v>
      </c>
      <c r="K2297">
        <v>10452</v>
      </c>
      <c r="L2297" t="s">
        <v>9095</v>
      </c>
      <c r="M2297" t="s">
        <v>9095</v>
      </c>
      <c r="R2297" t="s">
        <v>11180</v>
      </c>
      <c r="S2297" t="s">
        <v>9094</v>
      </c>
      <c r="T2297" t="s">
        <v>11183</v>
      </c>
      <c r="W2297">
        <v>671.5</v>
      </c>
      <c r="X2297" t="s">
        <v>11333</v>
      </c>
      <c r="Y2297" t="s">
        <v>11346</v>
      </c>
      <c r="Z2297" t="s">
        <v>12932</v>
      </c>
      <c r="AB2297" t="s">
        <v>17298</v>
      </c>
      <c r="AC2297">
        <v>65</v>
      </c>
      <c r="AD2297" t="s">
        <v>19566</v>
      </c>
      <c r="AE2297" t="s">
        <v>9144</v>
      </c>
      <c r="AF2297">
        <v>38</v>
      </c>
      <c r="AG2297">
        <v>1</v>
      </c>
      <c r="AH2297">
        <v>0</v>
      </c>
      <c r="AI2297">
        <v>80.7</v>
      </c>
      <c r="AL2297" t="s">
        <v>19615</v>
      </c>
      <c r="AM2297">
        <v>10080</v>
      </c>
      <c r="AS2297">
        <v>0</v>
      </c>
      <c r="AU2297" t="s">
        <v>20647</v>
      </c>
    </row>
    <row r="2298" spans="1:48">
      <c r="A2298" s="1">
        <f>HYPERLINK("https://lsnyc.legalserver.org/matter/dynamic-profile/view/1902334","19-1902334")</f>
        <v>0</v>
      </c>
      <c r="B2298" t="s">
        <v>147</v>
      </c>
      <c r="C2298" t="s">
        <v>257</v>
      </c>
      <c r="D2298" t="s">
        <v>736</v>
      </c>
      <c r="E2298" t="s">
        <v>282</v>
      </c>
      <c r="F2298" t="s">
        <v>1144</v>
      </c>
      <c r="G2298" t="s">
        <v>4397</v>
      </c>
      <c r="H2298" t="s">
        <v>6893</v>
      </c>
      <c r="J2298" t="s">
        <v>9066</v>
      </c>
      <c r="K2298">
        <v>10301</v>
      </c>
      <c r="L2298" t="s">
        <v>9094</v>
      </c>
      <c r="M2298" t="s">
        <v>9095</v>
      </c>
      <c r="N2298" t="s">
        <v>9121</v>
      </c>
      <c r="O2298" t="s">
        <v>9121</v>
      </c>
      <c r="P2298" t="s">
        <v>11164</v>
      </c>
      <c r="Q2298" t="s">
        <v>11172</v>
      </c>
      <c r="R2298" t="s">
        <v>11180</v>
      </c>
      <c r="S2298" t="s">
        <v>9096</v>
      </c>
      <c r="T2298" t="s">
        <v>11183</v>
      </c>
      <c r="W2298">
        <v>200</v>
      </c>
      <c r="X2298" t="s">
        <v>11334</v>
      </c>
      <c r="Y2298" t="s">
        <v>11350</v>
      </c>
      <c r="Z2298" t="s">
        <v>12933</v>
      </c>
      <c r="AB2298" t="s">
        <v>17299</v>
      </c>
      <c r="AC2298">
        <v>0</v>
      </c>
      <c r="AE2298" t="s">
        <v>9144</v>
      </c>
      <c r="AF2298">
        <v>10</v>
      </c>
      <c r="AG2298">
        <v>1</v>
      </c>
      <c r="AH2298">
        <v>0</v>
      </c>
      <c r="AI2298">
        <v>80.7</v>
      </c>
      <c r="AL2298" t="s">
        <v>19634</v>
      </c>
      <c r="AM2298">
        <v>10080</v>
      </c>
      <c r="AP2298" t="s">
        <v>11157</v>
      </c>
      <c r="AS2298">
        <v>2.1</v>
      </c>
      <c r="AT2298" t="s">
        <v>457</v>
      </c>
      <c r="AU2298" t="s">
        <v>20653</v>
      </c>
      <c r="AV2298" t="s">
        <v>20733</v>
      </c>
    </row>
    <row r="2299" spans="1:48">
      <c r="A2299" s="1">
        <f>HYPERLINK("https://lsnyc.legalserver.org/matter/dynamic-profile/view/1901270","19-1901270")</f>
        <v>0</v>
      </c>
      <c r="B2299" t="s">
        <v>139</v>
      </c>
      <c r="C2299" t="s">
        <v>257</v>
      </c>
      <c r="D2299" t="s">
        <v>422</v>
      </c>
      <c r="E2299" t="s">
        <v>551</v>
      </c>
      <c r="F2299" t="s">
        <v>1837</v>
      </c>
      <c r="G2299" t="s">
        <v>4042</v>
      </c>
      <c r="H2299" t="s">
        <v>5948</v>
      </c>
      <c r="I2299" t="s">
        <v>8229</v>
      </c>
      <c r="J2299" t="s">
        <v>9067</v>
      </c>
      <c r="K2299">
        <v>10034</v>
      </c>
      <c r="L2299" t="s">
        <v>9095</v>
      </c>
      <c r="M2299" t="s">
        <v>9095</v>
      </c>
      <c r="O2299" t="s">
        <v>9121</v>
      </c>
      <c r="P2299" t="s">
        <v>11167</v>
      </c>
      <c r="Q2299" t="s">
        <v>11176</v>
      </c>
      <c r="R2299" t="s">
        <v>11180</v>
      </c>
      <c r="S2299" t="s">
        <v>9096</v>
      </c>
      <c r="T2299" t="s">
        <v>11183</v>
      </c>
      <c r="U2299" t="s">
        <v>11201</v>
      </c>
      <c r="V2299" t="s">
        <v>898</v>
      </c>
      <c r="W2299">
        <v>632.42</v>
      </c>
      <c r="X2299" t="s">
        <v>11335</v>
      </c>
      <c r="Y2299" t="s">
        <v>11338</v>
      </c>
      <c r="Z2299" t="s">
        <v>12934</v>
      </c>
      <c r="AB2299" t="s">
        <v>17300</v>
      </c>
      <c r="AC2299">
        <v>49</v>
      </c>
      <c r="AD2299" t="s">
        <v>19566</v>
      </c>
      <c r="AE2299" t="s">
        <v>19580</v>
      </c>
      <c r="AF2299">
        <v>35</v>
      </c>
      <c r="AG2299">
        <v>1</v>
      </c>
      <c r="AH2299">
        <v>0</v>
      </c>
      <c r="AI2299">
        <v>80.7</v>
      </c>
      <c r="AL2299" t="s">
        <v>19615</v>
      </c>
      <c r="AM2299">
        <v>10080</v>
      </c>
      <c r="AS2299">
        <v>8.550000000000001</v>
      </c>
      <c r="AT2299" t="s">
        <v>275</v>
      </c>
      <c r="AU2299" t="s">
        <v>139</v>
      </c>
    </row>
    <row r="2300" spans="1:48">
      <c r="A2300" s="1">
        <f>HYPERLINK("https://lsnyc.legalserver.org/matter/dynamic-profile/view/1914702","19-1914702")</f>
        <v>0</v>
      </c>
      <c r="B2300" t="s">
        <v>202</v>
      </c>
      <c r="C2300" t="s">
        <v>256</v>
      </c>
      <c r="D2300" t="s">
        <v>476</v>
      </c>
      <c r="F2300" t="s">
        <v>2181</v>
      </c>
      <c r="G2300" t="s">
        <v>1215</v>
      </c>
      <c r="H2300" t="s">
        <v>6621</v>
      </c>
      <c r="I2300">
        <v>41</v>
      </c>
      <c r="J2300" t="s">
        <v>9059</v>
      </c>
      <c r="K2300">
        <v>11213</v>
      </c>
      <c r="L2300" t="s">
        <v>9094</v>
      </c>
      <c r="M2300" t="s">
        <v>9095</v>
      </c>
      <c r="N2300" t="s">
        <v>9625</v>
      </c>
      <c r="O2300" t="s">
        <v>11132</v>
      </c>
      <c r="P2300" t="s">
        <v>11165</v>
      </c>
      <c r="R2300" t="s">
        <v>11180</v>
      </c>
      <c r="S2300" t="s">
        <v>9094</v>
      </c>
      <c r="T2300" t="s">
        <v>11183</v>
      </c>
      <c r="U2300" t="s">
        <v>11201</v>
      </c>
      <c r="V2300" t="s">
        <v>11243</v>
      </c>
      <c r="W2300">
        <v>739.64</v>
      </c>
      <c r="X2300" t="s">
        <v>11332</v>
      </c>
      <c r="Y2300" t="s">
        <v>11339</v>
      </c>
      <c r="Z2300" t="s">
        <v>12935</v>
      </c>
      <c r="AA2300">
        <v>109154905</v>
      </c>
      <c r="AB2300" t="s">
        <v>17301</v>
      </c>
      <c r="AC2300">
        <v>31</v>
      </c>
      <c r="AD2300" t="s">
        <v>19566</v>
      </c>
      <c r="AE2300" t="s">
        <v>9144</v>
      </c>
      <c r="AF2300">
        <v>35</v>
      </c>
      <c r="AG2300">
        <v>2</v>
      </c>
      <c r="AH2300">
        <v>0</v>
      </c>
      <c r="AI2300">
        <v>80.76000000000001</v>
      </c>
      <c r="AL2300" t="s">
        <v>19614</v>
      </c>
      <c r="AM2300">
        <v>13656</v>
      </c>
      <c r="AS2300">
        <v>0</v>
      </c>
      <c r="AU2300" t="s">
        <v>95</v>
      </c>
      <c r="AV2300" t="s">
        <v>20733</v>
      </c>
    </row>
    <row r="2301" spans="1:48">
      <c r="A2301" s="1">
        <f>HYPERLINK("https://lsnyc.legalserver.org/matter/dynamic-profile/view/1914288","19-1914288")</f>
        <v>0</v>
      </c>
      <c r="B2301" t="s">
        <v>77</v>
      </c>
      <c r="C2301" t="s">
        <v>256</v>
      </c>
      <c r="D2301" t="s">
        <v>496</v>
      </c>
      <c r="F2301" t="s">
        <v>2181</v>
      </c>
      <c r="G2301" t="s">
        <v>1215</v>
      </c>
      <c r="H2301" t="s">
        <v>6621</v>
      </c>
      <c r="I2301">
        <v>41</v>
      </c>
      <c r="J2301" t="s">
        <v>9059</v>
      </c>
      <c r="K2301">
        <v>11213</v>
      </c>
      <c r="L2301" t="s">
        <v>9094</v>
      </c>
      <c r="M2301" t="s">
        <v>9095</v>
      </c>
      <c r="N2301" t="s">
        <v>9144</v>
      </c>
      <c r="O2301" t="s">
        <v>9121</v>
      </c>
      <c r="P2301" t="s">
        <v>11167</v>
      </c>
      <c r="R2301" t="s">
        <v>11180</v>
      </c>
      <c r="S2301" t="s">
        <v>9094</v>
      </c>
      <c r="T2301" t="s">
        <v>11183</v>
      </c>
      <c r="U2301" t="s">
        <v>11201</v>
      </c>
      <c r="V2301" t="s">
        <v>484</v>
      </c>
      <c r="W2301">
        <v>739.64</v>
      </c>
      <c r="X2301" t="s">
        <v>11332</v>
      </c>
      <c r="Y2301" t="s">
        <v>11339</v>
      </c>
      <c r="Z2301" t="s">
        <v>12935</v>
      </c>
      <c r="AA2301">
        <v>109154905</v>
      </c>
      <c r="AB2301" t="s">
        <v>17301</v>
      </c>
      <c r="AC2301">
        <v>31</v>
      </c>
      <c r="AD2301" t="s">
        <v>19566</v>
      </c>
      <c r="AE2301" t="s">
        <v>9144</v>
      </c>
      <c r="AF2301">
        <v>35</v>
      </c>
      <c r="AG2301">
        <v>2</v>
      </c>
      <c r="AH2301">
        <v>0</v>
      </c>
      <c r="AI2301">
        <v>80.76000000000001</v>
      </c>
      <c r="AL2301" t="s">
        <v>19614</v>
      </c>
      <c r="AM2301">
        <v>13656</v>
      </c>
      <c r="AN2301" t="s">
        <v>19859</v>
      </c>
      <c r="AS2301">
        <v>0</v>
      </c>
      <c r="AU2301" t="s">
        <v>95</v>
      </c>
      <c r="AV2301" t="s">
        <v>20733</v>
      </c>
    </row>
    <row r="2302" spans="1:48">
      <c r="A2302" s="1">
        <f>HYPERLINK("https://lsnyc.legalserver.org/matter/dynamic-profile/view/1912952","19-1912952")</f>
        <v>0</v>
      </c>
      <c r="B2302" t="s">
        <v>59</v>
      </c>
      <c r="C2302" t="s">
        <v>256</v>
      </c>
      <c r="D2302" t="s">
        <v>294</v>
      </c>
      <c r="F2302" t="s">
        <v>2182</v>
      </c>
      <c r="G2302" t="s">
        <v>3513</v>
      </c>
      <c r="H2302" t="s">
        <v>6894</v>
      </c>
      <c r="I2302" t="s">
        <v>8114</v>
      </c>
      <c r="J2302" t="s">
        <v>9054</v>
      </c>
      <c r="K2302">
        <v>11368</v>
      </c>
      <c r="L2302" t="s">
        <v>9094</v>
      </c>
      <c r="M2302" t="s">
        <v>9095</v>
      </c>
      <c r="N2302" t="s">
        <v>10019</v>
      </c>
      <c r="O2302" t="s">
        <v>11128</v>
      </c>
      <c r="P2302" t="s">
        <v>11165</v>
      </c>
      <c r="R2302" t="s">
        <v>11180</v>
      </c>
      <c r="S2302" t="s">
        <v>9096</v>
      </c>
      <c r="T2302" t="s">
        <v>11183</v>
      </c>
      <c r="U2302" t="s">
        <v>11201</v>
      </c>
      <c r="V2302" t="s">
        <v>294</v>
      </c>
      <c r="W2302">
        <v>2000</v>
      </c>
      <c r="X2302" t="s">
        <v>11331</v>
      </c>
      <c r="Y2302" t="s">
        <v>11345</v>
      </c>
      <c r="Z2302" t="s">
        <v>12936</v>
      </c>
      <c r="AA2302" t="s">
        <v>15274</v>
      </c>
      <c r="AB2302" t="s">
        <v>15274</v>
      </c>
      <c r="AC2302">
        <v>2</v>
      </c>
      <c r="AD2302" t="s">
        <v>15441</v>
      </c>
      <c r="AE2302" t="s">
        <v>9144</v>
      </c>
      <c r="AF2302">
        <v>2</v>
      </c>
      <c r="AG2302">
        <v>2</v>
      </c>
      <c r="AH2302">
        <v>2</v>
      </c>
      <c r="AI2302">
        <v>80.78</v>
      </c>
      <c r="AL2302" t="s">
        <v>19615</v>
      </c>
      <c r="AM2302">
        <v>20800</v>
      </c>
      <c r="AS2302">
        <v>3.55</v>
      </c>
      <c r="AT2302" t="s">
        <v>1130</v>
      </c>
      <c r="AU2302" t="s">
        <v>20620</v>
      </c>
      <c r="AV2302" t="s">
        <v>20733</v>
      </c>
    </row>
    <row r="2303" spans="1:48">
      <c r="A2303" s="1">
        <f>HYPERLINK("https://lsnyc.legalserver.org/matter/dynamic-profile/view/1888678","19-1888678")</f>
        <v>0</v>
      </c>
      <c r="B2303" t="s">
        <v>138</v>
      </c>
      <c r="C2303" t="s">
        <v>256</v>
      </c>
      <c r="D2303" t="s">
        <v>494</v>
      </c>
      <c r="F2303" t="s">
        <v>2183</v>
      </c>
      <c r="G2303" t="s">
        <v>4398</v>
      </c>
      <c r="H2303" t="s">
        <v>6093</v>
      </c>
      <c r="I2303">
        <v>43</v>
      </c>
      <c r="J2303" t="s">
        <v>9067</v>
      </c>
      <c r="K2303">
        <v>10034</v>
      </c>
      <c r="L2303" t="s">
        <v>9094</v>
      </c>
      <c r="M2303" t="s">
        <v>9094</v>
      </c>
      <c r="N2303" t="s">
        <v>9999</v>
      </c>
      <c r="O2303" t="s">
        <v>11130</v>
      </c>
      <c r="P2303" t="s">
        <v>11165</v>
      </c>
      <c r="R2303" t="s">
        <v>11180</v>
      </c>
      <c r="S2303" t="s">
        <v>9094</v>
      </c>
      <c r="T2303" t="s">
        <v>11183</v>
      </c>
      <c r="V2303" t="s">
        <v>494</v>
      </c>
      <c r="W2303">
        <v>1547</v>
      </c>
      <c r="X2303" t="s">
        <v>11335</v>
      </c>
      <c r="Y2303" t="s">
        <v>11338</v>
      </c>
      <c r="Z2303" t="s">
        <v>12937</v>
      </c>
      <c r="AB2303" t="s">
        <v>17302</v>
      </c>
      <c r="AC2303">
        <v>25</v>
      </c>
      <c r="AD2303" t="s">
        <v>19566</v>
      </c>
      <c r="AE2303" t="s">
        <v>9144</v>
      </c>
      <c r="AF2303">
        <v>8</v>
      </c>
      <c r="AG2303">
        <v>2</v>
      </c>
      <c r="AH2303">
        <v>2</v>
      </c>
      <c r="AI2303">
        <v>80.78</v>
      </c>
      <c r="AL2303" t="s">
        <v>19615</v>
      </c>
      <c r="AM2303">
        <v>20800</v>
      </c>
      <c r="AS2303">
        <v>0.8</v>
      </c>
      <c r="AT2303" t="s">
        <v>1135</v>
      </c>
      <c r="AU2303" t="s">
        <v>130</v>
      </c>
      <c r="AV2303" t="s">
        <v>20733</v>
      </c>
    </row>
    <row r="2304" spans="1:48">
      <c r="A2304" s="1">
        <f>HYPERLINK("https://lsnyc.legalserver.org/matter/dynamic-profile/view/1915291","19-1915291")</f>
        <v>0</v>
      </c>
      <c r="B2304" t="s">
        <v>142</v>
      </c>
      <c r="C2304" t="s">
        <v>256</v>
      </c>
      <c r="D2304" t="s">
        <v>321</v>
      </c>
      <c r="F2304" t="s">
        <v>2184</v>
      </c>
      <c r="G2304" t="s">
        <v>4399</v>
      </c>
      <c r="H2304" t="s">
        <v>6596</v>
      </c>
      <c r="I2304" t="s">
        <v>8131</v>
      </c>
      <c r="J2304" t="s">
        <v>9067</v>
      </c>
      <c r="K2304">
        <v>10035</v>
      </c>
      <c r="L2304" t="s">
        <v>9094</v>
      </c>
      <c r="M2304" t="s">
        <v>9095</v>
      </c>
      <c r="O2304" t="s">
        <v>11134</v>
      </c>
      <c r="P2304" t="s">
        <v>11165</v>
      </c>
      <c r="R2304" t="s">
        <v>11180</v>
      </c>
      <c r="S2304" t="s">
        <v>9094</v>
      </c>
      <c r="T2304" t="s">
        <v>11183</v>
      </c>
      <c r="U2304" t="s">
        <v>11201</v>
      </c>
      <c r="V2304" t="s">
        <v>321</v>
      </c>
      <c r="W2304">
        <v>2500</v>
      </c>
      <c r="X2304" t="s">
        <v>11335</v>
      </c>
      <c r="Y2304" t="s">
        <v>11340</v>
      </c>
      <c r="Z2304" t="s">
        <v>12938</v>
      </c>
      <c r="AB2304" t="s">
        <v>17303</v>
      </c>
      <c r="AC2304">
        <v>60</v>
      </c>
      <c r="AD2304" t="s">
        <v>19566</v>
      </c>
      <c r="AE2304" t="s">
        <v>19580</v>
      </c>
      <c r="AF2304">
        <v>14</v>
      </c>
      <c r="AG2304">
        <v>1</v>
      </c>
      <c r="AH2304">
        <v>0</v>
      </c>
      <c r="AI2304">
        <v>80.8</v>
      </c>
      <c r="AL2304" t="s">
        <v>19615</v>
      </c>
      <c r="AM2304">
        <v>10092</v>
      </c>
      <c r="AS2304">
        <v>0</v>
      </c>
      <c r="AU2304" t="s">
        <v>20657</v>
      </c>
      <c r="AV2304" t="s">
        <v>20733</v>
      </c>
    </row>
    <row r="2305" spans="1:48">
      <c r="A2305" s="1">
        <f>HYPERLINK("https://lsnyc.legalserver.org/matter/dynamic-profile/view/1914818","19-1914818")</f>
        <v>0</v>
      </c>
      <c r="B2305" t="s">
        <v>142</v>
      </c>
      <c r="C2305" t="s">
        <v>256</v>
      </c>
      <c r="D2305" t="s">
        <v>331</v>
      </c>
      <c r="F2305" t="s">
        <v>2184</v>
      </c>
      <c r="G2305" t="s">
        <v>4399</v>
      </c>
      <c r="H2305" t="s">
        <v>6596</v>
      </c>
      <c r="I2305" t="s">
        <v>8131</v>
      </c>
      <c r="J2305" t="s">
        <v>9067</v>
      </c>
      <c r="K2305">
        <v>10035</v>
      </c>
      <c r="L2305" t="s">
        <v>9094</v>
      </c>
      <c r="M2305" t="s">
        <v>9095</v>
      </c>
      <c r="O2305" t="s">
        <v>11130</v>
      </c>
      <c r="P2305" t="s">
        <v>11165</v>
      </c>
      <c r="R2305" t="s">
        <v>11180</v>
      </c>
      <c r="S2305" t="s">
        <v>9094</v>
      </c>
      <c r="T2305" t="s">
        <v>11183</v>
      </c>
      <c r="U2305" t="s">
        <v>11201</v>
      </c>
      <c r="V2305" t="s">
        <v>632</v>
      </c>
      <c r="W2305">
        <v>2500</v>
      </c>
      <c r="X2305" t="s">
        <v>11335</v>
      </c>
      <c r="Y2305" t="s">
        <v>11340</v>
      </c>
      <c r="Z2305" t="s">
        <v>12938</v>
      </c>
      <c r="AB2305" t="s">
        <v>17303</v>
      </c>
      <c r="AC2305">
        <v>60</v>
      </c>
      <c r="AD2305" t="s">
        <v>19566</v>
      </c>
      <c r="AE2305" t="s">
        <v>19580</v>
      </c>
      <c r="AF2305">
        <v>14</v>
      </c>
      <c r="AG2305">
        <v>1</v>
      </c>
      <c r="AH2305">
        <v>0</v>
      </c>
      <c r="AI2305">
        <v>80.8</v>
      </c>
      <c r="AL2305" t="s">
        <v>19615</v>
      </c>
      <c r="AM2305">
        <v>10092</v>
      </c>
      <c r="AS2305">
        <v>0</v>
      </c>
      <c r="AU2305" t="s">
        <v>20657</v>
      </c>
      <c r="AV2305" t="s">
        <v>9144</v>
      </c>
    </row>
    <row r="2306" spans="1:48">
      <c r="A2306" s="1">
        <f>HYPERLINK("https://lsnyc.legalserver.org/matter/dynamic-profile/view/1897751","19-1897751")</f>
        <v>0</v>
      </c>
      <c r="B2306" t="s">
        <v>142</v>
      </c>
      <c r="C2306" t="s">
        <v>256</v>
      </c>
      <c r="D2306" t="s">
        <v>291</v>
      </c>
      <c r="F2306" t="s">
        <v>2184</v>
      </c>
      <c r="G2306" t="s">
        <v>4399</v>
      </c>
      <c r="H2306" t="s">
        <v>6596</v>
      </c>
      <c r="I2306" t="s">
        <v>8131</v>
      </c>
      <c r="J2306" t="s">
        <v>9067</v>
      </c>
      <c r="K2306">
        <v>10035</v>
      </c>
      <c r="L2306" t="s">
        <v>9094</v>
      </c>
      <c r="M2306" t="s">
        <v>9094</v>
      </c>
      <c r="O2306" t="s">
        <v>9121</v>
      </c>
      <c r="P2306" t="s">
        <v>11167</v>
      </c>
      <c r="R2306" t="s">
        <v>11180</v>
      </c>
      <c r="S2306" t="s">
        <v>9094</v>
      </c>
      <c r="T2306" t="s">
        <v>11183</v>
      </c>
      <c r="U2306" t="s">
        <v>11201</v>
      </c>
      <c r="V2306" t="s">
        <v>317</v>
      </c>
      <c r="W2306">
        <v>2500</v>
      </c>
      <c r="X2306" t="s">
        <v>11335</v>
      </c>
      <c r="Y2306" t="s">
        <v>11350</v>
      </c>
      <c r="Z2306" t="s">
        <v>12938</v>
      </c>
      <c r="AB2306" t="s">
        <v>17303</v>
      </c>
      <c r="AC2306">
        <v>60</v>
      </c>
      <c r="AD2306" t="s">
        <v>19566</v>
      </c>
      <c r="AE2306" t="s">
        <v>19580</v>
      </c>
      <c r="AF2306">
        <v>14</v>
      </c>
      <c r="AG2306">
        <v>1</v>
      </c>
      <c r="AH2306">
        <v>0</v>
      </c>
      <c r="AI2306">
        <v>80.8</v>
      </c>
      <c r="AL2306" t="s">
        <v>19615</v>
      </c>
      <c r="AM2306">
        <v>10092</v>
      </c>
      <c r="AS2306">
        <v>0</v>
      </c>
      <c r="AU2306" t="s">
        <v>20657</v>
      </c>
    </row>
    <row r="2307" spans="1:48">
      <c r="A2307" s="1">
        <f>HYPERLINK("https://lsnyc.legalserver.org/matter/dynamic-profile/view/0822169","16-0822169")</f>
        <v>0</v>
      </c>
      <c r="B2307" t="s">
        <v>156</v>
      </c>
      <c r="C2307" t="s">
        <v>256</v>
      </c>
      <c r="D2307" t="s">
        <v>865</v>
      </c>
      <c r="F2307" t="s">
        <v>2185</v>
      </c>
      <c r="G2307" t="s">
        <v>4400</v>
      </c>
      <c r="H2307" t="s">
        <v>5855</v>
      </c>
      <c r="I2307" t="s">
        <v>8178</v>
      </c>
      <c r="J2307" t="s">
        <v>9065</v>
      </c>
      <c r="K2307">
        <v>10467</v>
      </c>
      <c r="L2307" t="s">
        <v>9094</v>
      </c>
      <c r="M2307" t="s">
        <v>9095</v>
      </c>
      <c r="N2307" t="s">
        <v>9220</v>
      </c>
      <c r="O2307" t="s">
        <v>11143</v>
      </c>
      <c r="P2307" t="s">
        <v>11165</v>
      </c>
      <c r="R2307" t="s">
        <v>11180</v>
      </c>
      <c r="S2307" t="s">
        <v>9094</v>
      </c>
      <c r="T2307" t="s">
        <v>11183</v>
      </c>
      <c r="V2307" t="s">
        <v>865</v>
      </c>
      <c r="W2307">
        <v>1300</v>
      </c>
      <c r="X2307" t="s">
        <v>11333</v>
      </c>
      <c r="Y2307" t="s">
        <v>11338</v>
      </c>
      <c r="Z2307" t="s">
        <v>11393</v>
      </c>
      <c r="AB2307" t="s">
        <v>17304</v>
      </c>
      <c r="AC2307">
        <v>30</v>
      </c>
      <c r="AD2307" t="s">
        <v>19572</v>
      </c>
      <c r="AE2307" t="s">
        <v>19580</v>
      </c>
      <c r="AF2307">
        <v>5</v>
      </c>
      <c r="AG2307">
        <v>1</v>
      </c>
      <c r="AH2307">
        <v>0</v>
      </c>
      <c r="AI2307">
        <v>80.81</v>
      </c>
      <c r="AJ2307" t="s">
        <v>865</v>
      </c>
      <c r="AL2307" t="s">
        <v>19614</v>
      </c>
      <c r="AM2307">
        <v>9600</v>
      </c>
      <c r="AS2307">
        <v>0.1</v>
      </c>
      <c r="AT2307" t="s">
        <v>921</v>
      </c>
      <c r="AU2307" t="s">
        <v>20645</v>
      </c>
    </row>
    <row r="2308" spans="1:48">
      <c r="A2308" s="1">
        <f>HYPERLINK("https://lsnyc.legalserver.org/matter/dynamic-profile/view/0815687","16-0815687")</f>
        <v>0</v>
      </c>
      <c r="B2308" t="s">
        <v>111</v>
      </c>
      <c r="C2308" t="s">
        <v>256</v>
      </c>
      <c r="D2308" t="s">
        <v>522</v>
      </c>
      <c r="F2308" t="s">
        <v>1360</v>
      </c>
      <c r="G2308" t="s">
        <v>3411</v>
      </c>
      <c r="H2308" t="s">
        <v>6258</v>
      </c>
      <c r="I2308" t="s">
        <v>8133</v>
      </c>
      <c r="J2308" t="s">
        <v>9065</v>
      </c>
      <c r="K2308">
        <v>10453</v>
      </c>
      <c r="L2308" t="s">
        <v>9094</v>
      </c>
      <c r="M2308" t="s">
        <v>9095</v>
      </c>
      <c r="O2308" t="s">
        <v>11140</v>
      </c>
      <c r="P2308" t="s">
        <v>11166</v>
      </c>
      <c r="R2308" t="s">
        <v>11180</v>
      </c>
      <c r="S2308" t="s">
        <v>9096</v>
      </c>
      <c r="T2308" t="s">
        <v>11190</v>
      </c>
      <c r="V2308" t="s">
        <v>522</v>
      </c>
      <c r="W2308">
        <v>237</v>
      </c>
      <c r="X2308" t="s">
        <v>11333</v>
      </c>
      <c r="Y2308" t="s">
        <v>11349</v>
      </c>
      <c r="Z2308" t="s">
        <v>12614</v>
      </c>
      <c r="AB2308" t="s">
        <v>17002</v>
      </c>
      <c r="AC2308">
        <v>101</v>
      </c>
      <c r="AD2308" t="s">
        <v>19566</v>
      </c>
      <c r="AE2308" t="s">
        <v>19580</v>
      </c>
      <c r="AF2308">
        <v>17</v>
      </c>
      <c r="AG2308">
        <v>1</v>
      </c>
      <c r="AH2308">
        <v>0</v>
      </c>
      <c r="AI2308">
        <v>80.81</v>
      </c>
      <c r="AL2308" t="s">
        <v>19614</v>
      </c>
      <c r="AM2308">
        <v>9600</v>
      </c>
      <c r="AS2308">
        <v>203.65</v>
      </c>
      <c r="AT2308" t="s">
        <v>423</v>
      </c>
      <c r="AU2308" t="s">
        <v>111</v>
      </c>
    </row>
    <row r="2309" spans="1:48">
      <c r="A2309" s="1">
        <f>HYPERLINK("https://lsnyc.legalserver.org/matter/dynamic-profile/view/0803493","16-0803493")</f>
        <v>0</v>
      </c>
      <c r="B2309" t="s">
        <v>111</v>
      </c>
      <c r="C2309" t="s">
        <v>256</v>
      </c>
      <c r="D2309" t="s">
        <v>914</v>
      </c>
      <c r="F2309" t="s">
        <v>1450</v>
      </c>
      <c r="G2309" t="s">
        <v>4401</v>
      </c>
      <c r="H2309" t="s">
        <v>6895</v>
      </c>
      <c r="I2309" t="s">
        <v>8593</v>
      </c>
      <c r="J2309" t="s">
        <v>9065</v>
      </c>
      <c r="K2309">
        <v>10452</v>
      </c>
      <c r="L2309" t="s">
        <v>9094</v>
      </c>
      <c r="M2309" t="s">
        <v>9095</v>
      </c>
      <c r="O2309" t="s">
        <v>11147</v>
      </c>
      <c r="P2309" t="s">
        <v>11165</v>
      </c>
      <c r="R2309" t="s">
        <v>11180</v>
      </c>
      <c r="S2309" t="s">
        <v>9094</v>
      </c>
      <c r="T2309" t="s">
        <v>11183</v>
      </c>
      <c r="V2309" t="s">
        <v>1005</v>
      </c>
      <c r="W2309">
        <v>199.76</v>
      </c>
      <c r="X2309" t="s">
        <v>11333</v>
      </c>
      <c r="Y2309" t="s">
        <v>11346</v>
      </c>
      <c r="Z2309" t="s">
        <v>12939</v>
      </c>
      <c r="AB2309" t="s">
        <v>17305</v>
      </c>
      <c r="AC2309">
        <v>0</v>
      </c>
      <c r="AD2309" t="s">
        <v>19566</v>
      </c>
      <c r="AF2309">
        <v>40</v>
      </c>
      <c r="AG2309">
        <v>1</v>
      </c>
      <c r="AH2309">
        <v>0</v>
      </c>
      <c r="AI2309">
        <v>80.81</v>
      </c>
      <c r="AL2309" t="s">
        <v>19615</v>
      </c>
      <c r="AM2309">
        <v>9600</v>
      </c>
      <c r="AS2309">
        <v>0.35</v>
      </c>
      <c r="AT2309" t="s">
        <v>805</v>
      </c>
      <c r="AU2309" t="s">
        <v>109</v>
      </c>
    </row>
    <row r="2310" spans="1:48">
      <c r="A2310" s="1">
        <f>HYPERLINK("https://lsnyc.legalserver.org/matter/dynamic-profile/view/1859934","18-1859934")</f>
        <v>0</v>
      </c>
      <c r="B2310" t="s">
        <v>70</v>
      </c>
      <c r="C2310" t="s">
        <v>256</v>
      </c>
      <c r="D2310" t="s">
        <v>843</v>
      </c>
      <c r="F2310" t="s">
        <v>1197</v>
      </c>
      <c r="G2310" t="s">
        <v>4402</v>
      </c>
      <c r="H2310" t="s">
        <v>6896</v>
      </c>
      <c r="I2310" t="s">
        <v>8594</v>
      </c>
      <c r="J2310" t="s">
        <v>9059</v>
      </c>
      <c r="K2310">
        <v>11233</v>
      </c>
      <c r="L2310" t="s">
        <v>9094</v>
      </c>
      <c r="M2310" t="s">
        <v>9095</v>
      </c>
      <c r="N2310" t="s">
        <v>10020</v>
      </c>
      <c r="O2310" t="s">
        <v>11128</v>
      </c>
      <c r="P2310" t="s">
        <v>11165</v>
      </c>
      <c r="R2310" t="s">
        <v>11180</v>
      </c>
      <c r="S2310" t="s">
        <v>9096</v>
      </c>
      <c r="T2310" t="s">
        <v>11183</v>
      </c>
      <c r="V2310" t="s">
        <v>364</v>
      </c>
      <c r="W2310">
        <v>2200</v>
      </c>
      <c r="X2310" t="s">
        <v>11332</v>
      </c>
      <c r="Y2310" t="s">
        <v>11344</v>
      </c>
      <c r="Z2310" t="s">
        <v>12940</v>
      </c>
      <c r="AA2310" t="s">
        <v>15675</v>
      </c>
      <c r="AB2310" t="s">
        <v>17306</v>
      </c>
      <c r="AC2310">
        <v>2</v>
      </c>
      <c r="AF2310">
        <v>46</v>
      </c>
      <c r="AG2310">
        <v>4</v>
      </c>
      <c r="AH2310">
        <v>2</v>
      </c>
      <c r="AI2310">
        <v>80.86</v>
      </c>
      <c r="AL2310" t="s">
        <v>19614</v>
      </c>
      <c r="AM2310">
        <v>26652</v>
      </c>
      <c r="AS2310">
        <v>22</v>
      </c>
      <c r="AT2310" t="s">
        <v>329</v>
      </c>
      <c r="AU2310" t="s">
        <v>20633</v>
      </c>
    </row>
    <row r="2311" spans="1:48">
      <c r="A2311" s="1">
        <f>HYPERLINK("https://lsnyc.legalserver.org/matter/dynamic-profile/view/1904660","19-1904660")</f>
        <v>0</v>
      </c>
      <c r="B2311" t="s">
        <v>221</v>
      </c>
      <c r="C2311" t="s">
        <v>257</v>
      </c>
      <c r="D2311" t="s">
        <v>497</v>
      </c>
      <c r="E2311" t="s">
        <v>415</v>
      </c>
      <c r="F2311" t="s">
        <v>1310</v>
      </c>
      <c r="G2311" t="s">
        <v>4403</v>
      </c>
      <c r="H2311" t="s">
        <v>6897</v>
      </c>
      <c r="I2311" t="s">
        <v>8169</v>
      </c>
      <c r="J2311" t="s">
        <v>9067</v>
      </c>
      <c r="K2311">
        <v>10030</v>
      </c>
      <c r="L2311" t="s">
        <v>9094</v>
      </c>
      <c r="M2311" t="s">
        <v>9095</v>
      </c>
      <c r="N2311" t="s">
        <v>10021</v>
      </c>
      <c r="O2311" t="s">
        <v>11128</v>
      </c>
      <c r="P2311" t="s">
        <v>11164</v>
      </c>
      <c r="Q2311" t="s">
        <v>11172</v>
      </c>
      <c r="R2311" t="s">
        <v>11180</v>
      </c>
      <c r="S2311" t="s">
        <v>9096</v>
      </c>
      <c r="T2311" t="s">
        <v>11183</v>
      </c>
      <c r="U2311" t="s">
        <v>11201</v>
      </c>
      <c r="V2311" t="s">
        <v>497</v>
      </c>
      <c r="W2311">
        <v>0</v>
      </c>
      <c r="X2311" t="s">
        <v>11335</v>
      </c>
      <c r="Y2311" t="s">
        <v>11336</v>
      </c>
      <c r="Z2311" t="s">
        <v>12941</v>
      </c>
      <c r="AB2311" t="s">
        <v>17307</v>
      </c>
      <c r="AC2311">
        <v>18</v>
      </c>
      <c r="AD2311" t="s">
        <v>19566</v>
      </c>
      <c r="AE2311" t="s">
        <v>9144</v>
      </c>
      <c r="AF2311">
        <v>8</v>
      </c>
      <c r="AG2311">
        <v>1</v>
      </c>
      <c r="AH2311">
        <v>0</v>
      </c>
      <c r="AI2311">
        <v>80.90000000000001</v>
      </c>
      <c r="AL2311" t="s">
        <v>19614</v>
      </c>
      <c r="AM2311">
        <v>10104</v>
      </c>
      <c r="AS2311">
        <v>1.75</v>
      </c>
      <c r="AT2311" t="s">
        <v>372</v>
      </c>
      <c r="AU2311" t="s">
        <v>20657</v>
      </c>
      <c r="AV2311" t="s">
        <v>20733</v>
      </c>
    </row>
    <row r="2312" spans="1:48">
      <c r="A2312" s="1">
        <f>HYPERLINK("https://lsnyc.legalserver.org/matter/dynamic-profile/view/1860641","18-1860641")</f>
        <v>0</v>
      </c>
      <c r="B2312" t="s">
        <v>101</v>
      </c>
      <c r="C2312" t="s">
        <v>256</v>
      </c>
      <c r="D2312" t="s">
        <v>683</v>
      </c>
      <c r="F2312" t="s">
        <v>1986</v>
      </c>
      <c r="G2312" t="s">
        <v>4174</v>
      </c>
      <c r="H2312" t="s">
        <v>5890</v>
      </c>
      <c r="I2312" t="s">
        <v>8496</v>
      </c>
      <c r="J2312" t="s">
        <v>9065</v>
      </c>
      <c r="K2312">
        <v>10453</v>
      </c>
      <c r="L2312" t="s">
        <v>9094</v>
      </c>
      <c r="M2312" t="s">
        <v>9095</v>
      </c>
      <c r="N2312" t="s">
        <v>9242</v>
      </c>
      <c r="O2312" t="s">
        <v>11130</v>
      </c>
      <c r="P2312" t="s">
        <v>11165</v>
      </c>
      <c r="R2312" t="s">
        <v>11180</v>
      </c>
      <c r="S2312" t="s">
        <v>9094</v>
      </c>
      <c r="T2312" t="s">
        <v>11183</v>
      </c>
      <c r="V2312" t="s">
        <v>874</v>
      </c>
      <c r="W2312">
        <v>1010</v>
      </c>
      <c r="X2312" t="s">
        <v>11333</v>
      </c>
      <c r="Y2312" t="s">
        <v>11338</v>
      </c>
      <c r="Z2312" t="s">
        <v>12569</v>
      </c>
      <c r="AA2312" t="s">
        <v>15676</v>
      </c>
      <c r="AB2312" t="s">
        <v>16962</v>
      </c>
      <c r="AC2312">
        <v>46</v>
      </c>
      <c r="AD2312" t="s">
        <v>19566</v>
      </c>
      <c r="AE2312" t="s">
        <v>19582</v>
      </c>
      <c r="AF2312">
        <v>5</v>
      </c>
      <c r="AG2312">
        <v>1</v>
      </c>
      <c r="AH2312">
        <v>2</v>
      </c>
      <c r="AI2312">
        <v>80.95999999999999</v>
      </c>
      <c r="AL2312" t="s">
        <v>19614</v>
      </c>
      <c r="AM2312">
        <v>16824</v>
      </c>
      <c r="AS2312">
        <v>127.4</v>
      </c>
      <c r="AT2312" t="s">
        <v>330</v>
      </c>
      <c r="AU2312" t="s">
        <v>101</v>
      </c>
    </row>
    <row r="2313" spans="1:48">
      <c r="A2313" s="1">
        <f>HYPERLINK("https://lsnyc.legalserver.org/matter/dynamic-profile/view/1863498","18-1863498")</f>
        <v>0</v>
      </c>
      <c r="B2313" t="s">
        <v>86</v>
      </c>
      <c r="C2313" t="s">
        <v>256</v>
      </c>
      <c r="D2313" t="s">
        <v>356</v>
      </c>
      <c r="F2313" t="s">
        <v>1646</v>
      </c>
      <c r="G2313" t="s">
        <v>2303</v>
      </c>
      <c r="H2313" t="s">
        <v>5778</v>
      </c>
      <c r="I2313" t="s">
        <v>8153</v>
      </c>
      <c r="J2313" t="s">
        <v>9059</v>
      </c>
      <c r="K2313">
        <v>11226</v>
      </c>
      <c r="L2313" t="s">
        <v>9094</v>
      </c>
      <c r="M2313" t="s">
        <v>9094</v>
      </c>
      <c r="O2313" t="s">
        <v>11136</v>
      </c>
      <c r="P2313" t="s">
        <v>11166</v>
      </c>
      <c r="R2313" t="s">
        <v>11180</v>
      </c>
      <c r="S2313" t="s">
        <v>9094</v>
      </c>
      <c r="T2313" t="s">
        <v>11183</v>
      </c>
      <c r="V2313" t="s">
        <v>723</v>
      </c>
      <c r="W2313">
        <v>1825</v>
      </c>
      <c r="X2313" t="s">
        <v>11332</v>
      </c>
      <c r="Y2313" t="s">
        <v>11340</v>
      </c>
      <c r="Z2313" t="s">
        <v>12942</v>
      </c>
      <c r="AA2313" t="s">
        <v>15677</v>
      </c>
      <c r="AC2313">
        <v>65</v>
      </c>
      <c r="AE2313" t="s">
        <v>19580</v>
      </c>
      <c r="AF2313">
        <v>31</v>
      </c>
      <c r="AG2313">
        <v>1</v>
      </c>
      <c r="AH2313">
        <v>2</v>
      </c>
      <c r="AI2313">
        <v>81.02</v>
      </c>
      <c r="AL2313" t="s">
        <v>19614</v>
      </c>
      <c r="AM2313">
        <v>22512</v>
      </c>
      <c r="AS2313">
        <v>3</v>
      </c>
      <c r="AT2313" t="s">
        <v>314</v>
      </c>
      <c r="AU2313" t="s">
        <v>20630</v>
      </c>
    </row>
    <row r="2314" spans="1:48">
      <c r="A2314" s="1">
        <f>HYPERLINK("https://lsnyc.legalserver.org/matter/dynamic-profile/view/1885507","18-1885507")</f>
        <v>0</v>
      </c>
      <c r="B2314" t="s">
        <v>115</v>
      </c>
      <c r="C2314" t="s">
        <v>256</v>
      </c>
      <c r="D2314" t="s">
        <v>685</v>
      </c>
      <c r="F2314" t="s">
        <v>1332</v>
      </c>
      <c r="G2314" t="s">
        <v>4322</v>
      </c>
      <c r="H2314" t="s">
        <v>6041</v>
      </c>
      <c r="I2314" t="s">
        <v>8595</v>
      </c>
      <c r="J2314" t="s">
        <v>9065</v>
      </c>
      <c r="K2314">
        <v>10452</v>
      </c>
      <c r="L2314" t="s">
        <v>9094</v>
      </c>
      <c r="M2314" t="s">
        <v>9094</v>
      </c>
      <c r="N2314" t="s">
        <v>10022</v>
      </c>
      <c r="O2314" t="s">
        <v>11130</v>
      </c>
      <c r="P2314" t="s">
        <v>11165</v>
      </c>
      <c r="R2314" t="s">
        <v>11180</v>
      </c>
      <c r="S2314" t="s">
        <v>9094</v>
      </c>
      <c r="T2314" t="s">
        <v>11183</v>
      </c>
      <c r="V2314" t="s">
        <v>739</v>
      </c>
      <c r="W2314">
        <v>1063</v>
      </c>
      <c r="X2314" t="s">
        <v>11333</v>
      </c>
      <c r="Y2314" t="s">
        <v>11340</v>
      </c>
      <c r="Z2314" t="s">
        <v>12943</v>
      </c>
      <c r="AB2314" t="s">
        <v>17308</v>
      </c>
      <c r="AC2314">
        <v>63</v>
      </c>
      <c r="AD2314" t="s">
        <v>19566</v>
      </c>
      <c r="AE2314" t="s">
        <v>19588</v>
      </c>
      <c r="AF2314">
        <v>22</v>
      </c>
      <c r="AG2314">
        <v>1</v>
      </c>
      <c r="AH2314">
        <v>0</v>
      </c>
      <c r="AI2314">
        <v>81.05</v>
      </c>
      <c r="AL2314" t="s">
        <v>19615</v>
      </c>
      <c r="AM2314">
        <v>9840</v>
      </c>
      <c r="AS2314">
        <v>29.1</v>
      </c>
      <c r="AT2314" t="s">
        <v>791</v>
      </c>
      <c r="AU2314" t="s">
        <v>163</v>
      </c>
    </row>
    <row r="2315" spans="1:48">
      <c r="A2315" s="1">
        <f>HYPERLINK("https://lsnyc.legalserver.org/matter/dynamic-profile/view/1879909","18-1879909")</f>
        <v>0</v>
      </c>
      <c r="B2315" t="s">
        <v>139</v>
      </c>
      <c r="C2315" t="s">
        <v>256</v>
      </c>
      <c r="D2315" t="s">
        <v>313</v>
      </c>
      <c r="F2315" t="s">
        <v>2071</v>
      </c>
      <c r="G2315" t="s">
        <v>3354</v>
      </c>
      <c r="H2315" t="s">
        <v>6363</v>
      </c>
      <c r="I2315" t="s">
        <v>8217</v>
      </c>
      <c r="J2315" t="s">
        <v>9067</v>
      </c>
      <c r="K2315">
        <v>10040</v>
      </c>
      <c r="L2315" t="s">
        <v>9094</v>
      </c>
      <c r="M2315" t="s">
        <v>9096</v>
      </c>
      <c r="O2315" t="s">
        <v>11134</v>
      </c>
      <c r="P2315" t="s">
        <v>11168</v>
      </c>
      <c r="R2315" t="s">
        <v>11180</v>
      </c>
      <c r="S2315" t="s">
        <v>9094</v>
      </c>
      <c r="T2315" t="s">
        <v>11183</v>
      </c>
      <c r="V2315" t="s">
        <v>313</v>
      </c>
      <c r="W2315">
        <v>959</v>
      </c>
      <c r="X2315" t="s">
        <v>11335</v>
      </c>
      <c r="Y2315" t="s">
        <v>11340</v>
      </c>
      <c r="Z2315" t="s">
        <v>12944</v>
      </c>
      <c r="AB2315" t="s">
        <v>17309</v>
      </c>
      <c r="AC2315">
        <v>88</v>
      </c>
      <c r="AD2315" t="s">
        <v>19566</v>
      </c>
      <c r="AE2315" t="s">
        <v>19587</v>
      </c>
      <c r="AF2315">
        <v>37</v>
      </c>
      <c r="AG2315">
        <v>1</v>
      </c>
      <c r="AH2315">
        <v>0</v>
      </c>
      <c r="AI2315">
        <v>81.05</v>
      </c>
      <c r="AL2315" t="s">
        <v>19615</v>
      </c>
      <c r="AM2315">
        <v>9840</v>
      </c>
      <c r="AS2315">
        <v>0</v>
      </c>
      <c r="AU2315" t="s">
        <v>130</v>
      </c>
    </row>
    <row r="2316" spans="1:48">
      <c r="A2316" s="1">
        <f>HYPERLINK("https://lsnyc.legalserver.org/matter/dynamic-profile/view/1863774","18-1863774")</f>
        <v>0</v>
      </c>
      <c r="B2316" t="s">
        <v>141</v>
      </c>
      <c r="C2316" t="s">
        <v>256</v>
      </c>
      <c r="D2316" t="s">
        <v>504</v>
      </c>
      <c r="F2316" t="s">
        <v>1146</v>
      </c>
      <c r="G2316" t="s">
        <v>3583</v>
      </c>
      <c r="H2316" t="s">
        <v>5952</v>
      </c>
      <c r="I2316" t="s">
        <v>8197</v>
      </c>
      <c r="J2316" t="s">
        <v>9067</v>
      </c>
      <c r="K2316">
        <v>10033</v>
      </c>
      <c r="L2316" t="s">
        <v>9094</v>
      </c>
      <c r="M2316" t="s">
        <v>9095</v>
      </c>
      <c r="N2316" t="s">
        <v>10023</v>
      </c>
      <c r="O2316" t="s">
        <v>11135</v>
      </c>
      <c r="P2316" t="s">
        <v>11165</v>
      </c>
      <c r="R2316" t="s">
        <v>11180</v>
      </c>
      <c r="S2316" t="s">
        <v>9094</v>
      </c>
      <c r="T2316" t="s">
        <v>11183</v>
      </c>
      <c r="V2316" t="s">
        <v>504</v>
      </c>
      <c r="W2316">
        <v>778</v>
      </c>
      <c r="X2316" t="s">
        <v>11335</v>
      </c>
      <c r="Y2316" t="s">
        <v>11340</v>
      </c>
      <c r="Z2316" t="s">
        <v>12945</v>
      </c>
      <c r="AB2316" t="s">
        <v>17310</v>
      </c>
      <c r="AC2316">
        <v>24</v>
      </c>
      <c r="AD2316" t="s">
        <v>19566</v>
      </c>
      <c r="AE2316" t="s">
        <v>9144</v>
      </c>
      <c r="AF2316">
        <v>43</v>
      </c>
      <c r="AG2316">
        <v>1</v>
      </c>
      <c r="AH2316">
        <v>0</v>
      </c>
      <c r="AI2316">
        <v>81.05</v>
      </c>
      <c r="AJ2316" t="s">
        <v>973</v>
      </c>
      <c r="AL2316" t="s">
        <v>19615</v>
      </c>
      <c r="AM2316">
        <v>9840</v>
      </c>
      <c r="AS2316">
        <v>0</v>
      </c>
      <c r="AU2316" t="s">
        <v>130</v>
      </c>
    </row>
    <row r="2317" spans="1:48">
      <c r="A2317" s="1">
        <f>HYPERLINK("https://lsnyc.legalserver.org/matter/dynamic-profile/view/1863789","18-1863789")</f>
        <v>0</v>
      </c>
      <c r="B2317" t="s">
        <v>141</v>
      </c>
      <c r="C2317" t="s">
        <v>256</v>
      </c>
      <c r="D2317" t="s">
        <v>504</v>
      </c>
      <c r="F2317" t="s">
        <v>1341</v>
      </c>
      <c r="G2317" t="s">
        <v>4398</v>
      </c>
      <c r="H2317" t="s">
        <v>5952</v>
      </c>
      <c r="I2317" t="s">
        <v>8171</v>
      </c>
      <c r="J2317" t="s">
        <v>9067</v>
      </c>
      <c r="K2317">
        <v>10033</v>
      </c>
      <c r="L2317" t="s">
        <v>9094</v>
      </c>
      <c r="M2317" t="s">
        <v>9095</v>
      </c>
      <c r="O2317" t="s">
        <v>11135</v>
      </c>
      <c r="P2317" t="s">
        <v>11168</v>
      </c>
      <c r="R2317" t="s">
        <v>11180</v>
      </c>
      <c r="S2317" t="s">
        <v>9094</v>
      </c>
      <c r="T2317" t="s">
        <v>11183</v>
      </c>
      <c r="V2317" t="s">
        <v>504</v>
      </c>
      <c r="W2317">
        <v>310</v>
      </c>
      <c r="X2317" t="s">
        <v>11335</v>
      </c>
      <c r="Y2317" t="s">
        <v>11340</v>
      </c>
      <c r="Z2317" t="s">
        <v>12946</v>
      </c>
      <c r="AB2317" t="s">
        <v>17311</v>
      </c>
      <c r="AC2317">
        <v>20</v>
      </c>
      <c r="AD2317" t="s">
        <v>19566</v>
      </c>
      <c r="AE2317" t="s">
        <v>9144</v>
      </c>
      <c r="AF2317">
        <v>20</v>
      </c>
      <c r="AG2317">
        <v>1</v>
      </c>
      <c r="AH2317">
        <v>0</v>
      </c>
      <c r="AI2317">
        <v>81.05</v>
      </c>
      <c r="AJ2317" t="s">
        <v>973</v>
      </c>
      <c r="AL2317" t="s">
        <v>19615</v>
      </c>
      <c r="AM2317">
        <v>9840</v>
      </c>
      <c r="AS2317">
        <v>0</v>
      </c>
      <c r="AU2317" t="s">
        <v>130</v>
      </c>
    </row>
    <row r="2318" spans="1:48">
      <c r="A2318" s="1">
        <f>HYPERLINK("https://lsnyc.legalserver.org/matter/dynamic-profile/view/1863764","18-1863764")</f>
        <v>0</v>
      </c>
      <c r="B2318" t="s">
        <v>136</v>
      </c>
      <c r="C2318" t="s">
        <v>256</v>
      </c>
      <c r="D2318" t="s">
        <v>504</v>
      </c>
      <c r="F2318" t="s">
        <v>1146</v>
      </c>
      <c r="G2318" t="s">
        <v>4404</v>
      </c>
      <c r="H2318" t="s">
        <v>5961</v>
      </c>
      <c r="I2318">
        <v>714</v>
      </c>
      <c r="J2318" t="s">
        <v>9067</v>
      </c>
      <c r="K2318">
        <v>10029</v>
      </c>
      <c r="L2318" t="s">
        <v>9094</v>
      </c>
      <c r="M2318" t="s">
        <v>9094</v>
      </c>
      <c r="N2318" t="s">
        <v>9287</v>
      </c>
      <c r="O2318" t="s">
        <v>11130</v>
      </c>
      <c r="P2318" t="s">
        <v>11165</v>
      </c>
      <c r="R2318" t="s">
        <v>11180</v>
      </c>
      <c r="S2318" t="s">
        <v>9094</v>
      </c>
      <c r="T2318" t="s">
        <v>11183</v>
      </c>
      <c r="U2318" t="s">
        <v>11201</v>
      </c>
      <c r="V2318" t="s">
        <v>651</v>
      </c>
      <c r="W2318">
        <v>0</v>
      </c>
      <c r="X2318" t="s">
        <v>11335</v>
      </c>
      <c r="Y2318" t="s">
        <v>11339</v>
      </c>
      <c r="Z2318" t="s">
        <v>12947</v>
      </c>
      <c r="AC2318">
        <v>108</v>
      </c>
      <c r="AD2318" t="s">
        <v>19567</v>
      </c>
      <c r="AE2318" t="s">
        <v>19580</v>
      </c>
      <c r="AF2318">
        <v>28</v>
      </c>
      <c r="AG2318">
        <v>1</v>
      </c>
      <c r="AH2318">
        <v>0</v>
      </c>
      <c r="AI2318">
        <v>81.05</v>
      </c>
      <c r="AL2318" t="s">
        <v>19614</v>
      </c>
      <c r="AM2318">
        <v>9840</v>
      </c>
      <c r="AS2318">
        <v>0.35</v>
      </c>
      <c r="AT2318" t="s">
        <v>784</v>
      </c>
      <c r="AU2318" t="s">
        <v>20657</v>
      </c>
    </row>
    <row r="2319" spans="1:48">
      <c r="A2319" s="1">
        <f>HYPERLINK("https://lsnyc.legalserver.org/matter/dynamic-profile/view/1890347","19-1890347")</f>
        <v>0</v>
      </c>
      <c r="B2319" t="s">
        <v>99</v>
      </c>
      <c r="C2319" t="s">
        <v>257</v>
      </c>
      <c r="D2319" t="s">
        <v>633</v>
      </c>
      <c r="E2319" t="s">
        <v>728</v>
      </c>
      <c r="F2319" t="s">
        <v>1491</v>
      </c>
      <c r="G2319" t="s">
        <v>4357</v>
      </c>
      <c r="H2319" t="s">
        <v>5899</v>
      </c>
      <c r="I2319" t="s">
        <v>8266</v>
      </c>
      <c r="J2319" t="s">
        <v>9065</v>
      </c>
      <c r="K2319">
        <v>10452</v>
      </c>
      <c r="L2319" t="s">
        <v>9094</v>
      </c>
      <c r="M2319" t="s">
        <v>9094</v>
      </c>
      <c r="O2319" t="s">
        <v>9121</v>
      </c>
      <c r="P2319" t="s">
        <v>11167</v>
      </c>
      <c r="Q2319" t="s">
        <v>11173</v>
      </c>
      <c r="R2319" t="s">
        <v>11180</v>
      </c>
      <c r="S2319" t="s">
        <v>9096</v>
      </c>
      <c r="T2319" t="s">
        <v>11183</v>
      </c>
      <c r="V2319" t="s">
        <v>633</v>
      </c>
      <c r="W2319">
        <v>1743.88</v>
      </c>
      <c r="X2319" t="s">
        <v>11333</v>
      </c>
      <c r="Y2319" t="s">
        <v>11346</v>
      </c>
      <c r="Z2319" t="s">
        <v>11431</v>
      </c>
      <c r="AC2319">
        <v>63</v>
      </c>
      <c r="AD2319" t="s">
        <v>19566</v>
      </c>
      <c r="AE2319" t="s">
        <v>19580</v>
      </c>
      <c r="AF2319">
        <v>28</v>
      </c>
      <c r="AG2319">
        <v>1</v>
      </c>
      <c r="AH2319">
        <v>0</v>
      </c>
      <c r="AI2319">
        <v>81.09</v>
      </c>
      <c r="AL2319" t="s">
        <v>19615</v>
      </c>
      <c r="AM2319">
        <v>10128</v>
      </c>
      <c r="AS2319">
        <v>1.4</v>
      </c>
      <c r="AT2319" t="s">
        <v>728</v>
      </c>
      <c r="AU2319" t="s">
        <v>99</v>
      </c>
    </row>
    <row r="2320" spans="1:48">
      <c r="A2320" s="1">
        <f>HYPERLINK("https://lsnyc.legalserver.org/matter/dynamic-profile/view/1855977","18-1855977")</f>
        <v>0</v>
      </c>
      <c r="B2320" t="s">
        <v>113</v>
      </c>
      <c r="C2320" t="s">
        <v>256</v>
      </c>
      <c r="D2320" t="s">
        <v>898</v>
      </c>
      <c r="F2320" t="s">
        <v>1687</v>
      </c>
      <c r="G2320" t="s">
        <v>4405</v>
      </c>
      <c r="H2320" t="s">
        <v>6763</v>
      </c>
      <c r="I2320" t="s">
        <v>8223</v>
      </c>
      <c r="J2320" t="s">
        <v>9065</v>
      </c>
      <c r="K2320">
        <v>10452</v>
      </c>
      <c r="L2320" t="s">
        <v>9094</v>
      </c>
      <c r="M2320" t="s">
        <v>9095</v>
      </c>
      <c r="N2320" t="s">
        <v>10024</v>
      </c>
      <c r="O2320" t="s">
        <v>11129</v>
      </c>
      <c r="P2320" t="s">
        <v>11165</v>
      </c>
      <c r="R2320" t="s">
        <v>11180</v>
      </c>
      <c r="S2320" t="s">
        <v>9096</v>
      </c>
      <c r="T2320" t="s">
        <v>11183</v>
      </c>
      <c r="V2320" t="s">
        <v>853</v>
      </c>
      <c r="W2320">
        <v>838.84</v>
      </c>
      <c r="X2320" t="s">
        <v>11333</v>
      </c>
      <c r="Y2320" t="s">
        <v>11349</v>
      </c>
      <c r="Z2320" t="s">
        <v>12948</v>
      </c>
      <c r="AA2320" t="s">
        <v>15678</v>
      </c>
      <c r="AB2320" t="s">
        <v>17312</v>
      </c>
      <c r="AC2320">
        <v>120</v>
      </c>
      <c r="AD2320" t="s">
        <v>19566</v>
      </c>
      <c r="AE2320" t="s">
        <v>19585</v>
      </c>
      <c r="AF2320">
        <v>6</v>
      </c>
      <c r="AG2320">
        <v>1</v>
      </c>
      <c r="AH2320">
        <v>0</v>
      </c>
      <c r="AI2320">
        <v>81.09</v>
      </c>
      <c r="AL2320" t="s">
        <v>19614</v>
      </c>
      <c r="AM2320">
        <v>9780</v>
      </c>
      <c r="AN2320" t="s">
        <v>19699</v>
      </c>
      <c r="AR2320" t="s">
        <v>20492</v>
      </c>
      <c r="AS2320">
        <v>11.5</v>
      </c>
      <c r="AT2320" t="s">
        <v>470</v>
      </c>
      <c r="AU2320" t="s">
        <v>20661</v>
      </c>
    </row>
    <row r="2321" spans="1:48">
      <c r="A2321" s="1">
        <f>HYPERLINK("https://lsnyc.legalserver.org/matter/dynamic-profile/view/0799511","16-0799511")</f>
        <v>0</v>
      </c>
      <c r="B2321" t="s">
        <v>89</v>
      </c>
      <c r="C2321" t="s">
        <v>256</v>
      </c>
      <c r="D2321" t="s">
        <v>915</v>
      </c>
      <c r="F2321" t="s">
        <v>2024</v>
      </c>
      <c r="G2321" t="s">
        <v>3427</v>
      </c>
      <c r="H2321" t="s">
        <v>6898</v>
      </c>
      <c r="I2321" t="s">
        <v>8596</v>
      </c>
      <c r="J2321" t="s">
        <v>9059</v>
      </c>
      <c r="K2321">
        <v>11233</v>
      </c>
      <c r="L2321" t="s">
        <v>9095</v>
      </c>
      <c r="M2321" t="s">
        <v>9095</v>
      </c>
      <c r="N2321" t="s">
        <v>10025</v>
      </c>
      <c r="O2321" t="s">
        <v>11159</v>
      </c>
      <c r="P2321" t="s">
        <v>11165</v>
      </c>
      <c r="R2321" t="s">
        <v>11180</v>
      </c>
      <c r="T2321" t="s">
        <v>11183</v>
      </c>
      <c r="V2321" t="s">
        <v>830</v>
      </c>
      <c r="W2321">
        <v>450</v>
      </c>
      <c r="X2321" t="s">
        <v>11332</v>
      </c>
      <c r="Y2321" t="s">
        <v>11340</v>
      </c>
      <c r="Z2321" t="s">
        <v>12949</v>
      </c>
      <c r="AB2321" t="s">
        <v>17313</v>
      </c>
      <c r="AC2321">
        <v>0</v>
      </c>
      <c r="AD2321" t="s">
        <v>19566</v>
      </c>
      <c r="AF2321">
        <v>4</v>
      </c>
      <c r="AG2321">
        <v>1</v>
      </c>
      <c r="AH2321">
        <v>0</v>
      </c>
      <c r="AI2321">
        <v>81.11</v>
      </c>
      <c r="AL2321" t="s">
        <v>19614</v>
      </c>
      <c r="AM2321">
        <v>9636</v>
      </c>
      <c r="AS2321">
        <v>11.3</v>
      </c>
      <c r="AT2321" t="s">
        <v>703</v>
      </c>
      <c r="AU2321" t="s">
        <v>76</v>
      </c>
    </row>
    <row r="2322" spans="1:48">
      <c r="A2322" s="1">
        <f>HYPERLINK("https://lsnyc.legalserver.org/matter/dynamic-profile/view/1891702","19-1891702")</f>
        <v>0</v>
      </c>
      <c r="B2322" t="s">
        <v>70</v>
      </c>
      <c r="C2322" t="s">
        <v>256</v>
      </c>
      <c r="D2322" t="s">
        <v>788</v>
      </c>
      <c r="F2322" t="s">
        <v>1145</v>
      </c>
      <c r="G2322" t="s">
        <v>4406</v>
      </c>
      <c r="H2322" t="s">
        <v>5748</v>
      </c>
      <c r="I2322" t="s">
        <v>8597</v>
      </c>
      <c r="J2322" t="s">
        <v>9059</v>
      </c>
      <c r="K2322">
        <v>11233</v>
      </c>
      <c r="L2322" t="s">
        <v>9094</v>
      </c>
      <c r="M2322" t="s">
        <v>9094</v>
      </c>
      <c r="N2322" t="s">
        <v>9144</v>
      </c>
      <c r="O2322" t="s">
        <v>11137</v>
      </c>
      <c r="P2322" t="s">
        <v>11167</v>
      </c>
      <c r="R2322" t="s">
        <v>11180</v>
      </c>
      <c r="S2322" t="s">
        <v>9094</v>
      </c>
      <c r="T2322" t="s">
        <v>11183</v>
      </c>
      <c r="U2322" t="s">
        <v>11201</v>
      </c>
      <c r="V2322" t="s">
        <v>749</v>
      </c>
      <c r="W2322">
        <v>995.08</v>
      </c>
      <c r="X2322" t="s">
        <v>11332</v>
      </c>
      <c r="Z2322" t="s">
        <v>12950</v>
      </c>
      <c r="AA2322" t="s">
        <v>15679</v>
      </c>
      <c r="AB2322" t="s">
        <v>17314</v>
      </c>
      <c r="AC2322">
        <v>359</v>
      </c>
      <c r="AD2322" t="s">
        <v>19566</v>
      </c>
      <c r="AF2322">
        <v>16</v>
      </c>
      <c r="AG2322">
        <v>2</v>
      </c>
      <c r="AH2322">
        <v>0</v>
      </c>
      <c r="AI2322">
        <v>81.15000000000001</v>
      </c>
      <c r="AL2322" t="s">
        <v>19614</v>
      </c>
      <c r="AM2322">
        <v>13722.36</v>
      </c>
      <c r="AN2322" t="s">
        <v>19860</v>
      </c>
      <c r="AS2322">
        <v>128.7</v>
      </c>
      <c r="AT2322" t="s">
        <v>331</v>
      </c>
      <c r="AU2322" t="s">
        <v>95</v>
      </c>
    </row>
    <row r="2323" spans="1:48">
      <c r="A2323" s="1">
        <f>HYPERLINK("https://lsnyc.legalserver.org/matter/dynamic-profile/view/0825897","17-0825897")</f>
        <v>0</v>
      </c>
      <c r="B2323" t="s">
        <v>222</v>
      </c>
      <c r="C2323" t="s">
        <v>256</v>
      </c>
      <c r="D2323" t="s">
        <v>916</v>
      </c>
      <c r="F2323" t="s">
        <v>2186</v>
      </c>
      <c r="G2323" t="s">
        <v>1948</v>
      </c>
      <c r="H2323" t="s">
        <v>6899</v>
      </c>
      <c r="I2323" t="s">
        <v>8119</v>
      </c>
      <c r="J2323" t="s">
        <v>9067</v>
      </c>
      <c r="K2323">
        <v>10002</v>
      </c>
      <c r="L2323" t="s">
        <v>9094</v>
      </c>
      <c r="M2323" t="s">
        <v>9095</v>
      </c>
      <c r="N2323" t="s">
        <v>10026</v>
      </c>
      <c r="O2323" t="s">
        <v>11128</v>
      </c>
      <c r="P2323" t="s">
        <v>11165</v>
      </c>
      <c r="R2323" t="s">
        <v>11180</v>
      </c>
      <c r="T2323" t="s">
        <v>11183</v>
      </c>
      <c r="V2323" t="s">
        <v>795</v>
      </c>
      <c r="W2323">
        <v>879.29</v>
      </c>
      <c r="X2323" t="s">
        <v>11335</v>
      </c>
      <c r="Y2323" t="s">
        <v>11343</v>
      </c>
      <c r="Z2323" t="s">
        <v>12951</v>
      </c>
      <c r="AB2323" t="s">
        <v>17315</v>
      </c>
      <c r="AC2323">
        <v>0</v>
      </c>
      <c r="AD2323" t="s">
        <v>19566</v>
      </c>
      <c r="AE2323" t="s">
        <v>9144</v>
      </c>
      <c r="AF2323">
        <v>25</v>
      </c>
      <c r="AG2323">
        <v>2</v>
      </c>
      <c r="AH2323">
        <v>0</v>
      </c>
      <c r="AI2323">
        <v>81.15000000000001</v>
      </c>
      <c r="AL2323" t="s">
        <v>19614</v>
      </c>
      <c r="AM2323">
        <v>13000</v>
      </c>
      <c r="AS2323">
        <v>64.40000000000001</v>
      </c>
      <c r="AT2323" t="s">
        <v>395</v>
      </c>
      <c r="AU2323" t="s">
        <v>20707</v>
      </c>
    </row>
    <row r="2324" spans="1:48">
      <c r="A2324" s="1">
        <f>HYPERLINK("https://lsnyc.legalserver.org/matter/dynamic-profile/view/1910916","19-1910916")</f>
        <v>0</v>
      </c>
      <c r="B2324" t="s">
        <v>65</v>
      </c>
      <c r="C2324" t="s">
        <v>256</v>
      </c>
      <c r="D2324" t="s">
        <v>295</v>
      </c>
      <c r="F2324" t="s">
        <v>1362</v>
      </c>
      <c r="G2324" t="s">
        <v>4407</v>
      </c>
      <c r="H2324" t="s">
        <v>6900</v>
      </c>
      <c r="I2324" t="s">
        <v>8376</v>
      </c>
      <c r="J2324" t="s">
        <v>9059</v>
      </c>
      <c r="K2324">
        <v>11220</v>
      </c>
      <c r="L2324" t="s">
        <v>9094</v>
      </c>
      <c r="M2324" t="s">
        <v>9095</v>
      </c>
      <c r="O2324" t="s">
        <v>11130</v>
      </c>
      <c r="P2324" t="s">
        <v>11165</v>
      </c>
      <c r="R2324" t="s">
        <v>11180</v>
      </c>
      <c r="S2324" t="s">
        <v>9096</v>
      </c>
      <c r="T2324" t="s">
        <v>11183</v>
      </c>
      <c r="U2324" t="s">
        <v>11202</v>
      </c>
      <c r="V2324" t="s">
        <v>320</v>
      </c>
      <c r="W2324">
        <v>0</v>
      </c>
      <c r="X2324" t="s">
        <v>11332</v>
      </c>
      <c r="Y2324" t="s">
        <v>11345</v>
      </c>
      <c r="Z2324" t="s">
        <v>12952</v>
      </c>
      <c r="AB2324" t="s">
        <v>17316</v>
      </c>
      <c r="AC2324">
        <v>6</v>
      </c>
      <c r="AD2324" t="s">
        <v>19566</v>
      </c>
      <c r="AF2324">
        <v>66</v>
      </c>
      <c r="AG2324">
        <v>1</v>
      </c>
      <c r="AH2324">
        <v>0</v>
      </c>
      <c r="AI2324">
        <v>81.18000000000001</v>
      </c>
      <c r="AL2324" t="s">
        <v>19614</v>
      </c>
      <c r="AM2324">
        <v>10140</v>
      </c>
      <c r="AS2324">
        <v>49.9</v>
      </c>
      <c r="AT2324" t="s">
        <v>301</v>
      </c>
      <c r="AU2324" t="s">
        <v>65</v>
      </c>
      <c r="AV2324" t="s">
        <v>20733</v>
      </c>
    </row>
    <row r="2325" spans="1:48">
      <c r="A2325" s="1">
        <f>HYPERLINK("https://lsnyc.legalserver.org/matter/dynamic-profile/view/1911242","19-1911242")</f>
        <v>0</v>
      </c>
      <c r="B2325" t="s">
        <v>113</v>
      </c>
      <c r="C2325" t="s">
        <v>257</v>
      </c>
      <c r="D2325" t="s">
        <v>664</v>
      </c>
      <c r="E2325" t="s">
        <v>594</v>
      </c>
      <c r="F2325" t="s">
        <v>2187</v>
      </c>
      <c r="G2325" t="s">
        <v>4408</v>
      </c>
      <c r="H2325" t="s">
        <v>6901</v>
      </c>
      <c r="I2325" t="s">
        <v>8141</v>
      </c>
      <c r="J2325" t="s">
        <v>9065</v>
      </c>
      <c r="K2325">
        <v>10459</v>
      </c>
      <c r="L2325" t="s">
        <v>9094</v>
      </c>
      <c r="M2325" t="s">
        <v>9095</v>
      </c>
      <c r="O2325" t="s">
        <v>9121</v>
      </c>
      <c r="P2325" t="s">
        <v>11164</v>
      </c>
      <c r="Q2325" t="s">
        <v>11172</v>
      </c>
      <c r="R2325" t="s">
        <v>11180</v>
      </c>
      <c r="S2325" t="s">
        <v>9096</v>
      </c>
      <c r="T2325" t="s">
        <v>11183</v>
      </c>
      <c r="W2325">
        <v>171</v>
      </c>
      <c r="X2325" t="s">
        <v>11333</v>
      </c>
      <c r="Z2325" t="s">
        <v>12953</v>
      </c>
      <c r="AB2325" t="s">
        <v>17317</v>
      </c>
      <c r="AC2325">
        <v>4</v>
      </c>
      <c r="AD2325" t="s">
        <v>19567</v>
      </c>
      <c r="AE2325" t="s">
        <v>19580</v>
      </c>
      <c r="AF2325">
        <v>16</v>
      </c>
      <c r="AG2325">
        <v>1</v>
      </c>
      <c r="AH2325">
        <v>0</v>
      </c>
      <c r="AI2325">
        <v>81.18000000000001</v>
      </c>
      <c r="AL2325" t="s">
        <v>19615</v>
      </c>
      <c r="AM2325">
        <v>10140</v>
      </c>
      <c r="AS2325">
        <v>1.05</v>
      </c>
      <c r="AT2325" t="s">
        <v>594</v>
      </c>
      <c r="AU2325" t="s">
        <v>20635</v>
      </c>
      <c r="AV2325" t="s">
        <v>20733</v>
      </c>
    </row>
    <row r="2326" spans="1:48">
      <c r="A2326" s="1">
        <f>HYPERLINK("https://lsnyc.legalserver.org/matter/dynamic-profile/view/1876453","18-1876453")</f>
        <v>0</v>
      </c>
      <c r="B2326" t="s">
        <v>103</v>
      </c>
      <c r="C2326" t="s">
        <v>256</v>
      </c>
      <c r="D2326" t="s">
        <v>773</v>
      </c>
      <c r="F2326" t="s">
        <v>1329</v>
      </c>
      <c r="G2326" t="s">
        <v>4409</v>
      </c>
      <c r="H2326" t="s">
        <v>6413</v>
      </c>
      <c r="I2326" t="s">
        <v>8192</v>
      </c>
      <c r="J2326" t="s">
        <v>9065</v>
      </c>
      <c r="K2326">
        <v>10456</v>
      </c>
      <c r="L2326" t="s">
        <v>9094</v>
      </c>
      <c r="M2326" t="s">
        <v>9094</v>
      </c>
      <c r="N2326" t="s">
        <v>9960</v>
      </c>
      <c r="O2326" t="s">
        <v>11134</v>
      </c>
      <c r="P2326" t="s">
        <v>11168</v>
      </c>
      <c r="R2326" t="s">
        <v>11180</v>
      </c>
      <c r="S2326" t="s">
        <v>9094</v>
      </c>
      <c r="T2326" t="s">
        <v>11183</v>
      </c>
      <c r="V2326" t="s">
        <v>945</v>
      </c>
      <c r="W2326">
        <v>1243.51</v>
      </c>
      <c r="X2326" t="s">
        <v>11333</v>
      </c>
      <c r="Y2326" t="s">
        <v>11346</v>
      </c>
      <c r="Z2326" t="s">
        <v>12954</v>
      </c>
      <c r="AA2326" t="s">
        <v>15680</v>
      </c>
      <c r="AB2326" t="s">
        <v>17318</v>
      </c>
      <c r="AC2326">
        <v>61</v>
      </c>
      <c r="AD2326" t="s">
        <v>19566</v>
      </c>
      <c r="AE2326" t="s">
        <v>19580</v>
      </c>
      <c r="AF2326">
        <v>22</v>
      </c>
      <c r="AG2326">
        <v>1</v>
      </c>
      <c r="AH2326">
        <v>0</v>
      </c>
      <c r="AI2326">
        <v>81.25</v>
      </c>
      <c r="AL2326" t="s">
        <v>19614</v>
      </c>
      <c r="AM2326">
        <v>9864</v>
      </c>
      <c r="AS2326">
        <v>14.3</v>
      </c>
      <c r="AT2326" t="s">
        <v>454</v>
      </c>
      <c r="AU2326" t="s">
        <v>163</v>
      </c>
    </row>
    <row r="2327" spans="1:48">
      <c r="A2327" s="1">
        <f>HYPERLINK("https://lsnyc.legalserver.org/matter/dynamic-profile/view/1880585","18-1880585")</f>
        <v>0</v>
      </c>
      <c r="B2327" t="s">
        <v>103</v>
      </c>
      <c r="C2327" t="s">
        <v>256</v>
      </c>
      <c r="D2327" t="s">
        <v>477</v>
      </c>
      <c r="F2327" t="s">
        <v>1329</v>
      </c>
      <c r="G2327" t="s">
        <v>4409</v>
      </c>
      <c r="H2327" t="s">
        <v>6413</v>
      </c>
      <c r="I2327" t="s">
        <v>8192</v>
      </c>
      <c r="J2327" t="s">
        <v>9065</v>
      </c>
      <c r="K2327">
        <v>10456</v>
      </c>
      <c r="L2327" t="s">
        <v>9094</v>
      </c>
      <c r="M2327" t="s">
        <v>9094</v>
      </c>
      <c r="N2327" t="s">
        <v>9732</v>
      </c>
      <c r="O2327" t="s">
        <v>11134</v>
      </c>
      <c r="P2327" t="s">
        <v>11168</v>
      </c>
      <c r="R2327" t="s">
        <v>11180</v>
      </c>
      <c r="S2327" t="s">
        <v>9094</v>
      </c>
      <c r="T2327" t="s">
        <v>11183</v>
      </c>
      <c r="V2327" t="s">
        <v>617</v>
      </c>
      <c r="W2327">
        <v>1243.51</v>
      </c>
      <c r="X2327" t="s">
        <v>11333</v>
      </c>
      <c r="Y2327" t="s">
        <v>11346</v>
      </c>
      <c r="Z2327" t="s">
        <v>12954</v>
      </c>
      <c r="AA2327" t="s">
        <v>15680</v>
      </c>
      <c r="AB2327" t="s">
        <v>17318</v>
      </c>
      <c r="AC2327">
        <v>61</v>
      </c>
      <c r="AD2327" t="s">
        <v>19566</v>
      </c>
      <c r="AE2327" t="s">
        <v>19580</v>
      </c>
      <c r="AF2327">
        <v>22</v>
      </c>
      <c r="AG2327">
        <v>1</v>
      </c>
      <c r="AH2327">
        <v>0</v>
      </c>
      <c r="AI2327">
        <v>81.25</v>
      </c>
      <c r="AL2327" t="s">
        <v>19614</v>
      </c>
      <c r="AM2327">
        <v>9864</v>
      </c>
      <c r="AS2327">
        <v>10.2</v>
      </c>
      <c r="AT2327" t="s">
        <v>487</v>
      </c>
      <c r="AU2327" t="s">
        <v>20642</v>
      </c>
    </row>
    <row r="2328" spans="1:48">
      <c r="A2328" s="1">
        <f>HYPERLINK("https://lsnyc.legalserver.org/matter/dynamic-profile/view/1860321","18-1860321")</f>
        <v>0</v>
      </c>
      <c r="B2328" t="s">
        <v>141</v>
      </c>
      <c r="C2328" t="s">
        <v>256</v>
      </c>
      <c r="D2328" t="s">
        <v>364</v>
      </c>
      <c r="F2328" t="s">
        <v>1489</v>
      </c>
      <c r="G2328" t="s">
        <v>3593</v>
      </c>
      <c r="H2328" t="s">
        <v>6844</v>
      </c>
      <c r="I2328">
        <v>16</v>
      </c>
      <c r="J2328" t="s">
        <v>9067</v>
      </c>
      <c r="K2328">
        <v>10032</v>
      </c>
      <c r="L2328" t="s">
        <v>9094</v>
      </c>
      <c r="M2328" t="s">
        <v>9095</v>
      </c>
      <c r="N2328" t="s">
        <v>10027</v>
      </c>
      <c r="O2328" t="s">
        <v>11134</v>
      </c>
      <c r="P2328" t="s">
        <v>11168</v>
      </c>
      <c r="R2328" t="s">
        <v>11180</v>
      </c>
      <c r="S2328" t="s">
        <v>9096</v>
      </c>
      <c r="T2328" t="s">
        <v>11183</v>
      </c>
      <c r="V2328" t="s">
        <v>364</v>
      </c>
      <c r="W2328">
        <v>1142.3</v>
      </c>
      <c r="X2328" t="s">
        <v>11335</v>
      </c>
      <c r="Y2328" t="s">
        <v>11338</v>
      </c>
      <c r="Z2328" t="s">
        <v>11686</v>
      </c>
      <c r="AB2328" t="s">
        <v>17236</v>
      </c>
      <c r="AC2328">
        <v>20</v>
      </c>
      <c r="AD2328" t="s">
        <v>19566</v>
      </c>
      <c r="AE2328" t="s">
        <v>9144</v>
      </c>
      <c r="AF2328">
        <v>25</v>
      </c>
      <c r="AG2328">
        <v>3</v>
      </c>
      <c r="AH2328">
        <v>2</v>
      </c>
      <c r="AI2328">
        <v>81.31</v>
      </c>
      <c r="AL2328" t="s">
        <v>19615</v>
      </c>
      <c r="AM2328">
        <v>23400</v>
      </c>
      <c r="AS2328">
        <v>24</v>
      </c>
      <c r="AT2328" t="s">
        <v>648</v>
      </c>
      <c r="AU2328" t="s">
        <v>130</v>
      </c>
      <c r="AV2328" t="s">
        <v>20733</v>
      </c>
    </row>
    <row r="2329" spans="1:48">
      <c r="A2329" s="1">
        <f>HYPERLINK("https://lsnyc.legalserver.org/matter/dynamic-profile/view/1881019","18-1881019")</f>
        <v>0</v>
      </c>
      <c r="B2329" t="s">
        <v>111</v>
      </c>
      <c r="C2329" t="s">
        <v>256</v>
      </c>
      <c r="D2329" t="s">
        <v>917</v>
      </c>
      <c r="F2329" t="s">
        <v>1358</v>
      </c>
      <c r="G2329" t="s">
        <v>4410</v>
      </c>
      <c r="H2329" t="s">
        <v>6902</v>
      </c>
      <c r="I2329" t="s">
        <v>8149</v>
      </c>
      <c r="J2329" t="s">
        <v>9065</v>
      </c>
      <c r="K2329">
        <v>10453</v>
      </c>
      <c r="L2329" t="s">
        <v>9094</v>
      </c>
      <c r="M2329" t="s">
        <v>9094</v>
      </c>
      <c r="N2329" t="s">
        <v>10028</v>
      </c>
      <c r="O2329" t="s">
        <v>11129</v>
      </c>
      <c r="P2329" t="s">
        <v>11165</v>
      </c>
      <c r="R2329" t="s">
        <v>11180</v>
      </c>
      <c r="S2329" t="s">
        <v>9096</v>
      </c>
      <c r="T2329" t="s">
        <v>11183</v>
      </c>
      <c r="U2329" t="s">
        <v>11202</v>
      </c>
      <c r="V2329" t="s">
        <v>11218</v>
      </c>
      <c r="W2329">
        <v>1521</v>
      </c>
      <c r="X2329" t="s">
        <v>11333</v>
      </c>
      <c r="Y2329" t="s">
        <v>11157</v>
      </c>
      <c r="Z2329" t="s">
        <v>12955</v>
      </c>
      <c r="AA2329" t="s">
        <v>15681</v>
      </c>
      <c r="AB2329" t="s">
        <v>17319</v>
      </c>
      <c r="AC2329">
        <v>56</v>
      </c>
      <c r="AD2329" t="s">
        <v>15441</v>
      </c>
      <c r="AE2329" t="s">
        <v>9144</v>
      </c>
      <c r="AF2329">
        <v>7</v>
      </c>
      <c r="AG2329">
        <v>1</v>
      </c>
      <c r="AH2329">
        <v>2</v>
      </c>
      <c r="AI2329">
        <v>81.33</v>
      </c>
      <c r="AL2329" t="s">
        <v>19615</v>
      </c>
      <c r="AM2329">
        <v>16900</v>
      </c>
      <c r="AN2329" t="s">
        <v>19861</v>
      </c>
      <c r="AS2329">
        <v>20.14</v>
      </c>
      <c r="AT2329" t="s">
        <v>374</v>
      </c>
      <c r="AU2329" t="s">
        <v>20672</v>
      </c>
      <c r="AV2329" t="s">
        <v>20733</v>
      </c>
    </row>
    <row r="2330" spans="1:48">
      <c r="A2330" s="1">
        <f>HYPERLINK("https://lsnyc.legalserver.org/matter/dynamic-profile/view/1836398","17-1836398")</f>
        <v>0</v>
      </c>
      <c r="B2330" t="s">
        <v>140</v>
      </c>
      <c r="C2330" t="s">
        <v>256</v>
      </c>
      <c r="D2330" t="s">
        <v>913</v>
      </c>
      <c r="F2330" t="s">
        <v>1358</v>
      </c>
      <c r="G2330" t="s">
        <v>3364</v>
      </c>
      <c r="H2330" t="s">
        <v>5999</v>
      </c>
      <c r="I2330" t="s">
        <v>8308</v>
      </c>
      <c r="J2330" t="s">
        <v>9067</v>
      </c>
      <c r="K2330">
        <v>10040</v>
      </c>
      <c r="L2330" t="s">
        <v>9095</v>
      </c>
      <c r="M2330" t="s">
        <v>9095</v>
      </c>
      <c r="O2330" t="s">
        <v>11130</v>
      </c>
      <c r="P2330" t="s">
        <v>11168</v>
      </c>
      <c r="R2330" t="s">
        <v>11180</v>
      </c>
      <c r="S2330" t="s">
        <v>9094</v>
      </c>
      <c r="T2330" t="s">
        <v>11183</v>
      </c>
      <c r="V2330" t="s">
        <v>878</v>
      </c>
      <c r="W2330">
        <v>0</v>
      </c>
      <c r="X2330" t="s">
        <v>11335</v>
      </c>
      <c r="Y2330" t="s">
        <v>11339</v>
      </c>
      <c r="Z2330" t="s">
        <v>12393</v>
      </c>
      <c r="AB2330" t="s">
        <v>16805</v>
      </c>
      <c r="AC2330">
        <v>45</v>
      </c>
      <c r="AD2330" t="s">
        <v>19566</v>
      </c>
      <c r="AE2330" t="s">
        <v>9144</v>
      </c>
      <c r="AF2330">
        <v>35</v>
      </c>
      <c r="AG2330">
        <v>1</v>
      </c>
      <c r="AH2330">
        <v>0</v>
      </c>
      <c r="AI2330">
        <v>81.39</v>
      </c>
      <c r="AL2330" t="s">
        <v>19615</v>
      </c>
      <c r="AM2330">
        <v>9816</v>
      </c>
      <c r="AS2330">
        <v>2.46</v>
      </c>
      <c r="AT2330" t="s">
        <v>327</v>
      </c>
      <c r="AU2330" t="s">
        <v>20657</v>
      </c>
    </row>
    <row r="2331" spans="1:48">
      <c r="A2331" s="1">
        <f>HYPERLINK("https://lsnyc.legalserver.org/matter/dynamic-profile/view/1882312","18-1882312")</f>
        <v>0</v>
      </c>
      <c r="B2331" t="s">
        <v>83</v>
      </c>
      <c r="C2331" t="s">
        <v>256</v>
      </c>
      <c r="D2331" t="s">
        <v>691</v>
      </c>
      <c r="F2331" t="s">
        <v>2188</v>
      </c>
      <c r="G2331" t="s">
        <v>4411</v>
      </c>
      <c r="H2331" t="s">
        <v>6552</v>
      </c>
      <c r="I2331" t="s">
        <v>8119</v>
      </c>
      <c r="J2331" t="s">
        <v>9059</v>
      </c>
      <c r="K2331">
        <v>11220</v>
      </c>
      <c r="L2331" t="s">
        <v>9094</v>
      </c>
      <c r="M2331" t="s">
        <v>9094</v>
      </c>
      <c r="O2331" t="s">
        <v>11134</v>
      </c>
      <c r="P2331" t="s">
        <v>11168</v>
      </c>
      <c r="R2331" t="s">
        <v>11180</v>
      </c>
      <c r="S2331" t="s">
        <v>9094</v>
      </c>
      <c r="T2331" t="s">
        <v>11183</v>
      </c>
      <c r="V2331" t="s">
        <v>691</v>
      </c>
      <c r="W2331">
        <v>0</v>
      </c>
      <c r="X2331" t="s">
        <v>11332</v>
      </c>
      <c r="Z2331" t="s">
        <v>12956</v>
      </c>
      <c r="AB2331" t="s">
        <v>17320</v>
      </c>
      <c r="AC2331">
        <v>28</v>
      </c>
      <c r="AF2331">
        <v>0</v>
      </c>
      <c r="AG2331">
        <v>1</v>
      </c>
      <c r="AH2331">
        <v>0</v>
      </c>
      <c r="AI2331">
        <v>81.45</v>
      </c>
      <c r="AL2331" t="s">
        <v>19615</v>
      </c>
      <c r="AM2331">
        <v>9888</v>
      </c>
      <c r="AS2331">
        <v>1.2</v>
      </c>
      <c r="AT2331" t="s">
        <v>691</v>
      </c>
      <c r="AU2331" t="s">
        <v>168</v>
      </c>
    </row>
    <row r="2332" spans="1:48">
      <c r="A2332" s="1">
        <f>HYPERLINK("https://lsnyc.legalserver.org/matter/dynamic-profile/view/1888883","19-1888883")</f>
        <v>0</v>
      </c>
      <c r="B2332" t="s">
        <v>126</v>
      </c>
      <c r="C2332" t="s">
        <v>257</v>
      </c>
      <c r="D2332" t="s">
        <v>616</v>
      </c>
      <c r="E2332" t="s">
        <v>669</v>
      </c>
      <c r="F2332" t="s">
        <v>2189</v>
      </c>
      <c r="G2332" t="s">
        <v>3849</v>
      </c>
      <c r="H2332" t="s">
        <v>6903</v>
      </c>
      <c r="I2332" t="s">
        <v>8107</v>
      </c>
      <c r="J2332" t="s">
        <v>9066</v>
      </c>
      <c r="K2332">
        <v>10304</v>
      </c>
      <c r="L2332" t="s">
        <v>9094</v>
      </c>
      <c r="M2332" t="s">
        <v>9094</v>
      </c>
      <c r="N2332" t="s">
        <v>9144</v>
      </c>
      <c r="O2332" t="s">
        <v>11128</v>
      </c>
      <c r="P2332" t="s">
        <v>11166</v>
      </c>
      <c r="Q2332" t="s">
        <v>11176</v>
      </c>
      <c r="R2332" t="s">
        <v>11180</v>
      </c>
      <c r="S2332" t="s">
        <v>9096</v>
      </c>
      <c r="T2332" t="s">
        <v>11183</v>
      </c>
      <c r="U2332" t="s">
        <v>11201</v>
      </c>
      <c r="V2332" t="s">
        <v>316</v>
      </c>
      <c r="W2332">
        <v>1060</v>
      </c>
      <c r="X2332" t="s">
        <v>11334</v>
      </c>
      <c r="Y2332" t="s">
        <v>11157</v>
      </c>
      <c r="Z2332" t="s">
        <v>12957</v>
      </c>
      <c r="AB2332" t="s">
        <v>17321</v>
      </c>
      <c r="AC2332">
        <v>2</v>
      </c>
      <c r="AD2332" t="s">
        <v>19571</v>
      </c>
      <c r="AE2332" t="s">
        <v>19585</v>
      </c>
      <c r="AF2332">
        <v>4</v>
      </c>
      <c r="AG2332">
        <v>1</v>
      </c>
      <c r="AH2332">
        <v>0</v>
      </c>
      <c r="AI2332">
        <v>81.47</v>
      </c>
      <c r="AL2332" t="s">
        <v>19614</v>
      </c>
      <c r="AM2332">
        <v>10176</v>
      </c>
      <c r="AS2332">
        <v>9.9</v>
      </c>
      <c r="AT2332" t="s">
        <v>669</v>
      </c>
      <c r="AU2332" t="s">
        <v>20631</v>
      </c>
      <c r="AV2332" t="s">
        <v>20733</v>
      </c>
    </row>
    <row r="2333" spans="1:48">
      <c r="A2333" s="1">
        <f>HYPERLINK("https://lsnyc.legalserver.org/matter/dynamic-profile/view/1885402","18-1885402")</f>
        <v>0</v>
      </c>
      <c r="B2333" t="s">
        <v>111</v>
      </c>
      <c r="C2333" t="s">
        <v>256</v>
      </c>
      <c r="D2333" t="s">
        <v>848</v>
      </c>
      <c r="F2333" t="s">
        <v>1247</v>
      </c>
      <c r="G2333" t="s">
        <v>3448</v>
      </c>
      <c r="H2333" t="s">
        <v>6370</v>
      </c>
      <c r="I2333" t="s">
        <v>8164</v>
      </c>
      <c r="J2333" t="s">
        <v>9065</v>
      </c>
      <c r="K2333">
        <v>10463</v>
      </c>
      <c r="L2333" t="s">
        <v>9094</v>
      </c>
      <c r="M2333" t="s">
        <v>9094</v>
      </c>
      <c r="N2333" t="s">
        <v>9619</v>
      </c>
      <c r="O2333" t="s">
        <v>11130</v>
      </c>
      <c r="P2333" t="s">
        <v>11165</v>
      </c>
      <c r="R2333" t="s">
        <v>11180</v>
      </c>
      <c r="S2333" t="s">
        <v>9094</v>
      </c>
      <c r="T2333" t="s">
        <v>11183</v>
      </c>
      <c r="V2333" t="s">
        <v>738</v>
      </c>
      <c r="W2333">
        <v>644</v>
      </c>
      <c r="X2333" t="s">
        <v>11333</v>
      </c>
      <c r="Y2333" t="s">
        <v>11346</v>
      </c>
      <c r="Z2333" t="s">
        <v>12958</v>
      </c>
      <c r="AB2333" t="s">
        <v>17322</v>
      </c>
      <c r="AC2333">
        <v>55</v>
      </c>
      <c r="AD2333" t="s">
        <v>19569</v>
      </c>
      <c r="AE2333" t="s">
        <v>19587</v>
      </c>
      <c r="AF2333">
        <v>23</v>
      </c>
      <c r="AG2333">
        <v>1</v>
      </c>
      <c r="AH2333">
        <v>0</v>
      </c>
      <c r="AI2333">
        <v>81.55</v>
      </c>
      <c r="AL2333" t="s">
        <v>19615</v>
      </c>
      <c r="AM2333">
        <v>9900</v>
      </c>
      <c r="AS2333">
        <v>0</v>
      </c>
      <c r="AU2333" t="s">
        <v>20647</v>
      </c>
    </row>
    <row r="2334" spans="1:48">
      <c r="A2334" s="1">
        <f>HYPERLINK("https://lsnyc.legalserver.org/matter/dynamic-profile/view/1887528","19-1887528")</f>
        <v>0</v>
      </c>
      <c r="B2334" t="s">
        <v>103</v>
      </c>
      <c r="C2334" t="s">
        <v>256</v>
      </c>
      <c r="D2334" t="s">
        <v>604</v>
      </c>
      <c r="F2334" t="s">
        <v>1566</v>
      </c>
      <c r="G2334" t="s">
        <v>3220</v>
      </c>
      <c r="H2334" t="s">
        <v>5886</v>
      </c>
      <c r="I2334">
        <v>53</v>
      </c>
      <c r="J2334" t="s">
        <v>9065</v>
      </c>
      <c r="K2334">
        <v>10453</v>
      </c>
      <c r="L2334" t="s">
        <v>9094</v>
      </c>
      <c r="M2334" t="s">
        <v>9094</v>
      </c>
      <c r="N2334" t="s">
        <v>9238</v>
      </c>
      <c r="O2334" t="s">
        <v>11134</v>
      </c>
      <c r="P2334" t="s">
        <v>11168</v>
      </c>
      <c r="R2334" t="s">
        <v>11180</v>
      </c>
      <c r="S2334" t="s">
        <v>9094</v>
      </c>
      <c r="T2334" t="s">
        <v>11183</v>
      </c>
      <c r="V2334" t="s">
        <v>512</v>
      </c>
      <c r="W2334">
        <v>761.16</v>
      </c>
      <c r="X2334" t="s">
        <v>11333</v>
      </c>
      <c r="Y2334" t="s">
        <v>11339</v>
      </c>
      <c r="Z2334" t="s">
        <v>12959</v>
      </c>
      <c r="AB2334" t="s">
        <v>17323</v>
      </c>
      <c r="AC2334">
        <v>46</v>
      </c>
      <c r="AD2334" t="s">
        <v>19569</v>
      </c>
      <c r="AE2334" t="s">
        <v>19587</v>
      </c>
      <c r="AF2334">
        <v>38</v>
      </c>
      <c r="AG2334">
        <v>1</v>
      </c>
      <c r="AH2334">
        <v>0</v>
      </c>
      <c r="AI2334">
        <v>81.55</v>
      </c>
      <c r="AM2334">
        <v>9900</v>
      </c>
      <c r="AS2334">
        <v>0</v>
      </c>
      <c r="AU2334" t="s">
        <v>20647</v>
      </c>
    </row>
    <row r="2335" spans="1:48">
      <c r="A2335" s="1">
        <f>HYPERLINK("https://lsnyc.legalserver.org/matter/dynamic-profile/view/0793777","15-0793777")</f>
        <v>0</v>
      </c>
      <c r="B2335" t="s">
        <v>141</v>
      </c>
      <c r="C2335" t="s">
        <v>257</v>
      </c>
      <c r="D2335" t="s">
        <v>918</v>
      </c>
      <c r="E2335" t="s">
        <v>377</v>
      </c>
      <c r="F2335" t="s">
        <v>2190</v>
      </c>
      <c r="G2335" t="s">
        <v>3364</v>
      </c>
      <c r="H2335" t="s">
        <v>6904</v>
      </c>
      <c r="I2335" t="s">
        <v>8598</v>
      </c>
      <c r="J2335" t="s">
        <v>9067</v>
      </c>
      <c r="K2335">
        <v>10034</v>
      </c>
      <c r="L2335" t="s">
        <v>9096</v>
      </c>
      <c r="M2335" t="s">
        <v>9095</v>
      </c>
      <c r="O2335" t="s">
        <v>9121</v>
      </c>
      <c r="P2335" t="s">
        <v>11164</v>
      </c>
      <c r="Q2335" t="s">
        <v>11172</v>
      </c>
      <c r="R2335" t="s">
        <v>11180</v>
      </c>
      <c r="S2335" t="s">
        <v>9096</v>
      </c>
      <c r="T2335" t="s">
        <v>11183</v>
      </c>
      <c r="W2335">
        <v>692</v>
      </c>
      <c r="X2335" t="s">
        <v>11335</v>
      </c>
      <c r="Y2335" t="s">
        <v>11338</v>
      </c>
      <c r="Z2335" t="s">
        <v>12960</v>
      </c>
      <c r="AB2335" t="s">
        <v>17324</v>
      </c>
      <c r="AC2335">
        <v>46</v>
      </c>
      <c r="AD2335" t="s">
        <v>19566</v>
      </c>
      <c r="AF2335">
        <v>9</v>
      </c>
      <c r="AG2335">
        <v>1</v>
      </c>
      <c r="AH2335">
        <v>0</v>
      </c>
      <c r="AI2335">
        <v>81.56</v>
      </c>
      <c r="AL2335" t="s">
        <v>19615</v>
      </c>
      <c r="AM2335">
        <v>9600</v>
      </c>
      <c r="AS2335">
        <v>0.75</v>
      </c>
      <c r="AT2335" t="s">
        <v>918</v>
      </c>
      <c r="AU2335" t="s">
        <v>69</v>
      </c>
    </row>
    <row r="2336" spans="1:48">
      <c r="A2336" s="1">
        <f>HYPERLINK("https://lsnyc.legalserver.org/matter/dynamic-profile/view/1882154","18-1882154")</f>
        <v>0</v>
      </c>
      <c r="B2336" t="s">
        <v>76</v>
      </c>
      <c r="C2336" t="s">
        <v>256</v>
      </c>
      <c r="D2336" t="s">
        <v>697</v>
      </c>
      <c r="F2336" t="s">
        <v>2158</v>
      </c>
      <c r="G2336" t="s">
        <v>4376</v>
      </c>
      <c r="H2336" t="s">
        <v>6169</v>
      </c>
      <c r="I2336" t="s">
        <v>8156</v>
      </c>
      <c r="J2336" t="s">
        <v>9059</v>
      </c>
      <c r="K2336">
        <v>11213</v>
      </c>
      <c r="L2336" t="s">
        <v>9094</v>
      </c>
      <c r="M2336" t="s">
        <v>9094</v>
      </c>
      <c r="N2336" t="s">
        <v>9179</v>
      </c>
      <c r="O2336" t="s">
        <v>11130</v>
      </c>
      <c r="P2336" t="s">
        <v>11165</v>
      </c>
      <c r="R2336" t="s">
        <v>11180</v>
      </c>
      <c r="S2336" t="s">
        <v>9094</v>
      </c>
      <c r="T2336" t="s">
        <v>11183</v>
      </c>
      <c r="U2336" t="s">
        <v>11201</v>
      </c>
      <c r="V2336" t="s">
        <v>11265</v>
      </c>
      <c r="W2336">
        <v>606</v>
      </c>
      <c r="X2336" t="s">
        <v>11332</v>
      </c>
      <c r="Y2336" t="s">
        <v>11346</v>
      </c>
      <c r="Z2336" t="s">
        <v>12899</v>
      </c>
      <c r="AC2336">
        <v>35</v>
      </c>
      <c r="AD2336" t="s">
        <v>19566</v>
      </c>
      <c r="AE2336" t="s">
        <v>9144</v>
      </c>
      <c r="AF2336">
        <v>5</v>
      </c>
      <c r="AG2336">
        <v>2</v>
      </c>
      <c r="AH2336">
        <v>3</v>
      </c>
      <c r="AI2336">
        <v>81.58</v>
      </c>
      <c r="AK2336" t="s">
        <v>19613</v>
      </c>
      <c r="AL2336" t="s">
        <v>19614</v>
      </c>
      <c r="AM2336">
        <v>24000</v>
      </c>
      <c r="AS2336">
        <v>0.1</v>
      </c>
      <c r="AT2336" t="s">
        <v>283</v>
      </c>
      <c r="AU2336" t="s">
        <v>95</v>
      </c>
      <c r="AV2336" t="s">
        <v>20733</v>
      </c>
    </row>
    <row r="2337" spans="1:48">
      <c r="A2337" s="1">
        <f>HYPERLINK("https://lsnyc.legalserver.org/matter/dynamic-profile/view/1873452","18-1873452")</f>
        <v>0</v>
      </c>
      <c r="B2337" t="s">
        <v>72</v>
      </c>
      <c r="C2337" t="s">
        <v>256</v>
      </c>
      <c r="D2337" t="s">
        <v>919</v>
      </c>
      <c r="F2337" t="s">
        <v>2191</v>
      </c>
      <c r="G2337" t="s">
        <v>4412</v>
      </c>
      <c r="H2337" t="s">
        <v>5823</v>
      </c>
      <c r="I2337" t="s">
        <v>8216</v>
      </c>
      <c r="J2337" t="s">
        <v>9059</v>
      </c>
      <c r="K2337">
        <v>11208</v>
      </c>
      <c r="L2337" t="s">
        <v>9094</v>
      </c>
      <c r="M2337" t="s">
        <v>9094</v>
      </c>
      <c r="N2337" t="s">
        <v>10029</v>
      </c>
      <c r="O2337" t="s">
        <v>11129</v>
      </c>
      <c r="P2337" t="s">
        <v>11165</v>
      </c>
      <c r="R2337" t="s">
        <v>11180</v>
      </c>
      <c r="T2337" t="s">
        <v>11183</v>
      </c>
      <c r="V2337" t="s">
        <v>489</v>
      </c>
      <c r="W2337">
        <v>1020</v>
      </c>
      <c r="X2337" t="s">
        <v>11332</v>
      </c>
      <c r="Y2337" t="s">
        <v>11344</v>
      </c>
      <c r="Z2337" t="s">
        <v>12961</v>
      </c>
      <c r="AA2337" t="s">
        <v>15682</v>
      </c>
      <c r="AB2337" t="s">
        <v>17325</v>
      </c>
      <c r="AC2337">
        <v>20</v>
      </c>
      <c r="AE2337" t="s">
        <v>9144</v>
      </c>
      <c r="AF2337">
        <v>12</v>
      </c>
      <c r="AG2337">
        <v>4</v>
      </c>
      <c r="AH2337">
        <v>1</v>
      </c>
      <c r="AI2337">
        <v>81.58</v>
      </c>
      <c r="AL2337" t="s">
        <v>19614</v>
      </c>
      <c r="AM2337">
        <v>24000</v>
      </c>
      <c r="AS2337">
        <v>35.85</v>
      </c>
      <c r="AT2337" t="s">
        <v>297</v>
      </c>
      <c r="AU2337" t="s">
        <v>20626</v>
      </c>
    </row>
    <row r="2338" spans="1:48">
      <c r="A2338" s="1">
        <f>HYPERLINK("https://lsnyc.legalserver.org/matter/dynamic-profile/view/1860866","18-1860866")</f>
        <v>0</v>
      </c>
      <c r="B2338" t="s">
        <v>101</v>
      </c>
      <c r="C2338" t="s">
        <v>256</v>
      </c>
      <c r="D2338" t="s">
        <v>450</v>
      </c>
      <c r="F2338" t="s">
        <v>1231</v>
      </c>
      <c r="G2338" t="s">
        <v>3366</v>
      </c>
      <c r="H2338" t="s">
        <v>5890</v>
      </c>
      <c r="I2338" t="s">
        <v>8237</v>
      </c>
      <c r="J2338" t="s">
        <v>9065</v>
      </c>
      <c r="K2338">
        <v>10453</v>
      </c>
      <c r="L2338" t="s">
        <v>9094</v>
      </c>
      <c r="M2338" t="s">
        <v>9095</v>
      </c>
      <c r="N2338" t="s">
        <v>9242</v>
      </c>
      <c r="O2338" t="s">
        <v>11130</v>
      </c>
      <c r="P2338" t="s">
        <v>11165</v>
      </c>
      <c r="R2338" t="s">
        <v>11180</v>
      </c>
      <c r="S2338" t="s">
        <v>9094</v>
      </c>
      <c r="T2338" t="s">
        <v>11183</v>
      </c>
      <c r="V2338" t="s">
        <v>874</v>
      </c>
      <c r="W2338">
        <v>1000</v>
      </c>
      <c r="X2338" t="s">
        <v>11333</v>
      </c>
      <c r="Y2338" t="s">
        <v>11338</v>
      </c>
      <c r="Z2338" t="s">
        <v>12962</v>
      </c>
      <c r="AA2338" t="s">
        <v>15683</v>
      </c>
      <c r="AB2338" t="s">
        <v>17326</v>
      </c>
      <c r="AC2338">
        <v>46</v>
      </c>
      <c r="AD2338" t="s">
        <v>19566</v>
      </c>
      <c r="AE2338" t="s">
        <v>19581</v>
      </c>
      <c r="AF2338">
        <v>11</v>
      </c>
      <c r="AG2338">
        <v>2</v>
      </c>
      <c r="AH2338">
        <v>3</v>
      </c>
      <c r="AI2338">
        <v>81.58</v>
      </c>
      <c r="AL2338" t="s">
        <v>19614</v>
      </c>
      <c r="AM2338">
        <v>34092</v>
      </c>
      <c r="AS2338">
        <v>1.6</v>
      </c>
      <c r="AT2338" t="s">
        <v>350</v>
      </c>
      <c r="AU2338" t="s">
        <v>174</v>
      </c>
    </row>
    <row r="2339" spans="1:48">
      <c r="A2339" s="1">
        <f>HYPERLINK("https://lsnyc.legalserver.org/matter/dynamic-profile/view/1835851","17-1835851")</f>
        <v>0</v>
      </c>
      <c r="B2339" t="s">
        <v>111</v>
      </c>
      <c r="C2339" t="s">
        <v>256</v>
      </c>
      <c r="D2339" t="s">
        <v>920</v>
      </c>
      <c r="F2339" t="s">
        <v>1806</v>
      </c>
      <c r="G2339" t="s">
        <v>3699</v>
      </c>
      <c r="H2339" t="s">
        <v>6905</v>
      </c>
      <c r="I2339" t="s">
        <v>8119</v>
      </c>
      <c r="J2339" t="s">
        <v>9065</v>
      </c>
      <c r="K2339">
        <v>10452</v>
      </c>
      <c r="L2339" t="s">
        <v>9094</v>
      </c>
      <c r="M2339" t="s">
        <v>9095</v>
      </c>
      <c r="N2339" t="s">
        <v>10030</v>
      </c>
      <c r="O2339" t="s">
        <v>11128</v>
      </c>
      <c r="P2339" t="s">
        <v>11165</v>
      </c>
      <c r="R2339" t="s">
        <v>11180</v>
      </c>
      <c r="S2339" t="s">
        <v>9096</v>
      </c>
      <c r="T2339" t="s">
        <v>11183</v>
      </c>
      <c r="V2339" t="s">
        <v>1078</v>
      </c>
      <c r="W2339">
        <v>1000</v>
      </c>
      <c r="X2339" t="s">
        <v>11333</v>
      </c>
      <c r="Y2339" t="s">
        <v>11354</v>
      </c>
      <c r="Z2339" t="s">
        <v>12963</v>
      </c>
      <c r="AB2339" t="s">
        <v>17327</v>
      </c>
      <c r="AC2339">
        <v>60</v>
      </c>
      <c r="AD2339" t="s">
        <v>19566</v>
      </c>
      <c r="AE2339" t="s">
        <v>19580</v>
      </c>
      <c r="AF2339">
        <v>15</v>
      </c>
      <c r="AG2339">
        <v>1</v>
      </c>
      <c r="AH2339">
        <v>0</v>
      </c>
      <c r="AI2339">
        <v>81.59</v>
      </c>
      <c r="AL2339" t="s">
        <v>19615</v>
      </c>
      <c r="AM2339">
        <v>9840</v>
      </c>
      <c r="AR2339" t="s">
        <v>20405</v>
      </c>
      <c r="AS2339">
        <v>36.55</v>
      </c>
      <c r="AT2339" t="s">
        <v>485</v>
      </c>
      <c r="AU2339" t="s">
        <v>20627</v>
      </c>
    </row>
    <row r="2340" spans="1:48">
      <c r="A2340" s="1">
        <f>HYPERLINK("https://lsnyc.legalserver.org/matter/dynamic-profile/view/1835019","17-1835019")</f>
        <v>0</v>
      </c>
      <c r="B2340" t="s">
        <v>141</v>
      </c>
      <c r="C2340" t="s">
        <v>256</v>
      </c>
      <c r="D2340" t="s">
        <v>345</v>
      </c>
      <c r="F2340" t="s">
        <v>1146</v>
      </c>
      <c r="G2340" t="s">
        <v>3583</v>
      </c>
      <c r="H2340" t="s">
        <v>5952</v>
      </c>
      <c r="I2340" t="s">
        <v>8197</v>
      </c>
      <c r="J2340" t="s">
        <v>9067</v>
      </c>
      <c r="K2340">
        <v>10033</v>
      </c>
      <c r="L2340" t="s">
        <v>9094</v>
      </c>
      <c r="M2340" t="s">
        <v>9095</v>
      </c>
      <c r="O2340" t="s">
        <v>11135</v>
      </c>
      <c r="P2340" t="s">
        <v>11166</v>
      </c>
      <c r="R2340" t="s">
        <v>11180</v>
      </c>
      <c r="S2340" t="s">
        <v>9094</v>
      </c>
      <c r="T2340" t="s">
        <v>11183</v>
      </c>
      <c r="V2340" t="s">
        <v>537</v>
      </c>
      <c r="W2340">
        <v>778</v>
      </c>
      <c r="X2340" t="s">
        <v>11335</v>
      </c>
      <c r="Y2340" t="s">
        <v>11351</v>
      </c>
      <c r="Z2340" t="s">
        <v>12945</v>
      </c>
      <c r="AB2340" t="s">
        <v>17310</v>
      </c>
      <c r="AC2340">
        <v>24</v>
      </c>
      <c r="AD2340" t="s">
        <v>19566</v>
      </c>
      <c r="AF2340">
        <v>43</v>
      </c>
      <c r="AG2340">
        <v>1</v>
      </c>
      <c r="AH2340">
        <v>0</v>
      </c>
      <c r="AI2340">
        <v>81.59</v>
      </c>
      <c r="AJ2340" t="s">
        <v>973</v>
      </c>
      <c r="AL2340" t="s">
        <v>19615</v>
      </c>
      <c r="AM2340">
        <v>9840</v>
      </c>
      <c r="AS2340">
        <v>0</v>
      </c>
      <c r="AU2340" t="s">
        <v>141</v>
      </c>
    </row>
    <row r="2341" spans="1:48">
      <c r="A2341" s="1">
        <f>HYPERLINK("https://lsnyc.legalserver.org/matter/dynamic-profile/view/1834655","17-1834655")</f>
        <v>0</v>
      </c>
      <c r="B2341" t="s">
        <v>141</v>
      </c>
      <c r="C2341" t="s">
        <v>256</v>
      </c>
      <c r="D2341" t="s">
        <v>550</v>
      </c>
      <c r="F2341" t="s">
        <v>1341</v>
      </c>
      <c r="G2341" t="s">
        <v>4398</v>
      </c>
      <c r="H2341" t="s">
        <v>5952</v>
      </c>
      <c r="I2341" t="s">
        <v>8171</v>
      </c>
      <c r="J2341" t="s">
        <v>9067</v>
      </c>
      <c r="K2341">
        <v>10033</v>
      </c>
      <c r="L2341" t="s">
        <v>9094</v>
      </c>
      <c r="M2341" t="s">
        <v>9095</v>
      </c>
      <c r="N2341" t="s">
        <v>9685</v>
      </c>
      <c r="O2341" t="s">
        <v>9121</v>
      </c>
      <c r="P2341" t="s">
        <v>11166</v>
      </c>
      <c r="R2341" t="s">
        <v>11180</v>
      </c>
      <c r="S2341" t="s">
        <v>9094</v>
      </c>
      <c r="T2341" t="s">
        <v>11183</v>
      </c>
      <c r="V2341" t="s">
        <v>345</v>
      </c>
      <c r="W2341">
        <v>0</v>
      </c>
      <c r="X2341" t="s">
        <v>11335</v>
      </c>
      <c r="Y2341" t="s">
        <v>11339</v>
      </c>
      <c r="Z2341" t="s">
        <v>12946</v>
      </c>
      <c r="AB2341" t="s">
        <v>17311</v>
      </c>
      <c r="AC2341">
        <v>24</v>
      </c>
      <c r="AD2341" t="s">
        <v>19566</v>
      </c>
      <c r="AE2341" t="s">
        <v>19580</v>
      </c>
      <c r="AF2341">
        <v>20</v>
      </c>
      <c r="AG2341">
        <v>1</v>
      </c>
      <c r="AH2341">
        <v>0</v>
      </c>
      <c r="AI2341">
        <v>81.59</v>
      </c>
      <c r="AJ2341" t="s">
        <v>973</v>
      </c>
      <c r="AL2341" t="s">
        <v>19615</v>
      </c>
      <c r="AM2341">
        <v>9840</v>
      </c>
      <c r="AS2341">
        <v>0</v>
      </c>
      <c r="AU2341" t="s">
        <v>20657</v>
      </c>
    </row>
    <row r="2342" spans="1:48">
      <c r="A2342" s="1">
        <f>HYPERLINK("https://lsnyc.legalserver.org/matter/dynamic-profile/view/1885922","18-1885922")</f>
        <v>0</v>
      </c>
      <c r="B2342" t="s">
        <v>113</v>
      </c>
      <c r="C2342" t="s">
        <v>257</v>
      </c>
      <c r="D2342" t="s">
        <v>358</v>
      </c>
      <c r="E2342" t="s">
        <v>270</v>
      </c>
      <c r="F2342" t="s">
        <v>1755</v>
      </c>
      <c r="G2342" t="s">
        <v>4375</v>
      </c>
      <c r="H2342" t="s">
        <v>5864</v>
      </c>
      <c r="I2342" t="s">
        <v>8584</v>
      </c>
      <c r="J2342" t="s">
        <v>9065</v>
      </c>
      <c r="K2342">
        <v>10460</v>
      </c>
      <c r="L2342" t="s">
        <v>9094</v>
      </c>
      <c r="M2342" t="s">
        <v>9094</v>
      </c>
      <c r="N2342" t="s">
        <v>9222</v>
      </c>
      <c r="O2342" t="s">
        <v>11130</v>
      </c>
      <c r="P2342" t="s">
        <v>11165</v>
      </c>
      <c r="Q2342" t="s">
        <v>11174</v>
      </c>
      <c r="R2342" t="s">
        <v>11180</v>
      </c>
      <c r="S2342" t="s">
        <v>9094</v>
      </c>
      <c r="T2342" t="s">
        <v>11183</v>
      </c>
      <c r="V2342" t="s">
        <v>512</v>
      </c>
      <c r="W2342">
        <v>238</v>
      </c>
      <c r="X2342" t="s">
        <v>11333</v>
      </c>
      <c r="Y2342" t="s">
        <v>11346</v>
      </c>
      <c r="Z2342" t="s">
        <v>12897</v>
      </c>
      <c r="AA2342" t="s">
        <v>15666</v>
      </c>
      <c r="AB2342" t="s">
        <v>17267</v>
      </c>
      <c r="AC2342">
        <v>169</v>
      </c>
      <c r="AD2342" t="s">
        <v>19572</v>
      </c>
      <c r="AE2342" t="s">
        <v>19580</v>
      </c>
      <c r="AF2342">
        <v>24</v>
      </c>
      <c r="AG2342">
        <v>1</v>
      </c>
      <c r="AH2342">
        <v>0</v>
      </c>
      <c r="AI2342">
        <v>81.65000000000001</v>
      </c>
      <c r="AL2342" t="s">
        <v>19614</v>
      </c>
      <c r="AM2342">
        <v>9912</v>
      </c>
      <c r="AS2342">
        <v>0.75</v>
      </c>
      <c r="AT2342" t="s">
        <v>270</v>
      </c>
      <c r="AU2342" t="s">
        <v>158</v>
      </c>
    </row>
    <row r="2343" spans="1:48">
      <c r="A2343" s="1">
        <f>HYPERLINK("https://lsnyc.legalserver.org/matter/dynamic-profile/view/1867624","18-1867624")</f>
        <v>0</v>
      </c>
      <c r="B2343" t="s">
        <v>218</v>
      </c>
      <c r="C2343" t="s">
        <v>256</v>
      </c>
      <c r="D2343" t="s">
        <v>921</v>
      </c>
      <c r="F2343" t="s">
        <v>2105</v>
      </c>
      <c r="G2343" t="s">
        <v>3633</v>
      </c>
      <c r="H2343" t="s">
        <v>6906</v>
      </c>
      <c r="I2343">
        <v>18</v>
      </c>
      <c r="J2343" t="s">
        <v>9067</v>
      </c>
      <c r="K2343">
        <v>10035</v>
      </c>
      <c r="L2343" t="s">
        <v>9094</v>
      </c>
      <c r="M2343" t="s">
        <v>9094</v>
      </c>
      <c r="N2343" t="s">
        <v>10031</v>
      </c>
      <c r="O2343" t="s">
        <v>11129</v>
      </c>
      <c r="P2343" t="s">
        <v>11165</v>
      </c>
      <c r="R2343" t="s">
        <v>11180</v>
      </c>
      <c r="S2343" t="s">
        <v>9096</v>
      </c>
      <c r="T2343" t="s">
        <v>11183</v>
      </c>
      <c r="V2343" t="s">
        <v>921</v>
      </c>
      <c r="W2343">
        <v>1687.14</v>
      </c>
      <c r="X2343" t="s">
        <v>11335</v>
      </c>
      <c r="Y2343" t="s">
        <v>11338</v>
      </c>
      <c r="Z2343" t="s">
        <v>12964</v>
      </c>
      <c r="AB2343" t="s">
        <v>17328</v>
      </c>
      <c r="AC2343">
        <v>35</v>
      </c>
      <c r="AD2343" t="s">
        <v>19567</v>
      </c>
      <c r="AE2343" t="s">
        <v>19580</v>
      </c>
      <c r="AF2343">
        <v>18</v>
      </c>
      <c r="AG2343">
        <v>1</v>
      </c>
      <c r="AH2343">
        <v>0</v>
      </c>
      <c r="AI2343">
        <v>81.65000000000001</v>
      </c>
      <c r="AL2343" t="s">
        <v>19615</v>
      </c>
      <c r="AM2343">
        <v>9912</v>
      </c>
      <c r="AS2343">
        <v>73</v>
      </c>
      <c r="AT2343" t="s">
        <v>632</v>
      </c>
      <c r="AU2343" t="s">
        <v>20657</v>
      </c>
    </row>
    <row r="2344" spans="1:48">
      <c r="A2344" s="1">
        <f>HYPERLINK("https://lsnyc.legalserver.org/matter/dynamic-profile/view/1891056","19-1891056")</f>
        <v>0</v>
      </c>
      <c r="B2344" t="s">
        <v>71</v>
      </c>
      <c r="C2344" t="s">
        <v>256</v>
      </c>
      <c r="D2344" t="s">
        <v>554</v>
      </c>
      <c r="F2344" t="s">
        <v>1429</v>
      </c>
      <c r="G2344" t="s">
        <v>1260</v>
      </c>
      <c r="H2344" t="s">
        <v>6907</v>
      </c>
      <c r="J2344" t="s">
        <v>9059</v>
      </c>
      <c r="K2344">
        <v>11208</v>
      </c>
      <c r="L2344" t="s">
        <v>9094</v>
      </c>
      <c r="M2344" t="s">
        <v>9096</v>
      </c>
      <c r="N2344" t="s">
        <v>10032</v>
      </c>
      <c r="O2344" t="s">
        <v>11128</v>
      </c>
      <c r="P2344" t="s">
        <v>11165</v>
      </c>
      <c r="R2344" t="s">
        <v>11180</v>
      </c>
      <c r="S2344" t="s">
        <v>9096</v>
      </c>
      <c r="T2344" t="s">
        <v>11183</v>
      </c>
      <c r="U2344" t="s">
        <v>11199</v>
      </c>
      <c r="V2344" t="s">
        <v>394</v>
      </c>
      <c r="W2344">
        <v>1234</v>
      </c>
      <c r="X2344" t="s">
        <v>11332</v>
      </c>
      <c r="Y2344" t="s">
        <v>11352</v>
      </c>
      <c r="Z2344" t="s">
        <v>12965</v>
      </c>
      <c r="AB2344" t="s">
        <v>17329</v>
      </c>
      <c r="AC2344">
        <v>210</v>
      </c>
      <c r="AE2344" t="s">
        <v>9144</v>
      </c>
      <c r="AF2344">
        <v>5</v>
      </c>
      <c r="AG2344">
        <v>1</v>
      </c>
      <c r="AH2344">
        <v>0</v>
      </c>
      <c r="AI2344">
        <v>81.67</v>
      </c>
      <c r="AL2344" t="s">
        <v>19614</v>
      </c>
      <c r="AM2344">
        <v>10200</v>
      </c>
      <c r="AS2344">
        <v>19.2</v>
      </c>
      <c r="AT2344" t="s">
        <v>282</v>
      </c>
      <c r="AU2344" t="s">
        <v>79</v>
      </c>
      <c r="AV2344" t="s">
        <v>20733</v>
      </c>
    </row>
    <row r="2345" spans="1:48">
      <c r="A2345" s="1">
        <f>HYPERLINK("https://lsnyc.legalserver.org/matter/dynamic-profile/view/1893447","19-1893447")</f>
        <v>0</v>
      </c>
      <c r="B2345" t="s">
        <v>92</v>
      </c>
      <c r="C2345" t="s">
        <v>256</v>
      </c>
      <c r="D2345" t="s">
        <v>373</v>
      </c>
      <c r="F2345" t="s">
        <v>1145</v>
      </c>
      <c r="G2345" t="s">
        <v>3497</v>
      </c>
      <c r="H2345" t="s">
        <v>6908</v>
      </c>
      <c r="I2345" t="s">
        <v>8599</v>
      </c>
      <c r="J2345" t="s">
        <v>9059</v>
      </c>
      <c r="K2345">
        <v>11208</v>
      </c>
      <c r="L2345" t="s">
        <v>9094</v>
      </c>
      <c r="M2345" t="s">
        <v>9094</v>
      </c>
      <c r="O2345" t="s">
        <v>11137</v>
      </c>
      <c r="P2345" t="s">
        <v>11167</v>
      </c>
      <c r="R2345" t="s">
        <v>11180</v>
      </c>
      <c r="S2345" t="s">
        <v>9094</v>
      </c>
      <c r="T2345" t="s">
        <v>11183</v>
      </c>
      <c r="V2345" t="s">
        <v>589</v>
      </c>
      <c r="W2345">
        <v>400</v>
      </c>
      <c r="X2345" t="s">
        <v>11332</v>
      </c>
      <c r="Y2345" t="s">
        <v>11157</v>
      </c>
      <c r="Z2345" t="s">
        <v>12966</v>
      </c>
      <c r="AB2345" t="s">
        <v>17330</v>
      </c>
      <c r="AC2345">
        <v>9</v>
      </c>
      <c r="AE2345" t="s">
        <v>9144</v>
      </c>
      <c r="AF2345">
        <v>0</v>
      </c>
      <c r="AG2345">
        <v>1</v>
      </c>
      <c r="AH2345">
        <v>0</v>
      </c>
      <c r="AI2345">
        <v>81.67</v>
      </c>
      <c r="AL2345" t="s">
        <v>19614</v>
      </c>
      <c r="AM2345">
        <v>10200</v>
      </c>
      <c r="AS2345">
        <v>6.4</v>
      </c>
      <c r="AT2345" t="s">
        <v>270</v>
      </c>
      <c r="AU2345" t="s">
        <v>79</v>
      </c>
    </row>
    <row r="2346" spans="1:48">
      <c r="A2346" s="1">
        <f>HYPERLINK("https://lsnyc.legalserver.org/matter/dynamic-profile/view/1893451","19-1893451")</f>
        <v>0</v>
      </c>
      <c r="B2346" t="s">
        <v>92</v>
      </c>
      <c r="C2346" t="s">
        <v>257</v>
      </c>
      <c r="D2346" t="s">
        <v>373</v>
      </c>
      <c r="E2346" t="s">
        <v>270</v>
      </c>
      <c r="F2346" t="s">
        <v>1678</v>
      </c>
      <c r="G2346" t="s">
        <v>3364</v>
      </c>
      <c r="H2346" t="s">
        <v>6909</v>
      </c>
      <c r="J2346" t="s">
        <v>9059</v>
      </c>
      <c r="K2346">
        <v>11208</v>
      </c>
      <c r="L2346" t="s">
        <v>9094</v>
      </c>
      <c r="M2346" t="s">
        <v>9094</v>
      </c>
      <c r="O2346" t="s">
        <v>11137</v>
      </c>
      <c r="P2346" t="s">
        <v>11167</v>
      </c>
      <c r="Q2346" t="s">
        <v>11173</v>
      </c>
      <c r="R2346" t="s">
        <v>11180</v>
      </c>
      <c r="S2346" t="s">
        <v>9094</v>
      </c>
      <c r="T2346" t="s">
        <v>11183</v>
      </c>
      <c r="V2346" t="s">
        <v>589</v>
      </c>
      <c r="W2346">
        <v>0</v>
      </c>
      <c r="X2346" t="s">
        <v>11332</v>
      </c>
      <c r="Z2346" t="s">
        <v>12967</v>
      </c>
      <c r="AC2346">
        <v>9</v>
      </c>
      <c r="AF2346">
        <v>0</v>
      </c>
      <c r="AG2346">
        <v>1</v>
      </c>
      <c r="AH2346">
        <v>0</v>
      </c>
      <c r="AI2346">
        <v>81.67</v>
      </c>
      <c r="AL2346" t="s">
        <v>19614</v>
      </c>
      <c r="AM2346">
        <v>10200</v>
      </c>
      <c r="AS2346">
        <v>0.5</v>
      </c>
      <c r="AT2346" t="s">
        <v>367</v>
      </c>
      <c r="AU2346" t="s">
        <v>79</v>
      </c>
    </row>
    <row r="2347" spans="1:48">
      <c r="A2347" s="1">
        <f>HYPERLINK("https://lsnyc.legalserver.org/matter/dynamic-profile/view/1891194","19-1891194")</f>
        <v>0</v>
      </c>
      <c r="B2347" t="s">
        <v>72</v>
      </c>
      <c r="C2347" t="s">
        <v>256</v>
      </c>
      <c r="D2347" t="s">
        <v>694</v>
      </c>
      <c r="F2347" t="s">
        <v>1256</v>
      </c>
      <c r="G2347" t="s">
        <v>3498</v>
      </c>
      <c r="H2347" t="s">
        <v>5825</v>
      </c>
      <c r="I2347">
        <v>382</v>
      </c>
      <c r="J2347" t="s">
        <v>9059</v>
      </c>
      <c r="K2347">
        <v>11208</v>
      </c>
      <c r="L2347" t="s">
        <v>9094</v>
      </c>
      <c r="M2347" t="s">
        <v>9096</v>
      </c>
      <c r="N2347" t="s">
        <v>10033</v>
      </c>
      <c r="O2347" t="s">
        <v>11129</v>
      </c>
      <c r="P2347" t="s">
        <v>11165</v>
      </c>
      <c r="R2347" t="s">
        <v>11180</v>
      </c>
      <c r="S2347" t="s">
        <v>9096</v>
      </c>
      <c r="T2347" t="s">
        <v>11183</v>
      </c>
      <c r="U2347" t="s">
        <v>11201</v>
      </c>
      <c r="V2347" t="s">
        <v>376</v>
      </c>
      <c r="W2347">
        <v>913.65</v>
      </c>
      <c r="X2347" t="s">
        <v>11332</v>
      </c>
      <c r="Y2347" t="s">
        <v>11346</v>
      </c>
      <c r="Z2347" t="s">
        <v>12968</v>
      </c>
      <c r="AA2347" t="s">
        <v>15684</v>
      </c>
      <c r="AB2347" t="s">
        <v>17331</v>
      </c>
      <c r="AC2347">
        <v>322</v>
      </c>
      <c r="AD2347" t="s">
        <v>19566</v>
      </c>
      <c r="AE2347" t="s">
        <v>19580</v>
      </c>
      <c r="AF2347">
        <v>10</v>
      </c>
      <c r="AG2347">
        <v>1</v>
      </c>
      <c r="AH2347">
        <v>0</v>
      </c>
      <c r="AI2347">
        <v>81.67</v>
      </c>
      <c r="AL2347" t="s">
        <v>19614</v>
      </c>
      <c r="AM2347">
        <v>10200</v>
      </c>
      <c r="AS2347">
        <v>8.25</v>
      </c>
      <c r="AT2347" t="s">
        <v>614</v>
      </c>
      <c r="AU2347" t="s">
        <v>95</v>
      </c>
      <c r="AV2347" t="s">
        <v>20733</v>
      </c>
    </row>
    <row r="2348" spans="1:48">
      <c r="A2348" s="1">
        <f>HYPERLINK("https://lsnyc.legalserver.org/matter/dynamic-profile/view/1900129","19-1900129")</f>
        <v>0</v>
      </c>
      <c r="B2348" t="s">
        <v>113</v>
      </c>
      <c r="C2348" t="s">
        <v>256</v>
      </c>
      <c r="D2348" t="s">
        <v>289</v>
      </c>
      <c r="F2348" t="s">
        <v>1197</v>
      </c>
      <c r="G2348" t="s">
        <v>3429</v>
      </c>
      <c r="H2348" t="s">
        <v>5864</v>
      </c>
      <c r="I2348" t="s">
        <v>8262</v>
      </c>
      <c r="J2348" t="s">
        <v>9065</v>
      </c>
      <c r="K2348">
        <v>10460</v>
      </c>
      <c r="L2348" t="s">
        <v>9094</v>
      </c>
      <c r="M2348" t="s">
        <v>9095</v>
      </c>
      <c r="N2348" t="s">
        <v>9171</v>
      </c>
      <c r="O2348" t="s">
        <v>9121</v>
      </c>
      <c r="P2348" t="s">
        <v>11166</v>
      </c>
      <c r="R2348" t="s">
        <v>11180</v>
      </c>
      <c r="S2348" t="s">
        <v>9094</v>
      </c>
      <c r="T2348" t="s">
        <v>11183</v>
      </c>
      <c r="V2348" t="s">
        <v>11218</v>
      </c>
      <c r="W2348">
        <v>1200</v>
      </c>
      <c r="X2348" t="s">
        <v>11333</v>
      </c>
      <c r="Y2348" t="s">
        <v>11346</v>
      </c>
      <c r="Z2348" t="s">
        <v>12969</v>
      </c>
      <c r="AB2348" t="s">
        <v>17332</v>
      </c>
      <c r="AC2348">
        <v>168</v>
      </c>
      <c r="AD2348" t="s">
        <v>19566</v>
      </c>
      <c r="AE2348" t="s">
        <v>19580</v>
      </c>
      <c r="AF2348">
        <v>4</v>
      </c>
      <c r="AG2348">
        <v>1</v>
      </c>
      <c r="AH2348">
        <v>0</v>
      </c>
      <c r="AI2348">
        <v>81.67</v>
      </c>
      <c r="AL2348" t="s">
        <v>19614</v>
      </c>
      <c r="AM2348">
        <v>10200</v>
      </c>
      <c r="AS2348">
        <v>7</v>
      </c>
      <c r="AT2348" t="s">
        <v>286</v>
      </c>
      <c r="AU2348" t="s">
        <v>20647</v>
      </c>
      <c r="AV2348" t="s">
        <v>20733</v>
      </c>
    </row>
    <row r="2349" spans="1:48">
      <c r="A2349" s="1">
        <f>HYPERLINK("https://lsnyc.legalserver.org/matter/dynamic-profile/view/1891410","19-1891410")</f>
        <v>0</v>
      </c>
      <c r="B2349" t="s">
        <v>103</v>
      </c>
      <c r="C2349" t="s">
        <v>256</v>
      </c>
      <c r="D2349" t="s">
        <v>543</v>
      </c>
      <c r="F2349" t="s">
        <v>1337</v>
      </c>
      <c r="G2349" t="s">
        <v>4413</v>
      </c>
      <c r="H2349" t="s">
        <v>5887</v>
      </c>
      <c r="I2349" t="s">
        <v>8600</v>
      </c>
      <c r="J2349" t="s">
        <v>9065</v>
      </c>
      <c r="K2349">
        <v>10453</v>
      </c>
      <c r="L2349" t="s">
        <v>9094</v>
      </c>
      <c r="M2349" t="s">
        <v>9094</v>
      </c>
      <c r="O2349" t="s">
        <v>11134</v>
      </c>
      <c r="P2349" t="s">
        <v>11168</v>
      </c>
      <c r="R2349" t="s">
        <v>11180</v>
      </c>
      <c r="S2349" t="s">
        <v>9094</v>
      </c>
      <c r="T2349" t="s">
        <v>11183</v>
      </c>
      <c r="V2349" t="s">
        <v>993</v>
      </c>
      <c r="W2349">
        <v>97</v>
      </c>
      <c r="X2349" t="s">
        <v>11333</v>
      </c>
      <c r="Y2349" t="s">
        <v>11346</v>
      </c>
      <c r="Z2349" t="s">
        <v>12970</v>
      </c>
      <c r="AB2349" t="s">
        <v>17333</v>
      </c>
      <c r="AC2349">
        <v>170</v>
      </c>
      <c r="AD2349" t="s">
        <v>19566</v>
      </c>
      <c r="AE2349" t="s">
        <v>19580</v>
      </c>
      <c r="AF2349">
        <v>35</v>
      </c>
      <c r="AG2349">
        <v>1</v>
      </c>
      <c r="AH2349">
        <v>0</v>
      </c>
      <c r="AI2349">
        <v>81.67</v>
      </c>
      <c r="AL2349" t="s">
        <v>19615</v>
      </c>
      <c r="AM2349">
        <v>10200</v>
      </c>
      <c r="AS2349">
        <v>0</v>
      </c>
      <c r="AU2349" t="s">
        <v>163</v>
      </c>
      <c r="AV2349" t="s">
        <v>20733</v>
      </c>
    </row>
    <row r="2350" spans="1:48">
      <c r="A2350" s="1">
        <f>HYPERLINK("https://lsnyc.legalserver.org/matter/dynamic-profile/view/1905017","19-1905017")</f>
        <v>0</v>
      </c>
      <c r="B2350" t="s">
        <v>103</v>
      </c>
      <c r="C2350" t="s">
        <v>256</v>
      </c>
      <c r="D2350" t="s">
        <v>660</v>
      </c>
      <c r="F2350" t="s">
        <v>1337</v>
      </c>
      <c r="G2350" t="s">
        <v>4413</v>
      </c>
      <c r="H2350" t="s">
        <v>5887</v>
      </c>
      <c r="I2350" t="s">
        <v>8600</v>
      </c>
      <c r="J2350" t="s">
        <v>9065</v>
      </c>
      <c r="K2350">
        <v>10453</v>
      </c>
      <c r="L2350" t="s">
        <v>9094</v>
      </c>
      <c r="M2350" t="s">
        <v>9095</v>
      </c>
      <c r="N2350" t="s">
        <v>9239</v>
      </c>
      <c r="O2350" t="s">
        <v>11134</v>
      </c>
      <c r="P2350" t="s">
        <v>11168</v>
      </c>
      <c r="R2350" t="s">
        <v>11180</v>
      </c>
      <c r="S2350" t="s">
        <v>9094</v>
      </c>
      <c r="T2350" t="s">
        <v>11183</v>
      </c>
      <c r="V2350" t="s">
        <v>1061</v>
      </c>
      <c r="W2350">
        <v>97</v>
      </c>
      <c r="X2350" t="s">
        <v>11333</v>
      </c>
      <c r="Y2350" t="s">
        <v>11346</v>
      </c>
      <c r="Z2350" t="s">
        <v>12970</v>
      </c>
      <c r="AB2350" t="s">
        <v>17333</v>
      </c>
      <c r="AC2350">
        <v>170</v>
      </c>
      <c r="AD2350" t="s">
        <v>19566</v>
      </c>
      <c r="AE2350" t="s">
        <v>19580</v>
      </c>
      <c r="AF2350">
        <v>35</v>
      </c>
      <c r="AG2350">
        <v>1</v>
      </c>
      <c r="AH2350">
        <v>0</v>
      </c>
      <c r="AI2350">
        <v>81.67</v>
      </c>
      <c r="AL2350" t="s">
        <v>19615</v>
      </c>
      <c r="AM2350">
        <v>10200</v>
      </c>
      <c r="AS2350">
        <v>0</v>
      </c>
      <c r="AU2350" t="s">
        <v>220</v>
      </c>
      <c r="AV2350" t="s">
        <v>20733</v>
      </c>
    </row>
    <row r="2351" spans="1:48">
      <c r="A2351" s="1">
        <f>HYPERLINK("https://lsnyc.legalserver.org/matter/dynamic-profile/view/1905018","19-1905018")</f>
        <v>0</v>
      </c>
      <c r="B2351" t="s">
        <v>103</v>
      </c>
      <c r="C2351" t="s">
        <v>256</v>
      </c>
      <c r="D2351" t="s">
        <v>660</v>
      </c>
      <c r="F2351" t="s">
        <v>1337</v>
      </c>
      <c r="G2351" t="s">
        <v>4413</v>
      </c>
      <c r="H2351" t="s">
        <v>5887</v>
      </c>
      <c r="I2351" t="s">
        <v>8600</v>
      </c>
      <c r="J2351" t="s">
        <v>9065</v>
      </c>
      <c r="K2351">
        <v>10453</v>
      </c>
      <c r="L2351" t="s">
        <v>9094</v>
      </c>
      <c r="M2351" t="s">
        <v>9095</v>
      </c>
      <c r="N2351" t="s">
        <v>9240</v>
      </c>
      <c r="O2351" t="s">
        <v>11134</v>
      </c>
      <c r="P2351" t="s">
        <v>11168</v>
      </c>
      <c r="R2351" t="s">
        <v>11180</v>
      </c>
      <c r="S2351" t="s">
        <v>9094</v>
      </c>
      <c r="T2351" t="s">
        <v>11183</v>
      </c>
      <c r="V2351" t="s">
        <v>422</v>
      </c>
      <c r="W2351">
        <v>97</v>
      </c>
      <c r="X2351" t="s">
        <v>11333</v>
      </c>
      <c r="Y2351" t="s">
        <v>11346</v>
      </c>
      <c r="Z2351" t="s">
        <v>12970</v>
      </c>
      <c r="AB2351" t="s">
        <v>17333</v>
      </c>
      <c r="AC2351">
        <v>170</v>
      </c>
      <c r="AD2351" t="s">
        <v>19566</v>
      </c>
      <c r="AE2351" t="s">
        <v>19580</v>
      </c>
      <c r="AF2351">
        <v>35</v>
      </c>
      <c r="AG2351">
        <v>1</v>
      </c>
      <c r="AH2351">
        <v>0</v>
      </c>
      <c r="AI2351">
        <v>81.67</v>
      </c>
      <c r="AL2351" t="s">
        <v>19615</v>
      </c>
      <c r="AM2351">
        <v>10200</v>
      </c>
      <c r="AS2351">
        <v>0</v>
      </c>
      <c r="AU2351" t="s">
        <v>220</v>
      </c>
      <c r="AV2351" t="s">
        <v>20733</v>
      </c>
    </row>
    <row r="2352" spans="1:48">
      <c r="A2352" s="1">
        <f>HYPERLINK("https://lsnyc.legalserver.org/matter/dynamic-profile/view/1891409","19-1891409")</f>
        <v>0</v>
      </c>
      <c r="B2352" t="s">
        <v>103</v>
      </c>
      <c r="C2352" t="s">
        <v>256</v>
      </c>
      <c r="D2352" t="s">
        <v>543</v>
      </c>
      <c r="F2352" t="s">
        <v>1337</v>
      </c>
      <c r="G2352" t="s">
        <v>4413</v>
      </c>
      <c r="H2352" t="s">
        <v>5887</v>
      </c>
      <c r="I2352" t="s">
        <v>8600</v>
      </c>
      <c r="J2352" t="s">
        <v>9065</v>
      </c>
      <c r="K2352">
        <v>10453</v>
      </c>
      <c r="L2352" t="s">
        <v>9094</v>
      </c>
      <c r="M2352" t="s">
        <v>9094</v>
      </c>
      <c r="N2352" t="s">
        <v>9352</v>
      </c>
      <c r="O2352" t="s">
        <v>11130</v>
      </c>
      <c r="P2352" t="s">
        <v>11165</v>
      </c>
      <c r="R2352" t="s">
        <v>11180</v>
      </c>
      <c r="S2352" t="s">
        <v>9094</v>
      </c>
      <c r="T2352" t="s">
        <v>11183</v>
      </c>
      <c r="V2352" t="s">
        <v>512</v>
      </c>
      <c r="W2352">
        <v>97</v>
      </c>
      <c r="X2352" t="s">
        <v>11333</v>
      </c>
      <c r="Y2352" t="s">
        <v>11346</v>
      </c>
      <c r="Z2352" t="s">
        <v>12970</v>
      </c>
      <c r="AB2352" t="s">
        <v>17333</v>
      </c>
      <c r="AC2352">
        <v>170</v>
      </c>
      <c r="AD2352" t="s">
        <v>19566</v>
      </c>
      <c r="AE2352" t="s">
        <v>19580</v>
      </c>
      <c r="AF2352">
        <v>35</v>
      </c>
      <c r="AG2352">
        <v>1</v>
      </c>
      <c r="AH2352">
        <v>0</v>
      </c>
      <c r="AI2352">
        <v>81.67</v>
      </c>
      <c r="AL2352" t="s">
        <v>19615</v>
      </c>
      <c r="AM2352">
        <v>10200</v>
      </c>
      <c r="AS2352">
        <v>0</v>
      </c>
      <c r="AU2352" t="s">
        <v>163</v>
      </c>
    </row>
    <row r="2353" spans="1:48">
      <c r="A2353" s="1">
        <f>HYPERLINK("https://lsnyc.legalserver.org/matter/dynamic-profile/view/1906773","19-1906773")</f>
        <v>0</v>
      </c>
      <c r="B2353" t="s">
        <v>139</v>
      </c>
      <c r="C2353" t="s">
        <v>257</v>
      </c>
      <c r="D2353" t="s">
        <v>474</v>
      </c>
      <c r="E2353" t="s">
        <v>474</v>
      </c>
      <c r="F2353" t="s">
        <v>1917</v>
      </c>
      <c r="G2353" t="s">
        <v>4384</v>
      </c>
      <c r="H2353" t="s">
        <v>6910</v>
      </c>
      <c r="I2353" t="s">
        <v>8153</v>
      </c>
      <c r="J2353" t="s">
        <v>9067</v>
      </c>
      <c r="K2353">
        <v>10033</v>
      </c>
      <c r="L2353" t="s">
        <v>9094</v>
      </c>
      <c r="M2353" t="s">
        <v>9095</v>
      </c>
      <c r="N2353" t="s">
        <v>10034</v>
      </c>
      <c r="O2353" t="s">
        <v>11136</v>
      </c>
      <c r="P2353" t="s">
        <v>11164</v>
      </c>
      <c r="Q2353" t="s">
        <v>11172</v>
      </c>
      <c r="R2353" t="s">
        <v>11180</v>
      </c>
      <c r="S2353" t="s">
        <v>9096</v>
      </c>
      <c r="T2353" t="s">
        <v>11183</v>
      </c>
      <c r="V2353" t="s">
        <v>474</v>
      </c>
      <c r="W2353">
        <v>474.35</v>
      </c>
      <c r="X2353" t="s">
        <v>11335</v>
      </c>
      <c r="Y2353" t="s">
        <v>11338</v>
      </c>
      <c r="Z2353" t="s">
        <v>12971</v>
      </c>
      <c r="AB2353" t="s">
        <v>17334</v>
      </c>
      <c r="AC2353">
        <v>54</v>
      </c>
      <c r="AD2353" t="s">
        <v>19566</v>
      </c>
      <c r="AE2353" t="s">
        <v>19587</v>
      </c>
      <c r="AF2353">
        <v>24</v>
      </c>
      <c r="AG2353">
        <v>1</v>
      </c>
      <c r="AH2353">
        <v>0</v>
      </c>
      <c r="AI2353">
        <v>81.67</v>
      </c>
      <c r="AL2353" t="s">
        <v>19615</v>
      </c>
      <c r="AM2353">
        <v>10200</v>
      </c>
      <c r="AS2353">
        <v>1</v>
      </c>
      <c r="AT2353" t="s">
        <v>474</v>
      </c>
      <c r="AU2353" t="s">
        <v>130</v>
      </c>
      <c r="AV2353" t="s">
        <v>20733</v>
      </c>
    </row>
    <row r="2354" spans="1:48">
      <c r="A2354" s="1">
        <f>HYPERLINK("https://lsnyc.legalserver.org/matter/dynamic-profile/view/0797954","16-0797954")</f>
        <v>0</v>
      </c>
      <c r="B2354" t="s">
        <v>87</v>
      </c>
      <c r="C2354" t="s">
        <v>256</v>
      </c>
      <c r="D2354" t="s">
        <v>922</v>
      </c>
      <c r="F2354" t="s">
        <v>1144</v>
      </c>
      <c r="G2354" t="s">
        <v>4414</v>
      </c>
      <c r="H2354" t="s">
        <v>6911</v>
      </c>
      <c r="I2354">
        <v>6</v>
      </c>
      <c r="J2354" t="s">
        <v>9059</v>
      </c>
      <c r="K2354">
        <v>11203</v>
      </c>
      <c r="L2354" t="s">
        <v>9094</v>
      </c>
      <c r="M2354" t="s">
        <v>9095</v>
      </c>
      <c r="N2354" t="s">
        <v>10035</v>
      </c>
      <c r="O2354" t="s">
        <v>11128</v>
      </c>
      <c r="P2354" t="s">
        <v>11165</v>
      </c>
      <c r="R2354" t="s">
        <v>11180</v>
      </c>
      <c r="T2354" t="s">
        <v>11183</v>
      </c>
      <c r="V2354" t="s">
        <v>856</v>
      </c>
      <c r="W2354">
        <v>639.4</v>
      </c>
      <c r="X2354" t="s">
        <v>11332</v>
      </c>
      <c r="Y2354" t="s">
        <v>11340</v>
      </c>
      <c r="Z2354" t="s">
        <v>12972</v>
      </c>
      <c r="AB2354" t="s">
        <v>17335</v>
      </c>
      <c r="AC2354">
        <v>6</v>
      </c>
      <c r="AD2354" t="s">
        <v>19566</v>
      </c>
      <c r="AE2354" t="s">
        <v>9144</v>
      </c>
      <c r="AF2354">
        <v>42</v>
      </c>
      <c r="AG2354">
        <v>4</v>
      </c>
      <c r="AH2354">
        <v>3</v>
      </c>
      <c r="AI2354">
        <v>81.7</v>
      </c>
      <c r="AL2354" t="s">
        <v>19614</v>
      </c>
      <c r="AM2354">
        <v>30000</v>
      </c>
      <c r="AS2354">
        <v>105.8</v>
      </c>
      <c r="AT2354" t="s">
        <v>434</v>
      </c>
      <c r="AU2354" t="s">
        <v>20630</v>
      </c>
    </row>
    <row r="2355" spans="1:48">
      <c r="A2355" s="1">
        <f>HYPERLINK("https://lsnyc.legalserver.org/matter/dynamic-profile/view/1899868","19-1899868")</f>
        <v>0</v>
      </c>
      <c r="B2355" t="s">
        <v>113</v>
      </c>
      <c r="C2355" t="s">
        <v>256</v>
      </c>
      <c r="D2355" t="s">
        <v>411</v>
      </c>
      <c r="F2355" t="s">
        <v>1700</v>
      </c>
      <c r="G2355" t="s">
        <v>3905</v>
      </c>
      <c r="H2355" t="s">
        <v>5864</v>
      </c>
      <c r="I2355" t="s">
        <v>8179</v>
      </c>
      <c r="J2355" t="s">
        <v>9065</v>
      </c>
      <c r="K2355">
        <v>10460</v>
      </c>
      <c r="L2355" t="s">
        <v>9094</v>
      </c>
      <c r="M2355" t="s">
        <v>9095</v>
      </c>
      <c r="N2355" t="s">
        <v>9171</v>
      </c>
      <c r="O2355" t="s">
        <v>9121</v>
      </c>
      <c r="P2355" t="s">
        <v>11166</v>
      </c>
      <c r="R2355" t="s">
        <v>11180</v>
      </c>
      <c r="S2355" t="s">
        <v>9094</v>
      </c>
      <c r="T2355" t="s">
        <v>11183</v>
      </c>
      <c r="V2355" t="s">
        <v>11218</v>
      </c>
      <c r="W2355">
        <v>391</v>
      </c>
      <c r="X2355" t="s">
        <v>11333</v>
      </c>
      <c r="Y2355" t="s">
        <v>11346</v>
      </c>
      <c r="Z2355" t="s">
        <v>12973</v>
      </c>
      <c r="AB2355" t="s">
        <v>17336</v>
      </c>
      <c r="AC2355">
        <v>168</v>
      </c>
      <c r="AD2355" t="s">
        <v>19566</v>
      </c>
      <c r="AE2355" t="s">
        <v>19580</v>
      </c>
      <c r="AF2355">
        <v>10</v>
      </c>
      <c r="AG2355">
        <v>2</v>
      </c>
      <c r="AH2355">
        <v>0</v>
      </c>
      <c r="AI2355">
        <v>81.75</v>
      </c>
      <c r="AL2355" t="s">
        <v>19615</v>
      </c>
      <c r="AM2355">
        <v>13824</v>
      </c>
      <c r="AS2355">
        <v>2</v>
      </c>
      <c r="AT2355" t="s">
        <v>414</v>
      </c>
      <c r="AU2355" t="s">
        <v>163</v>
      </c>
      <c r="AV2355" t="s">
        <v>20733</v>
      </c>
    </row>
    <row r="2356" spans="1:48">
      <c r="A2356" s="1">
        <f>HYPERLINK("https://lsnyc.legalserver.org/matter/dynamic-profile/view/1898061","19-1898061")</f>
        <v>0</v>
      </c>
      <c r="B2356" t="s">
        <v>49</v>
      </c>
      <c r="C2356" t="s">
        <v>256</v>
      </c>
      <c r="D2356" t="s">
        <v>598</v>
      </c>
      <c r="F2356" t="s">
        <v>1336</v>
      </c>
      <c r="G2356" t="s">
        <v>4415</v>
      </c>
      <c r="H2356" t="s">
        <v>6912</v>
      </c>
      <c r="J2356" t="s">
        <v>9088</v>
      </c>
      <c r="K2356">
        <v>11369</v>
      </c>
      <c r="L2356" t="s">
        <v>9094</v>
      </c>
      <c r="M2356" t="s">
        <v>9094</v>
      </c>
      <c r="N2356" t="s">
        <v>10036</v>
      </c>
      <c r="O2356" t="s">
        <v>11128</v>
      </c>
      <c r="P2356" t="s">
        <v>11165</v>
      </c>
      <c r="R2356" t="s">
        <v>11180</v>
      </c>
      <c r="S2356" t="s">
        <v>9096</v>
      </c>
      <c r="T2356" t="s">
        <v>11183</v>
      </c>
      <c r="U2356" t="s">
        <v>11201</v>
      </c>
      <c r="V2356" t="s">
        <v>598</v>
      </c>
      <c r="W2356">
        <v>800</v>
      </c>
      <c r="X2356" t="s">
        <v>11331</v>
      </c>
      <c r="Y2356" t="s">
        <v>11336</v>
      </c>
      <c r="Z2356" t="s">
        <v>12974</v>
      </c>
      <c r="AA2356" t="s">
        <v>9144</v>
      </c>
      <c r="AB2356" t="s">
        <v>17337</v>
      </c>
      <c r="AC2356">
        <v>1</v>
      </c>
      <c r="AD2356" t="s">
        <v>19565</v>
      </c>
      <c r="AE2356" t="s">
        <v>9144</v>
      </c>
      <c r="AF2356">
        <v>10</v>
      </c>
      <c r="AG2356">
        <v>1</v>
      </c>
      <c r="AH2356">
        <v>0</v>
      </c>
      <c r="AI2356">
        <v>81.76000000000001</v>
      </c>
      <c r="AL2356" t="s">
        <v>19615</v>
      </c>
      <c r="AM2356">
        <v>10212</v>
      </c>
      <c r="AS2356">
        <v>35.05</v>
      </c>
      <c r="AT2356" t="s">
        <v>594</v>
      </c>
      <c r="AU2356" t="s">
        <v>20622</v>
      </c>
      <c r="AV2356" t="s">
        <v>20733</v>
      </c>
    </row>
    <row r="2357" spans="1:48">
      <c r="A2357" s="1">
        <f>HYPERLINK("https://lsnyc.legalserver.org/matter/dynamic-profile/view/1893170","19-1893170")</f>
        <v>0</v>
      </c>
      <c r="B2357" t="s">
        <v>140</v>
      </c>
      <c r="C2357" t="s">
        <v>256</v>
      </c>
      <c r="D2357" t="s">
        <v>719</v>
      </c>
      <c r="F2357" t="s">
        <v>2119</v>
      </c>
      <c r="G2357" t="s">
        <v>4416</v>
      </c>
      <c r="H2357" t="s">
        <v>6913</v>
      </c>
      <c r="I2357" t="s">
        <v>8218</v>
      </c>
      <c r="J2357" t="s">
        <v>9067</v>
      </c>
      <c r="K2357">
        <v>10033</v>
      </c>
      <c r="L2357" t="s">
        <v>9094</v>
      </c>
      <c r="M2357" t="s">
        <v>9094</v>
      </c>
      <c r="O2357" t="s">
        <v>11129</v>
      </c>
      <c r="P2357" t="s">
        <v>11165</v>
      </c>
      <c r="R2357" t="s">
        <v>11180</v>
      </c>
      <c r="S2357" t="s">
        <v>9096</v>
      </c>
      <c r="T2357" t="s">
        <v>11183</v>
      </c>
      <c r="V2357" t="s">
        <v>719</v>
      </c>
      <c r="W2357">
        <v>798</v>
      </c>
      <c r="X2357" t="s">
        <v>11335</v>
      </c>
      <c r="Y2357" t="s">
        <v>11338</v>
      </c>
      <c r="Z2357" t="s">
        <v>12975</v>
      </c>
      <c r="AB2357" t="s">
        <v>17338</v>
      </c>
      <c r="AC2357">
        <v>39</v>
      </c>
      <c r="AD2357" t="s">
        <v>19566</v>
      </c>
      <c r="AE2357" t="s">
        <v>9144</v>
      </c>
      <c r="AF2357">
        <v>43</v>
      </c>
      <c r="AG2357">
        <v>1</v>
      </c>
      <c r="AH2357">
        <v>0</v>
      </c>
      <c r="AI2357">
        <v>81.76000000000001</v>
      </c>
      <c r="AL2357" t="s">
        <v>19614</v>
      </c>
      <c r="AM2357">
        <v>10212</v>
      </c>
      <c r="AS2357">
        <v>46.9</v>
      </c>
      <c r="AT2357" t="s">
        <v>521</v>
      </c>
      <c r="AU2357" t="s">
        <v>130</v>
      </c>
      <c r="AV2357" t="s">
        <v>20733</v>
      </c>
    </row>
    <row r="2358" spans="1:48">
      <c r="A2358" s="1">
        <f>HYPERLINK("https://lsnyc.legalserver.org/matter/dynamic-profile/view/1902778","19-1902778")</f>
        <v>0</v>
      </c>
      <c r="B2358" t="s">
        <v>140</v>
      </c>
      <c r="C2358" t="s">
        <v>256</v>
      </c>
      <c r="D2358" t="s">
        <v>279</v>
      </c>
      <c r="F2358" t="s">
        <v>2119</v>
      </c>
      <c r="G2358" t="s">
        <v>4416</v>
      </c>
      <c r="H2358" t="s">
        <v>6913</v>
      </c>
      <c r="I2358" t="s">
        <v>8218</v>
      </c>
      <c r="J2358" t="s">
        <v>9067</v>
      </c>
      <c r="K2358">
        <v>10033</v>
      </c>
      <c r="L2358" t="s">
        <v>9094</v>
      </c>
      <c r="M2358" t="s">
        <v>9095</v>
      </c>
      <c r="O2358" t="s">
        <v>11138</v>
      </c>
      <c r="P2358" t="s">
        <v>11167</v>
      </c>
      <c r="R2358" t="s">
        <v>11180</v>
      </c>
      <c r="S2358" t="s">
        <v>9096</v>
      </c>
      <c r="T2358" t="s">
        <v>11184</v>
      </c>
      <c r="V2358" t="s">
        <v>279</v>
      </c>
      <c r="W2358">
        <v>798</v>
      </c>
      <c r="X2358" t="s">
        <v>11335</v>
      </c>
      <c r="Y2358" t="s">
        <v>11340</v>
      </c>
      <c r="Z2358" t="s">
        <v>12975</v>
      </c>
      <c r="AB2358" t="s">
        <v>17338</v>
      </c>
      <c r="AC2358">
        <v>39</v>
      </c>
      <c r="AD2358" t="s">
        <v>19566</v>
      </c>
      <c r="AE2358" t="s">
        <v>19581</v>
      </c>
      <c r="AF2358">
        <v>43</v>
      </c>
      <c r="AG2358">
        <v>1</v>
      </c>
      <c r="AH2358">
        <v>0</v>
      </c>
      <c r="AI2358">
        <v>81.76000000000001</v>
      </c>
      <c r="AL2358" t="s">
        <v>19614</v>
      </c>
      <c r="AM2358">
        <v>10212</v>
      </c>
      <c r="AS2358">
        <v>4.25</v>
      </c>
      <c r="AT2358" t="s">
        <v>1063</v>
      </c>
      <c r="AU2358" t="s">
        <v>130</v>
      </c>
      <c r="AV2358" t="s">
        <v>20733</v>
      </c>
    </row>
    <row r="2359" spans="1:48">
      <c r="A2359" s="1">
        <f>HYPERLINK("https://lsnyc.legalserver.org/matter/dynamic-profile/view/0832329","17-0832329")</f>
        <v>0</v>
      </c>
      <c r="B2359" t="s">
        <v>203</v>
      </c>
      <c r="C2359" t="s">
        <v>256</v>
      </c>
      <c r="D2359" t="s">
        <v>923</v>
      </c>
      <c r="F2359" t="s">
        <v>1260</v>
      </c>
      <c r="G2359" t="s">
        <v>3448</v>
      </c>
      <c r="H2359" t="s">
        <v>6335</v>
      </c>
      <c r="I2359" t="s">
        <v>8112</v>
      </c>
      <c r="J2359" t="s">
        <v>9059</v>
      </c>
      <c r="K2359">
        <v>11239</v>
      </c>
      <c r="L2359" t="s">
        <v>9094</v>
      </c>
      <c r="M2359" t="s">
        <v>9095</v>
      </c>
      <c r="N2359" t="s">
        <v>10037</v>
      </c>
      <c r="O2359" t="s">
        <v>11129</v>
      </c>
      <c r="P2359" t="s">
        <v>11165</v>
      </c>
      <c r="R2359" t="s">
        <v>11180</v>
      </c>
      <c r="S2359" t="s">
        <v>9096</v>
      </c>
      <c r="T2359" t="s">
        <v>11183</v>
      </c>
      <c r="V2359" t="s">
        <v>11231</v>
      </c>
      <c r="W2359">
        <v>292</v>
      </c>
      <c r="X2359" t="s">
        <v>11332</v>
      </c>
      <c r="Y2359" t="s">
        <v>11349</v>
      </c>
      <c r="Z2359" t="s">
        <v>12048</v>
      </c>
      <c r="AB2359" t="s">
        <v>17339</v>
      </c>
      <c r="AC2359">
        <v>170</v>
      </c>
      <c r="AD2359" t="s">
        <v>19566</v>
      </c>
      <c r="AE2359" t="s">
        <v>19584</v>
      </c>
      <c r="AF2359">
        <v>30</v>
      </c>
      <c r="AG2359">
        <v>1</v>
      </c>
      <c r="AH2359">
        <v>0</v>
      </c>
      <c r="AI2359">
        <v>81.79000000000001</v>
      </c>
      <c r="AJ2359" t="s">
        <v>861</v>
      </c>
      <c r="AL2359" t="s">
        <v>19614</v>
      </c>
      <c r="AM2359">
        <v>9864</v>
      </c>
      <c r="AS2359">
        <v>49.95</v>
      </c>
      <c r="AT2359" t="s">
        <v>963</v>
      </c>
      <c r="AU2359" t="s">
        <v>20672</v>
      </c>
    </row>
    <row r="2360" spans="1:48">
      <c r="A2360" s="1">
        <f>HYPERLINK("https://lsnyc.legalserver.org/matter/dynamic-profile/view/1836256","17-1836256")</f>
        <v>0</v>
      </c>
      <c r="B2360" t="s">
        <v>70</v>
      </c>
      <c r="C2360" t="s">
        <v>256</v>
      </c>
      <c r="D2360" t="s">
        <v>732</v>
      </c>
      <c r="F2360" t="s">
        <v>1408</v>
      </c>
      <c r="G2360" t="s">
        <v>4173</v>
      </c>
      <c r="H2360" t="s">
        <v>6914</v>
      </c>
      <c r="I2360">
        <v>1</v>
      </c>
      <c r="J2360" t="s">
        <v>9059</v>
      </c>
      <c r="K2360">
        <v>11233</v>
      </c>
      <c r="L2360" t="s">
        <v>9094</v>
      </c>
      <c r="M2360" t="s">
        <v>9095</v>
      </c>
      <c r="N2360" t="s">
        <v>10038</v>
      </c>
      <c r="O2360" t="s">
        <v>11128</v>
      </c>
      <c r="P2360" t="s">
        <v>11165</v>
      </c>
      <c r="R2360" t="s">
        <v>11180</v>
      </c>
      <c r="S2360" t="s">
        <v>9096</v>
      </c>
      <c r="T2360" t="s">
        <v>11183</v>
      </c>
      <c r="V2360" t="s">
        <v>732</v>
      </c>
      <c r="W2360">
        <v>1200</v>
      </c>
      <c r="X2360" t="s">
        <v>11332</v>
      </c>
      <c r="Y2360" t="s">
        <v>11344</v>
      </c>
      <c r="Z2360" t="s">
        <v>12976</v>
      </c>
      <c r="AA2360" t="s">
        <v>15685</v>
      </c>
      <c r="AB2360" t="s">
        <v>17340</v>
      </c>
      <c r="AC2360">
        <v>2</v>
      </c>
      <c r="AD2360" t="s">
        <v>19565</v>
      </c>
      <c r="AE2360" t="s">
        <v>19580</v>
      </c>
      <c r="AF2360">
        <v>2</v>
      </c>
      <c r="AG2360">
        <v>1</v>
      </c>
      <c r="AH2360">
        <v>0</v>
      </c>
      <c r="AI2360">
        <v>81.79000000000001</v>
      </c>
      <c r="AL2360" t="s">
        <v>19614</v>
      </c>
      <c r="AM2360">
        <v>9864</v>
      </c>
      <c r="AS2360">
        <v>151.7</v>
      </c>
      <c r="AT2360" t="s">
        <v>487</v>
      </c>
      <c r="AU2360" t="s">
        <v>20633</v>
      </c>
    </row>
    <row r="2361" spans="1:48">
      <c r="A2361" s="1">
        <f>HYPERLINK("https://lsnyc.legalserver.org/matter/dynamic-profile/view/1838878","17-1838878")</f>
        <v>0</v>
      </c>
      <c r="B2361" t="s">
        <v>103</v>
      </c>
      <c r="C2361" t="s">
        <v>256</v>
      </c>
      <c r="D2361" t="s">
        <v>796</v>
      </c>
      <c r="F2361" t="s">
        <v>2071</v>
      </c>
      <c r="G2361" t="s">
        <v>3786</v>
      </c>
      <c r="H2361" t="s">
        <v>6915</v>
      </c>
      <c r="I2361" t="s">
        <v>8601</v>
      </c>
      <c r="J2361" t="s">
        <v>9065</v>
      </c>
      <c r="K2361">
        <v>10473</v>
      </c>
      <c r="L2361" t="s">
        <v>9094</v>
      </c>
      <c r="M2361" t="s">
        <v>9095</v>
      </c>
      <c r="N2361" t="s">
        <v>10039</v>
      </c>
      <c r="O2361" t="s">
        <v>11135</v>
      </c>
      <c r="P2361" t="s">
        <v>11168</v>
      </c>
      <c r="R2361" t="s">
        <v>11180</v>
      </c>
      <c r="S2361" t="s">
        <v>9094</v>
      </c>
      <c r="T2361" t="s">
        <v>11183</v>
      </c>
      <c r="V2361" t="s">
        <v>11223</v>
      </c>
      <c r="W2361">
        <v>0</v>
      </c>
      <c r="X2361" t="s">
        <v>11333</v>
      </c>
      <c r="Y2361" t="s">
        <v>11351</v>
      </c>
      <c r="Z2361" t="s">
        <v>12977</v>
      </c>
      <c r="AB2361" t="s">
        <v>17341</v>
      </c>
      <c r="AC2361">
        <v>976</v>
      </c>
      <c r="AD2361" t="s">
        <v>19566</v>
      </c>
      <c r="AE2361" t="s">
        <v>19580</v>
      </c>
      <c r="AF2361">
        <v>10</v>
      </c>
      <c r="AG2361">
        <v>1</v>
      </c>
      <c r="AH2361">
        <v>0</v>
      </c>
      <c r="AI2361">
        <v>81.79000000000001</v>
      </c>
      <c r="AJ2361" t="s">
        <v>936</v>
      </c>
      <c r="AL2361" t="s">
        <v>19614</v>
      </c>
      <c r="AM2361">
        <v>9864</v>
      </c>
      <c r="AS2361">
        <v>0</v>
      </c>
      <c r="AU2361" t="s">
        <v>20643</v>
      </c>
    </row>
    <row r="2362" spans="1:48">
      <c r="A2362" s="1">
        <f>HYPERLINK("https://lsnyc.legalserver.org/matter/dynamic-profile/view/1852358","17-1852358")</f>
        <v>0</v>
      </c>
      <c r="B2362" t="s">
        <v>103</v>
      </c>
      <c r="C2362" t="s">
        <v>256</v>
      </c>
      <c r="D2362" t="s">
        <v>924</v>
      </c>
      <c r="F2362" t="s">
        <v>1329</v>
      </c>
      <c r="G2362" t="s">
        <v>4409</v>
      </c>
      <c r="H2362" t="s">
        <v>6413</v>
      </c>
      <c r="I2362" t="s">
        <v>8192</v>
      </c>
      <c r="J2362" t="s">
        <v>9065</v>
      </c>
      <c r="K2362">
        <v>10456</v>
      </c>
      <c r="L2362" t="s">
        <v>9094</v>
      </c>
      <c r="M2362" t="s">
        <v>9095</v>
      </c>
      <c r="N2362" t="s">
        <v>9740</v>
      </c>
      <c r="O2362" t="s">
        <v>11135</v>
      </c>
      <c r="P2362" t="s">
        <v>11168</v>
      </c>
      <c r="R2362" t="s">
        <v>11180</v>
      </c>
      <c r="S2362" t="s">
        <v>9094</v>
      </c>
      <c r="T2362" t="s">
        <v>11183</v>
      </c>
      <c r="V2362" t="s">
        <v>924</v>
      </c>
      <c r="W2362">
        <v>1243.51</v>
      </c>
      <c r="X2362" t="s">
        <v>11333</v>
      </c>
      <c r="Y2362" t="s">
        <v>11346</v>
      </c>
      <c r="Z2362" t="s">
        <v>12954</v>
      </c>
      <c r="AA2362" t="s">
        <v>15680</v>
      </c>
      <c r="AB2362" t="s">
        <v>17318</v>
      </c>
      <c r="AC2362">
        <v>61</v>
      </c>
      <c r="AD2362" t="s">
        <v>19566</v>
      </c>
      <c r="AE2362" t="s">
        <v>19580</v>
      </c>
      <c r="AF2362">
        <v>22</v>
      </c>
      <c r="AG2362">
        <v>1</v>
      </c>
      <c r="AH2362">
        <v>0</v>
      </c>
      <c r="AI2362">
        <v>81.79000000000001</v>
      </c>
      <c r="AJ2362" t="s">
        <v>19597</v>
      </c>
      <c r="AL2362" t="s">
        <v>19614</v>
      </c>
      <c r="AM2362">
        <v>9864</v>
      </c>
      <c r="AS2362">
        <v>145.8</v>
      </c>
      <c r="AT2362" t="s">
        <v>723</v>
      </c>
      <c r="AU2362" t="s">
        <v>20642</v>
      </c>
    </row>
    <row r="2363" spans="1:48">
      <c r="A2363" s="1">
        <f>HYPERLINK("https://lsnyc.legalserver.org/matter/dynamic-profile/view/1903827","19-1903827")</f>
        <v>0</v>
      </c>
      <c r="B2363" t="s">
        <v>123</v>
      </c>
      <c r="C2363" t="s">
        <v>257</v>
      </c>
      <c r="D2363" t="s">
        <v>597</v>
      </c>
      <c r="E2363" t="s">
        <v>396</v>
      </c>
      <c r="F2363" t="s">
        <v>2192</v>
      </c>
      <c r="G2363" t="s">
        <v>4417</v>
      </c>
      <c r="H2363" t="s">
        <v>6916</v>
      </c>
      <c r="I2363" t="s">
        <v>8214</v>
      </c>
      <c r="J2363" t="s">
        <v>9066</v>
      </c>
      <c r="K2363">
        <v>10301</v>
      </c>
      <c r="L2363" t="s">
        <v>9094</v>
      </c>
      <c r="M2363" t="s">
        <v>9095</v>
      </c>
      <c r="N2363" t="s">
        <v>10040</v>
      </c>
      <c r="O2363" t="s">
        <v>11129</v>
      </c>
      <c r="P2363" t="s">
        <v>11165</v>
      </c>
      <c r="Q2363" t="s">
        <v>11174</v>
      </c>
      <c r="R2363" t="s">
        <v>11180</v>
      </c>
      <c r="S2363" t="s">
        <v>9096</v>
      </c>
      <c r="T2363" t="s">
        <v>11183</v>
      </c>
      <c r="U2363" t="s">
        <v>11201</v>
      </c>
      <c r="V2363" t="s">
        <v>597</v>
      </c>
      <c r="W2363">
        <v>1250</v>
      </c>
      <c r="X2363" t="s">
        <v>11334</v>
      </c>
      <c r="Y2363" t="s">
        <v>11336</v>
      </c>
      <c r="Z2363" t="s">
        <v>12978</v>
      </c>
      <c r="AB2363" t="s">
        <v>17342</v>
      </c>
      <c r="AC2363">
        <v>48</v>
      </c>
      <c r="AD2363" t="s">
        <v>19565</v>
      </c>
      <c r="AE2363" t="s">
        <v>9144</v>
      </c>
      <c r="AF2363">
        <v>4</v>
      </c>
      <c r="AG2363">
        <v>2</v>
      </c>
      <c r="AH2363">
        <v>2</v>
      </c>
      <c r="AI2363">
        <v>81.79000000000001</v>
      </c>
      <c r="AL2363" t="s">
        <v>19614</v>
      </c>
      <c r="AM2363">
        <v>21060</v>
      </c>
      <c r="AO2363" t="s">
        <v>20290</v>
      </c>
      <c r="AP2363" t="s">
        <v>20341</v>
      </c>
      <c r="AQ2363" t="s">
        <v>20369</v>
      </c>
      <c r="AR2363" t="s">
        <v>20493</v>
      </c>
      <c r="AS2363">
        <v>19.75</v>
      </c>
      <c r="AT2363" t="s">
        <v>899</v>
      </c>
      <c r="AU2363" t="s">
        <v>20653</v>
      </c>
      <c r="AV2363" t="s">
        <v>20733</v>
      </c>
    </row>
    <row r="2364" spans="1:48">
      <c r="A2364" s="1">
        <f>HYPERLINK("https://lsnyc.legalserver.org/matter/dynamic-profile/view/1844283","17-1844283")</f>
        <v>0</v>
      </c>
      <c r="B2364" t="s">
        <v>132</v>
      </c>
      <c r="C2364" t="s">
        <v>256</v>
      </c>
      <c r="D2364" t="s">
        <v>879</v>
      </c>
      <c r="F2364" t="s">
        <v>2193</v>
      </c>
      <c r="G2364" t="s">
        <v>4418</v>
      </c>
      <c r="H2364" t="s">
        <v>5936</v>
      </c>
      <c r="I2364" t="s">
        <v>8164</v>
      </c>
      <c r="J2364" t="s">
        <v>9067</v>
      </c>
      <c r="K2364">
        <v>10040</v>
      </c>
      <c r="L2364" t="s">
        <v>9094</v>
      </c>
      <c r="M2364" t="s">
        <v>9095</v>
      </c>
      <c r="O2364" t="s">
        <v>11130</v>
      </c>
      <c r="P2364" t="s">
        <v>11166</v>
      </c>
      <c r="R2364" t="s">
        <v>11180</v>
      </c>
      <c r="S2364" t="s">
        <v>9094</v>
      </c>
      <c r="T2364" t="s">
        <v>11183</v>
      </c>
      <c r="V2364" t="s">
        <v>879</v>
      </c>
      <c r="W2364">
        <v>715.12</v>
      </c>
      <c r="X2364" t="s">
        <v>11335</v>
      </c>
      <c r="Y2364" t="s">
        <v>11338</v>
      </c>
      <c r="Z2364" t="s">
        <v>12979</v>
      </c>
      <c r="AB2364" t="s">
        <v>17343</v>
      </c>
      <c r="AC2364">
        <v>42</v>
      </c>
      <c r="AD2364" t="s">
        <v>19566</v>
      </c>
      <c r="AE2364" t="s">
        <v>19580</v>
      </c>
      <c r="AF2364">
        <v>37</v>
      </c>
      <c r="AG2364">
        <v>1</v>
      </c>
      <c r="AH2364">
        <v>0</v>
      </c>
      <c r="AI2364">
        <v>81.79000000000001</v>
      </c>
      <c r="AJ2364" t="s">
        <v>527</v>
      </c>
      <c r="AL2364" t="s">
        <v>19615</v>
      </c>
      <c r="AM2364">
        <v>9864</v>
      </c>
      <c r="AS2364">
        <v>13.9</v>
      </c>
      <c r="AT2364" t="s">
        <v>708</v>
      </c>
      <c r="AU2364" t="s">
        <v>130</v>
      </c>
    </row>
    <row r="2365" spans="1:48">
      <c r="A2365" s="1">
        <f>HYPERLINK("https://lsnyc.legalserver.org/matter/dynamic-profile/view/1839731","17-1839731")</f>
        <v>0</v>
      </c>
      <c r="B2365" t="s">
        <v>132</v>
      </c>
      <c r="C2365" t="s">
        <v>256</v>
      </c>
      <c r="D2365" t="s">
        <v>925</v>
      </c>
      <c r="F2365" t="s">
        <v>2193</v>
      </c>
      <c r="G2365" t="s">
        <v>4418</v>
      </c>
      <c r="H2365" t="s">
        <v>5936</v>
      </c>
      <c r="J2365" t="s">
        <v>9067</v>
      </c>
      <c r="K2365">
        <v>10040</v>
      </c>
      <c r="L2365" t="s">
        <v>9094</v>
      </c>
      <c r="M2365" t="s">
        <v>9095</v>
      </c>
      <c r="O2365" t="s">
        <v>9121</v>
      </c>
      <c r="P2365" t="s">
        <v>11165</v>
      </c>
      <c r="R2365" t="s">
        <v>11180</v>
      </c>
      <c r="S2365" t="s">
        <v>9096</v>
      </c>
      <c r="T2365" t="s">
        <v>11183</v>
      </c>
      <c r="V2365" t="s">
        <v>856</v>
      </c>
      <c r="W2365">
        <v>181</v>
      </c>
      <c r="X2365" t="s">
        <v>11335</v>
      </c>
      <c r="Y2365" t="s">
        <v>11351</v>
      </c>
      <c r="Z2365" t="s">
        <v>12979</v>
      </c>
      <c r="AB2365" t="s">
        <v>17343</v>
      </c>
      <c r="AC2365">
        <v>0</v>
      </c>
      <c r="AE2365" t="s">
        <v>19580</v>
      </c>
      <c r="AF2365">
        <v>37</v>
      </c>
      <c r="AG2365">
        <v>1</v>
      </c>
      <c r="AH2365">
        <v>0</v>
      </c>
      <c r="AI2365">
        <v>81.79000000000001</v>
      </c>
      <c r="AL2365" t="s">
        <v>19615</v>
      </c>
      <c r="AM2365">
        <v>9864</v>
      </c>
      <c r="AS2365">
        <v>5.45</v>
      </c>
      <c r="AT2365" t="s">
        <v>422</v>
      </c>
      <c r="AU2365" t="s">
        <v>130</v>
      </c>
    </row>
    <row r="2366" spans="1:48">
      <c r="A2366" s="1">
        <f>HYPERLINK("https://lsnyc.legalserver.org/matter/dynamic-profile/view/1864503","18-1864503")</f>
        <v>0</v>
      </c>
      <c r="B2366" t="s">
        <v>148</v>
      </c>
      <c r="C2366" t="s">
        <v>256</v>
      </c>
      <c r="D2366" t="s">
        <v>552</v>
      </c>
      <c r="F2366" t="s">
        <v>2194</v>
      </c>
      <c r="G2366" t="s">
        <v>4419</v>
      </c>
      <c r="H2366" t="s">
        <v>5961</v>
      </c>
      <c r="I2366">
        <v>511</v>
      </c>
      <c r="J2366" t="s">
        <v>9067</v>
      </c>
      <c r="K2366">
        <v>10029</v>
      </c>
      <c r="L2366" t="s">
        <v>9094</v>
      </c>
      <c r="M2366" t="s">
        <v>9094</v>
      </c>
      <c r="N2366" t="s">
        <v>9287</v>
      </c>
      <c r="O2366" t="s">
        <v>11130</v>
      </c>
      <c r="P2366" t="s">
        <v>11165</v>
      </c>
      <c r="R2366" t="s">
        <v>11180</v>
      </c>
      <c r="S2366" t="s">
        <v>9094</v>
      </c>
      <c r="T2366" t="s">
        <v>11183</v>
      </c>
      <c r="U2366" t="s">
        <v>11201</v>
      </c>
      <c r="V2366" t="s">
        <v>552</v>
      </c>
      <c r="W2366">
        <v>0</v>
      </c>
      <c r="X2366" t="s">
        <v>11335</v>
      </c>
      <c r="Y2366" t="s">
        <v>11339</v>
      </c>
      <c r="Z2366" t="s">
        <v>12088</v>
      </c>
      <c r="AB2366" t="s">
        <v>17344</v>
      </c>
      <c r="AC2366">
        <v>108</v>
      </c>
      <c r="AD2366" t="s">
        <v>19567</v>
      </c>
      <c r="AE2366" t="s">
        <v>19580</v>
      </c>
      <c r="AF2366">
        <v>33</v>
      </c>
      <c r="AG2366">
        <v>2</v>
      </c>
      <c r="AH2366">
        <v>1</v>
      </c>
      <c r="AI2366">
        <v>81.81</v>
      </c>
      <c r="AL2366" t="s">
        <v>19614</v>
      </c>
      <c r="AM2366">
        <v>17000</v>
      </c>
      <c r="AS2366">
        <v>5.05</v>
      </c>
      <c r="AT2366" t="s">
        <v>326</v>
      </c>
      <c r="AU2366" t="s">
        <v>20657</v>
      </c>
    </row>
    <row r="2367" spans="1:48">
      <c r="A2367" s="1">
        <f>HYPERLINK("https://lsnyc.legalserver.org/matter/dynamic-profile/view/0826379","17-0826379")</f>
        <v>0</v>
      </c>
      <c r="B2367" t="s">
        <v>76</v>
      </c>
      <c r="C2367" t="s">
        <v>256</v>
      </c>
      <c r="D2367" t="s">
        <v>926</v>
      </c>
      <c r="F2367" t="s">
        <v>2195</v>
      </c>
      <c r="G2367" t="s">
        <v>4420</v>
      </c>
      <c r="H2367" t="s">
        <v>6917</v>
      </c>
      <c r="I2367" t="s">
        <v>8271</v>
      </c>
      <c r="J2367" t="s">
        <v>9059</v>
      </c>
      <c r="K2367">
        <v>11207</v>
      </c>
      <c r="L2367" t="s">
        <v>9094</v>
      </c>
      <c r="M2367" t="s">
        <v>9095</v>
      </c>
      <c r="P2367" t="s">
        <v>11164</v>
      </c>
      <c r="R2367" t="s">
        <v>11180</v>
      </c>
      <c r="S2367" t="s">
        <v>9096</v>
      </c>
      <c r="T2367" t="s">
        <v>11183</v>
      </c>
      <c r="W2367">
        <v>1650</v>
      </c>
      <c r="X2367" t="s">
        <v>11332</v>
      </c>
      <c r="Y2367" t="s">
        <v>11340</v>
      </c>
      <c r="Z2367" t="s">
        <v>12980</v>
      </c>
      <c r="AB2367" t="s">
        <v>17345</v>
      </c>
      <c r="AC2367">
        <v>5</v>
      </c>
      <c r="AD2367" t="s">
        <v>15441</v>
      </c>
      <c r="AE2367" t="s">
        <v>19580</v>
      </c>
      <c r="AF2367">
        <v>10</v>
      </c>
      <c r="AG2367">
        <v>4</v>
      </c>
      <c r="AH2367">
        <v>3</v>
      </c>
      <c r="AI2367">
        <v>81.84</v>
      </c>
      <c r="AL2367" t="s">
        <v>19614</v>
      </c>
      <c r="AM2367">
        <v>30394</v>
      </c>
      <c r="AN2367" t="s">
        <v>19862</v>
      </c>
      <c r="AS2367">
        <v>0.2</v>
      </c>
      <c r="AT2367" t="s">
        <v>858</v>
      </c>
      <c r="AU2367" t="s">
        <v>95</v>
      </c>
    </row>
    <row r="2368" spans="1:48">
      <c r="A2368" s="1">
        <f>HYPERLINK("https://lsnyc.legalserver.org/matter/dynamic-profile/view/1885575","18-1885575")</f>
        <v>0</v>
      </c>
      <c r="B2368" t="s">
        <v>113</v>
      </c>
      <c r="C2368" t="s">
        <v>257</v>
      </c>
      <c r="D2368" t="s">
        <v>357</v>
      </c>
      <c r="E2368" t="s">
        <v>301</v>
      </c>
      <c r="F2368" t="s">
        <v>1146</v>
      </c>
      <c r="G2368" t="s">
        <v>3448</v>
      </c>
      <c r="H2368" t="s">
        <v>5864</v>
      </c>
      <c r="I2368" t="s">
        <v>8586</v>
      </c>
      <c r="J2368" t="s">
        <v>9065</v>
      </c>
      <c r="K2368">
        <v>10460</v>
      </c>
      <c r="L2368" t="s">
        <v>9094</v>
      </c>
      <c r="M2368" t="s">
        <v>9094</v>
      </c>
      <c r="N2368" t="s">
        <v>9222</v>
      </c>
      <c r="O2368" t="s">
        <v>11130</v>
      </c>
      <c r="P2368" t="s">
        <v>11165</v>
      </c>
      <c r="Q2368" t="s">
        <v>11174</v>
      </c>
      <c r="R2368" t="s">
        <v>11180</v>
      </c>
      <c r="S2368" t="s">
        <v>9094</v>
      </c>
      <c r="T2368" t="s">
        <v>11183</v>
      </c>
      <c r="V2368" t="s">
        <v>512</v>
      </c>
      <c r="W2368">
        <v>1500</v>
      </c>
      <c r="X2368" t="s">
        <v>11333</v>
      </c>
      <c r="Y2368" t="s">
        <v>11346</v>
      </c>
      <c r="Z2368" t="s">
        <v>12901</v>
      </c>
      <c r="AB2368" t="s">
        <v>17269</v>
      </c>
      <c r="AC2368">
        <v>168</v>
      </c>
      <c r="AD2368" t="s">
        <v>19566</v>
      </c>
      <c r="AE2368" t="s">
        <v>19587</v>
      </c>
      <c r="AF2368">
        <v>1</v>
      </c>
      <c r="AG2368">
        <v>1</v>
      </c>
      <c r="AH2368">
        <v>0</v>
      </c>
      <c r="AI2368">
        <v>81.84999999999999</v>
      </c>
      <c r="AL2368" t="s">
        <v>19615</v>
      </c>
      <c r="AM2368">
        <v>9936</v>
      </c>
      <c r="AS2368">
        <v>0.25</v>
      </c>
      <c r="AT2368" t="s">
        <v>301</v>
      </c>
      <c r="AU2368" t="s">
        <v>163</v>
      </c>
    </row>
    <row r="2369" spans="1:48">
      <c r="A2369" s="1">
        <f>HYPERLINK("https://lsnyc.legalserver.org/matter/dynamic-profile/view/1880671","18-1880671")</f>
        <v>0</v>
      </c>
      <c r="B2369" t="s">
        <v>101</v>
      </c>
      <c r="C2369" t="s">
        <v>256</v>
      </c>
      <c r="D2369" t="s">
        <v>477</v>
      </c>
      <c r="F2369" t="s">
        <v>1197</v>
      </c>
      <c r="G2369" t="s">
        <v>3486</v>
      </c>
      <c r="H2369" t="s">
        <v>6063</v>
      </c>
      <c r="I2369" t="s">
        <v>8229</v>
      </c>
      <c r="J2369" t="s">
        <v>9065</v>
      </c>
      <c r="K2369">
        <v>10452</v>
      </c>
      <c r="L2369" t="s">
        <v>9094</v>
      </c>
      <c r="M2369" t="s">
        <v>9094</v>
      </c>
      <c r="N2369" t="s">
        <v>9564</v>
      </c>
      <c r="O2369" t="s">
        <v>11130</v>
      </c>
      <c r="P2369" t="s">
        <v>11165</v>
      </c>
      <c r="R2369" t="s">
        <v>11180</v>
      </c>
      <c r="S2369" t="s">
        <v>9094</v>
      </c>
      <c r="T2369" t="s">
        <v>11183</v>
      </c>
      <c r="V2369" t="s">
        <v>738</v>
      </c>
      <c r="W2369">
        <v>828</v>
      </c>
      <c r="X2369" t="s">
        <v>11333</v>
      </c>
      <c r="Y2369" t="s">
        <v>11346</v>
      </c>
      <c r="Z2369" t="s">
        <v>12981</v>
      </c>
      <c r="AA2369" t="s">
        <v>15686</v>
      </c>
      <c r="AB2369" t="s">
        <v>17346</v>
      </c>
      <c r="AC2369">
        <v>149</v>
      </c>
      <c r="AD2369" t="s">
        <v>19566</v>
      </c>
      <c r="AF2369">
        <v>2</v>
      </c>
      <c r="AG2369">
        <v>1</v>
      </c>
      <c r="AH2369">
        <v>0</v>
      </c>
      <c r="AI2369">
        <v>81.84999999999999</v>
      </c>
      <c r="AL2369" t="s">
        <v>19614</v>
      </c>
      <c r="AM2369">
        <v>9936</v>
      </c>
      <c r="AS2369">
        <v>0</v>
      </c>
      <c r="AU2369" t="s">
        <v>20647</v>
      </c>
    </row>
    <row r="2370" spans="1:48">
      <c r="A2370" s="1">
        <f>HYPERLINK("https://lsnyc.legalserver.org/matter/dynamic-profile/view/1880819","18-1880819")</f>
        <v>0</v>
      </c>
      <c r="B2370" t="s">
        <v>101</v>
      </c>
      <c r="C2370" t="s">
        <v>256</v>
      </c>
      <c r="D2370" t="s">
        <v>285</v>
      </c>
      <c r="F2370" t="s">
        <v>1197</v>
      </c>
      <c r="G2370" t="s">
        <v>3486</v>
      </c>
      <c r="H2370" t="s">
        <v>6063</v>
      </c>
      <c r="I2370" t="s">
        <v>8229</v>
      </c>
      <c r="J2370" t="s">
        <v>9065</v>
      </c>
      <c r="K2370">
        <v>10452</v>
      </c>
      <c r="L2370" t="s">
        <v>9094</v>
      </c>
      <c r="M2370" t="s">
        <v>9094</v>
      </c>
      <c r="O2370" t="s">
        <v>9121</v>
      </c>
      <c r="P2370" t="s">
        <v>11166</v>
      </c>
      <c r="R2370" t="s">
        <v>11180</v>
      </c>
      <c r="S2370" t="s">
        <v>9094</v>
      </c>
      <c r="T2370" t="s">
        <v>11183</v>
      </c>
      <c r="V2370" t="s">
        <v>738</v>
      </c>
      <c r="W2370">
        <v>828</v>
      </c>
      <c r="X2370" t="s">
        <v>11333</v>
      </c>
      <c r="Y2370" t="s">
        <v>11346</v>
      </c>
      <c r="Z2370" t="s">
        <v>12981</v>
      </c>
      <c r="AA2370" t="s">
        <v>15687</v>
      </c>
      <c r="AB2370" t="s">
        <v>17346</v>
      </c>
      <c r="AC2370">
        <v>149</v>
      </c>
      <c r="AD2370" t="s">
        <v>19566</v>
      </c>
      <c r="AE2370" t="s">
        <v>11157</v>
      </c>
      <c r="AF2370">
        <v>2</v>
      </c>
      <c r="AG2370">
        <v>1</v>
      </c>
      <c r="AH2370">
        <v>0</v>
      </c>
      <c r="AI2370">
        <v>81.84999999999999</v>
      </c>
      <c r="AL2370" t="s">
        <v>19614</v>
      </c>
      <c r="AM2370">
        <v>9936</v>
      </c>
      <c r="AS2370">
        <v>0</v>
      </c>
      <c r="AU2370" t="s">
        <v>20647</v>
      </c>
    </row>
    <row r="2371" spans="1:48">
      <c r="A2371" s="1">
        <f>HYPERLINK("https://lsnyc.legalserver.org/matter/dynamic-profile/view/1888441","19-1888441")</f>
        <v>0</v>
      </c>
      <c r="B2371" t="s">
        <v>101</v>
      </c>
      <c r="C2371" t="s">
        <v>256</v>
      </c>
      <c r="D2371" t="s">
        <v>354</v>
      </c>
      <c r="F2371" t="s">
        <v>1197</v>
      </c>
      <c r="G2371" t="s">
        <v>3486</v>
      </c>
      <c r="H2371" t="s">
        <v>6063</v>
      </c>
      <c r="I2371" t="s">
        <v>8229</v>
      </c>
      <c r="J2371" t="s">
        <v>9065</v>
      </c>
      <c r="K2371">
        <v>10452</v>
      </c>
      <c r="L2371" t="s">
        <v>9094</v>
      </c>
      <c r="M2371" t="s">
        <v>9094</v>
      </c>
      <c r="N2371" t="s">
        <v>10041</v>
      </c>
      <c r="O2371" t="s">
        <v>11136</v>
      </c>
      <c r="P2371" t="s">
        <v>11170</v>
      </c>
      <c r="R2371" t="s">
        <v>11180</v>
      </c>
      <c r="S2371" t="s">
        <v>9094</v>
      </c>
      <c r="T2371" t="s">
        <v>11183</v>
      </c>
      <c r="V2371" t="s">
        <v>785</v>
      </c>
      <c r="W2371">
        <v>828</v>
      </c>
      <c r="X2371" t="s">
        <v>11333</v>
      </c>
      <c r="Y2371" t="s">
        <v>11346</v>
      </c>
      <c r="Z2371" t="s">
        <v>12981</v>
      </c>
      <c r="AA2371" t="s">
        <v>15687</v>
      </c>
      <c r="AB2371" t="s">
        <v>17346</v>
      </c>
      <c r="AC2371">
        <v>149</v>
      </c>
      <c r="AD2371" t="s">
        <v>19566</v>
      </c>
      <c r="AF2371">
        <v>2</v>
      </c>
      <c r="AG2371">
        <v>1</v>
      </c>
      <c r="AH2371">
        <v>0</v>
      </c>
      <c r="AI2371">
        <v>81.84999999999999</v>
      </c>
      <c r="AL2371" t="s">
        <v>19614</v>
      </c>
      <c r="AM2371">
        <v>9936</v>
      </c>
      <c r="AS2371">
        <v>0</v>
      </c>
      <c r="AU2371" t="s">
        <v>20647</v>
      </c>
      <c r="AV2371" t="s">
        <v>20733</v>
      </c>
    </row>
    <row r="2372" spans="1:48">
      <c r="A2372" s="1">
        <f>HYPERLINK("https://lsnyc.legalserver.org/matter/dynamic-profile/view/0812555","16-0812555")</f>
        <v>0</v>
      </c>
      <c r="B2372" t="s">
        <v>108</v>
      </c>
      <c r="C2372" t="s">
        <v>256</v>
      </c>
      <c r="D2372" t="s">
        <v>460</v>
      </c>
      <c r="F2372" t="s">
        <v>2196</v>
      </c>
      <c r="G2372" t="s">
        <v>4421</v>
      </c>
      <c r="H2372" t="s">
        <v>6526</v>
      </c>
      <c r="I2372" t="s">
        <v>8602</v>
      </c>
      <c r="J2372" t="s">
        <v>9065</v>
      </c>
      <c r="K2372">
        <v>10452</v>
      </c>
      <c r="L2372" t="s">
        <v>9094</v>
      </c>
      <c r="M2372" t="s">
        <v>9095</v>
      </c>
      <c r="N2372" t="s">
        <v>9749</v>
      </c>
      <c r="O2372" t="s">
        <v>11135</v>
      </c>
      <c r="P2372" t="s">
        <v>11168</v>
      </c>
      <c r="R2372" t="s">
        <v>11180</v>
      </c>
      <c r="S2372" t="s">
        <v>9094</v>
      </c>
      <c r="T2372" t="s">
        <v>11183</v>
      </c>
      <c r="V2372" t="s">
        <v>11234</v>
      </c>
      <c r="W2372">
        <v>834</v>
      </c>
      <c r="X2372" t="s">
        <v>11333</v>
      </c>
      <c r="Y2372" t="s">
        <v>11346</v>
      </c>
      <c r="Z2372" t="s">
        <v>12982</v>
      </c>
      <c r="AB2372" t="s">
        <v>17347</v>
      </c>
      <c r="AC2372">
        <v>63</v>
      </c>
      <c r="AD2372" t="s">
        <v>19566</v>
      </c>
      <c r="AE2372" t="s">
        <v>11157</v>
      </c>
      <c r="AF2372">
        <v>24</v>
      </c>
      <c r="AG2372">
        <v>1</v>
      </c>
      <c r="AH2372">
        <v>0</v>
      </c>
      <c r="AI2372">
        <v>81.92</v>
      </c>
      <c r="AL2372" t="s">
        <v>19614</v>
      </c>
      <c r="AM2372">
        <v>9732</v>
      </c>
      <c r="AS2372">
        <v>0.2</v>
      </c>
      <c r="AT2372" t="s">
        <v>853</v>
      </c>
      <c r="AU2372" t="s">
        <v>20647</v>
      </c>
    </row>
    <row r="2373" spans="1:48">
      <c r="A2373" s="1">
        <f>HYPERLINK("https://lsnyc.legalserver.org/matter/dynamic-profile/view/1911811","19-1911811")</f>
        <v>0</v>
      </c>
      <c r="B2373" t="s">
        <v>138</v>
      </c>
      <c r="C2373" t="s">
        <v>256</v>
      </c>
      <c r="D2373" t="s">
        <v>284</v>
      </c>
      <c r="F2373" t="s">
        <v>1146</v>
      </c>
      <c r="G2373" t="s">
        <v>4085</v>
      </c>
      <c r="H2373" t="s">
        <v>6918</v>
      </c>
      <c r="I2373" t="s">
        <v>8302</v>
      </c>
      <c r="J2373" t="s">
        <v>9067</v>
      </c>
      <c r="K2373">
        <v>10040</v>
      </c>
      <c r="L2373" t="s">
        <v>9094</v>
      </c>
      <c r="M2373" t="s">
        <v>9095</v>
      </c>
      <c r="P2373" t="s">
        <v>11169</v>
      </c>
      <c r="R2373" t="s">
        <v>11180</v>
      </c>
      <c r="S2373" t="s">
        <v>9096</v>
      </c>
      <c r="T2373" t="s">
        <v>11183</v>
      </c>
      <c r="V2373" t="s">
        <v>284</v>
      </c>
      <c r="W2373">
        <v>177</v>
      </c>
      <c r="X2373" t="s">
        <v>11335</v>
      </c>
      <c r="Y2373" t="s">
        <v>11340</v>
      </c>
      <c r="Z2373" t="s">
        <v>12983</v>
      </c>
      <c r="AB2373" t="s">
        <v>17348</v>
      </c>
      <c r="AC2373">
        <v>26</v>
      </c>
      <c r="AD2373" t="s">
        <v>19566</v>
      </c>
      <c r="AE2373" t="s">
        <v>19580</v>
      </c>
      <c r="AF2373">
        <v>47</v>
      </c>
      <c r="AG2373">
        <v>1</v>
      </c>
      <c r="AH2373">
        <v>0</v>
      </c>
      <c r="AI2373">
        <v>81.95</v>
      </c>
      <c r="AL2373" t="s">
        <v>19615</v>
      </c>
      <c r="AM2373">
        <v>10236</v>
      </c>
      <c r="AS2373">
        <v>1.8</v>
      </c>
      <c r="AT2373" t="s">
        <v>833</v>
      </c>
      <c r="AU2373" t="s">
        <v>130</v>
      </c>
      <c r="AV2373" t="s">
        <v>20733</v>
      </c>
    </row>
    <row r="2374" spans="1:48">
      <c r="A2374" s="1">
        <f>HYPERLINK("https://lsnyc.legalserver.org/matter/dynamic-profile/view/1882204","18-1882204")</f>
        <v>0</v>
      </c>
      <c r="B2374" t="s">
        <v>92</v>
      </c>
      <c r="C2374" t="s">
        <v>256</v>
      </c>
      <c r="D2374" t="s">
        <v>697</v>
      </c>
      <c r="F2374" t="s">
        <v>1170</v>
      </c>
      <c r="G2374" t="s">
        <v>3926</v>
      </c>
      <c r="H2374" t="s">
        <v>6919</v>
      </c>
      <c r="I2374" t="s">
        <v>8141</v>
      </c>
      <c r="J2374" t="s">
        <v>9059</v>
      </c>
      <c r="K2374">
        <v>11233</v>
      </c>
      <c r="L2374" t="s">
        <v>9094</v>
      </c>
      <c r="M2374" t="s">
        <v>9094</v>
      </c>
      <c r="N2374" t="s">
        <v>9121</v>
      </c>
      <c r="O2374" t="s">
        <v>11137</v>
      </c>
      <c r="P2374" t="s">
        <v>11167</v>
      </c>
      <c r="R2374" t="s">
        <v>11180</v>
      </c>
      <c r="S2374" t="s">
        <v>9094</v>
      </c>
      <c r="T2374" t="s">
        <v>11183</v>
      </c>
      <c r="U2374" t="s">
        <v>11201</v>
      </c>
      <c r="V2374" t="s">
        <v>629</v>
      </c>
      <c r="W2374">
        <v>1290</v>
      </c>
      <c r="X2374" t="s">
        <v>11332</v>
      </c>
      <c r="Y2374" t="s">
        <v>11340</v>
      </c>
      <c r="Z2374" t="s">
        <v>12013</v>
      </c>
      <c r="AA2374" t="s">
        <v>15290</v>
      </c>
      <c r="AB2374" t="s">
        <v>17349</v>
      </c>
      <c r="AC2374">
        <v>6</v>
      </c>
      <c r="AD2374" t="s">
        <v>19566</v>
      </c>
      <c r="AE2374" t="s">
        <v>19582</v>
      </c>
      <c r="AF2374">
        <v>13</v>
      </c>
      <c r="AG2374">
        <v>3</v>
      </c>
      <c r="AH2374">
        <v>4</v>
      </c>
      <c r="AI2374">
        <v>81.98</v>
      </c>
      <c r="AL2374" t="s">
        <v>19614</v>
      </c>
      <c r="AM2374">
        <v>31200</v>
      </c>
      <c r="AN2374" t="s">
        <v>19863</v>
      </c>
      <c r="AS2374">
        <v>1.3</v>
      </c>
      <c r="AT2374" t="s">
        <v>321</v>
      </c>
      <c r="AU2374" t="s">
        <v>95</v>
      </c>
      <c r="AV2374" t="s">
        <v>20733</v>
      </c>
    </row>
    <row r="2375" spans="1:48">
      <c r="A2375" s="1">
        <f>HYPERLINK("https://lsnyc.legalserver.org/matter/dynamic-profile/view/1909825","19-1909825")</f>
        <v>0</v>
      </c>
      <c r="B2375" t="s">
        <v>132</v>
      </c>
      <c r="C2375" t="s">
        <v>257</v>
      </c>
      <c r="D2375" t="s">
        <v>549</v>
      </c>
      <c r="E2375" t="s">
        <v>341</v>
      </c>
      <c r="F2375" t="s">
        <v>2197</v>
      </c>
      <c r="G2375" t="s">
        <v>4422</v>
      </c>
      <c r="H2375" t="s">
        <v>6920</v>
      </c>
      <c r="J2375" t="s">
        <v>9067</v>
      </c>
      <c r="K2375">
        <v>10033</v>
      </c>
      <c r="L2375" t="s">
        <v>9094</v>
      </c>
      <c r="M2375" t="s">
        <v>9095</v>
      </c>
      <c r="O2375" t="s">
        <v>9121</v>
      </c>
      <c r="P2375" t="s">
        <v>11164</v>
      </c>
      <c r="Q2375" t="s">
        <v>11172</v>
      </c>
      <c r="R2375" t="s">
        <v>11180</v>
      </c>
      <c r="S2375" t="s">
        <v>9096</v>
      </c>
      <c r="T2375" t="s">
        <v>11183</v>
      </c>
      <c r="V2375" t="s">
        <v>549</v>
      </c>
      <c r="W2375">
        <v>1069.67</v>
      </c>
      <c r="X2375" t="s">
        <v>11335</v>
      </c>
      <c r="Y2375" t="s">
        <v>11338</v>
      </c>
      <c r="Z2375" t="s">
        <v>12984</v>
      </c>
      <c r="AB2375" t="s">
        <v>17350</v>
      </c>
      <c r="AC2375">
        <v>19</v>
      </c>
      <c r="AD2375" t="s">
        <v>19566</v>
      </c>
      <c r="AE2375" t="s">
        <v>19587</v>
      </c>
      <c r="AF2375">
        <v>36</v>
      </c>
      <c r="AG2375">
        <v>2</v>
      </c>
      <c r="AH2375">
        <v>0</v>
      </c>
      <c r="AI2375">
        <v>82.03</v>
      </c>
      <c r="AL2375" t="s">
        <v>19615</v>
      </c>
      <c r="AM2375">
        <v>13872</v>
      </c>
      <c r="AS2375">
        <v>1</v>
      </c>
      <c r="AT2375" t="s">
        <v>549</v>
      </c>
      <c r="AU2375" t="s">
        <v>130</v>
      </c>
      <c r="AV2375" t="s">
        <v>20733</v>
      </c>
    </row>
    <row r="2376" spans="1:48">
      <c r="A2376" s="1">
        <f>HYPERLINK("https://lsnyc.legalserver.org/matter/dynamic-profile/view/1882518","18-1882518")</f>
        <v>0</v>
      </c>
      <c r="B2376" t="s">
        <v>83</v>
      </c>
      <c r="C2376" t="s">
        <v>256</v>
      </c>
      <c r="D2376" t="s">
        <v>323</v>
      </c>
      <c r="F2376" t="s">
        <v>2027</v>
      </c>
      <c r="G2376" t="s">
        <v>4423</v>
      </c>
      <c r="H2376" t="s">
        <v>6921</v>
      </c>
      <c r="I2376" t="s">
        <v>8160</v>
      </c>
      <c r="J2376" t="s">
        <v>9059</v>
      </c>
      <c r="K2376">
        <v>11213</v>
      </c>
      <c r="L2376" t="s">
        <v>9094</v>
      </c>
      <c r="M2376" t="s">
        <v>9095</v>
      </c>
      <c r="P2376" t="s">
        <v>11166</v>
      </c>
      <c r="R2376" t="s">
        <v>11180</v>
      </c>
      <c r="T2376" t="s">
        <v>11183</v>
      </c>
      <c r="V2376" t="s">
        <v>650</v>
      </c>
      <c r="W2376">
        <v>0</v>
      </c>
      <c r="X2376" t="s">
        <v>11332</v>
      </c>
      <c r="Z2376" t="s">
        <v>12985</v>
      </c>
      <c r="AB2376" t="s">
        <v>17351</v>
      </c>
      <c r="AC2376">
        <v>0</v>
      </c>
      <c r="AD2376" t="s">
        <v>19566</v>
      </c>
      <c r="AF2376">
        <v>51</v>
      </c>
      <c r="AG2376">
        <v>1</v>
      </c>
      <c r="AH2376">
        <v>0</v>
      </c>
      <c r="AI2376">
        <v>82.04000000000001</v>
      </c>
      <c r="AL2376" t="s">
        <v>19614</v>
      </c>
      <c r="AM2376">
        <v>9960</v>
      </c>
      <c r="AS2376">
        <v>7.3</v>
      </c>
      <c r="AT2376" t="s">
        <v>791</v>
      </c>
      <c r="AU2376" t="s">
        <v>20628</v>
      </c>
      <c r="AV2376" t="s">
        <v>20733</v>
      </c>
    </row>
    <row r="2377" spans="1:48">
      <c r="A2377" s="1">
        <f>HYPERLINK("https://lsnyc.legalserver.org/matter/dynamic-profile/view/1885719","18-1885719")</f>
        <v>0</v>
      </c>
      <c r="B2377" t="s">
        <v>72</v>
      </c>
      <c r="C2377" t="s">
        <v>257</v>
      </c>
      <c r="D2377" t="s">
        <v>424</v>
      </c>
      <c r="E2377" t="s">
        <v>457</v>
      </c>
      <c r="F2377" t="s">
        <v>1264</v>
      </c>
      <c r="G2377" t="s">
        <v>3498</v>
      </c>
      <c r="H2377" t="s">
        <v>6922</v>
      </c>
      <c r="I2377" t="s">
        <v>8358</v>
      </c>
      <c r="J2377" t="s">
        <v>9059</v>
      </c>
      <c r="K2377">
        <v>11212</v>
      </c>
      <c r="L2377" t="s">
        <v>9094</v>
      </c>
      <c r="M2377" t="s">
        <v>9094</v>
      </c>
      <c r="N2377" t="s">
        <v>10042</v>
      </c>
      <c r="O2377" t="s">
        <v>11128</v>
      </c>
      <c r="P2377" t="s">
        <v>11165</v>
      </c>
      <c r="Q2377" t="s">
        <v>11178</v>
      </c>
      <c r="R2377" t="s">
        <v>11180</v>
      </c>
      <c r="S2377" t="s">
        <v>9096</v>
      </c>
      <c r="T2377" t="s">
        <v>11183</v>
      </c>
      <c r="V2377" t="s">
        <v>634</v>
      </c>
      <c r="W2377">
        <v>1260</v>
      </c>
      <c r="X2377" t="s">
        <v>11332</v>
      </c>
      <c r="Y2377" t="s">
        <v>11336</v>
      </c>
      <c r="Z2377" t="s">
        <v>12986</v>
      </c>
      <c r="AA2377" t="s">
        <v>15688</v>
      </c>
      <c r="AB2377" t="s">
        <v>17352</v>
      </c>
      <c r="AC2377">
        <v>7</v>
      </c>
      <c r="AD2377" t="s">
        <v>19565</v>
      </c>
      <c r="AE2377" t="s">
        <v>19586</v>
      </c>
      <c r="AF2377">
        <v>2</v>
      </c>
      <c r="AG2377">
        <v>1</v>
      </c>
      <c r="AH2377">
        <v>0</v>
      </c>
      <c r="AI2377">
        <v>82.04000000000001</v>
      </c>
      <c r="AL2377" t="s">
        <v>19614</v>
      </c>
      <c r="AM2377">
        <v>9960</v>
      </c>
      <c r="AS2377">
        <v>15.25</v>
      </c>
      <c r="AT2377" t="s">
        <v>457</v>
      </c>
      <c r="AU2377" t="s">
        <v>79</v>
      </c>
      <c r="AV2377" t="s">
        <v>20733</v>
      </c>
    </row>
    <row r="2378" spans="1:48">
      <c r="A2378" s="1">
        <f>HYPERLINK("https://lsnyc.legalserver.org/matter/dynamic-profile/view/1877738","18-1877738")</f>
        <v>0</v>
      </c>
      <c r="B2378" t="s">
        <v>101</v>
      </c>
      <c r="C2378" t="s">
        <v>256</v>
      </c>
      <c r="D2378" t="s">
        <v>605</v>
      </c>
      <c r="F2378" t="s">
        <v>2095</v>
      </c>
      <c r="G2378" t="s">
        <v>4424</v>
      </c>
      <c r="H2378" t="s">
        <v>6063</v>
      </c>
      <c r="I2378">
        <v>41</v>
      </c>
      <c r="J2378" t="s">
        <v>9065</v>
      </c>
      <c r="K2378">
        <v>10452</v>
      </c>
      <c r="L2378" t="s">
        <v>9094</v>
      </c>
      <c r="M2378" t="s">
        <v>9094</v>
      </c>
      <c r="O2378" t="s">
        <v>9121</v>
      </c>
      <c r="P2378" t="s">
        <v>11166</v>
      </c>
      <c r="R2378" t="s">
        <v>11180</v>
      </c>
      <c r="S2378" t="s">
        <v>9094</v>
      </c>
      <c r="T2378" t="s">
        <v>11183</v>
      </c>
      <c r="V2378" t="s">
        <v>738</v>
      </c>
      <c r="W2378">
        <v>252</v>
      </c>
      <c r="X2378" t="s">
        <v>11333</v>
      </c>
      <c r="Y2378" t="s">
        <v>11346</v>
      </c>
      <c r="Z2378" t="s">
        <v>12987</v>
      </c>
      <c r="AA2378" t="s">
        <v>15689</v>
      </c>
      <c r="AB2378" t="s">
        <v>17353</v>
      </c>
      <c r="AC2378">
        <v>149</v>
      </c>
      <c r="AD2378" t="s">
        <v>19566</v>
      </c>
      <c r="AE2378" t="s">
        <v>19585</v>
      </c>
      <c r="AF2378">
        <v>2</v>
      </c>
      <c r="AG2378">
        <v>1</v>
      </c>
      <c r="AH2378">
        <v>0</v>
      </c>
      <c r="AI2378">
        <v>82.04000000000001</v>
      </c>
      <c r="AL2378" t="s">
        <v>19614</v>
      </c>
      <c r="AM2378">
        <v>9960</v>
      </c>
      <c r="AS2378">
        <v>0</v>
      </c>
      <c r="AU2378" t="s">
        <v>20647</v>
      </c>
    </row>
    <row r="2379" spans="1:48">
      <c r="A2379" s="1">
        <f>HYPERLINK("https://lsnyc.legalserver.org/matter/dynamic-profile/view/1865312","18-1865312")</f>
        <v>0</v>
      </c>
      <c r="B2379" t="s">
        <v>118</v>
      </c>
      <c r="C2379" t="s">
        <v>257</v>
      </c>
      <c r="D2379" t="s">
        <v>872</v>
      </c>
      <c r="E2379" t="s">
        <v>367</v>
      </c>
      <c r="F2379" t="s">
        <v>1158</v>
      </c>
      <c r="G2379" t="s">
        <v>4381</v>
      </c>
      <c r="H2379" t="s">
        <v>6158</v>
      </c>
      <c r="I2379" t="s">
        <v>8175</v>
      </c>
      <c r="J2379" t="s">
        <v>9065</v>
      </c>
      <c r="K2379">
        <v>10452</v>
      </c>
      <c r="L2379" t="s">
        <v>9094</v>
      </c>
      <c r="M2379" t="s">
        <v>9095</v>
      </c>
      <c r="O2379" t="s">
        <v>11137</v>
      </c>
      <c r="P2379" t="s">
        <v>11166</v>
      </c>
      <c r="Q2379" t="s">
        <v>11173</v>
      </c>
      <c r="R2379" t="s">
        <v>11180</v>
      </c>
      <c r="S2379" t="s">
        <v>9094</v>
      </c>
      <c r="T2379" t="s">
        <v>11183</v>
      </c>
      <c r="V2379" t="s">
        <v>745</v>
      </c>
      <c r="W2379">
        <v>1100</v>
      </c>
      <c r="X2379" t="s">
        <v>11333</v>
      </c>
      <c r="Y2379" t="s">
        <v>11346</v>
      </c>
      <c r="Z2379" t="s">
        <v>12907</v>
      </c>
      <c r="AB2379" t="s">
        <v>17275</v>
      </c>
      <c r="AC2379">
        <v>0</v>
      </c>
      <c r="AD2379" t="s">
        <v>19566</v>
      </c>
      <c r="AE2379" t="s">
        <v>11157</v>
      </c>
      <c r="AF2379">
        <v>3</v>
      </c>
      <c r="AG2379">
        <v>1</v>
      </c>
      <c r="AH2379">
        <v>0</v>
      </c>
      <c r="AI2379">
        <v>82.04000000000001</v>
      </c>
      <c r="AL2379" t="s">
        <v>19614</v>
      </c>
      <c r="AM2379">
        <v>9960</v>
      </c>
      <c r="AS2379">
        <v>1.1</v>
      </c>
      <c r="AT2379" t="s">
        <v>367</v>
      </c>
      <c r="AU2379" t="s">
        <v>174</v>
      </c>
      <c r="AV2379" t="s">
        <v>20733</v>
      </c>
    </row>
    <row r="2380" spans="1:48">
      <c r="A2380" s="1">
        <f>HYPERLINK("https://lsnyc.legalserver.org/matter/dynamic-profile/view/1888489","19-1888489")</f>
        <v>0</v>
      </c>
      <c r="B2380" t="s">
        <v>101</v>
      </c>
      <c r="C2380" t="s">
        <v>256</v>
      </c>
      <c r="D2380" t="s">
        <v>354</v>
      </c>
      <c r="F2380" t="s">
        <v>2095</v>
      </c>
      <c r="G2380" t="s">
        <v>4424</v>
      </c>
      <c r="H2380" t="s">
        <v>6063</v>
      </c>
      <c r="I2380">
        <v>41</v>
      </c>
      <c r="J2380" t="s">
        <v>9065</v>
      </c>
      <c r="K2380">
        <v>10452</v>
      </c>
      <c r="L2380" t="s">
        <v>9094</v>
      </c>
      <c r="M2380" t="s">
        <v>9094</v>
      </c>
      <c r="N2380" t="s">
        <v>10041</v>
      </c>
      <c r="O2380" t="s">
        <v>11136</v>
      </c>
      <c r="P2380" t="s">
        <v>11170</v>
      </c>
      <c r="R2380" t="s">
        <v>11180</v>
      </c>
      <c r="S2380" t="s">
        <v>9094</v>
      </c>
      <c r="T2380" t="s">
        <v>11192</v>
      </c>
      <c r="V2380" t="s">
        <v>785</v>
      </c>
      <c r="W2380">
        <v>252</v>
      </c>
      <c r="X2380" t="s">
        <v>11333</v>
      </c>
      <c r="Y2380" t="s">
        <v>11346</v>
      </c>
      <c r="Z2380" t="s">
        <v>12987</v>
      </c>
      <c r="AA2380" t="s">
        <v>15690</v>
      </c>
      <c r="AB2380" t="s">
        <v>17353</v>
      </c>
      <c r="AC2380">
        <v>149</v>
      </c>
      <c r="AD2380" t="s">
        <v>19566</v>
      </c>
      <c r="AE2380" t="s">
        <v>19585</v>
      </c>
      <c r="AF2380">
        <v>2</v>
      </c>
      <c r="AG2380">
        <v>1</v>
      </c>
      <c r="AH2380">
        <v>0</v>
      </c>
      <c r="AI2380">
        <v>82.04000000000001</v>
      </c>
      <c r="AL2380" t="s">
        <v>19614</v>
      </c>
      <c r="AM2380">
        <v>9960</v>
      </c>
      <c r="AS2380">
        <v>0</v>
      </c>
      <c r="AU2380" t="s">
        <v>20647</v>
      </c>
      <c r="AV2380" t="s">
        <v>20733</v>
      </c>
    </row>
    <row r="2381" spans="1:48">
      <c r="A2381" s="1">
        <f>HYPERLINK("https://lsnyc.legalserver.org/matter/dynamic-profile/view/1877971","18-1877971")</f>
        <v>0</v>
      </c>
      <c r="B2381" t="s">
        <v>113</v>
      </c>
      <c r="C2381" t="s">
        <v>256</v>
      </c>
      <c r="D2381" t="s">
        <v>489</v>
      </c>
      <c r="F2381" t="s">
        <v>1616</v>
      </c>
      <c r="G2381" t="s">
        <v>4425</v>
      </c>
      <c r="H2381" t="s">
        <v>5892</v>
      </c>
      <c r="I2381" t="s">
        <v>8532</v>
      </c>
      <c r="J2381" t="s">
        <v>9065</v>
      </c>
      <c r="K2381">
        <v>10453</v>
      </c>
      <c r="L2381" t="s">
        <v>9094</v>
      </c>
      <c r="M2381" t="s">
        <v>9094</v>
      </c>
      <c r="O2381" t="s">
        <v>9121</v>
      </c>
      <c r="P2381" t="s">
        <v>11167</v>
      </c>
      <c r="R2381" t="s">
        <v>11180</v>
      </c>
      <c r="S2381" t="s">
        <v>9094</v>
      </c>
      <c r="T2381" t="s">
        <v>11183</v>
      </c>
      <c r="V2381" t="s">
        <v>11218</v>
      </c>
      <c r="W2381">
        <v>1086</v>
      </c>
      <c r="X2381" t="s">
        <v>11333</v>
      </c>
      <c r="Y2381" t="s">
        <v>11346</v>
      </c>
      <c r="Z2381" t="s">
        <v>12988</v>
      </c>
      <c r="AB2381" t="s">
        <v>17354</v>
      </c>
      <c r="AC2381">
        <v>99</v>
      </c>
      <c r="AD2381" t="s">
        <v>19566</v>
      </c>
      <c r="AE2381" t="s">
        <v>19580</v>
      </c>
      <c r="AF2381">
        <v>4</v>
      </c>
      <c r="AG2381">
        <v>2</v>
      </c>
      <c r="AH2381">
        <v>0</v>
      </c>
      <c r="AI2381">
        <v>82.2</v>
      </c>
      <c r="AL2381" t="s">
        <v>19614</v>
      </c>
      <c r="AM2381">
        <v>13530</v>
      </c>
      <c r="AS2381">
        <v>0</v>
      </c>
      <c r="AU2381" t="s">
        <v>163</v>
      </c>
      <c r="AV2381" t="s">
        <v>20733</v>
      </c>
    </row>
    <row r="2382" spans="1:48">
      <c r="A2382" s="1">
        <f>HYPERLINK("https://lsnyc.legalserver.org/matter/dynamic-profile/view/1887098","19-1887098")</f>
        <v>0</v>
      </c>
      <c r="B2382" t="s">
        <v>113</v>
      </c>
      <c r="C2382" t="s">
        <v>257</v>
      </c>
      <c r="D2382" t="s">
        <v>324</v>
      </c>
      <c r="E2382" t="s">
        <v>326</v>
      </c>
      <c r="F2382" t="s">
        <v>1616</v>
      </c>
      <c r="G2382" t="s">
        <v>4425</v>
      </c>
      <c r="H2382" t="s">
        <v>5892</v>
      </c>
      <c r="I2382" t="s">
        <v>8532</v>
      </c>
      <c r="J2382" t="s">
        <v>9065</v>
      </c>
      <c r="K2382">
        <v>10453</v>
      </c>
      <c r="L2382" t="s">
        <v>9094</v>
      </c>
      <c r="M2382" t="s">
        <v>9095</v>
      </c>
      <c r="O2382" t="s">
        <v>9121</v>
      </c>
      <c r="P2382" t="s">
        <v>11166</v>
      </c>
      <c r="Q2382" t="s">
        <v>11173</v>
      </c>
      <c r="R2382" t="s">
        <v>11180</v>
      </c>
      <c r="S2382" t="s">
        <v>9094</v>
      </c>
      <c r="T2382" t="s">
        <v>11183</v>
      </c>
      <c r="V2382" t="s">
        <v>441</v>
      </c>
      <c r="W2382">
        <v>1086</v>
      </c>
      <c r="X2382" t="s">
        <v>11333</v>
      </c>
      <c r="Y2382" t="s">
        <v>11346</v>
      </c>
      <c r="Z2382" t="s">
        <v>12988</v>
      </c>
      <c r="AB2382" t="s">
        <v>17354</v>
      </c>
      <c r="AC2382">
        <v>99</v>
      </c>
      <c r="AD2382" t="s">
        <v>19566</v>
      </c>
      <c r="AE2382" t="s">
        <v>19580</v>
      </c>
      <c r="AF2382">
        <v>4</v>
      </c>
      <c r="AG2382">
        <v>2</v>
      </c>
      <c r="AH2382">
        <v>0</v>
      </c>
      <c r="AI2382">
        <v>82.2</v>
      </c>
      <c r="AL2382" t="s">
        <v>19614</v>
      </c>
      <c r="AM2382">
        <v>13530</v>
      </c>
      <c r="AN2382" t="s">
        <v>19864</v>
      </c>
      <c r="AS2382">
        <v>0.5</v>
      </c>
      <c r="AT2382" t="s">
        <v>326</v>
      </c>
      <c r="AU2382" t="s">
        <v>20647</v>
      </c>
      <c r="AV2382" t="s">
        <v>20733</v>
      </c>
    </row>
    <row r="2383" spans="1:48">
      <c r="A2383" s="1">
        <f>HYPERLINK("https://lsnyc.legalserver.org/matter/dynamic-profile/view/1863008","18-1863008")</f>
        <v>0</v>
      </c>
      <c r="B2383" t="s">
        <v>101</v>
      </c>
      <c r="C2383" t="s">
        <v>256</v>
      </c>
      <c r="D2383" t="s">
        <v>873</v>
      </c>
      <c r="F2383" t="s">
        <v>1824</v>
      </c>
      <c r="G2383" t="s">
        <v>3996</v>
      </c>
      <c r="H2383" t="s">
        <v>6063</v>
      </c>
      <c r="J2383" t="s">
        <v>9065</v>
      </c>
      <c r="K2383">
        <v>10452</v>
      </c>
      <c r="L2383" t="s">
        <v>9094</v>
      </c>
      <c r="M2383" t="s">
        <v>9095</v>
      </c>
      <c r="N2383" t="s">
        <v>10043</v>
      </c>
      <c r="O2383" t="s">
        <v>11136</v>
      </c>
      <c r="P2383" t="s">
        <v>11170</v>
      </c>
      <c r="R2383" t="s">
        <v>11180</v>
      </c>
      <c r="S2383" t="s">
        <v>9094</v>
      </c>
      <c r="T2383" t="s">
        <v>11192</v>
      </c>
      <c r="V2383" t="s">
        <v>874</v>
      </c>
      <c r="W2383">
        <v>230</v>
      </c>
      <c r="X2383" t="s">
        <v>11333</v>
      </c>
      <c r="Y2383" t="s">
        <v>11346</v>
      </c>
      <c r="Z2383" t="s">
        <v>12989</v>
      </c>
      <c r="AB2383" t="s">
        <v>16696</v>
      </c>
      <c r="AC2383">
        <v>149</v>
      </c>
      <c r="AD2383" t="s">
        <v>15441</v>
      </c>
      <c r="AE2383" t="s">
        <v>19585</v>
      </c>
      <c r="AF2383">
        <v>27</v>
      </c>
      <c r="AG2383">
        <v>1</v>
      </c>
      <c r="AH2383">
        <v>1</v>
      </c>
      <c r="AI2383">
        <v>82.23999999999999</v>
      </c>
      <c r="AL2383" t="s">
        <v>19615</v>
      </c>
      <c r="AM2383">
        <v>13536</v>
      </c>
      <c r="AS2383">
        <v>961.4400000000001</v>
      </c>
      <c r="AT2383" t="s">
        <v>1135</v>
      </c>
      <c r="AU2383" t="s">
        <v>20708</v>
      </c>
    </row>
    <row r="2384" spans="1:48">
      <c r="A2384" s="1">
        <f>HYPERLINK("https://lsnyc.legalserver.org/matter/dynamic-profile/view/1899751","19-1899751")</f>
        <v>0</v>
      </c>
      <c r="B2384" t="s">
        <v>140</v>
      </c>
      <c r="C2384" t="s">
        <v>256</v>
      </c>
      <c r="D2384" t="s">
        <v>261</v>
      </c>
      <c r="F2384" t="s">
        <v>1404</v>
      </c>
      <c r="G2384" t="s">
        <v>4426</v>
      </c>
      <c r="H2384" t="s">
        <v>6586</v>
      </c>
      <c r="I2384" t="s">
        <v>8566</v>
      </c>
      <c r="J2384" t="s">
        <v>9067</v>
      </c>
      <c r="K2384">
        <v>10034</v>
      </c>
      <c r="L2384" t="s">
        <v>9094</v>
      </c>
      <c r="M2384" t="s">
        <v>9095</v>
      </c>
      <c r="O2384" t="s">
        <v>11129</v>
      </c>
      <c r="P2384" t="s">
        <v>11164</v>
      </c>
      <c r="R2384" t="s">
        <v>11180</v>
      </c>
      <c r="S2384" t="s">
        <v>9094</v>
      </c>
      <c r="T2384" t="s">
        <v>11183</v>
      </c>
      <c r="V2384" t="s">
        <v>261</v>
      </c>
      <c r="W2384">
        <v>856</v>
      </c>
      <c r="X2384" t="s">
        <v>11335</v>
      </c>
      <c r="Y2384" t="s">
        <v>11338</v>
      </c>
      <c r="Z2384" t="s">
        <v>12990</v>
      </c>
      <c r="AB2384" t="s">
        <v>17355</v>
      </c>
      <c r="AC2384">
        <v>44</v>
      </c>
      <c r="AD2384" t="s">
        <v>19566</v>
      </c>
      <c r="AE2384" t="s">
        <v>19580</v>
      </c>
      <c r="AF2384">
        <v>44</v>
      </c>
      <c r="AG2384">
        <v>1</v>
      </c>
      <c r="AH2384">
        <v>0</v>
      </c>
      <c r="AI2384">
        <v>82.23999999999999</v>
      </c>
      <c r="AL2384" t="s">
        <v>19614</v>
      </c>
      <c r="AM2384">
        <v>10272</v>
      </c>
      <c r="AS2384">
        <v>0.51</v>
      </c>
      <c r="AT2384" t="s">
        <v>276</v>
      </c>
      <c r="AU2384" t="s">
        <v>130</v>
      </c>
      <c r="AV2384" t="s">
        <v>20733</v>
      </c>
    </row>
    <row r="2385" spans="1:48">
      <c r="A2385" s="1">
        <f>HYPERLINK("https://lsnyc.legalserver.org/matter/dynamic-profile/view/1863012","18-1863012")</f>
        <v>0</v>
      </c>
      <c r="B2385" t="s">
        <v>136</v>
      </c>
      <c r="C2385" t="s">
        <v>256</v>
      </c>
      <c r="D2385" t="s">
        <v>873</v>
      </c>
      <c r="F2385" t="s">
        <v>1247</v>
      </c>
      <c r="G2385" t="s">
        <v>3765</v>
      </c>
      <c r="H2385" t="s">
        <v>5961</v>
      </c>
      <c r="I2385">
        <v>204</v>
      </c>
      <c r="J2385" t="s">
        <v>9067</v>
      </c>
      <c r="K2385">
        <v>10029</v>
      </c>
      <c r="L2385" t="s">
        <v>9094</v>
      </c>
      <c r="M2385" t="s">
        <v>9094</v>
      </c>
      <c r="N2385" t="s">
        <v>9287</v>
      </c>
      <c r="O2385" t="s">
        <v>11130</v>
      </c>
      <c r="P2385" t="s">
        <v>11165</v>
      </c>
      <c r="R2385" t="s">
        <v>11180</v>
      </c>
      <c r="S2385" t="s">
        <v>9094</v>
      </c>
      <c r="T2385" t="s">
        <v>11183</v>
      </c>
      <c r="U2385" t="s">
        <v>11201</v>
      </c>
      <c r="V2385" t="s">
        <v>575</v>
      </c>
      <c r="W2385">
        <v>2670</v>
      </c>
      <c r="X2385" t="s">
        <v>11335</v>
      </c>
      <c r="Y2385" t="s">
        <v>11339</v>
      </c>
      <c r="Z2385" t="s">
        <v>12991</v>
      </c>
      <c r="AB2385" t="s">
        <v>17356</v>
      </c>
      <c r="AC2385">
        <v>108</v>
      </c>
      <c r="AD2385" t="s">
        <v>19567</v>
      </c>
      <c r="AE2385" t="s">
        <v>19580</v>
      </c>
      <c r="AF2385">
        <v>32</v>
      </c>
      <c r="AG2385">
        <v>1</v>
      </c>
      <c r="AH2385">
        <v>0</v>
      </c>
      <c r="AI2385">
        <v>82.23999999999999</v>
      </c>
      <c r="AL2385" t="s">
        <v>19615</v>
      </c>
      <c r="AM2385">
        <v>9984</v>
      </c>
      <c r="AS2385">
        <v>0.25</v>
      </c>
      <c r="AT2385" t="s">
        <v>289</v>
      </c>
      <c r="AU2385" t="s">
        <v>20657</v>
      </c>
    </row>
    <row r="2386" spans="1:48">
      <c r="A2386" s="1">
        <f>HYPERLINK("https://lsnyc.legalserver.org/matter/dynamic-profile/view/1913533","19-1913533")</f>
        <v>0</v>
      </c>
      <c r="B2386" t="s">
        <v>111</v>
      </c>
      <c r="C2386" t="s">
        <v>256</v>
      </c>
      <c r="D2386" t="s">
        <v>521</v>
      </c>
      <c r="F2386" t="s">
        <v>2198</v>
      </c>
      <c r="G2386" t="s">
        <v>3366</v>
      </c>
      <c r="H2386" t="s">
        <v>6923</v>
      </c>
      <c r="I2386" t="s">
        <v>8149</v>
      </c>
      <c r="J2386" t="s">
        <v>9065</v>
      </c>
      <c r="K2386">
        <v>10459</v>
      </c>
      <c r="L2386" t="s">
        <v>9094</v>
      </c>
      <c r="M2386" t="s">
        <v>9095</v>
      </c>
      <c r="P2386" t="s">
        <v>11167</v>
      </c>
      <c r="R2386" t="s">
        <v>11180</v>
      </c>
      <c r="S2386" t="s">
        <v>9096</v>
      </c>
      <c r="T2386" t="s">
        <v>11183</v>
      </c>
      <c r="W2386">
        <v>165</v>
      </c>
      <c r="X2386" t="s">
        <v>11333</v>
      </c>
      <c r="Y2386" t="s">
        <v>11341</v>
      </c>
      <c r="Z2386" t="s">
        <v>12992</v>
      </c>
      <c r="AB2386" t="s">
        <v>17357</v>
      </c>
      <c r="AC2386">
        <v>64</v>
      </c>
      <c r="AD2386" t="s">
        <v>19567</v>
      </c>
      <c r="AF2386">
        <v>12</v>
      </c>
      <c r="AG2386">
        <v>1</v>
      </c>
      <c r="AH2386">
        <v>1</v>
      </c>
      <c r="AI2386">
        <v>82.25</v>
      </c>
      <c r="AL2386" t="s">
        <v>19614</v>
      </c>
      <c r="AM2386">
        <v>13908</v>
      </c>
      <c r="AS2386">
        <v>1.8</v>
      </c>
      <c r="AT2386" t="s">
        <v>556</v>
      </c>
      <c r="AU2386" t="s">
        <v>20656</v>
      </c>
      <c r="AV2386" t="s">
        <v>20733</v>
      </c>
    </row>
    <row r="2387" spans="1:48">
      <c r="A2387" s="1">
        <f>HYPERLINK("https://lsnyc.legalserver.org/matter/dynamic-profile/view/1836386","17-1836386")</f>
        <v>0</v>
      </c>
      <c r="B2387" t="s">
        <v>75</v>
      </c>
      <c r="C2387" t="s">
        <v>256</v>
      </c>
      <c r="D2387" t="s">
        <v>913</v>
      </c>
      <c r="F2387" t="s">
        <v>1145</v>
      </c>
      <c r="G2387" t="s">
        <v>4427</v>
      </c>
      <c r="H2387" t="s">
        <v>6924</v>
      </c>
      <c r="I2387" t="s">
        <v>8154</v>
      </c>
      <c r="J2387" t="s">
        <v>9059</v>
      </c>
      <c r="K2387">
        <v>11233</v>
      </c>
      <c r="L2387" t="s">
        <v>9094</v>
      </c>
      <c r="M2387" t="s">
        <v>9095</v>
      </c>
      <c r="O2387" t="s">
        <v>11135</v>
      </c>
      <c r="P2387" t="s">
        <v>11168</v>
      </c>
      <c r="R2387" t="s">
        <v>11180</v>
      </c>
      <c r="S2387" t="s">
        <v>9094</v>
      </c>
      <c r="T2387" t="s">
        <v>11183</v>
      </c>
      <c r="V2387" t="s">
        <v>913</v>
      </c>
      <c r="W2387">
        <v>2350</v>
      </c>
      <c r="X2387" t="s">
        <v>11332</v>
      </c>
      <c r="Y2387" t="s">
        <v>11340</v>
      </c>
      <c r="Z2387" t="s">
        <v>12993</v>
      </c>
      <c r="AB2387" t="s">
        <v>17358</v>
      </c>
      <c r="AC2387">
        <v>6</v>
      </c>
      <c r="AD2387" t="s">
        <v>19566</v>
      </c>
      <c r="AE2387" t="s">
        <v>9144</v>
      </c>
      <c r="AF2387">
        <v>1</v>
      </c>
      <c r="AG2387">
        <v>3</v>
      </c>
      <c r="AH2387">
        <v>0</v>
      </c>
      <c r="AI2387">
        <v>82.27</v>
      </c>
      <c r="AL2387" t="s">
        <v>19614</v>
      </c>
      <c r="AM2387">
        <v>16800</v>
      </c>
      <c r="AS2387">
        <v>99.15000000000001</v>
      </c>
      <c r="AT2387" t="s">
        <v>338</v>
      </c>
      <c r="AU2387" t="s">
        <v>20709</v>
      </c>
    </row>
    <row r="2388" spans="1:48">
      <c r="A2388" s="1">
        <f>HYPERLINK("https://lsnyc.legalserver.org/matter/dynamic-profile/view/1881179","18-1881179")</f>
        <v>0</v>
      </c>
      <c r="B2388" t="s">
        <v>72</v>
      </c>
      <c r="C2388" t="s">
        <v>256</v>
      </c>
      <c r="D2388" t="s">
        <v>639</v>
      </c>
      <c r="F2388" t="s">
        <v>1687</v>
      </c>
      <c r="G2388" t="s">
        <v>4428</v>
      </c>
      <c r="H2388" t="s">
        <v>6925</v>
      </c>
      <c r="I2388" t="s">
        <v>8129</v>
      </c>
      <c r="J2388" t="s">
        <v>9059</v>
      </c>
      <c r="K2388">
        <v>11208</v>
      </c>
      <c r="L2388" t="s">
        <v>9094</v>
      </c>
      <c r="M2388" t="s">
        <v>9096</v>
      </c>
      <c r="N2388" t="s">
        <v>10044</v>
      </c>
      <c r="O2388" t="s">
        <v>11128</v>
      </c>
      <c r="P2388" t="s">
        <v>11165</v>
      </c>
      <c r="R2388" t="s">
        <v>11180</v>
      </c>
      <c r="S2388" t="s">
        <v>9096</v>
      </c>
      <c r="T2388" t="s">
        <v>11183</v>
      </c>
      <c r="U2388" t="s">
        <v>11201</v>
      </c>
      <c r="V2388" t="s">
        <v>502</v>
      </c>
      <c r="W2388">
        <v>1700</v>
      </c>
      <c r="X2388" t="s">
        <v>11332</v>
      </c>
      <c r="Y2388" t="s">
        <v>11352</v>
      </c>
      <c r="Z2388" t="s">
        <v>12994</v>
      </c>
      <c r="AA2388" t="s">
        <v>15691</v>
      </c>
      <c r="AC2388">
        <v>3</v>
      </c>
      <c r="AD2388" t="s">
        <v>19565</v>
      </c>
      <c r="AE2388" t="s">
        <v>9144</v>
      </c>
      <c r="AF2388">
        <v>6</v>
      </c>
      <c r="AG2388">
        <v>2</v>
      </c>
      <c r="AH2388">
        <v>0</v>
      </c>
      <c r="AI2388">
        <v>82.27</v>
      </c>
      <c r="AL2388" t="s">
        <v>19614</v>
      </c>
      <c r="AM2388">
        <v>13542</v>
      </c>
      <c r="AS2388">
        <v>15.35</v>
      </c>
      <c r="AT2388" t="s">
        <v>280</v>
      </c>
      <c r="AU2388" t="s">
        <v>20629</v>
      </c>
      <c r="AV2388" t="s">
        <v>20733</v>
      </c>
    </row>
    <row r="2389" spans="1:48">
      <c r="A2389" s="1">
        <f>HYPERLINK("https://lsnyc.legalserver.org/matter/dynamic-profile/view/0821680","16-0821680")</f>
        <v>0</v>
      </c>
      <c r="B2389" t="s">
        <v>136</v>
      </c>
      <c r="C2389" t="s">
        <v>256</v>
      </c>
      <c r="D2389" t="s">
        <v>927</v>
      </c>
      <c r="F2389" t="s">
        <v>2199</v>
      </c>
      <c r="G2389" t="s">
        <v>3370</v>
      </c>
      <c r="H2389" t="s">
        <v>6926</v>
      </c>
      <c r="I2389">
        <v>44</v>
      </c>
      <c r="J2389" t="s">
        <v>9067</v>
      </c>
      <c r="K2389">
        <v>10033</v>
      </c>
      <c r="L2389" t="s">
        <v>9094</v>
      </c>
      <c r="M2389" t="s">
        <v>9095</v>
      </c>
      <c r="O2389" t="s">
        <v>11135</v>
      </c>
      <c r="P2389" t="s">
        <v>11167</v>
      </c>
      <c r="R2389" t="s">
        <v>11180</v>
      </c>
      <c r="S2389" t="s">
        <v>9096</v>
      </c>
      <c r="T2389" t="s">
        <v>11183</v>
      </c>
      <c r="V2389" t="s">
        <v>758</v>
      </c>
      <c r="W2389">
        <v>1968.47</v>
      </c>
      <c r="X2389" t="s">
        <v>11335</v>
      </c>
      <c r="Y2389" t="s">
        <v>11350</v>
      </c>
      <c r="Z2389" t="s">
        <v>12995</v>
      </c>
      <c r="AB2389" t="s">
        <v>17359</v>
      </c>
      <c r="AC2389">
        <v>24</v>
      </c>
      <c r="AD2389" t="s">
        <v>19566</v>
      </c>
      <c r="AE2389" t="s">
        <v>9144</v>
      </c>
      <c r="AF2389">
        <v>5</v>
      </c>
      <c r="AG2389">
        <v>2</v>
      </c>
      <c r="AH2389">
        <v>3</v>
      </c>
      <c r="AI2389">
        <v>82.28</v>
      </c>
      <c r="AJ2389" t="s">
        <v>1116</v>
      </c>
      <c r="AL2389" t="s">
        <v>19615</v>
      </c>
      <c r="AM2389">
        <v>23400</v>
      </c>
      <c r="AS2389">
        <v>28.41</v>
      </c>
      <c r="AT2389" t="s">
        <v>318</v>
      </c>
      <c r="AU2389" t="s">
        <v>20657</v>
      </c>
    </row>
    <row r="2390" spans="1:48">
      <c r="A2390" s="1">
        <f>HYPERLINK("https://lsnyc.legalserver.org/matter/dynamic-profile/view/1837492","17-1837492")</f>
        <v>0</v>
      </c>
      <c r="B2390" t="s">
        <v>103</v>
      </c>
      <c r="C2390" t="s">
        <v>256</v>
      </c>
      <c r="D2390" t="s">
        <v>928</v>
      </c>
      <c r="F2390" t="s">
        <v>1601</v>
      </c>
      <c r="G2390" t="s">
        <v>4355</v>
      </c>
      <c r="H2390" t="s">
        <v>6927</v>
      </c>
      <c r="I2390" t="s">
        <v>8170</v>
      </c>
      <c r="J2390" t="s">
        <v>9065</v>
      </c>
      <c r="K2390">
        <v>10473</v>
      </c>
      <c r="L2390" t="s">
        <v>9094</v>
      </c>
      <c r="M2390" t="s">
        <v>9095</v>
      </c>
      <c r="N2390" t="s">
        <v>10045</v>
      </c>
      <c r="O2390" t="s">
        <v>11135</v>
      </c>
      <c r="P2390" t="s">
        <v>11168</v>
      </c>
      <c r="R2390" t="s">
        <v>11180</v>
      </c>
      <c r="S2390" t="s">
        <v>9094</v>
      </c>
      <c r="T2390" t="s">
        <v>11183</v>
      </c>
      <c r="V2390" t="s">
        <v>11223</v>
      </c>
      <c r="W2390">
        <v>0</v>
      </c>
      <c r="X2390" t="s">
        <v>11333</v>
      </c>
      <c r="Y2390" t="s">
        <v>11351</v>
      </c>
      <c r="Z2390" t="s">
        <v>12996</v>
      </c>
      <c r="AB2390" t="s">
        <v>17360</v>
      </c>
      <c r="AC2390">
        <v>976</v>
      </c>
      <c r="AD2390" t="s">
        <v>19566</v>
      </c>
      <c r="AE2390" t="s">
        <v>19587</v>
      </c>
      <c r="AF2390">
        <v>13</v>
      </c>
      <c r="AG2390">
        <v>1</v>
      </c>
      <c r="AH2390">
        <v>0</v>
      </c>
      <c r="AI2390">
        <v>82.29000000000001</v>
      </c>
      <c r="AJ2390" t="s">
        <v>936</v>
      </c>
      <c r="AL2390" t="s">
        <v>19614</v>
      </c>
      <c r="AM2390">
        <v>9924</v>
      </c>
      <c r="AS2390">
        <v>0</v>
      </c>
      <c r="AU2390" t="s">
        <v>20643</v>
      </c>
    </row>
    <row r="2391" spans="1:48">
      <c r="A2391" s="1">
        <f>HYPERLINK("https://lsnyc.legalserver.org/matter/dynamic-profile/view/1882024","18-1882024")</f>
        <v>0</v>
      </c>
      <c r="B2391" t="s">
        <v>138</v>
      </c>
      <c r="C2391" t="s">
        <v>256</v>
      </c>
      <c r="D2391" t="s">
        <v>440</v>
      </c>
      <c r="F2391" t="s">
        <v>2200</v>
      </c>
      <c r="G2391" t="s">
        <v>4429</v>
      </c>
      <c r="H2391" t="s">
        <v>6625</v>
      </c>
      <c r="I2391">
        <v>35</v>
      </c>
      <c r="J2391" t="s">
        <v>9067</v>
      </c>
      <c r="K2391">
        <v>10034</v>
      </c>
      <c r="L2391" t="s">
        <v>9094</v>
      </c>
      <c r="M2391" t="s">
        <v>9094</v>
      </c>
      <c r="N2391" t="s">
        <v>10046</v>
      </c>
      <c r="O2391" t="s">
        <v>11130</v>
      </c>
      <c r="P2391" t="s">
        <v>11165</v>
      </c>
      <c r="R2391" t="s">
        <v>11180</v>
      </c>
      <c r="S2391" t="s">
        <v>9096</v>
      </c>
      <c r="T2391" t="s">
        <v>11183</v>
      </c>
      <c r="V2391" t="s">
        <v>639</v>
      </c>
      <c r="W2391">
        <v>891.88</v>
      </c>
      <c r="X2391" t="s">
        <v>11335</v>
      </c>
      <c r="Y2391" t="s">
        <v>11340</v>
      </c>
      <c r="Z2391" t="s">
        <v>12997</v>
      </c>
      <c r="AB2391" t="s">
        <v>17361</v>
      </c>
      <c r="AC2391">
        <v>25</v>
      </c>
      <c r="AD2391" t="s">
        <v>19566</v>
      </c>
      <c r="AE2391" t="s">
        <v>19580</v>
      </c>
      <c r="AF2391">
        <v>40</v>
      </c>
      <c r="AG2391">
        <v>1</v>
      </c>
      <c r="AH2391">
        <v>0</v>
      </c>
      <c r="AI2391">
        <v>82.31</v>
      </c>
      <c r="AL2391" t="s">
        <v>19637</v>
      </c>
      <c r="AM2391">
        <v>9992.4</v>
      </c>
      <c r="AS2391">
        <v>33.6</v>
      </c>
      <c r="AT2391" t="s">
        <v>868</v>
      </c>
      <c r="AU2391" t="s">
        <v>130</v>
      </c>
      <c r="AV2391" t="s">
        <v>20733</v>
      </c>
    </row>
    <row r="2392" spans="1:48">
      <c r="A2392" s="1">
        <f>HYPERLINK("https://lsnyc.legalserver.org/matter/dynamic-profile/view/1882020","18-1882020")</f>
        <v>0</v>
      </c>
      <c r="B2392" t="s">
        <v>138</v>
      </c>
      <c r="C2392" t="s">
        <v>256</v>
      </c>
      <c r="D2392" t="s">
        <v>440</v>
      </c>
      <c r="F2392" t="s">
        <v>2200</v>
      </c>
      <c r="G2392" t="s">
        <v>4429</v>
      </c>
      <c r="H2392" t="s">
        <v>6625</v>
      </c>
      <c r="I2392">
        <v>35</v>
      </c>
      <c r="J2392" t="s">
        <v>9067</v>
      </c>
      <c r="K2392">
        <v>10034</v>
      </c>
      <c r="L2392" t="s">
        <v>9094</v>
      </c>
      <c r="M2392" t="s">
        <v>9094</v>
      </c>
      <c r="O2392" t="s">
        <v>11140</v>
      </c>
      <c r="P2392" t="s">
        <v>11166</v>
      </c>
      <c r="R2392" t="s">
        <v>11180</v>
      </c>
      <c r="S2392" t="s">
        <v>9096</v>
      </c>
      <c r="T2392" t="s">
        <v>11183</v>
      </c>
      <c r="V2392" t="s">
        <v>639</v>
      </c>
      <c r="W2392">
        <v>892.88</v>
      </c>
      <c r="X2392" t="s">
        <v>11335</v>
      </c>
      <c r="Y2392" t="s">
        <v>11340</v>
      </c>
      <c r="Z2392" t="s">
        <v>12997</v>
      </c>
      <c r="AB2392" t="s">
        <v>17361</v>
      </c>
      <c r="AC2392">
        <v>25</v>
      </c>
      <c r="AD2392" t="s">
        <v>19566</v>
      </c>
      <c r="AE2392" t="s">
        <v>19580</v>
      </c>
      <c r="AF2392">
        <v>40</v>
      </c>
      <c r="AG2392">
        <v>1</v>
      </c>
      <c r="AH2392">
        <v>0</v>
      </c>
      <c r="AI2392">
        <v>82.31</v>
      </c>
      <c r="AL2392" t="s">
        <v>19637</v>
      </c>
      <c r="AM2392">
        <v>9992.4</v>
      </c>
      <c r="AS2392">
        <v>7.3</v>
      </c>
      <c r="AT2392" t="s">
        <v>453</v>
      </c>
      <c r="AU2392" t="s">
        <v>130</v>
      </c>
      <c r="AV2392" t="s">
        <v>20733</v>
      </c>
    </row>
    <row r="2393" spans="1:48">
      <c r="A2393" s="1">
        <f>HYPERLINK("https://lsnyc.legalserver.org/matter/dynamic-profile/view/1891381","19-1891381")</f>
        <v>0</v>
      </c>
      <c r="B2393" t="s">
        <v>138</v>
      </c>
      <c r="C2393" t="s">
        <v>256</v>
      </c>
      <c r="D2393" t="s">
        <v>749</v>
      </c>
      <c r="F2393" t="s">
        <v>2201</v>
      </c>
      <c r="G2393" t="s">
        <v>4430</v>
      </c>
      <c r="H2393" t="s">
        <v>6928</v>
      </c>
      <c r="I2393" t="s">
        <v>8192</v>
      </c>
      <c r="J2393" t="s">
        <v>9067</v>
      </c>
      <c r="K2393">
        <v>10034</v>
      </c>
      <c r="L2393" t="s">
        <v>9094</v>
      </c>
      <c r="M2393" t="s">
        <v>9094</v>
      </c>
      <c r="O2393" t="s">
        <v>11133</v>
      </c>
      <c r="P2393" t="s">
        <v>11167</v>
      </c>
      <c r="R2393" t="s">
        <v>11180</v>
      </c>
      <c r="S2393" t="s">
        <v>9096</v>
      </c>
      <c r="T2393" t="s">
        <v>11183</v>
      </c>
      <c r="V2393" t="s">
        <v>749</v>
      </c>
      <c r="W2393">
        <v>2300</v>
      </c>
      <c r="X2393" t="s">
        <v>11335</v>
      </c>
      <c r="Y2393" t="s">
        <v>11340</v>
      </c>
      <c r="Z2393" t="s">
        <v>12998</v>
      </c>
      <c r="AB2393" t="s">
        <v>17362</v>
      </c>
      <c r="AC2393">
        <v>22</v>
      </c>
      <c r="AD2393" t="s">
        <v>19566</v>
      </c>
      <c r="AE2393" t="s">
        <v>19587</v>
      </c>
      <c r="AF2393">
        <v>11</v>
      </c>
      <c r="AG2393">
        <v>1</v>
      </c>
      <c r="AH2393">
        <v>1</v>
      </c>
      <c r="AI2393">
        <v>82.31999999999999</v>
      </c>
      <c r="AL2393" t="s">
        <v>19614</v>
      </c>
      <c r="AM2393">
        <v>13920</v>
      </c>
      <c r="AS2393">
        <v>11.4</v>
      </c>
      <c r="AT2393" t="s">
        <v>290</v>
      </c>
      <c r="AU2393" t="s">
        <v>130</v>
      </c>
    </row>
    <row r="2394" spans="1:48">
      <c r="A2394" s="1">
        <f>HYPERLINK("https://lsnyc.legalserver.org/matter/dynamic-profile/view/1915092","19-1915092")</f>
        <v>0</v>
      </c>
      <c r="B2394" t="s">
        <v>69</v>
      </c>
      <c r="C2394" t="s">
        <v>256</v>
      </c>
      <c r="D2394" t="s">
        <v>377</v>
      </c>
      <c r="F2394" t="s">
        <v>2202</v>
      </c>
      <c r="G2394" t="s">
        <v>4431</v>
      </c>
      <c r="H2394" t="s">
        <v>6929</v>
      </c>
      <c r="I2394" t="s">
        <v>8603</v>
      </c>
      <c r="J2394" t="s">
        <v>9059</v>
      </c>
      <c r="K2394">
        <v>11239</v>
      </c>
      <c r="L2394" t="s">
        <v>9094</v>
      </c>
      <c r="M2394" t="s">
        <v>9095</v>
      </c>
      <c r="N2394" t="s">
        <v>9759</v>
      </c>
      <c r="O2394" t="s">
        <v>11139</v>
      </c>
      <c r="R2394" t="s">
        <v>11180</v>
      </c>
      <c r="S2394" t="s">
        <v>9096</v>
      </c>
      <c r="T2394" t="s">
        <v>11184</v>
      </c>
      <c r="U2394" t="s">
        <v>11200</v>
      </c>
      <c r="V2394" t="s">
        <v>489</v>
      </c>
      <c r="W2394">
        <v>0</v>
      </c>
      <c r="X2394" t="s">
        <v>11332</v>
      </c>
      <c r="Y2394" t="s">
        <v>11336</v>
      </c>
      <c r="Z2394" t="s">
        <v>12999</v>
      </c>
      <c r="AA2394" t="s">
        <v>15290</v>
      </c>
      <c r="AB2394" t="s">
        <v>17363</v>
      </c>
      <c r="AC2394">
        <v>1463</v>
      </c>
      <c r="AD2394" t="s">
        <v>19567</v>
      </c>
      <c r="AE2394" t="s">
        <v>19580</v>
      </c>
      <c r="AF2394">
        <v>44</v>
      </c>
      <c r="AG2394">
        <v>1</v>
      </c>
      <c r="AH2394">
        <v>0</v>
      </c>
      <c r="AI2394">
        <v>82.34</v>
      </c>
      <c r="AL2394" t="s">
        <v>19614</v>
      </c>
      <c r="AM2394">
        <v>10284</v>
      </c>
      <c r="AN2394" t="s">
        <v>19865</v>
      </c>
      <c r="AS2394">
        <v>1.5</v>
      </c>
      <c r="AT2394" t="s">
        <v>321</v>
      </c>
      <c r="AU2394" t="s">
        <v>95</v>
      </c>
      <c r="AV2394" t="s">
        <v>20733</v>
      </c>
    </row>
    <row r="2395" spans="1:48">
      <c r="A2395" s="1">
        <f>HYPERLINK("https://lsnyc.legalserver.org/matter/dynamic-profile/view/1887657","19-1887657")</f>
        <v>0</v>
      </c>
      <c r="B2395" t="s">
        <v>71</v>
      </c>
      <c r="C2395" t="s">
        <v>256</v>
      </c>
      <c r="D2395" t="s">
        <v>650</v>
      </c>
      <c r="F2395" t="s">
        <v>1238</v>
      </c>
      <c r="G2395" t="s">
        <v>4182</v>
      </c>
      <c r="H2395" t="s">
        <v>6930</v>
      </c>
      <c r="I2395" t="s">
        <v>8271</v>
      </c>
      <c r="J2395" t="s">
        <v>9059</v>
      </c>
      <c r="K2395">
        <v>11207</v>
      </c>
      <c r="L2395" t="s">
        <v>9094</v>
      </c>
      <c r="M2395" t="s">
        <v>9096</v>
      </c>
      <c r="N2395" t="s">
        <v>10047</v>
      </c>
      <c r="O2395" t="s">
        <v>11129</v>
      </c>
      <c r="P2395" t="s">
        <v>11165</v>
      </c>
      <c r="R2395" t="s">
        <v>11180</v>
      </c>
      <c r="S2395" t="s">
        <v>9096</v>
      </c>
      <c r="T2395" t="s">
        <v>11183</v>
      </c>
      <c r="U2395" t="s">
        <v>11200</v>
      </c>
      <c r="V2395" t="s">
        <v>394</v>
      </c>
      <c r="W2395">
        <v>1200</v>
      </c>
      <c r="X2395" t="s">
        <v>11332</v>
      </c>
      <c r="Y2395" t="s">
        <v>11336</v>
      </c>
      <c r="Z2395" t="s">
        <v>13000</v>
      </c>
      <c r="AA2395" t="s">
        <v>15692</v>
      </c>
      <c r="AB2395" t="s">
        <v>17364</v>
      </c>
      <c r="AC2395">
        <v>2</v>
      </c>
      <c r="AD2395" t="s">
        <v>19565</v>
      </c>
      <c r="AE2395" t="s">
        <v>19588</v>
      </c>
      <c r="AF2395">
        <v>4</v>
      </c>
      <c r="AG2395">
        <v>1</v>
      </c>
      <c r="AH2395">
        <v>0</v>
      </c>
      <c r="AI2395">
        <v>82.34</v>
      </c>
      <c r="AL2395" t="s">
        <v>19614</v>
      </c>
      <c r="AM2395">
        <v>9996</v>
      </c>
      <c r="AN2395" t="s">
        <v>19866</v>
      </c>
      <c r="AS2395">
        <v>16.4</v>
      </c>
      <c r="AT2395" t="s">
        <v>276</v>
      </c>
      <c r="AU2395" t="s">
        <v>95</v>
      </c>
      <c r="AV2395" t="s">
        <v>20734</v>
      </c>
    </row>
    <row r="2396" spans="1:48">
      <c r="A2396" s="1">
        <f>HYPERLINK("https://lsnyc.legalserver.org/matter/dynamic-profile/view/1904752","19-1904752")</f>
        <v>0</v>
      </c>
      <c r="B2396" t="s">
        <v>119</v>
      </c>
      <c r="C2396" t="s">
        <v>256</v>
      </c>
      <c r="D2396" t="s">
        <v>497</v>
      </c>
      <c r="F2396" t="s">
        <v>2203</v>
      </c>
      <c r="G2396" t="s">
        <v>3498</v>
      </c>
      <c r="H2396" t="s">
        <v>5880</v>
      </c>
      <c r="I2396" t="s">
        <v>8119</v>
      </c>
      <c r="J2396" t="s">
        <v>9065</v>
      </c>
      <c r="K2396">
        <v>10456</v>
      </c>
      <c r="L2396" t="s">
        <v>9094</v>
      </c>
      <c r="M2396" t="s">
        <v>9095</v>
      </c>
      <c r="O2396" t="s">
        <v>11134</v>
      </c>
      <c r="P2396" t="s">
        <v>11168</v>
      </c>
      <c r="R2396" t="s">
        <v>11180</v>
      </c>
      <c r="S2396" t="s">
        <v>9094</v>
      </c>
      <c r="T2396" t="s">
        <v>11183</v>
      </c>
      <c r="V2396" t="s">
        <v>11212</v>
      </c>
      <c r="W2396">
        <v>608.72</v>
      </c>
      <c r="X2396" t="s">
        <v>11333</v>
      </c>
      <c r="Z2396" t="s">
        <v>13001</v>
      </c>
      <c r="AB2396" t="s">
        <v>17365</v>
      </c>
      <c r="AC2396">
        <v>17</v>
      </c>
      <c r="AD2396" t="s">
        <v>19566</v>
      </c>
      <c r="AE2396" t="s">
        <v>19587</v>
      </c>
      <c r="AF2396">
        <v>43</v>
      </c>
      <c r="AG2396">
        <v>1</v>
      </c>
      <c r="AH2396">
        <v>0</v>
      </c>
      <c r="AI2396">
        <v>82.34</v>
      </c>
      <c r="AL2396" t="s">
        <v>19615</v>
      </c>
      <c r="AM2396">
        <v>10284</v>
      </c>
      <c r="AS2396">
        <v>0.5</v>
      </c>
      <c r="AT2396" t="s">
        <v>497</v>
      </c>
      <c r="AU2396" t="s">
        <v>174</v>
      </c>
      <c r="AV2396" t="s">
        <v>20733</v>
      </c>
    </row>
    <row r="2397" spans="1:48">
      <c r="A2397" s="1">
        <f>HYPERLINK("https://lsnyc.legalserver.org/matter/dynamic-profile/view/1910583","19-1910583")</f>
        <v>0</v>
      </c>
      <c r="B2397" t="s">
        <v>142</v>
      </c>
      <c r="C2397" t="s">
        <v>256</v>
      </c>
      <c r="D2397" t="s">
        <v>259</v>
      </c>
      <c r="F2397" t="s">
        <v>2204</v>
      </c>
      <c r="G2397" t="s">
        <v>4432</v>
      </c>
      <c r="H2397" t="s">
        <v>6931</v>
      </c>
      <c r="I2397" t="s">
        <v>8473</v>
      </c>
      <c r="J2397" t="s">
        <v>9067</v>
      </c>
      <c r="K2397">
        <v>10029</v>
      </c>
      <c r="L2397" t="s">
        <v>9094</v>
      </c>
      <c r="M2397" t="s">
        <v>9095</v>
      </c>
      <c r="O2397" t="s">
        <v>9121</v>
      </c>
      <c r="P2397" t="s">
        <v>11167</v>
      </c>
      <c r="R2397" t="s">
        <v>11180</v>
      </c>
      <c r="S2397" t="s">
        <v>9096</v>
      </c>
      <c r="T2397" t="s">
        <v>11183</v>
      </c>
      <c r="U2397" t="s">
        <v>11201</v>
      </c>
      <c r="V2397" t="s">
        <v>992</v>
      </c>
      <c r="W2397">
        <v>1414.03</v>
      </c>
      <c r="X2397" t="s">
        <v>11335</v>
      </c>
      <c r="Y2397" t="s">
        <v>11339</v>
      </c>
      <c r="Z2397" t="s">
        <v>13002</v>
      </c>
      <c r="AB2397" t="s">
        <v>17366</v>
      </c>
      <c r="AC2397">
        <v>14</v>
      </c>
      <c r="AD2397" t="s">
        <v>19566</v>
      </c>
      <c r="AE2397" t="s">
        <v>19587</v>
      </c>
      <c r="AF2397">
        <v>4</v>
      </c>
      <c r="AG2397">
        <v>1</v>
      </c>
      <c r="AH2397">
        <v>0</v>
      </c>
      <c r="AI2397">
        <v>82.34</v>
      </c>
      <c r="AL2397" t="s">
        <v>19614</v>
      </c>
      <c r="AM2397">
        <v>10284</v>
      </c>
      <c r="AS2397">
        <v>0.75</v>
      </c>
      <c r="AT2397" t="s">
        <v>484</v>
      </c>
      <c r="AU2397" t="s">
        <v>20657</v>
      </c>
      <c r="AV2397" t="s">
        <v>20733</v>
      </c>
    </row>
    <row r="2398" spans="1:48">
      <c r="A2398" s="1">
        <f>HYPERLINK("https://lsnyc.legalserver.org/matter/dynamic-profile/view/1908679","19-1908679")</f>
        <v>0</v>
      </c>
      <c r="B2398" t="s">
        <v>57</v>
      </c>
      <c r="C2398" t="s">
        <v>256</v>
      </c>
      <c r="D2398" t="s">
        <v>326</v>
      </c>
      <c r="F2398" t="s">
        <v>1333</v>
      </c>
      <c r="G2398" t="s">
        <v>4433</v>
      </c>
      <c r="H2398" t="s">
        <v>6932</v>
      </c>
      <c r="J2398" t="s">
        <v>9045</v>
      </c>
      <c r="K2398">
        <v>11416</v>
      </c>
      <c r="L2398" t="s">
        <v>9094</v>
      </c>
      <c r="M2398" t="s">
        <v>9095</v>
      </c>
      <c r="O2398" t="s">
        <v>9121</v>
      </c>
      <c r="P2398" t="s">
        <v>11164</v>
      </c>
      <c r="R2398" t="s">
        <v>11181</v>
      </c>
      <c r="S2398" t="s">
        <v>9096</v>
      </c>
      <c r="T2398" t="s">
        <v>11183</v>
      </c>
      <c r="U2398" t="s">
        <v>11201</v>
      </c>
      <c r="V2398" t="s">
        <v>335</v>
      </c>
      <c r="W2398">
        <v>880</v>
      </c>
      <c r="X2398" t="s">
        <v>11331</v>
      </c>
      <c r="Y2398" t="s">
        <v>11337</v>
      </c>
      <c r="Z2398" t="s">
        <v>13003</v>
      </c>
      <c r="AB2398" t="s">
        <v>17367</v>
      </c>
      <c r="AC2398">
        <v>1</v>
      </c>
      <c r="AD2398" t="s">
        <v>19565</v>
      </c>
      <c r="AE2398" t="s">
        <v>9144</v>
      </c>
      <c r="AF2398">
        <v>20</v>
      </c>
      <c r="AG2398">
        <v>3</v>
      </c>
      <c r="AH2398">
        <v>0</v>
      </c>
      <c r="AI2398">
        <v>82.36</v>
      </c>
      <c r="AJ2398" t="s">
        <v>19591</v>
      </c>
      <c r="AK2398" t="s">
        <v>19608</v>
      </c>
      <c r="AL2398" t="s">
        <v>19614</v>
      </c>
      <c r="AM2398">
        <v>17568</v>
      </c>
      <c r="AS2398">
        <v>1.6</v>
      </c>
      <c r="AT2398" t="s">
        <v>570</v>
      </c>
      <c r="AU2398" t="s">
        <v>57</v>
      </c>
      <c r="AV2398" t="s">
        <v>20733</v>
      </c>
    </row>
    <row r="2399" spans="1:48">
      <c r="A2399" s="1">
        <f>HYPERLINK("https://lsnyc.legalserver.org/matter/dynamic-profile/view/1867072","18-1867072")</f>
        <v>0</v>
      </c>
      <c r="B2399" t="s">
        <v>89</v>
      </c>
      <c r="C2399" t="s">
        <v>256</v>
      </c>
      <c r="D2399" t="s">
        <v>272</v>
      </c>
      <c r="F2399" t="s">
        <v>2205</v>
      </c>
      <c r="G2399" t="s">
        <v>4434</v>
      </c>
      <c r="H2399" t="s">
        <v>6218</v>
      </c>
      <c r="I2399" t="s">
        <v>8233</v>
      </c>
      <c r="J2399" t="s">
        <v>9059</v>
      </c>
      <c r="K2399">
        <v>11230</v>
      </c>
      <c r="L2399" t="s">
        <v>9094</v>
      </c>
      <c r="M2399" t="s">
        <v>9095</v>
      </c>
      <c r="N2399" t="s">
        <v>10048</v>
      </c>
      <c r="O2399" t="s">
        <v>11128</v>
      </c>
      <c r="P2399" t="s">
        <v>11165</v>
      </c>
      <c r="R2399" t="s">
        <v>11180</v>
      </c>
      <c r="S2399" t="s">
        <v>9096</v>
      </c>
      <c r="T2399" t="s">
        <v>11183</v>
      </c>
      <c r="V2399" t="s">
        <v>675</v>
      </c>
      <c r="W2399">
        <v>852.52</v>
      </c>
      <c r="X2399" t="s">
        <v>11332</v>
      </c>
      <c r="Y2399" t="s">
        <v>11346</v>
      </c>
      <c r="Z2399" t="s">
        <v>13004</v>
      </c>
      <c r="AB2399" t="s">
        <v>17368</v>
      </c>
      <c r="AC2399">
        <v>60</v>
      </c>
      <c r="AD2399" t="s">
        <v>19566</v>
      </c>
      <c r="AE2399" t="s">
        <v>9144</v>
      </c>
      <c r="AF2399">
        <v>29</v>
      </c>
      <c r="AG2399">
        <v>3</v>
      </c>
      <c r="AH2399">
        <v>0</v>
      </c>
      <c r="AI2399">
        <v>82.36</v>
      </c>
      <c r="AL2399" t="s">
        <v>19614</v>
      </c>
      <c r="AM2399">
        <v>17113.94</v>
      </c>
      <c r="AS2399">
        <v>105.02</v>
      </c>
      <c r="AT2399" t="s">
        <v>614</v>
      </c>
      <c r="AU2399" t="s">
        <v>20630</v>
      </c>
    </row>
    <row r="2400" spans="1:48">
      <c r="A2400" s="1">
        <f>HYPERLINK("https://lsnyc.legalserver.org/matter/dynamic-profile/view/0809828","16-0809828")</f>
        <v>0</v>
      </c>
      <c r="B2400" t="s">
        <v>136</v>
      </c>
      <c r="C2400" t="s">
        <v>256</v>
      </c>
      <c r="D2400" t="s">
        <v>929</v>
      </c>
      <c r="F2400" t="s">
        <v>2206</v>
      </c>
      <c r="G2400" t="s">
        <v>4435</v>
      </c>
      <c r="H2400" t="s">
        <v>6933</v>
      </c>
      <c r="I2400" t="s">
        <v>8124</v>
      </c>
      <c r="J2400" t="s">
        <v>9067</v>
      </c>
      <c r="K2400">
        <v>10035</v>
      </c>
      <c r="L2400" t="s">
        <v>9094</v>
      </c>
      <c r="M2400" t="s">
        <v>9095</v>
      </c>
      <c r="N2400" t="s">
        <v>10049</v>
      </c>
      <c r="O2400" t="s">
        <v>11128</v>
      </c>
      <c r="P2400" t="s">
        <v>11165</v>
      </c>
      <c r="R2400" t="s">
        <v>11180</v>
      </c>
      <c r="S2400" t="s">
        <v>9096</v>
      </c>
      <c r="T2400" t="s">
        <v>11183</v>
      </c>
      <c r="V2400" t="s">
        <v>929</v>
      </c>
      <c r="W2400">
        <v>0</v>
      </c>
      <c r="X2400" t="s">
        <v>11335</v>
      </c>
      <c r="Y2400" t="s">
        <v>11340</v>
      </c>
      <c r="Z2400" t="s">
        <v>13005</v>
      </c>
      <c r="AB2400" t="s">
        <v>17369</v>
      </c>
      <c r="AC2400">
        <v>42</v>
      </c>
      <c r="AD2400" t="s">
        <v>19567</v>
      </c>
      <c r="AE2400" t="s">
        <v>19580</v>
      </c>
      <c r="AF2400">
        <v>40</v>
      </c>
      <c r="AG2400">
        <v>5</v>
      </c>
      <c r="AH2400">
        <v>1</v>
      </c>
      <c r="AI2400">
        <v>82.36</v>
      </c>
      <c r="AL2400" t="s">
        <v>19614</v>
      </c>
      <c r="AM2400">
        <v>36528</v>
      </c>
      <c r="AS2400">
        <v>53.3</v>
      </c>
      <c r="AT2400" t="s">
        <v>954</v>
      </c>
      <c r="AU2400" t="s">
        <v>20710</v>
      </c>
      <c r="AV2400" t="s">
        <v>20733</v>
      </c>
    </row>
    <row r="2401" spans="1:48">
      <c r="A2401" s="1">
        <f>HYPERLINK("https://lsnyc.legalserver.org/matter/dynamic-profile/view/1876389","18-1876389")</f>
        <v>0</v>
      </c>
      <c r="B2401" t="s">
        <v>165</v>
      </c>
      <c r="C2401" t="s">
        <v>256</v>
      </c>
      <c r="D2401" t="s">
        <v>773</v>
      </c>
      <c r="F2401" t="s">
        <v>1825</v>
      </c>
      <c r="G2401" t="s">
        <v>4436</v>
      </c>
      <c r="H2401" t="s">
        <v>6934</v>
      </c>
      <c r="I2401" t="s">
        <v>8131</v>
      </c>
      <c r="J2401" t="s">
        <v>9059</v>
      </c>
      <c r="K2401">
        <v>11216</v>
      </c>
      <c r="L2401" t="s">
        <v>9094</v>
      </c>
      <c r="M2401" t="s">
        <v>9094</v>
      </c>
      <c r="N2401" t="s">
        <v>10050</v>
      </c>
      <c r="O2401" t="s">
        <v>11132</v>
      </c>
      <c r="P2401" t="s">
        <v>11165</v>
      </c>
      <c r="R2401" t="s">
        <v>11180</v>
      </c>
      <c r="S2401" t="s">
        <v>9094</v>
      </c>
      <c r="T2401" t="s">
        <v>11183</v>
      </c>
      <c r="U2401" t="s">
        <v>11201</v>
      </c>
      <c r="V2401" t="s">
        <v>624</v>
      </c>
      <c r="W2401">
        <v>952.42</v>
      </c>
      <c r="X2401" t="s">
        <v>11332</v>
      </c>
      <c r="Y2401" t="s">
        <v>11340</v>
      </c>
      <c r="Z2401" t="s">
        <v>13006</v>
      </c>
      <c r="AB2401" t="s">
        <v>17370</v>
      </c>
      <c r="AC2401">
        <v>82</v>
      </c>
      <c r="AD2401" t="s">
        <v>19566</v>
      </c>
      <c r="AE2401" t="s">
        <v>9144</v>
      </c>
      <c r="AF2401">
        <v>7</v>
      </c>
      <c r="AG2401">
        <v>1</v>
      </c>
      <c r="AH2401">
        <v>0</v>
      </c>
      <c r="AI2401">
        <v>82.37</v>
      </c>
      <c r="AL2401" t="s">
        <v>19614</v>
      </c>
      <c r="AM2401">
        <v>10000</v>
      </c>
      <c r="AN2401" t="s">
        <v>19867</v>
      </c>
      <c r="AS2401">
        <v>256.55</v>
      </c>
      <c r="AT2401" t="s">
        <v>321</v>
      </c>
      <c r="AU2401" t="s">
        <v>165</v>
      </c>
    </row>
    <row r="2402" spans="1:48">
      <c r="A2402" s="1">
        <f>HYPERLINK("https://lsnyc.legalserver.org/matter/dynamic-profile/view/1881489","18-1881489")</f>
        <v>0</v>
      </c>
      <c r="B2402" t="s">
        <v>165</v>
      </c>
      <c r="C2402" t="s">
        <v>256</v>
      </c>
      <c r="D2402" t="s">
        <v>834</v>
      </c>
      <c r="F2402" t="s">
        <v>1146</v>
      </c>
      <c r="G2402" t="s">
        <v>4437</v>
      </c>
      <c r="H2402" t="s">
        <v>6934</v>
      </c>
      <c r="I2402" t="s">
        <v>8192</v>
      </c>
      <c r="J2402" t="s">
        <v>9059</v>
      </c>
      <c r="K2402">
        <v>11216</v>
      </c>
      <c r="L2402" t="s">
        <v>9094</v>
      </c>
      <c r="M2402" t="s">
        <v>9094</v>
      </c>
      <c r="N2402" t="s">
        <v>10050</v>
      </c>
      <c r="O2402" t="s">
        <v>11132</v>
      </c>
      <c r="P2402" t="s">
        <v>11165</v>
      </c>
      <c r="R2402" t="s">
        <v>11180</v>
      </c>
      <c r="S2402" t="s">
        <v>9094</v>
      </c>
      <c r="T2402" t="s">
        <v>11183</v>
      </c>
      <c r="U2402" t="s">
        <v>11201</v>
      </c>
      <c r="V2402" t="s">
        <v>569</v>
      </c>
      <c r="W2402">
        <v>1650</v>
      </c>
      <c r="X2402" t="s">
        <v>11332</v>
      </c>
      <c r="Y2402" t="s">
        <v>11339</v>
      </c>
      <c r="Z2402" t="s">
        <v>13007</v>
      </c>
      <c r="AA2402" t="s">
        <v>9171</v>
      </c>
      <c r="AB2402" t="s">
        <v>17371</v>
      </c>
      <c r="AC2402">
        <v>8</v>
      </c>
      <c r="AD2402" t="s">
        <v>19566</v>
      </c>
      <c r="AE2402" t="s">
        <v>9144</v>
      </c>
      <c r="AF2402">
        <v>1</v>
      </c>
      <c r="AG2402">
        <v>1</v>
      </c>
      <c r="AH2402">
        <v>0</v>
      </c>
      <c r="AI2402">
        <v>82.37</v>
      </c>
      <c r="AL2402" t="s">
        <v>19614</v>
      </c>
      <c r="AM2402">
        <v>9999.959999999999</v>
      </c>
      <c r="AN2402" t="s">
        <v>19720</v>
      </c>
      <c r="AS2402">
        <v>0</v>
      </c>
      <c r="AU2402" t="s">
        <v>95</v>
      </c>
    </row>
    <row r="2403" spans="1:48">
      <c r="A2403" s="1">
        <f>HYPERLINK("https://lsnyc.legalserver.org/matter/dynamic-profile/view/1883130","18-1883130")</f>
        <v>0</v>
      </c>
      <c r="B2403" t="s">
        <v>165</v>
      </c>
      <c r="C2403" t="s">
        <v>256</v>
      </c>
      <c r="D2403" t="s">
        <v>407</v>
      </c>
      <c r="F2403" t="s">
        <v>1825</v>
      </c>
      <c r="G2403" t="s">
        <v>4436</v>
      </c>
      <c r="H2403" t="s">
        <v>6934</v>
      </c>
      <c r="I2403" t="s">
        <v>8131</v>
      </c>
      <c r="J2403" t="s">
        <v>9059</v>
      </c>
      <c r="K2403">
        <v>11216</v>
      </c>
      <c r="L2403" t="s">
        <v>9094</v>
      </c>
      <c r="M2403" t="s">
        <v>9094</v>
      </c>
      <c r="N2403" t="s">
        <v>10051</v>
      </c>
      <c r="O2403" t="s">
        <v>11130</v>
      </c>
      <c r="P2403" t="s">
        <v>11165</v>
      </c>
      <c r="R2403" t="s">
        <v>11180</v>
      </c>
      <c r="S2403" t="s">
        <v>9096</v>
      </c>
      <c r="T2403" t="s">
        <v>11183</v>
      </c>
      <c r="U2403" t="s">
        <v>11201</v>
      </c>
      <c r="V2403" t="s">
        <v>624</v>
      </c>
      <c r="W2403">
        <v>952.42</v>
      </c>
      <c r="X2403" t="s">
        <v>11332</v>
      </c>
      <c r="Y2403" t="s">
        <v>11340</v>
      </c>
      <c r="Z2403" t="s">
        <v>13006</v>
      </c>
      <c r="AB2403" t="s">
        <v>17370</v>
      </c>
      <c r="AC2403">
        <v>82</v>
      </c>
      <c r="AD2403" t="s">
        <v>19566</v>
      </c>
      <c r="AE2403" t="s">
        <v>9144</v>
      </c>
      <c r="AF2403">
        <v>7</v>
      </c>
      <c r="AG2403">
        <v>1</v>
      </c>
      <c r="AH2403">
        <v>0</v>
      </c>
      <c r="AI2403">
        <v>82.37</v>
      </c>
      <c r="AL2403" t="s">
        <v>19614</v>
      </c>
      <c r="AM2403">
        <v>10000</v>
      </c>
      <c r="AS2403">
        <v>104.3</v>
      </c>
      <c r="AT2403" t="s">
        <v>476</v>
      </c>
      <c r="AU2403" t="s">
        <v>79</v>
      </c>
    </row>
    <row r="2404" spans="1:48">
      <c r="A2404" s="1">
        <f>HYPERLINK("https://lsnyc.legalserver.org/matter/dynamic-profile/view/1881486","18-1881486")</f>
        <v>0</v>
      </c>
      <c r="B2404" t="s">
        <v>165</v>
      </c>
      <c r="C2404" t="s">
        <v>256</v>
      </c>
      <c r="D2404" t="s">
        <v>834</v>
      </c>
      <c r="F2404" t="s">
        <v>1146</v>
      </c>
      <c r="G2404" t="s">
        <v>4437</v>
      </c>
      <c r="H2404" t="s">
        <v>6934</v>
      </c>
      <c r="I2404" t="s">
        <v>8192</v>
      </c>
      <c r="J2404" t="s">
        <v>9059</v>
      </c>
      <c r="K2404">
        <v>11216</v>
      </c>
      <c r="L2404" t="s">
        <v>9094</v>
      </c>
      <c r="M2404" t="s">
        <v>9094</v>
      </c>
      <c r="N2404" t="s">
        <v>9121</v>
      </c>
      <c r="O2404" t="s">
        <v>9121</v>
      </c>
      <c r="P2404" t="s">
        <v>11167</v>
      </c>
      <c r="R2404" t="s">
        <v>11180</v>
      </c>
      <c r="S2404" t="s">
        <v>9094</v>
      </c>
      <c r="T2404" t="s">
        <v>11183</v>
      </c>
      <c r="U2404" t="s">
        <v>11201</v>
      </c>
      <c r="V2404" t="s">
        <v>569</v>
      </c>
      <c r="W2404">
        <v>1650</v>
      </c>
      <c r="X2404" t="s">
        <v>11332</v>
      </c>
      <c r="Y2404" t="s">
        <v>11339</v>
      </c>
      <c r="Z2404" t="s">
        <v>13007</v>
      </c>
      <c r="AA2404" t="s">
        <v>9144</v>
      </c>
      <c r="AB2404" t="s">
        <v>17371</v>
      </c>
      <c r="AC2404">
        <v>8</v>
      </c>
      <c r="AD2404" t="s">
        <v>19566</v>
      </c>
      <c r="AE2404" t="s">
        <v>9144</v>
      </c>
      <c r="AF2404">
        <v>1</v>
      </c>
      <c r="AG2404">
        <v>1</v>
      </c>
      <c r="AH2404">
        <v>0</v>
      </c>
      <c r="AI2404">
        <v>82.37</v>
      </c>
      <c r="AK2404" t="s">
        <v>19613</v>
      </c>
      <c r="AL2404" t="s">
        <v>19614</v>
      </c>
      <c r="AM2404">
        <v>9999.959999999999</v>
      </c>
      <c r="AN2404" t="s">
        <v>19720</v>
      </c>
      <c r="AS2404">
        <v>0</v>
      </c>
      <c r="AU2404" t="s">
        <v>95</v>
      </c>
    </row>
    <row r="2405" spans="1:48">
      <c r="A2405" s="1">
        <f>HYPERLINK("https://lsnyc.legalserver.org/matter/dynamic-profile/view/1883103","18-1883103")</f>
        <v>0</v>
      </c>
      <c r="B2405" t="s">
        <v>165</v>
      </c>
      <c r="C2405" t="s">
        <v>256</v>
      </c>
      <c r="D2405" t="s">
        <v>407</v>
      </c>
      <c r="F2405" t="s">
        <v>1825</v>
      </c>
      <c r="G2405" t="s">
        <v>4436</v>
      </c>
      <c r="H2405" t="s">
        <v>6934</v>
      </c>
      <c r="I2405" t="s">
        <v>8131</v>
      </c>
      <c r="J2405" t="s">
        <v>9059</v>
      </c>
      <c r="K2405">
        <v>11216</v>
      </c>
      <c r="L2405" t="s">
        <v>9094</v>
      </c>
      <c r="M2405" t="s">
        <v>9094</v>
      </c>
      <c r="O2405" t="s">
        <v>11137</v>
      </c>
      <c r="P2405" t="s">
        <v>11167</v>
      </c>
      <c r="R2405" t="s">
        <v>11180</v>
      </c>
      <c r="S2405" t="s">
        <v>9094</v>
      </c>
      <c r="T2405" t="s">
        <v>11183</v>
      </c>
      <c r="U2405" t="s">
        <v>11201</v>
      </c>
      <c r="V2405" t="s">
        <v>624</v>
      </c>
      <c r="W2405">
        <v>952.42</v>
      </c>
      <c r="X2405" t="s">
        <v>11332</v>
      </c>
      <c r="Y2405" t="s">
        <v>11340</v>
      </c>
      <c r="Z2405" t="s">
        <v>13006</v>
      </c>
      <c r="AB2405" t="s">
        <v>17370</v>
      </c>
      <c r="AC2405">
        <v>82</v>
      </c>
      <c r="AD2405" t="s">
        <v>19566</v>
      </c>
      <c r="AE2405" t="s">
        <v>9144</v>
      </c>
      <c r="AF2405">
        <v>7</v>
      </c>
      <c r="AG2405">
        <v>1</v>
      </c>
      <c r="AH2405">
        <v>0</v>
      </c>
      <c r="AI2405">
        <v>82.37</v>
      </c>
      <c r="AL2405" t="s">
        <v>19614</v>
      </c>
      <c r="AM2405">
        <v>10000</v>
      </c>
      <c r="AS2405">
        <v>0</v>
      </c>
      <c r="AU2405" t="s">
        <v>79</v>
      </c>
    </row>
    <row r="2406" spans="1:48">
      <c r="A2406" s="1">
        <f>HYPERLINK("https://lsnyc.legalserver.org/matter/dynamic-profile/view/1876802","18-1876802")</f>
        <v>0</v>
      </c>
      <c r="B2406" t="s">
        <v>119</v>
      </c>
      <c r="C2406" t="s">
        <v>256</v>
      </c>
      <c r="D2406" t="s">
        <v>930</v>
      </c>
      <c r="F2406" t="s">
        <v>2207</v>
      </c>
      <c r="G2406" t="s">
        <v>4438</v>
      </c>
      <c r="H2406" t="s">
        <v>6095</v>
      </c>
      <c r="I2406" t="s">
        <v>8161</v>
      </c>
      <c r="J2406" t="s">
        <v>9065</v>
      </c>
      <c r="K2406">
        <v>10456</v>
      </c>
      <c r="L2406" t="s">
        <v>9094</v>
      </c>
      <c r="M2406" t="s">
        <v>9094</v>
      </c>
      <c r="N2406" t="s">
        <v>9403</v>
      </c>
      <c r="O2406" t="s">
        <v>11130</v>
      </c>
      <c r="P2406" t="s">
        <v>11165</v>
      </c>
      <c r="R2406" t="s">
        <v>11180</v>
      </c>
      <c r="S2406" t="s">
        <v>9094</v>
      </c>
      <c r="T2406" t="s">
        <v>11183</v>
      </c>
      <c r="V2406" t="s">
        <v>945</v>
      </c>
      <c r="W2406">
        <v>525</v>
      </c>
      <c r="X2406" t="s">
        <v>11333</v>
      </c>
      <c r="Y2406" t="s">
        <v>11346</v>
      </c>
      <c r="Z2406" t="s">
        <v>13008</v>
      </c>
      <c r="AC2406">
        <v>131</v>
      </c>
      <c r="AD2406" t="s">
        <v>19566</v>
      </c>
      <c r="AE2406" t="s">
        <v>9144</v>
      </c>
      <c r="AF2406">
        <v>12</v>
      </c>
      <c r="AG2406">
        <v>1</v>
      </c>
      <c r="AH2406">
        <v>0</v>
      </c>
      <c r="AI2406">
        <v>82.37</v>
      </c>
      <c r="AL2406" t="s">
        <v>19614</v>
      </c>
      <c r="AM2406">
        <v>10000</v>
      </c>
      <c r="AS2406">
        <v>0</v>
      </c>
      <c r="AU2406" t="s">
        <v>163</v>
      </c>
    </row>
    <row r="2407" spans="1:48">
      <c r="A2407" s="1">
        <f>HYPERLINK("https://lsnyc.legalserver.org/matter/dynamic-profile/view/1882289","18-1882289")</f>
        <v>0</v>
      </c>
      <c r="B2407" t="s">
        <v>114</v>
      </c>
      <c r="C2407" t="s">
        <v>257</v>
      </c>
      <c r="D2407" t="s">
        <v>477</v>
      </c>
      <c r="E2407" t="s">
        <v>563</v>
      </c>
      <c r="F2407" t="s">
        <v>1227</v>
      </c>
      <c r="G2407" t="s">
        <v>3498</v>
      </c>
      <c r="H2407" t="s">
        <v>5907</v>
      </c>
      <c r="I2407" t="s">
        <v>8604</v>
      </c>
      <c r="J2407" t="s">
        <v>9065</v>
      </c>
      <c r="K2407">
        <v>10451</v>
      </c>
      <c r="L2407" t="s">
        <v>9094</v>
      </c>
      <c r="M2407" t="s">
        <v>9094</v>
      </c>
      <c r="N2407" t="s">
        <v>9259</v>
      </c>
      <c r="O2407" t="s">
        <v>11130</v>
      </c>
      <c r="P2407" t="s">
        <v>11165</v>
      </c>
      <c r="Q2407" t="s">
        <v>11174</v>
      </c>
      <c r="R2407" t="s">
        <v>11180</v>
      </c>
      <c r="S2407" t="s">
        <v>9094</v>
      </c>
      <c r="T2407" t="s">
        <v>11183</v>
      </c>
      <c r="V2407" t="s">
        <v>738</v>
      </c>
      <c r="W2407">
        <v>250</v>
      </c>
      <c r="X2407" t="s">
        <v>11333</v>
      </c>
      <c r="Y2407" t="s">
        <v>11346</v>
      </c>
      <c r="Z2407" t="s">
        <v>13009</v>
      </c>
      <c r="AB2407" t="s">
        <v>17372</v>
      </c>
      <c r="AC2407">
        <v>100</v>
      </c>
      <c r="AD2407" t="s">
        <v>19566</v>
      </c>
      <c r="AE2407" t="s">
        <v>19585</v>
      </c>
      <c r="AF2407">
        <v>15</v>
      </c>
      <c r="AG2407">
        <v>1</v>
      </c>
      <c r="AH2407">
        <v>0</v>
      </c>
      <c r="AI2407">
        <v>82.37</v>
      </c>
      <c r="AL2407" t="s">
        <v>19614</v>
      </c>
      <c r="AM2407">
        <v>10000</v>
      </c>
      <c r="AS2407">
        <v>4.25</v>
      </c>
      <c r="AT2407" t="s">
        <v>563</v>
      </c>
      <c r="AU2407" t="s">
        <v>163</v>
      </c>
    </row>
    <row r="2408" spans="1:48">
      <c r="A2408" s="1">
        <f>HYPERLINK("https://lsnyc.legalserver.org/matter/dynamic-profile/view/1877861","18-1877861")</f>
        <v>0</v>
      </c>
      <c r="B2408" t="s">
        <v>138</v>
      </c>
      <c r="C2408" t="s">
        <v>256</v>
      </c>
      <c r="D2408" t="s">
        <v>931</v>
      </c>
      <c r="F2408" t="s">
        <v>1209</v>
      </c>
      <c r="G2408" t="s">
        <v>4245</v>
      </c>
      <c r="H2408" t="s">
        <v>6722</v>
      </c>
      <c r="I2408" t="s">
        <v>8151</v>
      </c>
      <c r="J2408" t="s">
        <v>9067</v>
      </c>
      <c r="K2408">
        <v>10035</v>
      </c>
      <c r="L2408" t="s">
        <v>9094</v>
      </c>
      <c r="M2408" t="s">
        <v>9094</v>
      </c>
      <c r="N2408" t="s">
        <v>10052</v>
      </c>
      <c r="O2408" t="s">
        <v>11130</v>
      </c>
      <c r="P2408" t="s">
        <v>11165</v>
      </c>
      <c r="R2408" t="s">
        <v>11180</v>
      </c>
      <c r="S2408" t="s">
        <v>9096</v>
      </c>
      <c r="T2408" t="s">
        <v>11183</v>
      </c>
      <c r="V2408" t="s">
        <v>759</v>
      </c>
      <c r="W2408">
        <v>1000</v>
      </c>
      <c r="X2408" t="s">
        <v>11335</v>
      </c>
      <c r="Y2408" t="s">
        <v>11340</v>
      </c>
      <c r="Z2408" t="s">
        <v>12689</v>
      </c>
      <c r="AB2408" t="s">
        <v>17068</v>
      </c>
      <c r="AC2408">
        <v>7</v>
      </c>
      <c r="AD2408" t="s">
        <v>19566</v>
      </c>
      <c r="AE2408" t="s">
        <v>9144</v>
      </c>
      <c r="AF2408">
        <v>8</v>
      </c>
      <c r="AG2408">
        <v>1</v>
      </c>
      <c r="AH2408">
        <v>0</v>
      </c>
      <c r="AI2408">
        <v>82.37</v>
      </c>
      <c r="AL2408" t="s">
        <v>19614</v>
      </c>
      <c r="AM2408">
        <v>10000</v>
      </c>
      <c r="AS2408">
        <v>33.6</v>
      </c>
      <c r="AT2408" t="s">
        <v>1130</v>
      </c>
      <c r="AU2408" t="s">
        <v>20657</v>
      </c>
      <c r="AV2408" t="s">
        <v>20733</v>
      </c>
    </row>
    <row r="2409" spans="1:48">
      <c r="A2409" s="1">
        <f>HYPERLINK("https://lsnyc.legalserver.org/matter/dynamic-profile/view/1872583","18-1872583")</f>
        <v>0</v>
      </c>
      <c r="B2409" t="s">
        <v>197</v>
      </c>
      <c r="C2409" t="s">
        <v>256</v>
      </c>
      <c r="D2409" t="s">
        <v>672</v>
      </c>
      <c r="F2409" t="s">
        <v>2208</v>
      </c>
      <c r="G2409" t="s">
        <v>4439</v>
      </c>
      <c r="H2409" t="s">
        <v>6935</v>
      </c>
      <c r="I2409" t="s">
        <v>8175</v>
      </c>
      <c r="J2409" t="s">
        <v>9067</v>
      </c>
      <c r="K2409">
        <v>10032</v>
      </c>
      <c r="L2409" t="s">
        <v>9094</v>
      </c>
      <c r="M2409" t="s">
        <v>9094</v>
      </c>
      <c r="O2409" t="s">
        <v>11137</v>
      </c>
      <c r="P2409" t="s">
        <v>11166</v>
      </c>
      <c r="R2409" t="s">
        <v>11180</v>
      </c>
      <c r="S2409" t="s">
        <v>9096</v>
      </c>
      <c r="T2409" t="s">
        <v>11183</v>
      </c>
      <c r="V2409" t="s">
        <v>672</v>
      </c>
      <c r="W2409">
        <v>490.42</v>
      </c>
      <c r="X2409" t="s">
        <v>11335</v>
      </c>
      <c r="Y2409" t="s">
        <v>11338</v>
      </c>
      <c r="Z2409" t="s">
        <v>13010</v>
      </c>
      <c r="AB2409" t="s">
        <v>17373</v>
      </c>
      <c r="AC2409">
        <v>0</v>
      </c>
      <c r="AD2409" t="s">
        <v>19566</v>
      </c>
      <c r="AE2409" t="s">
        <v>9144</v>
      </c>
      <c r="AF2409">
        <v>50</v>
      </c>
      <c r="AG2409">
        <v>1</v>
      </c>
      <c r="AH2409">
        <v>0</v>
      </c>
      <c r="AI2409">
        <v>82.37</v>
      </c>
      <c r="AL2409" t="s">
        <v>19614</v>
      </c>
      <c r="AM2409">
        <v>10000</v>
      </c>
      <c r="AS2409">
        <v>15.6</v>
      </c>
      <c r="AT2409" t="s">
        <v>521</v>
      </c>
      <c r="AU2409" t="s">
        <v>130</v>
      </c>
      <c r="AV2409" t="s">
        <v>20733</v>
      </c>
    </row>
    <row r="2410" spans="1:48">
      <c r="A2410" s="1">
        <f>HYPERLINK("https://lsnyc.legalserver.org/matter/dynamic-profile/view/1875137","18-1875137")</f>
        <v>0</v>
      </c>
      <c r="B2410" t="s">
        <v>141</v>
      </c>
      <c r="C2410" t="s">
        <v>257</v>
      </c>
      <c r="D2410" t="s">
        <v>624</v>
      </c>
      <c r="E2410" t="s">
        <v>377</v>
      </c>
      <c r="F2410" t="s">
        <v>1788</v>
      </c>
      <c r="G2410" t="s">
        <v>3706</v>
      </c>
      <c r="H2410" t="s">
        <v>6936</v>
      </c>
      <c r="I2410">
        <v>51</v>
      </c>
      <c r="J2410" t="s">
        <v>9067</v>
      </c>
      <c r="K2410">
        <v>10032</v>
      </c>
      <c r="L2410" t="s">
        <v>9094</v>
      </c>
      <c r="M2410" t="s">
        <v>9094</v>
      </c>
      <c r="N2410" t="s">
        <v>10053</v>
      </c>
      <c r="O2410" t="s">
        <v>11129</v>
      </c>
      <c r="P2410" t="s">
        <v>11165</v>
      </c>
      <c r="Q2410" t="s">
        <v>11174</v>
      </c>
      <c r="R2410" t="s">
        <v>11180</v>
      </c>
      <c r="S2410" t="s">
        <v>9096</v>
      </c>
      <c r="T2410" t="s">
        <v>11183</v>
      </c>
      <c r="V2410" t="s">
        <v>753</v>
      </c>
      <c r="W2410">
        <v>1600</v>
      </c>
      <c r="X2410" t="s">
        <v>11335</v>
      </c>
      <c r="Y2410" t="s">
        <v>11336</v>
      </c>
      <c r="Z2410" t="s">
        <v>13011</v>
      </c>
      <c r="AB2410" t="s">
        <v>17374</v>
      </c>
      <c r="AC2410">
        <v>39</v>
      </c>
      <c r="AD2410" t="s">
        <v>15441</v>
      </c>
      <c r="AE2410" t="s">
        <v>9144</v>
      </c>
      <c r="AF2410">
        <v>40</v>
      </c>
      <c r="AG2410">
        <v>1</v>
      </c>
      <c r="AH2410">
        <v>0</v>
      </c>
      <c r="AI2410">
        <v>82.37</v>
      </c>
      <c r="AL2410" t="s">
        <v>19614</v>
      </c>
      <c r="AM2410">
        <v>10000</v>
      </c>
      <c r="AQ2410" t="s">
        <v>20369</v>
      </c>
      <c r="AR2410" t="s">
        <v>20411</v>
      </c>
      <c r="AS2410">
        <v>47.2</v>
      </c>
      <c r="AT2410" t="s">
        <v>496</v>
      </c>
      <c r="AU2410" t="s">
        <v>20655</v>
      </c>
      <c r="AV2410" t="s">
        <v>20733</v>
      </c>
    </row>
    <row r="2411" spans="1:48">
      <c r="A2411" s="1">
        <f>HYPERLINK("https://lsnyc.legalserver.org/matter/dynamic-profile/view/1835605","17-1835605")</f>
        <v>0</v>
      </c>
      <c r="B2411" t="s">
        <v>138</v>
      </c>
      <c r="C2411" t="s">
        <v>256</v>
      </c>
      <c r="D2411" t="s">
        <v>495</v>
      </c>
      <c r="F2411" t="s">
        <v>1404</v>
      </c>
      <c r="G2411" t="s">
        <v>3583</v>
      </c>
      <c r="H2411" t="s">
        <v>5944</v>
      </c>
      <c r="I2411">
        <v>33</v>
      </c>
      <c r="J2411" t="s">
        <v>9067</v>
      </c>
      <c r="K2411">
        <v>10034</v>
      </c>
      <c r="L2411" t="s">
        <v>9094</v>
      </c>
      <c r="M2411" t="s">
        <v>9095</v>
      </c>
      <c r="N2411" t="s">
        <v>10054</v>
      </c>
      <c r="O2411" t="s">
        <v>11129</v>
      </c>
      <c r="P2411" t="s">
        <v>11165</v>
      </c>
      <c r="R2411" t="s">
        <v>11180</v>
      </c>
      <c r="S2411" t="s">
        <v>9096</v>
      </c>
      <c r="T2411" t="s">
        <v>11183</v>
      </c>
      <c r="V2411" t="s">
        <v>837</v>
      </c>
      <c r="W2411">
        <v>1150</v>
      </c>
      <c r="X2411" t="s">
        <v>11335</v>
      </c>
      <c r="Y2411" t="s">
        <v>11338</v>
      </c>
      <c r="Z2411" t="s">
        <v>11656</v>
      </c>
      <c r="AA2411" t="s">
        <v>15693</v>
      </c>
      <c r="AB2411" t="s">
        <v>16132</v>
      </c>
      <c r="AC2411">
        <v>25</v>
      </c>
      <c r="AD2411" t="s">
        <v>19566</v>
      </c>
      <c r="AE2411" t="s">
        <v>19582</v>
      </c>
      <c r="AF2411">
        <v>3</v>
      </c>
      <c r="AG2411">
        <v>1</v>
      </c>
      <c r="AH2411">
        <v>4</v>
      </c>
      <c r="AI2411">
        <v>82.38</v>
      </c>
      <c r="AL2411" t="s">
        <v>19615</v>
      </c>
      <c r="AM2411">
        <v>23710</v>
      </c>
      <c r="AS2411">
        <v>53.1</v>
      </c>
      <c r="AT2411" t="s">
        <v>359</v>
      </c>
      <c r="AU2411" t="s">
        <v>20657</v>
      </c>
    </row>
    <row r="2412" spans="1:48">
      <c r="A2412" s="1">
        <f>HYPERLINK("https://lsnyc.legalserver.org/matter/dynamic-profile/view/0823988","17-0823988")</f>
        <v>0</v>
      </c>
      <c r="B2412" t="s">
        <v>156</v>
      </c>
      <c r="C2412" t="s">
        <v>256</v>
      </c>
      <c r="D2412" t="s">
        <v>438</v>
      </c>
      <c r="F2412" t="s">
        <v>2209</v>
      </c>
      <c r="G2412" t="s">
        <v>4440</v>
      </c>
      <c r="H2412" t="s">
        <v>5855</v>
      </c>
      <c r="I2412" t="s">
        <v>8197</v>
      </c>
      <c r="J2412" t="s">
        <v>9065</v>
      </c>
      <c r="K2412">
        <v>10467</v>
      </c>
      <c r="L2412" t="s">
        <v>9094</v>
      </c>
      <c r="M2412" t="s">
        <v>9095</v>
      </c>
      <c r="N2412" t="s">
        <v>9220</v>
      </c>
      <c r="O2412" t="s">
        <v>11143</v>
      </c>
      <c r="P2412" t="s">
        <v>11165</v>
      </c>
      <c r="R2412" t="s">
        <v>11180</v>
      </c>
      <c r="S2412" t="s">
        <v>9094</v>
      </c>
      <c r="T2412" t="s">
        <v>11183</v>
      </c>
      <c r="V2412" t="s">
        <v>438</v>
      </c>
      <c r="W2412">
        <v>1432</v>
      </c>
      <c r="X2412" t="s">
        <v>11333</v>
      </c>
      <c r="Y2412" t="s">
        <v>11338</v>
      </c>
      <c r="Z2412" t="s">
        <v>13012</v>
      </c>
      <c r="AB2412" t="s">
        <v>17375</v>
      </c>
      <c r="AC2412">
        <v>30</v>
      </c>
      <c r="AD2412" t="s">
        <v>19572</v>
      </c>
      <c r="AF2412">
        <v>3</v>
      </c>
      <c r="AG2412">
        <v>2</v>
      </c>
      <c r="AH2412">
        <v>0</v>
      </c>
      <c r="AI2412">
        <v>82.40000000000001</v>
      </c>
      <c r="AJ2412" t="s">
        <v>865</v>
      </c>
      <c r="AL2412" t="s">
        <v>19614</v>
      </c>
      <c r="AM2412">
        <v>13200</v>
      </c>
      <c r="AS2412">
        <v>0</v>
      </c>
      <c r="AU2412" t="s">
        <v>20645</v>
      </c>
    </row>
    <row r="2413" spans="1:48">
      <c r="A2413" s="1">
        <f>HYPERLINK("https://lsnyc.legalserver.org/matter/dynamic-profile/view/1911594","19-1911594")</f>
        <v>0</v>
      </c>
      <c r="B2413" t="s">
        <v>69</v>
      </c>
      <c r="C2413" t="s">
        <v>256</v>
      </c>
      <c r="D2413" t="s">
        <v>728</v>
      </c>
      <c r="F2413" t="s">
        <v>1197</v>
      </c>
      <c r="G2413" t="s">
        <v>4441</v>
      </c>
      <c r="H2413" t="s">
        <v>6937</v>
      </c>
      <c r="I2413" t="s">
        <v>8605</v>
      </c>
      <c r="J2413" t="s">
        <v>9059</v>
      </c>
      <c r="K2413">
        <v>11239</v>
      </c>
      <c r="L2413" t="s">
        <v>9094</v>
      </c>
      <c r="M2413" t="s">
        <v>9095</v>
      </c>
      <c r="N2413" t="s">
        <v>10055</v>
      </c>
      <c r="O2413" t="s">
        <v>9121</v>
      </c>
      <c r="R2413" t="s">
        <v>11180</v>
      </c>
      <c r="S2413" t="s">
        <v>9096</v>
      </c>
      <c r="T2413" t="s">
        <v>11183</v>
      </c>
      <c r="U2413" t="s">
        <v>11201</v>
      </c>
      <c r="W2413">
        <v>2400</v>
      </c>
      <c r="X2413" t="s">
        <v>11332</v>
      </c>
      <c r="Y2413" t="s">
        <v>11340</v>
      </c>
      <c r="Z2413" t="s">
        <v>13013</v>
      </c>
      <c r="AA2413" t="s">
        <v>15694</v>
      </c>
      <c r="AB2413" t="s">
        <v>17376</v>
      </c>
      <c r="AC2413">
        <v>84</v>
      </c>
      <c r="AD2413" t="s">
        <v>19570</v>
      </c>
      <c r="AE2413" t="s">
        <v>19584</v>
      </c>
      <c r="AF2413">
        <v>1</v>
      </c>
      <c r="AG2413">
        <v>1</v>
      </c>
      <c r="AH2413">
        <v>0</v>
      </c>
      <c r="AI2413">
        <v>82.43000000000001</v>
      </c>
      <c r="AL2413" t="s">
        <v>19614</v>
      </c>
      <c r="AM2413">
        <v>10296</v>
      </c>
      <c r="AS2413">
        <v>15.75</v>
      </c>
      <c r="AT2413" t="s">
        <v>1130</v>
      </c>
      <c r="AU2413" t="s">
        <v>95</v>
      </c>
      <c r="AV2413" t="s">
        <v>20733</v>
      </c>
    </row>
    <row r="2414" spans="1:48">
      <c r="A2414" s="1">
        <f>HYPERLINK("https://lsnyc.legalserver.org/matter/dynamic-profile/view/1888910","19-1888910")</f>
        <v>0</v>
      </c>
      <c r="B2414" t="s">
        <v>86</v>
      </c>
      <c r="C2414" t="s">
        <v>257</v>
      </c>
      <c r="D2414" t="s">
        <v>616</v>
      </c>
      <c r="E2414" t="s">
        <v>663</v>
      </c>
      <c r="F2414" t="s">
        <v>2210</v>
      </c>
      <c r="G2414" t="s">
        <v>4442</v>
      </c>
      <c r="H2414" t="s">
        <v>6938</v>
      </c>
      <c r="I2414" t="s">
        <v>8606</v>
      </c>
      <c r="J2414" t="s">
        <v>9059</v>
      </c>
      <c r="K2414">
        <v>11226</v>
      </c>
      <c r="L2414" t="s">
        <v>9094</v>
      </c>
      <c r="M2414" t="s">
        <v>9094</v>
      </c>
      <c r="P2414" t="s">
        <v>11166</v>
      </c>
      <c r="Q2414" t="s">
        <v>11177</v>
      </c>
      <c r="R2414" t="s">
        <v>11180</v>
      </c>
      <c r="T2414" t="s">
        <v>11183</v>
      </c>
      <c r="V2414" t="s">
        <v>616</v>
      </c>
      <c r="W2414">
        <v>0</v>
      </c>
      <c r="X2414" t="s">
        <v>11332</v>
      </c>
      <c r="Z2414" t="s">
        <v>13014</v>
      </c>
      <c r="AB2414" t="s">
        <v>17377</v>
      </c>
      <c r="AC2414">
        <v>0</v>
      </c>
      <c r="AD2414" t="s">
        <v>19566</v>
      </c>
      <c r="AF2414">
        <v>36</v>
      </c>
      <c r="AG2414">
        <v>1</v>
      </c>
      <c r="AH2414">
        <v>0</v>
      </c>
      <c r="AI2414">
        <v>82.43000000000001</v>
      </c>
      <c r="AL2414" t="s">
        <v>19614</v>
      </c>
      <c r="AM2414">
        <v>10296</v>
      </c>
      <c r="AS2414">
        <v>33.75</v>
      </c>
      <c r="AT2414" t="s">
        <v>471</v>
      </c>
      <c r="AU2414" t="s">
        <v>67</v>
      </c>
    </row>
    <row r="2415" spans="1:48">
      <c r="A2415" s="1">
        <f>HYPERLINK("https://lsnyc.legalserver.org/matter/dynamic-profile/view/1891375","19-1891375")</f>
        <v>0</v>
      </c>
      <c r="B2415" t="s">
        <v>86</v>
      </c>
      <c r="C2415" t="s">
        <v>257</v>
      </c>
      <c r="D2415" t="s">
        <v>749</v>
      </c>
      <c r="E2415" t="s">
        <v>663</v>
      </c>
      <c r="F2415" t="s">
        <v>2210</v>
      </c>
      <c r="G2415" t="s">
        <v>4442</v>
      </c>
      <c r="H2415" t="s">
        <v>6938</v>
      </c>
      <c r="I2415" t="s">
        <v>8606</v>
      </c>
      <c r="J2415" t="s">
        <v>9059</v>
      </c>
      <c r="K2415">
        <v>11226</v>
      </c>
      <c r="L2415" t="s">
        <v>9094</v>
      </c>
      <c r="M2415" t="s">
        <v>9095</v>
      </c>
      <c r="P2415" t="s">
        <v>11166</v>
      </c>
      <c r="Q2415" t="s">
        <v>11178</v>
      </c>
      <c r="R2415" t="s">
        <v>11180</v>
      </c>
      <c r="T2415" t="s">
        <v>11183</v>
      </c>
      <c r="V2415" t="s">
        <v>1012</v>
      </c>
      <c r="W2415">
        <v>0</v>
      </c>
      <c r="X2415" t="s">
        <v>11332</v>
      </c>
      <c r="Z2415" t="s">
        <v>13014</v>
      </c>
      <c r="AB2415" t="s">
        <v>17377</v>
      </c>
      <c r="AC2415">
        <v>0</v>
      </c>
      <c r="AF2415">
        <v>0</v>
      </c>
      <c r="AG2415">
        <v>1</v>
      </c>
      <c r="AH2415">
        <v>0</v>
      </c>
      <c r="AI2415">
        <v>82.43000000000001</v>
      </c>
      <c r="AL2415" t="s">
        <v>19614</v>
      </c>
      <c r="AM2415">
        <v>10296</v>
      </c>
      <c r="AS2415">
        <v>22.5</v>
      </c>
      <c r="AT2415" t="s">
        <v>663</v>
      </c>
      <c r="AU2415" t="s">
        <v>215</v>
      </c>
      <c r="AV2415" t="s">
        <v>20733</v>
      </c>
    </row>
    <row r="2416" spans="1:48">
      <c r="A2416" s="1">
        <f>HYPERLINK("https://lsnyc.legalserver.org/matter/dynamic-profile/view/1891385","19-1891385")</f>
        <v>0</v>
      </c>
      <c r="B2416" t="s">
        <v>86</v>
      </c>
      <c r="C2416" t="s">
        <v>257</v>
      </c>
      <c r="D2416" t="s">
        <v>749</v>
      </c>
      <c r="E2416" t="s">
        <v>663</v>
      </c>
      <c r="F2416" t="s">
        <v>2210</v>
      </c>
      <c r="G2416" t="s">
        <v>4442</v>
      </c>
      <c r="H2416" t="s">
        <v>6938</v>
      </c>
      <c r="I2416" t="s">
        <v>8606</v>
      </c>
      <c r="J2416" t="s">
        <v>9059</v>
      </c>
      <c r="K2416">
        <v>11226</v>
      </c>
      <c r="L2416" t="s">
        <v>9096</v>
      </c>
      <c r="M2416" t="s">
        <v>9095</v>
      </c>
      <c r="P2416" t="s">
        <v>11166</v>
      </c>
      <c r="Q2416" t="s">
        <v>11177</v>
      </c>
      <c r="R2416" t="s">
        <v>11180</v>
      </c>
      <c r="T2416" t="s">
        <v>11183</v>
      </c>
      <c r="V2416" t="s">
        <v>1012</v>
      </c>
      <c r="W2416">
        <v>0</v>
      </c>
      <c r="X2416" t="s">
        <v>11332</v>
      </c>
      <c r="Z2416" t="s">
        <v>13014</v>
      </c>
      <c r="AB2416" t="s">
        <v>17377</v>
      </c>
      <c r="AC2416">
        <v>0</v>
      </c>
      <c r="AF2416">
        <v>0</v>
      </c>
      <c r="AG2416">
        <v>1</v>
      </c>
      <c r="AH2416">
        <v>0</v>
      </c>
      <c r="AI2416">
        <v>82.43000000000001</v>
      </c>
      <c r="AL2416" t="s">
        <v>19614</v>
      </c>
      <c r="AM2416">
        <v>10296</v>
      </c>
      <c r="AS2416">
        <v>13.5</v>
      </c>
      <c r="AT2416" t="s">
        <v>559</v>
      </c>
      <c r="AU2416" t="s">
        <v>215</v>
      </c>
    </row>
    <row r="2417" spans="1:48">
      <c r="A2417" s="1">
        <f>HYPERLINK("https://lsnyc.legalserver.org/matter/dynamic-profile/view/1906451","19-1906451")</f>
        <v>0</v>
      </c>
      <c r="B2417" t="s">
        <v>109</v>
      </c>
      <c r="C2417" t="s">
        <v>257</v>
      </c>
      <c r="D2417" t="s">
        <v>493</v>
      </c>
      <c r="E2417" t="s">
        <v>899</v>
      </c>
      <c r="F2417" t="s">
        <v>1248</v>
      </c>
      <c r="G2417" t="s">
        <v>4245</v>
      </c>
      <c r="H2417" t="s">
        <v>6939</v>
      </c>
      <c r="J2417" t="s">
        <v>9065</v>
      </c>
      <c r="K2417">
        <v>10472</v>
      </c>
      <c r="L2417" t="s">
        <v>9094</v>
      </c>
      <c r="M2417" t="s">
        <v>9095</v>
      </c>
      <c r="O2417" t="s">
        <v>9121</v>
      </c>
      <c r="P2417" t="s">
        <v>11167</v>
      </c>
      <c r="Q2417" t="s">
        <v>11173</v>
      </c>
      <c r="R2417" t="s">
        <v>11180</v>
      </c>
      <c r="S2417" t="s">
        <v>9096</v>
      </c>
      <c r="T2417" t="s">
        <v>11189</v>
      </c>
      <c r="W2417">
        <v>475</v>
      </c>
      <c r="X2417" t="s">
        <v>11333</v>
      </c>
      <c r="Y2417" t="s">
        <v>11339</v>
      </c>
      <c r="Z2417" t="s">
        <v>13015</v>
      </c>
      <c r="AB2417" t="s">
        <v>17378</v>
      </c>
      <c r="AC2417">
        <v>0</v>
      </c>
      <c r="AD2417" t="s">
        <v>19566</v>
      </c>
      <c r="AF2417">
        <v>3</v>
      </c>
      <c r="AG2417">
        <v>1</v>
      </c>
      <c r="AH2417">
        <v>0</v>
      </c>
      <c r="AI2417">
        <v>82.43000000000001</v>
      </c>
      <c r="AL2417" t="s">
        <v>19614</v>
      </c>
      <c r="AM2417">
        <v>10296</v>
      </c>
      <c r="AS2417">
        <v>2.5</v>
      </c>
      <c r="AT2417" t="s">
        <v>899</v>
      </c>
      <c r="AU2417" t="s">
        <v>109</v>
      </c>
      <c r="AV2417" t="s">
        <v>20733</v>
      </c>
    </row>
    <row r="2418" spans="1:48">
      <c r="A2418" s="1">
        <f>HYPERLINK("https://lsnyc.legalserver.org/matter/dynamic-profile/view/1899066","19-1899066")</f>
        <v>0</v>
      </c>
      <c r="B2418" t="s">
        <v>111</v>
      </c>
      <c r="C2418" t="s">
        <v>257</v>
      </c>
      <c r="D2418" t="s">
        <v>492</v>
      </c>
      <c r="E2418" t="s">
        <v>290</v>
      </c>
      <c r="F2418" t="s">
        <v>2211</v>
      </c>
      <c r="G2418" t="s">
        <v>3467</v>
      </c>
      <c r="H2418" t="s">
        <v>6940</v>
      </c>
      <c r="I2418" t="s">
        <v>8607</v>
      </c>
      <c r="J2418" t="s">
        <v>9065</v>
      </c>
      <c r="K2418">
        <v>10458</v>
      </c>
      <c r="L2418" t="s">
        <v>9094</v>
      </c>
      <c r="M2418" t="s">
        <v>9095</v>
      </c>
      <c r="N2418" t="s">
        <v>10056</v>
      </c>
      <c r="O2418" t="s">
        <v>11128</v>
      </c>
      <c r="P2418" t="s">
        <v>11164</v>
      </c>
      <c r="Q2418" t="s">
        <v>11172</v>
      </c>
      <c r="R2418" t="s">
        <v>11180</v>
      </c>
      <c r="S2418" t="s">
        <v>9096</v>
      </c>
      <c r="T2418" t="s">
        <v>11183</v>
      </c>
      <c r="V2418" t="s">
        <v>11218</v>
      </c>
      <c r="W2418">
        <v>195</v>
      </c>
      <c r="X2418" t="s">
        <v>11333</v>
      </c>
      <c r="Y2418" t="s">
        <v>11346</v>
      </c>
      <c r="AB2418" t="s">
        <v>17379</v>
      </c>
      <c r="AC2418">
        <v>62</v>
      </c>
      <c r="AD2418" t="s">
        <v>19566</v>
      </c>
      <c r="AE2418" t="s">
        <v>11157</v>
      </c>
      <c r="AF2418">
        <v>10</v>
      </c>
      <c r="AG2418">
        <v>1</v>
      </c>
      <c r="AH2418">
        <v>0</v>
      </c>
      <c r="AI2418">
        <v>82.43000000000001</v>
      </c>
      <c r="AL2418" t="s">
        <v>19614</v>
      </c>
      <c r="AM2418">
        <v>10296</v>
      </c>
      <c r="AS2418">
        <v>0.8</v>
      </c>
      <c r="AT2418" t="s">
        <v>310</v>
      </c>
      <c r="AU2418" t="s">
        <v>20642</v>
      </c>
      <c r="AV2418" t="s">
        <v>9144</v>
      </c>
    </row>
    <row r="2419" spans="1:48">
      <c r="A2419" s="1">
        <f>HYPERLINK("https://lsnyc.legalserver.org/matter/dynamic-profile/view/1907341","19-1907341")</f>
        <v>0</v>
      </c>
      <c r="B2419" t="s">
        <v>117</v>
      </c>
      <c r="C2419" t="s">
        <v>256</v>
      </c>
      <c r="D2419" t="s">
        <v>334</v>
      </c>
      <c r="F2419" t="s">
        <v>2212</v>
      </c>
      <c r="G2419" t="s">
        <v>3415</v>
      </c>
      <c r="H2419" t="s">
        <v>6941</v>
      </c>
      <c r="I2419">
        <v>1205</v>
      </c>
      <c r="J2419" t="s">
        <v>9065</v>
      </c>
      <c r="K2419">
        <v>10456</v>
      </c>
      <c r="L2419" t="s">
        <v>9094</v>
      </c>
      <c r="M2419" t="s">
        <v>9095</v>
      </c>
      <c r="R2419" t="s">
        <v>11180</v>
      </c>
      <c r="S2419" t="s">
        <v>9096</v>
      </c>
      <c r="T2419" t="s">
        <v>11183</v>
      </c>
      <c r="W2419">
        <v>257.4</v>
      </c>
      <c r="X2419" t="s">
        <v>11333</v>
      </c>
      <c r="Y2419" t="s">
        <v>11157</v>
      </c>
      <c r="Z2419" t="s">
        <v>13016</v>
      </c>
      <c r="AB2419" t="s">
        <v>17380</v>
      </c>
      <c r="AC2419">
        <v>154</v>
      </c>
      <c r="AD2419" t="s">
        <v>15441</v>
      </c>
      <c r="AE2419" t="s">
        <v>19581</v>
      </c>
      <c r="AF2419">
        <v>-1</v>
      </c>
      <c r="AG2419">
        <v>1</v>
      </c>
      <c r="AH2419">
        <v>0</v>
      </c>
      <c r="AI2419">
        <v>82.43000000000001</v>
      </c>
      <c r="AL2419" t="s">
        <v>19614</v>
      </c>
      <c r="AM2419">
        <v>10296</v>
      </c>
      <c r="AS2419">
        <v>27.4</v>
      </c>
      <c r="AT2419" t="s">
        <v>487</v>
      </c>
      <c r="AU2419" t="s">
        <v>220</v>
      </c>
    </row>
    <row r="2420" spans="1:48">
      <c r="A2420" s="1">
        <f>HYPERLINK("https://lsnyc.legalserver.org/matter/dynamic-profile/view/1899537","19-1899537")</f>
        <v>0</v>
      </c>
      <c r="B2420" t="s">
        <v>115</v>
      </c>
      <c r="C2420" t="s">
        <v>257</v>
      </c>
      <c r="D2420" t="s">
        <v>361</v>
      </c>
      <c r="E2420" t="s">
        <v>1134</v>
      </c>
      <c r="F2420" t="s">
        <v>2142</v>
      </c>
      <c r="G2420" t="s">
        <v>4443</v>
      </c>
      <c r="H2420" t="s">
        <v>6942</v>
      </c>
      <c r="I2420" t="s">
        <v>8608</v>
      </c>
      <c r="J2420" t="s">
        <v>9065</v>
      </c>
      <c r="K2420">
        <v>10453</v>
      </c>
      <c r="L2420" t="s">
        <v>9094</v>
      </c>
      <c r="M2420" t="s">
        <v>9095</v>
      </c>
      <c r="N2420" t="s">
        <v>10057</v>
      </c>
      <c r="O2420" t="s">
        <v>11129</v>
      </c>
      <c r="P2420" t="s">
        <v>11165</v>
      </c>
      <c r="Q2420" t="s">
        <v>11174</v>
      </c>
      <c r="R2420" t="s">
        <v>11180</v>
      </c>
      <c r="S2420" t="s">
        <v>9096</v>
      </c>
      <c r="T2420" t="s">
        <v>11183</v>
      </c>
      <c r="U2420" t="s">
        <v>11198</v>
      </c>
      <c r="V2420" t="s">
        <v>361</v>
      </c>
      <c r="W2420">
        <v>175.5</v>
      </c>
      <c r="X2420" t="s">
        <v>11333</v>
      </c>
      <c r="Y2420" t="s">
        <v>11339</v>
      </c>
      <c r="Z2420" t="s">
        <v>12825</v>
      </c>
      <c r="AA2420" t="s">
        <v>15695</v>
      </c>
      <c r="AB2420" t="s">
        <v>17381</v>
      </c>
      <c r="AC2420">
        <v>0</v>
      </c>
      <c r="AD2420" t="s">
        <v>19575</v>
      </c>
      <c r="AE2420" t="s">
        <v>11157</v>
      </c>
      <c r="AF2420">
        <v>3</v>
      </c>
      <c r="AG2420">
        <v>1</v>
      </c>
      <c r="AH2420">
        <v>0</v>
      </c>
      <c r="AI2420">
        <v>82.43000000000001</v>
      </c>
      <c r="AL2420" t="s">
        <v>19615</v>
      </c>
      <c r="AM2420">
        <v>10296</v>
      </c>
      <c r="AS2420">
        <v>2.9</v>
      </c>
      <c r="AT2420" t="s">
        <v>1134</v>
      </c>
      <c r="AU2420" t="s">
        <v>115</v>
      </c>
      <c r="AV2420" t="s">
        <v>20733</v>
      </c>
    </row>
    <row r="2421" spans="1:48">
      <c r="A2421" s="1">
        <f>HYPERLINK("https://lsnyc.legalserver.org/matter/dynamic-profile/view/1893538","19-1893538")</f>
        <v>0</v>
      </c>
      <c r="B2421" t="s">
        <v>137</v>
      </c>
      <c r="C2421" t="s">
        <v>256</v>
      </c>
      <c r="D2421" t="s">
        <v>573</v>
      </c>
      <c r="F2421" t="s">
        <v>1282</v>
      </c>
      <c r="G2421" t="s">
        <v>4444</v>
      </c>
      <c r="H2421" t="s">
        <v>6943</v>
      </c>
      <c r="I2421" t="s">
        <v>8191</v>
      </c>
      <c r="J2421" t="s">
        <v>9067</v>
      </c>
      <c r="K2421">
        <v>10040</v>
      </c>
      <c r="L2421" t="s">
        <v>9094</v>
      </c>
      <c r="M2421" t="s">
        <v>9094</v>
      </c>
      <c r="O2421" t="s">
        <v>11136</v>
      </c>
      <c r="P2421" t="s">
        <v>11167</v>
      </c>
      <c r="R2421" t="s">
        <v>11180</v>
      </c>
      <c r="T2421" t="s">
        <v>11183</v>
      </c>
      <c r="V2421" t="s">
        <v>573</v>
      </c>
      <c r="W2421">
        <v>1095.99</v>
      </c>
      <c r="X2421" t="s">
        <v>11335</v>
      </c>
      <c r="Y2421" t="s">
        <v>11338</v>
      </c>
      <c r="Z2421" t="s">
        <v>13017</v>
      </c>
      <c r="AB2421" t="s">
        <v>17382</v>
      </c>
      <c r="AC2421">
        <v>25</v>
      </c>
      <c r="AD2421" t="s">
        <v>19566</v>
      </c>
      <c r="AE2421" t="s">
        <v>9144</v>
      </c>
      <c r="AF2421">
        <v>35</v>
      </c>
      <c r="AG2421">
        <v>1</v>
      </c>
      <c r="AH2421">
        <v>0</v>
      </c>
      <c r="AI2421">
        <v>82.43000000000001</v>
      </c>
      <c r="AL2421" t="s">
        <v>19615</v>
      </c>
      <c r="AM2421">
        <v>10296</v>
      </c>
      <c r="AS2421">
        <v>15</v>
      </c>
      <c r="AT2421" t="s">
        <v>694</v>
      </c>
      <c r="AU2421" t="s">
        <v>130</v>
      </c>
      <c r="AV2421" t="s">
        <v>20733</v>
      </c>
    </row>
    <row r="2422" spans="1:48">
      <c r="A2422" s="1">
        <f>HYPERLINK("https://lsnyc.legalserver.org/matter/dynamic-profile/view/1913103","19-1913103")</f>
        <v>0</v>
      </c>
      <c r="B2422" t="s">
        <v>134</v>
      </c>
      <c r="C2422" t="s">
        <v>256</v>
      </c>
      <c r="D2422" t="s">
        <v>276</v>
      </c>
      <c r="F2422" t="s">
        <v>1145</v>
      </c>
      <c r="G2422" t="s">
        <v>4445</v>
      </c>
      <c r="H2422" t="s">
        <v>6944</v>
      </c>
      <c r="I2422" t="s">
        <v>8390</v>
      </c>
      <c r="J2422" t="s">
        <v>9067</v>
      </c>
      <c r="K2422">
        <v>10034</v>
      </c>
      <c r="L2422" t="s">
        <v>9094</v>
      </c>
      <c r="M2422" t="s">
        <v>9095</v>
      </c>
      <c r="P2422" t="s">
        <v>11169</v>
      </c>
      <c r="R2422" t="s">
        <v>11180</v>
      </c>
      <c r="S2422" t="s">
        <v>9096</v>
      </c>
      <c r="T2422" t="s">
        <v>11183</v>
      </c>
      <c r="V2422" t="s">
        <v>276</v>
      </c>
      <c r="W2422">
        <v>236</v>
      </c>
      <c r="X2422" t="s">
        <v>11335</v>
      </c>
      <c r="Y2422" t="s">
        <v>11340</v>
      </c>
      <c r="Z2422" t="s">
        <v>13018</v>
      </c>
      <c r="AC2422">
        <v>1167</v>
      </c>
      <c r="AD2422" t="s">
        <v>19566</v>
      </c>
      <c r="AE2422" t="s">
        <v>19580</v>
      </c>
      <c r="AF2422">
        <v>14</v>
      </c>
      <c r="AG2422">
        <v>1</v>
      </c>
      <c r="AH2422">
        <v>0</v>
      </c>
      <c r="AI2422">
        <v>82.43000000000001</v>
      </c>
      <c r="AL2422" t="s">
        <v>19614</v>
      </c>
      <c r="AM2422">
        <v>10296</v>
      </c>
      <c r="AS2422">
        <v>0.5</v>
      </c>
      <c r="AT2422" t="s">
        <v>276</v>
      </c>
      <c r="AU2422" t="s">
        <v>130</v>
      </c>
      <c r="AV2422" t="s">
        <v>20733</v>
      </c>
    </row>
    <row r="2423" spans="1:48">
      <c r="A2423" s="1">
        <f>HYPERLINK("https://lsnyc.legalserver.org/matter/dynamic-profile/view/1892375","19-1892375")</f>
        <v>0</v>
      </c>
      <c r="B2423" t="s">
        <v>139</v>
      </c>
      <c r="C2423" t="s">
        <v>256</v>
      </c>
      <c r="D2423" t="s">
        <v>635</v>
      </c>
      <c r="F2423" t="s">
        <v>1209</v>
      </c>
      <c r="G2423" t="s">
        <v>4446</v>
      </c>
      <c r="H2423" t="s">
        <v>6945</v>
      </c>
      <c r="I2423" t="s">
        <v>8265</v>
      </c>
      <c r="J2423" t="s">
        <v>9067</v>
      </c>
      <c r="K2423">
        <v>10033</v>
      </c>
      <c r="L2423" t="s">
        <v>9094</v>
      </c>
      <c r="M2423" t="s">
        <v>9094</v>
      </c>
      <c r="N2423" t="s">
        <v>10058</v>
      </c>
      <c r="O2423" t="s">
        <v>11136</v>
      </c>
      <c r="P2423" t="s">
        <v>11165</v>
      </c>
      <c r="R2423" t="s">
        <v>11180</v>
      </c>
      <c r="S2423" t="s">
        <v>9096</v>
      </c>
      <c r="T2423" t="s">
        <v>11183</v>
      </c>
      <c r="V2423" t="s">
        <v>635</v>
      </c>
      <c r="W2423">
        <v>365</v>
      </c>
      <c r="X2423" t="s">
        <v>11335</v>
      </c>
      <c r="Y2423" t="s">
        <v>11338</v>
      </c>
      <c r="Z2423" t="s">
        <v>13019</v>
      </c>
      <c r="AB2423" t="s">
        <v>17383</v>
      </c>
      <c r="AC2423">
        <v>44</v>
      </c>
      <c r="AD2423" t="s">
        <v>19566</v>
      </c>
      <c r="AE2423" t="s">
        <v>19587</v>
      </c>
      <c r="AF2423">
        <v>34</v>
      </c>
      <c r="AG2423">
        <v>1</v>
      </c>
      <c r="AH2423">
        <v>0</v>
      </c>
      <c r="AI2423">
        <v>82.43000000000001</v>
      </c>
      <c r="AL2423" t="s">
        <v>19615</v>
      </c>
      <c r="AM2423">
        <v>10296</v>
      </c>
      <c r="AS2423">
        <v>71.7</v>
      </c>
      <c r="AT2423" t="s">
        <v>703</v>
      </c>
      <c r="AU2423" t="s">
        <v>130</v>
      </c>
      <c r="AV2423" t="s">
        <v>20733</v>
      </c>
    </row>
    <row r="2424" spans="1:48">
      <c r="A2424" s="1">
        <f>HYPERLINK("https://lsnyc.legalserver.org/matter/dynamic-profile/view/1910486","19-1910486")</f>
        <v>0</v>
      </c>
      <c r="B2424" t="s">
        <v>141</v>
      </c>
      <c r="C2424" t="s">
        <v>257</v>
      </c>
      <c r="D2424" t="s">
        <v>341</v>
      </c>
      <c r="E2424" t="s">
        <v>341</v>
      </c>
      <c r="F2424" t="s">
        <v>2213</v>
      </c>
      <c r="G2424" t="s">
        <v>1305</v>
      </c>
      <c r="H2424" t="s">
        <v>6946</v>
      </c>
      <c r="I2424" t="s">
        <v>8609</v>
      </c>
      <c r="J2424" t="s">
        <v>9067</v>
      </c>
      <c r="K2424">
        <v>10032</v>
      </c>
      <c r="L2424" t="s">
        <v>9094</v>
      </c>
      <c r="M2424" t="s">
        <v>9095</v>
      </c>
      <c r="O2424" t="s">
        <v>9121</v>
      </c>
      <c r="P2424" t="s">
        <v>11167</v>
      </c>
      <c r="Q2424" t="s">
        <v>11173</v>
      </c>
      <c r="R2424" t="s">
        <v>11180</v>
      </c>
      <c r="S2424" t="s">
        <v>9096</v>
      </c>
      <c r="T2424" t="s">
        <v>11183</v>
      </c>
      <c r="V2424" t="s">
        <v>341</v>
      </c>
      <c r="W2424">
        <v>1132</v>
      </c>
      <c r="X2424" t="s">
        <v>11335</v>
      </c>
      <c r="Y2424" t="s">
        <v>11340</v>
      </c>
      <c r="Z2424" t="s">
        <v>13020</v>
      </c>
      <c r="AB2424" t="s">
        <v>17384</v>
      </c>
      <c r="AC2424">
        <v>14</v>
      </c>
      <c r="AD2424" t="s">
        <v>19566</v>
      </c>
      <c r="AE2424" t="s">
        <v>19587</v>
      </c>
      <c r="AF2424">
        <v>16</v>
      </c>
      <c r="AG2424">
        <v>1</v>
      </c>
      <c r="AH2424">
        <v>0</v>
      </c>
      <c r="AI2424">
        <v>82.43000000000001</v>
      </c>
      <c r="AL2424" t="s">
        <v>19614</v>
      </c>
      <c r="AM2424">
        <v>10296</v>
      </c>
      <c r="AS2424">
        <v>0.1</v>
      </c>
      <c r="AT2424" t="s">
        <v>341</v>
      </c>
      <c r="AU2424" t="s">
        <v>130</v>
      </c>
      <c r="AV2424" t="s">
        <v>20733</v>
      </c>
    </row>
    <row r="2425" spans="1:48">
      <c r="A2425" s="1">
        <f>HYPERLINK("https://lsnyc.legalserver.org/matter/dynamic-profile/view/1884434","18-1884434")</f>
        <v>0</v>
      </c>
      <c r="B2425" t="s">
        <v>111</v>
      </c>
      <c r="C2425" t="s">
        <v>256</v>
      </c>
      <c r="D2425" t="s">
        <v>511</v>
      </c>
      <c r="F2425" t="s">
        <v>2174</v>
      </c>
      <c r="G2425" t="s">
        <v>4390</v>
      </c>
      <c r="H2425" t="s">
        <v>6885</v>
      </c>
      <c r="I2425" t="s">
        <v>8149</v>
      </c>
      <c r="J2425" t="s">
        <v>9065</v>
      </c>
      <c r="K2425">
        <v>10451</v>
      </c>
      <c r="L2425" t="s">
        <v>9094</v>
      </c>
      <c r="M2425" t="s">
        <v>9094</v>
      </c>
      <c r="N2425" t="s">
        <v>10059</v>
      </c>
      <c r="O2425" t="s">
        <v>11129</v>
      </c>
      <c r="P2425" t="s">
        <v>11165</v>
      </c>
      <c r="R2425" t="s">
        <v>11180</v>
      </c>
      <c r="S2425" t="s">
        <v>9096</v>
      </c>
      <c r="T2425" t="s">
        <v>11183</v>
      </c>
      <c r="V2425" t="s">
        <v>11266</v>
      </c>
      <c r="W2425">
        <v>1640</v>
      </c>
      <c r="X2425" t="s">
        <v>11333</v>
      </c>
      <c r="Y2425" t="s">
        <v>11340</v>
      </c>
      <c r="Z2425" t="s">
        <v>12922</v>
      </c>
      <c r="AA2425" t="s">
        <v>15696</v>
      </c>
      <c r="AB2425" t="s">
        <v>17288</v>
      </c>
      <c r="AC2425">
        <v>0</v>
      </c>
      <c r="AD2425" t="s">
        <v>19571</v>
      </c>
      <c r="AE2425" t="s">
        <v>19585</v>
      </c>
      <c r="AF2425">
        <v>2</v>
      </c>
      <c r="AG2425">
        <v>3</v>
      </c>
      <c r="AH2425">
        <v>1</v>
      </c>
      <c r="AI2425">
        <v>82.52</v>
      </c>
      <c r="AM2425">
        <v>20712</v>
      </c>
      <c r="AS2425">
        <v>8.9</v>
      </c>
      <c r="AT2425" t="s">
        <v>492</v>
      </c>
      <c r="AU2425" t="s">
        <v>20642</v>
      </c>
    </row>
    <row r="2426" spans="1:48">
      <c r="A2426" s="1">
        <f>HYPERLINK("https://lsnyc.legalserver.org/matter/dynamic-profile/view/1884635","18-1884635")</f>
        <v>0</v>
      </c>
      <c r="B2426" t="s">
        <v>71</v>
      </c>
      <c r="C2426" t="s">
        <v>256</v>
      </c>
      <c r="D2426" t="s">
        <v>622</v>
      </c>
      <c r="F2426" t="s">
        <v>2214</v>
      </c>
      <c r="G2426" t="s">
        <v>3479</v>
      </c>
      <c r="H2426" t="s">
        <v>6947</v>
      </c>
      <c r="I2426" t="s">
        <v>8197</v>
      </c>
      <c r="J2426" t="s">
        <v>9059</v>
      </c>
      <c r="K2426">
        <v>11233</v>
      </c>
      <c r="L2426" t="s">
        <v>9094</v>
      </c>
      <c r="M2426" t="s">
        <v>9094</v>
      </c>
      <c r="N2426" t="s">
        <v>10060</v>
      </c>
      <c r="O2426" t="s">
        <v>11129</v>
      </c>
      <c r="P2426" t="s">
        <v>11165</v>
      </c>
      <c r="R2426" t="s">
        <v>11180</v>
      </c>
      <c r="S2426" t="s">
        <v>9096</v>
      </c>
      <c r="T2426" t="s">
        <v>11183</v>
      </c>
      <c r="U2426" t="s">
        <v>11201</v>
      </c>
      <c r="V2426" t="s">
        <v>635</v>
      </c>
      <c r="W2426">
        <v>530</v>
      </c>
      <c r="X2426" t="s">
        <v>11332</v>
      </c>
      <c r="Y2426" t="s">
        <v>11336</v>
      </c>
      <c r="Z2426" t="s">
        <v>13021</v>
      </c>
      <c r="AB2426" t="s">
        <v>17385</v>
      </c>
      <c r="AC2426">
        <v>15</v>
      </c>
      <c r="AF2426">
        <v>37</v>
      </c>
      <c r="AG2426">
        <v>1</v>
      </c>
      <c r="AH2426">
        <v>0</v>
      </c>
      <c r="AI2426">
        <v>82.54000000000001</v>
      </c>
      <c r="AL2426" t="s">
        <v>19614</v>
      </c>
      <c r="AM2426">
        <v>10020</v>
      </c>
      <c r="AS2426">
        <v>38</v>
      </c>
      <c r="AT2426" t="s">
        <v>327</v>
      </c>
      <c r="AU2426" t="s">
        <v>20633</v>
      </c>
    </row>
    <row r="2427" spans="1:48">
      <c r="A2427" s="1">
        <f>HYPERLINK("https://lsnyc.legalserver.org/matter/dynamic-profile/view/1874673","18-1874673")</f>
        <v>0</v>
      </c>
      <c r="B2427" t="s">
        <v>138</v>
      </c>
      <c r="C2427" t="s">
        <v>256</v>
      </c>
      <c r="D2427" t="s">
        <v>536</v>
      </c>
      <c r="F2427" t="s">
        <v>1238</v>
      </c>
      <c r="G2427" t="s">
        <v>3398</v>
      </c>
      <c r="H2427" t="s">
        <v>6681</v>
      </c>
      <c r="I2427" t="s">
        <v>8153</v>
      </c>
      <c r="J2427" t="s">
        <v>9067</v>
      </c>
      <c r="K2427">
        <v>10040</v>
      </c>
      <c r="L2427" t="s">
        <v>9094</v>
      </c>
      <c r="M2427" t="s">
        <v>9094</v>
      </c>
      <c r="O2427" t="s">
        <v>11130</v>
      </c>
      <c r="P2427" t="s">
        <v>11167</v>
      </c>
      <c r="R2427" t="s">
        <v>11180</v>
      </c>
      <c r="S2427" t="s">
        <v>9096</v>
      </c>
      <c r="T2427" t="s">
        <v>11183</v>
      </c>
      <c r="V2427" t="s">
        <v>846</v>
      </c>
      <c r="W2427">
        <v>165</v>
      </c>
      <c r="X2427" t="s">
        <v>11335</v>
      </c>
      <c r="Y2427" t="s">
        <v>11340</v>
      </c>
      <c r="Z2427" t="s">
        <v>11958</v>
      </c>
      <c r="AB2427" t="s">
        <v>17386</v>
      </c>
      <c r="AC2427">
        <v>43</v>
      </c>
      <c r="AD2427" t="s">
        <v>19566</v>
      </c>
      <c r="AE2427" t="s">
        <v>19580</v>
      </c>
      <c r="AF2427">
        <v>13</v>
      </c>
      <c r="AG2427">
        <v>1</v>
      </c>
      <c r="AH2427">
        <v>0</v>
      </c>
      <c r="AI2427">
        <v>82.54000000000001</v>
      </c>
      <c r="AL2427" t="s">
        <v>19614</v>
      </c>
      <c r="AM2427">
        <v>10020</v>
      </c>
      <c r="AS2427">
        <v>3.6</v>
      </c>
      <c r="AT2427" t="s">
        <v>397</v>
      </c>
      <c r="AU2427" t="s">
        <v>130</v>
      </c>
      <c r="AV2427" t="s">
        <v>20733</v>
      </c>
    </row>
    <row r="2428" spans="1:48">
      <c r="A2428" s="1">
        <f>HYPERLINK("https://lsnyc.legalserver.org/matter/dynamic-profile/view/1874606","18-1874606")</f>
        <v>0</v>
      </c>
      <c r="B2428" t="s">
        <v>56</v>
      </c>
      <c r="C2428" t="s">
        <v>256</v>
      </c>
      <c r="D2428" t="s">
        <v>568</v>
      </c>
      <c r="F2428" t="s">
        <v>2215</v>
      </c>
      <c r="G2428" t="s">
        <v>4447</v>
      </c>
      <c r="H2428" t="s">
        <v>6422</v>
      </c>
      <c r="I2428">
        <v>1001</v>
      </c>
      <c r="J2428" t="s">
        <v>9037</v>
      </c>
      <c r="K2428">
        <v>11692</v>
      </c>
      <c r="L2428" t="s">
        <v>9094</v>
      </c>
      <c r="M2428" t="s">
        <v>9094</v>
      </c>
      <c r="N2428" t="s">
        <v>10061</v>
      </c>
      <c r="O2428" t="s">
        <v>11129</v>
      </c>
      <c r="P2428" t="s">
        <v>11165</v>
      </c>
      <c r="R2428" t="s">
        <v>11180</v>
      </c>
      <c r="S2428" t="s">
        <v>9096</v>
      </c>
      <c r="T2428" t="s">
        <v>11183</v>
      </c>
      <c r="U2428" t="s">
        <v>11199</v>
      </c>
      <c r="V2428" t="s">
        <v>568</v>
      </c>
      <c r="W2428">
        <v>1820</v>
      </c>
      <c r="X2428" t="s">
        <v>11331</v>
      </c>
      <c r="Y2428" t="s">
        <v>11336</v>
      </c>
      <c r="Z2428" t="s">
        <v>12286</v>
      </c>
      <c r="AA2428" t="s">
        <v>9144</v>
      </c>
      <c r="AB2428" t="s">
        <v>17387</v>
      </c>
      <c r="AC2428">
        <v>103</v>
      </c>
      <c r="AD2428" t="s">
        <v>19567</v>
      </c>
      <c r="AE2428" t="s">
        <v>19580</v>
      </c>
      <c r="AF2428">
        <v>14</v>
      </c>
      <c r="AG2428">
        <v>1</v>
      </c>
      <c r="AH2428">
        <v>2</v>
      </c>
      <c r="AI2428">
        <v>82.58</v>
      </c>
      <c r="AL2428" t="s">
        <v>19614</v>
      </c>
      <c r="AM2428">
        <v>17160</v>
      </c>
      <c r="AO2428" t="s">
        <v>20294</v>
      </c>
      <c r="AP2428" t="s">
        <v>11157</v>
      </c>
      <c r="AQ2428" t="s">
        <v>20369</v>
      </c>
      <c r="AR2428" t="s">
        <v>20494</v>
      </c>
      <c r="AS2428">
        <v>30.3</v>
      </c>
      <c r="AT2428" t="s">
        <v>615</v>
      </c>
      <c r="AU2428" t="s">
        <v>81</v>
      </c>
    </row>
    <row r="2429" spans="1:48">
      <c r="A2429" s="1">
        <f>HYPERLINK("https://lsnyc.legalserver.org/matter/dynamic-profile/view/1892284","19-1892284")</f>
        <v>0</v>
      </c>
      <c r="B2429" t="s">
        <v>115</v>
      </c>
      <c r="C2429" t="s">
        <v>257</v>
      </c>
      <c r="D2429" t="s">
        <v>473</v>
      </c>
      <c r="E2429" t="s">
        <v>425</v>
      </c>
      <c r="F2429" t="s">
        <v>1275</v>
      </c>
      <c r="G2429" t="s">
        <v>4448</v>
      </c>
      <c r="H2429" t="s">
        <v>6948</v>
      </c>
      <c r="I2429" t="s">
        <v>8119</v>
      </c>
      <c r="J2429" t="s">
        <v>9065</v>
      </c>
      <c r="K2429">
        <v>10467</v>
      </c>
      <c r="L2429" t="s">
        <v>9094</v>
      </c>
      <c r="M2429" t="s">
        <v>9094</v>
      </c>
      <c r="N2429" t="s">
        <v>9171</v>
      </c>
      <c r="O2429" t="s">
        <v>11136</v>
      </c>
      <c r="P2429" t="s">
        <v>11164</v>
      </c>
      <c r="Q2429" t="s">
        <v>11172</v>
      </c>
      <c r="R2429" t="s">
        <v>11180</v>
      </c>
      <c r="S2429" t="s">
        <v>9096</v>
      </c>
      <c r="T2429" t="s">
        <v>11183</v>
      </c>
      <c r="U2429" t="s">
        <v>11201</v>
      </c>
      <c r="V2429" t="s">
        <v>473</v>
      </c>
      <c r="W2429">
        <v>923</v>
      </c>
      <c r="X2429" t="s">
        <v>11333</v>
      </c>
      <c r="Z2429" t="s">
        <v>12489</v>
      </c>
      <c r="AB2429" t="s">
        <v>17388</v>
      </c>
      <c r="AC2429">
        <v>0</v>
      </c>
      <c r="AD2429" t="s">
        <v>19566</v>
      </c>
      <c r="AE2429" t="s">
        <v>19587</v>
      </c>
      <c r="AF2429">
        <v>21</v>
      </c>
      <c r="AG2429">
        <v>1</v>
      </c>
      <c r="AH2429">
        <v>0</v>
      </c>
      <c r="AI2429">
        <v>82.63</v>
      </c>
      <c r="AL2429" t="s">
        <v>19615</v>
      </c>
      <c r="AM2429">
        <v>10320</v>
      </c>
      <c r="AS2429">
        <v>0.1</v>
      </c>
      <c r="AT2429" t="s">
        <v>425</v>
      </c>
      <c r="AU2429" t="s">
        <v>115</v>
      </c>
      <c r="AV2429" t="s">
        <v>20733</v>
      </c>
    </row>
    <row r="2430" spans="1:48">
      <c r="A2430" s="1">
        <f>HYPERLINK("https://lsnyc.legalserver.org/matter/dynamic-profile/view/1911980","19-1911980")</f>
        <v>0</v>
      </c>
      <c r="B2430" t="s">
        <v>142</v>
      </c>
      <c r="C2430" t="s">
        <v>256</v>
      </c>
      <c r="D2430" t="s">
        <v>292</v>
      </c>
      <c r="F2430" t="s">
        <v>2216</v>
      </c>
      <c r="G2430" t="s">
        <v>3383</v>
      </c>
      <c r="H2430" t="s">
        <v>6949</v>
      </c>
      <c r="I2430" t="s">
        <v>8610</v>
      </c>
      <c r="J2430" t="s">
        <v>9067</v>
      </c>
      <c r="K2430">
        <v>10037</v>
      </c>
      <c r="L2430" t="s">
        <v>9094</v>
      </c>
      <c r="M2430" t="s">
        <v>9095</v>
      </c>
      <c r="N2430" t="s">
        <v>10062</v>
      </c>
      <c r="O2430" t="s">
        <v>11129</v>
      </c>
      <c r="P2430" t="s">
        <v>11164</v>
      </c>
      <c r="R2430" t="s">
        <v>11180</v>
      </c>
      <c r="S2430" t="s">
        <v>9096</v>
      </c>
      <c r="T2430" t="s">
        <v>11183</v>
      </c>
      <c r="U2430" t="s">
        <v>11201</v>
      </c>
      <c r="V2430" t="s">
        <v>648</v>
      </c>
      <c r="W2430">
        <v>2100</v>
      </c>
      <c r="X2430" t="s">
        <v>11335</v>
      </c>
      <c r="Y2430" t="s">
        <v>11339</v>
      </c>
      <c r="Z2430" t="s">
        <v>13022</v>
      </c>
      <c r="AA2430" t="s">
        <v>15697</v>
      </c>
      <c r="AB2430" t="s">
        <v>17389</v>
      </c>
      <c r="AC2430">
        <v>771</v>
      </c>
      <c r="AD2430" t="s">
        <v>19566</v>
      </c>
      <c r="AE2430" t="s">
        <v>9144</v>
      </c>
      <c r="AF2430">
        <v>1</v>
      </c>
      <c r="AG2430">
        <v>1</v>
      </c>
      <c r="AH2430">
        <v>0</v>
      </c>
      <c r="AI2430">
        <v>82.63</v>
      </c>
      <c r="AL2430" t="s">
        <v>19614</v>
      </c>
      <c r="AM2430">
        <v>10320</v>
      </c>
      <c r="AS2430">
        <v>0</v>
      </c>
      <c r="AU2430" t="s">
        <v>20657</v>
      </c>
      <c r="AV2430" t="s">
        <v>20733</v>
      </c>
    </row>
    <row r="2431" spans="1:48">
      <c r="A2431" s="1">
        <f>HYPERLINK("https://lsnyc.legalserver.org/matter/dynamic-profile/view/1901229","19-1901229")</f>
        <v>0</v>
      </c>
      <c r="B2431" t="s">
        <v>223</v>
      </c>
      <c r="C2431" t="s">
        <v>256</v>
      </c>
      <c r="D2431" t="s">
        <v>422</v>
      </c>
      <c r="F2431" t="s">
        <v>2217</v>
      </c>
      <c r="G2431" t="s">
        <v>4449</v>
      </c>
      <c r="H2431" t="s">
        <v>6950</v>
      </c>
      <c r="I2431" t="s">
        <v>8171</v>
      </c>
      <c r="J2431" t="s">
        <v>9067</v>
      </c>
      <c r="K2431">
        <v>10003</v>
      </c>
      <c r="L2431" t="s">
        <v>9094</v>
      </c>
      <c r="M2431" t="s">
        <v>9095</v>
      </c>
      <c r="N2431" t="s">
        <v>10063</v>
      </c>
      <c r="O2431" t="s">
        <v>11128</v>
      </c>
      <c r="P2431" t="s">
        <v>11165</v>
      </c>
      <c r="R2431" t="s">
        <v>11180</v>
      </c>
      <c r="S2431" t="s">
        <v>9096</v>
      </c>
      <c r="T2431" t="s">
        <v>11183</v>
      </c>
      <c r="U2431" t="s">
        <v>11201</v>
      </c>
      <c r="V2431" t="s">
        <v>422</v>
      </c>
      <c r="W2431">
        <v>910</v>
      </c>
      <c r="X2431" t="s">
        <v>11335</v>
      </c>
      <c r="Y2431" t="s">
        <v>11336</v>
      </c>
      <c r="Z2431" t="s">
        <v>13023</v>
      </c>
      <c r="AB2431" t="s">
        <v>17390</v>
      </c>
      <c r="AC2431">
        <v>50</v>
      </c>
      <c r="AD2431" t="s">
        <v>19566</v>
      </c>
      <c r="AE2431" t="s">
        <v>19587</v>
      </c>
      <c r="AF2431">
        <v>41</v>
      </c>
      <c r="AG2431">
        <v>1</v>
      </c>
      <c r="AH2431">
        <v>0</v>
      </c>
      <c r="AI2431">
        <v>82.63</v>
      </c>
      <c r="AL2431" t="s">
        <v>19614</v>
      </c>
      <c r="AM2431">
        <v>10320</v>
      </c>
      <c r="AS2431">
        <v>5.8</v>
      </c>
      <c r="AT2431" t="s">
        <v>1135</v>
      </c>
      <c r="AU2431" t="s">
        <v>20657</v>
      </c>
      <c r="AV2431" t="s">
        <v>20733</v>
      </c>
    </row>
    <row r="2432" spans="1:48">
      <c r="A2432" s="1">
        <f>HYPERLINK("https://lsnyc.legalserver.org/matter/dynamic-profile/view/1886583","18-1886583")</f>
        <v>0</v>
      </c>
      <c r="B2432" t="s">
        <v>92</v>
      </c>
      <c r="C2432" t="s">
        <v>256</v>
      </c>
      <c r="D2432" t="s">
        <v>427</v>
      </c>
      <c r="F2432" t="s">
        <v>2218</v>
      </c>
      <c r="G2432" t="s">
        <v>3448</v>
      </c>
      <c r="H2432" t="s">
        <v>6951</v>
      </c>
      <c r="J2432" t="s">
        <v>9065</v>
      </c>
      <c r="K2432">
        <v>10453</v>
      </c>
      <c r="L2432" t="s">
        <v>9094</v>
      </c>
      <c r="M2432" t="s">
        <v>9094</v>
      </c>
      <c r="N2432" t="s">
        <v>10064</v>
      </c>
      <c r="O2432" t="s">
        <v>11155</v>
      </c>
      <c r="P2432" t="s">
        <v>11165</v>
      </c>
      <c r="R2432" t="s">
        <v>11180</v>
      </c>
      <c r="S2432" t="s">
        <v>9096</v>
      </c>
      <c r="T2432" t="s">
        <v>11183</v>
      </c>
      <c r="V2432" t="s">
        <v>634</v>
      </c>
      <c r="W2432">
        <v>0</v>
      </c>
      <c r="X2432" t="s">
        <v>11332</v>
      </c>
      <c r="Y2432" t="s">
        <v>11157</v>
      </c>
      <c r="Z2432" t="s">
        <v>13024</v>
      </c>
      <c r="AB2432" t="s">
        <v>17391</v>
      </c>
      <c r="AC2432">
        <v>28</v>
      </c>
      <c r="AE2432" t="s">
        <v>19586</v>
      </c>
      <c r="AF2432">
        <v>0</v>
      </c>
      <c r="AG2432">
        <v>1</v>
      </c>
      <c r="AH2432">
        <v>0</v>
      </c>
      <c r="AI2432">
        <v>82.64</v>
      </c>
      <c r="AL2432" t="s">
        <v>19614</v>
      </c>
      <c r="AM2432">
        <v>10032</v>
      </c>
      <c r="AS2432">
        <v>16.8</v>
      </c>
      <c r="AT2432" t="s">
        <v>275</v>
      </c>
      <c r="AU2432" t="s">
        <v>79</v>
      </c>
    </row>
    <row r="2433" spans="1:48">
      <c r="A2433" s="1">
        <f>HYPERLINK("https://lsnyc.legalserver.org/matter/dynamic-profile/view/1875656","18-1875656")</f>
        <v>0</v>
      </c>
      <c r="B2433" t="s">
        <v>83</v>
      </c>
      <c r="C2433" t="s">
        <v>256</v>
      </c>
      <c r="D2433" t="s">
        <v>419</v>
      </c>
      <c r="F2433" t="s">
        <v>2128</v>
      </c>
      <c r="G2433" t="s">
        <v>3448</v>
      </c>
      <c r="H2433" t="s">
        <v>6883</v>
      </c>
      <c r="I2433">
        <v>7</v>
      </c>
      <c r="J2433" t="s">
        <v>9059</v>
      </c>
      <c r="K2433">
        <v>11215</v>
      </c>
      <c r="L2433" t="s">
        <v>9094</v>
      </c>
      <c r="M2433" t="s">
        <v>9094</v>
      </c>
      <c r="O2433" t="s">
        <v>11137</v>
      </c>
      <c r="P2433" t="s">
        <v>11166</v>
      </c>
      <c r="R2433" t="s">
        <v>11180</v>
      </c>
      <c r="T2433" t="s">
        <v>11183</v>
      </c>
      <c r="V2433" t="s">
        <v>945</v>
      </c>
      <c r="W2433">
        <v>0</v>
      </c>
      <c r="X2433" t="s">
        <v>11332</v>
      </c>
      <c r="Z2433" t="s">
        <v>12919</v>
      </c>
      <c r="AB2433" t="s">
        <v>17286</v>
      </c>
      <c r="AC2433">
        <v>0</v>
      </c>
      <c r="AF2433">
        <v>0</v>
      </c>
      <c r="AG2433">
        <v>1</v>
      </c>
      <c r="AH2433">
        <v>0</v>
      </c>
      <c r="AI2433">
        <v>82.73</v>
      </c>
      <c r="AL2433" t="s">
        <v>19614</v>
      </c>
      <c r="AM2433">
        <v>10044</v>
      </c>
      <c r="AN2433" t="s">
        <v>19867</v>
      </c>
      <c r="AS2433">
        <v>34.98</v>
      </c>
      <c r="AT2433" t="s">
        <v>395</v>
      </c>
      <c r="AU2433" t="s">
        <v>160</v>
      </c>
    </row>
    <row r="2434" spans="1:48">
      <c r="A2434" s="1">
        <f>HYPERLINK("https://lsnyc.legalserver.org/matter/dynamic-profile/view/1884815","18-1884815")</f>
        <v>0</v>
      </c>
      <c r="B2434" t="s">
        <v>88</v>
      </c>
      <c r="C2434" t="s">
        <v>257</v>
      </c>
      <c r="D2434" t="s">
        <v>649</v>
      </c>
      <c r="E2434" t="s">
        <v>476</v>
      </c>
      <c r="F2434" t="s">
        <v>2219</v>
      </c>
      <c r="G2434" t="s">
        <v>4450</v>
      </c>
      <c r="H2434" t="s">
        <v>6952</v>
      </c>
      <c r="I2434" t="s">
        <v>8187</v>
      </c>
      <c r="J2434" t="s">
        <v>9059</v>
      </c>
      <c r="K2434">
        <v>11207</v>
      </c>
      <c r="L2434" t="s">
        <v>9095</v>
      </c>
      <c r="M2434" t="s">
        <v>9095</v>
      </c>
      <c r="N2434" t="s">
        <v>10065</v>
      </c>
      <c r="O2434" t="s">
        <v>11128</v>
      </c>
      <c r="Q2434" t="s">
        <v>11175</v>
      </c>
      <c r="R2434" t="s">
        <v>11180</v>
      </c>
      <c r="T2434" t="s">
        <v>11183</v>
      </c>
      <c r="W2434">
        <v>1200</v>
      </c>
      <c r="X2434" t="s">
        <v>11332</v>
      </c>
      <c r="Y2434" t="s">
        <v>11352</v>
      </c>
      <c r="Z2434" t="s">
        <v>13025</v>
      </c>
      <c r="AB2434" t="s">
        <v>17392</v>
      </c>
      <c r="AC2434">
        <v>3</v>
      </c>
      <c r="AE2434" t="s">
        <v>19581</v>
      </c>
      <c r="AF2434">
        <v>4</v>
      </c>
      <c r="AG2434">
        <v>1</v>
      </c>
      <c r="AH2434">
        <v>0</v>
      </c>
      <c r="AI2434">
        <v>82.73</v>
      </c>
      <c r="AL2434" t="s">
        <v>19614</v>
      </c>
      <c r="AM2434">
        <v>10044</v>
      </c>
      <c r="AO2434" t="s">
        <v>20291</v>
      </c>
      <c r="AQ2434" t="s">
        <v>20368</v>
      </c>
      <c r="AR2434" t="s">
        <v>20457</v>
      </c>
      <c r="AS2434">
        <v>60.25</v>
      </c>
      <c r="AT2434" t="s">
        <v>476</v>
      </c>
      <c r="AU2434" t="s">
        <v>20640</v>
      </c>
    </row>
    <row r="2435" spans="1:48">
      <c r="A2435" s="1">
        <f>HYPERLINK("https://lsnyc.legalserver.org/matter/dynamic-profile/view/1876704","18-1876704")</f>
        <v>0</v>
      </c>
      <c r="B2435" t="s">
        <v>119</v>
      </c>
      <c r="C2435" t="s">
        <v>256</v>
      </c>
      <c r="D2435" t="s">
        <v>593</v>
      </c>
      <c r="F2435" t="s">
        <v>1846</v>
      </c>
      <c r="G2435" t="s">
        <v>4389</v>
      </c>
      <c r="H2435" t="s">
        <v>6095</v>
      </c>
      <c r="I2435" t="s">
        <v>8267</v>
      </c>
      <c r="J2435" t="s">
        <v>9065</v>
      </c>
      <c r="K2435">
        <v>10456</v>
      </c>
      <c r="L2435" t="s">
        <v>9094</v>
      </c>
      <c r="M2435" t="s">
        <v>9094</v>
      </c>
      <c r="N2435" t="s">
        <v>9419</v>
      </c>
      <c r="O2435" t="s">
        <v>11134</v>
      </c>
      <c r="P2435" t="s">
        <v>11168</v>
      </c>
      <c r="R2435" t="s">
        <v>11180</v>
      </c>
      <c r="S2435" t="s">
        <v>9094</v>
      </c>
      <c r="T2435" t="s">
        <v>11183</v>
      </c>
      <c r="V2435" t="s">
        <v>593</v>
      </c>
      <c r="W2435">
        <v>942</v>
      </c>
      <c r="X2435" t="s">
        <v>11333</v>
      </c>
      <c r="Y2435" t="s">
        <v>11346</v>
      </c>
      <c r="Z2435" t="s">
        <v>12920</v>
      </c>
      <c r="AB2435" t="s">
        <v>17287</v>
      </c>
      <c r="AC2435">
        <v>131</v>
      </c>
      <c r="AD2435" t="s">
        <v>19566</v>
      </c>
      <c r="AE2435" t="s">
        <v>9144</v>
      </c>
      <c r="AF2435">
        <v>27</v>
      </c>
      <c r="AG2435">
        <v>1</v>
      </c>
      <c r="AH2435">
        <v>0</v>
      </c>
      <c r="AI2435">
        <v>82.73</v>
      </c>
      <c r="AL2435" t="s">
        <v>19615</v>
      </c>
      <c r="AM2435">
        <v>10044</v>
      </c>
      <c r="AS2435">
        <v>0</v>
      </c>
      <c r="AU2435" t="s">
        <v>163</v>
      </c>
    </row>
    <row r="2436" spans="1:48">
      <c r="A2436" s="1">
        <f>HYPERLINK("https://lsnyc.legalserver.org/matter/dynamic-profile/view/1886350","18-1886350")</f>
        <v>0</v>
      </c>
      <c r="B2436" t="s">
        <v>119</v>
      </c>
      <c r="C2436" t="s">
        <v>256</v>
      </c>
      <c r="D2436" t="s">
        <v>688</v>
      </c>
      <c r="F2436" t="s">
        <v>1846</v>
      </c>
      <c r="G2436" t="s">
        <v>4389</v>
      </c>
      <c r="H2436" t="s">
        <v>6095</v>
      </c>
      <c r="I2436" t="s">
        <v>8267</v>
      </c>
      <c r="J2436" t="s">
        <v>9065</v>
      </c>
      <c r="K2436">
        <v>10456</v>
      </c>
      <c r="L2436" t="s">
        <v>9094</v>
      </c>
      <c r="M2436" t="s">
        <v>9094</v>
      </c>
      <c r="N2436" t="s">
        <v>9401</v>
      </c>
      <c r="O2436" t="s">
        <v>11134</v>
      </c>
      <c r="P2436" t="s">
        <v>11168</v>
      </c>
      <c r="R2436" t="s">
        <v>11180</v>
      </c>
      <c r="S2436" t="s">
        <v>9094</v>
      </c>
      <c r="T2436" t="s">
        <v>11183</v>
      </c>
      <c r="V2436" t="s">
        <v>512</v>
      </c>
      <c r="W2436">
        <v>942</v>
      </c>
      <c r="X2436" t="s">
        <v>11333</v>
      </c>
      <c r="Y2436" t="s">
        <v>11346</v>
      </c>
      <c r="Z2436" t="s">
        <v>12920</v>
      </c>
      <c r="AB2436" t="s">
        <v>17287</v>
      </c>
      <c r="AC2436">
        <v>131</v>
      </c>
      <c r="AD2436" t="s">
        <v>19566</v>
      </c>
      <c r="AE2436" t="s">
        <v>9144</v>
      </c>
      <c r="AF2436">
        <v>27</v>
      </c>
      <c r="AG2436">
        <v>1</v>
      </c>
      <c r="AH2436">
        <v>0</v>
      </c>
      <c r="AI2436">
        <v>82.73</v>
      </c>
      <c r="AL2436" t="s">
        <v>19615</v>
      </c>
      <c r="AM2436">
        <v>10044</v>
      </c>
      <c r="AS2436">
        <v>0</v>
      </c>
      <c r="AU2436" t="s">
        <v>163</v>
      </c>
    </row>
    <row r="2437" spans="1:48">
      <c r="A2437" s="1">
        <f>HYPERLINK("https://lsnyc.legalserver.org/matter/dynamic-profile/view/1876697","18-1876697")</f>
        <v>0</v>
      </c>
      <c r="B2437" t="s">
        <v>119</v>
      </c>
      <c r="C2437" t="s">
        <v>256</v>
      </c>
      <c r="D2437" t="s">
        <v>593</v>
      </c>
      <c r="F2437" t="s">
        <v>1846</v>
      </c>
      <c r="G2437" t="s">
        <v>4389</v>
      </c>
      <c r="H2437" t="s">
        <v>6095</v>
      </c>
      <c r="I2437" t="s">
        <v>8267</v>
      </c>
      <c r="J2437" t="s">
        <v>9065</v>
      </c>
      <c r="K2437">
        <v>10456</v>
      </c>
      <c r="L2437" t="s">
        <v>9094</v>
      </c>
      <c r="M2437" t="s">
        <v>9094</v>
      </c>
      <c r="N2437" t="s">
        <v>9403</v>
      </c>
      <c r="O2437" t="s">
        <v>11130</v>
      </c>
      <c r="P2437" t="s">
        <v>11165</v>
      </c>
      <c r="R2437" t="s">
        <v>11180</v>
      </c>
      <c r="S2437" t="s">
        <v>9094</v>
      </c>
      <c r="T2437" t="s">
        <v>11183</v>
      </c>
      <c r="V2437" t="s">
        <v>593</v>
      </c>
      <c r="W2437">
        <v>942</v>
      </c>
      <c r="X2437" t="s">
        <v>11333</v>
      </c>
      <c r="Y2437" t="s">
        <v>11346</v>
      </c>
      <c r="Z2437" t="s">
        <v>12920</v>
      </c>
      <c r="AB2437" t="s">
        <v>17287</v>
      </c>
      <c r="AC2437">
        <v>131</v>
      </c>
      <c r="AD2437" t="s">
        <v>19566</v>
      </c>
      <c r="AE2437" t="s">
        <v>9144</v>
      </c>
      <c r="AF2437">
        <v>27</v>
      </c>
      <c r="AG2437">
        <v>1</v>
      </c>
      <c r="AH2437">
        <v>0</v>
      </c>
      <c r="AI2437">
        <v>82.73</v>
      </c>
      <c r="AL2437" t="s">
        <v>19615</v>
      </c>
      <c r="AM2437">
        <v>10044</v>
      </c>
      <c r="AS2437">
        <v>0</v>
      </c>
      <c r="AU2437" t="s">
        <v>163</v>
      </c>
    </row>
    <row r="2438" spans="1:48">
      <c r="A2438" s="1">
        <f>HYPERLINK("https://lsnyc.legalserver.org/matter/dynamic-profile/view/1870264","18-1870264")</f>
        <v>0</v>
      </c>
      <c r="B2438" t="s">
        <v>135</v>
      </c>
      <c r="C2438" t="s">
        <v>256</v>
      </c>
      <c r="D2438" t="s">
        <v>365</v>
      </c>
      <c r="F2438" t="s">
        <v>2149</v>
      </c>
      <c r="G2438" t="s">
        <v>3572</v>
      </c>
      <c r="H2438" t="s">
        <v>6862</v>
      </c>
      <c r="I2438">
        <v>3</v>
      </c>
      <c r="J2438" t="s">
        <v>9067</v>
      </c>
      <c r="K2438">
        <v>10035</v>
      </c>
      <c r="L2438" t="s">
        <v>9094</v>
      </c>
      <c r="M2438" t="s">
        <v>9094</v>
      </c>
      <c r="N2438" t="s">
        <v>10066</v>
      </c>
      <c r="O2438" t="s">
        <v>11128</v>
      </c>
      <c r="P2438" t="s">
        <v>11165</v>
      </c>
      <c r="R2438" t="s">
        <v>11180</v>
      </c>
      <c r="S2438" t="s">
        <v>9096</v>
      </c>
      <c r="T2438" t="s">
        <v>11183</v>
      </c>
      <c r="U2438" t="s">
        <v>11201</v>
      </c>
      <c r="V2438" t="s">
        <v>352</v>
      </c>
      <c r="W2438">
        <v>900</v>
      </c>
      <c r="X2438" t="s">
        <v>11335</v>
      </c>
      <c r="Y2438" t="s">
        <v>11340</v>
      </c>
      <c r="Z2438" t="s">
        <v>12886</v>
      </c>
      <c r="AB2438" t="s">
        <v>17393</v>
      </c>
      <c r="AC2438">
        <v>6</v>
      </c>
      <c r="AD2438" t="s">
        <v>19566</v>
      </c>
      <c r="AE2438" t="s">
        <v>19580</v>
      </c>
      <c r="AF2438">
        <v>18</v>
      </c>
      <c r="AG2438">
        <v>1</v>
      </c>
      <c r="AH2438">
        <v>0</v>
      </c>
      <c r="AI2438">
        <v>82.73</v>
      </c>
      <c r="AL2438" t="s">
        <v>19614</v>
      </c>
      <c r="AM2438">
        <v>10044</v>
      </c>
      <c r="AN2438" t="s">
        <v>19868</v>
      </c>
      <c r="AS2438">
        <v>63.8</v>
      </c>
      <c r="AT2438" t="s">
        <v>632</v>
      </c>
      <c r="AU2438" t="s">
        <v>20632</v>
      </c>
      <c r="AV2438" t="s">
        <v>20733</v>
      </c>
    </row>
    <row r="2439" spans="1:48">
      <c r="A2439" s="1">
        <f>HYPERLINK("https://lsnyc.legalserver.org/matter/dynamic-profile/view/1873294","18-1873294")</f>
        <v>0</v>
      </c>
      <c r="B2439" t="s">
        <v>136</v>
      </c>
      <c r="C2439" t="s">
        <v>257</v>
      </c>
      <c r="D2439" t="s">
        <v>258</v>
      </c>
      <c r="E2439" t="s">
        <v>312</v>
      </c>
      <c r="F2439" t="s">
        <v>2220</v>
      </c>
      <c r="G2439" t="s">
        <v>4161</v>
      </c>
      <c r="H2439" t="s">
        <v>6953</v>
      </c>
      <c r="I2439" t="s">
        <v>8611</v>
      </c>
      <c r="J2439" t="s">
        <v>9067</v>
      </c>
      <c r="K2439">
        <v>10035</v>
      </c>
      <c r="L2439" t="s">
        <v>9094</v>
      </c>
      <c r="M2439" t="s">
        <v>9094</v>
      </c>
      <c r="O2439" t="s">
        <v>11153</v>
      </c>
      <c r="P2439" t="s">
        <v>11168</v>
      </c>
      <c r="Q2439" t="s">
        <v>11177</v>
      </c>
      <c r="R2439" t="s">
        <v>11180</v>
      </c>
      <c r="S2439" t="s">
        <v>9096</v>
      </c>
      <c r="T2439" t="s">
        <v>11183</v>
      </c>
      <c r="U2439" t="s">
        <v>11201</v>
      </c>
      <c r="V2439" t="s">
        <v>585</v>
      </c>
      <c r="W2439">
        <v>1293</v>
      </c>
      <c r="X2439" t="s">
        <v>11335</v>
      </c>
      <c r="Y2439" t="s">
        <v>11157</v>
      </c>
      <c r="Z2439" t="s">
        <v>13026</v>
      </c>
      <c r="AB2439" t="s">
        <v>17394</v>
      </c>
      <c r="AC2439">
        <v>91</v>
      </c>
      <c r="AD2439" t="s">
        <v>19566</v>
      </c>
      <c r="AE2439" t="s">
        <v>19580</v>
      </c>
      <c r="AF2439">
        <v>11</v>
      </c>
      <c r="AG2439">
        <v>1</v>
      </c>
      <c r="AH2439">
        <v>0</v>
      </c>
      <c r="AI2439">
        <v>82.73</v>
      </c>
      <c r="AL2439" t="s">
        <v>19614</v>
      </c>
      <c r="AM2439">
        <v>10044</v>
      </c>
      <c r="AN2439" t="s">
        <v>19869</v>
      </c>
      <c r="AO2439" t="s">
        <v>20293</v>
      </c>
      <c r="AP2439" t="s">
        <v>20317</v>
      </c>
      <c r="AQ2439" t="s">
        <v>20369</v>
      </c>
      <c r="AR2439" t="s">
        <v>20495</v>
      </c>
      <c r="AS2439">
        <v>29</v>
      </c>
      <c r="AT2439" t="s">
        <v>486</v>
      </c>
      <c r="AU2439" t="s">
        <v>20631</v>
      </c>
      <c r="AV2439" t="s">
        <v>20733</v>
      </c>
    </row>
    <row r="2440" spans="1:48">
      <c r="A2440" s="1">
        <f>HYPERLINK("https://lsnyc.legalserver.org/matter/dynamic-profile/view/1864490","18-1864490")</f>
        <v>0</v>
      </c>
      <c r="B2440" t="s">
        <v>136</v>
      </c>
      <c r="C2440" t="s">
        <v>256</v>
      </c>
      <c r="D2440" t="s">
        <v>552</v>
      </c>
      <c r="F2440" t="s">
        <v>2221</v>
      </c>
      <c r="G2440" t="s">
        <v>3699</v>
      </c>
      <c r="H2440" t="s">
        <v>5961</v>
      </c>
      <c r="I2440">
        <v>701</v>
      </c>
      <c r="J2440" t="s">
        <v>9067</v>
      </c>
      <c r="K2440">
        <v>10029</v>
      </c>
      <c r="L2440" t="s">
        <v>9094</v>
      </c>
      <c r="M2440" t="s">
        <v>9094</v>
      </c>
      <c r="N2440" t="s">
        <v>9287</v>
      </c>
      <c r="O2440" t="s">
        <v>11130</v>
      </c>
      <c r="P2440" t="s">
        <v>11165</v>
      </c>
      <c r="R2440" t="s">
        <v>11180</v>
      </c>
      <c r="S2440" t="s">
        <v>9094</v>
      </c>
      <c r="T2440" t="s">
        <v>11183</v>
      </c>
      <c r="U2440" t="s">
        <v>11201</v>
      </c>
      <c r="V2440" t="s">
        <v>552</v>
      </c>
      <c r="W2440">
        <v>0</v>
      </c>
      <c r="X2440" t="s">
        <v>11335</v>
      </c>
      <c r="Y2440" t="s">
        <v>11339</v>
      </c>
      <c r="Z2440" t="s">
        <v>13027</v>
      </c>
      <c r="AB2440" t="s">
        <v>17395</v>
      </c>
      <c r="AC2440">
        <v>108</v>
      </c>
      <c r="AD2440" t="s">
        <v>19567</v>
      </c>
      <c r="AE2440" t="s">
        <v>19580</v>
      </c>
      <c r="AF2440">
        <v>31</v>
      </c>
      <c r="AG2440">
        <v>1</v>
      </c>
      <c r="AH2440">
        <v>0</v>
      </c>
      <c r="AI2440">
        <v>82.73</v>
      </c>
      <c r="AL2440" t="s">
        <v>19615</v>
      </c>
      <c r="AM2440">
        <v>10044</v>
      </c>
      <c r="AS2440">
        <v>0.55</v>
      </c>
      <c r="AT2440" t="s">
        <v>289</v>
      </c>
      <c r="AU2440" t="s">
        <v>20657</v>
      </c>
    </row>
    <row r="2441" spans="1:48">
      <c r="A2441" s="1">
        <f>HYPERLINK("https://lsnyc.legalserver.org/matter/dynamic-profile/view/1908375","19-1908375")</f>
        <v>0</v>
      </c>
      <c r="B2441" t="s">
        <v>55</v>
      </c>
      <c r="C2441" t="s">
        <v>256</v>
      </c>
      <c r="D2441" t="s">
        <v>314</v>
      </c>
      <c r="F2441" t="s">
        <v>2222</v>
      </c>
      <c r="G2441" t="s">
        <v>3370</v>
      </c>
      <c r="H2441" t="s">
        <v>6954</v>
      </c>
      <c r="I2441" t="s">
        <v>8283</v>
      </c>
      <c r="J2441" t="s">
        <v>9050</v>
      </c>
      <c r="K2441">
        <v>11377</v>
      </c>
      <c r="L2441" t="s">
        <v>9094</v>
      </c>
      <c r="M2441" t="s">
        <v>9095</v>
      </c>
      <c r="N2441" t="s">
        <v>10067</v>
      </c>
      <c r="O2441" t="s">
        <v>11134</v>
      </c>
      <c r="P2441" t="s">
        <v>11168</v>
      </c>
      <c r="R2441" t="s">
        <v>11180</v>
      </c>
      <c r="S2441" t="s">
        <v>9094</v>
      </c>
      <c r="T2441" t="s">
        <v>11183</v>
      </c>
      <c r="U2441" t="s">
        <v>11201</v>
      </c>
      <c r="V2441" t="s">
        <v>314</v>
      </c>
      <c r="W2441">
        <v>1382</v>
      </c>
      <c r="X2441" t="s">
        <v>11331</v>
      </c>
      <c r="Y2441" t="s">
        <v>11336</v>
      </c>
      <c r="Z2441" t="s">
        <v>13028</v>
      </c>
      <c r="AB2441" t="s">
        <v>17396</v>
      </c>
      <c r="AC2441">
        <v>67</v>
      </c>
      <c r="AD2441" t="s">
        <v>19566</v>
      </c>
      <c r="AE2441" t="s">
        <v>9144</v>
      </c>
      <c r="AF2441">
        <v>19</v>
      </c>
      <c r="AG2441">
        <v>2</v>
      </c>
      <c r="AH2441">
        <v>0</v>
      </c>
      <c r="AI2441">
        <v>82.79000000000001</v>
      </c>
      <c r="AL2441" t="s">
        <v>19615</v>
      </c>
      <c r="AM2441">
        <v>14000</v>
      </c>
      <c r="AP2441" t="s">
        <v>11157</v>
      </c>
      <c r="AS2441">
        <v>0.4</v>
      </c>
      <c r="AT2441" t="s">
        <v>314</v>
      </c>
      <c r="AU2441" t="s">
        <v>20620</v>
      </c>
      <c r="AV2441" t="s">
        <v>20733</v>
      </c>
    </row>
    <row r="2442" spans="1:48">
      <c r="A2442" s="1">
        <f>HYPERLINK("https://lsnyc.legalserver.org/matter/dynamic-profile/view/1908385","19-1908385")</f>
        <v>0</v>
      </c>
      <c r="B2442" t="s">
        <v>55</v>
      </c>
      <c r="C2442" t="s">
        <v>256</v>
      </c>
      <c r="D2442" t="s">
        <v>314</v>
      </c>
      <c r="F2442" t="s">
        <v>2222</v>
      </c>
      <c r="G2442" t="s">
        <v>3370</v>
      </c>
      <c r="H2442" t="s">
        <v>6954</v>
      </c>
      <c r="I2442" t="s">
        <v>8283</v>
      </c>
      <c r="J2442" t="s">
        <v>9050</v>
      </c>
      <c r="K2442">
        <v>11377</v>
      </c>
      <c r="L2442" t="s">
        <v>9094</v>
      </c>
      <c r="M2442" t="s">
        <v>9095</v>
      </c>
      <c r="N2442" t="s">
        <v>10068</v>
      </c>
      <c r="O2442" t="s">
        <v>11134</v>
      </c>
      <c r="P2442" t="s">
        <v>11168</v>
      </c>
      <c r="R2442" t="s">
        <v>11180</v>
      </c>
      <c r="S2442" t="s">
        <v>9094</v>
      </c>
      <c r="T2442" t="s">
        <v>11183</v>
      </c>
      <c r="V2442" t="s">
        <v>11267</v>
      </c>
      <c r="W2442">
        <v>1382</v>
      </c>
      <c r="X2442" t="s">
        <v>11331</v>
      </c>
      <c r="Y2442" t="s">
        <v>11346</v>
      </c>
      <c r="Z2442" t="s">
        <v>13028</v>
      </c>
      <c r="AB2442" t="s">
        <v>17396</v>
      </c>
      <c r="AC2442">
        <v>66</v>
      </c>
      <c r="AD2442" t="s">
        <v>19566</v>
      </c>
      <c r="AE2442" t="s">
        <v>9144</v>
      </c>
      <c r="AF2442">
        <v>19</v>
      </c>
      <c r="AG2442">
        <v>2</v>
      </c>
      <c r="AH2442">
        <v>0</v>
      </c>
      <c r="AI2442">
        <v>82.79000000000001</v>
      </c>
      <c r="AL2442" t="s">
        <v>19615</v>
      </c>
      <c r="AM2442">
        <v>14000</v>
      </c>
      <c r="AS2442">
        <v>0.2</v>
      </c>
      <c r="AT2442" t="s">
        <v>314</v>
      </c>
      <c r="AU2442" t="s">
        <v>20620</v>
      </c>
      <c r="AV2442" t="s">
        <v>20733</v>
      </c>
    </row>
    <row r="2443" spans="1:48">
      <c r="A2443" s="1">
        <f>HYPERLINK("https://lsnyc.legalserver.org/matter/dynamic-profile/view/1905785","19-1905785")</f>
        <v>0</v>
      </c>
      <c r="B2443" t="s">
        <v>78</v>
      </c>
      <c r="C2443" t="s">
        <v>256</v>
      </c>
      <c r="D2443" t="s">
        <v>328</v>
      </c>
      <c r="F2443" t="s">
        <v>1140</v>
      </c>
      <c r="G2443" t="s">
        <v>4451</v>
      </c>
      <c r="H2443" t="s">
        <v>6712</v>
      </c>
      <c r="I2443" t="s">
        <v>8112</v>
      </c>
      <c r="J2443" t="s">
        <v>9059</v>
      </c>
      <c r="K2443">
        <v>11221</v>
      </c>
      <c r="L2443" t="s">
        <v>9094</v>
      </c>
      <c r="M2443" t="s">
        <v>9095</v>
      </c>
      <c r="N2443" t="s">
        <v>9154</v>
      </c>
      <c r="O2443" t="s">
        <v>9121</v>
      </c>
      <c r="P2443" t="s">
        <v>11167</v>
      </c>
      <c r="R2443" t="s">
        <v>11180</v>
      </c>
      <c r="S2443" t="s">
        <v>9094</v>
      </c>
      <c r="T2443" t="s">
        <v>11183</v>
      </c>
      <c r="U2443" t="s">
        <v>11201</v>
      </c>
      <c r="V2443" t="s">
        <v>512</v>
      </c>
      <c r="W2443">
        <v>336.58</v>
      </c>
      <c r="X2443" t="s">
        <v>11332</v>
      </c>
      <c r="Y2443" t="s">
        <v>11346</v>
      </c>
      <c r="Z2443" t="s">
        <v>13029</v>
      </c>
      <c r="AA2443" t="s">
        <v>15698</v>
      </c>
      <c r="AB2443" t="s">
        <v>17397</v>
      </c>
      <c r="AC2443">
        <v>12</v>
      </c>
      <c r="AD2443" t="s">
        <v>19566</v>
      </c>
      <c r="AE2443" t="s">
        <v>9144</v>
      </c>
      <c r="AF2443">
        <v>8</v>
      </c>
      <c r="AG2443">
        <v>1</v>
      </c>
      <c r="AH2443">
        <v>1</v>
      </c>
      <c r="AI2443">
        <v>82.79000000000001</v>
      </c>
      <c r="AL2443" t="s">
        <v>19614</v>
      </c>
      <c r="AM2443">
        <v>14000</v>
      </c>
      <c r="AN2443" t="s">
        <v>19870</v>
      </c>
      <c r="AS2443">
        <v>0</v>
      </c>
      <c r="AU2443" t="s">
        <v>79</v>
      </c>
      <c r="AV2443" t="s">
        <v>20733</v>
      </c>
    </row>
    <row r="2444" spans="1:48">
      <c r="A2444" s="1">
        <f>HYPERLINK("https://lsnyc.legalserver.org/matter/dynamic-profile/view/1904262","19-1904262")</f>
        <v>0</v>
      </c>
      <c r="B2444" t="s">
        <v>78</v>
      </c>
      <c r="C2444" t="s">
        <v>256</v>
      </c>
      <c r="D2444" t="s">
        <v>265</v>
      </c>
      <c r="F2444" t="s">
        <v>1140</v>
      </c>
      <c r="G2444" t="s">
        <v>4451</v>
      </c>
      <c r="H2444" t="s">
        <v>6712</v>
      </c>
      <c r="I2444" t="s">
        <v>8112</v>
      </c>
      <c r="J2444" t="s">
        <v>9059</v>
      </c>
      <c r="K2444">
        <v>11221</v>
      </c>
      <c r="L2444" t="s">
        <v>9094</v>
      </c>
      <c r="M2444" t="s">
        <v>9095</v>
      </c>
      <c r="N2444" t="s">
        <v>9154</v>
      </c>
      <c r="O2444" t="s">
        <v>11137</v>
      </c>
      <c r="P2444" t="s">
        <v>11167</v>
      </c>
      <c r="R2444" t="s">
        <v>11180</v>
      </c>
      <c r="S2444" t="s">
        <v>9094</v>
      </c>
      <c r="T2444" t="s">
        <v>11186</v>
      </c>
      <c r="U2444" t="s">
        <v>11201</v>
      </c>
      <c r="V2444" t="s">
        <v>635</v>
      </c>
      <c r="W2444">
        <v>336.58</v>
      </c>
      <c r="X2444" t="s">
        <v>11332</v>
      </c>
      <c r="Y2444" t="s">
        <v>11346</v>
      </c>
      <c r="Z2444" t="s">
        <v>13029</v>
      </c>
      <c r="AA2444" t="s">
        <v>15699</v>
      </c>
      <c r="AB2444" t="s">
        <v>17397</v>
      </c>
      <c r="AC2444">
        <v>12</v>
      </c>
      <c r="AD2444" t="s">
        <v>19566</v>
      </c>
      <c r="AE2444" t="s">
        <v>9144</v>
      </c>
      <c r="AF2444">
        <v>8</v>
      </c>
      <c r="AG2444">
        <v>1</v>
      </c>
      <c r="AH2444">
        <v>1</v>
      </c>
      <c r="AI2444">
        <v>82.79000000000001</v>
      </c>
      <c r="AL2444" t="s">
        <v>19614</v>
      </c>
      <c r="AM2444">
        <v>14000</v>
      </c>
      <c r="AN2444" t="s">
        <v>19871</v>
      </c>
      <c r="AS2444">
        <v>0</v>
      </c>
      <c r="AU2444" t="s">
        <v>95</v>
      </c>
      <c r="AV2444" t="s">
        <v>20733</v>
      </c>
    </row>
    <row r="2445" spans="1:48">
      <c r="A2445" s="1">
        <f>HYPERLINK("https://lsnyc.legalserver.org/matter/dynamic-profile/view/1895348","19-1895348")</f>
        <v>0</v>
      </c>
      <c r="B2445" t="s">
        <v>70</v>
      </c>
      <c r="C2445" t="s">
        <v>256</v>
      </c>
      <c r="D2445" t="s">
        <v>264</v>
      </c>
      <c r="F2445" t="s">
        <v>1140</v>
      </c>
      <c r="G2445" t="s">
        <v>4451</v>
      </c>
      <c r="H2445" t="s">
        <v>6712</v>
      </c>
      <c r="I2445" t="s">
        <v>8112</v>
      </c>
      <c r="J2445" t="s">
        <v>9059</v>
      </c>
      <c r="K2445">
        <v>11221</v>
      </c>
      <c r="L2445" t="s">
        <v>9094</v>
      </c>
      <c r="M2445" t="s">
        <v>9096</v>
      </c>
      <c r="N2445" t="s">
        <v>9318</v>
      </c>
      <c r="O2445" t="s">
        <v>11141</v>
      </c>
      <c r="P2445" t="s">
        <v>11170</v>
      </c>
      <c r="R2445" t="s">
        <v>11180</v>
      </c>
      <c r="S2445" t="s">
        <v>9094</v>
      </c>
      <c r="T2445" t="s">
        <v>11185</v>
      </c>
      <c r="V2445" t="s">
        <v>264</v>
      </c>
      <c r="W2445">
        <v>336.58</v>
      </c>
      <c r="X2445" t="s">
        <v>11332</v>
      </c>
      <c r="Y2445" t="s">
        <v>11346</v>
      </c>
      <c r="Z2445" t="s">
        <v>13029</v>
      </c>
      <c r="AA2445" t="s">
        <v>15699</v>
      </c>
      <c r="AB2445" t="s">
        <v>17397</v>
      </c>
      <c r="AC2445">
        <v>12</v>
      </c>
      <c r="AD2445" t="s">
        <v>19566</v>
      </c>
      <c r="AE2445" t="s">
        <v>9144</v>
      </c>
      <c r="AF2445">
        <v>8</v>
      </c>
      <c r="AG2445">
        <v>1</v>
      </c>
      <c r="AH2445">
        <v>1</v>
      </c>
      <c r="AI2445">
        <v>82.79000000000001</v>
      </c>
      <c r="AL2445" t="s">
        <v>19614</v>
      </c>
      <c r="AM2445">
        <v>14000</v>
      </c>
      <c r="AN2445" t="s">
        <v>19871</v>
      </c>
      <c r="AS2445">
        <v>1.5</v>
      </c>
      <c r="AT2445" t="s">
        <v>612</v>
      </c>
      <c r="AU2445" t="s">
        <v>95</v>
      </c>
      <c r="AV2445" t="s">
        <v>20733</v>
      </c>
    </row>
    <row r="2446" spans="1:48">
      <c r="A2446" s="1">
        <f>HYPERLINK("https://lsnyc.legalserver.org/matter/dynamic-profile/view/1910194","19-1910194")</f>
        <v>0</v>
      </c>
      <c r="B2446" t="s">
        <v>98</v>
      </c>
      <c r="C2446" t="s">
        <v>256</v>
      </c>
      <c r="D2446" t="s">
        <v>442</v>
      </c>
      <c r="F2446" t="s">
        <v>1340</v>
      </c>
      <c r="G2446" t="s">
        <v>3525</v>
      </c>
      <c r="H2446" t="s">
        <v>5878</v>
      </c>
      <c r="I2446" t="s">
        <v>8171</v>
      </c>
      <c r="J2446" t="s">
        <v>9065</v>
      </c>
      <c r="K2446">
        <v>10456</v>
      </c>
      <c r="L2446" t="s">
        <v>9094</v>
      </c>
      <c r="M2446" t="s">
        <v>9095</v>
      </c>
      <c r="O2446" t="s">
        <v>11134</v>
      </c>
      <c r="P2446" t="s">
        <v>11168</v>
      </c>
      <c r="R2446" t="s">
        <v>11180</v>
      </c>
      <c r="S2446" t="s">
        <v>9094</v>
      </c>
      <c r="T2446" t="s">
        <v>11183</v>
      </c>
      <c r="W2446">
        <v>911.42</v>
      </c>
      <c r="X2446" t="s">
        <v>11333</v>
      </c>
      <c r="Y2446" t="s">
        <v>11346</v>
      </c>
      <c r="Z2446" t="s">
        <v>13030</v>
      </c>
      <c r="AB2446" t="s">
        <v>17398</v>
      </c>
      <c r="AC2446">
        <v>30</v>
      </c>
      <c r="AD2446" t="s">
        <v>15441</v>
      </c>
      <c r="AE2446" t="s">
        <v>9144</v>
      </c>
      <c r="AF2446">
        <v>19</v>
      </c>
      <c r="AG2446">
        <v>1</v>
      </c>
      <c r="AH2446">
        <v>1</v>
      </c>
      <c r="AI2446">
        <v>82.79000000000001</v>
      </c>
      <c r="AL2446" t="s">
        <v>19614</v>
      </c>
      <c r="AM2446">
        <v>14000</v>
      </c>
      <c r="AS2446">
        <v>0</v>
      </c>
      <c r="AU2446" t="s">
        <v>20642</v>
      </c>
      <c r="AV2446" t="s">
        <v>20733</v>
      </c>
    </row>
    <row r="2447" spans="1:48">
      <c r="A2447" s="1">
        <f>HYPERLINK("https://lsnyc.legalserver.org/matter/dynamic-profile/view/1910193","19-1910193")</f>
        <v>0</v>
      </c>
      <c r="B2447" t="s">
        <v>98</v>
      </c>
      <c r="C2447" t="s">
        <v>256</v>
      </c>
      <c r="D2447" t="s">
        <v>442</v>
      </c>
      <c r="F2447" t="s">
        <v>1340</v>
      </c>
      <c r="G2447" t="s">
        <v>3525</v>
      </c>
      <c r="H2447" t="s">
        <v>5878</v>
      </c>
      <c r="I2447" t="s">
        <v>8171</v>
      </c>
      <c r="J2447" t="s">
        <v>9065</v>
      </c>
      <c r="K2447">
        <v>10456</v>
      </c>
      <c r="L2447" t="s">
        <v>9094</v>
      </c>
      <c r="M2447" t="s">
        <v>9095</v>
      </c>
      <c r="N2447" t="s">
        <v>9235</v>
      </c>
      <c r="O2447" t="s">
        <v>11130</v>
      </c>
      <c r="P2447" t="s">
        <v>11165</v>
      </c>
      <c r="R2447" t="s">
        <v>11180</v>
      </c>
      <c r="S2447" t="s">
        <v>9094</v>
      </c>
      <c r="T2447" t="s">
        <v>11183</v>
      </c>
      <c r="W2447">
        <v>911.42</v>
      </c>
      <c r="X2447" t="s">
        <v>11333</v>
      </c>
      <c r="Y2447" t="s">
        <v>11346</v>
      </c>
      <c r="Z2447" t="s">
        <v>13030</v>
      </c>
      <c r="AB2447" t="s">
        <v>17398</v>
      </c>
      <c r="AC2447">
        <v>30</v>
      </c>
      <c r="AD2447" t="s">
        <v>15441</v>
      </c>
      <c r="AE2447" t="s">
        <v>9144</v>
      </c>
      <c r="AF2447">
        <v>19</v>
      </c>
      <c r="AG2447">
        <v>1</v>
      </c>
      <c r="AH2447">
        <v>1</v>
      </c>
      <c r="AI2447">
        <v>82.79000000000001</v>
      </c>
      <c r="AL2447" t="s">
        <v>19614</v>
      </c>
      <c r="AM2447">
        <v>14000</v>
      </c>
      <c r="AS2447">
        <v>0</v>
      </c>
      <c r="AU2447" t="s">
        <v>20642</v>
      </c>
      <c r="AV2447" t="s">
        <v>20733</v>
      </c>
    </row>
    <row r="2448" spans="1:48">
      <c r="A2448" s="1">
        <f>HYPERLINK("https://lsnyc.legalserver.org/matter/dynamic-profile/view/1863942","18-1863942")</f>
        <v>0</v>
      </c>
      <c r="B2448" t="s">
        <v>136</v>
      </c>
      <c r="C2448" t="s">
        <v>256</v>
      </c>
      <c r="D2448" t="s">
        <v>809</v>
      </c>
      <c r="F2448" t="s">
        <v>2165</v>
      </c>
      <c r="G2448" t="s">
        <v>3370</v>
      </c>
      <c r="H2448" t="s">
        <v>5961</v>
      </c>
      <c r="I2448">
        <v>309</v>
      </c>
      <c r="J2448" t="s">
        <v>9067</v>
      </c>
      <c r="K2448">
        <v>10029</v>
      </c>
      <c r="L2448" t="s">
        <v>9094</v>
      </c>
      <c r="M2448" t="s">
        <v>9094</v>
      </c>
      <c r="N2448" t="s">
        <v>9863</v>
      </c>
      <c r="O2448" t="s">
        <v>11130</v>
      </c>
      <c r="P2448" t="s">
        <v>11165</v>
      </c>
      <c r="R2448" t="s">
        <v>11180</v>
      </c>
      <c r="S2448" t="s">
        <v>9094</v>
      </c>
      <c r="T2448" t="s">
        <v>11183</v>
      </c>
      <c r="U2448" t="s">
        <v>11201</v>
      </c>
      <c r="V2448" t="s">
        <v>809</v>
      </c>
      <c r="W2448">
        <v>0</v>
      </c>
      <c r="X2448" t="s">
        <v>11335</v>
      </c>
      <c r="Y2448" t="s">
        <v>11339</v>
      </c>
      <c r="Z2448" t="s">
        <v>12909</v>
      </c>
      <c r="AB2448" t="s">
        <v>17277</v>
      </c>
      <c r="AC2448">
        <v>108</v>
      </c>
      <c r="AD2448" t="s">
        <v>19567</v>
      </c>
      <c r="AE2448" t="s">
        <v>19580</v>
      </c>
      <c r="AF2448">
        <v>29</v>
      </c>
      <c r="AG2448">
        <v>2</v>
      </c>
      <c r="AH2448">
        <v>0</v>
      </c>
      <c r="AI2448">
        <v>82.81999999999999</v>
      </c>
      <c r="AL2448" t="s">
        <v>19614</v>
      </c>
      <c r="AM2448">
        <v>13632</v>
      </c>
      <c r="AS2448">
        <v>2.5</v>
      </c>
      <c r="AT2448" t="s">
        <v>372</v>
      </c>
      <c r="AU2448" t="s">
        <v>20657</v>
      </c>
    </row>
    <row r="2449" spans="1:48">
      <c r="A2449" s="1">
        <f>HYPERLINK("https://lsnyc.legalserver.org/matter/dynamic-profile/view/0806287","16-0806287")</f>
        <v>0</v>
      </c>
      <c r="B2449" t="s">
        <v>58</v>
      </c>
      <c r="C2449" t="s">
        <v>256</v>
      </c>
      <c r="D2449" t="s">
        <v>932</v>
      </c>
      <c r="F2449" t="s">
        <v>2223</v>
      </c>
      <c r="G2449" t="s">
        <v>3344</v>
      </c>
      <c r="H2449" t="s">
        <v>6053</v>
      </c>
      <c r="I2449" t="s">
        <v>8140</v>
      </c>
      <c r="J2449" t="s">
        <v>9059</v>
      </c>
      <c r="K2449">
        <v>11225</v>
      </c>
      <c r="L2449" t="s">
        <v>9095</v>
      </c>
      <c r="M2449" t="s">
        <v>9095</v>
      </c>
      <c r="N2449" t="s">
        <v>9493</v>
      </c>
      <c r="O2449" t="s">
        <v>11132</v>
      </c>
      <c r="P2449" t="s">
        <v>11165</v>
      </c>
      <c r="R2449" t="s">
        <v>11180</v>
      </c>
      <c r="S2449" t="s">
        <v>9094</v>
      </c>
      <c r="T2449" t="s">
        <v>11183</v>
      </c>
      <c r="V2449" t="s">
        <v>986</v>
      </c>
      <c r="W2449">
        <v>784.5599999999999</v>
      </c>
      <c r="X2449" t="s">
        <v>11332</v>
      </c>
      <c r="Y2449" t="s">
        <v>11346</v>
      </c>
      <c r="Z2449" t="s">
        <v>13031</v>
      </c>
      <c r="AB2449" t="s">
        <v>17399</v>
      </c>
      <c r="AC2449">
        <v>16</v>
      </c>
      <c r="AD2449" t="s">
        <v>19566</v>
      </c>
      <c r="AF2449">
        <v>15</v>
      </c>
      <c r="AG2449">
        <v>1</v>
      </c>
      <c r="AH2449">
        <v>0</v>
      </c>
      <c r="AI2449">
        <v>82.83</v>
      </c>
      <c r="AM2449">
        <v>9840</v>
      </c>
      <c r="AS2449">
        <v>24.75</v>
      </c>
      <c r="AT2449" t="s">
        <v>483</v>
      </c>
      <c r="AU2449" t="s">
        <v>157</v>
      </c>
    </row>
    <row r="2450" spans="1:48">
      <c r="A2450" s="1">
        <f>HYPERLINK("https://lsnyc.legalserver.org/matter/dynamic-profile/view/0823610","17-0823610")</f>
        <v>0</v>
      </c>
      <c r="B2450" t="s">
        <v>155</v>
      </c>
      <c r="C2450" t="s">
        <v>256</v>
      </c>
      <c r="D2450" t="s">
        <v>464</v>
      </c>
      <c r="F2450" t="s">
        <v>2223</v>
      </c>
      <c r="G2450" t="s">
        <v>3344</v>
      </c>
      <c r="H2450" t="s">
        <v>6053</v>
      </c>
      <c r="I2450" t="s">
        <v>8140</v>
      </c>
      <c r="J2450" t="s">
        <v>9059</v>
      </c>
      <c r="K2450">
        <v>11225</v>
      </c>
      <c r="L2450" t="s">
        <v>9095</v>
      </c>
      <c r="M2450" t="s">
        <v>9095</v>
      </c>
      <c r="P2450" t="s">
        <v>11167</v>
      </c>
      <c r="R2450" t="s">
        <v>11180</v>
      </c>
      <c r="S2450" t="s">
        <v>9094</v>
      </c>
      <c r="T2450" t="s">
        <v>11183</v>
      </c>
      <c r="V2450" t="s">
        <v>932</v>
      </c>
      <c r="W2450">
        <v>784.5599999999999</v>
      </c>
      <c r="X2450" t="s">
        <v>11332</v>
      </c>
      <c r="Y2450" t="s">
        <v>11346</v>
      </c>
      <c r="Z2450" t="s">
        <v>13031</v>
      </c>
      <c r="AB2450" t="s">
        <v>17399</v>
      </c>
      <c r="AC2450">
        <v>16</v>
      </c>
      <c r="AD2450" t="s">
        <v>19566</v>
      </c>
      <c r="AF2450">
        <v>15</v>
      </c>
      <c r="AG2450">
        <v>1</v>
      </c>
      <c r="AH2450">
        <v>0</v>
      </c>
      <c r="AI2450">
        <v>82.83</v>
      </c>
      <c r="AM2450">
        <v>9840</v>
      </c>
      <c r="AS2450">
        <v>0</v>
      </c>
      <c r="AU2450" t="s">
        <v>20636</v>
      </c>
    </row>
    <row r="2451" spans="1:48">
      <c r="A2451" s="1">
        <f>HYPERLINK("https://lsnyc.legalserver.org/matter/dynamic-profile/view/0799941","16-0799941")</f>
        <v>0</v>
      </c>
      <c r="B2451" t="s">
        <v>75</v>
      </c>
      <c r="C2451" t="s">
        <v>257</v>
      </c>
      <c r="D2451" t="s">
        <v>826</v>
      </c>
      <c r="E2451" t="s">
        <v>1130</v>
      </c>
      <c r="F2451" t="s">
        <v>1877</v>
      </c>
      <c r="G2451" t="s">
        <v>3765</v>
      </c>
      <c r="H2451" t="s">
        <v>6878</v>
      </c>
      <c r="I2451" t="s">
        <v>8218</v>
      </c>
      <c r="J2451" t="s">
        <v>9059</v>
      </c>
      <c r="K2451">
        <v>11215</v>
      </c>
      <c r="L2451" t="s">
        <v>9094</v>
      </c>
      <c r="M2451" t="s">
        <v>9095</v>
      </c>
      <c r="N2451" t="s">
        <v>10069</v>
      </c>
      <c r="O2451" t="s">
        <v>11129</v>
      </c>
      <c r="P2451" t="s">
        <v>11165</v>
      </c>
      <c r="Q2451" t="s">
        <v>11174</v>
      </c>
      <c r="R2451" t="s">
        <v>11180</v>
      </c>
      <c r="T2451" t="s">
        <v>11183</v>
      </c>
      <c r="V2451" t="s">
        <v>11231</v>
      </c>
      <c r="W2451">
        <v>0</v>
      </c>
      <c r="X2451" t="s">
        <v>11332</v>
      </c>
      <c r="Z2451" t="s">
        <v>12916</v>
      </c>
      <c r="AB2451" t="s">
        <v>17282</v>
      </c>
      <c r="AC2451">
        <v>8</v>
      </c>
      <c r="AD2451" t="s">
        <v>19566</v>
      </c>
      <c r="AF2451">
        <v>16</v>
      </c>
      <c r="AG2451">
        <v>1</v>
      </c>
      <c r="AH2451">
        <v>0</v>
      </c>
      <c r="AI2451">
        <v>82.83</v>
      </c>
      <c r="AL2451" t="s">
        <v>19615</v>
      </c>
      <c r="AM2451">
        <v>9840</v>
      </c>
      <c r="AS2451">
        <v>20.25</v>
      </c>
      <c r="AT2451" t="s">
        <v>576</v>
      </c>
      <c r="AU2451" t="s">
        <v>75</v>
      </c>
    </row>
    <row r="2452" spans="1:48">
      <c r="A2452" s="1">
        <f>HYPERLINK("https://lsnyc.legalserver.org/matter/dynamic-profile/view/0798503","16-0798503")</f>
        <v>0</v>
      </c>
      <c r="B2452" t="s">
        <v>168</v>
      </c>
      <c r="C2452" t="s">
        <v>257</v>
      </c>
      <c r="D2452" t="s">
        <v>933</v>
      </c>
      <c r="E2452" t="s">
        <v>309</v>
      </c>
      <c r="F2452" t="s">
        <v>1421</v>
      </c>
      <c r="G2452" t="s">
        <v>3498</v>
      </c>
      <c r="H2452" t="s">
        <v>6955</v>
      </c>
      <c r="I2452" t="s">
        <v>8141</v>
      </c>
      <c r="J2452" t="s">
        <v>9059</v>
      </c>
      <c r="K2452">
        <v>11211</v>
      </c>
      <c r="L2452" t="s">
        <v>9096</v>
      </c>
      <c r="M2452" t="s">
        <v>9095</v>
      </c>
      <c r="P2452" t="s">
        <v>11165</v>
      </c>
      <c r="Q2452" t="s">
        <v>11174</v>
      </c>
      <c r="R2452" t="s">
        <v>11180</v>
      </c>
      <c r="T2452" t="s">
        <v>11183</v>
      </c>
      <c r="W2452">
        <v>0</v>
      </c>
      <c r="X2452" t="s">
        <v>11332</v>
      </c>
      <c r="Z2452" t="s">
        <v>12496</v>
      </c>
      <c r="AB2452" t="s">
        <v>17400</v>
      </c>
      <c r="AC2452">
        <v>0</v>
      </c>
      <c r="AF2452">
        <v>0</v>
      </c>
      <c r="AG2452">
        <v>1</v>
      </c>
      <c r="AH2452">
        <v>0</v>
      </c>
      <c r="AI2452">
        <v>82.83</v>
      </c>
      <c r="AL2452" t="s">
        <v>19615</v>
      </c>
      <c r="AM2452">
        <v>9840</v>
      </c>
      <c r="AO2452" t="s">
        <v>20292</v>
      </c>
      <c r="AQ2452" t="s">
        <v>20371</v>
      </c>
      <c r="AR2452" t="s">
        <v>20395</v>
      </c>
      <c r="AS2452">
        <v>89.95</v>
      </c>
      <c r="AT2452" t="s">
        <v>309</v>
      </c>
      <c r="AU2452" t="s">
        <v>168</v>
      </c>
    </row>
    <row r="2453" spans="1:48">
      <c r="A2453" s="1">
        <f>HYPERLINK("https://lsnyc.legalserver.org/matter/dynamic-profile/view/0824327","17-0824327")</f>
        <v>0</v>
      </c>
      <c r="B2453" t="s">
        <v>139</v>
      </c>
      <c r="C2453" t="s">
        <v>256</v>
      </c>
      <c r="D2453" t="s">
        <v>934</v>
      </c>
      <c r="F2453" t="s">
        <v>2071</v>
      </c>
      <c r="G2453" t="s">
        <v>3354</v>
      </c>
      <c r="H2453" t="s">
        <v>6363</v>
      </c>
      <c r="I2453" t="s">
        <v>8217</v>
      </c>
      <c r="J2453" t="s">
        <v>9067</v>
      </c>
      <c r="K2453">
        <v>10040</v>
      </c>
      <c r="L2453" t="s">
        <v>9094</v>
      </c>
      <c r="M2453" t="s">
        <v>9095</v>
      </c>
      <c r="N2453" t="s">
        <v>9887</v>
      </c>
      <c r="O2453" t="s">
        <v>11130</v>
      </c>
      <c r="P2453" t="s">
        <v>11165</v>
      </c>
      <c r="R2453" t="s">
        <v>11180</v>
      </c>
      <c r="S2453" t="s">
        <v>9094</v>
      </c>
      <c r="T2453" t="s">
        <v>11183</v>
      </c>
      <c r="V2453" t="s">
        <v>866</v>
      </c>
      <c r="W2453">
        <v>959</v>
      </c>
      <c r="X2453" t="s">
        <v>11335</v>
      </c>
      <c r="Y2453" t="s">
        <v>11339</v>
      </c>
      <c r="Z2453" t="s">
        <v>12944</v>
      </c>
      <c r="AB2453" t="s">
        <v>17309</v>
      </c>
      <c r="AC2453">
        <v>83</v>
      </c>
      <c r="AD2453" t="s">
        <v>19566</v>
      </c>
      <c r="AE2453" t="s">
        <v>19587</v>
      </c>
      <c r="AF2453">
        <v>37</v>
      </c>
      <c r="AG2453">
        <v>1</v>
      </c>
      <c r="AH2453">
        <v>0</v>
      </c>
      <c r="AI2453">
        <v>82.83</v>
      </c>
      <c r="AJ2453" t="s">
        <v>463</v>
      </c>
      <c r="AL2453" t="s">
        <v>19615</v>
      </c>
      <c r="AM2453">
        <v>9840</v>
      </c>
      <c r="AS2453">
        <v>0</v>
      </c>
      <c r="AT2453" t="s">
        <v>537</v>
      </c>
      <c r="AU2453" t="s">
        <v>20657</v>
      </c>
    </row>
    <row r="2454" spans="1:48">
      <c r="A2454" s="1">
        <f>HYPERLINK("https://lsnyc.legalserver.org/matter/dynamic-profile/view/1851038","17-1851038")</f>
        <v>0</v>
      </c>
      <c r="B2454" t="s">
        <v>138</v>
      </c>
      <c r="C2454" t="s">
        <v>256</v>
      </c>
      <c r="D2454" t="s">
        <v>935</v>
      </c>
      <c r="F2454" t="s">
        <v>2200</v>
      </c>
      <c r="G2454" t="s">
        <v>4429</v>
      </c>
      <c r="H2454" t="s">
        <v>6625</v>
      </c>
      <c r="I2454">
        <v>35</v>
      </c>
      <c r="J2454" t="s">
        <v>9067</v>
      </c>
      <c r="K2454">
        <v>10034</v>
      </c>
      <c r="L2454" t="s">
        <v>9094</v>
      </c>
      <c r="M2454" t="s">
        <v>9094</v>
      </c>
      <c r="N2454" t="s">
        <v>10070</v>
      </c>
      <c r="O2454" t="s">
        <v>11129</v>
      </c>
      <c r="P2454" t="s">
        <v>11165</v>
      </c>
      <c r="R2454" t="s">
        <v>11180</v>
      </c>
      <c r="S2454" t="s">
        <v>9096</v>
      </c>
      <c r="T2454" t="s">
        <v>11183</v>
      </c>
      <c r="U2454" t="s">
        <v>11199</v>
      </c>
      <c r="V2454" t="s">
        <v>935</v>
      </c>
      <c r="W2454">
        <v>891.88</v>
      </c>
      <c r="X2454" t="s">
        <v>11335</v>
      </c>
      <c r="Y2454" t="s">
        <v>11338</v>
      </c>
      <c r="Z2454" t="s">
        <v>12997</v>
      </c>
      <c r="AB2454" t="s">
        <v>17361</v>
      </c>
      <c r="AC2454">
        <v>25</v>
      </c>
      <c r="AD2454" t="s">
        <v>19566</v>
      </c>
      <c r="AE2454" t="s">
        <v>19580</v>
      </c>
      <c r="AF2454">
        <v>40</v>
      </c>
      <c r="AG2454">
        <v>1</v>
      </c>
      <c r="AH2454">
        <v>0</v>
      </c>
      <c r="AI2454">
        <v>82.86</v>
      </c>
      <c r="AL2454" t="s">
        <v>19637</v>
      </c>
      <c r="AM2454">
        <v>9992.4</v>
      </c>
      <c r="AP2454" t="s">
        <v>20327</v>
      </c>
      <c r="AQ2454" t="s">
        <v>20369</v>
      </c>
      <c r="AR2454" t="s">
        <v>20496</v>
      </c>
      <c r="AS2454">
        <v>52</v>
      </c>
      <c r="AT2454" t="s">
        <v>440</v>
      </c>
      <c r="AU2454" t="s">
        <v>130</v>
      </c>
    </row>
    <row r="2455" spans="1:48">
      <c r="A2455" s="1">
        <f>HYPERLINK("https://lsnyc.legalserver.org/matter/dynamic-profile/view/1886920","19-1886920")</f>
        <v>0</v>
      </c>
      <c r="B2455" t="s">
        <v>52</v>
      </c>
      <c r="C2455" t="s">
        <v>256</v>
      </c>
      <c r="D2455" t="s">
        <v>582</v>
      </c>
      <c r="F2455" t="s">
        <v>1276</v>
      </c>
      <c r="G2455" t="s">
        <v>4452</v>
      </c>
      <c r="H2455" t="s">
        <v>6688</v>
      </c>
      <c r="I2455" t="s">
        <v>8612</v>
      </c>
      <c r="J2455" t="s">
        <v>9038</v>
      </c>
      <c r="K2455">
        <v>11691</v>
      </c>
      <c r="L2455" t="s">
        <v>9094</v>
      </c>
      <c r="M2455" t="s">
        <v>9094</v>
      </c>
      <c r="N2455" t="s">
        <v>10071</v>
      </c>
      <c r="O2455" t="s">
        <v>11129</v>
      </c>
      <c r="P2455" t="s">
        <v>11165</v>
      </c>
      <c r="R2455" t="s">
        <v>11180</v>
      </c>
      <c r="S2455" t="s">
        <v>9096</v>
      </c>
      <c r="T2455" t="s">
        <v>11183</v>
      </c>
      <c r="U2455" t="s">
        <v>11201</v>
      </c>
      <c r="V2455" t="s">
        <v>582</v>
      </c>
      <c r="W2455">
        <v>250</v>
      </c>
      <c r="X2455" t="s">
        <v>11331</v>
      </c>
      <c r="Y2455" t="s">
        <v>11336</v>
      </c>
      <c r="Z2455" t="s">
        <v>13032</v>
      </c>
      <c r="AA2455" t="s">
        <v>15700</v>
      </c>
      <c r="AB2455" t="s">
        <v>17401</v>
      </c>
      <c r="AC2455">
        <v>120</v>
      </c>
      <c r="AD2455" t="s">
        <v>19577</v>
      </c>
      <c r="AE2455" t="s">
        <v>9144</v>
      </c>
      <c r="AF2455">
        <v>18</v>
      </c>
      <c r="AG2455">
        <v>1</v>
      </c>
      <c r="AH2455">
        <v>3</v>
      </c>
      <c r="AI2455">
        <v>82.87</v>
      </c>
      <c r="AL2455" t="s">
        <v>19614</v>
      </c>
      <c r="AM2455">
        <v>20800</v>
      </c>
      <c r="AO2455" t="s">
        <v>20290</v>
      </c>
      <c r="AP2455" t="s">
        <v>20330</v>
      </c>
      <c r="AS2455">
        <v>11.05</v>
      </c>
      <c r="AT2455" t="s">
        <v>320</v>
      </c>
      <c r="AU2455" t="s">
        <v>20620</v>
      </c>
    </row>
    <row r="2456" spans="1:48">
      <c r="A2456" s="1">
        <f>HYPERLINK("https://lsnyc.legalserver.org/matter/dynamic-profile/view/1879615","18-1879615")</f>
        <v>0</v>
      </c>
      <c r="B2456" t="s">
        <v>76</v>
      </c>
      <c r="C2456" t="s">
        <v>256</v>
      </c>
      <c r="D2456" t="s">
        <v>855</v>
      </c>
      <c r="F2456" t="s">
        <v>1553</v>
      </c>
      <c r="G2456" t="s">
        <v>3911</v>
      </c>
      <c r="H2456" t="s">
        <v>6312</v>
      </c>
      <c r="I2456" t="s">
        <v>8117</v>
      </c>
      <c r="J2456" t="s">
        <v>9059</v>
      </c>
      <c r="K2456">
        <v>11207</v>
      </c>
      <c r="L2456" t="s">
        <v>9096</v>
      </c>
      <c r="M2456" t="s">
        <v>9096</v>
      </c>
      <c r="N2456" t="s">
        <v>9121</v>
      </c>
      <c r="O2456" t="s">
        <v>11137</v>
      </c>
      <c r="P2456" t="s">
        <v>11166</v>
      </c>
      <c r="R2456" t="s">
        <v>11180</v>
      </c>
      <c r="S2456" t="s">
        <v>9094</v>
      </c>
      <c r="T2456" t="s">
        <v>11183</v>
      </c>
      <c r="U2456" t="s">
        <v>11201</v>
      </c>
      <c r="W2456">
        <v>1000</v>
      </c>
      <c r="X2456" t="s">
        <v>11332</v>
      </c>
      <c r="Y2456" t="s">
        <v>11340</v>
      </c>
      <c r="Z2456" t="s">
        <v>12121</v>
      </c>
      <c r="AA2456" t="s">
        <v>15290</v>
      </c>
      <c r="AB2456" t="s">
        <v>16558</v>
      </c>
      <c r="AC2456">
        <v>6</v>
      </c>
      <c r="AD2456" t="s">
        <v>19566</v>
      </c>
      <c r="AE2456" t="s">
        <v>9144</v>
      </c>
      <c r="AF2456">
        <v>4</v>
      </c>
      <c r="AG2456">
        <v>1</v>
      </c>
      <c r="AH2456">
        <v>3</v>
      </c>
      <c r="AI2456">
        <v>82.87</v>
      </c>
      <c r="AL2456" t="s">
        <v>19614</v>
      </c>
      <c r="AM2456">
        <v>20800</v>
      </c>
      <c r="AS2456">
        <v>0</v>
      </c>
      <c r="AU2456" t="s">
        <v>95</v>
      </c>
    </row>
    <row r="2457" spans="1:48">
      <c r="A2457" s="1">
        <f>HYPERLINK("https://lsnyc.legalserver.org/matter/dynamic-profile/view/0832472","17-0832472")</f>
        <v>0</v>
      </c>
      <c r="B2457" t="s">
        <v>149</v>
      </c>
      <c r="C2457" t="s">
        <v>257</v>
      </c>
      <c r="D2457" t="s">
        <v>936</v>
      </c>
      <c r="E2457" t="s">
        <v>457</v>
      </c>
      <c r="F2457" t="s">
        <v>2224</v>
      </c>
      <c r="G2457" t="s">
        <v>3646</v>
      </c>
      <c r="H2457" t="s">
        <v>6326</v>
      </c>
      <c r="I2457" t="s">
        <v>8279</v>
      </c>
      <c r="J2457" t="s">
        <v>9067</v>
      </c>
      <c r="K2457">
        <v>10035</v>
      </c>
      <c r="L2457" t="s">
        <v>9094</v>
      </c>
      <c r="M2457" t="s">
        <v>9095</v>
      </c>
      <c r="O2457" t="s">
        <v>11156</v>
      </c>
      <c r="P2457" t="s">
        <v>11168</v>
      </c>
      <c r="Q2457" t="s">
        <v>11177</v>
      </c>
      <c r="R2457" t="s">
        <v>11180</v>
      </c>
      <c r="S2457" t="s">
        <v>9096</v>
      </c>
      <c r="T2457" t="s">
        <v>11189</v>
      </c>
      <c r="V2457" t="s">
        <v>896</v>
      </c>
      <c r="W2457">
        <v>1798</v>
      </c>
      <c r="X2457" t="s">
        <v>11335</v>
      </c>
      <c r="Y2457" t="s">
        <v>11338</v>
      </c>
      <c r="Z2457" t="s">
        <v>13033</v>
      </c>
      <c r="AB2457" t="s">
        <v>17402</v>
      </c>
      <c r="AC2457">
        <v>72</v>
      </c>
      <c r="AD2457" t="s">
        <v>19566</v>
      </c>
      <c r="AE2457" t="s">
        <v>19580</v>
      </c>
      <c r="AF2457">
        <v>0</v>
      </c>
      <c r="AG2457">
        <v>4</v>
      </c>
      <c r="AH2457">
        <v>0</v>
      </c>
      <c r="AI2457">
        <v>82.88</v>
      </c>
      <c r="AL2457" t="s">
        <v>19614</v>
      </c>
      <c r="AM2457">
        <v>20388</v>
      </c>
      <c r="AS2457">
        <v>33.8</v>
      </c>
      <c r="AT2457" t="s">
        <v>265</v>
      </c>
      <c r="AU2457" t="s">
        <v>20657</v>
      </c>
      <c r="AV2457" t="s">
        <v>20733</v>
      </c>
    </row>
    <row r="2458" spans="1:48">
      <c r="A2458" s="1">
        <f>HYPERLINK("https://lsnyc.legalserver.org/matter/dynamic-profile/view/1857092","18-1857092")</f>
        <v>0</v>
      </c>
      <c r="B2458" t="s">
        <v>119</v>
      </c>
      <c r="C2458" t="s">
        <v>256</v>
      </c>
      <c r="D2458" t="s">
        <v>751</v>
      </c>
      <c r="F2458" t="s">
        <v>1413</v>
      </c>
      <c r="G2458" t="s">
        <v>4453</v>
      </c>
      <c r="H2458" t="s">
        <v>5897</v>
      </c>
      <c r="I2458" t="s">
        <v>8602</v>
      </c>
      <c r="J2458" t="s">
        <v>9065</v>
      </c>
      <c r="K2458">
        <v>10452</v>
      </c>
      <c r="L2458" t="s">
        <v>9094</v>
      </c>
      <c r="M2458" t="s">
        <v>9095</v>
      </c>
      <c r="N2458" t="s">
        <v>9252</v>
      </c>
      <c r="O2458" t="s">
        <v>11135</v>
      </c>
      <c r="P2458" t="s">
        <v>11168</v>
      </c>
      <c r="R2458" t="s">
        <v>11180</v>
      </c>
      <c r="S2458" t="s">
        <v>9094</v>
      </c>
      <c r="T2458" t="s">
        <v>11183</v>
      </c>
      <c r="V2458" t="s">
        <v>673</v>
      </c>
      <c r="W2458">
        <v>1057</v>
      </c>
      <c r="X2458" t="s">
        <v>11333</v>
      </c>
      <c r="Y2458" t="s">
        <v>11346</v>
      </c>
      <c r="Z2458" t="s">
        <v>13034</v>
      </c>
      <c r="AA2458" t="s">
        <v>15701</v>
      </c>
      <c r="AB2458" t="s">
        <v>17403</v>
      </c>
      <c r="AC2458">
        <v>122</v>
      </c>
      <c r="AD2458" t="s">
        <v>19566</v>
      </c>
      <c r="AF2458">
        <v>24</v>
      </c>
      <c r="AG2458">
        <v>1</v>
      </c>
      <c r="AH2458">
        <v>0</v>
      </c>
      <c r="AI2458">
        <v>82.89</v>
      </c>
      <c r="AL2458" t="s">
        <v>19615</v>
      </c>
      <c r="AM2458">
        <v>9996</v>
      </c>
      <c r="AN2458" t="s">
        <v>19872</v>
      </c>
      <c r="AS2458">
        <v>0.1</v>
      </c>
      <c r="AT2458" t="s">
        <v>507</v>
      </c>
      <c r="AU2458" t="s">
        <v>20647</v>
      </c>
    </row>
    <row r="2459" spans="1:48">
      <c r="A2459" s="1">
        <f>HYPERLINK("https://lsnyc.legalserver.org/matter/dynamic-profile/view/1898116","19-1898116")</f>
        <v>0</v>
      </c>
      <c r="B2459" t="s">
        <v>147</v>
      </c>
      <c r="C2459" t="s">
        <v>257</v>
      </c>
      <c r="D2459" t="s">
        <v>864</v>
      </c>
      <c r="E2459" t="s">
        <v>563</v>
      </c>
      <c r="F2459" t="s">
        <v>1267</v>
      </c>
      <c r="G2459" t="s">
        <v>3499</v>
      </c>
      <c r="H2459" t="s">
        <v>6956</v>
      </c>
      <c r="I2459" t="s">
        <v>8220</v>
      </c>
      <c r="J2459" t="s">
        <v>9066</v>
      </c>
      <c r="K2459">
        <v>10301</v>
      </c>
      <c r="L2459" t="s">
        <v>9094</v>
      </c>
      <c r="M2459" t="s">
        <v>9094</v>
      </c>
      <c r="N2459" t="s">
        <v>10072</v>
      </c>
      <c r="O2459" t="s">
        <v>11129</v>
      </c>
      <c r="P2459" t="s">
        <v>11165</v>
      </c>
      <c r="Q2459" t="s">
        <v>11174</v>
      </c>
      <c r="R2459" t="s">
        <v>11180</v>
      </c>
      <c r="S2459" t="s">
        <v>9096</v>
      </c>
      <c r="T2459" t="s">
        <v>11183</v>
      </c>
      <c r="U2459" t="s">
        <v>11201</v>
      </c>
      <c r="V2459" t="s">
        <v>470</v>
      </c>
      <c r="W2459">
        <v>524</v>
      </c>
      <c r="X2459" t="s">
        <v>11334</v>
      </c>
      <c r="Y2459" t="s">
        <v>11350</v>
      </c>
      <c r="Z2459" t="s">
        <v>13035</v>
      </c>
      <c r="AB2459" t="s">
        <v>17404</v>
      </c>
      <c r="AC2459">
        <v>2</v>
      </c>
      <c r="AD2459" t="s">
        <v>19567</v>
      </c>
      <c r="AE2459" t="s">
        <v>9144</v>
      </c>
      <c r="AF2459">
        <v>18</v>
      </c>
      <c r="AG2459">
        <v>1</v>
      </c>
      <c r="AH2459">
        <v>2</v>
      </c>
      <c r="AI2459">
        <v>82.89</v>
      </c>
      <c r="AL2459" t="s">
        <v>19614</v>
      </c>
      <c r="AM2459">
        <v>17679.96</v>
      </c>
      <c r="AO2459" t="s">
        <v>20304</v>
      </c>
      <c r="AP2459" t="s">
        <v>20309</v>
      </c>
      <c r="AQ2459" t="s">
        <v>20369</v>
      </c>
      <c r="AR2459" t="s">
        <v>20433</v>
      </c>
      <c r="AS2459">
        <v>20</v>
      </c>
      <c r="AT2459" t="s">
        <v>294</v>
      </c>
      <c r="AU2459" t="s">
        <v>20653</v>
      </c>
      <c r="AV2459" t="s">
        <v>20733</v>
      </c>
    </row>
    <row r="2460" spans="1:48">
      <c r="A2460" s="1">
        <f>HYPERLINK("https://lsnyc.legalserver.org/matter/dynamic-profile/view/1900560","19-1900560")</f>
        <v>0</v>
      </c>
      <c r="B2460" t="s">
        <v>113</v>
      </c>
      <c r="C2460" t="s">
        <v>256</v>
      </c>
      <c r="D2460" t="s">
        <v>283</v>
      </c>
      <c r="F2460" t="s">
        <v>1801</v>
      </c>
      <c r="G2460" t="s">
        <v>3677</v>
      </c>
      <c r="H2460" t="s">
        <v>5864</v>
      </c>
      <c r="I2460" t="s">
        <v>8264</v>
      </c>
      <c r="J2460" t="s">
        <v>9065</v>
      </c>
      <c r="K2460">
        <v>10460</v>
      </c>
      <c r="L2460" t="s">
        <v>9094</v>
      </c>
      <c r="M2460" t="s">
        <v>9095</v>
      </c>
      <c r="O2460" t="s">
        <v>9121</v>
      </c>
      <c r="P2460" t="s">
        <v>11166</v>
      </c>
      <c r="R2460" t="s">
        <v>11180</v>
      </c>
      <c r="S2460" t="s">
        <v>9094</v>
      </c>
      <c r="T2460" t="s">
        <v>11183</v>
      </c>
      <c r="V2460" t="s">
        <v>11218</v>
      </c>
      <c r="W2460">
        <v>1621</v>
      </c>
      <c r="X2460" t="s">
        <v>11333</v>
      </c>
      <c r="Y2460" t="s">
        <v>11340</v>
      </c>
      <c r="Z2460" t="s">
        <v>12235</v>
      </c>
      <c r="AC2460">
        <v>168</v>
      </c>
      <c r="AD2460" t="s">
        <v>15441</v>
      </c>
      <c r="AE2460" t="s">
        <v>19580</v>
      </c>
      <c r="AF2460">
        <v>2</v>
      </c>
      <c r="AG2460">
        <v>2</v>
      </c>
      <c r="AH2460">
        <v>0</v>
      </c>
      <c r="AI2460">
        <v>83.03</v>
      </c>
      <c r="AL2460" t="s">
        <v>19614</v>
      </c>
      <c r="AM2460">
        <v>14040</v>
      </c>
      <c r="AN2460" t="s">
        <v>19873</v>
      </c>
      <c r="AS2460">
        <v>0</v>
      </c>
      <c r="AU2460" t="s">
        <v>20642</v>
      </c>
      <c r="AV2460" t="s">
        <v>20733</v>
      </c>
    </row>
    <row r="2461" spans="1:48">
      <c r="A2461" s="1">
        <f>HYPERLINK("https://lsnyc.legalserver.org/matter/dynamic-profile/view/1870539","18-1870539")</f>
        <v>0</v>
      </c>
      <c r="B2461" t="s">
        <v>119</v>
      </c>
      <c r="C2461" t="s">
        <v>256</v>
      </c>
      <c r="D2461" t="s">
        <v>400</v>
      </c>
      <c r="F2461" t="s">
        <v>1341</v>
      </c>
      <c r="G2461" t="s">
        <v>4290</v>
      </c>
      <c r="H2461" t="s">
        <v>6095</v>
      </c>
      <c r="I2461" t="s">
        <v>8218</v>
      </c>
      <c r="J2461" t="s">
        <v>9065</v>
      </c>
      <c r="K2461">
        <v>10456</v>
      </c>
      <c r="L2461" t="s">
        <v>9094</v>
      </c>
      <c r="M2461" t="s">
        <v>9095</v>
      </c>
      <c r="N2461" t="s">
        <v>10073</v>
      </c>
      <c r="O2461" t="s">
        <v>11130</v>
      </c>
      <c r="P2461" t="s">
        <v>11165</v>
      </c>
      <c r="R2461" t="s">
        <v>11180</v>
      </c>
      <c r="S2461" t="s">
        <v>9094</v>
      </c>
      <c r="T2461" t="s">
        <v>11183</v>
      </c>
      <c r="V2461" t="s">
        <v>675</v>
      </c>
      <c r="W2461">
        <v>589</v>
      </c>
      <c r="X2461" t="s">
        <v>11333</v>
      </c>
      <c r="Y2461" t="s">
        <v>11346</v>
      </c>
      <c r="Z2461" t="s">
        <v>13036</v>
      </c>
      <c r="AA2461" t="s">
        <v>15702</v>
      </c>
      <c r="AC2461">
        <v>131</v>
      </c>
      <c r="AD2461" t="s">
        <v>19569</v>
      </c>
      <c r="AE2461" t="s">
        <v>19580</v>
      </c>
      <c r="AF2461">
        <v>23</v>
      </c>
      <c r="AG2461">
        <v>1</v>
      </c>
      <c r="AH2461">
        <v>0</v>
      </c>
      <c r="AI2461">
        <v>83.03</v>
      </c>
      <c r="AL2461" t="s">
        <v>19614</v>
      </c>
      <c r="AM2461">
        <v>10080</v>
      </c>
      <c r="AS2461">
        <v>0</v>
      </c>
      <c r="AU2461" t="s">
        <v>163</v>
      </c>
    </row>
    <row r="2462" spans="1:48">
      <c r="A2462" s="1">
        <f>HYPERLINK("https://lsnyc.legalserver.org/matter/dynamic-profile/view/1877140","18-1877140")</f>
        <v>0</v>
      </c>
      <c r="B2462" t="s">
        <v>103</v>
      </c>
      <c r="C2462" t="s">
        <v>256</v>
      </c>
      <c r="D2462" t="s">
        <v>561</v>
      </c>
      <c r="F2462" t="s">
        <v>2107</v>
      </c>
      <c r="G2462" t="s">
        <v>3924</v>
      </c>
      <c r="H2462" t="s">
        <v>6957</v>
      </c>
      <c r="I2462">
        <v>45</v>
      </c>
      <c r="J2462" t="s">
        <v>9065</v>
      </c>
      <c r="K2462">
        <v>10453</v>
      </c>
      <c r="L2462" t="s">
        <v>9094</v>
      </c>
      <c r="M2462" t="s">
        <v>9094</v>
      </c>
      <c r="N2462" t="s">
        <v>9238</v>
      </c>
      <c r="O2462" t="s">
        <v>11134</v>
      </c>
      <c r="P2462" t="s">
        <v>11168</v>
      </c>
      <c r="R2462" t="s">
        <v>11180</v>
      </c>
      <c r="S2462" t="s">
        <v>9094</v>
      </c>
      <c r="T2462" t="s">
        <v>11183</v>
      </c>
      <c r="V2462" t="s">
        <v>512</v>
      </c>
      <c r="W2462">
        <v>841</v>
      </c>
      <c r="X2462" t="s">
        <v>11333</v>
      </c>
      <c r="Y2462" t="s">
        <v>11339</v>
      </c>
      <c r="Z2462" t="s">
        <v>13037</v>
      </c>
      <c r="AB2462" t="s">
        <v>17405</v>
      </c>
      <c r="AC2462">
        <v>46</v>
      </c>
      <c r="AD2462" t="s">
        <v>19566</v>
      </c>
      <c r="AF2462">
        <v>37</v>
      </c>
      <c r="AG2462">
        <v>1</v>
      </c>
      <c r="AH2462">
        <v>0</v>
      </c>
      <c r="AI2462">
        <v>83.03</v>
      </c>
      <c r="AL2462" t="s">
        <v>19614</v>
      </c>
      <c r="AM2462">
        <v>10080</v>
      </c>
      <c r="AS2462">
        <v>10.8</v>
      </c>
      <c r="AT2462" t="s">
        <v>316</v>
      </c>
      <c r="AU2462" t="s">
        <v>103</v>
      </c>
    </row>
    <row r="2463" spans="1:48">
      <c r="A2463" s="1">
        <f>HYPERLINK("https://lsnyc.legalserver.org/matter/dynamic-profile/view/1860668","18-1860668")</f>
        <v>0</v>
      </c>
      <c r="B2463" t="s">
        <v>101</v>
      </c>
      <c r="C2463" t="s">
        <v>257</v>
      </c>
      <c r="D2463" t="s">
        <v>683</v>
      </c>
      <c r="E2463" t="s">
        <v>416</v>
      </c>
      <c r="F2463" t="s">
        <v>1258</v>
      </c>
      <c r="G2463" t="s">
        <v>4454</v>
      </c>
      <c r="H2463" t="s">
        <v>6262</v>
      </c>
      <c r="I2463" t="s">
        <v>8270</v>
      </c>
      <c r="J2463" t="s">
        <v>9065</v>
      </c>
      <c r="K2463">
        <v>10452</v>
      </c>
      <c r="L2463" t="s">
        <v>9094</v>
      </c>
      <c r="M2463" t="s">
        <v>9094</v>
      </c>
      <c r="N2463" t="s">
        <v>9537</v>
      </c>
      <c r="O2463" t="s">
        <v>11130</v>
      </c>
      <c r="P2463" t="s">
        <v>11165</v>
      </c>
      <c r="Q2463" t="s">
        <v>11174</v>
      </c>
      <c r="R2463" t="s">
        <v>11180</v>
      </c>
      <c r="S2463" t="s">
        <v>9094</v>
      </c>
      <c r="T2463" t="s">
        <v>11183</v>
      </c>
      <c r="V2463" t="s">
        <v>874</v>
      </c>
      <c r="W2463">
        <v>687.1</v>
      </c>
      <c r="X2463" t="s">
        <v>11333</v>
      </c>
      <c r="Y2463" t="s">
        <v>11346</v>
      </c>
      <c r="Z2463" t="s">
        <v>13038</v>
      </c>
      <c r="AB2463" t="s">
        <v>17406</v>
      </c>
      <c r="AC2463">
        <v>60</v>
      </c>
      <c r="AD2463" t="s">
        <v>19566</v>
      </c>
      <c r="AE2463" t="s">
        <v>19587</v>
      </c>
      <c r="AF2463">
        <v>46</v>
      </c>
      <c r="AG2463">
        <v>1</v>
      </c>
      <c r="AH2463">
        <v>0</v>
      </c>
      <c r="AI2463">
        <v>83.03</v>
      </c>
      <c r="AL2463" t="s">
        <v>19615</v>
      </c>
      <c r="AM2463">
        <v>10080</v>
      </c>
      <c r="AS2463">
        <v>0.3</v>
      </c>
      <c r="AT2463" t="s">
        <v>416</v>
      </c>
      <c r="AU2463" t="s">
        <v>20647</v>
      </c>
    </row>
    <row r="2464" spans="1:48">
      <c r="A2464" s="1">
        <f>HYPERLINK("https://lsnyc.legalserver.org/matter/dynamic-profile/view/1868690","18-1868690")</f>
        <v>0</v>
      </c>
      <c r="B2464" t="s">
        <v>101</v>
      </c>
      <c r="C2464" t="s">
        <v>257</v>
      </c>
      <c r="D2464" t="s">
        <v>678</v>
      </c>
      <c r="E2464" t="s">
        <v>415</v>
      </c>
      <c r="F2464" t="s">
        <v>1258</v>
      </c>
      <c r="G2464" t="s">
        <v>4454</v>
      </c>
      <c r="H2464" t="s">
        <v>6262</v>
      </c>
      <c r="I2464" t="s">
        <v>8270</v>
      </c>
      <c r="J2464" t="s">
        <v>9065</v>
      </c>
      <c r="K2464">
        <v>10452</v>
      </c>
      <c r="L2464" t="s">
        <v>9094</v>
      </c>
      <c r="M2464" t="s">
        <v>9094</v>
      </c>
      <c r="O2464" t="s">
        <v>9121</v>
      </c>
      <c r="P2464" t="s">
        <v>11166</v>
      </c>
      <c r="Q2464" t="s">
        <v>11178</v>
      </c>
      <c r="R2464" t="s">
        <v>11180</v>
      </c>
      <c r="S2464" t="s">
        <v>9094</v>
      </c>
      <c r="T2464" t="s">
        <v>11183</v>
      </c>
      <c r="V2464" t="s">
        <v>675</v>
      </c>
      <c r="W2464">
        <v>687.1</v>
      </c>
      <c r="X2464" t="s">
        <v>11333</v>
      </c>
      <c r="Y2464" t="s">
        <v>11347</v>
      </c>
      <c r="Z2464" t="s">
        <v>13038</v>
      </c>
      <c r="AB2464" t="s">
        <v>17406</v>
      </c>
      <c r="AC2464">
        <v>60</v>
      </c>
      <c r="AD2464" t="s">
        <v>19566</v>
      </c>
      <c r="AE2464" t="s">
        <v>19587</v>
      </c>
      <c r="AF2464">
        <v>46</v>
      </c>
      <c r="AG2464">
        <v>1</v>
      </c>
      <c r="AH2464">
        <v>0</v>
      </c>
      <c r="AI2464">
        <v>83.03</v>
      </c>
      <c r="AL2464" t="s">
        <v>19615</v>
      </c>
      <c r="AM2464">
        <v>10080</v>
      </c>
      <c r="AS2464">
        <v>0.4</v>
      </c>
      <c r="AT2464" t="s">
        <v>415</v>
      </c>
      <c r="AU2464" t="s">
        <v>20647</v>
      </c>
    </row>
    <row r="2465" spans="1:48">
      <c r="A2465" s="1">
        <f>HYPERLINK("https://lsnyc.legalserver.org/matter/dynamic-profile/view/1878954","18-1878954")</f>
        <v>0</v>
      </c>
      <c r="B2465" t="s">
        <v>139</v>
      </c>
      <c r="C2465" t="s">
        <v>256</v>
      </c>
      <c r="D2465" t="s">
        <v>725</v>
      </c>
      <c r="F2465" t="s">
        <v>1806</v>
      </c>
      <c r="G2465" t="s">
        <v>3977</v>
      </c>
      <c r="H2465" t="s">
        <v>6958</v>
      </c>
      <c r="I2465" t="s">
        <v>8613</v>
      </c>
      <c r="J2465" t="s">
        <v>9067</v>
      </c>
      <c r="K2465">
        <v>10040</v>
      </c>
      <c r="L2465" t="s">
        <v>9094</v>
      </c>
      <c r="M2465" t="s">
        <v>9094</v>
      </c>
      <c r="O2465" t="s">
        <v>11134</v>
      </c>
      <c r="P2465" t="s">
        <v>11168</v>
      </c>
      <c r="R2465" t="s">
        <v>11180</v>
      </c>
      <c r="S2465" t="s">
        <v>9094</v>
      </c>
      <c r="T2465" t="s">
        <v>11183</v>
      </c>
      <c r="V2465" t="s">
        <v>725</v>
      </c>
      <c r="W2465">
        <v>1065</v>
      </c>
      <c r="X2465" t="s">
        <v>11335</v>
      </c>
      <c r="Y2465" t="s">
        <v>11339</v>
      </c>
      <c r="Z2465" t="s">
        <v>13039</v>
      </c>
      <c r="AB2465" t="s">
        <v>17407</v>
      </c>
      <c r="AC2465">
        <v>88</v>
      </c>
      <c r="AD2465" t="s">
        <v>19566</v>
      </c>
      <c r="AE2465" t="s">
        <v>19587</v>
      </c>
      <c r="AF2465">
        <v>22</v>
      </c>
      <c r="AG2465">
        <v>1</v>
      </c>
      <c r="AH2465">
        <v>0</v>
      </c>
      <c r="AI2465">
        <v>83.03</v>
      </c>
      <c r="AL2465" t="s">
        <v>19615</v>
      </c>
      <c r="AM2465">
        <v>10080</v>
      </c>
      <c r="AS2465">
        <v>0</v>
      </c>
      <c r="AU2465" t="s">
        <v>130</v>
      </c>
      <c r="AV2465" t="s">
        <v>20733</v>
      </c>
    </row>
    <row r="2466" spans="1:48">
      <c r="A2466" s="1">
        <f>HYPERLINK("https://lsnyc.legalserver.org/matter/dynamic-profile/view/0826279","17-0826279")</f>
        <v>0</v>
      </c>
      <c r="B2466" t="s">
        <v>139</v>
      </c>
      <c r="C2466" t="s">
        <v>256</v>
      </c>
      <c r="D2466" t="s">
        <v>876</v>
      </c>
      <c r="F2466" t="s">
        <v>1906</v>
      </c>
      <c r="G2466" t="s">
        <v>3499</v>
      </c>
      <c r="H2466" t="s">
        <v>6363</v>
      </c>
      <c r="I2466" t="s">
        <v>8614</v>
      </c>
      <c r="J2466" t="s">
        <v>9067</v>
      </c>
      <c r="K2466">
        <v>10040</v>
      </c>
      <c r="L2466" t="s">
        <v>9094</v>
      </c>
      <c r="M2466" t="s">
        <v>9095</v>
      </c>
      <c r="N2466" t="s">
        <v>9887</v>
      </c>
      <c r="O2466" t="s">
        <v>11130</v>
      </c>
      <c r="P2466" t="s">
        <v>11165</v>
      </c>
      <c r="R2466" t="s">
        <v>11180</v>
      </c>
      <c r="S2466" t="s">
        <v>9094</v>
      </c>
      <c r="T2466" t="s">
        <v>11183</v>
      </c>
      <c r="V2466" t="s">
        <v>866</v>
      </c>
      <c r="W2466">
        <v>865.75</v>
      </c>
      <c r="X2466" t="s">
        <v>11335</v>
      </c>
      <c r="Y2466" t="s">
        <v>11339</v>
      </c>
      <c r="Z2466" t="s">
        <v>13040</v>
      </c>
      <c r="AB2466" t="s">
        <v>17408</v>
      </c>
      <c r="AC2466">
        <v>83</v>
      </c>
      <c r="AD2466" t="s">
        <v>19566</v>
      </c>
      <c r="AE2466" t="s">
        <v>9144</v>
      </c>
      <c r="AF2466">
        <v>25</v>
      </c>
      <c r="AG2466">
        <v>1</v>
      </c>
      <c r="AH2466">
        <v>0</v>
      </c>
      <c r="AI2466">
        <v>83.03</v>
      </c>
      <c r="AJ2466" t="s">
        <v>463</v>
      </c>
      <c r="AL2466" t="s">
        <v>19615</v>
      </c>
      <c r="AM2466">
        <v>9864</v>
      </c>
      <c r="AS2466">
        <v>0</v>
      </c>
      <c r="AT2466" t="s">
        <v>537</v>
      </c>
      <c r="AU2466" t="s">
        <v>20657</v>
      </c>
    </row>
    <row r="2467" spans="1:48">
      <c r="A2467" s="1">
        <f>HYPERLINK("https://lsnyc.legalserver.org/matter/dynamic-profile/view/1888054","19-1888054")</f>
        <v>0</v>
      </c>
      <c r="B2467" t="s">
        <v>141</v>
      </c>
      <c r="C2467" t="s">
        <v>257</v>
      </c>
      <c r="D2467" t="s">
        <v>756</v>
      </c>
      <c r="E2467" t="s">
        <v>426</v>
      </c>
      <c r="F2467" t="s">
        <v>1147</v>
      </c>
      <c r="G2467" t="s">
        <v>4455</v>
      </c>
      <c r="H2467" t="s">
        <v>5942</v>
      </c>
      <c r="I2467" t="s">
        <v>8302</v>
      </c>
      <c r="J2467" t="s">
        <v>9067</v>
      </c>
      <c r="K2467">
        <v>10034</v>
      </c>
      <c r="L2467" t="s">
        <v>9094</v>
      </c>
      <c r="M2467" t="s">
        <v>9094</v>
      </c>
      <c r="O2467" t="s">
        <v>11136</v>
      </c>
      <c r="P2467" t="s">
        <v>11164</v>
      </c>
      <c r="Q2467" t="s">
        <v>11172</v>
      </c>
      <c r="R2467" t="s">
        <v>11180</v>
      </c>
      <c r="S2467" t="s">
        <v>9096</v>
      </c>
      <c r="T2467" t="s">
        <v>11183</v>
      </c>
      <c r="V2467" t="s">
        <v>756</v>
      </c>
      <c r="W2467">
        <v>800</v>
      </c>
      <c r="X2467" t="s">
        <v>11335</v>
      </c>
      <c r="Y2467" t="s">
        <v>11338</v>
      </c>
      <c r="Z2467" t="s">
        <v>13041</v>
      </c>
      <c r="AC2467">
        <v>60</v>
      </c>
      <c r="AD2467" t="s">
        <v>19566</v>
      </c>
      <c r="AE2467" t="s">
        <v>19587</v>
      </c>
      <c r="AF2467">
        <v>35</v>
      </c>
      <c r="AG2467">
        <v>1</v>
      </c>
      <c r="AH2467">
        <v>0</v>
      </c>
      <c r="AI2467">
        <v>83.03</v>
      </c>
      <c r="AL2467" t="s">
        <v>19614</v>
      </c>
      <c r="AM2467">
        <v>10080</v>
      </c>
      <c r="AS2467">
        <v>0.1</v>
      </c>
      <c r="AT2467" t="s">
        <v>756</v>
      </c>
      <c r="AU2467" t="s">
        <v>130</v>
      </c>
      <c r="AV2467" t="s">
        <v>20733</v>
      </c>
    </row>
    <row r="2468" spans="1:48">
      <c r="A2468" s="1">
        <f>HYPERLINK("https://lsnyc.legalserver.org/matter/dynamic-profile/view/1895077","19-1895077")</f>
        <v>0</v>
      </c>
      <c r="B2468" t="s">
        <v>64</v>
      </c>
      <c r="C2468" t="s">
        <v>257</v>
      </c>
      <c r="D2468" t="s">
        <v>269</v>
      </c>
      <c r="E2468" t="s">
        <v>1130</v>
      </c>
      <c r="F2468" t="s">
        <v>2225</v>
      </c>
      <c r="G2468" t="s">
        <v>1299</v>
      </c>
      <c r="H2468" t="s">
        <v>5825</v>
      </c>
      <c r="I2468">
        <v>426</v>
      </c>
      <c r="J2468" t="s">
        <v>9059</v>
      </c>
      <c r="K2468">
        <v>11208</v>
      </c>
      <c r="L2468" t="s">
        <v>9094</v>
      </c>
      <c r="M2468" t="s">
        <v>9095</v>
      </c>
      <c r="N2468" t="s">
        <v>10074</v>
      </c>
      <c r="O2468" t="s">
        <v>11129</v>
      </c>
      <c r="P2468" t="s">
        <v>11165</v>
      </c>
      <c r="Q2468" t="s">
        <v>11174</v>
      </c>
      <c r="R2468" t="s">
        <v>11180</v>
      </c>
      <c r="S2468" t="s">
        <v>9096</v>
      </c>
      <c r="T2468" t="s">
        <v>11183</v>
      </c>
      <c r="U2468" t="s">
        <v>11201</v>
      </c>
      <c r="V2468" t="s">
        <v>394</v>
      </c>
      <c r="W2468">
        <v>208</v>
      </c>
      <c r="X2468" t="s">
        <v>11332</v>
      </c>
      <c r="Y2468" t="s">
        <v>11352</v>
      </c>
      <c r="Z2468" t="s">
        <v>13042</v>
      </c>
      <c r="AB2468" t="s">
        <v>17409</v>
      </c>
      <c r="AC2468">
        <v>40</v>
      </c>
      <c r="AD2468" t="s">
        <v>19567</v>
      </c>
      <c r="AE2468" t="s">
        <v>19580</v>
      </c>
      <c r="AF2468">
        <v>11</v>
      </c>
      <c r="AG2468">
        <v>1</v>
      </c>
      <c r="AH2468">
        <v>0</v>
      </c>
      <c r="AI2468">
        <v>83.2</v>
      </c>
      <c r="AL2468" t="s">
        <v>19614</v>
      </c>
      <c r="AM2468">
        <v>10392</v>
      </c>
      <c r="AS2468">
        <v>20.9</v>
      </c>
      <c r="AT2468" t="s">
        <v>496</v>
      </c>
      <c r="AU2468" t="s">
        <v>20640</v>
      </c>
      <c r="AV2468" t="s">
        <v>20733</v>
      </c>
    </row>
    <row r="2469" spans="1:48">
      <c r="A2469" s="1">
        <f>HYPERLINK("https://lsnyc.legalserver.org/matter/dynamic-profile/view/1907812","19-1907812")</f>
        <v>0</v>
      </c>
      <c r="B2469" t="s">
        <v>69</v>
      </c>
      <c r="C2469" t="s">
        <v>257</v>
      </c>
      <c r="D2469" t="s">
        <v>779</v>
      </c>
      <c r="E2469" t="s">
        <v>833</v>
      </c>
      <c r="F2469" t="s">
        <v>2225</v>
      </c>
      <c r="G2469" t="s">
        <v>1299</v>
      </c>
      <c r="H2469" t="s">
        <v>5825</v>
      </c>
      <c r="I2469">
        <v>426</v>
      </c>
      <c r="J2469" t="s">
        <v>9059</v>
      </c>
      <c r="K2469">
        <v>11208</v>
      </c>
      <c r="L2469" t="s">
        <v>9094</v>
      </c>
      <c r="M2469" t="s">
        <v>9095</v>
      </c>
      <c r="N2469" t="s">
        <v>10075</v>
      </c>
      <c r="O2469" t="s">
        <v>11129</v>
      </c>
      <c r="P2469" t="s">
        <v>11166</v>
      </c>
      <c r="Q2469" t="s">
        <v>11173</v>
      </c>
      <c r="R2469" t="s">
        <v>11180</v>
      </c>
      <c r="S2469" t="s">
        <v>9096</v>
      </c>
      <c r="T2469" t="s">
        <v>11184</v>
      </c>
      <c r="U2469" t="s">
        <v>11202</v>
      </c>
      <c r="V2469" t="s">
        <v>396</v>
      </c>
      <c r="W2469">
        <v>208</v>
      </c>
      <c r="X2469" t="s">
        <v>11332</v>
      </c>
      <c r="Y2469" t="s">
        <v>11352</v>
      </c>
      <c r="Z2469" t="s">
        <v>13042</v>
      </c>
      <c r="AA2469" t="s">
        <v>9171</v>
      </c>
      <c r="AB2469" t="s">
        <v>17409</v>
      </c>
      <c r="AC2469">
        <v>40</v>
      </c>
      <c r="AD2469" t="s">
        <v>19567</v>
      </c>
      <c r="AE2469" t="s">
        <v>19580</v>
      </c>
      <c r="AF2469">
        <v>11</v>
      </c>
      <c r="AG2469">
        <v>1</v>
      </c>
      <c r="AH2469">
        <v>0</v>
      </c>
      <c r="AI2469">
        <v>83.2</v>
      </c>
      <c r="AL2469" t="s">
        <v>19614</v>
      </c>
      <c r="AM2469">
        <v>10392</v>
      </c>
      <c r="AN2469" t="s">
        <v>19874</v>
      </c>
      <c r="AS2469">
        <v>13.5</v>
      </c>
      <c r="AT2469" t="s">
        <v>833</v>
      </c>
      <c r="AU2469" t="s">
        <v>95</v>
      </c>
      <c r="AV2469" t="s">
        <v>20733</v>
      </c>
    </row>
    <row r="2470" spans="1:48">
      <c r="A2470" s="1">
        <f>HYPERLINK("https://lsnyc.legalserver.org/matter/dynamic-profile/view/1900553","19-1900553")</f>
        <v>0</v>
      </c>
      <c r="B2470" t="s">
        <v>113</v>
      </c>
      <c r="C2470" t="s">
        <v>256</v>
      </c>
      <c r="D2470" t="s">
        <v>283</v>
      </c>
      <c r="F2470" t="s">
        <v>1457</v>
      </c>
      <c r="G2470" t="s">
        <v>3825</v>
      </c>
      <c r="H2470" t="s">
        <v>5864</v>
      </c>
      <c r="I2470" t="s">
        <v>8265</v>
      </c>
      <c r="J2470" t="s">
        <v>9065</v>
      </c>
      <c r="K2470">
        <v>10460</v>
      </c>
      <c r="L2470" t="s">
        <v>9094</v>
      </c>
      <c r="M2470" t="s">
        <v>9095</v>
      </c>
      <c r="N2470" t="s">
        <v>9171</v>
      </c>
      <c r="O2470" t="s">
        <v>9121</v>
      </c>
      <c r="P2470" t="s">
        <v>11166</v>
      </c>
      <c r="R2470" t="s">
        <v>11180</v>
      </c>
      <c r="S2470" t="s">
        <v>9094</v>
      </c>
      <c r="T2470" t="s">
        <v>11183</v>
      </c>
      <c r="V2470" t="s">
        <v>11218</v>
      </c>
      <c r="W2470">
        <v>466</v>
      </c>
      <c r="X2470" t="s">
        <v>11333</v>
      </c>
      <c r="Y2470" t="s">
        <v>11340</v>
      </c>
      <c r="Z2470" t="s">
        <v>13043</v>
      </c>
      <c r="AC2470">
        <v>168</v>
      </c>
      <c r="AD2470" t="s">
        <v>19576</v>
      </c>
      <c r="AE2470" t="s">
        <v>19580</v>
      </c>
      <c r="AF2470">
        <v>4</v>
      </c>
      <c r="AG2470">
        <v>1</v>
      </c>
      <c r="AH2470">
        <v>0</v>
      </c>
      <c r="AI2470">
        <v>83.2</v>
      </c>
      <c r="AL2470" t="s">
        <v>19614</v>
      </c>
      <c r="AM2470">
        <v>10392</v>
      </c>
      <c r="AS2470">
        <v>0</v>
      </c>
      <c r="AU2470" t="s">
        <v>20642</v>
      </c>
      <c r="AV2470" t="s">
        <v>20733</v>
      </c>
    </row>
    <row r="2471" spans="1:48">
      <c r="A2471" s="1">
        <f>HYPERLINK("https://lsnyc.legalserver.org/matter/dynamic-profile/view/1882276","18-1882276")</f>
        <v>0</v>
      </c>
      <c r="B2471" t="s">
        <v>83</v>
      </c>
      <c r="C2471" t="s">
        <v>256</v>
      </c>
      <c r="D2471" t="s">
        <v>691</v>
      </c>
      <c r="F2471" t="s">
        <v>1450</v>
      </c>
      <c r="G2471" t="s">
        <v>3370</v>
      </c>
      <c r="H2471" t="s">
        <v>6552</v>
      </c>
      <c r="I2471" t="s">
        <v>8218</v>
      </c>
      <c r="J2471" t="s">
        <v>9059</v>
      </c>
      <c r="K2471">
        <v>11220</v>
      </c>
      <c r="L2471" t="s">
        <v>9094</v>
      </c>
      <c r="M2471" t="s">
        <v>9094</v>
      </c>
      <c r="O2471" t="s">
        <v>11134</v>
      </c>
      <c r="P2471" t="s">
        <v>11168</v>
      </c>
      <c r="R2471" t="s">
        <v>11180</v>
      </c>
      <c r="S2471" t="s">
        <v>9094</v>
      </c>
      <c r="T2471" t="s">
        <v>11183</v>
      </c>
      <c r="V2471" t="s">
        <v>353</v>
      </c>
      <c r="W2471">
        <v>0</v>
      </c>
      <c r="X2471" t="s">
        <v>11332</v>
      </c>
      <c r="Z2471" t="s">
        <v>13044</v>
      </c>
      <c r="AB2471" t="s">
        <v>17410</v>
      </c>
      <c r="AC2471">
        <v>28</v>
      </c>
      <c r="AF2471">
        <v>0</v>
      </c>
      <c r="AG2471">
        <v>1</v>
      </c>
      <c r="AH2471">
        <v>0</v>
      </c>
      <c r="AI2471">
        <v>83.23</v>
      </c>
      <c r="AL2471" t="s">
        <v>19615</v>
      </c>
      <c r="AM2471">
        <v>10104</v>
      </c>
      <c r="AS2471">
        <v>3</v>
      </c>
      <c r="AT2471" t="s">
        <v>963</v>
      </c>
      <c r="AU2471" t="s">
        <v>168</v>
      </c>
    </row>
    <row r="2472" spans="1:48">
      <c r="A2472" s="1">
        <f>HYPERLINK("https://lsnyc.legalserver.org/matter/dynamic-profile/view/1882883","18-1882883")</f>
        <v>0</v>
      </c>
      <c r="B2472" t="s">
        <v>84</v>
      </c>
      <c r="C2472" t="s">
        <v>256</v>
      </c>
      <c r="D2472" t="s">
        <v>490</v>
      </c>
      <c r="F2472" t="s">
        <v>2226</v>
      </c>
      <c r="G2472" t="s">
        <v>3472</v>
      </c>
      <c r="H2472" t="s">
        <v>6959</v>
      </c>
      <c r="I2472">
        <v>224</v>
      </c>
      <c r="J2472" t="s">
        <v>9059</v>
      </c>
      <c r="K2472">
        <v>11217</v>
      </c>
      <c r="L2472" t="s">
        <v>9094</v>
      </c>
      <c r="M2472" t="s">
        <v>9094</v>
      </c>
      <c r="N2472" t="s">
        <v>10076</v>
      </c>
      <c r="O2472" t="s">
        <v>11128</v>
      </c>
      <c r="P2472" t="s">
        <v>11165</v>
      </c>
      <c r="R2472" t="s">
        <v>11180</v>
      </c>
      <c r="S2472" t="s">
        <v>9096</v>
      </c>
      <c r="T2472" t="s">
        <v>11183</v>
      </c>
      <c r="V2472" t="s">
        <v>11236</v>
      </c>
      <c r="W2472">
        <v>0</v>
      </c>
      <c r="X2472" t="s">
        <v>11332</v>
      </c>
      <c r="Z2472" t="s">
        <v>13045</v>
      </c>
      <c r="AB2472" t="s">
        <v>17411</v>
      </c>
      <c r="AC2472">
        <v>0</v>
      </c>
      <c r="AF2472">
        <v>0</v>
      </c>
      <c r="AG2472">
        <v>1</v>
      </c>
      <c r="AH2472">
        <v>0</v>
      </c>
      <c r="AI2472">
        <v>83.23</v>
      </c>
      <c r="AL2472" t="s">
        <v>19614</v>
      </c>
      <c r="AM2472">
        <v>10104</v>
      </c>
      <c r="AS2472">
        <v>114.55</v>
      </c>
      <c r="AT2472" t="s">
        <v>481</v>
      </c>
      <c r="AU2472" t="s">
        <v>67</v>
      </c>
    </row>
    <row r="2473" spans="1:48">
      <c r="A2473" s="1">
        <f>HYPERLINK("https://lsnyc.legalserver.org/matter/dynamic-profile/view/1910678","19-1910678")</f>
        <v>0</v>
      </c>
      <c r="B2473" t="s">
        <v>71</v>
      </c>
      <c r="C2473" t="s">
        <v>257</v>
      </c>
      <c r="D2473" t="s">
        <v>259</v>
      </c>
      <c r="E2473" t="s">
        <v>483</v>
      </c>
      <c r="F2473" t="s">
        <v>1576</v>
      </c>
      <c r="G2473" t="s">
        <v>4456</v>
      </c>
      <c r="H2473" t="s">
        <v>6960</v>
      </c>
      <c r="J2473" t="s">
        <v>9059</v>
      </c>
      <c r="K2473">
        <v>11207</v>
      </c>
      <c r="L2473" t="s">
        <v>9094</v>
      </c>
      <c r="M2473" t="s">
        <v>9095</v>
      </c>
      <c r="N2473" t="s">
        <v>9121</v>
      </c>
      <c r="O2473" t="s">
        <v>11133</v>
      </c>
      <c r="P2473" t="s">
        <v>11164</v>
      </c>
      <c r="Q2473" t="s">
        <v>11172</v>
      </c>
      <c r="R2473" t="s">
        <v>11180</v>
      </c>
      <c r="S2473" t="s">
        <v>9096</v>
      </c>
      <c r="T2473" t="s">
        <v>11183</v>
      </c>
      <c r="V2473" t="s">
        <v>259</v>
      </c>
      <c r="W2473">
        <v>680</v>
      </c>
      <c r="X2473" t="s">
        <v>11332</v>
      </c>
      <c r="Y2473" t="s">
        <v>11340</v>
      </c>
      <c r="Z2473" t="s">
        <v>13046</v>
      </c>
      <c r="AA2473" t="s">
        <v>15703</v>
      </c>
      <c r="AB2473" t="s">
        <v>17412</v>
      </c>
      <c r="AC2473">
        <v>3</v>
      </c>
      <c r="AD2473" t="s">
        <v>15441</v>
      </c>
      <c r="AE2473" t="s">
        <v>19587</v>
      </c>
      <c r="AF2473">
        <v>34</v>
      </c>
      <c r="AG2473">
        <v>1</v>
      </c>
      <c r="AH2473">
        <v>0</v>
      </c>
      <c r="AI2473">
        <v>83.23</v>
      </c>
      <c r="AL2473" t="s">
        <v>19615</v>
      </c>
      <c r="AM2473">
        <v>10396</v>
      </c>
      <c r="AS2473">
        <v>0.9</v>
      </c>
      <c r="AT2473" t="s">
        <v>362</v>
      </c>
      <c r="AU2473" t="s">
        <v>95</v>
      </c>
      <c r="AV2473" t="s">
        <v>20733</v>
      </c>
    </row>
    <row r="2474" spans="1:48">
      <c r="A2474" s="1">
        <f>HYPERLINK("https://lsnyc.legalserver.org/matter/dynamic-profile/view/1887387","19-1887387")</f>
        <v>0</v>
      </c>
      <c r="B2474" t="s">
        <v>103</v>
      </c>
      <c r="C2474" t="s">
        <v>256</v>
      </c>
      <c r="D2474" t="s">
        <v>402</v>
      </c>
      <c r="F2474" t="s">
        <v>2227</v>
      </c>
      <c r="G2474" t="s">
        <v>4457</v>
      </c>
      <c r="H2474" t="s">
        <v>5886</v>
      </c>
      <c r="I2474">
        <v>16</v>
      </c>
      <c r="J2474" t="s">
        <v>9065</v>
      </c>
      <c r="K2474">
        <v>10453</v>
      </c>
      <c r="L2474" t="s">
        <v>9094</v>
      </c>
      <c r="M2474" t="s">
        <v>9094</v>
      </c>
      <c r="N2474" t="s">
        <v>9238</v>
      </c>
      <c r="O2474" t="s">
        <v>11134</v>
      </c>
      <c r="P2474" t="s">
        <v>11168</v>
      </c>
      <c r="R2474" t="s">
        <v>11180</v>
      </c>
      <c r="S2474" t="s">
        <v>9094</v>
      </c>
      <c r="T2474" t="s">
        <v>11183</v>
      </c>
      <c r="V2474" t="s">
        <v>512</v>
      </c>
      <c r="W2474">
        <v>856.08</v>
      </c>
      <c r="X2474" t="s">
        <v>11333</v>
      </c>
      <c r="Y2474" t="s">
        <v>11339</v>
      </c>
      <c r="Z2474" t="s">
        <v>13047</v>
      </c>
      <c r="AB2474" t="s">
        <v>17413</v>
      </c>
      <c r="AC2474">
        <v>43</v>
      </c>
      <c r="AD2474" t="s">
        <v>19566</v>
      </c>
      <c r="AE2474" t="s">
        <v>19588</v>
      </c>
      <c r="AF2474">
        <v>38</v>
      </c>
      <c r="AG2474">
        <v>1</v>
      </c>
      <c r="AH2474">
        <v>0</v>
      </c>
      <c r="AI2474">
        <v>83.23</v>
      </c>
      <c r="AL2474" t="s">
        <v>19614</v>
      </c>
      <c r="AM2474">
        <v>10104</v>
      </c>
      <c r="AS2474">
        <v>0</v>
      </c>
      <c r="AU2474" t="s">
        <v>20647</v>
      </c>
    </row>
    <row r="2475" spans="1:48">
      <c r="A2475" s="1">
        <f>HYPERLINK("https://lsnyc.legalserver.org/matter/dynamic-profile/view/1863014","18-1863014")</f>
        <v>0</v>
      </c>
      <c r="B2475" t="s">
        <v>140</v>
      </c>
      <c r="C2475" t="s">
        <v>256</v>
      </c>
      <c r="D2475" t="s">
        <v>873</v>
      </c>
      <c r="F2475" t="s">
        <v>1882</v>
      </c>
      <c r="G2475" t="s">
        <v>4458</v>
      </c>
      <c r="H2475" t="s">
        <v>5942</v>
      </c>
      <c r="I2475" t="s">
        <v>8225</v>
      </c>
      <c r="J2475" t="s">
        <v>9067</v>
      </c>
      <c r="K2475">
        <v>10034</v>
      </c>
      <c r="L2475" t="s">
        <v>9094</v>
      </c>
      <c r="M2475" t="s">
        <v>9095</v>
      </c>
      <c r="N2475" t="s">
        <v>10077</v>
      </c>
      <c r="O2475" t="s">
        <v>11130</v>
      </c>
      <c r="P2475" t="s">
        <v>11165</v>
      </c>
      <c r="R2475" t="s">
        <v>11180</v>
      </c>
      <c r="S2475" t="s">
        <v>9094</v>
      </c>
      <c r="T2475" t="s">
        <v>11183</v>
      </c>
      <c r="V2475" t="s">
        <v>873</v>
      </c>
      <c r="W2475">
        <v>170</v>
      </c>
      <c r="X2475" t="s">
        <v>11335</v>
      </c>
      <c r="Y2475" t="s">
        <v>11338</v>
      </c>
      <c r="Z2475" t="s">
        <v>13048</v>
      </c>
      <c r="AB2475" t="s">
        <v>17414</v>
      </c>
      <c r="AC2475">
        <v>60</v>
      </c>
      <c r="AD2475" t="s">
        <v>19566</v>
      </c>
      <c r="AE2475" t="s">
        <v>19580</v>
      </c>
      <c r="AF2475">
        <v>17</v>
      </c>
      <c r="AG2475">
        <v>1</v>
      </c>
      <c r="AH2475">
        <v>0</v>
      </c>
      <c r="AI2475">
        <v>83.23</v>
      </c>
      <c r="AL2475" t="s">
        <v>19615</v>
      </c>
      <c r="AM2475">
        <v>10104</v>
      </c>
      <c r="AS2475">
        <v>0.01</v>
      </c>
      <c r="AT2475" t="s">
        <v>279</v>
      </c>
      <c r="AU2475" t="s">
        <v>130</v>
      </c>
    </row>
    <row r="2476" spans="1:48">
      <c r="A2476" s="1">
        <f>HYPERLINK("https://lsnyc.legalserver.org/matter/dynamic-profile/view/1902322","19-1902322")</f>
        <v>0</v>
      </c>
      <c r="B2476" t="s">
        <v>69</v>
      </c>
      <c r="C2476" t="s">
        <v>257</v>
      </c>
      <c r="D2476" t="s">
        <v>268</v>
      </c>
      <c r="E2476" t="s">
        <v>312</v>
      </c>
      <c r="F2476" t="s">
        <v>1273</v>
      </c>
      <c r="G2476" t="s">
        <v>4459</v>
      </c>
      <c r="H2476" t="s">
        <v>6961</v>
      </c>
      <c r="I2476" t="s">
        <v>8615</v>
      </c>
      <c r="J2476" t="s">
        <v>9059</v>
      </c>
      <c r="K2476">
        <v>11239</v>
      </c>
      <c r="L2476" t="s">
        <v>9096</v>
      </c>
      <c r="M2476" t="s">
        <v>9095</v>
      </c>
      <c r="N2476" t="s">
        <v>9144</v>
      </c>
      <c r="O2476" t="s">
        <v>9121</v>
      </c>
      <c r="P2476" t="s">
        <v>11164</v>
      </c>
      <c r="Q2476" t="s">
        <v>11172</v>
      </c>
      <c r="R2476" t="s">
        <v>11180</v>
      </c>
      <c r="S2476" t="s">
        <v>9096</v>
      </c>
      <c r="T2476" t="s">
        <v>11183</v>
      </c>
      <c r="U2476" t="s">
        <v>11201</v>
      </c>
      <c r="V2476" t="s">
        <v>327</v>
      </c>
      <c r="W2476">
        <v>1618</v>
      </c>
      <c r="X2476" t="s">
        <v>11332</v>
      </c>
      <c r="Y2476" t="s">
        <v>11341</v>
      </c>
      <c r="Z2476" t="s">
        <v>13049</v>
      </c>
      <c r="AA2476" t="s">
        <v>9144</v>
      </c>
      <c r="AB2476" t="s">
        <v>17415</v>
      </c>
      <c r="AC2476">
        <v>1164</v>
      </c>
      <c r="AD2476" t="s">
        <v>19567</v>
      </c>
      <c r="AE2476" t="s">
        <v>19580</v>
      </c>
      <c r="AF2476">
        <v>4</v>
      </c>
      <c r="AG2476">
        <v>1</v>
      </c>
      <c r="AH2476">
        <v>0</v>
      </c>
      <c r="AI2476">
        <v>83.27</v>
      </c>
      <c r="AL2476" t="s">
        <v>19614</v>
      </c>
      <c r="AM2476">
        <v>10400</v>
      </c>
      <c r="AS2476">
        <v>3.25</v>
      </c>
      <c r="AT2476" t="s">
        <v>312</v>
      </c>
      <c r="AU2476" t="s">
        <v>20660</v>
      </c>
      <c r="AV2476" t="s">
        <v>9144</v>
      </c>
    </row>
    <row r="2477" spans="1:48">
      <c r="A2477" s="1">
        <f>HYPERLINK("https://lsnyc.legalserver.org/matter/dynamic-profile/view/1892457","19-1892457")</f>
        <v>0</v>
      </c>
      <c r="B2477" t="s">
        <v>83</v>
      </c>
      <c r="C2477" t="s">
        <v>256</v>
      </c>
      <c r="D2477" t="s">
        <v>635</v>
      </c>
      <c r="F2477" t="s">
        <v>1527</v>
      </c>
      <c r="G2477" t="s">
        <v>1553</v>
      </c>
      <c r="H2477" t="s">
        <v>6257</v>
      </c>
      <c r="I2477" t="s">
        <v>8132</v>
      </c>
      <c r="J2477" t="s">
        <v>9059</v>
      </c>
      <c r="K2477">
        <v>11225</v>
      </c>
      <c r="L2477" t="s">
        <v>9094</v>
      </c>
      <c r="M2477" t="s">
        <v>9094</v>
      </c>
      <c r="N2477" t="s">
        <v>9304</v>
      </c>
      <c r="O2477" t="s">
        <v>11132</v>
      </c>
      <c r="P2477" t="s">
        <v>11165</v>
      </c>
      <c r="R2477" t="s">
        <v>11180</v>
      </c>
      <c r="T2477" t="s">
        <v>11183</v>
      </c>
      <c r="V2477" t="s">
        <v>700</v>
      </c>
      <c r="W2477">
        <v>0</v>
      </c>
      <c r="X2477" t="s">
        <v>11332</v>
      </c>
      <c r="Z2477" t="s">
        <v>13050</v>
      </c>
      <c r="AB2477" t="s">
        <v>17416</v>
      </c>
      <c r="AC2477">
        <v>0</v>
      </c>
      <c r="AF2477">
        <v>0</v>
      </c>
      <c r="AG2477">
        <v>1</v>
      </c>
      <c r="AH2477">
        <v>0</v>
      </c>
      <c r="AI2477">
        <v>83.27</v>
      </c>
      <c r="AL2477" t="s">
        <v>19614</v>
      </c>
      <c r="AM2477">
        <v>10400</v>
      </c>
      <c r="AS2477">
        <v>0.1</v>
      </c>
      <c r="AT2477" t="s">
        <v>288</v>
      </c>
      <c r="AU2477" t="s">
        <v>215</v>
      </c>
    </row>
    <row r="2478" spans="1:48">
      <c r="A2478" s="1">
        <f>HYPERLINK("https://lsnyc.legalserver.org/matter/dynamic-profile/view/1892729","19-1892729")</f>
        <v>0</v>
      </c>
      <c r="B2478" t="s">
        <v>83</v>
      </c>
      <c r="C2478" t="s">
        <v>256</v>
      </c>
      <c r="D2478" t="s">
        <v>553</v>
      </c>
      <c r="F2478" t="s">
        <v>1527</v>
      </c>
      <c r="G2478" t="s">
        <v>1553</v>
      </c>
      <c r="H2478" t="s">
        <v>6257</v>
      </c>
      <c r="I2478" t="s">
        <v>8132</v>
      </c>
      <c r="J2478" t="s">
        <v>9059</v>
      </c>
      <c r="K2478">
        <v>11225</v>
      </c>
      <c r="L2478" t="s">
        <v>9094</v>
      </c>
      <c r="M2478" t="s">
        <v>9094</v>
      </c>
      <c r="O2478" t="s">
        <v>11134</v>
      </c>
      <c r="P2478" t="s">
        <v>11168</v>
      </c>
      <c r="R2478" t="s">
        <v>11180</v>
      </c>
      <c r="S2478" t="s">
        <v>9094</v>
      </c>
      <c r="T2478" t="s">
        <v>11183</v>
      </c>
      <c r="V2478" t="s">
        <v>577</v>
      </c>
      <c r="W2478">
        <v>1480.9</v>
      </c>
      <c r="X2478" t="s">
        <v>11332</v>
      </c>
      <c r="Z2478" t="s">
        <v>13050</v>
      </c>
      <c r="AB2478" t="s">
        <v>17416</v>
      </c>
      <c r="AC2478">
        <v>0</v>
      </c>
      <c r="AF2478">
        <v>11</v>
      </c>
      <c r="AG2478">
        <v>1</v>
      </c>
      <c r="AH2478">
        <v>0</v>
      </c>
      <c r="AI2478">
        <v>83.27</v>
      </c>
      <c r="AL2478" t="s">
        <v>19614</v>
      </c>
      <c r="AM2478">
        <v>10400</v>
      </c>
      <c r="AN2478" t="s">
        <v>19875</v>
      </c>
      <c r="AS2478">
        <v>0.1</v>
      </c>
      <c r="AT2478" t="s">
        <v>288</v>
      </c>
      <c r="AU2478" t="s">
        <v>215</v>
      </c>
    </row>
    <row r="2479" spans="1:48">
      <c r="A2479" s="1">
        <f>HYPERLINK("https://lsnyc.legalserver.org/matter/dynamic-profile/view/1892480","19-1892480")</f>
        <v>0</v>
      </c>
      <c r="B2479" t="s">
        <v>83</v>
      </c>
      <c r="C2479" t="s">
        <v>256</v>
      </c>
      <c r="D2479" t="s">
        <v>311</v>
      </c>
      <c r="F2479" t="s">
        <v>1527</v>
      </c>
      <c r="G2479" t="s">
        <v>1553</v>
      </c>
      <c r="H2479" t="s">
        <v>6257</v>
      </c>
      <c r="I2479" t="s">
        <v>8132</v>
      </c>
      <c r="J2479" t="s">
        <v>9059</v>
      </c>
      <c r="K2479">
        <v>11225</v>
      </c>
      <c r="L2479" t="s">
        <v>9094</v>
      </c>
      <c r="M2479" t="s">
        <v>9094</v>
      </c>
      <c r="N2479" t="s">
        <v>10078</v>
      </c>
      <c r="O2479" t="s">
        <v>11129</v>
      </c>
      <c r="P2479" t="s">
        <v>11165</v>
      </c>
      <c r="R2479" t="s">
        <v>11180</v>
      </c>
      <c r="S2479" t="s">
        <v>9094</v>
      </c>
      <c r="T2479" t="s">
        <v>11183</v>
      </c>
      <c r="V2479" t="s">
        <v>577</v>
      </c>
      <c r="W2479">
        <v>0</v>
      </c>
      <c r="X2479" t="s">
        <v>11332</v>
      </c>
      <c r="Z2479" t="s">
        <v>13050</v>
      </c>
      <c r="AB2479" t="s">
        <v>17416</v>
      </c>
      <c r="AC2479">
        <v>0</v>
      </c>
      <c r="AF2479">
        <v>0</v>
      </c>
      <c r="AG2479">
        <v>1</v>
      </c>
      <c r="AH2479">
        <v>0</v>
      </c>
      <c r="AI2479">
        <v>83.27</v>
      </c>
      <c r="AL2479" t="s">
        <v>19614</v>
      </c>
      <c r="AM2479">
        <v>10400</v>
      </c>
      <c r="AS2479">
        <v>4.8</v>
      </c>
      <c r="AT2479" t="s">
        <v>648</v>
      </c>
      <c r="AU2479" t="s">
        <v>215</v>
      </c>
    </row>
    <row r="2480" spans="1:48">
      <c r="A2480" s="1">
        <f>HYPERLINK("https://lsnyc.legalserver.org/matter/dynamic-profile/view/1910407","19-1910407")</f>
        <v>0</v>
      </c>
      <c r="B2480" t="s">
        <v>162</v>
      </c>
      <c r="C2480" t="s">
        <v>256</v>
      </c>
      <c r="D2480" t="s">
        <v>341</v>
      </c>
      <c r="F2480" t="s">
        <v>1209</v>
      </c>
      <c r="G2480" t="s">
        <v>3540</v>
      </c>
      <c r="H2480" t="s">
        <v>6962</v>
      </c>
      <c r="I2480" t="s">
        <v>8446</v>
      </c>
      <c r="J2480" t="s">
        <v>9065</v>
      </c>
      <c r="K2480">
        <v>10452</v>
      </c>
      <c r="L2480" t="s">
        <v>9095</v>
      </c>
      <c r="M2480" t="s">
        <v>9095</v>
      </c>
      <c r="N2480" t="s">
        <v>10079</v>
      </c>
      <c r="O2480" t="s">
        <v>11128</v>
      </c>
      <c r="P2480" t="s">
        <v>11165</v>
      </c>
      <c r="R2480" t="s">
        <v>11180</v>
      </c>
      <c r="S2480" t="s">
        <v>9096</v>
      </c>
      <c r="T2480" t="s">
        <v>11183</v>
      </c>
      <c r="U2480" t="s">
        <v>11201</v>
      </c>
      <c r="W2480">
        <v>518</v>
      </c>
      <c r="X2480" t="s">
        <v>11333</v>
      </c>
      <c r="Y2480" t="s">
        <v>11352</v>
      </c>
      <c r="Z2480" t="s">
        <v>13051</v>
      </c>
      <c r="AB2480" t="s">
        <v>17417</v>
      </c>
      <c r="AC2480">
        <v>40</v>
      </c>
      <c r="AD2480" t="s">
        <v>19566</v>
      </c>
      <c r="AF2480">
        <v>25</v>
      </c>
      <c r="AG2480">
        <v>1</v>
      </c>
      <c r="AH2480">
        <v>0</v>
      </c>
      <c r="AI2480">
        <v>83.27</v>
      </c>
      <c r="AL2480" t="s">
        <v>19615</v>
      </c>
      <c r="AM2480">
        <v>10400</v>
      </c>
      <c r="AS2480">
        <v>15.2</v>
      </c>
      <c r="AT2480" t="s">
        <v>1130</v>
      </c>
      <c r="AU2480" t="s">
        <v>20640</v>
      </c>
    </row>
    <row r="2481" spans="1:48">
      <c r="A2481" s="1">
        <f>HYPERLINK("https://lsnyc.legalserver.org/matter/dynamic-profile/view/1909340","19-1909340")</f>
        <v>0</v>
      </c>
      <c r="B2481" t="s">
        <v>140</v>
      </c>
      <c r="C2481" t="s">
        <v>256</v>
      </c>
      <c r="D2481" t="s">
        <v>297</v>
      </c>
      <c r="F2481" t="s">
        <v>2228</v>
      </c>
      <c r="G2481" t="s">
        <v>4460</v>
      </c>
      <c r="H2481" t="s">
        <v>6963</v>
      </c>
      <c r="I2481" t="s">
        <v>8133</v>
      </c>
      <c r="J2481" t="s">
        <v>9067</v>
      </c>
      <c r="K2481">
        <v>10033</v>
      </c>
      <c r="L2481" t="s">
        <v>9094</v>
      </c>
      <c r="M2481" t="s">
        <v>9095</v>
      </c>
      <c r="P2481" t="s">
        <v>11169</v>
      </c>
      <c r="R2481" t="s">
        <v>11180</v>
      </c>
      <c r="S2481" t="s">
        <v>9096</v>
      </c>
      <c r="T2481" t="s">
        <v>11183</v>
      </c>
      <c r="V2481" t="s">
        <v>297</v>
      </c>
      <c r="W2481">
        <v>1235</v>
      </c>
      <c r="X2481" t="s">
        <v>11335</v>
      </c>
      <c r="Y2481" t="s">
        <v>11338</v>
      </c>
      <c r="Z2481" t="s">
        <v>13052</v>
      </c>
      <c r="AB2481" t="s">
        <v>17418</v>
      </c>
      <c r="AC2481">
        <v>0</v>
      </c>
      <c r="AD2481" t="s">
        <v>19566</v>
      </c>
      <c r="AE2481" t="s">
        <v>9144</v>
      </c>
      <c r="AF2481">
        <v>18</v>
      </c>
      <c r="AG2481">
        <v>1</v>
      </c>
      <c r="AH2481">
        <v>0</v>
      </c>
      <c r="AI2481">
        <v>83.27</v>
      </c>
      <c r="AL2481" t="s">
        <v>19615</v>
      </c>
      <c r="AM2481">
        <v>10400</v>
      </c>
      <c r="AS2481">
        <v>25</v>
      </c>
      <c r="AT2481" t="s">
        <v>476</v>
      </c>
      <c r="AU2481" t="s">
        <v>130</v>
      </c>
      <c r="AV2481" t="s">
        <v>20733</v>
      </c>
    </row>
    <row r="2482" spans="1:48">
      <c r="A2482" s="1">
        <f>HYPERLINK("https://lsnyc.legalserver.org/matter/dynamic-profile/view/1905963","19-1905963")</f>
        <v>0</v>
      </c>
      <c r="B2482" t="s">
        <v>108</v>
      </c>
      <c r="C2482" t="s">
        <v>256</v>
      </c>
      <c r="D2482" t="s">
        <v>329</v>
      </c>
      <c r="F2482" t="s">
        <v>1914</v>
      </c>
      <c r="G2482" t="s">
        <v>3588</v>
      </c>
      <c r="H2482" t="s">
        <v>6964</v>
      </c>
      <c r="I2482" t="s">
        <v>8179</v>
      </c>
      <c r="J2482" t="s">
        <v>9065</v>
      </c>
      <c r="K2482">
        <v>10460</v>
      </c>
      <c r="L2482" t="s">
        <v>9095</v>
      </c>
      <c r="M2482" t="s">
        <v>9095</v>
      </c>
      <c r="O2482" t="s">
        <v>9121</v>
      </c>
      <c r="P2482" t="s">
        <v>11164</v>
      </c>
      <c r="R2482" t="s">
        <v>11180</v>
      </c>
      <c r="S2482" t="s">
        <v>9096</v>
      </c>
      <c r="T2482" t="s">
        <v>11183</v>
      </c>
      <c r="W2482">
        <v>1300</v>
      </c>
      <c r="X2482" t="s">
        <v>11333</v>
      </c>
      <c r="Y2482" t="s">
        <v>11340</v>
      </c>
      <c r="Z2482" t="s">
        <v>13053</v>
      </c>
      <c r="AB2482" t="s">
        <v>17419</v>
      </c>
      <c r="AC2482">
        <v>136</v>
      </c>
      <c r="AD2482" t="s">
        <v>19571</v>
      </c>
      <c r="AE2482" t="s">
        <v>19582</v>
      </c>
      <c r="AF2482">
        <v>1</v>
      </c>
      <c r="AG2482">
        <v>1</v>
      </c>
      <c r="AH2482">
        <v>0</v>
      </c>
      <c r="AI2482">
        <v>83.3</v>
      </c>
      <c r="AL2482" t="s">
        <v>19614</v>
      </c>
      <c r="AM2482">
        <v>10404</v>
      </c>
      <c r="AS2482">
        <v>0.66</v>
      </c>
      <c r="AT2482" t="s">
        <v>329</v>
      </c>
      <c r="AU2482" t="s">
        <v>20672</v>
      </c>
    </row>
    <row r="2483" spans="1:48">
      <c r="A2483" s="1">
        <f>HYPERLINK("https://lsnyc.legalserver.org/matter/dynamic-profile/view/0826209","17-0826209")</f>
        <v>0</v>
      </c>
      <c r="B2483" t="s">
        <v>108</v>
      </c>
      <c r="C2483" t="s">
        <v>256</v>
      </c>
      <c r="D2483" t="s">
        <v>876</v>
      </c>
      <c r="F2483" t="s">
        <v>1920</v>
      </c>
      <c r="G2483" t="s">
        <v>4461</v>
      </c>
      <c r="H2483" t="s">
        <v>6526</v>
      </c>
      <c r="I2483" t="s">
        <v>8227</v>
      </c>
      <c r="J2483" t="s">
        <v>9065</v>
      </c>
      <c r="K2483">
        <v>10452</v>
      </c>
      <c r="L2483" t="s">
        <v>9094</v>
      </c>
      <c r="M2483" t="s">
        <v>9095</v>
      </c>
      <c r="O2483" t="s">
        <v>11135</v>
      </c>
      <c r="P2483" t="s">
        <v>11168</v>
      </c>
      <c r="R2483" t="s">
        <v>11180</v>
      </c>
      <c r="S2483" t="s">
        <v>9094</v>
      </c>
      <c r="T2483" t="s">
        <v>11183</v>
      </c>
      <c r="V2483" t="s">
        <v>876</v>
      </c>
      <c r="W2483">
        <v>1040</v>
      </c>
      <c r="X2483" t="s">
        <v>11333</v>
      </c>
      <c r="Y2483" t="s">
        <v>11346</v>
      </c>
      <c r="Z2483" t="s">
        <v>13054</v>
      </c>
      <c r="AB2483" t="s">
        <v>17420</v>
      </c>
      <c r="AC2483">
        <v>63</v>
      </c>
      <c r="AD2483" t="s">
        <v>19569</v>
      </c>
      <c r="AE2483" t="s">
        <v>9144</v>
      </c>
      <c r="AF2483">
        <v>9</v>
      </c>
      <c r="AG2483">
        <v>3</v>
      </c>
      <c r="AH2483">
        <v>0</v>
      </c>
      <c r="AI2483">
        <v>83.31</v>
      </c>
      <c r="AL2483" t="s">
        <v>19615</v>
      </c>
      <c r="AM2483">
        <v>16796</v>
      </c>
      <c r="AS2483">
        <v>0.1</v>
      </c>
      <c r="AT2483" t="s">
        <v>1122</v>
      </c>
      <c r="AU2483" t="s">
        <v>20643</v>
      </c>
    </row>
    <row r="2484" spans="1:48">
      <c r="A2484" s="1">
        <f>HYPERLINK("https://lsnyc.legalserver.org/matter/dynamic-profile/view/1906836","19-1906836")</f>
        <v>0</v>
      </c>
      <c r="B2484" t="s">
        <v>79</v>
      </c>
      <c r="C2484" t="s">
        <v>257</v>
      </c>
      <c r="D2484" t="s">
        <v>676</v>
      </c>
      <c r="E2484" t="s">
        <v>370</v>
      </c>
      <c r="F2484" t="s">
        <v>2027</v>
      </c>
      <c r="G2484" t="s">
        <v>3618</v>
      </c>
      <c r="H2484" t="s">
        <v>6965</v>
      </c>
      <c r="I2484">
        <v>1</v>
      </c>
      <c r="J2484" t="s">
        <v>9059</v>
      </c>
      <c r="K2484">
        <v>11208</v>
      </c>
      <c r="L2484" t="s">
        <v>9096</v>
      </c>
      <c r="M2484" t="s">
        <v>9095</v>
      </c>
      <c r="N2484" t="s">
        <v>9144</v>
      </c>
      <c r="O2484" t="s">
        <v>9121</v>
      </c>
      <c r="P2484" t="s">
        <v>11164</v>
      </c>
      <c r="Q2484" t="s">
        <v>11172</v>
      </c>
      <c r="R2484" t="s">
        <v>11180</v>
      </c>
      <c r="S2484" t="s">
        <v>9096</v>
      </c>
      <c r="T2484" t="s">
        <v>11183</v>
      </c>
      <c r="W2484">
        <v>1400</v>
      </c>
      <c r="X2484" t="s">
        <v>11332</v>
      </c>
      <c r="Y2484" t="s">
        <v>11342</v>
      </c>
      <c r="Z2484" t="s">
        <v>13055</v>
      </c>
      <c r="AC2484">
        <v>2</v>
      </c>
      <c r="AD2484" t="s">
        <v>19565</v>
      </c>
      <c r="AE2484" t="s">
        <v>9144</v>
      </c>
      <c r="AF2484">
        <v>9</v>
      </c>
      <c r="AG2484">
        <v>1</v>
      </c>
      <c r="AH2484">
        <v>1</v>
      </c>
      <c r="AI2484">
        <v>83.34</v>
      </c>
      <c r="AL2484" t="s">
        <v>19614</v>
      </c>
      <c r="AM2484">
        <v>14092</v>
      </c>
      <c r="AN2484" t="s">
        <v>19681</v>
      </c>
      <c r="AS2484">
        <v>0.5</v>
      </c>
      <c r="AT2484" t="s">
        <v>676</v>
      </c>
      <c r="AU2484" t="s">
        <v>20672</v>
      </c>
      <c r="AV2484" t="s">
        <v>9144</v>
      </c>
    </row>
    <row r="2485" spans="1:48">
      <c r="A2485" s="1">
        <f>HYPERLINK("https://lsnyc.legalserver.org/matter/dynamic-profile/view/1886089","18-1886089")</f>
        <v>0</v>
      </c>
      <c r="B2485" t="s">
        <v>70</v>
      </c>
      <c r="C2485" t="s">
        <v>256</v>
      </c>
      <c r="D2485" t="s">
        <v>397</v>
      </c>
      <c r="F2485" t="s">
        <v>1145</v>
      </c>
      <c r="G2485" t="s">
        <v>4406</v>
      </c>
      <c r="H2485" t="s">
        <v>5748</v>
      </c>
      <c r="I2485" t="s">
        <v>8597</v>
      </c>
      <c r="J2485" t="s">
        <v>9059</v>
      </c>
      <c r="K2485">
        <v>11233</v>
      </c>
      <c r="L2485" t="s">
        <v>9094</v>
      </c>
      <c r="M2485" t="s">
        <v>9094</v>
      </c>
      <c r="N2485" t="s">
        <v>9145</v>
      </c>
      <c r="O2485" t="s">
        <v>11134</v>
      </c>
      <c r="P2485" t="s">
        <v>11168</v>
      </c>
      <c r="R2485" t="s">
        <v>11180</v>
      </c>
      <c r="S2485" t="s">
        <v>9094</v>
      </c>
      <c r="T2485" t="s">
        <v>11183</v>
      </c>
      <c r="U2485" t="s">
        <v>11201</v>
      </c>
      <c r="V2485" t="s">
        <v>848</v>
      </c>
      <c r="W2485">
        <v>955.08</v>
      </c>
      <c r="X2485" t="s">
        <v>11332</v>
      </c>
      <c r="Y2485" t="s">
        <v>11347</v>
      </c>
      <c r="Z2485" t="s">
        <v>12950</v>
      </c>
      <c r="AA2485" t="s">
        <v>15679</v>
      </c>
      <c r="AB2485" t="s">
        <v>17314</v>
      </c>
      <c r="AC2485">
        <v>764</v>
      </c>
      <c r="AD2485" t="s">
        <v>19566</v>
      </c>
      <c r="AE2485" t="s">
        <v>9144</v>
      </c>
      <c r="AF2485">
        <v>16</v>
      </c>
      <c r="AG2485">
        <v>2</v>
      </c>
      <c r="AH2485">
        <v>0</v>
      </c>
      <c r="AI2485">
        <v>83.37</v>
      </c>
      <c r="AL2485" t="s">
        <v>19614</v>
      </c>
      <c r="AM2485">
        <v>13722.36</v>
      </c>
      <c r="AN2485" t="s">
        <v>19876</v>
      </c>
      <c r="AS2485">
        <v>648.65</v>
      </c>
      <c r="AT2485" t="s">
        <v>321</v>
      </c>
      <c r="AU2485" t="s">
        <v>95</v>
      </c>
    </row>
    <row r="2486" spans="1:48">
      <c r="A2486" s="1">
        <f>HYPERLINK("https://lsnyc.legalserver.org/matter/dynamic-profile/view/1905950","19-1905950")</f>
        <v>0</v>
      </c>
      <c r="B2486" t="s">
        <v>143</v>
      </c>
      <c r="C2486" t="s">
        <v>257</v>
      </c>
      <c r="D2486" t="s">
        <v>329</v>
      </c>
      <c r="E2486" t="s">
        <v>307</v>
      </c>
      <c r="F2486" t="s">
        <v>2229</v>
      </c>
      <c r="G2486" t="s">
        <v>4462</v>
      </c>
      <c r="H2486" t="s">
        <v>6966</v>
      </c>
      <c r="I2486" t="s">
        <v>8170</v>
      </c>
      <c r="J2486" t="s">
        <v>9067</v>
      </c>
      <c r="K2486">
        <v>10035</v>
      </c>
      <c r="L2486" t="s">
        <v>9094</v>
      </c>
      <c r="M2486" t="s">
        <v>9095</v>
      </c>
      <c r="N2486" t="s">
        <v>10080</v>
      </c>
      <c r="O2486" t="s">
        <v>11129</v>
      </c>
      <c r="P2486" t="s">
        <v>11164</v>
      </c>
      <c r="Q2486" t="s">
        <v>11172</v>
      </c>
      <c r="R2486" t="s">
        <v>11180</v>
      </c>
      <c r="S2486" t="s">
        <v>9096</v>
      </c>
      <c r="T2486" t="s">
        <v>11183</v>
      </c>
      <c r="U2486" t="s">
        <v>11200</v>
      </c>
      <c r="V2486" t="s">
        <v>329</v>
      </c>
      <c r="W2486">
        <v>1587</v>
      </c>
      <c r="X2486" t="s">
        <v>11335</v>
      </c>
      <c r="Y2486" t="s">
        <v>11345</v>
      </c>
      <c r="Z2486" t="s">
        <v>13056</v>
      </c>
      <c r="AA2486" t="s">
        <v>15704</v>
      </c>
      <c r="AB2486" t="s">
        <v>17421</v>
      </c>
      <c r="AC2486">
        <v>24</v>
      </c>
      <c r="AD2486" t="s">
        <v>19567</v>
      </c>
      <c r="AE2486" t="s">
        <v>9144</v>
      </c>
      <c r="AF2486">
        <v>5</v>
      </c>
      <c r="AG2486">
        <v>1</v>
      </c>
      <c r="AH2486">
        <v>0</v>
      </c>
      <c r="AI2486">
        <v>83.39</v>
      </c>
      <c r="AL2486" t="s">
        <v>19614</v>
      </c>
      <c r="AM2486">
        <v>10416</v>
      </c>
      <c r="AS2486">
        <v>0.1</v>
      </c>
      <c r="AT2486" t="s">
        <v>329</v>
      </c>
      <c r="AU2486" t="s">
        <v>20655</v>
      </c>
      <c r="AV2486" t="s">
        <v>20734</v>
      </c>
    </row>
    <row r="2487" spans="1:48">
      <c r="A2487" s="1">
        <f>HYPERLINK("https://lsnyc.legalserver.org/matter/dynamic-profile/view/1863313","18-1863313")</f>
        <v>0</v>
      </c>
      <c r="B2487" t="s">
        <v>86</v>
      </c>
      <c r="C2487" t="s">
        <v>256</v>
      </c>
      <c r="D2487" t="s">
        <v>693</v>
      </c>
      <c r="F2487" t="s">
        <v>2230</v>
      </c>
      <c r="G2487" t="s">
        <v>3383</v>
      </c>
      <c r="H2487" t="s">
        <v>5778</v>
      </c>
      <c r="I2487" t="s">
        <v>8233</v>
      </c>
      <c r="J2487" t="s">
        <v>9059</v>
      </c>
      <c r="K2487">
        <v>11226</v>
      </c>
      <c r="L2487" t="s">
        <v>9094</v>
      </c>
      <c r="M2487" t="s">
        <v>9094</v>
      </c>
      <c r="O2487" t="s">
        <v>11136</v>
      </c>
      <c r="P2487" t="s">
        <v>11165</v>
      </c>
      <c r="R2487" t="s">
        <v>11180</v>
      </c>
      <c r="S2487" t="s">
        <v>9094</v>
      </c>
      <c r="T2487" t="s">
        <v>11183</v>
      </c>
      <c r="V2487" t="s">
        <v>723</v>
      </c>
      <c r="W2487">
        <v>0</v>
      </c>
      <c r="X2487" t="s">
        <v>11332</v>
      </c>
      <c r="Y2487" t="s">
        <v>11340</v>
      </c>
      <c r="Z2487" t="s">
        <v>12752</v>
      </c>
      <c r="AC2487">
        <v>65</v>
      </c>
      <c r="AD2487" t="s">
        <v>15441</v>
      </c>
      <c r="AE2487" t="s">
        <v>19580</v>
      </c>
      <c r="AF2487">
        <v>0</v>
      </c>
      <c r="AG2487">
        <v>2</v>
      </c>
      <c r="AH2487">
        <v>0</v>
      </c>
      <c r="AI2487">
        <v>83.40000000000001</v>
      </c>
      <c r="AL2487" t="s">
        <v>19614</v>
      </c>
      <c r="AM2487">
        <v>13728</v>
      </c>
      <c r="AS2487">
        <v>0.5</v>
      </c>
      <c r="AT2487" t="s">
        <v>693</v>
      </c>
      <c r="AU2487" t="s">
        <v>20630</v>
      </c>
    </row>
    <row r="2488" spans="1:48">
      <c r="A2488" s="1">
        <f>HYPERLINK("https://lsnyc.legalserver.org/matter/dynamic-profile/view/1907707","19-1907707")</f>
        <v>0</v>
      </c>
      <c r="B2488" t="s">
        <v>55</v>
      </c>
      <c r="C2488" t="s">
        <v>256</v>
      </c>
      <c r="D2488" t="s">
        <v>429</v>
      </c>
      <c r="F2488" t="s">
        <v>1146</v>
      </c>
      <c r="G2488" t="s">
        <v>2008</v>
      </c>
      <c r="H2488" t="s">
        <v>6967</v>
      </c>
      <c r="I2488" t="s">
        <v>8124</v>
      </c>
      <c r="J2488" t="s">
        <v>9050</v>
      </c>
      <c r="K2488">
        <v>11377</v>
      </c>
      <c r="L2488" t="s">
        <v>9094</v>
      </c>
      <c r="M2488" t="s">
        <v>9095</v>
      </c>
      <c r="O2488" t="s">
        <v>11134</v>
      </c>
      <c r="P2488" t="s">
        <v>11168</v>
      </c>
      <c r="R2488" t="s">
        <v>11180</v>
      </c>
      <c r="S2488" t="s">
        <v>9094</v>
      </c>
      <c r="T2488" t="s">
        <v>11183</v>
      </c>
      <c r="U2488" t="s">
        <v>11201</v>
      </c>
      <c r="V2488" t="s">
        <v>429</v>
      </c>
      <c r="W2488">
        <v>1102</v>
      </c>
      <c r="X2488" t="s">
        <v>11331</v>
      </c>
      <c r="Y2488" t="s">
        <v>11346</v>
      </c>
      <c r="Z2488" t="s">
        <v>13057</v>
      </c>
      <c r="AB2488" t="s">
        <v>17422</v>
      </c>
      <c r="AC2488">
        <v>234</v>
      </c>
      <c r="AD2488" t="s">
        <v>15441</v>
      </c>
      <c r="AE2488" t="s">
        <v>19580</v>
      </c>
      <c r="AF2488">
        <v>40</v>
      </c>
      <c r="AG2488">
        <v>2</v>
      </c>
      <c r="AH2488">
        <v>0</v>
      </c>
      <c r="AI2488">
        <v>83.52</v>
      </c>
      <c r="AL2488" t="s">
        <v>19615</v>
      </c>
      <c r="AM2488">
        <v>14124</v>
      </c>
      <c r="AP2488" t="s">
        <v>11157</v>
      </c>
      <c r="AS2488">
        <v>0.11</v>
      </c>
      <c r="AT2488" t="s">
        <v>496</v>
      </c>
      <c r="AU2488" t="s">
        <v>20620</v>
      </c>
      <c r="AV2488" t="s">
        <v>20733</v>
      </c>
    </row>
    <row r="2489" spans="1:48">
      <c r="A2489" s="1">
        <f>HYPERLINK("https://lsnyc.legalserver.org/matter/dynamic-profile/view/1850542","17-1850542")</f>
        <v>0</v>
      </c>
      <c r="B2489" t="s">
        <v>138</v>
      </c>
      <c r="C2489" t="s">
        <v>256</v>
      </c>
      <c r="D2489" t="s">
        <v>937</v>
      </c>
      <c r="F2489" t="s">
        <v>2231</v>
      </c>
      <c r="G2489" t="s">
        <v>3756</v>
      </c>
      <c r="H2489" t="s">
        <v>6718</v>
      </c>
      <c r="I2489">
        <v>23</v>
      </c>
      <c r="J2489" t="s">
        <v>9067</v>
      </c>
      <c r="K2489">
        <v>10034</v>
      </c>
      <c r="L2489" t="s">
        <v>9094</v>
      </c>
      <c r="M2489" t="s">
        <v>9095</v>
      </c>
      <c r="O2489" t="s">
        <v>11130</v>
      </c>
      <c r="P2489" t="s">
        <v>11169</v>
      </c>
      <c r="R2489" t="s">
        <v>11180</v>
      </c>
      <c r="S2489" t="s">
        <v>9094</v>
      </c>
      <c r="T2489" t="s">
        <v>11183</v>
      </c>
      <c r="V2489" t="s">
        <v>937</v>
      </c>
      <c r="W2489">
        <v>850</v>
      </c>
      <c r="X2489" t="s">
        <v>11335</v>
      </c>
      <c r="Y2489" t="s">
        <v>11338</v>
      </c>
      <c r="Z2489" t="s">
        <v>13058</v>
      </c>
      <c r="AB2489" t="s">
        <v>17423</v>
      </c>
      <c r="AC2489">
        <v>25</v>
      </c>
      <c r="AD2489" t="s">
        <v>19566</v>
      </c>
      <c r="AE2489" t="s">
        <v>19587</v>
      </c>
      <c r="AF2489">
        <v>35</v>
      </c>
      <c r="AG2489">
        <v>1</v>
      </c>
      <c r="AH2489">
        <v>0</v>
      </c>
      <c r="AI2489">
        <v>83.58</v>
      </c>
      <c r="AL2489" t="s">
        <v>19615</v>
      </c>
      <c r="AM2489">
        <v>10080</v>
      </c>
      <c r="AS2489">
        <v>1.5</v>
      </c>
      <c r="AT2489" t="s">
        <v>609</v>
      </c>
      <c r="AU2489" t="s">
        <v>130</v>
      </c>
    </row>
    <row r="2490" spans="1:48">
      <c r="A2490" s="1">
        <f>HYPERLINK("https://lsnyc.legalserver.org/matter/dynamic-profile/view/1873573","18-1873573")</f>
        <v>0</v>
      </c>
      <c r="B2490" t="s">
        <v>101</v>
      </c>
      <c r="C2490" t="s">
        <v>256</v>
      </c>
      <c r="D2490" t="s">
        <v>870</v>
      </c>
      <c r="F2490" t="s">
        <v>2232</v>
      </c>
      <c r="G2490" t="s">
        <v>4463</v>
      </c>
      <c r="H2490" t="s">
        <v>6063</v>
      </c>
      <c r="I2490" t="s">
        <v>8291</v>
      </c>
      <c r="J2490" t="s">
        <v>9065</v>
      </c>
      <c r="K2490">
        <v>10452</v>
      </c>
      <c r="L2490" t="s">
        <v>9094</v>
      </c>
      <c r="M2490" t="s">
        <v>9094</v>
      </c>
      <c r="N2490" t="s">
        <v>9564</v>
      </c>
      <c r="O2490" t="s">
        <v>11130</v>
      </c>
      <c r="P2490" t="s">
        <v>11165</v>
      </c>
      <c r="R2490" t="s">
        <v>11180</v>
      </c>
      <c r="S2490" t="s">
        <v>9094</v>
      </c>
      <c r="T2490" t="s">
        <v>11183</v>
      </c>
      <c r="V2490" t="s">
        <v>808</v>
      </c>
      <c r="W2490">
        <v>177</v>
      </c>
      <c r="X2490" t="s">
        <v>11333</v>
      </c>
      <c r="Y2490" t="s">
        <v>11346</v>
      </c>
      <c r="Z2490" t="s">
        <v>13059</v>
      </c>
      <c r="AC2490">
        <v>149</v>
      </c>
      <c r="AD2490" t="s">
        <v>19566</v>
      </c>
      <c r="AE2490" t="s">
        <v>19587</v>
      </c>
      <c r="AF2490">
        <v>11</v>
      </c>
      <c r="AG2490">
        <v>1</v>
      </c>
      <c r="AH2490">
        <v>0</v>
      </c>
      <c r="AI2490">
        <v>83.62</v>
      </c>
      <c r="AL2490" t="s">
        <v>19614</v>
      </c>
      <c r="AM2490">
        <v>10152</v>
      </c>
      <c r="AS2490">
        <v>33.4</v>
      </c>
      <c r="AT2490" t="s">
        <v>422</v>
      </c>
      <c r="AU2490" t="s">
        <v>20647</v>
      </c>
    </row>
    <row r="2491" spans="1:48">
      <c r="A2491" s="1">
        <f>HYPERLINK("https://lsnyc.legalserver.org/matter/dynamic-profile/view/1876787","18-1876787")</f>
        <v>0</v>
      </c>
      <c r="B2491" t="s">
        <v>101</v>
      </c>
      <c r="C2491" t="s">
        <v>256</v>
      </c>
      <c r="D2491" t="s">
        <v>500</v>
      </c>
      <c r="F2491" t="s">
        <v>2232</v>
      </c>
      <c r="G2491" t="s">
        <v>4463</v>
      </c>
      <c r="H2491" t="s">
        <v>6063</v>
      </c>
      <c r="I2491" t="s">
        <v>8291</v>
      </c>
      <c r="J2491" t="s">
        <v>9065</v>
      </c>
      <c r="K2491">
        <v>10452</v>
      </c>
      <c r="L2491" t="s">
        <v>9094</v>
      </c>
      <c r="M2491" t="s">
        <v>9095</v>
      </c>
      <c r="O2491" t="s">
        <v>9121</v>
      </c>
      <c r="P2491" t="s">
        <v>11166</v>
      </c>
      <c r="R2491" t="s">
        <v>11180</v>
      </c>
      <c r="S2491" t="s">
        <v>9094</v>
      </c>
      <c r="T2491" t="s">
        <v>11183</v>
      </c>
      <c r="V2491" t="s">
        <v>389</v>
      </c>
      <c r="W2491">
        <v>177</v>
      </c>
      <c r="X2491" t="s">
        <v>11333</v>
      </c>
      <c r="Y2491" t="s">
        <v>11346</v>
      </c>
      <c r="Z2491" t="s">
        <v>13059</v>
      </c>
      <c r="AC2491">
        <v>149</v>
      </c>
      <c r="AD2491" t="s">
        <v>19566</v>
      </c>
      <c r="AE2491" t="s">
        <v>19587</v>
      </c>
      <c r="AF2491">
        <v>11</v>
      </c>
      <c r="AG2491">
        <v>1</v>
      </c>
      <c r="AH2491">
        <v>0</v>
      </c>
      <c r="AI2491">
        <v>83.62</v>
      </c>
      <c r="AL2491" t="s">
        <v>19614</v>
      </c>
      <c r="AM2491">
        <v>10152</v>
      </c>
      <c r="AS2491">
        <v>0</v>
      </c>
      <c r="AU2491" t="s">
        <v>20647</v>
      </c>
    </row>
    <row r="2492" spans="1:48">
      <c r="A2492" s="1">
        <f>HYPERLINK("https://lsnyc.legalserver.org/matter/dynamic-profile/view/1905120","19-1905120")</f>
        <v>0</v>
      </c>
      <c r="B2492" t="s">
        <v>103</v>
      </c>
      <c r="C2492" t="s">
        <v>256</v>
      </c>
      <c r="D2492" t="s">
        <v>367</v>
      </c>
      <c r="F2492" t="s">
        <v>2233</v>
      </c>
      <c r="G2492" t="s">
        <v>3354</v>
      </c>
      <c r="H2492" t="s">
        <v>5884</v>
      </c>
      <c r="J2492" t="s">
        <v>9065</v>
      </c>
      <c r="K2492">
        <v>10455</v>
      </c>
      <c r="L2492" t="s">
        <v>9094</v>
      </c>
      <c r="M2492" t="s">
        <v>9095</v>
      </c>
      <c r="O2492" t="s">
        <v>11134</v>
      </c>
      <c r="P2492" t="s">
        <v>11168</v>
      </c>
      <c r="R2492" t="s">
        <v>11180</v>
      </c>
      <c r="S2492" t="s">
        <v>9094</v>
      </c>
      <c r="T2492" t="s">
        <v>11183</v>
      </c>
      <c r="W2492">
        <v>222.4</v>
      </c>
      <c r="X2492" t="s">
        <v>11333</v>
      </c>
      <c r="Y2492" t="s">
        <v>11340</v>
      </c>
      <c r="Z2492" t="s">
        <v>13060</v>
      </c>
      <c r="AB2492" t="s">
        <v>17424</v>
      </c>
      <c r="AC2492">
        <v>99</v>
      </c>
      <c r="AD2492" t="s">
        <v>19566</v>
      </c>
      <c r="AE2492" t="s">
        <v>9144</v>
      </c>
      <c r="AF2492">
        <v>1</v>
      </c>
      <c r="AG2492">
        <v>1</v>
      </c>
      <c r="AH2492">
        <v>0</v>
      </c>
      <c r="AI2492">
        <v>83.68000000000001</v>
      </c>
      <c r="AL2492" t="s">
        <v>19614</v>
      </c>
      <c r="AM2492">
        <v>10452</v>
      </c>
      <c r="AS2492">
        <v>0</v>
      </c>
      <c r="AU2492" t="s">
        <v>220</v>
      </c>
      <c r="AV2492" t="s">
        <v>20733</v>
      </c>
    </row>
    <row r="2493" spans="1:48">
      <c r="A2493" s="1">
        <f>HYPERLINK("https://lsnyc.legalserver.org/matter/dynamic-profile/view/1899819","19-1899819")</f>
        <v>0</v>
      </c>
      <c r="B2493" t="s">
        <v>103</v>
      </c>
      <c r="C2493" t="s">
        <v>256</v>
      </c>
      <c r="D2493" t="s">
        <v>411</v>
      </c>
      <c r="F2493" t="s">
        <v>2233</v>
      </c>
      <c r="G2493" t="s">
        <v>3354</v>
      </c>
      <c r="H2493" t="s">
        <v>5884</v>
      </c>
      <c r="J2493" t="s">
        <v>9065</v>
      </c>
      <c r="K2493">
        <v>10455</v>
      </c>
      <c r="L2493" t="s">
        <v>9094</v>
      </c>
      <c r="M2493" t="s">
        <v>9095</v>
      </c>
      <c r="O2493" t="s">
        <v>11130</v>
      </c>
      <c r="P2493" t="s">
        <v>11164</v>
      </c>
      <c r="R2493" t="s">
        <v>11180</v>
      </c>
      <c r="S2493" t="s">
        <v>9094</v>
      </c>
      <c r="T2493" t="s">
        <v>11183</v>
      </c>
      <c r="W2493">
        <v>222.4</v>
      </c>
      <c r="X2493" t="s">
        <v>11333</v>
      </c>
      <c r="Y2493" t="s">
        <v>11346</v>
      </c>
      <c r="Z2493" t="s">
        <v>13060</v>
      </c>
      <c r="AB2493" t="s">
        <v>17424</v>
      </c>
      <c r="AC2493">
        <v>99</v>
      </c>
      <c r="AD2493" t="s">
        <v>15441</v>
      </c>
      <c r="AF2493">
        <v>1</v>
      </c>
      <c r="AG2493">
        <v>1</v>
      </c>
      <c r="AH2493">
        <v>0</v>
      </c>
      <c r="AI2493">
        <v>83.68000000000001</v>
      </c>
      <c r="AL2493" t="s">
        <v>19614</v>
      </c>
      <c r="AM2493">
        <v>10452</v>
      </c>
      <c r="AS2493">
        <v>0</v>
      </c>
      <c r="AU2493" t="s">
        <v>220</v>
      </c>
      <c r="AV2493" t="s">
        <v>20733</v>
      </c>
    </row>
    <row r="2494" spans="1:48">
      <c r="A2494" s="1">
        <f>HYPERLINK("https://lsnyc.legalserver.org/matter/dynamic-profile/view/1914861","19-1914861")</f>
        <v>0</v>
      </c>
      <c r="B2494" t="s">
        <v>142</v>
      </c>
      <c r="C2494" t="s">
        <v>256</v>
      </c>
      <c r="D2494" t="s">
        <v>331</v>
      </c>
      <c r="F2494" t="s">
        <v>2028</v>
      </c>
      <c r="G2494" t="s">
        <v>4464</v>
      </c>
      <c r="H2494" t="s">
        <v>6968</v>
      </c>
      <c r="I2494" t="s">
        <v>8308</v>
      </c>
      <c r="J2494" t="s">
        <v>9067</v>
      </c>
      <c r="K2494">
        <v>10035</v>
      </c>
      <c r="L2494" t="s">
        <v>9094</v>
      </c>
      <c r="M2494" t="s">
        <v>9095</v>
      </c>
      <c r="O2494" t="s">
        <v>11130</v>
      </c>
      <c r="P2494" t="s">
        <v>11165</v>
      </c>
      <c r="R2494" t="s">
        <v>11180</v>
      </c>
      <c r="S2494" t="s">
        <v>9094</v>
      </c>
      <c r="T2494" t="s">
        <v>11183</v>
      </c>
      <c r="U2494" t="s">
        <v>11201</v>
      </c>
      <c r="V2494" t="s">
        <v>632</v>
      </c>
      <c r="W2494">
        <v>1483.36</v>
      </c>
      <c r="X2494" t="s">
        <v>11335</v>
      </c>
      <c r="Y2494" t="s">
        <v>11340</v>
      </c>
      <c r="Z2494" t="s">
        <v>13061</v>
      </c>
      <c r="AB2494" t="s">
        <v>17425</v>
      </c>
      <c r="AC2494">
        <v>30</v>
      </c>
      <c r="AD2494" t="s">
        <v>19566</v>
      </c>
      <c r="AE2494" t="s">
        <v>19580</v>
      </c>
      <c r="AF2494">
        <v>16</v>
      </c>
      <c r="AG2494">
        <v>1</v>
      </c>
      <c r="AH2494">
        <v>0</v>
      </c>
      <c r="AI2494">
        <v>83.68000000000001</v>
      </c>
      <c r="AL2494" t="s">
        <v>19614</v>
      </c>
      <c r="AM2494">
        <v>10452</v>
      </c>
      <c r="AS2494">
        <v>0</v>
      </c>
      <c r="AU2494" t="s">
        <v>20657</v>
      </c>
      <c r="AV2494" t="s">
        <v>20733</v>
      </c>
    </row>
    <row r="2495" spans="1:48">
      <c r="A2495" s="1">
        <f>HYPERLINK("https://lsnyc.legalserver.org/matter/dynamic-profile/view/1889049","19-1889049")</f>
        <v>0</v>
      </c>
      <c r="B2495" t="s">
        <v>142</v>
      </c>
      <c r="C2495" t="s">
        <v>256</v>
      </c>
      <c r="D2495" t="s">
        <v>503</v>
      </c>
      <c r="F2495" t="s">
        <v>2028</v>
      </c>
      <c r="G2495" t="s">
        <v>4464</v>
      </c>
      <c r="H2495" t="s">
        <v>6968</v>
      </c>
      <c r="I2495" t="s">
        <v>8308</v>
      </c>
      <c r="J2495" t="s">
        <v>9067</v>
      </c>
      <c r="K2495">
        <v>10035</v>
      </c>
      <c r="L2495" t="s">
        <v>9094</v>
      </c>
      <c r="M2495" t="s">
        <v>9094</v>
      </c>
      <c r="O2495" t="s">
        <v>9121</v>
      </c>
      <c r="P2495" t="s">
        <v>11164</v>
      </c>
      <c r="R2495" t="s">
        <v>11180</v>
      </c>
      <c r="S2495" t="s">
        <v>9096</v>
      </c>
      <c r="T2495" t="s">
        <v>11183</v>
      </c>
      <c r="U2495" t="s">
        <v>11201</v>
      </c>
      <c r="V2495" t="s">
        <v>510</v>
      </c>
      <c r="W2495">
        <v>1483.36</v>
      </c>
      <c r="X2495" t="s">
        <v>11335</v>
      </c>
      <c r="Y2495" t="s">
        <v>11339</v>
      </c>
      <c r="Z2495" t="s">
        <v>13061</v>
      </c>
      <c r="AB2495" t="s">
        <v>17425</v>
      </c>
      <c r="AC2495">
        <v>30</v>
      </c>
      <c r="AD2495" t="s">
        <v>19566</v>
      </c>
      <c r="AE2495" t="s">
        <v>19580</v>
      </c>
      <c r="AF2495">
        <v>16</v>
      </c>
      <c r="AG2495">
        <v>1</v>
      </c>
      <c r="AH2495">
        <v>0</v>
      </c>
      <c r="AI2495">
        <v>83.68000000000001</v>
      </c>
      <c r="AL2495" t="s">
        <v>19614</v>
      </c>
      <c r="AM2495">
        <v>10452</v>
      </c>
      <c r="AN2495" t="s">
        <v>19877</v>
      </c>
      <c r="AS2495">
        <v>20</v>
      </c>
      <c r="AT2495" t="s">
        <v>476</v>
      </c>
      <c r="AU2495" t="s">
        <v>20657</v>
      </c>
    </row>
    <row r="2496" spans="1:48">
      <c r="A2496" s="1">
        <f>HYPERLINK("https://lsnyc.legalserver.org/matter/dynamic-profile/view/1861088","18-1861088")</f>
        <v>0</v>
      </c>
      <c r="B2496" t="s">
        <v>113</v>
      </c>
      <c r="C2496" t="s">
        <v>256</v>
      </c>
      <c r="D2496" t="s">
        <v>485</v>
      </c>
      <c r="F2496" t="s">
        <v>1146</v>
      </c>
      <c r="G2496" t="s">
        <v>3499</v>
      </c>
      <c r="H2496" t="s">
        <v>6969</v>
      </c>
      <c r="J2496" t="s">
        <v>9065</v>
      </c>
      <c r="K2496">
        <v>10452</v>
      </c>
      <c r="L2496" t="s">
        <v>9094</v>
      </c>
      <c r="M2496" t="s">
        <v>9095</v>
      </c>
      <c r="N2496" t="s">
        <v>10081</v>
      </c>
      <c r="O2496" t="s">
        <v>11129</v>
      </c>
      <c r="P2496" t="s">
        <v>11164</v>
      </c>
      <c r="R2496" t="s">
        <v>11180</v>
      </c>
      <c r="S2496" t="s">
        <v>9096</v>
      </c>
      <c r="T2496" t="s">
        <v>11183</v>
      </c>
      <c r="V2496" t="s">
        <v>485</v>
      </c>
      <c r="W2496">
        <v>0</v>
      </c>
      <c r="X2496" t="s">
        <v>11333</v>
      </c>
      <c r="Z2496" t="s">
        <v>13062</v>
      </c>
      <c r="AC2496">
        <v>8</v>
      </c>
      <c r="AE2496" t="s">
        <v>9144</v>
      </c>
      <c r="AF2496">
        <v>0</v>
      </c>
      <c r="AG2496">
        <v>2</v>
      </c>
      <c r="AH2496">
        <v>0</v>
      </c>
      <c r="AI2496">
        <v>83.69</v>
      </c>
      <c r="AL2496" t="s">
        <v>19614</v>
      </c>
      <c r="AM2496">
        <v>13776</v>
      </c>
      <c r="AS2496">
        <v>0</v>
      </c>
      <c r="AU2496" t="s">
        <v>113</v>
      </c>
    </row>
    <row r="2497" spans="1:48">
      <c r="A2497" s="1">
        <f>HYPERLINK("https://lsnyc.legalserver.org/matter/dynamic-profile/view/1904277","19-1904277")</f>
        <v>0</v>
      </c>
      <c r="B2497" t="s">
        <v>119</v>
      </c>
      <c r="C2497" t="s">
        <v>257</v>
      </c>
      <c r="D2497" t="s">
        <v>265</v>
      </c>
      <c r="E2497" t="s">
        <v>664</v>
      </c>
      <c r="F2497" t="s">
        <v>2234</v>
      </c>
      <c r="G2497" t="s">
        <v>3863</v>
      </c>
      <c r="H2497" t="s">
        <v>6970</v>
      </c>
      <c r="I2497" t="s">
        <v>8214</v>
      </c>
      <c r="J2497" t="s">
        <v>9065</v>
      </c>
      <c r="K2497">
        <v>10460</v>
      </c>
      <c r="L2497" t="s">
        <v>9094</v>
      </c>
      <c r="M2497" t="s">
        <v>9095</v>
      </c>
      <c r="N2497" t="s">
        <v>10082</v>
      </c>
      <c r="O2497" t="s">
        <v>11129</v>
      </c>
      <c r="P2497" t="s">
        <v>11167</v>
      </c>
      <c r="Q2497" t="s">
        <v>11173</v>
      </c>
      <c r="R2497" t="s">
        <v>11180</v>
      </c>
      <c r="S2497" t="s">
        <v>9096</v>
      </c>
      <c r="T2497" t="s">
        <v>11183</v>
      </c>
      <c r="V2497" t="s">
        <v>736</v>
      </c>
      <c r="W2497">
        <v>1723.03</v>
      </c>
      <c r="X2497" t="s">
        <v>11333</v>
      </c>
      <c r="Y2497" t="s">
        <v>11340</v>
      </c>
      <c r="Z2497" t="s">
        <v>13063</v>
      </c>
      <c r="AB2497" t="s">
        <v>17426</v>
      </c>
      <c r="AC2497">
        <v>200</v>
      </c>
      <c r="AD2497" t="s">
        <v>19575</v>
      </c>
      <c r="AE2497" t="s">
        <v>19580</v>
      </c>
      <c r="AF2497">
        <v>3</v>
      </c>
      <c r="AG2497">
        <v>2</v>
      </c>
      <c r="AH2497">
        <v>0</v>
      </c>
      <c r="AI2497">
        <v>83.73999999999999</v>
      </c>
      <c r="AL2497" t="s">
        <v>19614</v>
      </c>
      <c r="AM2497">
        <v>14160</v>
      </c>
      <c r="AS2497">
        <v>2.3</v>
      </c>
      <c r="AT2497" t="s">
        <v>676</v>
      </c>
      <c r="AU2497" t="s">
        <v>20639</v>
      </c>
      <c r="AV2497" t="s">
        <v>20733</v>
      </c>
    </row>
    <row r="2498" spans="1:48">
      <c r="A2498" s="1">
        <f>HYPERLINK("https://lsnyc.legalserver.org/matter/dynamic-profile/view/1902350","19-1902350")</f>
        <v>0</v>
      </c>
      <c r="B2498" t="s">
        <v>134</v>
      </c>
      <c r="C2498" t="s">
        <v>256</v>
      </c>
      <c r="D2498" t="s">
        <v>268</v>
      </c>
      <c r="F2498" t="s">
        <v>2235</v>
      </c>
      <c r="G2498" t="s">
        <v>3756</v>
      </c>
      <c r="H2498" t="s">
        <v>6302</v>
      </c>
      <c r="I2498" t="s">
        <v>8191</v>
      </c>
      <c r="J2498" t="s">
        <v>9067</v>
      </c>
      <c r="K2498">
        <v>10034</v>
      </c>
      <c r="L2498" t="s">
        <v>9094</v>
      </c>
      <c r="M2498" t="s">
        <v>9095</v>
      </c>
      <c r="O2498" t="s">
        <v>11130</v>
      </c>
      <c r="P2498" t="s">
        <v>11167</v>
      </c>
      <c r="R2498" t="s">
        <v>11180</v>
      </c>
      <c r="S2498" t="s">
        <v>9096</v>
      </c>
      <c r="T2498" t="s">
        <v>11183</v>
      </c>
      <c r="V2498" t="s">
        <v>268</v>
      </c>
      <c r="W2498">
        <v>865.75</v>
      </c>
      <c r="X2498" t="s">
        <v>11335</v>
      </c>
      <c r="Y2498" t="s">
        <v>11338</v>
      </c>
      <c r="Z2498" t="s">
        <v>13064</v>
      </c>
      <c r="AB2498" t="s">
        <v>17427</v>
      </c>
      <c r="AC2498">
        <v>48</v>
      </c>
      <c r="AD2498" t="s">
        <v>19566</v>
      </c>
      <c r="AE2498" t="s">
        <v>9144</v>
      </c>
      <c r="AF2498">
        <v>39</v>
      </c>
      <c r="AG2498">
        <v>2</v>
      </c>
      <c r="AH2498">
        <v>0</v>
      </c>
      <c r="AI2498">
        <v>83.81</v>
      </c>
      <c r="AL2498" t="s">
        <v>19615</v>
      </c>
      <c r="AM2498">
        <v>14172</v>
      </c>
      <c r="AS2498">
        <v>3.4</v>
      </c>
      <c r="AT2498" t="s">
        <v>270</v>
      </c>
      <c r="AU2498" t="s">
        <v>130</v>
      </c>
      <c r="AV2498" t="s">
        <v>20733</v>
      </c>
    </row>
    <row r="2499" spans="1:48">
      <c r="A2499" s="1">
        <f>HYPERLINK("https://lsnyc.legalserver.org/matter/dynamic-profile/view/1881478","18-1881478")</f>
        <v>0</v>
      </c>
      <c r="B2499" t="s">
        <v>101</v>
      </c>
      <c r="C2499" t="s">
        <v>256</v>
      </c>
      <c r="D2499" t="s">
        <v>834</v>
      </c>
      <c r="F2499" t="s">
        <v>2236</v>
      </c>
      <c r="G2499" t="s">
        <v>3644</v>
      </c>
      <c r="H2499" t="s">
        <v>6971</v>
      </c>
      <c r="I2499" t="s">
        <v>8140</v>
      </c>
      <c r="J2499" t="s">
        <v>9065</v>
      </c>
      <c r="K2499">
        <v>10457</v>
      </c>
      <c r="L2499" t="s">
        <v>9094</v>
      </c>
      <c r="M2499" t="s">
        <v>9094</v>
      </c>
      <c r="N2499" t="s">
        <v>10083</v>
      </c>
      <c r="O2499" t="s">
        <v>11136</v>
      </c>
      <c r="P2499" t="s">
        <v>11170</v>
      </c>
      <c r="R2499" t="s">
        <v>11180</v>
      </c>
      <c r="S2499" t="s">
        <v>9094</v>
      </c>
      <c r="T2499" t="s">
        <v>11183</v>
      </c>
      <c r="V2499" t="s">
        <v>738</v>
      </c>
      <c r="W2499">
        <v>0</v>
      </c>
      <c r="X2499" t="s">
        <v>11333</v>
      </c>
      <c r="Y2499" t="s">
        <v>11346</v>
      </c>
      <c r="Z2499" t="s">
        <v>13065</v>
      </c>
      <c r="AA2499" t="s">
        <v>15705</v>
      </c>
      <c r="AB2499" t="s">
        <v>17428</v>
      </c>
      <c r="AC2499">
        <v>38</v>
      </c>
      <c r="AD2499" t="s">
        <v>15441</v>
      </c>
      <c r="AF2499">
        <v>1</v>
      </c>
      <c r="AG2499">
        <v>1</v>
      </c>
      <c r="AH2499">
        <v>0</v>
      </c>
      <c r="AI2499">
        <v>83.81999999999999</v>
      </c>
      <c r="AL2499" t="s">
        <v>19615</v>
      </c>
      <c r="AM2499">
        <v>10176</v>
      </c>
      <c r="AS2499">
        <v>0</v>
      </c>
      <c r="AU2499" t="s">
        <v>20647</v>
      </c>
    </row>
    <row r="2500" spans="1:48">
      <c r="A2500" s="1">
        <f>HYPERLINK("https://lsnyc.legalserver.org/matter/dynamic-profile/view/1901238","19-1901238")</f>
        <v>0</v>
      </c>
      <c r="B2500" t="s">
        <v>139</v>
      </c>
      <c r="C2500" t="s">
        <v>256</v>
      </c>
      <c r="D2500" t="s">
        <v>422</v>
      </c>
      <c r="F2500" t="s">
        <v>1723</v>
      </c>
      <c r="G2500" t="s">
        <v>3630</v>
      </c>
      <c r="H2500" t="s">
        <v>6579</v>
      </c>
      <c r="I2500">
        <v>35</v>
      </c>
      <c r="J2500" t="s">
        <v>9067</v>
      </c>
      <c r="K2500">
        <v>10032</v>
      </c>
      <c r="L2500" t="s">
        <v>9094</v>
      </c>
      <c r="M2500" t="s">
        <v>9095</v>
      </c>
      <c r="O2500" t="s">
        <v>11136</v>
      </c>
      <c r="P2500" t="s">
        <v>11165</v>
      </c>
      <c r="R2500" t="s">
        <v>11180</v>
      </c>
      <c r="S2500" t="s">
        <v>9096</v>
      </c>
      <c r="T2500" t="s">
        <v>11183</v>
      </c>
      <c r="V2500" t="s">
        <v>422</v>
      </c>
      <c r="W2500">
        <v>1147.19</v>
      </c>
      <c r="X2500" t="s">
        <v>11335</v>
      </c>
      <c r="Y2500" t="s">
        <v>11338</v>
      </c>
      <c r="Z2500" t="s">
        <v>12464</v>
      </c>
      <c r="AB2500" t="s">
        <v>16867</v>
      </c>
      <c r="AC2500">
        <v>30</v>
      </c>
      <c r="AD2500" t="s">
        <v>19566</v>
      </c>
      <c r="AE2500" t="s">
        <v>19587</v>
      </c>
      <c r="AF2500">
        <v>27</v>
      </c>
      <c r="AG2500">
        <v>3</v>
      </c>
      <c r="AH2500">
        <v>0</v>
      </c>
      <c r="AI2500">
        <v>83.83</v>
      </c>
      <c r="AL2500" t="s">
        <v>19615</v>
      </c>
      <c r="AM2500">
        <v>17880</v>
      </c>
      <c r="AS2500">
        <v>18.98</v>
      </c>
      <c r="AT2500" t="s">
        <v>488</v>
      </c>
      <c r="AU2500" t="s">
        <v>130</v>
      </c>
      <c r="AV2500" t="s">
        <v>20733</v>
      </c>
    </row>
    <row r="2501" spans="1:48">
      <c r="A2501" s="1">
        <f>HYPERLINK("https://lsnyc.legalserver.org/matter/dynamic-profile/view/1841799","17-1841799")</f>
        <v>0</v>
      </c>
      <c r="B2501" t="s">
        <v>56</v>
      </c>
      <c r="C2501" t="s">
        <v>256</v>
      </c>
      <c r="D2501" t="s">
        <v>644</v>
      </c>
      <c r="F2501" t="s">
        <v>2237</v>
      </c>
      <c r="G2501" t="s">
        <v>4465</v>
      </c>
      <c r="H2501" t="s">
        <v>6972</v>
      </c>
      <c r="I2501" t="s">
        <v>8161</v>
      </c>
      <c r="J2501" t="s">
        <v>9048</v>
      </c>
      <c r="K2501">
        <v>11385</v>
      </c>
      <c r="L2501" t="s">
        <v>9095</v>
      </c>
      <c r="M2501" t="s">
        <v>9095</v>
      </c>
      <c r="R2501" t="s">
        <v>11180</v>
      </c>
      <c r="T2501" t="s">
        <v>11183</v>
      </c>
      <c r="W2501">
        <v>0</v>
      </c>
      <c r="X2501" t="s">
        <v>11331</v>
      </c>
      <c r="Z2501" t="s">
        <v>13066</v>
      </c>
      <c r="AB2501" t="s">
        <v>17429</v>
      </c>
      <c r="AC2501">
        <v>6</v>
      </c>
      <c r="AF2501">
        <v>33</v>
      </c>
      <c r="AG2501">
        <v>1</v>
      </c>
      <c r="AH2501">
        <v>0</v>
      </c>
      <c r="AI2501">
        <v>83.88</v>
      </c>
      <c r="AL2501" t="s">
        <v>19614</v>
      </c>
      <c r="AM2501">
        <v>10116</v>
      </c>
      <c r="AS2501">
        <v>2</v>
      </c>
      <c r="AT2501" t="s">
        <v>644</v>
      </c>
      <c r="AU2501" t="s">
        <v>20711</v>
      </c>
    </row>
    <row r="2502" spans="1:48">
      <c r="A2502" s="1">
        <f>HYPERLINK("https://lsnyc.legalserver.org/matter/dynamic-profile/view/8000282","S12E-68000282")</f>
        <v>0</v>
      </c>
      <c r="B2502" t="s">
        <v>224</v>
      </c>
      <c r="C2502" t="s">
        <v>256</v>
      </c>
      <c r="D2502" t="s">
        <v>938</v>
      </c>
      <c r="F2502" t="s">
        <v>2238</v>
      </c>
      <c r="G2502" t="s">
        <v>4466</v>
      </c>
      <c r="H2502" t="s">
        <v>6973</v>
      </c>
      <c r="J2502" t="s">
        <v>9059</v>
      </c>
      <c r="K2502">
        <v>11209</v>
      </c>
      <c r="L2502" t="s">
        <v>9095</v>
      </c>
      <c r="M2502" t="s">
        <v>9095</v>
      </c>
      <c r="O2502" t="s">
        <v>11135</v>
      </c>
      <c r="P2502" t="s">
        <v>11168</v>
      </c>
      <c r="R2502" t="s">
        <v>11180</v>
      </c>
      <c r="T2502" t="s">
        <v>11183</v>
      </c>
      <c r="W2502">
        <v>0</v>
      </c>
      <c r="X2502" t="s">
        <v>11332</v>
      </c>
      <c r="Z2502" t="s">
        <v>13067</v>
      </c>
      <c r="AC2502">
        <v>0</v>
      </c>
      <c r="AF2502">
        <v>0</v>
      </c>
      <c r="AG2502">
        <v>1</v>
      </c>
      <c r="AH2502">
        <v>0</v>
      </c>
      <c r="AI2502">
        <v>83.90000000000001</v>
      </c>
      <c r="AL2502" t="s">
        <v>19614</v>
      </c>
      <c r="AM2502">
        <v>9372</v>
      </c>
      <c r="AS2502">
        <v>239.65</v>
      </c>
      <c r="AT2502" t="s">
        <v>756</v>
      </c>
      <c r="AU2502" t="s">
        <v>20712</v>
      </c>
    </row>
    <row r="2503" spans="1:48">
      <c r="A2503" s="1">
        <f>HYPERLINK("https://lsnyc.legalserver.org/matter/dynamic-profile/view/0733605","13-0733605")</f>
        <v>0</v>
      </c>
      <c r="B2503" t="s">
        <v>75</v>
      </c>
      <c r="C2503" t="s">
        <v>256</v>
      </c>
      <c r="D2503" t="s">
        <v>939</v>
      </c>
      <c r="F2503" t="s">
        <v>2239</v>
      </c>
      <c r="G2503" t="s">
        <v>1538</v>
      </c>
      <c r="H2503" t="s">
        <v>6974</v>
      </c>
      <c r="I2503">
        <v>15</v>
      </c>
      <c r="J2503" t="s">
        <v>9060</v>
      </c>
      <c r="K2503">
        <v>11208</v>
      </c>
      <c r="L2503" t="s">
        <v>9095</v>
      </c>
      <c r="M2503" t="s">
        <v>9095</v>
      </c>
      <c r="N2503" t="s">
        <v>10084</v>
      </c>
      <c r="O2503" t="s">
        <v>11135</v>
      </c>
      <c r="P2503" t="s">
        <v>11166</v>
      </c>
      <c r="R2503" t="s">
        <v>11180</v>
      </c>
      <c r="T2503" t="s">
        <v>11183</v>
      </c>
      <c r="V2503" t="s">
        <v>11268</v>
      </c>
      <c r="W2503">
        <v>500</v>
      </c>
      <c r="X2503" t="s">
        <v>11332</v>
      </c>
      <c r="Y2503" t="s">
        <v>11349</v>
      </c>
      <c r="Z2503" t="s">
        <v>13068</v>
      </c>
      <c r="AA2503" t="s">
        <v>15706</v>
      </c>
      <c r="AB2503" t="s">
        <v>17430</v>
      </c>
      <c r="AC2503">
        <v>0</v>
      </c>
      <c r="AF2503">
        <v>42</v>
      </c>
      <c r="AG2503">
        <v>1</v>
      </c>
      <c r="AH2503">
        <v>0</v>
      </c>
      <c r="AI2503">
        <v>83.97</v>
      </c>
      <c r="AL2503" t="s">
        <v>19614</v>
      </c>
      <c r="AM2503">
        <v>9648</v>
      </c>
      <c r="AS2503">
        <v>38.05</v>
      </c>
      <c r="AT2503" t="s">
        <v>866</v>
      </c>
      <c r="AU2503" t="s">
        <v>20713</v>
      </c>
    </row>
    <row r="2504" spans="1:48">
      <c r="A2504" s="1">
        <f>HYPERLINK("https://lsnyc.legalserver.org/matter/dynamic-profile/view/1885676","18-1885676")</f>
        <v>0</v>
      </c>
      <c r="B2504" t="s">
        <v>113</v>
      </c>
      <c r="C2504" t="s">
        <v>257</v>
      </c>
      <c r="D2504" t="s">
        <v>424</v>
      </c>
      <c r="E2504" t="s">
        <v>301</v>
      </c>
      <c r="F2504" t="s">
        <v>1700</v>
      </c>
      <c r="G2504" t="s">
        <v>3905</v>
      </c>
      <c r="H2504" t="s">
        <v>5864</v>
      </c>
      <c r="I2504" t="s">
        <v>8179</v>
      </c>
      <c r="J2504" t="s">
        <v>9065</v>
      </c>
      <c r="K2504">
        <v>10460</v>
      </c>
      <c r="L2504" t="s">
        <v>9094</v>
      </c>
      <c r="M2504" t="s">
        <v>9094</v>
      </c>
      <c r="N2504" t="s">
        <v>9222</v>
      </c>
      <c r="O2504" t="s">
        <v>11130</v>
      </c>
      <c r="P2504" t="s">
        <v>11165</v>
      </c>
      <c r="Q2504" t="s">
        <v>11174</v>
      </c>
      <c r="R2504" t="s">
        <v>11180</v>
      </c>
      <c r="S2504" t="s">
        <v>9094</v>
      </c>
      <c r="T2504" t="s">
        <v>11183</v>
      </c>
      <c r="V2504" t="s">
        <v>512</v>
      </c>
      <c r="W2504">
        <v>391</v>
      </c>
      <c r="X2504" t="s">
        <v>11333</v>
      </c>
      <c r="Y2504" t="s">
        <v>11346</v>
      </c>
      <c r="Z2504" t="s">
        <v>12973</v>
      </c>
      <c r="AA2504" t="s">
        <v>15707</v>
      </c>
      <c r="AB2504" t="s">
        <v>17336</v>
      </c>
      <c r="AC2504">
        <v>168</v>
      </c>
      <c r="AD2504" t="s">
        <v>19565</v>
      </c>
      <c r="AE2504" t="s">
        <v>19580</v>
      </c>
      <c r="AF2504">
        <v>10</v>
      </c>
      <c r="AG2504">
        <v>2</v>
      </c>
      <c r="AH2504">
        <v>0</v>
      </c>
      <c r="AI2504">
        <v>83.98999999999999</v>
      </c>
      <c r="AL2504" t="s">
        <v>19615</v>
      </c>
      <c r="AM2504">
        <v>13824</v>
      </c>
      <c r="AS2504">
        <v>0.25</v>
      </c>
      <c r="AT2504" t="s">
        <v>301</v>
      </c>
      <c r="AU2504" t="s">
        <v>20642</v>
      </c>
    </row>
    <row r="2505" spans="1:48">
      <c r="A2505" s="1">
        <f>HYPERLINK("https://lsnyc.legalserver.org/matter/dynamic-profile/view/1903921","19-1903921")</f>
        <v>0</v>
      </c>
      <c r="B2505" t="s">
        <v>50</v>
      </c>
      <c r="C2505" t="s">
        <v>256</v>
      </c>
      <c r="D2505" t="s">
        <v>597</v>
      </c>
      <c r="F2505" t="s">
        <v>2240</v>
      </c>
      <c r="G2505" t="s">
        <v>4467</v>
      </c>
      <c r="H2505" t="s">
        <v>6975</v>
      </c>
      <c r="I2505" t="s">
        <v>8107</v>
      </c>
      <c r="J2505" t="s">
        <v>9045</v>
      </c>
      <c r="K2505">
        <v>11416</v>
      </c>
      <c r="L2505" t="s">
        <v>9094</v>
      </c>
      <c r="M2505" t="s">
        <v>9095</v>
      </c>
      <c r="N2505" t="s">
        <v>10085</v>
      </c>
      <c r="O2505" t="s">
        <v>11128</v>
      </c>
      <c r="P2505" t="s">
        <v>11164</v>
      </c>
      <c r="R2505" t="s">
        <v>11180</v>
      </c>
      <c r="S2505" t="s">
        <v>9096</v>
      </c>
      <c r="T2505" t="s">
        <v>11183</v>
      </c>
      <c r="U2505" t="s">
        <v>11201</v>
      </c>
      <c r="V2505" t="s">
        <v>574</v>
      </c>
      <c r="W2505">
        <v>2110</v>
      </c>
      <c r="X2505" t="s">
        <v>11331</v>
      </c>
      <c r="Y2505" t="s">
        <v>11336</v>
      </c>
      <c r="Z2505" t="s">
        <v>13069</v>
      </c>
      <c r="AA2505" t="s">
        <v>15708</v>
      </c>
      <c r="AB2505" t="s">
        <v>17431</v>
      </c>
      <c r="AC2505">
        <v>3</v>
      </c>
      <c r="AD2505" t="s">
        <v>19565</v>
      </c>
      <c r="AE2505" t="s">
        <v>19580</v>
      </c>
      <c r="AF2505">
        <v>2</v>
      </c>
      <c r="AG2505">
        <v>1</v>
      </c>
      <c r="AH2505">
        <v>3</v>
      </c>
      <c r="AI2505">
        <v>84.01000000000001</v>
      </c>
      <c r="AL2505" t="s">
        <v>19614</v>
      </c>
      <c r="AM2505">
        <v>21632</v>
      </c>
      <c r="AS2505">
        <v>1.15</v>
      </c>
      <c r="AT2505" t="s">
        <v>333</v>
      </c>
      <c r="AU2505" t="s">
        <v>50</v>
      </c>
      <c r="AV2505" t="s">
        <v>20733</v>
      </c>
    </row>
    <row r="2506" spans="1:48">
      <c r="A2506" s="1">
        <f>HYPERLINK("https://lsnyc.legalserver.org/matter/dynamic-profile/view/1874229","18-1874229")</f>
        <v>0</v>
      </c>
      <c r="B2506" t="s">
        <v>92</v>
      </c>
      <c r="C2506" t="s">
        <v>257</v>
      </c>
      <c r="D2506" t="s">
        <v>940</v>
      </c>
      <c r="E2506" t="s">
        <v>414</v>
      </c>
      <c r="F2506" t="s">
        <v>1678</v>
      </c>
      <c r="G2506" t="s">
        <v>3364</v>
      </c>
      <c r="H2506" t="s">
        <v>6908</v>
      </c>
      <c r="J2506" t="s">
        <v>9059</v>
      </c>
      <c r="K2506">
        <v>11208</v>
      </c>
      <c r="L2506" t="s">
        <v>9094</v>
      </c>
      <c r="M2506" t="s">
        <v>9095</v>
      </c>
      <c r="N2506" t="s">
        <v>10086</v>
      </c>
      <c r="O2506" t="s">
        <v>11128</v>
      </c>
      <c r="P2506" t="s">
        <v>11166</v>
      </c>
      <c r="Q2506" t="s">
        <v>11174</v>
      </c>
      <c r="R2506" t="s">
        <v>11180</v>
      </c>
      <c r="S2506" t="s">
        <v>9096</v>
      </c>
      <c r="T2506" t="s">
        <v>11183</v>
      </c>
      <c r="V2506" t="s">
        <v>568</v>
      </c>
      <c r="W2506">
        <v>0</v>
      </c>
      <c r="X2506" t="s">
        <v>11332</v>
      </c>
      <c r="Z2506" t="s">
        <v>12967</v>
      </c>
      <c r="AC2506">
        <v>0</v>
      </c>
      <c r="AF2506">
        <v>0</v>
      </c>
      <c r="AG2506">
        <v>1</v>
      </c>
      <c r="AH2506">
        <v>0</v>
      </c>
      <c r="AI2506">
        <v>84.02</v>
      </c>
      <c r="AL2506" t="s">
        <v>19614</v>
      </c>
      <c r="AM2506">
        <v>10200</v>
      </c>
      <c r="AS2506">
        <v>10.2</v>
      </c>
      <c r="AT2506" t="s">
        <v>359</v>
      </c>
      <c r="AU2506" t="s">
        <v>92</v>
      </c>
      <c r="AV2506" t="s">
        <v>20733</v>
      </c>
    </row>
    <row r="2507" spans="1:48">
      <c r="A2507" s="1">
        <f>HYPERLINK("https://lsnyc.legalserver.org/matter/dynamic-profile/view/1888208","19-1888208")</f>
        <v>0</v>
      </c>
      <c r="B2507" t="s">
        <v>113</v>
      </c>
      <c r="C2507" t="s">
        <v>256</v>
      </c>
      <c r="D2507" t="s">
        <v>756</v>
      </c>
      <c r="F2507" t="s">
        <v>1197</v>
      </c>
      <c r="G2507" t="s">
        <v>3429</v>
      </c>
      <c r="H2507" t="s">
        <v>5864</v>
      </c>
      <c r="I2507" t="s">
        <v>8262</v>
      </c>
      <c r="J2507" t="s">
        <v>9065</v>
      </c>
      <c r="K2507">
        <v>10460</v>
      </c>
      <c r="L2507" t="s">
        <v>9094</v>
      </c>
      <c r="M2507" t="s">
        <v>9094</v>
      </c>
      <c r="N2507" t="s">
        <v>9222</v>
      </c>
      <c r="O2507" t="s">
        <v>11130</v>
      </c>
      <c r="P2507" t="s">
        <v>11165</v>
      </c>
      <c r="R2507" t="s">
        <v>11180</v>
      </c>
      <c r="S2507" t="s">
        <v>9094</v>
      </c>
      <c r="T2507" t="s">
        <v>11183</v>
      </c>
      <c r="V2507" t="s">
        <v>512</v>
      </c>
      <c r="W2507">
        <v>1200</v>
      </c>
      <c r="X2507" t="s">
        <v>11333</v>
      </c>
      <c r="Y2507" t="s">
        <v>11346</v>
      </c>
      <c r="Z2507" t="s">
        <v>12969</v>
      </c>
      <c r="AB2507" t="s">
        <v>17332</v>
      </c>
      <c r="AC2507">
        <v>168</v>
      </c>
      <c r="AD2507" t="s">
        <v>19566</v>
      </c>
      <c r="AE2507" t="s">
        <v>19580</v>
      </c>
      <c r="AF2507">
        <v>4</v>
      </c>
      <c r="AG2507">
        <v>1</v>
      </c>
      <c r="AH2507">
        <v>0</v>
      </c>
      <c r="AI2507">
        <v>84.02</v>
      </c>
      <c r="AL2507" t="s">
        <v>19614</v>
      </c>
      <c r="AM2507">
        <v>10200</v>
      </c>
      <c r="AS2507">
        <v>1</v>
      </c>
      <c r="AT2507" t="s">
        <v>331</v>
      </c>
      <c r="AU2507" t="s">
        <v>20647</v>
      </c>
    </row>
    <row r="2508" spans="1:48">
      <c r="A2508" s="1">
        <f>HYPERLINK("https://lsnyc.legalserver.org/matter/dynamic-profile/view/1863700","18-1863700")</f>
        <v>0</v>
      </c>
      <c r="B2508" t="s">
        <v>136</v>
      </c>
      <c r="C2508" t="s">
        <v>256</v>
      </c>
      <c r="D2508" t="s">
        <v>651</v>
      </c>
      <c r="F2508" t="s">
        <v>2241</v>
      </c>
      <c r="G2508" t="s">
        <v>4273</v>
      </c>
      <c r="H2508" t="s">
        <v>5961</v>
      </c>
      <c r="I2508">
        <v>501</v>
      </c>
      <c r="J2508" t="s">
        <v>9067</v>
      </c>
      <c r="K2508">
        <v>10029</v>
      </c>
      <c r="L2508" t="s">
        <v>9094</v>
      </c>
      <c r="M2508" t="s">
        <v>9094</v>
      </c>
      <c r="N2508" t="s">
        <v>9287</v>
      </c>
      <c r="O2508" t="s">
        <v>11130</v>
      </c>
      <c r="P2508" t="s">
        <v>11165</v>
      </c>
      <c r="R2508" t="s">
        <v>11180</v>
      </c>
      <c r="S2508" t="s">
        <v>9094</v>
      </c>
      <c r="T2508" t="s">
        <v>11183</v>
      </c>
      <c r="U2508" t="s">
        <v>11201</v>
      </c>
      <c r="V2508" t="s">
        <v>651</v>
      </c>
      <c r="W2508">
        <v>0</v>
      </c>
      <c r="X2508" t="s">
        <v>11335</v>
      </c>
      <c r="Y2508" t="s">
        <v>11339</v>
      </c>
      <c r="Z2508" t="s">
        <v>13070</v>
      </c>
      <c r="AB2508" t="s">
        <v>17432</v>
      </c>
      <c r="AC2508">
        <v>108</v>
      </c>
      <c r="AD2508" t="s">
        <v>19567</v>
      </c>
      <c r="AE2508" t="s">
        <v>9144</v>
      </c>
      <c r="AF2508">
        <v>30</v>
      </c>
      <c r="AG2508">
        <v>1</v>
      </c>
      <c r="AH2508">
        <v>0</v>
      </c>
      <c r="AI2508">
        <v>84.02</v>
      </c>
      <c r="AL2508" t="s">
        <v>19615</v>
      </c>
      <c r="AM2508">
        <v>10200</v>
      </c>
      <c r="AS2508">
        <v>0.35</v>
      </c>
      <c r="AT2508" t="s">
        <v>293</v>
      </c>
      <c r="AU2508" t="s">
        <v>20657</v>
      </c>
    </row>
    <row r="2509" spans="1:48">
      <c r="A2509" s="1">
        <f>HYPERLINK("https://lsnyc.legalserver.org/matter/dynamic-profile/view/1892320","19-1892320")</f>
        <v>0</v>
      </c>
      <c r="B2509" t="s">
        <v>103</v>
      </c>
      <c r="C2509" t="s">
        <v>256</v>
      </c>
      <c r="D2509" t="s">
        <v>473</v>
      </c>
      <c r="F2509" t="s">
        <v>1333</v>
      </c>
      <c r="G2509" t="s">
        <v>4432</v>
      </c>
      <c r="H2509" t="s">
        <v>6785</v>
      </c>
      <c r="I2509" t="s">
        <v>8616</v>
      </c>
      <c r="J2509" t="s">
        <v>9065</v>
      </c>
      <c r="K2509">
        <v>10453</v>
      </c>
      <c r="L2509" t="s">
        <v>9094</v>
      </c>
      <c r="M2509" t="s">
        <v>9094</v>
      </c>
      <c r="O2509" t="s">
        <v>11134</v>
      </c>
      <c r="P2509" t="s">
        <v>11168</v>
      </c>
      <c r="R2509" t="s">
        <v>11180</v>
      </c>
      <c r="S2509" t="s">
        <v>9094</v>
      </c>
      <c r="T2509" t="s">
        <v>11183</v>
      </c>
      <c r="V2509" t="s">
        <v>512</v>
      </c>
      <c r="W2509">
        <v>1069.19</v>
      </c>
      <c r="X2509" t="s">
        <v>11333</v>
      </c>
      <c r="Y2509" t="s">
        <v>11339</v>
      </c>
      <c r="Z2509" t="s">
        <v>13071</v>
      </c>
      <c r="AB2509" t="s">
        <v>17433</v>
      </c>
      <c r="AC2509">
        <v>170</v>
      </c>
      <c r="AD2509" t="s">
        <v>19566</v>
      </c>
      <c r="AE2509" t="s">
        <v>19580</v>
      </c>
      <c r="AF2509">
        <v>33</v>
      </c>
      <c r="AG2509">
        <v>1</v>
      </c>
      <c r="AH2509">
        <v>0</v>
      </c>
      <c r="AI2509">
        <v>84.06999999999999</v>
      </c>
      <c r="AL2509" t="s">
        <v>19614</v>
      </c>
      <c r="AM2509">
        <v>10500</v>
      </c>
      <c r="AS2509">
        <v>0</v>
      </c>
      <c r="AU2509" t="s">
        <v>220</v>
      </c>
    </row>
    <row r="2510" spans="1:48">
      <c r="A2510" s="1">
        <f>HYPERLINK("https://lsnyc.legalserver.org/matter/dynamic-profile/view/1905686","19-1905686")</f>
        <v>0</v>
      </c>
      <c r="B2510" t="s">
        <v>103</v>
      </c>
      <c r="C2510" t="s">
        <v>256</v>
      </c>
      <c r="D2510" t="s">
        <v>328</v>
      </c>
      <c r="F2510" t="s">
        <v>1333</v>
      </c>
      <c r="G2510" t="s">
        <v>4432</v>
      </c>
      <c r="H2510" t="s">
        <v>6785</v>
      </c>
      <c r="J2510" t="s">
        <v>9065</v>
      </c>
      <c r="K2510">
        <v>10453</v>
      </c>
      <c r="L2510" t="s">
        <v>9094</v>
      </c>
      <c r="M2510" t="s">
        <v>9095</v>
      </c>
      <c r="N2510" t="s">
        <v>9239</v>
      </c>
      <c r="O2510" t="s">
        <v>11134</v>
      </c>
      <c r="P2510" t="s">
        <v>11168</v>
      </c>
      <c r="R2510" t="s">
        <v>11180</v>
      </c>
      <c r="S2510" t="s">
        <v>9094</v>
      </c>
      <c r="T2510" t="s">
        <v>11183</v>
      </c>
      <c r="V2510" t="s">
        <v>817</v>
      </c>
      <c r="W2510">
        <v>1069.18</v>
      </c>
      <c r="X2510" t="s">
        <v>11333</v>
      </c>
      <c r="Y2510" t="s">
        <v>11346</v>
      </c>
      <c r="Z2510" t="s">
        <v>13071</v>
      </c>
      <c r="AB2510" t="s">
        <v>17433</v>
      </c>
      <c r="AC2510">
        <v>170</v>
      </c>
      <c r="AD2510" t="s">
        <v>19566</v>
      </c>
      <c r="AE2510" t="s">
        <v>19580</v>
      </c>
      <c r="AF2510">
        <v>33</v>
      </c>
      <c r="AG2510">
        <v>1</v>
      </c>
      <c r="AH2510">
        <v>0</v>
      </c>
      <c r="AI2510">
        <v>84.06999999999999</v>
      </c>
      <c r="AL2510" t="s">
        <v>19614</v>
      </c>
      <c r="AM2510">
        <v>10500</v>
      </c>
      <c r="AN2510" t="s">
        <v>19878</v>
      </c>
      <c r="AS2510">
        <v>0</v>
      </c>
      <c r="AU2510" t="s">
        <v>163</v>
      </c>
      <c r="AV2510" t="s">
        <v>20733</v>
      </c>
    </row>
    <row r="2511" spans="1:48">
      <c r="A2511" s="1">
        <f>HYPERLINK("https://lsnyc.legalserver.org/matter/dynamic-profile/view/1905692","19-1905692")</f>
        <v>0</v>
      </c>
      <c r="B2511" t="s">
        <v>103</v>
      </c>
      <c r="C2511" t="s">
        <v>256</v>
      </c>
      <c r="D2511" t="s">
        <v>328</v>
      </c>
      <c r="F2511" t="s">
        <v>1333</v>
      </c>
      <c r="G2511" t="s">
        <v>4432</v>
      </c>
      <c r="H2511" t="s">
        <v>6785</v>
      </c>
      <c r="J2511" t="s">
        <v>9065</v>
      </c>
      <c r="K2511">
        <v>10453</v>
      </c>
      <c r="L2511" t="s">
        <v>9094</v>
      </c>
      <c r="M2511" t="s">
        <v>9095</v>
      </c>
      <c r="N2511" t="s">
        <v>9240</v>
      </c>
      <c r="O2511" t="s">
        <v>11134</v>
      </c>
      <c r="P2511" t="s">
        <v>11168</v>
      </c>
      <c r="R2511" t="s">
        <v>11180</v>
      </c>
      <c r="S2511" t="s">
        <v>9094</v>
      </c>
      <c r="T2511" t="s">
        <v>11183</v>
      </c>
      <c r="V2511" t="s">
        <v>988</v>
      </c>
      <c r="W2511">
        <v>1069.18</v>
      </c>
      <c r="X2511" t="s">
        <v>11333</v>
      </c>
      <c r="Y2511" t="s">
        <v>11346</v>
      </c>
      <c r="Z2511" t="s">
        <v>13071</v>
      </c>
      <c r="AB2511" t="s">
        <v>17433</v>
      </c>
      <c r="AC2511">
        <v>170</v>
      </c>
      <c r="AD2511" t="s">
        <v>19566</v>
      </c>
      <c r="AE2511" t="s">
        <v>19580</v>
      </c>
      <c r="AF2511">
        <v>33</v>
      </c>
      <c r="AG2511">
        <v>1</v>
      </c>
      <c r="AH2511">
        <v>0</v>
      </c>
      <c r="AI2511">
        <v>84.06999999999999</v>
      </c>
      <c r="AL2511" t="s">
        <v>19614</v>
      </c>
      <c r="AM2511">
        <v>10500</v>
      </c>
      <c r="AN2511" t="s">
        <v>19878</v>
      </c>
      <c r="AS2511">
        <v>0</v>
      </c>
      <c r="AU2511" t="s">
        <v>163</v>
      </c>
      <c r="AV2511" t="s">
        <v>20733</v>
      </c>
    </row>
    <row r="2512" spans="1:48">
      <c r="A2512" s="1">
        <f>HYPERLINK("https://lsnyc.legalserver.org/matter/dynamic-profile/view/1891900","19-1891900")</f>
        <v>0</v>
      </c>
      <c r="B2512" t="s">
        <v>103</v>
      </c>
      <c r="C2512" t="s">
        <v>256</v>
      </c>
      <c r="D2512" t="s">
        <v>543</v>
      </c>
      <c r="F2512" t="s">
        <v>1333</v>
      </c>
      <c r="G2512" t="s">
        <v>4432</v>
      </c>
      <c r="H2512" t="s">
        <v>6785</v>
      </c>
      <c r="J2512" t="s">
        <v>9065</v>
      </c>
      <c r="K2512">
        <v>10453</v>
      </c>
      <c r="L2512" t="s">
        <v>9094</v>
      </c>
      <c r="M2512" t="s">
        <v>9094</v>
      </c>
      <c r="N2512" t="s">
        <v>9352</v>
      </c>
      <c r="O2512" t="s">
        <v>11130</v>
      </c>
      <c r="P2512" t="s">
        <v>11165</v>
      </c>
      <c r="R2512" t="s">
        <v>11180</v>
      </c>
      <c r="S2512" t="s">
        <v>9094</v>
      </c>
      <c r="T2512" t="s">
        <v>11183</v>
      </c>
      <c r="V2512" t="s">
        <v>512</v>
      </c>
      <c r="W2512">
        <v>1069.18</v>
      </c>
      <c r="X2512" t="s">
        <v>11333</v>
      </c>
      <c r="Y2512" t="s">
        <v>11339</v>
      </c>
      <c r="Z2512" t="s">
        <v>13071</v>
      </c>
      <c r="AB2512" t="s">
        <v>17433</v>
      </c>
      <c r="AC2512">
        <v>170</v>
      </c>
      <c r="AD2512" t="s">
        <v>19566</v>
      </c>
      <c r="AE2512" t="s">
        <v>19580</v>
      </c>
      <c r="AF2512">
        <v>33</v>
      </c>
      <c r="AG2512">
        <v>1</v>
      </c>
      <c r="AH2512">
        <v>0</v>
      </c>
      <c r="AI2512">
        <v>84.06999999999999</v>
      </c>
      <c r="AL2512" t="s">
        <v>19614</v>
      </c>
      <c r="AM2512">
        <v>10500</v>
      </c>
      <c r="AS2512">
        <v>0</v>
      </c>
      <c r="AU2512" t="s">
        <v>220</v>
      </c>
    </row>
    <row r="2513" spans="1:48">
      <c r="A2513" s="1">
        <f>HYPERLINK("https://lsnyc.legalserver.org/matter/dynamic-profile/view/1873011","18-1873011")</f>
        <v>0</v>
      </c>
      <c r="B2513" t="s">
        <v>120</v>
      </c>
      <c r="C2513" t="s">
        <v>257</v>
      </c>
      <c r="D2513" t="s">
        <v>930</v>
      </c>
      <c r="E2513" t="s">
        <v>728</v>
      </c>
      <c r="F2513" t="s">
        <v>1336</v>
      </c>
      <c r="G2513" t="s">
        <v>3751</v>
      </c>
      <c r="H2513" t="s">
        <v>6976</v>
      </c>
      <c r="I2513" t="s">
        <v>8176</v>
      </c>
      <c r="J2513" t="s">
        <v>9065</v>
      </c>
      <c r="K2513">
        <v>10460</v>
      </c>
      <c r="L2513" t="s">
        <v>9094</v>
      </c>
      <c r="M2513" t="s">
        <v>9094</v>
      </c>
      <c r="N2513" t="s">
        <v>10087</v>
      </c>
      <c r="O2513" t="s">
        <v>11129</v>
      </c>
      <c r="P2513" t="s">
        <v>11165</v>
      </c>
      <c r="Q2513" t="s">
        <v>11174</v>
      </c>
      <c r="R2513" t="s">
        <v>11180</v>
      </c>
      <c r="S2513" t="s">
        <v>9096</v>
      </c>
      <c r="T2513" t="s">
        <v>11183</v>
      </c>
      <c r="U2513" t="s">
        <v>11201</v>
      </c>
      <c r="V2513" t="s">
        <v>489</v>
      </c>
      <c r="W2513">
        <v>1379.07</v>
      </c>
      <c r="X2513" t="s">
        <v>11333</v>
      </c>
      <c r="Y2513" t="s">
        <v>11349</v>
      </c>
      <c r="Z2513" t="s">
        <v>13072</v>
      </c>
      <c r="AA2513" t="s">
        <v>15709</v>
      </c>
      <c r="AB2513" t="s">
        <v>17434</v>
      </c>
      <c r="AC2513">
        <v>34</v>
      </c>
      <c r="AD2513" t="s">
        <v>19566</v>
      </c>
      <c r="AE2513" t="s">
        <v>19580</v>
      </c>
      <c r="AF2513">
        <v>10</v>
      </c>
      <c r="AG2513">
        <v>1</v>
      </c>
      <c r="AH2513">
        <v>0</v>
      </c>
      <c r="AI2513">
        <v>84.12</v>
      </c>
      <c r="AL2513" t="s">
        <v>19614</v>
      </c>
      <c r="AM2513">
        <v>10212</v>
      </c>
      <c r="AO2513" t="s">
        <v>20290</v>
      </c>
      <c r="AP2513" t="s">
        <v>20315</v>
      </c>
      <c r="AQ2513" t="s">
        <v>20369</v>
      </c>
      <c r="AR2513" t="s">
        <v>20497</v>
      </c>
      <c r="AS2513">
        <v>51.55</v>
      </c>
      <c r="AT2513" t="s">
        <v>394</v>
      </c>
      <c r="AU2513" t="s">
        <v>20629</v>
      </c>
    </row>
    <row r="2514" spans="1:48">
      <c r="A2514" s="1">
        <f>HYPERLINK("https://lsnyc.legalserver.org/matter/dynamic-profile/view/1874524","18-1874524")</f>
        <v>0</v>
      </c>
      <c r="B2514" t="s">
        <v>120</v>
      </c>
      <c r="C2514" t="s">
        <v>257</v>
      </c>
      <c r="D2514" t="s">
        <v>568</v>
      </c>
      <c r="E2514" t="s">
        <v>728</v>
      </c>
      <c r="F2514" t="s">
        <v>1336</v>
      </c>
      <c r="G2514" t="s">
        <v>3751</v>
      </c>
      <c r="H2514" t="s">
        <v>6976</v>
      </c>
      <c r="I2514" t="s">
        <v>8176</v>
      </c>
      <c r="J2514" t="s">
        <v>9065</v>
      </c>
      <c r="K2514">
        <v>10460</v>
      </c>
      <c r="L2514" t="s">
        <v>9094</v>
      </c>
      <c r="M2514" t="s">
        <v>9094</v>
      </c>
      <c r="O2514" t="s">
        <v>11140</v>
      </c>
      <c r="P2514" t="s">
        <v>11166</v>
      </c>
      <c r="Q2514" t="s">
        <v>11177</v>
      </c>
      <c r="R2514" t="s">
        <v>11180</v>
      </c>
      <c r="S2514" t="s">
        <v>9096</v>
      </c>
      <c r="T2514" t="s">
        <v>11190</v>
      </c>
      <c r="V2514" t="s">
        <v>568</v>
      </c>
      <c r="W2514">
        <v>1379.07</v>
      </c>
      <c r="X2514" t="s">
        <v>11333</v>
      </c>
      <c r="Y2514" t="s">
        <v>11345</v>
      </c>
      <c r="Z2514" t="s">
        <v>13072</v>
      </c>
      <c r="AA2514" t="s">
        <v>15709</v>
      </c>
      <c r="AB2514" t="s">
        <v>17434</v>
      </c>
      <c r="AC2514">
        <v>34</v>
      </c>
      <c r="AD2514" t="s">
        <v>19566</v>
      </c>
      <c r="AE2514" t="s">
        <v>19580</v>
      </c>
      <c r="AF2514">
        <v>10</v>
      </c>
      <c r="AG2514">
        <v>1</v>
      </c>
      <c r="AH2514">
        <v>0</v>
      </c>
      <c r="AI2514">
        <v>84.12</v>
      </c>
      <c r="AL2514" t="s">
        <v>19614</v>
      </c>
      <c r="AM2514">
        <v>10212</v>
      </c>
      <c r="AS2514">
        <v>10.3</v>
      </c>
      <c r="AT2514" t="s">
        <v>554</v>
      </c>
      <c r="AU2514" t="s">
        <v>158</v>
      </c>
    </row>
    <row r="2515" spans="1:48">
      <c r="A2515" s="1">
        <f>HYPERLINK("https://lsnyc.legalserver.org/matter/dynamic-profile/view/1881819","18-1881819")</f>
        <v>0</v>
      </c>
      <c r="B2515" t="s">
        <v>114</v>
      </c>
      <c r="C2515" t="s">
        <v>257</v>
      </c>
      <c r="D2515" t="s">
        <v>477</v>
      </c>
      <c r="E2515" t="s">
        <v>563</v>
      </c>
      <c r="F2515" t="s">
        <v>2242</v>
      </c>
      <c r="G2515" t="s">
        <v>3058</v>
      </c>
      <c r="H2515" t="s">
        <v>5907</v>
      </c>
      <c r="I2515" t="s">
        <v>8617</v>
      </c>
      <c r="J2515" t="s">
        <v>9065</v>
      </c>
      <c r="K2515">
        <v>10451</v>
      </c>
      <c r="L2515" t="s">
        <v>9094</v>
      </c>
      <c r="M2515" t="s">
        <v>9094</v>
      </c>
      <c r="N2515" t="s">
        <v>9259</v>
      </c>
      <c r="O2515" t="s">
        <v>11130</v>
      </c>
      <c r="P2515" t="s">
        <v>11165</v>
      </c>
      <c r="Q2515" t="s">
        <v>11174</v>
      </c>
      <c r="R2515" t="s">
        <v>11180</v>
      </c>
      <c r="S2515" t="s">
        <v>9094</v>
      </c>
      <c r="T2515" t="s">
        <v>11183</v>
      </c>
      <c r="V2515" t="s">
        <v>738</v>
      </c>
      <c r="W2515">
        <v>1000</v>
      </c>
      <c r="X2515" t="s">
        <v>11333</v>
      </c>
      <c r="Y2515" t="s">
        <v>11346</v>
      </c>
      <c r="Z2515" t="s">
        <v>13073</v>
      </c>
      <c r="AB2515" t="s">
        <v>17435</v>
      </c>
      <c r="AC2515">
        <v>100</v>
      </c>
      <c r="AD2515" t="s">
        <v>19566</v>
      </c>
      <c r="AE2515" t="s">
        <v>9144</v>
      </c>
      <c r="AF2515">
        <v>19</v>
      </c>
      <c r="AG2515">
        <v>1</v>
      </c>
      <c r="AH2515">
        <v>0</v>
      </c>
      <c r="AI2515">
        <v>84.12</v>
      </c>
      <c r="AL2515" t="s">
        <v>19615</v>
      </c>
      <c r="AM2515">
        <v>10212</v>
      </c>
      <c r="AS2515">
        <v>3.25</v>
      </c>
      <c r="AT2515" t="s">
        <v>563</v>
      </c>
      <c r="AU2515" t="s">
        <v>163</v>
      </c>
    </row>
    <row r="2516" spans="1:48">
      <c r="A2516" s="1">
        <f>HYPERLINK("https://lsnyc.legalserver.org/matter/dynamic-profile/view/0794965","15-0794965")</f>
        <v>0</v>
      </c>
      <c r="B2516" t="s">
        <v>49</v>
      </c>
      <c r="C2516" t="s">
        <v>256</v>
      </c>
      <c r="D2516" t="s">
        <v>941</v>
      </c>
      <c r="F2516" t="s">
        <v>2243</v>
      </c>
      <c r="G2516" t="s">
        <v>4468</v>
      </c>
      <c r="H2516" t="s">
        <v>5736</v>
      </c>
      <c r="I2516" t="s">
        <v>8250</v>
      </c>
      <c r="J2516" t="s">
        <v>9055</v>
      </c>
      <c r="K2516">
        <v>11354</v>
      </c>
      <c r="L2516" t="s">
        <v>9096</v>
      </c>
      <c r="M2516" t="s">
        <v>9095</v>
      </c>
      <c r="N2516" t="s">
        <v>9717</v>
      </c>
      <c r="O2516" t="s">
        <v>11135</v>
      </c>
      <c r="P2516" t="s">
        <v>11168</v>
      </c>
      <c r="R2516" t="s">
        <v>11180</v>
      </c>
      <c r="T2516" t="s">
        <v>11183</v>
      </c>
      <c r="V2516" t="s">
        <v>303</v>
      </c>
      <c r="W2516">
        <v>880</v>
      </c>
      <c r="X2516" t="s">
        <v>11331</v>
      </c>
      <c r="Y2516" t="s">
        <v>11342</v>
      </c>
      <c r="Z2516" t="s">
        <v>13074</v>
      </c>
      <c r="AB2516" t="s">
        <v>17436</v>
      </c>
      <c r="AC2516">
        <v>175</v>
      </c>
      <c r="AD2516" t="s">
        <v>19566</v>
      </c>
      <c r="AE2516" t="s">
        <v>19587</v>
      </c>
      <c r="AF2516">
        <v>47</v>
      </c>
      <c r="AG2516">
        <v>2</v>
      </c>
      <c r="AH2516">
        <v>0</v>
      </c>
      <c r="AI2516">
        <v>84.14</v>
      </c>
      <c r="AL2516" t="s">
        <v>19614</v>
      </c>
      <c r="AM2516">
        <v>13404</v>
      </c>
      <c r="AS2516">
        <v>0.5</v>
      </c>
      <c r="AT2516" t="s">
        <v>448</v>
      </c>
      <c r="AU2516" t="s">
        <v>20621</v>
      </c>
    </row>
    <row r="2517" spans="1:48">
      <c r="A2517" s="1">
        <f>HYPERLINK("https://lsnyc.legalserver.org/matter/dynamic-profile/view/1867775","18-1867775")</f>
        <v>0</v>
      </c>
      <c r="B2517" t="s">
        <v>145</v>
      </c>
      <c r="C2517" t="s">
        <v>257</v>
      </c>
      <c r="D2517" t="s">
        <v>666</v>
      </c>
      <c r="E2517" t="s">
        <v>362</v>
      </c>
      <c r="F2517" t="s">
        <v>2244</v>
      </c>
      <c r="G2517" t="s">
        <v>4469</v>
      </c>
      <c r="H2517" t="s">
        <v>6977</v>
      </c>
      <c r="I2517">
        <v>3</v>
      </c>
      <c r="J2517" t="s">
        <v>9059</v>
      </c>
      <c r="K2517">
        <v>11212</v>
      </c>
      <c r="L2517" t="s">
        <v>9094</v>
      </c>
      <c r="M2517" t="s">
        <v>9094</v>
      </c>
      <c r="O2517" t="s">
        <v>9121</v>
      </c>
      <c r="P2517" t="s">
        <v>11164</v>
      </c>
      <c r="Q2517" t="s">
        <v>11172</v>
      </c>
      <c r="R2517" t="s">
        <v>11180</v>
      </c>
      <c r="S2517" t="s">
        <v>9096</v>
      </c>
      <c r="T2517" t="s">
        <v>11183</v>
      </c>
      <c r="V2517" t="s">
        <v>11229</v>
      </c>
      <c r="W2517">
        <v>231.6</v>
      </c>
      <c r="X2517" t="s">
        <v>11335</v>
      </c>
      <c r="Y2517" t="s">
        <v>11339</v>
      </c>
      <c r="Z2517" t="s">
        <v>13075</v>
      </c>
      <c r="AB2517" t="s">
        <v>17437</v>
      </c>
      <c r="AC2517">
        <v>3</v>
      </c>
      <c r="AD2517" t="s">
        <v>15441</v>
      </c>
      <c r="AE2517" t="s">
        <v>9144</v>
      </c>
      <c r="AF2517">
        <v>1</v>
      </c>
      <c r="AG2517">
        <v>1</v>
      </c>
      <c r="AH2517">
        <v>0</v>
      </c>
      <c r="AI2517">
        <v>84.22</v>
      </c>
      <c r="AL2517" t="s">
        <v>19614</v>
      </c>
      <c r="AM2517">
        <v>10224</v>
      </c>
      <c r="AS2517">
        <v>0.8</v>
      </c>
      <c r="AT2517" t="s">
        <v>810</v>
      </c>
      <c r="AU2517" t="s">
        <v>20655</v>
      </c>
      <c r="AV2517" t="s">
        <v>20733</v>
      </c>
    </row>
    <row r="2518" spans="1:48">
      <c r="A2518" s="1">
        <f>HYPERLINK("https://lsnyc.legalserver.org/matter/dynamic-profile/view/0822955","16-0822955")</f>
        <v>0</v>
      </c>
      <c r="B2518" t="s">
        <v>139</v>
      </c>
      <c r="C2518" t="s">
        <v>256</v>
      </c>
      <c r="D2518" t="s">
        <v>714</v>
      </c>
      <c r="F2518" t="s">
        <v>1146</v>
      </c>
      <c r="G2518" t="s">
        <v>3652</v>
      </c>
      <c r="H2518" t="s">
        <v>5959</v>
      </c>
      <c r="I2518">
        <v>66</v>
      </c>
      <c r="J2518" t="s">
        <v>9067</v>
      </c>
      <c r="K2518">
        <v>10032</v>
      </c>
      <c r="L2518" t="s">
        <v>9096</v>
      </c>
      <c r="M2518" t="s">
        <v>9095</v>
      </c>
      <c r="N2518" t="s">
        <v>10088</v>
      </c>
      <c r="O2518" t="s">
        <v>11130</v>
      </c>
      <c r="P2518" t="s">
        <v>11165</v>
      </c>
      <c r="R2518" t="s">
        <v>11180</v>
      </c>
      <c r="S2518" t="s">
        <v>9094</v>
      </c>
      <c r="T2518" t="s">
        <v>11183</v>
      </c>
      <c r="V2518" t="s">
        <v>11248</v>
      </c>
      <c r="W2518">
        <v>1064.44</v>
      </c>
      <c r="X2518" t="s">
        <v>11335</v>
      </c>
      <c r="Y2518" t="s">
        <v>11339</v>
      </c>
      <c r="Z2518" t="s">
        <v>13076</v>
      </c>
      <c r="AB2518" t="s">
        <v>17438</v>
      </c>
      <c r="AC2518">
        <v>35</v>
      </c>
      <c r="AD2518" t="s">
        <v>19566</v>
      </c>
      <c r="AE2518" t="s">
        <v>9144</v>
      </c>
      <c r="AF2518">
        <v>29</v>
      </c>
      <c r="AG2518">
        <v>2</v>
      </c>
      <c r="AH2518">
        <v>1</v>
      </c>
      <c r="AI2518">
        <v>84.29000000000001</v>
      </c>
      <c r="AJ2518" t="s">
        <v>704</v>
      </c>
      <c r="AL2518" t="s">
        <v>19615</v>
      </c>
      <c r="AM2518">
        <v>16992</v>
      </c>
      <c r="AS2518">
        <v>8.050000000000001</v>
      </c>
      <c r="AT2518" t="s">
        <v>629</v>
      </c>
      <c r="AU2518" t="s">
        <v>20657</v>
      </c>
    </row>
    <row r="2519" spans="1:48">
      <c r="A2519" s="1">
        <f>HYPERLINK("https://lsnyc.legalserver.org/matter/dynamic-profile/view/1914473","19-1914473")</f>
        <v>0</v>
      </c>
      <c r="B2519" t="s">
        <v>178</v>
      </c>
      <c r="C2519" t="s">
        <v>256</v>
      </c>
      <c r="D2519" t="s">
        <v>703</v>
      </c>
      <c r="F2519" t="s">
        <v>2245</v>
      </c>
      <c r="G2519" t="s">
        <v>3746</v>
      </c>
      <c r="H2519" t="s">
        <v>6978</v>
      </c>
      <c r="I2519" t="s">
        <v>8132</v>
      </c>
      <c r="J2519" t="s">
        <v>9065</v>
      </c>
      <c r="K2519">
        <v>10473</v>
      </c>
      <c r="L2519" t="s">
        <v>9095</v>
      </c>
      <c r="M2519" t="s">
        <v>9095</v>
      </c>
      <c r="P2519" t="s">
        <v>11164</v>
      </c>
      <c r="R2519" t="s">
        <v>11180</v>
      </c>
      <c r="T2519" t="s">
        <v>11183</v>
      </c>
      <c r="W2519">
        <v>0</v>
      </c>
      <c r="X2519" t="s">
        <v>11333</v>
      </c>
      <c r="Z2519" t="s">
        <v>13077</v>
      </c>
      <c r="AB2519" t="s">
        <v>17439</v>
      </c>
      <c r="AC2519">
        <v>0</v>
      </c>
      <c r="AF2519">
        <v>0</v>
      </c>
      <c r="AG2519">
        <v>1</v>
      </c>
      <c r="AH2519">
        <v>0</v>
      </c>
      <c r="AI2519">
        <v>84.36</v>
      </c>
      <c r="AL2519" t="s">
        <v>19614</v>
      </c>
      <c r="AM2519">
        <v>10536</v>
      </c>
      <c r="AS2519">
        <v>1.05</v>
      </c>
      <c r="AT2519" t="s">
        <v>487</v>
      </c>
      <c r="AU2519" t="s">
        <v>178</v>
      </c>
    </row>
    <row r="2520" spans="1:48">
      <c r="A2520" s="1">
        <f>HYPERLINK("https://lsnyc.legalserver.org/matter/dynamic-profile/view/1891346","19-1891346")</f>
        <v>0</v>
      </c>
      <c r="B2520" t="s">
        <v>103</v>
      </c>
      <c r="C2520" t="s">
        <v>256</v>
      </c>
      <c r="D2520" t="s">
        <v>348</v>
      </c>
      <c r="F2520" t="s">
        <v>1450</v>
      </c>
      <c r="G2520" t="s">
        <v>3699</v>
      </c>
      <c r="H2520" t="s">
        <v>5887</v>
      </c>
      <c r="I2520" t="s">
        <v>8363</v>
      </c>
      <c r="J2520" t="s">
        <v>9065</v>
      </c>
      <c r="K2520">
        <v>10453</v>
      </c>
      <c r="L2520" t="s">
        <v>9094</v>
      </c>
      <c r="M2520" t="s">
        <v>9094</v>
      </c>
      <c r="O2520" t="s">
        <v>11134</v>
      </c>
      <c r="P2520" t="s">
        <v>11168</v>
      </c>
      <c r="R2520" t="s">
        <v>11180</v>
      </c>
      <c r="S2520" t="s">
        <v>9094</v>
      </c>
      <c r="T2520" t="s">
        <v>11183</v>
      </c>
      <c r="V2520" t="s">
        <v>512</v>
      </c>
      <c r="W2520">
        <v>1270</v>
      </c>
      <c r="X2520" t="s">
        <v>11333</v>
      </c>
      <c r="Y2520" t="s">
        <v>11346</v>
      </c>
      <c r="Z2520" t="s">
        <v>13078</v>
      </c>
      <c r="AC2520">
        <v>170</v>
      </c>
      <c r="AD2520" t="s">
        <v>19566</v>
      </c>
      <c r="AE2520" t="s">
        <v>19580</v>
      </c>
      <c r="AF2520">
        <v>8</v>
      </c>
      <c r="AG2520">
        <v>1</v>
      </c>
      <c r="AH2520">
        <v>0</v>
      </c>
      <c r="AI2520">
        <v>84.36</v>
      </c>
      <c r="AL2520" t="s">
        <v>19615</v>
      </c>
      <c r="AM2520">
        <v>10536</v>
      </c>
      <c r="AS2520">
        <v>0</v>
      </c>
      <c r="AU2520" t="s">
        <v>163</v>
      </c>
    </row>
    <row r="2521" spans="1:48">
      <c r="A2521" s="1">
        <f>HYPERLINK("https://lsnyc.legalserver.org/matter/dynamic-profile/view/1905177","19-1905177")</f>
        <v>0</v>
      </c>
      <c r="B2521" t="s">
        <v>103</v>
      </c>
      <c r="C2521" t="s">
        <v>256</v>
      </c>
      <c r="D2521" t="s">
        <v>414</v>
      </c>
      <c r="F2521" t="s">
        <v>1450</v>
      </c>
      <c r="G2521" t="s">
        <v>3699</v>
      </c>
      <c r="H2521" t="s">
        <v>5887</v>
      </c>
      <c r="I2521" t="s">
        <v>8363</v>
      </c>
      <c r="J2521" t="s">
        <v>9065</v>
      </c>
      <c r="K2521">
        <v>10453</v>
      </c>
      <c r="L2521" t="s">
        <v>9094</v>
      </c>
      <c r="M2521" t="s">
        <v>9095</v>
      </c>
      <c r="N2521" t="s">
        <v>9239</v>
      </c>
      <c r="O2521" t="s">
        <v>11134</v>
      </c>
      <c r="P2521" t="s">
        <v>11168</v>
      </c>
      <c r="R2521" t="s">
        <v>11180</v>
      </c>
      <c r="S2521" t="s">
        <v>9094</v>
      </c>
      <c r="T2521" t="s">
        <v>11183</v>
      </c>
      <c r="V2521" t="s">
        <v>1061</v>
      </c>
      <c r="W2521">
        <v>1270</v>
      </c>
      <c r="X2521" t="s">
        <v>11333</v>
      </c>
      <c r="Y2521" t="s">
        <v>11346</v>
      </c>
      <c r="Z2521" t="s">
        <v>13078</v>
      </c>
      <c r="AB2521" t="s">
        <v>17440</v>
      </c>
      <c r="AC2521">
        <v>170</v>
      </c>
      <c r="AD2521" t="s">
        <v>19566</v>
      </c>
      <c r="AE2521" t="s">
        <v>19580</v>
      </c>
      <c r="AF2521">
        <v>8</v>
      </c>
      <c r="AG2521">
        <v>1</v>
      </c>
      <c r="AH2521">
        <v>0</v>
      </c>
      <c r="AI2521">
        <v>84.36</v>
      </c>
      <c r="AL2521" t="s">
        <v>19615</v>
      </c>
      <c r="AM2521">
        <v>10536</v>
      </c>
      <c r="AS2521">
        <v>0</v>
      </c>
      <c r="AU2521" t="s">
        <v>20642</v>
      </c>
      <c r="AV2521" t="s">
        <v>20733</v>
      </c>
    </row>
    <row r="2522" spans="1:48">
      <c r="A2522" s="1">
        <f>HYPERLINK("https://lsnyc.legalserver.org/matter/dynamic-profile/view/1905182","19-1905182")</f>
        <v>0</v>
      </c>
      <c r="B2522" t="s">
        <v>103</v>
      </c>
      <c r="C2522" t="s">
        <v>256</v>
      </c>
      <c r="D2522" t="s">
        <v>414</v>
      </c>
      <c r="F2522" t="s">
        <v>1450</v>
      </c>
      <c r="G2522" t="s">
        <v>3699</v>
      </c>
      <c r="H2522" t="s">
        <v>5887</v>
      </c>
      <c r="I2522" t="s">
        <v>8363</v>
      </c>
      <c r="J2522" t="s">
        <v>9065</v>
      </c>
      <c r="K2522">
        <v>10453</v>
      </c>
      <c r="L2522" t="s">
        <v>9094</v>
      </c>
      <c r="M2522" t="s">
        <v>9095</v>
      </c>
      <c r="N2522" t="s">
        <v>9240</v>
      </c>
      <c r="O2522" t="s">
        <v>11134</v>
      </c>
      <c r="P2522" t="s">
        <v>11168</v>
      </c>
      <c r="R2522" t="s">
        <v>11180</v>
      </c>
      <c r="S2522" t="s">
        <v>9094</v>
      </c>
      <c r="T2522" t="s">
        <v>11183</v>
      </c>
      <c r="V2522" t="s">
        <v>422</v>
      </c>
      <c r="W2522">
        <v>1270</v>
      </c>
      <c r="X2522" t="s">
        <v>11333</v>
      </c>
      <c r="Y2522" t="s">
        <v>11346</v>
      </c>
      <c r="Z2522" t="s">
        <v>13078</v>
      </c>
      <c r="AB2522" t="s">
        <v>17440</v>
      </c>
      <c r="AC2522">
        <v>170</v>
      </c>
      <c r="AD2522" t="s">
        <v>19566</v>
      </c>
      <c r="AE2522" t="s">
        <v>19580</v>
      </c>
      <c r="AF2522">
        <v>8</v>
      </c>
      <c r="AG2522">
        <v>1</v>
      </c>
      <c r="AH2522">
        <v>0</v>
      </c>
      <c r="AI2522">
        <v>84.36</v>
      </c>
      <c r="AL2522" t="s">
        <v>19615</v>
      </c>
      <c r="AM2522">
        <v>10536</v>
      </c>
      <c r="AS2522">
        <v>0</v>
      </c>
      <c r="AU2522" t="s">
        <v>20642</v>
      </c>
      <c r="AV2522" t="s">
        <v>20733</v>
      </c>
    </row>
    <row r="2523" spans="1:48">
      <c r="A2523" s="1">
        <f>HYPERLINK("https://lsnyc.legalserver.org/matter/dynamic-profile/view/1891344","19-1891344")</f>
        <v>0</v>
      </c>
      <c r="B2523" t="s">
        <v>103</v>
      </c>
      <c r="C2523" t="s">
        <v>256</v>
      </c>
      <c r="D2523" t="s">
        <v>348</v>
      </c>
      <c r="F2523" t="s">
        <v>1450</v>
      </c>
      <c r="G2523" t="s">
        <v>3699</v>
      </c>
      <c r="H2523" t="s">
        <v>5887</v>
      </c>
      <c r="I2523" t="s">
        <v>8363</v>
      </c>
      <c r="J2523" t="s">
        <v>9065</v>
      </c>
      <c r="K2523">
        <v>10453</v>
      </c>
      <c r="L2523" t="s">
        <v>9094</v>
      </c>
      <c r="M2523" t="s">
        <v>9094</v>
      </c>
      <c r="N2523" t="s">
        <v>9352</v>
      </c>
      <c r="O2523" t="s">
        <v>11130</v>
      </c>
      <c r="P2523" t="s">
        <v>11165</v>
      </c>
      <c r="R2523" t="s">
        <v>11180</v>
      </c>
      <c r="S2523" t="s">
        <v>9094</v>
      </c>
      <c r="T2523" t="s">
        <v>11183</v>
      </c>
      <c r="V2523" t="s">
        <v>512</v>
      </c>
      <c r="W2523">
        <v>1270</v>
      </c>
      <c r="X2523" t="s">
        <v>11333</v>
      </c>
      <c r="Y2523" t="s">
        <v>11346</v>
      </c>
      <c r="Z2523" t="s">
        <v>13078</v>
      </c>
      <c r="AC2523">
        <v>170</v>
      </c>
      <c r="AD2523" t="s">
        <v>19566</v>
      </c>
      <c r="AE2523" t="s">
        <v>19580</v>
      </c>
      <c r="AF2523">
        <v>8</v>
      </c>
      <c r="AG2523">
        <v>1</v>
      </c>
      <c r="AH2523">
        <v>0</v>
      </c>
      <c r="AI2523">
        <v>84.36</v>
      </c>
      <c r="AL2523" t="s">
        <v>19615</v>
      </c>
      <c r="AM2523">
        <v>10536</v>
      </c>
      <c r="AS2523">
        <v>0</v>
      </c>
      <c r="AU2523" t="s">
        <v>163</v>
      </c>
    </row>
    <row r="2524" spans="1:48">
      <c r="A2524" s="1">
        <f>HYPERLINK("https://lsnyc.legalserver.org/matter/dynamic-profile/view/1904423","19-1904423")</f>
        <v>0</v>
      </c>
      <c r="B2524" t="s">
        <v>122</v>
      </c>
      <c r="C2524" t="s">
        <v>256</v>
      </c>
      <c r="D2524" t="s">
        <v>660</v>
      </c>
      <c r="F2524" t="s">
        <v>2246</v>
      </c>
      <c r="G2524" t="s">
        <v>3705</v>
      </c>
      <c r="H2524" t="s">
        <v>5925</v>
      </c>
      <c r="I2524">
        <v>513</v>
      </c>
      <c r="J2524" t="s">
        <v>9066</v>
      </c>
      <c r="K2524">
        <v>10304</v>
      </c>
      <c r="L2524" t="s">
        <v>9094</v>
      </c>
      <c r="M2524" t="s">
        <v>9095</v>
      </c>
      <c r="N2524" t="s">
        <v>10089</v>
      </c>
      <c r="O2524" t="s">
        <v>11129</v>
      </c>
      <c r="P2524" t="s">
        <v>11165</v>
      </c>
      <c r="R2524" t="s">
        <v>11180</v>
      </c>
      <c r="S2524" t="s">
        <v>9096</v>
      </c>
      <c r="T2524" t="s">
        <v>11183</v>
      </c>
      <c r="U2524" t="s">
        <v>11201</v>
      </c>
      <c r="V2524" t="s">
        <v>660</v>
      </c>
      <c r="W2524">
        <v>1202.3</v>
      </c>
      <c r="X2524" t="s">
        <v>11334</v>
      </c>
      <c r="Y2524" t="s">
        <v>11342</v>
      </c>
      <c r="Z2524" t="s">
        <v>13079</v>
      </c>
      <c r="AB2524" t="s">
        <v>17441</v>
      </c>
      <c r="AC2524">
        <v>105</v>
      </c>
      <c r="AD2524" t="s">
        <v>19566</v>
      </c>
      <c r="AE2524" t="s">
        <v>19585</v>
      </c>
      <c r="AF2524">
        <v>8</v>
      </c>
      <c r="AG2524">
        <v>1</v>
      </c>
      <c r="AH2524">
        <v>0</v>
      </c>
      <c r="AI2524">
        <v>84.36</v>
      </c>
      <c r="AL2524" t="s">
        <v>19614</v>
      </c>
      <c r="AM2524">
        <v>10536</v>
      </c>
      <c r="AS2524">
        <v>17.35</v>
      </c>
      <c r="AT2524" t="s">
        <v>594</v>
      </c>
      <c r="AU2524" t="s">
        <v>20653</v>
      </c>
      <c r="AV2524" t="s">
        <v>20733</v>
      </c>
    </row>
    <row r="2525" spans="1:48">
      <c r="A2525" s="1">
        <f>HYPERLINK("https://lsnyc.legalserver.org/matter/dynamic-profile/view/1847272","17-1847272")</f>
        <v>0</v>
      </c>
      <c r="B2525" t="s">
        <v>136</v>
      </c>
      <c r="C2525" t="s">
        <v>256</v>
      </c>
      <c r="D2525" t="s">
        <v>942</v>
      </c>
      <c r="F2525" t="s">
        <v>2247</v>
      </c>
      <c r="G2525" t="s">
        <v>3811</v>
      </c>
      <c r="H2525" t="s">
        <v>6681</v>
      </c>
      <c r="I2525" t="s">
        <v>8265</v>
      </c>
      <c r="J2525" t="s">
        <v>9067</v>
      </c>
      <c r="K2525">
        <v>10040</v>
      </c>
      <c r="L2525" t="s">
        <v>9094</v>
      </c>
      <c r="M2525" t="s">
        <v>9095</v>
      </c>
      <c r="N2525" t="s">
        <v>10090</v>
      </c>
      <c r="O2525" t="s">
        <v>11135</v>
      </c>
      <c r="P2525" t="s">
        <v>11166</v>
      </c>
      <c r="R2525" t="s">
        <v>11180</v>
      </c>
      <c r="S2525" t="s">
        <v>9096</v>
      </c>
      <c r="T2525" t="s">
        <v>11183</v>
      </c>
      <c r="V2525" t="s">
        <v>942</v>
      </c>
      <c r="W2525">
        <v>0</v>
      </c>
      <c r="X2525" t="s">
        <v>11335</v>
      </c>
      <c r="Y2525" t="s">
        <v>11338</v>
      </c>
      <c r="Z2525" t="s">
        <v>13080</v>
      </c>
      <c r="AB2525" t="s">
        <v>17442</v>
      </c>
      <c r="AC2525">
        <v>43</v>
      </c>
      <c r="AD2525" t="s">
        <v>19566</v>
      </c>
      <c r="AE2525" t="s">
        <v>19580</v>
      </c>
      <c r="AF2525">
        <v>34</v>
      </c>
      <c r="AG2525">
        <v>1</v>
      </c>
      <c r="AH2525">
        <v>0</v>
      </c>
      <c r="AI2525">
        <v>84.38</v>
      </c>
      <c r="AJ2525" t="s">
        <v>19599</v>
      </c>
      <c r="AL2525" t="s">
        <v>19615</v>
      </c>
      <c r="AM2525">
        <v>10176</v>
      </c>
      <c r="AS2525">
        <v>0.8</v>
      </c>
      <c r="AT2525" t="s">
        <v>407</v>
      </c>
      <c r="AU2525" t="s">
        <v>130</v>
      </c>
    </row>
    <row r="2526" spans="1:48">
      <c r="A2526" s="1">
        <f>HYPERLINK("https://lsnyc.legalserver.org/matter/dynamic-profile/view/1907747","19-1907747")</f>
        <v>0</v>
      </c>
      <c r="B2526" t="s">
        <v>64</v>
      </c>
      <c r="C2526" t="s">
        <v>256</v>
      </c>
      <c r="D2526" t="s">
        <v>396</v>
      </c>
      <c r="F2526" t="s">
        <v>1231</v>
      </c>
      <c r="G2526" t="s">
        <v>3419</v>
      </c>
      <c r="H2526" t="s">
        <v>6979</v>
      </c>
      <c r="I2526" t="s">
        <v>8443</v>
      </c>
      <c r="J2526" t="s">
        <v>9059</v>
      </c>
      <c r="K2526">
        <v>11219</v>
      </c>
      <c r="L2526" t="s">
        <v>9094</v>
      </c>
      <c r="M2526" t="s">
        <v>9095</v>
      </c>
      <c r="N2526" t="s">
        <v>10091</v>
      </c>
      <c r="O2526" t="s">
        <v>11129</v>
      </c>
      <c r="P2526" t="s">
        <v>11165</v>
      </c>
      <c r="R2526" t="s">
        <v>11180</v>
      </c>
      <c r="S2526" t="s">
        <v>9096</v>
      </c>
      <c r="T2526" t="s">
        <v>11183</v>
      </c>
      <c r="U2526" t="s">
        <v>11201</v>
      </c>
      <c r="V2526" t="s">
        <v>416</v>
      </c>
      <c r="W2526">
        <v>900</v>
      </c>
      <c r="X2526" t="s">
        <v>11332</v>
      </c>
      <c r="Y2526" t="s">
        <v>11340</v>
      </c>
      <c r="Z2526" t="s">
        <v>13081</v>
      </c>
      <c r="AB2526" t="s">
        <v>17443</v>
      </c>
      <c r="AC2526">
        <v>6</v>
      </c>
      <c r="AD2526" t="s">
        <v>19566</v>
      </c>
      <c r="AE2526" t="s">
        <v>9144</v>
      </c>
      <c r="AF2526">
        <v>10</v>
      </c>
      <c r="AG2526">
        <v>3</v>
      </c>
      <c r="AH2526">
        <v>0</v>
      </c>
      <c r="AI2526">
        <v>84.39</v>
      </c>
      <c r="AL2526" t="s">
        <v>19615</v>
      </c>
      <c r="AM2526">
        <v>18000</v>
      </c>
      <c r="AS2526">
        <v>20.5</v>
      </c>
      <c r="AT2526" t="s">
        <v>594</v>
      </c>
      <c r="AU2526" t="s">
        <v>79</v>
      </c>
      <c r="AV2526" t="s">
        <v>20733</v>
      </c>
    </row>
    <row r="2527" spans="1:48">
      <c r="A2527" s="1">
        <f>HYPERLINK("https://lsnyc.legalserver.org/matter/dynamic-profile/view/1892617","19-1892617")</f>
        <v>0</v>
      </c>
      <c r="B2527" t="s">
        <v>83</v>
      </c>
      <c r="C2527" t="s">
        <v>256</v>
      </c>
      <c r="D2527" t="s">
        <v>311</v>
      </c>
      <c r="F2527" t="s">
        <v>2089</v>
      </c>
      <c r="G2527" t="s">
        <v>3580</v>
      </c>
      <c r="H2527" t="s">
        <v>6789</v>
      </c>
      <c r="I2527">
        <v>2</v>
      </c>
      <c r="J2527" t="s">
        <v>9059</v>
      </c>
      <c r="K2527">
        <v>11206</v>
      </c>
      <c r="L2527" t="s">
        <v>9094</v>
      </c>
      <c r="M2527" t="s">
        <v>9094</v>
      </c>
      <c r="O2527" t="s">
        <v>11130</v>
      </c>
      <c r="P2527" t="s">
        <v>11165</v>
      </c>
      <c r="R2527" t="s">
        <v>11180</v>
      </c>
      <c r="S2527" t="s">
        <v>9096</v>
      </c>
      <c r="T2527" t="s">
        <v>11183</v>
      </c>
      <c r="V2527" t="s">
        <v>635</v>
      </c>
      <c r="W2527">
        <v>0</v>
      </c>
      <c r="X2527" t="s">
        <v>11332</v>
      </c>
      <c r="Z2527" t="s">
        <v>12779</v>
      </c>
      <c r="AB2527" t="s">
        <v>17161</v>
      </c>
      <c r="AC2527">
        <v>0</v>
      </c>
      <c r="AF2527">
        <v>0</v>
      </c>
      <c r="AG2527">
        <v>2</v>
      </c>
      <c r="AH2527">
        <v>1</v>
      </c>
      <c r="AI2527">
        <v>84.39</v>
      </c>
      <c r="AL2527" t="s">
        <v>19615</v>
      </c>
      <c r="AM2527">
        <v>18000</v>
      </c>
      <c r="AS2527">
        <v>12.8</v>
      </c>
      <c r="AT2527" t="s">
        <v>806</v>
      </c>
      <c r="AU2527" t="s">
        <v>215</v>
      </c>
    </row>
    <row r="2528" spans="1:48">
      <c r="A2528" s="1">
        <f>HYPERLINK("https://lsnyc.legalserver.org/matter/dynamic-profile/view/1913334","19-1913334")</f>
        <v>0</v>
      </c>
      <c r="B2528" t="s">
        <v>114</v>
      </c>
      <c r="C2528" t="s">
        <v>257</v>
      </c>
      <c r="D2528" t="s">
        <v>286</v>
      </c>
      <c r="E2528" t="s">
        <v>286</v>
      </c>
      <c r="F2528" t="s">
        <v>2248</v>
      </c>
      <c r="G2528" t="s">
        <v>3344</v>
      </c>
      <c r="H2528" t="s">
        <v>6679</v>
      </c>
      <c r="I2528" t="s">
        <v>8419</v>
      </c>
      <c r="J2528" t="s">
        <v>9065</v>
      </c>
      <c r="K2528">
        <v>10460</v>
      </c>
      <c r="L2528" t="s">
        <v>9094</v>
      </c>
      <c r="M2528" t="s">
        <v>9095</v>
      </c>
      <c r="N2528" t="s">
        <v>10092</v>
      </c>
      <c r="O2528" t="s">
        <v>11129</v>
      </c>
      <c r="P2528" t="s">
        <v>11164</v>
      </c>
      <c r="Q2528" t="s">
        <v>11172</v>
      </c>
      <c r="R2528" t="s">
        <v>11180</v>
      </c>
      <c r="T2528" t="s">
        <v>11183</v>
      </c>
      <c r="U2528" t="s">
        <v>11201</v>
      </c>
      <c r="W2528">
        <v>1720</v>
      </c>
      <c r="X2528" t="s">
        <v>11333</v>
      </c>
      <c r="Z2528" t="s">
        <v>12308</v>
      </c>
      <c r="AB2528" t="s">
        <v>17444</v>
      </c>
      <c r="AC2528">
        <v>0</v>
      </c>
      <c r="AD2528" t="s">
        <v>19566</v>
      </c>
      <c r="AF2528">
        <v>3</v>
      </c>
      <c r="AG2528">
        <v>3</v>
      </c>
      <c r="AH2528">
        <v>0</v>
      </c>
      <c r="AI2528">
        <v>84.39</v>
      </c>
      <c r="AM2528">
        <v>18000</v>
      </c>
      <c r="AS2528">
        <v>1.5</v>
      </c>
      <c r="AT2528" t="s">
        <v>286</v>
      </c>
      <c r="AU2528" t="s">
        <v>114</v>
      </c>
      <c r="AV2528" t="s">
        <v>20733</v>
      </c>
    </row>
    <row r="2529" spans="1:48">
      <c r="A2529" s="1">
        <f>HYPERLINK("https://lsnyc.legalserver.org/matter/dynamic-profile/view/1909847","19-1909847")</f>
        <v>0</v>
      </c>
      <c r="B2529" t="s">
        <v>111</v>
      </c>
      <c r="C2529" t="s">
        <v>256</v>
      </c>
      <c r="D2529" t="s">
        <v>549</v>
      </c>
      <c r="F2529" t="s">
        <v>2249</v>
      </c>
      <c r="G2529" t="s">
        <v>4339</v>
      </c>
      <c r="H2529" t="s">
        <v>6895</v>
      </c>
      <c r="I2529" t="s">
        <v>8618</v>
      </c>
      <c r="J2529" t="s">
        <v>9065</v>
      </c>
      <c r="K2529">
        <v>10452</v>
      </c>
      <c r="L2529" t="s">
        <v>9094</v>
      </c>
      <c r="M2529" t="s">
        <v>9095</v>
      </c>
      <c r="N2529" t="s">
        <v>10093</v>
      </c>
      <c r="O2529" t="s">
        <v>11156</v>
      </c>
      <c r="P2529" t="s">
        <v>11168</v>
      </c>
      <c r="R2529" t="s">
        <v>11180</v>
      </c>
      <c r="S2529" t="s">
        <v>9094</v>
      </c>
      <c r="T2529" t="s">
        <v>11183</v>
      </c>
      <c r="W2529">
        <v>0</v>
      </c>
      <c r="X2529" t="s">
        <v>11333</v>
      </c>
      <c r="Y2529" t="s">
        <v>11338</v>
      </c>
      <c r="Z2529" t="s">
        <v>13082</v>
      </c>
      <c r="AC2529">
        <v>70</v>
      </c>
      <c r="AD2529" t="s">
        <v>19566</v>
      </c>
      <c r="AF2529">
        <v>0</v>
      </c>
      <c r="AG2529">
        <v>3</v>
      </c>
      <c r="AH2529">
        <v>0</v>
      </c>
      <c r="AI2529">
        <v>84.39</v>
      </c>
      <c r="AL2529" t="s">
        <v>15441</v>
      </c>
      <c r="AM2529">
        <v>18000</v>
      </c>
      <c r="AS2529">
        <v>11.9</v>
      </c>
      <c r="AT2529" t="s">
        <v>446</v>
      </c>
      <c r="AU2529" t="s">
        <v>111</v>
      </c>
    </row>
    <row r="2530" spans="1:48">
      <c r="A2530" s="1">
        <f>HYPERLINK("https://lsnyc.legalserver.org/matter/dynamic-profile/view/0802632","16-0802632")</f>
        <v>0</v>
      </c>
      <c r="B2530" t="s">
        <v>111</v>
      </c>
      <c r="C2530" t="s">
        <v>256</v>
      </c>
      <c r="D2530" t="s">
        <v>641</v>
      </c>
      <c r="F2530" t="s">
        <v>2118</v>
      </c>
      <c r="G2530" t="s">
        <v>4470</v>
      </c>
      <c r="H2530" t="s">
        <v>6260</v>
      </c>
      <c r="I2530" t="s">
        <v>8401</v>
      </c>
      <c r="J2530" t="s">
        <v>9065</v>
      </c>
      <c r="K2530">
        <v>10452</v>
      </c>
      <c r="L2530" t="s">
        <v>9094</v>
      </c>
      <c r="M2530" t="s">
        <v>9095</v>
      </c>
      <c r="O2530" t="s">
        <v>11147</v>
      </c>
      <c r="P2530" t="s">
        <v>11165</v>
      </c>
      <c r="R2530" t="s">
        <v>11180</v>
      </c>
      <c r="S2530" t="s">
        <v>9094</v>
      </c>
      <c r="T2530" t="s">
        <v>11183</v>
      </c>
      <c r="V2530" t="s">
        <v>1005</v>
      </c>
      <c r="W2530">
        <v>975</v>
      </c>
      <c r="X2530" t="s">
        <v>11333</v>
      </c>
      <c r="Y2530" t="s">
        <v>11346</v>
      </c>
      <c r="Z2530" t="s">
        <v>13083</v>
      </c>
      <c r="AB2530" t="s">
        <v>17445</v>
      </c>
      <c r="AC2530">
        <v>0</v>
      </c>
      <c r="AD2530" t="s">
        <v>19566</v>
      </c>
      <c r="AF2530">
        <v>-1</v>
      </c>
      <c r="AG2530">
        <v>2</v>
      </c>
      <c r="AH2530">
        <v>0</v>
      </c>
      <c r="AI2530">
        <v>84.39</v>
      </c>
      <c r="AL2530" t="s">
        <v>19615</v>
      </c>
      <c r="AM2530">
        <v>13520</v>
      </c>
      <c r="AS2530">
        <v>384.65</v>
      </c>
      <c r="AT2530" t="s">
        <v>400</v>
      </c>
      <c r="AU2530" t="s">
        <v>109</v>
      </c>
    </row>
    <row r="2531" spans="1:48">
      <c r="A2531" s="1">
        <f>HYPERLINK("https://lsnyc.legalserver.org/matter/dynamic-profile/view/1911141","19-1911141")</f>
        <v>0</v>
      </c>
      <c r="B2531" t="s">
        <v>124</v>
      </c>
      <c r="C2531" t="s">
        <v>256</v>
      </c>
      <c r="D2531" t="s">
        <v>263</v>
      </c>
      <c r="F2531" t="s">
        <v>2250</v>
      </c>
      <c r="G2531" t="s">
        <v>4471</v>
      </c>
      <c r="H2531" t="s">
        <v>6980</v>
      </c>
      <c r="I2531">
        <v>1</v>
      </c>
      <c r="J2531" t="s">
        <v>9066</v>
      </c>
      <c r="K2531">
        <v>10301</v>
      </c>
      <c r="L2531" t="s">
        <v>9095</v>
      </c>
      <c r="M2531" t="s">
        <v>9095</v>
      </c>
      <c r="N2531" t="s">
        <v>10094</v>
      </c>
      <c r="O2531" t="s">
        <v>11129</v>
      </c>
      <c r="R2531" t="s">
        <v>11180</v>
      </c>
      <c r="S2531" t="s">
        <v>9096</v>
      </c>
      <c r="T2531" t="s">
        <v>11183</v>
      </c>
      <c r="U2531" t="s">
        <v>11201</v>
      </c>
      <c r="W2531">
        <v>1557</v>
      </c>
      <c r="X2531" t="s">
        <v>11334</v>
      </c>
      <c r="Y2531" t="s">
        <v>11340</v>
      </c>
      <c r="Z2531" t="s">
        <v>13084</v>
      </c>
      <c r="AB2531" t="s">
        <v>17446</v>
      </c>
      <c r="AC2531">
        <v>2</v>
      </c>
      <c r="AD2531" t="s">
        <v>19565</v>
      </c>
      <c r="AE2531" t="s">
        <v>19581</v>
      </c>
      <c r="AF2531">
        <v>5</v>
      </c>
      <c r="AG2531">
        <v>1</v>
      </c>
      <c r="AH2531">
        <v>2</v>
      </c>
      <c r="AI2531">
        <v>84.39</v>
      </c>
      <c r="AL2531" t="s">
        <v>19614</v>
      </c>
      <c r="AM2531">
        <v>18000</v>
      </c>
      <c r="AS2531">
        <v>3</v>
      </c>
      <c r="AT2531" t="s">
        <v>276</v>
      </c>
      <c r="AU2531" t="s">
        <v>20653</v>
      </c>
    </row>
    <row r="2532" spans="1:48">
      <c r="A2532" s="1">
        <f>HYPERLINK("https://lsnyc.legalserver.org/matter/dynamic-profile/view/1914732","19-1914732")</f>
        <v>0</v>
      </c>
      <c r="B2532" t="s">
        <v>71</v>
      </c>
      <c r="C2532" t="s">
        <v>256</v>
      </c>
      <c r="D2532" t="s">
        <v>632</v>
      </c>
      <c r="F2532" t="s">
        <v>2251</v>
      </c>
      <c r="G2532" t="s">
        <v>4472</v>
      </c>
      <c r="H2532" t="s">
        <v>6981</v>
      </c>
      <c r="I2532" t="s">
        <v>8619</v>
      </c>
      <c r="J2532" t="s">
        <v>9059</v>
      </c>
      <c r="K2532">
        <v>11212</v>
      </c>
      <c r="L2532" t="s">
        <v>9095</v>
      </c>
      <c r="M2532" t="s">
        <v>9095</v>
      </c>
      <c r="N2532" t="s">
        <v>10095</v>
      </c>
      <c r="O2532" t="s">
        <v>11129</v>
      </c>
      <c r="P2532" t="s">
        <v>11169</v>
      </c>
      <c r="R2532" t="s">
        <v>11180</v>
      </c>
      <c r="S2532" t="s">
        <v>9096</v>
      </c>
      <c r="T2532" t="s">
        <v>11183</v>
      </c>
      <c r="W2532">
        <v>570</v>
      </c>
      <c r="X2532" t="s">
        <v>11332</v>
      </c>
      <c r="Y2532" t="s">
        <v>11157</v>
      </c>
      <c r="Z2532" t="s">
        <v>13085</v>
      </c>
      <c r="AB2532" t="s">
        <v>17447</v>
      </c>
      <c r="AC2532">
        <v>6</v>
      </c>
      <c r="AD2532" t="s">
        <v>19570</v>
      </c>
      <c r="AF2532">
        <v>38</v>
      </c>
      <c r="AG2532">
        <v>1</v>
      </c>
      <c r="AH2532">
        <v>0</v>
      </c>
      <c r="AI2532">
        <v>84.55</v>
      </c>
      <c r="AL2532" t="s">
        <v>19614</v>
      </c>
      <c r="AM2532">
        <v>10560</v>
      </c>
      <c r="AS2532">
        <v>0.5</v>
      </c>
      <c r="AT2532" t="s">
        <v>632</v>
      </c>
      <c r="AU2532" t="s">
        <v>20631</v>
      </c>
    </row>
    <row r="2533" spans="1:48">
      <c r="A2533" s="1">
        <f>HYPERLINK("https://lsnyc.legalserver.org/matter/dynamic-profile/view/1854565","17-1854565")</f>
        <v>0</v>
      </c>
      <c r="B2533" t="s">
        <v>70</v>
      </c>
      <c r="C2533" t="s">
        <v>257</v>
      </c>
      <c r="D2533" t="s">
        <v>801</v>
      </c>
      <c r="E2533" t="s">
        <v>328</v>
      </c>
      <c r="F2533" t="s">
        <v>1553</v>
      </c>
      <c r="G2533" t="s">
        <v>3911</v>
      </c>
      <c r="H2533" t="s">
        <v>6312</v>
      </c>
      <c r="I2533" t="s">
        <v>8117</v>
      </c>
      <c r="J2533" t="s">
        <v>9059</v>
      </c>
      <c r="K2533">
        <v>11207</v>
      </c>
      <c r="L2533" t="s">
        <v>9094</v>
      </c>
      <c r="M2533" t="s">
        <v>9095</v>
      </c>
      <c r="N2533" t="s">
        <v>10096</v>
      </c>
      <c r="O2533" t="s">
        <v>11128</v>
      </c>
      <c r="P2533" t="s">
        <v>11165</v>
      </c>
      <c r="Q2533" t="s">
        <v>11174</v>
      </c>
      <c r="R2533" t="s">
        <v>11180</v>
      </c>
      <c r="S2533" t="s">
        <v>9094</v>
      </c>
      <c r="T2533" t="s">
        <v>11183</v>
      </c>
      <c r="V2533" t="s">
        <v>856</v>
      </c>
      <c r="W2533">
        <v>1000</v>
      </c>
      <c r="X2533" t="s">
        <v>11332</v>
      </c>
      <c r="Y2533" t="s">
        <v>11340</v>
      </c>
      <c r="Z2533" t="s">
        <v>12121</v>
      </c>
      <c r="AB2533" t="s">
        <v>16558</v>
      </c>
      <c r="AC2533">
        <v>6</v>
      </c>
      <c r="AD2533" t="s">
        <v>19566</v>
      </c>
      <c r="AE2533" t="s">
        <v>9144</v>
      </c>
      <c r="AF2533">
        <v>3</v>
      </c>
      <c r="AG2533">
        <v>1</v>
      </c>
      <c r="AH2533">
        <v>3</v>
      </c>
      <c r="AI2533">
        <v>84.55</v>
      </c>
      <c r="AL2533" t="s">
        <v>19614</v>
      </c>
      <c r="AM2533">
        <v>20800</v>
      </c>
      <c r="AS2533">
        <v>1.9</v>
      </c>
      <c r="AT2533" t="s">
        <v>510</v>
      </c>
      <c r="AU2533" t="s">
        <v>59</v>
      </c>
      <c r="AV2533" t="s">
        <v>20733</v>
      </c>
    </row>
    <row r="2534" spans="1:48">
      <c r="A2534" s="1">
        <f>HYPERLINK("https://lsnyc.legalserver.org/matter/dynamic-profile/view/1891306","19-1891306")</f>
        <v>0</v>
      </c>
      <c r="B2534" t="s">
        <v>142</v>
      </c>
      <c r="C2534" t="s">
        <v>257</v>
      </c>
      <c r="D2534" t="s">
        <v>749</v>
      </c>
      <c r="E2534" t="s">
        <v>331</v>
      </c>
      <c r="F2534" t="s">
        <v>2252</v>
      </c>
      <c r="G2534" t="s">
        <v>4473</v>
      </c>
      <c r="H2534" t="s">
        <v>6982</v>
      </c>
      <c r="I2534" t="s">
        <v>8620</v>
      </c>
      <c r="J2534" t="s">
        <v>9067</v>
      </c>
      <c r="K2534">
        <v>10029</v>
      </c>
      <c r="L2534" t="s">
        <v>9094</v>
      </c>
      <c r="M2534" t="s">
        <v>9094</v>
      </c>
      <c r="O2534" t="s">
        <v>9121</v>
      </c>
      <c r="P2534" t="s">
        <v>11167</v>
      </c>
      <c r="Q2534" t="s">
        <v>11173</v>
      </c>
      <c r="R2534" t="s">
        <v>11180</v>
      </c>
      <c r="S2534" t="s">
        <v>9096</v>
      </c>
      <c r="T2534" t="s">
        <v>11183</v>
      </c>
      <c r="U2534" t="s">
        <v>11201</v>
      </c>
      <c r="V2534" t="s">
        <v>316</v>
      </c>
      <c r="W2534">
        <v>1500</v>
      </c>
      <c r="X2534" t="s">
        <v>11335</v>
      </c>
      <c r="Y2534" t="s">
        <v>11338</v>
      </c>
      <c r="Z2534" t="s">
        <v>13086</v>
      </c>
      <c r="AB2534" t="s">
        <v>17448</v>
      </c>
      <c r="AC2534">
        <v>8</v>
      </c>
      <c r="AD2534" t="s">
        <v>15441</v>
      </c>
      <c r="AE2534" t="s">
        <v>9144</v>
      </c>
      <c r="AF2534">
        <v>18</v>
      </c>
      <c r="AG2534">
        <v>1</v>
      </c>
      <c r="AH2534">
        <v>0</v>
      </c>
      <c r="AI2534">
        <v>84.55</v>
      </c>
      <c r="AL2534" t="s">
        <v>19615</v>
      </c>
      <c r="AM2534">
        <v>10560</v>
      </c>
      <c r="AS2534">
        <v>16.8</v>
      </c>
      <c r="AT2534" t="s">
        <v>273</v>
      </c>
      <c r="AU2534" t="s">
        <v>20638</v>
      </c>
      <c r="AV2534" t="s">
        <v>20733</v>
      </c>
    </row>
    <row r="2535" spans="1:48">
      <c r="A2535" s="1">
        <f>HYPERLINK("https://lsnyc.legalserver.org/matter/dynamic-profile/view/1909838","19-1909838")</f>
        <v>0</v>
      </c>
      <c r="B2535" t="s">
        <v>132</v>
      </c>
      <c r="C2535" t="s">
        <v>256</v>
      </c>
      <c r="D2535" t="s">
        <v>549</v>
      </c>
      <c r="F2535" t="s">
        <v>1264</v>
      </c>
      <c r="G2535" t="s">
        <v>4474</v>
      </c>
      <c r="H2535" t="s">
        <v>6983</v>
      </c>
      <c r="J2535" t="s">
        <v>9067</v>
      </c>
      <c r="K2535">
        <v>10034</v>
      </c>
      <c r="L2535" t="s">
        <v>9094</v>
      </c>
      <c r="M2535" t="s">
        <v>9095</v>
      </c>
      <c r="P2535" t="s">
        <v>11168</v>
      </c>
      <c r="R2535" t="s">
        <v>11180</v>
      </c>
      <c r="S2535" t="s">
        <v>9096</v>
      </c>
      <c r="T2535" t="s">
        <v>11183</v>
      </c>
      <c r="V2535" t="s">
        <v>549</v>
      </c>
      <c r="W2535">
        <v>1700</v>
      </c>
      <c r="X2535" t="s">
        <v>11335</v>
      </c>
      <c r="Y2535" t="s">
        <v>11347</v>
      </c>
      <c r="Z2535" t="s">
        <v>13087</v>
      </c>
      <c r="AB2535" t="s">
        <v>17449</v>
      </c>
      <c r="AC2535">
        <v>24</v>
      </c>
      <c r="AD2535" t="s">
        <v>19566</v>
      </c>
      <c r="AE2535" t="s">
        <v>19585</v>
      </c>
      <c r="AF2535">
        <v>1</v>
      </c>
      <c r="AG2535">
        <v>1</v>
      </c>
      <c r="AH2535">
        <v>0</v>
      </c>
      <c r="AI2535">
        <v>84.64</v>
      </c>
      <c r="AL2535" t="s">
        <v>19614</v>
      </c>
      <c r="AM2535">
        <v>10572</v>
      </c>
      <c r="AS2535">
        <v>36.7</v>
      </c>
      <c r="AT2535" t="s">
        <v>594</v>
      </c>
      <c r="AU2535" t="s">
        <v>130</v>
      </c>
      <c r="AV2535" t="s">
        <v>20733</v>
      </c>
    </row>
    <row r="2536" spans="1:48">
      <c r="A2536" s="1">
        <f>HYPERLINK("https://lsnyc.legalserver.org/matter/dynamic-profile/view/1901257","19-1901257")</f>
        <v>0</v>
      </c>
      <c r="B2536" t="s">
        <v>212</v>
      </c>
      <c r="C2536" t="s">
        <v>256</v>
      </c>
      <c r="D2536" t="s">
        <v>422</v>
      </c>
      <c r="F2536" t="s">
        <v>1928</v>
      </c>
      <c r="G2536" t="s">
        <v>4475</v>
      </c>
      <c r="H2536" t="s">
        <v>6984</v>
      </c>
      <c r="I2536" t="s">
        <v>8154</v>
      </c>
      <c r="J2536" t="s">
        <v>9067</v>
      </c>
      <c r="K2536">
        <v>10023</v>
      </c>
      <c r="L2536" t="s">
        <v>9094</v>
      </c>
      <c r="M2536" t="s">
        <v>9095</v>
      </c>
      <c r="N2536" t="s">
        <v>10097</v>
      </c>
      <c r="O2536" t="s">
        <v>11129</v>
      </c>
      <c r="P2536" t="s">
        <v>11164</v>
      </c>
      <c r="R2536" t="s">
        <v>11180</v>
      </c>
      <c r="S2536" t="s">
        <v>9096</v>
      </c>
      <c r="T2536" t="s">
        <v>11183</v>
      </c>
      <c r="U2536" t="s">
        <v>11201</v>
      </c>
      <c r="V2536" t="s">
        <v>422</v>
      </c>
      <c r="W2536">
        <v>364.74</v>
      </c>
      <c r="X2536" t="s">
        <v>11335</v>
      </c>
      <c r="Y2536" t="s">
        <v>11350</v>
      </c>
      <c r="Z2536" t="s">
        <v>13088</v>
      </c>
      <c r="AB2536" t="s">
        <v>17450</v>
      </c>
      <c r="AC2536">
        <v>0</v>
      </c>
      <c r="AD2536" t="s">
        <v>19566</v>
      </c>
      <c r="AE2536" t="s">
        <v>9144</v>
      </c>
      <c r="AF2536">
        <v>44</v>
      </c>
      <c r="AG2536">
        <v>1</v>
      </c>
      <c r="AH2536">
        <v>0</v>
      </c>
      <c r="AI2536">
        <v>84.64</v>
      </c>
      <c r="AL2536" t="s">
        <v>19614</v>
      </c>
      <c r="AM2536">
        <v>10572</v>
      </c>
      <c r="AS2536">
        <v>0.6</v>
      </c>
      <c r="AT2536" t="s">
        <v>422</v>
      </c>
      <c r="AU2536" t="s">
        <v>20657</v>
      </c>
      <c r="AV2536" t="s">
        <v>20733</v>
      </c>
    </row>
    <row r="2537" spans="1:48">
      <c r="A2537" s="1">
        <f>HYPERLINK("https://lsnyc.legalserver.org/matter/dynamic-profile/view/1871668","18-1871668")</f>
        <v>0</v>
      </c>
      <c r="B2537" t="s">
        <v>64</v>
      </c>
      <c r="C2537" t="s">
        <v>256</v>
      </c>
      <c r="D2537" t="s">
        <v>609</v>
      </c>
      <c r="F2537" t="s">
        <v>2202</v>
      </c>
      <c r="G2537" t="s">
        <v>4431</v>
      </c>
      <c r="H2537" t="s">
        <v>6929</v>
      </c>
      <c r="I2537" t="s">
        <v>8603</v>
      </c>
      <c r="J2537" t="s">
        <v>9059</v>
      </c>
      <c r="K2537">
        <v>11239</v>
      </c>
      <c r="L2537" t="s">
        <v>9094</v>
      </c>
      <c r="M2537" t="s">
        <v>9094</v>
      </c>
      <c r="N2537" t="s">
        <v>10098</v>
      </c>
      <c r="O2537" t="s">
        <v>11128</v>
      </c>
      <c r="P2537" t="s">
        <v>11165</v>
      </c>
      <c r="R2537" t="s">
        <v>11180</v>
      </c>
      <c r="S2537" t="s">
        <v>9096</v>
      </c>
      <c r="T2537" t="s">
        <v>11183</v>
      </c>
      <c r="V2537" t="s">
        <v>489</v>
      </c>
      <c r="W2537">
        <v>0</v>
      </c>
      <c r="X2537" t="s">
        <v>11332</v>
      </c>
      <c r="Y2537" t="s">
        <v>11336</v>
      </c>
      <c r="Z2537" t="s">
        <v>12999</v>
      </c>
      <c r="AB2537" t="s">
        <v>17363</v>
      </c>
      <c r="AC2537">
        <v>1463</v>
      </c>
      <c r="AD2537" t="s">
        <v>19567</v>
      </c>
      <c r="AE2537" t="s">
        <v>19580</v>
      </c>
      <c r="AF2537">
        <v>43</v>
      </c>
      <c r="AG2537">
        <v>1</v>
      </c>
      <c r="AH2537">
        <v>0</v>
      </c>
      <c r="AI2537">
        <v>84.70999999999999</v>
      </c>
      <c r="AL2537" t="s">
        <v>19614</v>
      </c>
      <c r="AM2537">
        <v>10284</v>
      </c>
      <c r="AN2537" t="s">
        <v>19879</v>
      </c>
      <c r="AS2537">
        <v>58.02</v>
      </c>
      <c r="AT2537" t="s">
        <v>1135</v>
      </c>
      <c r="AU2537" t="s">
        <v>20630</v>
      </c>
    </row>
    <row r="2538" spans="1:48">
      <c r="A2538" s="1">
        <f>HYPERLINK("https://lsnyc.legalserver.org/matter/dynamic-profile/view/1880321","18-1880321")</f>
        <v>0</v>
      </c>
      <c r="B2538" t="s">
        <v>204</v>
      </c>
      <c r="C2538" t="s">
        <v>257</v>
      </c>
      <c r="D2538" t="s">
        <v>458</v>
      </c>
      <c r="E2538" t="s">
        <v>288</v>
      </c>
      <c r="F2538" t="s">
        <v>1262</v>
      </c>
      <c r="G2538" t="s">
        <v>3572</v>
      </c>
      <c r="H2538" t="s">
        <v>6985</v>
      </c>
      <c r="I2538" t="s">
        <v>8621</v>
      </c>
      <c r="J2538" t="s">
        <v>9059</v>
      </c>
      <c r="K2538">
        <v>11208</v>
      </c>
      <c r="L2538" t="s">
        <v>9094</v>
      </c>
      <c r="M2538" t="s">
        <v>9095</v>
      </c>
      <c r="N2538" t="s">
        <v>10099</v>
      </c>
      <c r="O2538" t="s">
        <v>11129</v>
      </c>
      <c r="P2538" t="s">
        <v>11165</v>
      </c>
      <c r="Q2538" t="s">
        <v>11174</v>
      </c>
      <c r="R2538" t="s">
        <v>11180</v>
      </c>
      <c r="S2538" t="s">
        <v>9096</v>
      </c>
      <c r="T2538" t="s">
        <v>11183</v>
      </c>
      <c r="U2538" t="s">
        <v>11201</v>
      </c>
      <c r="V2538" t="s">
        <v>457</v>
      </c>
      <c r="W2538">
        <v>0</v>
      </c>
      <c r="X2538" t="s">
        <v>11332</v>
      </c>
      <c r="Y2538" t="s">
        <v>11340</v>
      </c>
      <c r="Z2538" t="s">
        <v>13089</v>
      </c>
      <c r="AB2538" t="s">
        <v>17451</v>
      </c>
      <c r="AC2538">
        <v>294</v>
      </c>
      <c r="AD2538" t="s">
        <v>19571</v>
      </c>
      <c r="AE2538" t="s">
        <v>19585</v>
      </c>
      <c r="AF2538">
        <v>5</v>
      </c>
      <c r="AG2538">
        <v>1</v>
      </c>
      <c r="AH2538">
        <v>0</v>
      </c>
      <c r="AI2538">
        <v>84.70999999999999</v>
      </c>
      <c r="AL2538" t="s">
        <v>19614</v>
      </c>
      <c r="AM2538">
        <v>10284</v>
      </c>
      <c r="AO2538" t="s">
        <v>20290</v>
      </c>
      <c r="AP2538" t="s">
        <v>20313</v>
      </c>
      <c r="AQ2538" t="s">
        <v>20369</v>
      </c>
      <c r="AR2538" t="s">
        <v>20498</v>
      </c>
      <c r="AS2538">
        <v>18.3</v>
      </c>
      <c r="AT2538" t="s">
        <v>288</v>
      </c>
      <c r="AU2538" t="s">
        <v>20629</v>
      </c>
      <c r="AV2538" t="s">
        <v>20733</v>
      </c>
    </row>
    <row r="2539" spans="1:48">
      <c r="A2539" s="1">
        <f>HYPERLINK("https://lsnyc.legalserver.org/matter/dynamic-profile/view/1883471","18-1883471")</f>
        <v>0</v>
      </c>
      <c r="B2539" t="s">
        <v>71</v>
      </c>
      <c r="C2539" t="s">
        <v>256</v>
      </c>
      <c r="D2539" t="s">
        <v>357</v>
      </c>
      <c r="F2539" t="s">
        <v>1489</v>
      </c>
      <c r="G2539" t="s">
        <v>4476</v>
      </c>
      <c r="H2539" t="s">
        <v>6072</v>
      </c>
      <c r="I2539" t="s">
        <v>8212</v>
      </c>
      <c r="J2539" t="s">
        <v>9059</v>
      </c>
      <c r="K2539">
        <v>11208</v>
      </c>
      <c r="L2539" t="s">
        <v>9094</v>
      </c>
      <c r="M2539" t="s">
        <v>9094</v>
      </c>
      <c r="N2539" t="s">
        <v>10100</v>
      </c>
      <c r="O2539" t="s">
        <v>11129</v>
      </c>
      <c r="P2539" t="s">
        <v>11165</v>
      </c>
      <c r="R2539" t="s">
        <v>11180</v>
      </c>
      <c r="T2539" t="s">
        <v>11183</v>
      </c>
      <c r="V2539" t="s">
        <v>371</v>
      </c>
      <c r="W2539">
        <v>1375</v>
      </c>
      <c r="X2539" t="s">
        <v>11332</v>
      </c>
      <c r="Y2539" t="s">
        <v>11336</v>
      </c>
      <c r="Z2539" t="s">
        <v>13090</v>
      </c>
      <c r="AA2539" t="s">
        <v>15710</v>
      </c>
      <c r="AB2539" t="s">
        <v>17452</v>
      </c>
      <c r="AC2539">
        <v>56</v>
      </c>
      <c r="AD2539" t="s">
        <v>19566</v>
      </c>
      <c r="AF2539">
        <v>9</v>
      </c>
      <c r="AG2539">
        <v>1</v>
      </c>
      <c r="AH2539">
        <v>0</v>
      </c>
      <c r="AI2539">
        <v>84.70999999999999</v>
      </c>
      <c r="AL2539" t="s">
        <v>19614</v>
      </c>
      <c r="AM2539">
        <v>10284</v>
      </c>
      <c r="AN2539" t="s">
        <v>19880</v>
      </c>
      <c r="AS2539">
        <v>46.4</v>
      </c>
      <c r="AT2539" t="s">
        <v>760</v>
      </c>
      <c r="AU2539" t="s">
        <v>20628</v>
      </c>
    </row>
    <row r="2540" spans="1:48">
      <c r="A2540" s="1">
        <f>HYPERLINK("https://lsnyc.legalserver.org/matter/dynamic-profile/view/1887013","19-1887013")</f>
        <v>0</v>
      </c>
      <c r="B2540" t="s">
        <v>115</v>
      </c>
      <c r="C2540" t="s">
        <v>257</v>
      </c>
      <c r="D2540" t="s">
        <v>582</v>
      </c>
      <c r="E2540" t="s">
        <v>410</v>
      </c>
      <c r="F2540" t="s">
        <v>1238</v>
      </c>
      <c r="G2540" t="s">
        <v>2278</v>
      </c>
      <c r="H2540" t="s">
        <v>6092</v>
      </c>
      <c r="I2540" t="s">
        <v>8283</v>
      </c>
      <c r="J2540" t="s">
        <v>9065</v>
      </c>
      <c r="K2540">
        <v>10459</v>
      </c>
      <c r="L2540" t="s">
        <v>9094</v>
      </c>
      <c r="M2540" t="s">
        <v>9094</v>
      </c>
      <c r="O2540" t="s">
        <v>11130</v>
      </c>
      <c r="P2540" t="s">
        <v>11165</v>
      </c>
      <c r="Q2540" t="s">
        <v>11174</v>
      </c>
      <c r="R2540" t="s">
        <v>11180</v>
      </c>
      <c r="S2540" t="s">
        <v>9094</v>
      </c>
      <c r="T2540" t="s">
        <v>11183</v>
      </c>
      <c r="V2540" t="s">
        <v>402</v>
      </c>
      <c r="W2540">
        <v>1200</v>
      </c>
      <c r="X2540" t="s">
        <v>11333</v>
      </c>
      <c r="Y2540" t="s">
        <v>11346</v>
      </c>
      <c r="Z2540" t="s">
        <v>13091</v>
      </c>
      <c r="AB2540" t="s">
        <v>17453</v>
      </c>
      <c r="AC2540">
        <v>48</v>
      </c>
      <c r="AD2540" t="s">
        <v>19566</v>
      </c>
      <c r="AE2540" t="s">
        <v>19580</v>
      </c>
      <c r="AF2540">
        <v>31</v>
      </c>
      <c r="AG2540">
        <v>1</v>
      </c>
      <c r="AH2540">
        <v>0</v>
      </c>
      <c r="AI2540">
        <v>84.70999999999999</v>
      </c>
      <c r="AL2540" t="s">
        <v>19614</v>
      </c>
      <c r="AM2540">
        <v>10284</v>
      </c>
      <c r="AS2540">
        <v>74</v>
      </c>
      <c r="AT2540" t="s">
        <v>410</v>
      </c>
      <c r="AU2540" t="s">
        <v>163</v>
      </c>
    </row>
    <row r="2541" spans="1:48">
      <c r="A2541" s="1">
        <f>HYPERLINK("https://lsnyc.legalserver.org/matter/dynamic-profile/view/1887970","19-1887970")</f>
        <v>0</v>
      </c>
      <c r="B2541" t="s">
        <v>119</v>
      </c>
      <c r="C2541" t="s">
        <v>256</v>
      </c>
      <c r="D2541" t="s">
        <v>443</v>
      </c>
      <c r="F2541" t="s">
        <v>2203</v>
      </c>
      <c r="G2541" t="s">
        <v>3498</v>
      </c>
      <c r="H2541" t="s">
        <v>5880</v>
      </c>
      <c r="I2541" t="s">
        <v>8119</v>
      </c>
      <c r="J2541" t="s">
        <v>9065</v>
      </c>
      <c r="K2541">
        <v>10456</v>
      </c>
      <c r="L2541" t="s">
        <v>9094</v>
      </c>
      <c r="M2541" t="s">
        <v>9094</v>
      </c>
      <c r="N2541" t="s">
        <v>9234</v>
      </c>
      <c r="O2541" t="s">
        <v>11130</v>
      </c>
      <c r="P2541" t="s">
        <v>11165</v>
      </c>
      <c r="R2541" t="s">
        <v>11180</v>
      </c>
      <c r="S2541" t="s">
        <v>9094</v>
      </c>
      <c r="T2541" t="s">
        <v>11183</v>
      </c>
      <c r="V2541" t="s">
        <v>11218</v>
      </c>
      <c r="W2541">
        <v>608.72</v>
      </c>
      <c r="X2541" t="s">
        <v>11333</v>
      </c>
      <c r="Y2541" t="s">
        <v>11347</v>
      </c>
      <c r="Z2541" t="s">
        <v>13001</v>
      </c>
      <c r="AB2541" t="s">
        <v>17365</v>
      </c>
      <c r="AC2541">
        <v>17</v>
      </c>
      <c r="AD2541" t="s">
        <v>19566</v>
      </c>
      <c r="AE2541" t="s">
        <v>19587</v>
      </c>
      <c r="AF2541">
        <v>43</v>
      </c>
      <c r="AG2541">
        <v>1</v>
      </c>
      <c r="AH2541">
        <v>0</v>
      </c>
      <c r="AI2541">
        <v>84.70999999999999</v>
      </c>
      <c r="AL2541" t="s">
        <v>19615</v>
      </c>
      <c r="AM2541">
        <v>10284</v>
      </c>
      <c r="AS2541">
        <v>1</v>
      </c>
      <c r="AT2541" t="s">
        <v>443</v>
      </c>
      <c r="AU2541" t="s">
        <v>174</v>
      </c>
      <c r="AV2541" t="s">
        <v>20733</v>
      </c>
    </row>
    <row r="2542" spans="1:48">
      <c r="A2542" s="1">
        <f>HYPERLINK("https://lsnyc.legalserver.org/matter/dynamic-profile/view/1882290","18-1882290")</f>
        <v>0</v>
      </c>
      <c r="B2542" t="s">
        <v>114</v>
      </c>
      <c r="C2542" t="s">
        <v>257</v>
      </c>
      <c r="D2542" t="s">
        <v>477</v>
      </c>
      <c r="E2542" t="s">
        <v>263</v>
      </c>
      <c r="F2542" t="s">
        <v>2253</v>
      </c>
      <c r="G2542" t="s">
        <v>3364</v>
      </c>
      <c r="H2542" t="s">
        <v>5907</v>
      </c>
      <c r="I2542" t="s">
        <v>8622</v>
      </c>
      <c r="J2542" t="s">
        <v>9065</v>
      </c>
      <c r="K2542">
        <v>10451</v>
      </c>
      <c r="L2542" t="s">
        <v>9094</v>
      </c>
      <c r="M2542" t="s">
        <v>9094</v>
      </c>
      <c r="N2542" t="s">
        <v>9259</v>
      </c>
      <c r="O2542" t="s">
        <v>11130</v>
      </c>
      <c r="P2542" t="s">
        <v>11165</v>
      </c>
      <c r="Q2542" t="s">
        <v>11174</v>
      </c>
      <c r="R2542" t="s">
        <v>11180</v>
      </c>
      <c r="S2542" t="s">
        <v>9094</v>
      </c>
      <c r="T2542" t="s">
        <v>11183</v>
      </c>
      <c r="V2542" t="s">
        <v>738</v>
      </c>
      <c r="W2542">
        <v>1212.06</v>
      </c>
      <c r="X2542" t="s">
        <v>11333</v>
      </c>
      <c r="Y2542" t="s">
        <v>11346</v>
      </c>
      <c r="Z2542" t="s">
        <v>13092</v>
      </c>
      <c r="AB2542" t="s">
        <v>17454</v>
      </c>
      <c r="AC2542">
        <v>100</v>
      </c>
      <c r="AD2542" t="s">
        <v>19566</v>
      </c>
      <c r="AE2542" t="s">
        <v>9144</v>
      </c>
      <c r="AF2542">
        <v>11</v>
      </c>
      <c r="AG2542">
        <v>1</v>
      </c>
      <c r="AH2542">
        <v>0</v>
      </c>
      <c r="AI2542">
        <v>84.70999999999999</v>
      </c>
      <c r="AL2542" t="s">
        <v>19615</v>
      </c>
      <c r="AM2542">
        <v>10284</v>
      </c>
      <c r="AS2542">
        <v>4.8</v>
      </c>
      <c r="AT2542" t="s">
        <v>263</v>
      </c>
      <c r="AU2542" t="s">
        <v>163</v>
      </c>
    </row>
    <row r="2543" spans="1:48">
      <c r="A2543" s="1">
        <f>HYPERLINK("https://lsnyc.legalserver.org/matter/dynamic-profile/view/1862125","18-1862125")</f>
        <v>0</v>
      </c>
      <c r="B2543" t="s">
        <v>127</v>
      </c>
      <c r="C2543" t="s">
        <v>256</v>
      </c>
      <c r="D2543" t="s">
        <v>873</v>
      </c>
      <c r="F2543" t="s">
        <v>1143</v>
      </c>
      <c r="G2543" t="s">
        <v>4477</v>
      </c>
      <c r="H2543" t="s">
        <v>6986</v>
      </c>
      <c r="I2543">
        <v>412</v>
      </c>
      <c r="J2543" t="s">
        <v>9066</v>
      </c>
      <c r="K2543">
        <v>10305</v>
      </c>
      <c r="L2543" t="s">
        <v>9094</v>
      </c>
      <c r="M2543" t="s">
        <v>9095</v>
      </c>
      <c r="N2543" t="s">
        <v>10101</v>
      </c>
      <c r="O2543" t="s">
        <v>11129</v>
      </c>
      <c r="P2543" t="s">
        <v>11165</v>
      </c>
      <c r="R2543" t="s">
        <v>11180</v>
      </c>
      <c r="S2543" t="s">
        <v>9094</v>
      </c>
      <c r="T2543" t="s">
        <v>11183</v>
      </c>
      <c r="V2543" t="s">
        <v>873</v>
      </c>
      <c r="W2543">
        <v>758</v>
      </c>
      <c r="X2543" t="s">
        <v>11334</v>
      </c>
      <c r="Y2543" t="s">
        <v>11350</v>
      </c>
      <c r="Z2543" t="s">
        <v>13093</v>
      </c>
      <c r="AA2543" t="s">
        <v>15711</v>
      </c>
      <c r="AB2543" t="s">
        <v>17455</v>
      </c>
      <c r="AC2543">
        <v>84</v>
      </c>
      <c r="AD2543" t="s">
        <v>19566</v>
      </c>
      <c r="AE2543" t="s">
        <v>19587</v>
      </c>
      <c r="AF2543">
        <v>8</v>
      </c>
      <c r="AG2543">
        <v>1</v>
      </c>
      <c r="AH2543">
        <v>0</v>
      </c>
      <c r="AI2543">
        <v>84.70999999999999</v>
      </c>
      <c r="AL2543" t="s">
        <v>19614</v>
      </c>
      <c r="AM2543">
        <v>10284</v>
      </c>
      <c r="AS2543">
        <v>29.6</v>
      </c>
      <c r="AT2543" t="s">
        <v>264</v>
      </c>
      <c r="AU2543" t="s">
        <v>20667</v>
      </c>
    </row>
    <row r="2544" spans="1:48">
      <c r="A2544" s="1">
        <f>HYPERLINK("https://lsnyc.legalserver.org/matter/dynamic-profile/view/1863069","18-1863069")</f>
        <v>0</v>
      </c>
      <c r="B2544" t="s">
        <v>140</v>
      </c>
      <c r="C2544" t="s">
        <v>256</v>
      </c>
      <c r="D2544" t="s">
        <v>873</v>
      </c>
      <c r="F2544" t="s">
        <v>2254</v>
      </c>
      <c r="G2544" t="s">
        <v>3970</v>
      </c>
      <c r="H2544" t="s">
        <v>5942</v>
      </c>
      <c r="I2544" t="s">
        <v>8475</v>
      </c>
      <c r="J2544" t="s">
        <v>9067</v>
      </c>
      <c r="K2544">
        <v>10034</v>
      </c>
      <c r="L2544" t="s">
        <v>9094</v>
      </c>
      <c r="M2544" t="s">
        <v>9095</v>
      </c>
      <c r="O2544" t="s">
        <v>11130</v>
      </c>
      <c r="P2544" t="s">
        <v>11165</v>
      </c>
      <c r="R2544" t="s">
        <v>11180</v>
      </c>
      <c r="S2544" t="s">
        <v>9094</v>
      </c>
      <c r="T2544" t="s">
        <v>11183</v>
      </c>
      <c r="V2544" t="s">
        <v>873</v>
      </c>
      <c r="W2544">
        <v>262.6</v>
      </c>
      <c r="X2544" t="s">
        <v>11335</v>
      </c>
      <c r="Y2544" t="s">
        <v>11338</v>
      </c>
      <c r="Z2544" t="s">
        <v>13094</v>
      </c>
      <c r="AA2544" t="s">
        <v>15712</v>
      </c>
      <c r="AB2544" t="s">
        <v>17456</v>
      </c>
      <c r="AC2544">
        <v>60</v>
      </c>
      <c r="AD2544" t="s">
        <v>19566</v>
      </c>
      <c r="AE2544" t="s">
        <v>9144</v>
      </c>
      <c r="AF2544">
        <v>10</v>
      </c>
      <c r="AG2544">
        <v>1</v>
      </c>
      <c r="AH2544">
        <v>0</v>
      </c>
      <c r="AI2544">
        <v>84.70999999999999</v>
      </c>
      <c r="AL2544" t="s">
        <v>19615</v>
      </c>
      <c r="AM2544">
        <v>10284</v>
      </c>
      <c r="AS2544">
        <v>3.21</v>
      </c>
      <c r="AT2544" t="s">
        <v>703</v>
      </c>
      <c r="AU2544" t="s">
        <v>130</v>
      </c>
    </row>
    <row r="2545" spans="1:48">
      <c r="A2545" s="1">
        <f>HYPERLINK("https://lsnyc.legalserver.org/matter/dynamic-profile/view/1869991","18-1869991")</f>
        <v>0</v>
      </c>
      <c r="B2545" t="s">
        <v>78</v>
      </c>
      <c r="C2545" t="s">
        <v>257</v>
      </c>
      <c r="D2545" t="s">
        <v>592</v>
      </c>
      <c r="E2545" t="s">
        <v>426</v>
      </c>
      <c r="F2545" t="s">
        <v>2255</v>
      </c>
      <c r="G2545" t="s">
        <v>4478</v>
      </c>
      <c r="H2545" t="s">
        <v>6277</v>
      </c>
      <c r="I2545" t="s">
        <v>8124</v>
      </c>
      <c r="J2545" t="s">
        <v>9059</v>
      </c>
      <c r="K2545">
        <v>11206</v>
      </c>
      <c r="L2545" t="s">
        <v>9094</v>
      </c>
      <c r="M2545" t="s">
        <v>9095</v>
      </c>
      <c r="N2545" t="s">
        <v>9553</v>
      </c>
      <c r="O2545" t="s">
        <v>11134</v>
      </c>
      <c r="P2545" t="s">
        <v>11168</v>
      </c>
      <c r="Q2545" t="s">
        <v>11177</v>
      </c>
      <c r="R2545" t="s">
        <v>11180</v>
      </c>
      <c r="S2545" t="s">
        <v>9094</v>
      </c>
      <c r="T2545" t="s">
        <v>11183</v>
      </c>
      <c r="V2545" t="s">
        <v>975</v>
      </c>
      <c r="W2545">
        <v>1083</v>
      </c>
      <c r="X2545" t="s">
        <v>11332</v>
      </c>
      <c r="Y2545" t="s">
        <v>11340</v>
      </c>
      <c r="Z2545" t="s">
        <v>13095</v>
      </c>
      <c r="AB2545" t="s">
        <v>17457</v>
      </c>
      <c r="AC2545">
        <v>11</v>
      </c>
      <c r="AD2545" t="s">
        <v>19566</v>
      </c>
      <c r="AE2545" t="s">
        <v>19580</v>
      </c>
      <c r="AF2545">
        <v>25</v>
      </c>
      <c r="AG2545">
        <v>1</v>
      </c>
      <c r="AH2545">
        <v>0</v>
      </c>
      <c r="AI2545">
        <v>84.77</v>
      </c>
      <c r="AL2545" t="s">
        <v>19615</v>
      </c>
      <c r="AM2545">
        <v>10291.68</v>
      </c>
      <c r="AS2545">
        <v>1</v>
      </c>
      <c r="AT2545" t="s">
        <v>490</v>
      </c>
      <c r="AU2545" t="s">
        <v>95</v>
      </c>
    </row>
    <row r="2546" spans="1:48">
      <c r="A2546" s="1">
        <f>HYPERLINK("https://lsnyc.legalserver.org/matter/dynamic-profile/view/0821975","16-0821975")</f>
        <v>0</v>
      </c>
      <c r="B2546" t="s">
        <v>103</v>
      </c>
      <c r="C2546" t="s">
        <v>256</v>
      </c>
      <c r="D2546" t="s">
        <v>463</v>
      </c>
      <c r="F2546" t="s">
        <v>2180</v>
      </c>
      <c r="G2546" t="s">
        <v>3536</v>
      </c>
      <c r="H2546" t="s">
        <v>5899</v>
      </c>
      <c r="I2546" t="s">
        <v>8216</v>
      </c>
      <c r="J2546" t="s">
        <v>9065</v>
      </c>
      <c r="K2546">
        <v>10452</v>
      </c>
      <c r="L2546" t="s">
        <v>9094</v>
      </c>
      <c r="M2546" t="s">
        <v>9095</v>
      </c>
      <c r="O2546" t="s">
        <v>11135</v>
      </c>
      <c r="P2546" t="s">
        <v>11168</v>
      </c>
      <c r="R2546" t="s">
        <v>11180</v>
      </c>
      <c r="S2546" t="s">
        <v>9094</v>
      </c>
      <c r="T2546" t="s">
        <v>11183</v>
      </c>
      <c r="V2546" t="s">
        <v>463</v>
      </c>
      <c r="W2546">
        <v>676</v>
      </c>
      <c r="X2546" t="s">
        <v>11333</v>
      </c>
      <c r="Y2546" t="s">
        <v>11346</v>
      </c>
      <c r="Z2546" t="s">
        <v>13096</v>
      </c>
      <c r="AB2546" t="s">
        <v>17298</v>
      </c>
      <c r="AC2546">
        <v>63</v>
      </c>
      <c r="AD2546" t="s">
        <v>19566</v>
      </c>
      <c r="AE2546" t="s">
        <v>19587</v>
      </c>
      <c r="AF2546">
        <v>28</v>
      </c>
      <c r="AG2546">
        <v>1</v>
      </c>
      <c r="AH2546">
        <v>0</v>
      </c>
      <c r="AI2546">
        <v>84.84999999999999</v>
      </c>
      <c r="AL2546" t="s">
        <v>19615</v>
      </c>
      <c r="AM2546">
        <v>10080</v>
      </c>
      <c r="AS2546">
        <v>0</v>
      </c>
      <c r="AU2546" t="s">
        <v>20643</v>
      </c>
    </row>
    <row r="2547" spans="1:48">
      <c r="A2547" s="1">
        <f>HYPERLINK("https://lsnyc.legalserver.org/matter/dynamic-profile/view/0821979","16-0821979")</f>
        <v>0</v>
      </c>
      <c r="B2547" t="s">
        <v>103</v>
      </c>
      <c r="C2547" t="s">
        <v>256</v>
      </c>
      <c r="D2547" t="s">
        <v>519</v>
      </c>
      <c r="F2547" t="s">
        <v>2180</v>
      </c>
      <c r="G2547" t="s">
        <v>3536</v>
      </c>
      <c r="H2547" t="s">
        <v>5899</v>
      </c>
      <c r="I2547" t="s">
        <v>8216</v>
      </c>
      <c r="J2547" t="s">
        <v>9065</v>
      </c>
      <c r="K2547">
        <v>10452</v>
      </c>
      <c r="L2547" t="s">
        <v>9094</v>
      </c>
      <c r="M2547" t="s">
        <v>9095</v>
      </c>
      <c r="O2547" t="s">
        <v>11135</v>
      </c>
      <c r="P2547" t="s">
        <v>11168</v>
      </c>
      <c r="R2547" t="s">
        <v>11180</v>
      </c>
      <c r="S2547" t="s">
        <v>9094</v>
      </c>
      <c r="T2547" t="s">
        <v>11183</v>
      </c>
      <c r="V2547" t="s">
        <v>519</v>
      </c>
      <c r="W2547">
        <v>676</v>
      </c>
      <c r="X2547" t="s">
        <v>11333</v>
      </c>
      <c r="Y2547" t="s">
        <v>11346</v>
      </c>
      <c r="Z2547" t="s">
        <v>13096</v>
      </c>
      <c r="AB2547" t="s">
        <v>17298</v>
      </c>
      <c r="AC2547">
        <v>63</v>
      </c>
      <c r="AD2547" t="s">
        <v>19566</v>
      </c>
      <c r="AE2547" t="s">
        <v>19587</v>
      </c>
      <c r="AF2547">
        <v>28</v>
      </c>
      <c r="AG2547">
        <v>1</v>
      </c>
      <c r="AH2547">
        <v>0</v>
      </c>
      <c r="AI2547">
        <v>84.84999999999999</v>
      </c>
      <c r="AL2547" t="s">
        <v>19615</v>
      </c>
      <c r="AM2547">
        <v>10080</v>
      </c>
      <c r="AS2547">
        <v>0</v>
      </c>
      <c r="AU2547" t="s">
        <v>20643</v>
      </c>
    </row>
    <row r="2548" spans="1:48">
      <c r="A2548" s="1">
        <f>HYPERLINK("https://lsnyc.legalserver.org/matter/dynamic-profile/view/1880606","18-1880606")</f>
        <v>0</v>
      </c>
      <c r="B2548" t="s">
        <v>103</v>
      </c>
      <c r="C2548" t="s">
        <v>256</v>
      </c>
      <c r="D2548" t="s">
        <v>477</v>
      </c>
      <c r="F2548" t="s">
        <v>2256</v>
      </c>
      <c r="G2548" t="s">
        <v>4479</v>
      </c>
      <c r="H2548" t="s">
        <v>6413</v>
      </c>
      <c r="I2548" t="s">
        <v>8212</v>
      </c>
      <c r="J2548" t="s">
        <v>9065</v>
      </c>
      <c r="K2548">
        <v>10456</v>
      </c>
      <c r="L2548" t="s">
        <v>9094</v>
      </c>
      <c r="M2548" t="s">
        <v>9094</v>
      </c>
      <c r="N2548" t="s">
        <v>9732</v>
      </c>
      <c r="O2548" t="s">
        <v>11134</v>
      </c>
      <c r="P2548" t="s">
        <v>11168</v>
      </c>
      <c r="R2548" t="s">
        <v>11180</v>
      </c>
      <c r="S2548" t="s">
        <v>9094</v>
      </c>
      <c r="T2548" t="s">
        <v>11183</v>
      </c>
      <c r="V2548" t="s">
        <v>299</v>
      </c>
      <c r="W2548">
        <v>998</v>
      </c>
      <c r="X2548" t="s">
        <v>11333</v>
      </c>
      <c r="Y2548" t="s">
        <v>11346</v>
      </c>
      <c r="Z2548" t="s">
        <v>12814</v>
      </c>
      <c r="AB2548" t="s">
        <v>17458</v>
      </c>
      <c r="AC2548">
        <v>61</v>
      </c>
      <c r="AD2548" t="s">
        <v>19566</v>
      </c>
      <c r="AE2548" t="s">
        <v>19581</v>
      </c>
      <c r="AF2548">
        <v>12</v>
      </c>
      <c r="AG2548">
        <v>1</v>
      </c>
      <c r="AH2548">
        <v>2</v>
      </c>
      <c r="AI2548">
        <v>84.87</v>
      </c>
      <c r="AL2548" t="s">
        <v>19615</v>
      </c>
      <c r="AM2548">
        <v>17636</v>
      </c>
      <c r="AS2548">
        <v>0</v>
      </c>
      <c r="AU2548" t="s">
        <v>20642</v>
      </c>
    </row>
    <row r="2549" spans="1:48">
      <c r="A2549" s="1">
        <f>HYPERLINK("https://lsnyc.legalserver.org/matter/dynamic-profile/view/1898775","19-1898775")</f>
        <v>0</v>
      </c>
      <c r="B2549" t="s">
        <v>62</v>
      </c>
      <c r="C2549" t="s">
        <v>256</v>
      </c>
      <c r="D2549" t="s">
        <v>361</v>
      </c>
      <c r="F2549" t="s">
        <v>1146</v>
      </c>
      <c r="G2549" t="s">
        <v>3448</v>
      </c>
      <c r="H2549" t="s">
        <v>6987</v>
      </c>
      <c r="I2549" t="s">
        <v>8623</v>
      </c>
      <c r="J2549" t="s">
        <v>9088</v>
      </c>
      <c r="K2549">
        <v>11369</v>
      </c>
      <c r="L2549" t="s">
        <v>9094</v>
      </c>
      <c r="M2549" t="s">
        <v>9094</v>
      </c>
      <c r="N2549" t="s">
        <v>10102</v>
      </c>
      <c r="O2549" t="s">
        <v>11128</v>
      </c>
      <c r="P2549" t="s">
        <v>11165</v>
      </c>
      <c r="R2549" t="s">
        <v>11180</v>
      </c>
      <c r="S2549" t="s">
        <v>9096</v>
      </c>
      <c r="T2549" t="s">
        <v>11183</v>
      </c>
      <c r="U2549" t="s">
        <v>11201</v>
      </c>
      <c r="V2549" t="s">
        <v>361</v>
      </c>
      <c r="W2549">
        <v>1396</v>
      </c>
      <c r="X2549" t="s">
        <v>11331</v>
      </c>
      <c r="Y2549" t="s">
        <v>11336</v>
      </c>
      <c r="Z2549" t="s">
        <v>13097</v>
      </c>
      <c r="AB2549" t="s">
        <v>17459</v>
      </c>
      <c r="AC2549">
        <v>2</v>
      </c>
      <c r="AF2549">
        <v>11</v>
      </c>
      <c r="AG2549">
        <v>3</v>
      </c>
      <c r="AH2549">
        <v>0</v>
      </c>
      <c r="AI2549">
        <v>84.89</v>
      </c>
      <c r="AL2549" t="s">
        <v>19615</v>
      </c>
      <c r="AM2549">
        <v>18108</v>
      </c>
      <c r="AS2549">
        <v>47.8</v>
      </c>
      <c r="AT2549" t="s">
        <v>321</v>
      </c>
      <c r="AU2549" t="s">
        <v>20622</v>
      </c>
      <c r="AV2549" t="s">
        <v>20733</v>
      </c>
    </row>
    <row r="2550" spans="1:48">
      <c r="A2550" s="1">
        <f>HYPERLINK("https://lsnyc.legalserver.org/matter/dynamic-profile/view/0789082","15-0789082")</f>
        <v>0</v>
      </c>
      <c r="B2550" t="s">
        <v>119</v>
      </c>
      <c r="C2550" t="s">
        <v>256</v>
      </c>
      <c r="D2550" t="s">
        <v>811</v>
      </c>
      <c r="F2550" t="s">
        <v>1413</v>
      </c>
      <c r="G2550" t="s">
        <v>4453</v>
      </c>
      <c r="H2550" t="s">
        <v>5897</v>
      </c>
      <c r="I2550" t="s">
        <v>8602</v>
      </c>
      <c r="J2550" t="s">
        <v>9065</v>
      </c>
      <c r="K2550">
        <v>10452</v>
      </c>
      <c r="L2550" t="s">
        <v>9094</v>
      </c>
      <c r="M2550" t="s">
        <v>9095</v>
      </c>
      <c r="N2550" t="s">
        <v>10103</v>
      </c>
      <c r="O2550" t="s">
        <v>11132</v>
      </c>
      <c r="P2550" t="s">
        <v>11165</v>
      </c>
      <c r="R2550" t="s">
        <v>11180</v>
      </c>
      <c r="S2550" t="s">
        <v>9094</v>
      </c>
      <c r="T2550" t="s">
        <v>11183</v>
      </c>
      <c r="V2550" t="s">
        <v>673</v>
      </c>
      <c r="W2550">
        <v>1057</v>
      </c>
      <c r="X2550" t="s">
        <v>11333</v>
      </c>
      <c r="Y2550" t="s">
        <v>11347</v>
      </c>
      <c r="Z2550" t="s">
        <v>13034</v>
      </c>
      <c r="AA2550" t="s">
        <v>15701</v>
      </c>
      <c r="AB2550" t="s">
        <v>17403</v>
      </c>
      <c r="AC2550">
        <v>0</v>
      </c>
      <c r="AF2550">
        <v>23</v>
      </c>
      <c r="AG2550">
        <v>1</v>
      </c>
      <c r="AH2550">
        <v>0</v>
      </c>
      <c r="AI2550">
        <v>84.93000000000001</v>
      </c>
      <c r="AL2550" t="s">
        <v>19615</v>
      </c>
      <c r="AM2550">
        <v>9996</v>
      </c>
      <c r="AN2550" t="s">
        <v>19881</v>
      </c>
      <c r="AS2550">
        <v>0.2</v>
      </c>
      <c r="AT2550" t="s">
        <v>507</v>
      </c>
      <c r="AU2550" t="s">
        <v>109</v>
      </c>
    </row>
    <row r="2551" spans="1:48">
      <c r="A2551" s="1">
        <f>HYPERLINK("https://lsnyc.legalserver.org/matter/dynamic-profile/view/1874415","18-1874415")</f>
        <v>0</v>
      </c>
      <c r="B2551" t="s">
        <v>111</v>
      </c>
      <c r="C2551" t="s">
        <v>256</v>
      </c>
      <c r="D2551" t="s">
        <v>260</v>
      </c>
      <c r="F2551" t="s">
        <v>1673</v>
      </c>
      <c r="G2551" t="s">
        <v>3840</v>
      </c>
      <c r="H2551" t="s">
        <v>6260</v>
      </c>
      <c r="I2551" t="s">
        <v>8196</v>
      </c>
      <c r="J2551" t="s">
        <v>9065</v>
      </c>
      <c r="K2551">
        <v>10452</v>
      </c>
      <c r="L2551" t="s">
        <v>9094</v>
      </c>
      <c r="M2551" t="s">
        <v>9094</v>
      </c>
      <c r="N2551" t="s">
        <v>10104</v>
      </c>
      <c r="O2551" t="s">
        <v>11129</v>
      </c>
      <c r="P2551" t="s">
        <v>11165</v>
      </c>
      <c r="R2551" t="s">
        <v>11180</v>
      </c>
      <c r="S2551" t="s">
        <v>9096</v>
      </c>
      <c r="T2551" t="s">
        <v>11183</v>
      </c>
      <c r="U2551" t="s">
        <v>11201</v>
      </c>
      <c r="V2551" t="s">
        <v>514</v>
      </c>
      <c r="W2551">
        <v>1285</v>
      </c>
      <c r="X2551" t="s">
        <v>11333</v>
      </c>
      <c r="Y2551" t="s">
        <v>11340</v>
      </c>
      <c r="Z2551" t="s">
        <v>12019</v>
      </c>
      <c r="AB2551" t="s">
        <v>16467</v>
      </c>
      <c r="AC2551">
        <v>71</v>
      </c>
      <c r="AD2551" t="s">
        <v>19566</v>
      </c>
      <c r="AE2551" t="s">
        <v>9144</v>
      </c>
      <c r="AF2551">
        <v>15</v>
      </c>
      <c r="AG2551">
        <v>1</v>
      </c>
      <c r="AH2551">
        <v>4</v>
      </c>
      <c r="AI2551">
        <v>84.95999999999999</v>
      </c>
      <c r="AL2551" t="s">
        <v>19632</v>
      </c>
      <c r="AM2551">
        <v>24996</v>
      </c>
      <c r="AS2551">
        <v>17.9</v>
      </c>
      <c r="AT2551" t="s">
        <v>711</v>
      </c>
      <c r="AU2551" t="s">
        <v>158</v>
      </c>
    </row>
    <row r="2552" spans="1:48">
      <c r="A2552" s="1">
        <f>HYPERLINK("https://lsnyc.legalserver.org/matter/dynamic-profile/view/1901417","19-1901417")</f>
        <v>0</v>
      </c>
      <c r="B2552" t="s">
        <v>101</v>
      </c>
      <c r="C2552" t="s">
        <v>256</v>
      </c>
      <c r="D2552" t="s">
        <v>559</v>
      </c>
      <c r="F2552" t="s">
        <v>1143</v>
      </c>
      <c r="G2552" t="s">
        <v>2341</v>
      </c>
      <c r="H2552" t="s">
        <v>6113</v>
      </c>
      <c r="I2552" t="s">
        <v>8112</v>
      </c>
      <c r="J2552" t="s">
        <v>9065</v>
      </c>
      <c r="K2552">
        <v>10452</v>
      </c>
      <c r="L2552" t="s">
        <v>9094</v>
      </c>
      <c r="M2552" t="s">
        <v>9095</v>
      </c>
      <c r="O2552" t="s">
        <v>11134</v>
      </c>
      <c r="P2552" t="s">
        <v>11165</v>
      </c>
      <c r="R2552" t="s">
        <v>11180</v>
      </c>
      <c r="S2552" t="s">
        <v>9094</v>
      </c>
      <c r="T2552" t="s">
        <v>11183</v>
      </c>
      <c r="V2552" t="s">
        <v>11218</v>
      </c>
      <c r="W2552">
        <v>1200</v>
      </c>
      <c r="X2552" t="s">
        <v>11333</v>
      </c>
      <c r="Y2552" t="s">
        <v>11339</v>
      </c>
      <c r="Z2552" t="s">
        <v>13098</v>
      </c>
      <c r="AC2552">
        <v>52</v>
      </c>
      <c r="AD2552" t="s">
        <v>19566</v>
      </c>
      <c r="AE2552" t="s">
        <v>19585</v>
      </c>
      <c r="AF2552">
        <v>1</v>
      </c>
      <c r="AG2552">
        <v>1</v>
      </c>
      <c r="AH2552">
        <v>0</v>
      </c>
      <c r="AI2552">
        <v>85.03</v>
      </c>
      <c r="AL2552" t="s">
        <v>19614</v>
      </c>
      <c r="AM2552">
        <v>10620</v>
      </c>
      <c r="AS2552">
        <v>0</v>
      </c>
      <c r="AU2552" t="s">
        <v>220</v>
      </c>
      <c r="AV2552" t="s">
        <v>20733</v>
      </c>
    </row>
    <row r="2553" spans="1:48">
      <c r="A2553" s="1">
        <f>HYPERLINK("https://lsnyc.legalserver.org/matter/dynamic-profile/view/1878919","18-1878919")</f>
        <v>0</v>
      </c>
      <c r="B2553" t="s">
        <v>78</v>
      </c>
      <c r="C2553" t="s">
        <v>256</v>
      </c>
      <c r="D2553" t="s">
        <v>725</v>
      </c>
      <c r="F2553" t="s">
        <v>1140</v>
      </c>
      <c r="G2553" t="s">
        <v>4451</v>
      </c>
      <c r="H2553" t="s">
        <v>6712</v>
      </c>
      <c r="I2553" t="s">
        <v>8112</v>
      </c>
      <c r="J2553" t="s">
        <v>9059</v>
      </c>
      <c r="K2553">
        <v>11221</v>
      </c>
      <c r="L2553" t="s">
        <v>9094</v>
      </c>
      <c r="M2553" t="s">
        <v>9094</v>
      </c>
      <c r="O2553" t="s">
        <v>11134</v>
      </c>
      <c r="P2553" t="s">
        <v>11168</v>
      </c>
      <c r="R2553" t="s">
        <v>11180</v>
      </c>
      <c r="S2553" t="s">
        <v>9094</v>
      </c>
      <c r="T2553" t="s">
        <v>11183</v>
      </c>
      <c r="V2553" t="s">
        <v>11236</v>
      </c>
      <c r="W2553">
        <v>336.58</v>
      </c>
      <c r="X2553" t="s">
        <v>11332</v>
      </c>
      <c r="Y2553" t="s">
        <v>11346</v>
      </c>
      <c r="Z2553" t="s">
        <v>13029</v>
      </c>
      <c r="AA2553" t="s">
        <v>15699</v>
      </c>
      <c r="AB2553" t="s">
        <v>17397</v>
      </c>
      <c r="AC2553">
        <v>12</v>
      </c>
      <c r="AD2553" t="s">
        <v>19566</v>
      </c>
      <c r="AF2553">
        <v>8</v>
      </c>
      <c r="AG2553">
        <v>1</v>
      </c>
      <c r="AH2553">
        <v>1</v>
      </c>
      <c r="AI2553">
        <v>85.05</v>
      </c>
      <c r="AL2553" t="s">
        <v>19614</v>
      </c>
      <c r="AM2553">
        <v>14000</v>
      </c>
      <c r="AS2553">
        <v>0</v>
      </c>
      <c r="AU2553" t="s">
        <v>95</v>
      </c>
    </row>
    <row r="2554" spans="1:48">
      <c r="A2554" s="1">
        <f>HYPERLINK("https://lsnyc.legalserver.org/matter/dynamic-profile/view/1878923","18-1878923")</f>
        <v>0</v>
      </c>
      <c r="B2554" t="s">
        <v>78</v>
      </c>
      <c r="C2554" t="s">
        <v>256</v>
      </c>
      <c r="D2554" t="s">
        <v>725</v>
      </c>
      <c r="F2554" t="s">
        <v>1140</v>
      </c>
      <c r="G2554" t="s">
        <v>4451</v>
      </c>
      <c r="H2554" t="s">
        <v>6712</v>
      </c>
      <c r="I2554" t="s">
        <v>8112</v>
      </c>
      <c r="J2554" t="s">
        <v>9059</v>
      </c>
      <c r="K2554">
        <v>11221</v>
      </c>
      <c r="L2554" t="s">
        <v>9094</v>
      </c>
      <c r="M2554" t="s">
        <v>9094</v>
      </c>
      <c r="N2554" t="s">
        <v>10105</v>
      </c>
      <c r="O2554" t="s">
        <v>11130</v>
      </c>
      <c r="P2554" t="s">
        <v>11165</v>
      </c>
      <c r="R2554" t="s">
        <v>11180</v>
      </c>
      <c r="S2554" t="s">
        <v>9094</v>
      </c>
      <c r="T2554" t="s">
        <v>11183</v>
      </c>
      <c r="U2554" t="s">
        <v>11201</v>
      </c>
      <c r="V2554" t="s">
        <v>11236</v>
      </c>
      <c r="W2554">
        <v>336.58</v>
      </c>
      <c r="X2554" t="s">
        <v>11332</v>
      </c>
      <c r="Y2554" t="s">
        <v>11346</v>
      </c>
      <c r="Z2554" t="s">
        <v>13029</v>
      </c>
      <c r="AA2554" t="s">
        <v>15699</v>
      </c>
      <c r="AB2554" t="s">
        <v>17397</v>
      </c>
      <c r="AC2554">
        <v>12</v>
      </c>
      <c r="AD2554" t="s">
        <v>19566</v>
      </c>
      <c r="AE2554" t="s">
        <v>9144</v>
      </c>
      <c r="AF2554">
        <v>8</v>
      </c>
      <c r="AG2554">
        <v>1</v>
      </c>
      <c r="AH2554">
        <v>1</v>
      </c>
      <c r="AI2554">
        <v>85.05</v>
      </c>
      <c r="AL2554" t="s">
        <v>19614</v>
      </c>
      <c r="AM2554">
        <v>14000</v>
      </c>
      <c r="AS2554">
        <v>0</v>
      </c>
      <c r="AU2554" t="s">
        <v>95</v>
      </c>
      <c r="AV2554" t="s">
        <v>20733</v>
      </c>
    </row>
    <row r="2555" spans="1:48">
      <c r="A2555" s="1">
        <f>HYPERLINK("https://lsnyc.legalserver.org/matter/dynamic-profile/view/1860548","18-1860548")</f>
        <v>0</v>
      </c>
      <c r="B2555" t="s">
        <v>101</v>
      </c>
      <c r="C2555" t="s">
        <v>257</v>
      </c>
      <c r="D2555" t="s">
        <v>836</v>
      </c>
      <c r="E2555" t="s">
        <v>551</v>
      </c>
      <c r="F2555" t="s">
        <v>2257</v>
      </c>
      <c r="G2555" t="s">
        <v>4480</v>
      </c>
      <c r="H2555" t="s">
        <v>5902</v>
      </c>
      <c r="I2555" t="s">
        <v>8225</v>
      </c>
      <c r="J2555" t="s">
        <v>9065</v>
      </c>
      <c r="K2555">
        <v>10452</v>
      </c>
      <c r="L2555" t="s">
        <v>9094</v>
      </c>
      <c r="M2555" t="s">
        <v>9095</v>
      </c>
      <c r="N2555" t="s">
        <v>9537</v>
      </c>
      <c r="O2555" t="s">
        <v>11130</v>
      </c>
      <c r="P2555" t="s">
        <v>11165</v>
      </c>
      <c r="Q2555" t="s">
        <v>11174</v>
      </c>
      <c r="R2555" t="s">
        <v>11180</v>
      </c>
      <c r="S2555" t="s">
        <v>9094</v>
      </c>
      <c r="T2555" t="s">
        <v>11183</v>
      </c>
      <c r="V2555" t="s">
        <v>874</v>
      </c>
      <c r="W2555">
        <v>859.3200000000001</v>
      </c>
      <c r="X2555" t="s">
        <v>11333</v>
      </c>
      <c r="Y2555" t="s">
        <v>11346</v>
      </c>
      <c r="Z2555" t="s">
        <v>13099</v>
      </c>
      <c r="AA2555" t="s">
        <v>15713</v>
      </c>
      <c r="AB2555" t="s">
        <v>17460</v>
      </c>
      <c r="AC2555">
        <v>60</v>
      </c>
      <c r="AD2555" t="s">
        <v>19566</v>
      </c>
      <c r="AE2555" t="s">
        <v>9144</v>
      </c>
      <c r="AF2555">
        <v>21</v>
      </c>
      <c r="AG2555">
        <v>2</v>
      </c>
      <c r="AH2555">
        <v>1</v>
      </c>
      <c r="AI2555">
        <v>85.08</v>
      </c>
      <c r="AL2555" t="s">
        <v>19614</v>
      </c>
      <c r="AM2555">
        <v>17680</v>
      </c>
      <c r="AS2555">
        <v>0.5</v>
      </c>
      <c r="AT2555" t="s">
        <v>551</v>
      </c>
      <c r="AU2555" t="s">
        <v>20647</v>
      </c>
    </row>
    <row r="2556" spans="1:48">
      <c r="A2556" s="1">
        <f>HYPERLINK("https://lsnyc.legalserver.org/matter/dynamic-profile/view/1868628","18-1868628")</f>
        <v>0</v>
      </c>
      <c r="B2556" t="s">
        <v>101</v>
      </c>
      <c r="C2556" t="s">
        <v>257</v>
      </c>
      <c r="D2556" t="s">
        <v>456</v>
      </c>
      <c r="E2556" t="s">
        <v>415</v>
      </c>
      <c r="F2556" t="s">
        <v>2257</v>
      </c>
      <c r="G2556" t="s">
        <v>4480</v>
      </c>
      <c r="H2556" t="s">
        <v>5902</v>
      </c>
      <c r="I2556" t="s">
        <v>8225</v>
      </c>
      <c r="J2556" t="s">
        <v>9065</v>
      </c>
      <c r="K2556">
        <v>10452</v>
      </c>
      <c r="L2556" t="s">
        <v>9094</v>
      </c>
      <c r="M2556" t="s">
        <v>9095</v>
      </c>
      <c r="O2556" t="s">
        <v>9121</v>
      </c>
      <c r="P2556" t="s">
        <v>11166</v>
      </c>
      <c r="Q2556" t="s">
        <v>11178</v>
      </c>
      <c r="R2556" t="s">
        <v>11180</v>
      </c>
      <c r="S2556" t="s">
        <v>9094</v>
      </c>
      <c r="T2556" t="s">
        <v>11183</v>
      </c>
      <c r="V2556" t="s">
        <v>588</v>
      </c>
      <c r="W2556">
        <v>859.3200000000001</v>
      </c>
      <c r="X2556" t="s">
        <v>11333</v>
      </c>
      <c r="Y2556" t="s">
        <v>11347</v>
      </c>
      <c r="Z2556" t="s">
        <v>13099</v>
      </c>
      <c r="AA2556" t="s">
        <v>15713</v>
      </c>
      <c r="AB2556" t="s">
        <v>17460</v>
      </c>
      <c r="AC2556">
        <v>60</v>
      </c>
      <c r="AD2556" t="s">
        <v>19566</v>
      </c>
      <c r="AE2556" t="s">
        <v>9144</v>
      </c>
      <c r="AF2556">
        <v>21</v>
      </c>
      <c r="AG2556">
        <v>2</v>
      </c>
      <c r="AH2556">
        <v>1</v>
      </c>
      <c r="AI2556">
        <v>85.08</v>
      </c>
      <c r="AL2556" t="s">
        <v>19614</v>
      </c>
      <c r="AM2556">
        <v>17680</v>
      </c>
      <c r="AS2556">
        <v>0.5</v>
      </c>
      <c r="AT2556" t="s">
        <v>415</v>
      </c>
      <c r="AU2556" t="s">
        <v>20647</v>
      </c>
    </row>
    <row r="2557" spans="1:48">
      <c r="A2557" s="1">
        <f>HYPERLINK("https://lsnyc.legalserver.org/matter/dynamic-profile/view/1870815","18-1870815")</f>
        <v>0</v>
      </c>
      <c r="B2557" t="s">
        <v>114</v>
      </c>
      <c r="C2557" t="s">
        <v>256</v>
      </c>
      <c r="D2557" t="s">
        <v>943</v>
      </c>
      <c r="F2557" t="s">
        <v>1346</v>
      </c>
      <c r="G2557" t="s">
        <v>4481</v>
      </c>
      <c r="H2557" t="s">
        <v>6988</v>
      </c>
      <c r="I2557" t="s">
        <v>8279</v>
      </c>
      <c r="J2557" t="s">
        <v>9065</v>
      </c>
      <c r="K2557">
        <v>10457</v>
      </c>
      <c r="L2557" t="s">
        <v>9094</v>
      </c>
      <c r="M2557" t="s">
        <v>9094</v>
      </c>
      <c r="N2557" t="s">
        <v>10106</v>
      </c>
      <c r="O2557" t="s">
        <v>11129</v>
      </c>
      <c r="P2557" t="s">
        <v>11165</v>
      </c>
      <c r="R2557" t="s">
        <v>11180</v>
      </c>
      <c r="T2557" t="s">
        <v>11183</v>
      </c>
      <c r="V2557" t="s">
        <v>1096</v>
      </c>
      <c r="W2557">
        <v>1242</v>
      </c>
      <c r="X2557" t="s">
        <v>11333</v>
      </c>
      <c r="Y2557" t="s">
        <v>11338</v>
      </c>
      <c r="Z2557" t="s">
        <v>13100</v>
      </c>
      <c r="AA2557" t="s">
        <v>15714</v>
      </c>
      <c r="AB2557" t="s">
        <v>17461</v>
      </c>
      <c r="AC2557">
        <v>54</v>
      </c>
      <c r="AD2557" t="s">
        <v>19570</v>
      </c>
      <c r="AE2557" t="s">
        <v>19580</v>
      </c>
      <c r="AF2557">
        <v>9</v>
      </c>
      <c r="AG2557">
        <v>1</v>
      </c>
      <c r="AH2557">
        <v>0</v>
      </c>
      <c r="AI2557">
        <v>85.11</v>
      </c>
      <c r="AL2557" t="s">
        <v>19614</v>
      </c>
      <c r="AM2557">
        <v>10332</v>
      </c>
      <c r="AS2557">
        <v>3.3</v>
      </c>
      <c r="AT2557" t="s">
        <v>536</v>
      </c>
      <c r="AU2557" t="s">
        <v>20629</v>
      </c>
    </row>
    <row r="2558" spans="1:48">
      <c r="A2558" s="1">
        <f>HYPERLINK("https://lsnyc.legalserver.org/matter/dynamic-profile/view/1847689","17-1847689")</f>
        <v>0</v>
      </c>
      <c r="B2558" t="s">
        <v>193</v>
      </c>
      <c r="C2558" t="s">
        <v>256</v>
      </c>
      <c r="D2558" t="s">
        <v>587</v>
      </c>
      <c r="F2558" t="s">
        <v>1336</v>
      </c>
      <c r="G2558" t="s">
        <v>3674</v>
      </c>
      <c r="H2558" t="s">
        <v>6711</v>
      </c>
      <c r="I2558" t="s">
        <v>8124</v>
      </c>
      <c r="J2558" t="s">
        <v>9039</v>
      </c>
      <c r="K2558">
        <v>11432</v>
      </c>
      <c r="L2558" t="s">
        <v>9094</v>
      </c>
      <c r="M2558" t="s">
        <v>9094</v>
      </c>
      <c r="O2558" t="s">
        <v>11133</v>
      </c>
      <c r="P2558" t="s">
        <v>11164</v>
      </c>
      <c r="R2558" t="s">
        <v>11180</v>
      </c>
      <c r="S2558" t="s">
        <v>9096</v>
      </c>
      <c r="T2558" t="s">
        <v>11183</v>
      </c>
      <c r="U2558" t="s">
        <v>11201</v>
      </c>
      <c r="V2558" t="s">
        <v>904</v>
      </c>
      <c r="W2558">
        <v>877.9299999999999</v>
      </c>
      <c r="X2558" t="s">
        <v>11331</v>
      </c>
      <c r="Y2558" t="s">
        <v>11340</v>
      </c>
      <c r="Z2558" t="s">
        <v>13101</v>
      </c>
      <c r="AB2558" t="s">
        <v>17462</v>
      </c>
      <c r="AC2558">
        <v>60</v>
      </c>
      <c r="AD2558" t="s">
        <v>19566</v>
      </c>
      <c r="AE2558" t="s">
        <v>19587</v>
      </c>
      <c r="AF2558">
        <v>38</v>
      </c>
      <c r="AG2558">
        <v>4</v>
      </c>
      <c r="AH2558">
        <v>0</v>
      </c>
      <c r="AI2558">
        <v>85.12</v>
      </c>
      <c r="AL2558" t="s">
        <v>19615</v>
      </c>
      <c r="AM2558">
        <v>20940</v>
      </c>
      <c r="AS2558">
        <v>1.35</v>
      </c>
      <c r="AT2558" t="s">
        <v>561</v>
      </c>
      <c r="AU2558" t="s">
        <v>153</v>
      </c>
    </row>
    <row r="2559" spans="1:48">
      <c r="A2559" s="1">
        <f>HYPERLINK("https://lsnyc.legalserver.org/matter/dynamic-profile/view/1856072","18-1856072")</f>
        <v>0</v>
      </c>
      <c r="B2559" t="s">
        <v>139</v>
      </c>
      <c r="C2559" t="s">
        <v>256</v>
      </c>
      <c r="D2559" t="s">
        <v>898</v>
      </c>
      <c r="F2559" t="s">
        <v>2258</v>
      </c>
      <c r="G2559" t="s">
        <v>2161</v>
      </c>
      <c r="H2559" t="s">
        <v>5948</v>
      </c>
      <c r="I2559" t="s">
        <v>8624</v>
      </c>
      <c r="J2559" t="s">
        <v>9067</v>
      </c>
      <c r="K2559">
        <v>10034</v>
      </c>
      <c r="L2559" t="s">
        <v>9094</v>
      </c>
      <c r="M2559" t="s">
        <v>9095</v>
      </c>
      <c r="O2559" t="s">
        <v>11130</v>
      </c>
      <c r="P2559" t="s">
        <v>11165</v>
      </c>
      <c r="R2559" t="s">
        <v>11180</v>
      </c>
      <c r="S2559" t="s">
        <v>9094</v>
      </c>
      <c r="T2559" t="s">
        <v>11183</v>
      </c>
      <c r="V2559" t="s">
        <v>898</v>
      </c>
      <c r="W2559">
        <v>1107</v>
      </c>
      <c r="X2559" t="s">
        <v>11335</v>
      </c>
      <c r="Y2559" t="s">
        <v>11157</v>
      </c>
      <c r="Z2559" t="s">
        <v>13102</v>
      </c>
      <c r="AB2559" t="s">
        <v>17463</v>
      </c>
      <c r="AC2559">
        <v>49</v>
      </c>
      <c r="AD2559" t="s">
        <v>19566</v>
      </c>
      <c r="AE2559" t="s">
        <v>19580</v>
      </c>
      <c r="AF2559">
        <v>30</v>
      </c>
      <c r="AG2559">
        <v>1</v>
      </c>
      <c r="AH2559">
        <v>0</v>
      </c>
      <c r="AI2559">
        <v>85.13</v>
      </c>
      <c r="AL2559" t="s">
        <v>19615</v>
      </c>
      <c r="AM2559">
        <v>10267.2</v>
      </c>
      <c r="AS2559">
        <v>0.25</v>
      </c>
      <c r="AT2559" t="s">
        <v>746</v>
      </c>
      <c r="AU2559" t="s">
        <v>130</v>
      </c>
    </row>
    <row r="2560" spans="1:48">
      <c r="A2560" s="1">
        <f>HYPERLINK("https://lsnyc.legalserver.org/matter/dynamic-profile/view/0822732","16-0822732")</f>
        <v>0</v>
      </c>
      <c r="B2560" t="s">
        <v>156</v>
      </c>
      <c r="C2560" t="s">
        <v>256</v>
      </c>
      <c r="D2560" t="s">
        <v>944</v>
      </c>
      <c r="F2560" t="s">
        <v>2208</v>
      </c>
      <c r="G2560" t="s">
        <v>3611</v>
      </c>
      <c r="H2560" t="s">
        <v>5855</v>
      </c>
      <c r="I2560" t="s">
        <v>8151</v>
      </c>
      <c r="J2560" t="s">
        <v>9065</v>
      </c>
      <c r="K2560">
        <v>10467</v>
      </c>
      <c r="L2560" t="s">
        <v>9094</v>
      </c>
      <c r="M2560" t="s">
        <v>9095</v>
      </c>
      <c r="N2560" t="s">
        <v>9220</v>
      </c>
      <c r="O2560" t="s">
        <v>11143</v>
      </c>
      <c r="P2560" t="s">
        <v>11165</v>
      </c>
      <c r="R2560" t="s">
        <v>11180</v>
      </c>
      <c r="S2560" t="s">
        <v>9094</v>
      </c>
      <c r="T2560" t="s">
        <v>11183</v>
      </c>
      <c r="V2560" t="s">
        <v>944</v>
      </c>
      <c r="W2560">
        <v>1705</v>
      </c>
      <c r="X2560" t="s">
        <v>11333</v>
      </c>
      <c r="Y2560" t="s">
        <v>11339</v>
      </c>
      <c r="Z2560" t="s">
        <v>13103</v>
      </c>
      <c r="AC2560">
        <v>30</v>
      </c>
      <c r="AD2560" t="s">
        <v>19572</v>
      </c>
      <c r="AE2560" t="s">
        <v>19580</v>
      </c>
      <c r="AF2560">
        <v>4</v>
      </c>
      <c r="AG2560">
        <v>1</v>
      </c>
      <c r="AH2560">
        <v>0</v>
      </c>
      <c r="AI2560">
        <v>85.15000000000001</v>
      </c>
      <c r="AJ2560" t="s">
        <v>865</v>
      </c>
      <c r="AL2560" t="s">
        <v>19614</v>
      </c>
      <c r="AM2560">
        <v>10116</v>
      </c>
      <c r="AS2560">
        <v>0.5</v>
      </c>
      <c r="AT2560" t="s">
        <v>328</v>
      </c>
      <c r="AU2560" t="s">
        <v>20645</v>
      </c>
    </row>
    <row r="2561" spans="1:48">
      <c r="A2561" s="1">
        <f>HYPERLINK("https://lsnyc.legalserver.org/matter/dynamic-profile/view/1908891","19-1908891")</f>
        <v>0</v>
      </c>
      <c r="B2561" t="s">
        <v>59</v>
      </c>
      <c r="C2561" t="s">
        <v>257</v>
      </c>
      <c r="D2561" t="s">
        <v>806</v>
      </c>
      <c r="E2561" t="s">
        <v>1076</v>
      </c>
      <c r="F2561" t="s">
        <v>1256</v>
      </c>
      <c r="G2561" t="s">
        <v>4482</v>
      </c>
      <c r="H2561" t="s">
        <v>6989</v>
      </c>
      <c r="I2561" t="s">
        <v>8197</v>
      </c>
      <c r="J2561" t="s">
        <v>9055</v>
      </c>
      <c r="K2561">
        <v>11367</v>
      </c>
      <c r="L2561" t="s">
        <v>9094</v>
      </c>
      <c r="M2561" t="s">
        <v>9095</v>
      </c>
      <c r="O2561" t="s">
        <v>11130</v>
      </c>
      <c r="P2561" t="s">
        <v>11167</v>
      </c>
      <c r="Q2561" t="s">
        <v>11173</v>
      </c>
      <c r="R2561" t="s">
        <v>11180</v>
      </c>
      <c r="S2561" t="s">
        <v>9096</v>
      </c>
      <c r="T2561" t="s">
        <v>11183</v>
      </c>
      <c r="U2561" t="s">
        <v>11201</v>
      </c>
      <c r="V2561" t="s">
        <v>1076</v>
      </c>
      <c r="W2561">
        <v>1063</v>
      </c>
      <c r="X2561" t="s">
        <v>11331</v>
      </c>
      <c r="Y2561" t="s">
        <v>11354</v>
      </c>
      <c r="Z2561" t="s">
        <v>13104</v>
      </c>
      <c r="AA2561" t="s">
        <v>15274</v>
      </c>
      <c r="AB2561" t="s">
        <v>17464</v>
      </c>
      <c r="AC2561">
        <v>12</v>
      </c>
      <c r="AD2561" t="s">
        <v>19569</v>
      </c>
      <c r="AE2561" t="s">
        <v>19587</v>
      </c>
      <c r="AF2561">
        <v>30</v>
      </c>
      <c r="AG2561">
        <v>2</v>
      </c>
      <c r="AH2561">
        <v>0</v>
      </c>
      <c r="AI2561">
        <v>85.16</v>
      </c>
      <c r="AL2561" t="s">
        <v>19615</v>
      </c>
      <c r="AM2561">
        <v>14400</v>
      </c>
      <c r="AS2561">
        <v>1.85</v>
      </c>
      <c r="AT2561" t="s">
        <v>1076</v>
      </c>
      <c r="AU2561" t="s">
        <v>20635</v>
      </c>
      <c r="AV2561" t="s">
        <v>20733</v>
      </c>
    </row>
    <row r="2562" spans="1:48">
      <c r="A2562" s="1">
        <f>HYPERLINK("https://lsnyc.legalserver.org/matter/dynamic-profile/view/1894832","19-1894832")</f>
        <v>0</v>
      </c>
      <c r="B2562" t="s">
        <v>90</v>
      </c>
      <c r="C2562" t="s">
        <v>257</v>
      </c>
      <c r="D2562" t="s">
        <v>694</v>
      </c>
      <c r="E2562" t="s">
        <v>307</v>
      </c>
      <c r="F2562" t="s">
        <v>1726</v>
      </c>
      <c r="G2562" t="s">
        <v>4128</v>
      </c>
      <c r="H2562" t="s">
        <v>6990</v>
      </c>
      <c r="I2562" t="s">
        <v>8154</v>
      </c>
      <c r="J2562" t="s">
        <v>9059</v>
      </c>
      <c r="K2562">
        <v>11233</v>
      </c>
      <c r="L2562" t="s">
        <v>9094</v>
      </c>
      <c r="M2562" t="s">
        <v>9096</v>
      </c>
      <c r="N2562" t="s">
        <v>10107</v>
      </c>
      <c r="O2562" t="s">
        <v>11129</v>
      </c>
      <c r="P2562" t="s">
        <v>11165</v>
      </c>
      <c r="Q2562" t="s">
        <v>11179</v>
      </c>
      <c r="R2562" t="s">
        <v>11180</v>
      </c>
      <c r="S2562" t="s">
        <v>9096</v>
      </c>
      <c r="T2562" t="s">
        <v>11183</v>
      </c>
      <c r="U2562" t="s">
        <v>11201</v>
      </c>
      <c r="V2562" t="s">
        <v>376</v>
      </c>
      <c r="W2562">
        <v>2350</v>
      </c>
      <c r="X2562" t="s">
        <v>11332</v>
      </c>
      <c r="Y2562" t="s">
        <v>11340</v>
      </c>
      <c r="Z2562" t="s">
        <v>13105</v>
      </c>
      <c r="AA2562" t="s">
        <v>9144</v>
      </c>
      <c r="AB2562" t="s">
        <v>17465</v>
      </c>
      <c r="AC2562">
        <v>7</v>
      </c>
      <c r="AD2562" t="s">
        <v>19566</v>
      </c>
      <c r="AE2562" t="s">
        <v>9144</v>
      </c>
      <c r="AF2562">
        <v>3</v>
      </c>
      <c r="AG2562">
        <v>2</v>
      </c>
      <c r="AH2562">
        <v>0</v>
      </c>
      <c r="AI2562">
        <v>85.16</v>
      </c>
      <c r="AL2562" t="s">
        <v>19614</v>
      </c>
      <c r="AM2562">
        <v>14400</v>
      </c>
      <c r="AS2562">
        <v>58.65</v>
      </c>
      <c r="AT2562" t="s">
        <v>779</v>
      </c>
      <c r="AU2562" t="s">
        <v>95</v>
      </c>
      <c r="AV2562" t="s">
        <v>20733</v>
      </c>
    </row>
    <row r="2563" spans="1:48">
      <c r="A2563" s="1">
        <f>HYPERLINK("https://lsnyc.legalserver.org/matter/dynamic-profile/view/1905689","19-1905689")</f>
        <v>0</v>
      </c>
      <c r="B2563" t="s">
        <v>82</v>
      </c>
      <c r="C2563" t="s">
        <v>256</v>
      </c>
      <c r="D2563" t="s">
        <v>429</v>
      </c>
      <c r="F2563" t="s">
        <v>2259</v>
      </c>
      <c r="G2563" t="s">
        <v>4483</v>
      </c>
      <c r="H2563" t="s">
        <v>6393</v>
      </c>
      <c r="I2563" t="s">
        <v>8153</v>
      </c>
      <c r="J2563" t="s">
        <v>9059</v>
      </c>
      <c r="K2563">
        <v>11226</v>
      </c>
      <c r="L2563" t="s">
        <v>9094</v>
      </c>
      <c r="M2563" t="s">
        <v>9095</v>
      </c>
      <c r="O2563" t="s">
        <v>11134</v>
      </c>
      <c r="P2563" t="s">
        <v>11168</v>
      </c>
      <c r="R2563" t="s">
        <v>11180</v>
      </c>
      <c r="S2563" t="s">
        <v>9094</v>
      </c>
      <c r="T2563" t="s">
        <v>11183</v>
      </c>
      <c r="V2563" t="s">
        <v>328</v>
      </c>
      <c r="W2563">
        <v>0</v>
      </c>
      <c r="X2563" t="s">
        <v>11332</v>
      </c>
      <c r="Z2563" t="s">
        <v>13106</v>
      </c>
      <c r="AB2563" t="s">
        <v>17466</v>
      </c>
      <c r="AC2563">
        <v>36</v>
      </c>
      <c r="AD2563" t="s">
        <v>19566</v>
      </c>
      <c r="AF2563">
        <v>0</v>
      </c>
      <c r="AG2563">
        <v>2</v>
      </c>
      <c r="AH2563">
        <v>0</v>
      </c>
      <c r="AI2563">
        <v>85.16</v>
      </c>
      <c r="AL2563" t="s">
        <v>19614</v>
      </c>
      <c r="AM2563">
        <v>14400</v>
      </c>
      <c r="AS2563">
        <v>2.4</v>
      </c>
      <c r="AT2563" t="s">
        <v>301</v>
      </c>
      <c r="AU2563" t="s">
        <v>67</v>
      </c>
    </row>
    <row r="2564" spans="1:48">
      <c r="A2564" s="1">
        <f>HYPERLINK("https://lsnyc.legalserver.org/matter/dynamic-profile/view/1900433","19-1900433")</f>
        <v>0</v>
      </c>
      <c r="B2564" t="s">
        <v>82</v>
      </c>
      <c r="C2564" t="s">
        <v>256</v>
      </c>
      <c r="D2564" t="s">
        <v>262</v>
      </c>
      <c r="F2564" t="s">
        <v>2259</v>
      </c>
      <c r="G2564" t="s">
        <v>4483</v>
      </c>
      <c r="H2564" t="s">
        <v>6393</v>
      </c>
      <c r="I2564" t="s">
        <v>8153</v>
      </c>
      <c r="J2564" t="s">
        <v>9059</v>
      </c>
      <c r="K2564">
        <v>11226</v>
      </c>
      <c r="L2564" t="s">
        <v>9094</v>
      </c>
      <c r="M2564" t="s">
        <v>9095</v>
      </c>
      <c r="N2564" t="s">
        <v>9634</v>
      </c>
      <c r="O2564" t="s">
        <v>11130</v>
      </c>
      <c r="P2564" t="s">
        <v>11165</v>
      </c>
      <c r="R2564" t="s">
        <v>11180</v>
      </c>
      <c r="S2564" t="s">
        <v>9094</v>
      </c>
      <c r="T2564" t="s">
        <v>11183</v>
      </c>
      <c r="U2564" t="s">
        <v>11201</v>
      </c>
      <c r="V2564" t="s">
        <v>262</v>
      </c>
      <c r="W2564">
        <v>773.6</v>
      </c>
      <c r="X2564" t="s">
        <v>11332</v>
      </c>
      <c r="Y2564" t="s">
        <v>11339</v>
      </c>
      <c r="Z2564" t="s">
        <v>13106</v>
      </c>
      <c r="AB2564" t="s">
        <v>17466</v>
      </c>
      <c r="AC2564">
        <v>36</v>
      </c>
      <c r="AD2564" t="s">
        <v>19566</v>
      </c>
      <c r="AF2564">
        <v>65</v>
      </c>
      <c r="AG2564">
        <v>2</v>
      </c>
      <c r="AH2564">
        <v>0</v>
      </c>
      <c r="AI2564">
        <v>85.16</v>
      </c>
      <c r="AL2564" t="s">
        <v>19614</v>
      </c>
      <c r="AM2564">
        <v>14400</v>
      </c>
      <c r="AS2564">
        <v>188.4</v>
      </c>
      <c r="AT2564" t="s">
        <v>594</v>
      </c>
      <c r="AU2564" t="s">
        <v>67</v>
      </c>
    </row>
    <row r="2565" spans="1:48">
      <c r="A2565" s="1">
        <f>HYPERLINK("https://lsnyc.legalserver.org/matter/dynamic-profile/view/1900700","19-1900700")</f>
        <v>0</v>
      </c>
      <c r="B2565" t="s">
        <v>76</v>
      </c>
      <c r="C2565" t="s">
        <v>256</v>
      </c>
      <c r="D2565" t="s">
        <v>338</v>
      </c>
      <c r="F2565" t="s">
        <v>1137</v>
      </c>
      <c r="G2565" t="s">
        <v>4484</v>
      </c>
      <c r="H2565" t="s">
        <v>6169</v>
      </c>
      <c r="I2565" t="s">
        <v>8302</v>
      </c>
      <c r="J2565" t="s">
        <v>9059</v>
      </c>
      <c r="K2565">
        <v>11213</v>
      </c>
      <c r="L2565" t="s">
        <v>9094</v>
      </c>
      <c r="M2565" t="s">
        <v>9095</v>
      </c>
      <c r="O2565" t="s">
        <v>9121</v>
      </c>
      <c r="P2565" t="s">
        <v>11166</v>
      </c>
      <c r="R2565" t="s">
        <v>11180</v>
      </c>
      <c r="S2565" t="s">
        <v>9094</v>
      </c>
      <c r="T2565" t="s">
        <v>11183</v>
      </c>
      <c r="U2565" t="s">
        <v>11201</v>
      </c>
      <c r="V2565" t="s">
        <v>291</v>
      </c>
      <c r="W2565">
        <v>659.52</v>
      </c>
      <c r="X2565" t="s">
        <v>11332</v>
      </c>
      <c r="Y2565" t="s">
        <v>11346</v>
      </c>
      <c r="Z2565" t="s">
        <v>12443</v>
      </c>
      <c r="AA2565" t="s">
        <v>15715</v>
      </c>
      <c r="AC2565">
        <v>35</v>
      </c>
      <c r="AD2565" t="s">
        <v>19566</v>
      </c>
      <c r="AE2565" t="s">
        <v>9144</v>
      </c>
      <c r="AF2565">
        <v>30</v>
      </c>
      <c r="AG2565">
        <v>2</v>
      </c>
      <c r="AH2565">
        <v>0</v>
      </c>
      <c r="AI2565">
        <v>85.16</v>
      </c>
      <c r="AL2565" t="s">
        <v>19614</v>
      </c>
      <c r="AM2565">
        <v>14400</v>
      </c>
      <c r="AN2565" t="s">
        <v>19882</v>
      </c>
      <c r="AS2565">
        <v>0</v>
      </c>
      <c r="AU2565" t="s">
        <v>95</v>
      </c>
      <c r="AV2565" t="s">
        <v>20733</v>
      </c>
    </row>
    <row r="2566" spans="1:48">
      <c r="A2566" s="1">
        <f>HYPERLINK("https://lsnyc.legalserver.org/matter/dynamic-profile/view/1896324","19-1896324")</f>
        <v>0</v>
      </c>
      <c r="B2566" t="s">
        <v>103</v>
      </c>
      <c r="C2566" t="s">
        <v>256</v>
      </c>
      <c r="D2566" t="s">
        <v>350</v>
      </c>
      <c r="F2566" t="s">
        <v>1280</v>
      </c>
      <c r="G2566" t="s">
        <v>4463</v>
      </c>
      <c r="H2566" t="s">
        <v>6413</v>
      </c>
      <c r="I2566" t="s">
        <v>8302</v>
      </c>
      <c r="J2566" t="s">
        <v>9065</v>
      </c>
      <c r="K2566">
        <v>10456</v>
      </c>
      <c r="L2566" t="s">
        <v>9094</v>
      </c>
      <c r="M2566" t="s">
        <v>9094</v>
      </c>
      <c r="O2566" t="s">
        <v>11134</v>
      </c>
      <c r="P2566" t="s">
        <v>11168</v>
      </c>
      <c r="R2566" t="s">
        <v>11180</v>
      </c>
      <c r="S2566" t="s">
        <v>9094</v>
      </c>
      <c r="T2566" t="s">
        <v>11183</v>
      </c>
      <c r="U2566" t="s">
        <v>11201</v>
      </c>
      <c r="V2566" t="s">
        <v>291</v>
      </c>
      <c r="W2566">
        <v>1200</v>
      </c>
      <c r="X2566" t="s">
        <v>11333</v>
      </c>
      <c r="Z2566" t="s">
        <v>13107</v>
      </c>
      <c r="AB2566" t="s">
        <v>17467</v>
      </c>
      <c r="AC2566">
        <v>61</v>
      </c>
      <c r="AD2566" t="s">
        <v>19566</v>
      </c>
      <c r="AF2566">
        <v>0</v>
      </c>
      <c r="AG2566">
        <v>2</v>
      </c>
      <c r="AH2566">
        <v>0</v>
      </c>
      <c r="AI2566">
        <v>85.16</v>
      </c>
      <c r="AL2566" t="s">
        <v>19614</v>
      </c>
      <c r="AM2566">
        <v>14400</v>
      </c>
      <c r="AS2566">
        <v>28.4</v>
      </c>
      <c r="AT2566" t="s">
        <v>594</v>
      </c>
      <c r="AU2566" t="s">
        <v>103</v>
      </c>
    </row>
    <row r="2567" spans="1:48">
      <c r="A2567" s="1">
        <f>HYPERLINK("https://lsnyc.legalserver.org/matter/dynamic-profile/view/1909659","19-1909659")</f>
        <v>0</v>
      </c>
      <c r="B2567" t="s">
        <v>122</v>
      </c>
      <c r="C2567" t="s">
        <v>256</v>
      </c>
      <c r="D2567" t="s">
        <v>549</v>
      </c>
      <c r="F2567" t="s">
        <v>2260</v>
      </c>
      <c r="G2567" t="s">
        <v>4485</v>
      </c>
      <c r="H2567" t="s">
        <v>6991</v>
      </c>
      <c r="J2567" t="s">
        <v>9066</v>
      </c>
      <c r="K2567">
        <v>10301</v>
      </c>
      <c r="L2567" t="s">
        <v>9094</v>
      </c>
      <c r="M2567" t="s">
        <v>9095</v>
      </c>
      <c r="N2567" t="s">
        <v>10108</v>
      </c>
      <c r="P2567" t="s">
        <v>11165</v>
      </c>
      <c r="R2567" t="s">
        <v>11180</v>
      </c>
      <c r="S2567" t="s">
        <v>9096</v>
      </c>
      <c r="T2567" t="s">
        <v>11183</v>
      </c>
      <c r="U2567" t="s">
        <v>11201</v>
      </c>
      <c r="V2567" t="s">
        <v>549</v>
      </c>
      <c r="W2567">
        <v>1200</v>
      </c>
      <c r="X2567" t="s">
        <v>11334</v>
      </c>
      <c r="Y2567" t="s">
        <v>11353</v>
      </c>
      <c r="Z2567" t="s">
        <v>13108</v>
      </c>
      <c r="AB2567" t="s">
        <v>17468</v>
      </c>
      <c r="AC2567">
        <v>2</v>
      </c>
      <c r="AD2567" t="s">
        <v>19565</v>
      </c>
      <c r="AE2567" t="s">
        <v>9144</v>
      </c>
      <c r="AF2567">
        <v>23</v>
      </c>
      <c r="AG2567">
        <v>1</v>
      </c>
      <c r="AH2567">
        <v>1</v>
      </c>
      <c r="AI2567">
        <v>85.16</v>
      </c>
      <c r="AL2567" t="s">
        <v>19614</v>
      </c>
      <c r="AM2567">
        <v>14400</v>
      </c>
      <c r="AS2567">
        <v>3.95</v>
      </c>
      <c r="AT2567" t="s">
        <v>1130</v>
      </c>
      <c r="AU2567" t="s">
        <v>20653</v>
      </c>
      <c r="AV2567" t="s">
        <v>20733</v>
      </c>
    </row>
    <row r="2568" spans="1:48">
      <c r="A2568" s="1">
        <f>HYPERLINK("https://lsnyc.legalserver.org/matter/dynamic-profile/view/1904772","19-1904772")</f>
        <v>0</v>
      </c>
      <c r="B2568" t="s">
        <v>111</v>
      </c>
      <c r="C2568" t="s">
        <v>257</v>
      </c>
      <c r="D2568" t="s">
        <v>748</v>
      </c>
      <c r="E2568" t="s">
        <v>899</v>
      </c>
      <c r="F2568" t="s">
        <v>1723</v>
      </c>
      <c r="G2568" t="s">
        <v>4457</v>
      </c>
      <c r="H2568" t="s">
        <v>6992</v>
      </c>
      <c r="I2568" t="s">
        <v>8218</v>
      </c>
      <c r="J2568" t="s">
        <v>9065</v>
      </c>
      <c r="K2568">
        <v>10460</v>
      </c>
      <c r="L2568" t="s">
        <v>9094</v>
      </c>
      <c r="M2568" t="s">
        <v>9095</v>
      </c>
      <c r="N2568" t="s">
        <v>9171</v>
      </c>
      <c r="O2568" t="s">
        <v>9121</v>
      </c>
      <c r="P2568" t="s">
        <v>11164</v>
      </c>
      <c r="Q2568" t="s">
        <v>11172</v>
      </c>
      <c r="R2568" t="s">
        <v>11180</v>
      </c>
      <c r="S2568" t="s">
        <v>9096</v>
      </c>
      <c r="T2568" t="s">
        <v>11183</v>
      </c>
      <c r="V2568" t="s">
        <v>396</v>
      </c>
      <c r="W2568">
        <v>208</v>
      </c>
      <c r="X2568" t="s">
        <v>11333</v>
      </c>
      <c r="Y2568" t="s">
        <v>11346</v>
      </c>
      <c r="Z2568" t="s">
        <v>13109</v>
      </c>
      <c r="AB2568" t="s">
        <v>17469</v>
      </c>
      <c r="AC2568">
        <v>35</v>
      </c>
      <c r="AD2568" t="s">
        <v>15441</v>
      </c>
      <c r="AE2568" t="s">
        <v>9144</v>
      </c>
      <c r="AF2568">
        <v>10</v>
      </c>
      <c r="AG2568">
        <v>1</v>
      </c>
      <c r="AH2568">
        <v>0</v>
      </c>
      <c r="AI2568">
        <v>85.22</v>
      </c>
      <c r="AL2568" t="s">
        <v>19615</v>
      </c>
      <c r="AM2568">
        <v>10644</v>
      </c>
      <c r="AS2568">
        <v>1.9</v>
      </c>
      <c r="AT2568" t="s">
        <v>551</v>
      </c>
      <c r="AU2568" t="s">
        <v>20642</v>
      </c>
      <c r="AV2568" t="s">
        <v>20733</v>
      </c>
    </row>
    <row r="2569" spans="1:48">
      <c r="A2569" s="1">
        <f>HYPERLINK("https://lsnyc.legalserver.org/matter/dynamic-profile/view/1885738","18-1885738")</f>
        <v>0</v>
      </c>
      <c r="B2569" t="s">
        <v>113</v>
      </c>
      <c r="C2569" t="s">
        <v>257</v>
      </c>
      <c r="D2569" t="s">
        <v>424</v>
      </c>
      <c r="E2569" t="s">
        <v>377</v>
      </c>
      <c r="F2569" t="s">
        <v>1801</v>
      </c>
      <c r="G2569" t="s">
        <v>3677</v>
      </c>
      <c r="H2569" t="s">
        <v>5864</v>
      </c>
      <c r="I2569" t="s">
        <v>8264</v>
      </c>
      <c r="J2569" t="s">
        <v>9065</v>
      </c>
      <c r="K2569">
        <v>10460</v>
      </c>
      <c r="L2569" t="s">
        <v>9094</v>
      </c>
      <c r="M2569" t="s">
        <v>9094</v>
      </c>
      <c r="N2569" t="s">
        <v>9222</v>
      </c>
      <c r="O2569" t="s">
        <v>11130</v>
      </c>
      <c r="P2569" t="s">
        <v>11165</v>
      </c>
      <c r="Q2569" t="s">
        <v>11174</v>
      </c>
      <c r="R2569" t="s">
        <v>11180</v>
      </c>
      <c r="S2569" t="s">
        <v>9094</v>
      </c>
      <c r="T2569" t="s">
        <v>11183</v>
      </c>
      <c r="V2569" t="s">
        <v>11218</v>
      </c>
      <c r="W2569">
        <v>1621</v>
      </c>
      <c r="X2569" t="s">
        <v>11333</v>
      </c>
      <c r="Y2569" t="s">
        <v>11346</v>
      </c>
      <c r="Z2569" t="s">
        <v>12235</v>
      </c>
      <c r="AC2569">
        <v>0</v>
      </c>
      <c r="AD2569" t="s">
        <v>15441</v>
      </c>
      <c r="AE2569" t="s">
        <v>19580</v>
      </c>
      <c r="AF2569">
        <v>2</v>
      </c>
      <c r="AG2569">
        <v>2</v>
      </c>
      <c r="AH2569">
        <v>0</v>
      </c>
      <c r="AI2569">
        <v>85.3</v>
      </c>
      <c r="AL2569" t="s">
        <v>19614</v>
      </c>
      <c r="AM2569">
        <v>14040</v>
      </c>
      <c r="AS2569">
        <v>0.2</v>
      </c>
      <c r="AT2569" t="s">
        <v>377</v>
      </c>
      <c r="AU2569" t="s">
        <v>20642</v>
      </c>
      <c r="AV2569" t="s">
        <v>20733</v>
      </c>
    </row>
    <row r="2570" spans="1:48">
      <c r="A2570" s="1">
        <f>HYPERLINK("https://lsnyc.legalserver.org/matter/dynamic-profile/view/1907664","19-1907664")</f>
        <v>0</v>
      </c>
      <c r="B2570" t="s">
        <v>82</v>
      </c>
      <c r="C2570" t="s">
        <v>256</v>
      </c>
      <c r="D2570" t="s">
        <v>429</v>
      </c>
      <c r="F2570" t="s">
        <v>2261</v>
      </c>
      <c r="G2570" t="s">
        <v>1362</v>
      </c>
      <c r="H2570" t="s">
        <v>6393</v>
      </c>
      <c r="I2570" t="s">
        <v>8178</v>
      </c>
      <c r="J2570" t="s">
        <v>9059</v>
      </c>
      <c r="K2570">
        <v>11226</v>
      </c>
      <c r="L2570" t="s">
        <v>9094</v>
      </c>
      <c r="M2570" t="s">
        <v>9095</v>
      </c>
      <c r="O2570" t="s">
        <v>11134</v>
      </c>
      <c r="P2570" t="s">
        <v>11168</v>
      </c>
      <c r="R2570" t="s">
        <v>11180</v>
      </c>
      <c r="S2570" t="s">
        <v>9094</v>
      </c>
      <c r="T2570" t="s">
        <v>11183</v>
      </c>
      <c r="V2570" t="s">
        <v>429</v>
      </c>
      <c r="W2570">
        <v>0</v>
      </c>
      <c r="X2570" t="s">
        <v>11332</v>
      </c>
      <c r="Z2570" t="s">
        <v>12325</v>
      </c>
      <c r="AB2570" t="s">
        <v>17470</v>
      </c>
      <c r="AC2570">
        <v>36</v>
      </c>
      <c r="AD2570" t="s">
        <v>19566</v>
      </c>
      <c r="AF2570">
        <v>0</v>
      </c>
      <c r="AG2570">
        <v>3</v>
      </c>
      <c r="AH2570">
        <v>0</v>
      </c>
      <c r="AI2570">
        <v>85.33</v>
      </c>
      <c r="AL2570" t="s">
        <v>19637</v>
      </c>
      <c r="AM2570">
        <v>18200</v>
      </c>
      <c r="AN2570" t="s">
        <v>19883</v>
      </c>
      <c r="AS2570">
        <v>0.2</v>
      </c>
      <c r="AT2570" t="s">
        <v>429</v>
      </c>
      <c r="AU2570" t="s">
        <v>67</v>
      </c>
      <c r="AV2570" t="s">
        <v>20733</v>
      </c>
    </row>
    <row r="2571" spans="1:48">
      <c r="A2571" s="1">
        <f>HYPERLINK("https://lsnyc.legalserver.org/matter/dynamic-profile/view/1906862","19-1906862")</f>
        <v>0</v>
      </c>
      <c r="B2571" t="s">
        <v>147</v>
      </c>
      <c r="C2571" t="s">
        <v>256</v>
      </c>
      <c r="D2571" t="s">
        <v>676</v>
      </c>
      <c r="F2571" t="s">
        <v>1163</v>
      </c>
      <c r="G2571" t="s">
        <v>3773</v>
      </c>
      <c r="H2571" t="s">
        <v>6669</v>
      </c>
      <c r="I2571" t="s">
        <v>8505</v>
      </c>
      <c r="J2571" t="s">
        <v>9066</v>
      </c>
      <c r="K2571">
        <v>10301</v>
      </c>
      <c r="L2571" t="s">
        <v>9094</v>
      </c>
      <c r="M2571" t="s">
        <v>9095</v>
      </c>
      <c r="N2571" t="s">
        <v>10109</v>
      </c>
      <c r="O2571" t="s">
        <v>11129</v>
      </c>
      <c r="P2571" t="s">
        <v>11165</v>
      </c>
      <c r="R2571" t="s">
        <v>11180</v>
      </c>
      <c r="S2571" t="s">
        <v>9096</v>
      </c>
      <c r="T2571" t="s">
        <v>11183</v>
      </c>
      <c r="U2571" t="s">
        <v>11201</v>
      </c>
      <c r="V2571" t="s">
        <v>676</v>
      </c>
      <c r="W2571">
        <v>0</v>
      </c>
      <c r="X2571" t="s">
        <v>11334</v>
      </c>
      <c r="Y2571" t="s">
        <v>11340</v>
      </c>
      <c r="Z2571" t="s">
        <v>12598</v>
      </c>
      <c r="AB2571" t="s">
        <v>17471</v>
      </c>
      <c r="AC2571">
        <v>454</v>
      </c>
      <c r="AE2571" t="s">
        <v>9144</v>
      </c>
      <c r="AF2571">
        <v>-1</v>
      </c>
      <c r="AG2571">
        <v>1</v>
      </c>
      <c r="AH2571">
        <v>2</v>
      </c>
      <c r="AI2571">
        <v>85.33</v>
      </c>
      <c r="AL2571" t="s">
        <v>5133</v>
      </c>
      <c r="AM2571">
        <v>18200</v>
      </c>
      <c r="AS2571">
        <v>16.15</v>
      </c>
      <c r="AT2571" t="s">
        <v>1135</v>
      </c>
      <c r="AU2571" t="s">
        <v>20653</v>
      </c>
      <c r="AV2571" t="s">
        <v>20733</v>
      </c>
    </row>
    <row r="2572" spans="1:48">
      <c r="A2572" s="1">
        <f>HYPERLINK("https://lsnyc.legalserver.org/matter/dynamic-profile/view/1834046","17-1834046")</f>
        <v>0</v>
      </c>
      <c r="B2572" t="s">
        <v>101</v>
      </c>
      <c r="C2572" t="s">
        <v>256</v>
      </c>
      <c r="D2572" t="s">
        <v>538</v>
      </c>
      <c r="F2572" t="s">
        <v>2262</v>
      </c>
      <c r="G2572" t="s">
        <v>4486</v>
      </c>
      <c r="H2572" t="s">
        <v>5898</v>
      </c>
      <c r="I2572" t="s">
        <v>8149</v>
      </c>
      <c r="J2572" t="s">
        <v>9065</v>
      </c>
      <c r="K2572">
        <v>10452</v>
      </c>
      <c r="L2572" t="s">
        <v>9094</v>
      </c>
      <c r="M2572" t="s">
        <v>9095</v>
      </c>
      <c r="P2572" t="s">
        <v>11166</v>
      </c>
      <c r="R2572" t="s">
        <v>11180</v>
      </c>
      <c r="S2572" t="s">
        <v>9094</v>
      </c>
      <c r="T2572" t="s">
        <v>11183</v>
      </c>
      <c r="V2572" t="s">
        <v>745</v>
      </c>
      <c r="W2572">
        <v>891.5</v>
      </c>
      <c r="X2572" t="s">
        <v>11333</v>
      </c>
      <c r="Y2572" t="s">
        <v>11339</v>
      </c>
      <c r="Z2572" t="s">
        <v>12153</v>
      </c>
      <c r="AB2572" t="s">
        <v>17472</v>
      </c>
      <c r="AC2572">
        <v>0</v>
      </c>
      <c r="AD2572" t="s">
        <v>19566</v>
      </c>
      <c r="AF2572">
        <v>10</v>
      </c>
      <c r="AG2572">
        <v>1</v>
      </c>
      <c r="AH2572">
        <v>3</v>
      </c>
      <c r="AI2572">
        <v>85.37</v>
      </c>
      <c r="AL2572" t="s">
        <v>19614</v>
      </c>
      <c r="AM2572">
        <v>21000</v>
      </c>
      <c r="AS2572">
        <v>1.2</v>
      </c>
      <c r="AT2572" t="s">
        <v>1078</v>
      </c>
      <c r="AU2572" t="s">
        <v>20643</v>
      </c>
    </row>
    <row r="2573" spans="1:48">
      <c r="A2573" s="1">
        <f>HYPERLINK("https://lsnyc.legalserver.org/matter/dynamic-profile/view/1913088","19-1913088")</f>
        <v>0</v>
      </c>
      <c r="B2573" t="s">
        <v>134</v>
      </c>
      <c r="C2573" t="s">
        <v>256</v>
      </c>
      <c r="D2573" t="s">
        <v>833</v>
      </c>
      <c r="F2573" t="s">
        <v>2260</v>
      </c>
      <c r="G2573" t="s">
        <v>4487</v>
      </c>
      <c r="H2573" t="s">
        <v>6993</v>
      </c>
      <c r="J2573" t="s">
        <v>9067</v>
      </c>
      <c r="K2573">
        <v>10040</v>
      </c>
      <c r="L2573" t="s">
        <v>9094</v>
      </c>
      <c r="M2573" t="s">
        <v>9095</v>
      </c>
      <c r="O2573" t="s">
        <v>9121</v>
      </c>
      <c r="P2573" t="s">
        <v>11169</v>
      </c>
      <c r="R2573" t="s">
        <v>11180</v>
      </c>
      <c r="S2573" t="s">
        <v>9096</v>
      </c>
      <c r="T2573" t="s">
        <v>11183</v>
      </c>
      <c r="V2573" t="s">
        <v>632</v>
      </c>
      <c r="W2573">
        <v>511</v>
      </c>
      <c r="X2573" t="s">
        <v>11335</v>
      </c>
      <c r="Z2573" t="s">
        <v>13110</v>
      </c>
      <c r="AB2573" t="s">
        <v>17473</v>
      </c>
      <c r="AC2573">
        <v>4</v>
      </c>
      <c r="AD2573" t="s">
        <v>19566</v>
      </c>
      <c r="AE2573" t="s">
        <v>9144</v>
      </c>
      <c r="AF2573">
        <v>52</v>
      </c>
      <c r="AG2573">
        <v>1</v>
      </c>
      <c r="AH2573">
        <v>0</v>
      </c>
      <c r="AI2573">
        <v>85.51000000000001</v>
      </c>
      <c r="AL2573" t="s">
        <v>19638</v>
      </c>
      <c r="AM2573">
        <v>10680</v>
      </c>
      <c r="AS2573">
        <v>2</v>
      </c>
      <c r="AT2573" t="s">
        <v>632</v>
      </c>
      <c r="AU2573" t="s">
        <v>20660</v>
      </c>
      <c r="AV2573" t="s">
        <v>20733</v>
      </c>
    </row>
    <row r="2574" spans="1:48">
      <c r="A2574" s="1">
        <f>HYPERLINK("https://lsnyc.legalserver.org/matter/dynamic-profile/view/0827345","17-0827345")</f>
        <v>0</v>
      </c>
      <c r="B2574" t="s">
        <v>141</v>
      </c>
      <c r="C2574" t="s">
        <v>256</v>
      </c>
      <c r="D2574" t="s">
        <v>911</v>
      </c>
      <c r="F2574" t="s">
        <v>1642</v>
      </c>
      <c r="G2574" t="s">
        <v>4488</v>
      </c>
      <c r="H2574" t="s">
        <v>6382</v>
      </c>
      <c r="I2574" t="s">
        <v>8446</v>
      </c>
      <c r="J2574" t="s">
        <v>9067</v>
      </c>
      <c r="K2574">
        <v>10034</v>
      </c>
      <c r="L2574" t="s">
        <v>9094</v>
      </c>
      <c r="M2574" t="s">
        <v>9095</v>
      </c>
      <c r="N2574" t="s">
        <v>10110</v>
      </c>
      <c r="O2574" t="s">
        <v>11130</v>
      </c>
      <c r="P2574" t="s">
        <v>11165</v>
      </c>
      <c r="R2574" t="s">
        <v>11180</v>
      </c>
      <c r="S2574" t="s">
        <v>9094</v>
      </c>
      <c r="T2574" t="s">
        <v>11183</v>
      </c>
      <c r="V2574" t="s">
        <v>11234</v>
      </c>
      <c r="W2574">
        <v>947.1900000000001</v>
      </c>
      <c r="X2574" t="s">
        <v>11335</v>
      </c>
      <c r="Y2574" t="s">
        <v>11346</v>
      </c>
      <c r="Z2574" t="s">
        <v>13111</v>
      </c>
      <c r="AB2574" t="s">
        <v>17474</v>
      </c>
      <c r="AC2574">
        <v>44</v>
      </c>
      <c r="AD2574" t="s">
        <v>19566</v>
      </c>
      <c r="AE2574" t="s">
        <v>9144</v>
      </c>
      <c r="AF2574">
        <v>35</v>
      </c>
      <c r="AG2574">
        <v>1</v>
      </c>
      <c r="AH2574">
        <v>0</v>
      </c>
      <c r="AI2574">
        <v>85.56999999999999</v>
      </c>
      <c r="AL2574" t="s">
        <v>19615</v>
      </c>
      <c r="AM2574">
        <v>10320</v>
      </c>
      <c r="AS2574">
        <v>0</v>
      </c>
      <c r="AU2574" t="s">
        <v>141</v>
      </c>
    </row>
    <row r="2575" spans="1:48">
      <c r="A2575" s="1">
        <f>HYPERLINK("https://lsnyc.legalserver.org/matter/dynamic-profile/view/0822902","16-0822902")</f>
        <v>0</v>
      </c>
      <c r="B2575" t="s">
        <v>70</v>
      </c>
      <c r="C2575" t="s">
        <v>256</v>
      </c>
      <c r="D2575" t="s">
        <v>710</v>
      </c>
      <c r="F2575" t="s">
        <v>1553</v>
      </c>
      <c r="G2575" t="s">
        <v>3911</v>
      </c>
      <c r="H2575" t="s">
        <v>6312</v>
      </c>
      <c r="I2575" t="s">
        <v>8117</v>
      </c>
      <c r="J2575" t="s">
        <v>9059</v>
      </c>
      <c r="K2575">
        <v>11207</v>
      </c>
      <c r="L2575" t="s">
        <v>9094</v>
      </c>
      <c r="M2575" t="s">
        <v>9095</v>
      </c>
      <c r="N2575" t="s">
        <v>9597</v>
      </c>
      <c r="O2575" t="s">
        <v>11130</v>
      </c>
      <c r="P2575" t="s">
        <v>11165</v>
      </c>
      <c r="R2575" t="s">
        <v>11180</v>
      </c>
      <c r="S2575" t="s">
        <v>9094</v>
      </c>
      <c r="T2575" t="s">
        <v>11183</v>
      </c>
      <c r="V2575" t="s">
        <v>11269</v>
      </c>
      <c r="W2575">
        <v>1000</v>
      </c>
      <c r="X2575" t="s">
        <v>11332</v>
      </c>
      <c r="Y2575" t="s">
        <v>11340</v>
      </c>
      <c r="Z2575" t="s">
        <v>12121</v>
      </c>
      <c r="AB2575" t="s">
        <v>16558</v>
      </c>
      <c r="AC2575">
        <v>6</v>
      </c>
      <c r="AD2575" t="s">
        <v>19566</v>
      </c>
      <c r="AF2575">
        <v>3</v>
      </c>
      <c r="AG2575">
        <v>1</v>
      </c>
      <c r="AH2575">
        <v>3</v>
      </c>
      <c r="AI2575">
        <v>85.59999999999999</v>
      </c>
      <c r="AL2575" t="s">
        <v>19614</v>
      </c>
      <c r="AM2575">
        <v>20800</v>
      </c>
      <c r="AN2575" t="s">
        <v>19884</v>
      </c>
      <c r="AS2575">
        <v>3.45</v>
      </c>
      <c r="AT2575" t="s">
        <v>457</v>
      </c>
      <c r="AU2575" t="s">
        <v>59</v>
      </c>
      <c r="AV2575" t="s">
        <v>20733</v>
      </c>
    </row>
    <row r="2576" spans="1:48">
      <c r="A2576" s="1">
        <f>HYPERLINK("https://lsnyc.legalserver.org/matter/dynamic-profile/view/1885736","18-1885736")</f>
        <v>0</v>
      </c>
      <c r="B2576" t="s">
        <v>113</v>
      </c>
      <c r="C2576" t="s">
        <v>257</v>
      </c>
      <c r="D2576" t="s">
        <v>424</v>
      </c>
      <c r="E2576" t="s">
        <v>377</v>
      </c>
      <c r="F2576" t="s">
        <v>1457</v>
      </c>
      <c r="G2576" t="s">
        <v>3825</v>
      </c>
      <c r="H2576" t="s">
        <v>5864</v>
      </c>
      <c r="I2576" t="s">
        <v>8265</v>
      </c>
      <c r="J2576" t="s">
        <v>9065</v>
      </c>
      <c r="K2576">
        <v>10460</v>
      </c>
      <c r="L2576" t="s">
        <v>9094</v>
      </c>
      <c r="M2576" t="s">
        <v>9094</v>
      </c>
      <c r="N2576" t="s">
        <v>9222</v>
      </c>
      <c r="O2576" t="s">
        <v>11130</v>
      </c>
      <c r="P2576" t="s">
        <v>11165</v>
      </c>
      <c r="Q2576" t="s">
        <v>11174</v>
      </c>
      <c r="R2576" t="s">
        <v>11180</v>
      </c>
      <c r="S2576" t="s">
        <v>9094</v>
      </c>
      <c r="T2576" t="s">
        <v>11183</v>
      </c>
      <c r="V2576" t="s">
        <v>512</v>
      </c>
      <c r="W2576">
        <v>466</v>
      </c>
      <c r="X2576" t="s">
        <v>11333</v>
      </c>
      <c r="Y2576" t="s">
        <v>11346</v>
      </c>
      <c r="Z2576" t="s">
        <v>13043</v>
      </c>
      <c r="AC2576">
        <v>168</v>
      </c>
      <c r="AD2576" t="s">
        <v>19576</v>
      </c>
      <c r="AE2576" t="s">
        <v>19580</v>
      </c>
      <c r="AF2576">
        <v>4</v>
      </c>
      <c r="AG2576">
        <v>1</v>
      </c>
      <c r="AH2576">
        <v>0</v>
      </c>
      <c r="AI2576">
        <v>85.59999999999999</v>
      </c>
      <c r="AL2576" t="s">
        <v>19614</v>
      </c>
      <c r="AM2576">
        <v>10392</v>
      </c>
      <c r="AS2576">
        <v>0.1</v>
      </c>
      <c r="AT2576" t="s">
        <v>377</v>
      </c>
      <c r="AU2576" t="s">
        <v>20642</v>
      </c>
    </row>
    <row r="2577" spans="1:48">
      <c r="A2577" s="1">
        <f>HYPERLINK("https://lsnyc.legalserver.org/matter/dynamic-profile/view/1875668","18-1875668")</f>
        <v>0</v>
      </c>
      <c r="B2577" t="s">
        <v>83</v>
      </c>
      <c r="C2577" t="s">
        <v>256</v>
      </c>
      <c r="D2577" t="s">
        <v>945</v>
      </c>
      <c r="F2577" t="s">
        <v>1527</v>
      </c>
      <c r="G2577" t="s">
        <v>1553</v>
      </c>
      <c r="H2577" t="s">
        <v>6257</v>
      </c>
      <c r="I2577" t="s">
        <v>8132</v>
      </c>
      <c r="J2577" t="s">
        <v>9059</v>
      </c>
      <c r="K2577">
        <v>11225</v>
      </c>
      <c r="L2577" t="s">
        <v>9094</v>
      </c>
      <c r="M2577" t="s">
        <v>9094</v>
      </c>
      <c r="O2577" t="s">
        <v>11129</v>
      </c>
      <c r="P2577" t="s">
        <v>11165</v>
      </c>
      <c r="R2577" t="s">
        <v>11180</v>
      </c>
      <c r="S2577" t="s">
        <v>9096</v>
      </c>
      <c r="T2577" t="s">
        <v>11183</v>
      </c>
      <c r="V2577" t="s">
        <v>605</v>
      </c>
      <c r="W2577">
        <v>0</v>
      </c>
      <c r="X2577" t="s">
        <v>11332</v>
      </c>
      <c r="Y2577" t="s">
        <v>11339</v>
      </c>
      <c r="Z2577" t="s">
        <v>13050</v>
      </c>
      <c r="AB2577" t="s">
        <v>17416</v>
      </c>
      <c r="AC2577">
        <v>0</v>
      </c>
      <c r="AF2577">
        <v>0</v>
      </c>
      <c r="AG2577">
        <v>1</v>
      </c>
      <c r="AH2577">
        <v>0</v>
      </c>
      <c r="AI2577">
        <v>85.67</v>
      </c>
      <c r="AL2577" t="s">
        <v>19614</v>
      </c>
      <c r="AM2577">
        <v>10400</v>
      </c>
      <c r="AN2577" t="s">
        <v>19867</v>
      </c>
      <c r="AS2577">
        <v>77.47</v>
      </c>
      <c r="AT2577" t="s">
        <v>739</v>
      </c>
      <c r="AU2577" t="s">
        <v>67</v>
      </c>
    </row>
    <row r="2578" spans="1:48">
      <c r="A2578" s="1">
        <f>HYPERLINK("https://lsnyc.legalserver.org/matter/dynamic-profile/view/1869960","18-1869960")</f>
        <v>0</v>
      </c>
      <c r="B2578" t="s">
        <v>64</v>
      </c>
      <c r="C2578" t="s">
        <v>257</v>
      </c>
      <c r="D2578" t="s">
        <v>592</v>
      </c>
      <c r="E2578" t="s">
        <v>549</v>
      </c>
      <c r="F2578" t="s">
        <v>1462</v>
      </c>
      <c r="G2578" t="s">
        <v>3427</v>
      </c>
      <c r="H2578" t="s">
        <v>6994</v>
      </c>
      <c r="I2578">
        <v>1</v>
      </c>
      <c r="J2578" t="s">
        <v>9059</v>
      </c>
      <c r="K2578">
        <v>11208</v>
      </c>
      <c r="L2578" t="s">
        <v>9096</v>
      </c>
      <c r="M2578" t="s">
        <v>9095</v>
      </c>
      <c r="O2578" t="s">
        <v>9121</v>
      </c>
      <c r="P2578" t="s">
        <v>11167</v>
      </c>
      <c r="Q2578" t="s">
        <v>11173</v>
      </c>
      <c r="R2578" t="s">
        <v>11180</v>
      </c>
      <c r="T2578" t="s">
        <v>11183</v>
      </c>
      <c r="W2578">
        <v>1500</v>
      </c>
      <c r="X2578" t="s">
        <v>11332</v>
      </c>
      <c r="Z2578" t="s">
        <v>13112</v>
      </c>
      <c r="AB2578" t="s">
        <v>17475</v>
      </c>
      <c r="AC2578">
        <v>5</v>
      </c>
      <c r="AD2578" t="s">
        <v>19565</v>
      </c>
      <c r="AE2578" t="s">
        <v>9144</v>
      </c>
      <c r="AF2578">
        <v>10</v>
      </c>
      <c r="AG2578">
        <v>1</v>
      </c>
      <c r="AH2578">
        <v>0</v>
      </c>
      <c r="AI2578">
        <v>85.67</v>
      </c>
      <c r="AL2578" t="s">
        <v>19614</v>
      </c>
      <c r="AM2578">
        <v>10400</v>
      </c>
      <c r="AS2578">
        <v>1.8</v>
      </c>
      <c r="AT2578" t="s">
        <v>795</v>
      </c>
      <c r="AU2578" t="s">
        <v>20660</v>
      </c>
    </row>
    <row r="2579" spans="1:48">
      <c r="A2579" s="1">
        <f>HYPERLINK("https://lsnyc.legalserver.org/matter/dynamic-profile/view/1862752","18-1862752")</f>
        <v>0</v>
      </c>
      <c r="B2579" t="s">
        <v>72</v>
      </c>
      <c r="C2579" t="s">
        <v>257</v>
      </c>
      <c r="D2579" t="s">
        <v>375</v>
      </c>
      <c r="E2579" t="s">
        <v>457</v>
      </c>
      <c r="F2579" t="s">
        <v>2263</v>
      </c>
      <c r="G2579" t="s">
        <v>4489</v>
      </c>
      <c r="H2579" t="s">
        <v>6995</v>
      </c>
      <c r="I2579" t="s">
        <v>8625</v>
      </c>
      <c r="J2579" t="s">
        <v>9059</v>
      </c>
      <c r="K2579">
        <v>11207</v>
      </c>
      <c r="L2579" t="s">
        <v>9094</v>
      </c>
      <c r="M2579" t="s">
        <v>9096</v>
      </c>
      <c r="N2579" t="s">
        <v>10111</v>
      </c>
      <c r="O2579" t="s">
        <v>11129</v>
      </c>
      <c r="P2579" t="s">
        <v>11164</v>
      </c>
      <c r="Q2579" t="s">
        <v>11172</v>
      </c>
      <c r="R2579" t="s">
        <v>11180</v>
      </c>
      <c r="S2579" t="s">
        <v>9096</v>
      </c>
      <c r="T2579" t="s">
        <v>11183</v>
      </c>
      <c r="U2579" t="s">
        <v>11201</v>
      </c>
      <c r="V2579" t="s">
        <v>582</v>
      </c>
      <c r="W2579">
        <v>864.49</v>
      </c>
      <c r="X2579" t="s">
        <v>11332</v>
      </c>
      <c r="Y2579" t="s">
        <v>11338</v>
      </c>
      <c r="Z2579" t="s">
        <v>13113</v>
      </c>
      <c r="AA2579" t="s">
        <v>9171</v>
      </c>
      <c r="AB2579" t="s">
        <v>17476</v>
      </c>
      <c r="AC2579">
        <v>0</v>
      </c>
      <c r="AD2579" t="s">
        <v>19567</v>
      </c>
      <c r="AE2579" t="s">
        <v>19584</v>
      </c>
      <c r="AF2579">
        <v>1</v>
      </c>
      <c r="AG2579">
        <v>1</v>
      </c>
      <c r="AH2579">
        <v>0</v>
      </c>
      <c r="AI2579">
        <v>85.67</v>
      </c>
      <c r="AL2579" t="s">
        <v>19614</v>
      </c>
      <c r="AM2579">
        <v>10400</v>
      </c>
      <c r="AS2579">
        <v>2</v>
      </c>
      <c r="AT2579" t="s">
        <v>325</v>
      </c>
      <c r="AU2579" t="s">
        <v>95</v>
      </c>
      <c r="AV2579" t="s">
        <v>20733</v>
      </c>
    </row>
    <row r="2580" spans="1:48">
      <c r="A2580" s="1">
        <f>HYPERLINK("https://lsnyc.legalserver.org/matter/dynamic-profile/view/1865107","18-1865107")</f>
        <v>0</v>
      </c>
      <c r="B2580" t="s">
        <v>219</v>
      </c>
      <c r="C2580" t="s">
        <v>256</v>
      </c>
      <c r="D2580" t="s">
        <v>322</v>
      </c>
      <c r="F2580" t="s">
        <v>2264</v>
      </c>
      <c r="G2580" t="s">
        <v>4490</v>
      </c>
      <c r="H2580" t="s">
        <v>6996</v>
      </c>
      <c r="I2580" t="s">
        <v>8193</v>
      </c>
      <c r="J2580" t="s">
        <v>9061</v>
      </c>
      <c r="K2580">
        <v>11105</v>
      </c>
      <c r="L2580" t="s">
        <v>9094</v>
      </c>
      <c r="M2580" t="s">
        <v>9094</v>
      </c>
      <c r="N2580" t="s">
        <v>10112</v>
      </c>
      <c r="O2580" t="s">
        <v>11150</v>
      </c>
      <c r="P2580" t="s">
        <v>11165</v>
      </c>
      <c r="R2580" t="s">
        <v>11180</v>
      </c>
      <c r="S2580" t="s">
        <v>9096</v>
      </c>
      <c r="T2580" t="s">
        <v>11190</v>
      </c>
      <c r="U2580" t="s">
        <v>11201</v>
      </c>
      <c r="V2580" t="s">
        <v>1017</v>
      </c>
      <c r="W2580">
        <v>251</v>
      </c>
      <c r="X2580" t="s">
        <v>11331</v>
      </c>
      <c r="Y2580" t="s">
        <v>11340</v>
      </c>
      <c r="Z2580" t="s">
        <v>13114</v>
      </c>
      <c r="AA2580" t="s">
        <v>15716</v>
      </c>
      <c r="AB2580" t="s">
        <v>17477</v>
      </c>
      <c r="AC2580">
        <v>9</v>
      </c>
      <c r="AD2580" t="s">
        <v>19567</v>
      </c>
      <c r="AE2580" t="s">
        <v>9144</v>
      </c>
      <c r="AF2580">
        <v>6</v>
      </c>
      <c r="AG2580">
        <v>1</v>
      </c>
      <c r="AH2580">
        <v>0</v>
      </c>
      <c r="AI2580">
        <v>85.67</v>
      </c>
      <c r="AL2580" t="s">
        <v>19615</v>
      </c>
      <c r="AM2580">
        <v>10400</v>
      </c>
      <c r="AS2580">
        <v>65.59999999999999</v>
      </c>
      <c r="AT2580" t="s">
        <v>496</v>
      </c>
      <c r="AU2580" t="s">
        <v>20624</v>
      </c>
      <c r="AV2580" t="s">
        <v>20733</v>
      </c>
    </row>
    <row r="2581" spans="1:48">
      <c r="A2581" s="1">
        <f>HYPERLINK("https://lsnyc.legalserver.org/matter/dynamic-profile/view/1858470","18-1858470")</f>
        <v>0</v>
      </c>
      <c r="B2581" t="s">
        <v>131</v>
      </c>
      <c r="C2581" t="s">
        <v>256</v>
      </c>
      <c r="D2581" t="s">
        <v>946</v>
      </c>
      <c r="F2581" t="s">
        <v>2265</v>
      </c>
      <c r="G2581" t="s">
        <v>3370</v>
      </c>
      <c r="H2581" t="s">
        <v>6997</v>
      </c>
      <c r="I2581">
        <v>32</v>
      </c>
      <c r="J2581" t="s">
        <v>9067</v>
      </c>
      <c r="K2581">
        <v>10034</v>
      </c>
      <c r="L2581" t="s">
        <v>9094</v>
      </c>
      <c r="M2581" t="s">
        <v>9095</v>
      </c>
      <c r="P2581" t="s">
        <v>11169</v>
      </c>
      <c r="R2581" t="s">
        <v>11180</v>
      </c>
      <c r="S2581" t="s">
        <v>9096</v>
      </c>
      <c r="T2581" t="s">
        <v>11183</v>
      </c>
      <c r="V2581" t="s">
        <v>946</v>
      </c>
      <c r="W2581">
        <v>1189</v>
      </c>
      <c r="X2581" t="s">
        <v>11335</v>
      </c>
      <c r="Y2581" t="s">
        <v>11340</v>
      </c>
      <c r="Z2581" t="s">
        <v>11405</v>
      </c>
      <c r="AB2581" t="s">
        <v>17478</v>
      </c>
      <c r="AC2581">
        <v>42</v>
      </c>
      <c r="AD2581" t="s">
        <v>19566</v>
      </c>
      <c r="AE2581" t="s">
        <v>9144</v>
      </c>
      <c r="AF2581">
        <v>40</v>
      </c>
      <c r="AG2581">
        <v>1</v>
      </c>
      <c r="AH2581">
        <v>0</v>
      </c>
      <c r="AI2581">
        <v>85.67</v>
      </c>
      <c r="AL2581" t="s">
        <v>19615</v>
      </c>
      <c r="AM2581">
        <v>10400</v>
      </c>
      <c r="AS2581">
        <v>0</v>
      </c>
      <c r="AU2581" t="s">
        <v>130</v>
      </c>
    </row>
    <row r="2582" spans="1:48">
      <c r="A2582" s="1">
        <f>HYPERLINK("https://lsnyc.legalserver.org/matter/dynamic-profile/view/1873798","18-1873798")</f>
        <v>0</v>
      </c>
      <c r="B2582" t="s">
        <v>132</v>
      </c>
      <c r="C2582" t="s">
        <v>257</v>
      </c>
      <c r="D2582" t="s">
        <v>555</v>
      </c>
      <c r="E2582" t="s">
        <v>331</v>
      </c>
      <c r="F2582" t="s">
        <v>1212</v>
      </c>
      <c r="G2582" t="s">
        <v>3656</v>
      </c>
      <c r="H2582" t="s">
        <v>5953</v>
      </c>
      <c r="I2582" t="s">
        <v>8626</v>
      </c>
      <c r="J2582" t="s">
        <v>9067</v>
      </c>
      <c r="K2582">
        <v>10033</v>
      </c>
      <c r="L2582" t="s">
        <v>9094</v>
      </c>
      <c r="M2582" t="s">
        <v>9094</v>
      </c>
      <c r="O2582" t="s">
        <v>11130</v>
      </c>
      <c r="P2582" t="s">
        <v>11165</v>
      </c>
      <c r="Q2582" t="s">
        <v>11178</v>
      </c>
      <c r="R2582" t="s">
        <v>11180</v>
      </c>
      <c r="S2582" t="s">
        <v>9094</v>
      </c>
      <c r="T2582" t="s">
        <v>11183</v>
      </c>
      <c r="V2582" t="s">
        <v>555</v>
      </c>
      <c r="W2582">
        <v>1180</v>
      </c>
      <c r="X2582" t="s">
        <v>11335</v>
      </c>
      <c r="Y2582" t="s">
        <v>11339</v>
      </c>
      <c r="Z2582" t="s">
        <v>13115</v>
      </c>
      <c r="AB2582" t="s">
        <v>17479</v>
      </c>
      <c r="AC2582">
        <v>232</v>
      </c>
      <c r="AD2582" t="s">
        <v>19566</v>
      </c>
      <c r="AE2582" t="s">
        <v>19580</v>
      </c>
      <c r="AF2582">
        <v>21</v>
      </c>
      <c r="AG2582">
        <v>1</v>
      </c>
      <c r="AH2582">
        <v>0</v>
      </c>
      <c r="AI2582">
        <v>85.67</v>
      </c>
      <c r="AL2582" t="s">
        <v>19615</v>
      </c>
      <c r="AM2582">
        <v>10400</v>
      </c>
      <c r="AS2582">
        <v>1</v>
      </c>
      <c r="AT2582" t="s">
        <v>521</v>
      </c>
      <c r="AU2582" t="s">
        <v>130</v>
      </c>
      <c r="AV2582" t="s">
        <v>20733</v>
      </c>
    </row>
    <row r="2583" spans="1:48">
      <c r="A2583" s="1">
        <f>HYPERLINK("https://lsnyc.legalserver.org/matter/dynamic-profile/view/1877309","18-1877309")</f>
        <v>0</v>
      </c>
      <c r="B2583" t="s">
        <v>138</v>
      </c>
      <c r="C2583" t="s">
        <v>256</v>
      </c>
      <c r="D2583" t="s">
        <v>581</v>
      </c>
      <c r="F2583" t="s">
        <v>2266</v>
      </c>
      <c r="G2583" t="s">
        <v>3858</v>
      </c>
      <c r="H2583" t="s">
        <v>6681</v>
      </c>
      <c r="I2583" t="s">
        <v>8149</v>
      </c>
      <c r="J2583" t="s">
        <v>9067</v>
      </c>
      <c r="K2583">
        <v>10040</v>
      </c>
      <c r="L2583" t="s">
        <v>9094</v>
      </c>
      <c r="M2583" t="s">
        <v>9094</v>
      </c>
      <c r="O2583" t="s">
        <v>11140</v>
      </c>
      <c r="P2583" t="s">
        <v>11167</v>
      </c>
      <c r="R2583" t="s">
        <v>11180</v>
      </c>
      <c r="S2583" t="s">
        <v>9096</v>
      </c>
      <c r="T2583" t="s">
        <v>11183</v>
      </c>
      <c r="V2583" t="s">
        <v>581</v>
      </c>
      <c r="W2583">
        <v>1990.34</v>
      </c>
      <c r="X2583" t="s">
        <v>11335</v>
      </c>
      <c r="Y2583" t="s">
        <v>11338</v>
      </c>
      <c r="Z2583" t="s">
        <v>13116</v>
      </c>
      <c r="AB2583" t="s">
        <v>17480</v>
      </c>
      <c r="AC2583">
        <v>41</v>
      </c>
      <c r="AD2583" t="s">
        <v>19566</v>
      </c>
      <c r="AE2583" t="s">
        <v>19580</v>
      </c>
      <c r="AF2583">
        <v>7</v>
      </c>
      <c r="AG2583">
        <v>1</v>
      </c>
      <c r="AH2583">
        <v>0</v>
      </c>
      <c r="AI2583">
        <v>85.7</v>
      </c>
      <c r="AL2583" t="s">
        <v>19615</v>
      </c>
      <c r="AM2583">
        <v>10404</v>
      </c>
      <c r="AS2583">
        <v>2.4</v>
      </c>
      <c r="AT2583" t="s">
        <v>846</v>
      </c>
      <c r="AU2583" t="s">
        <v>130</v>
      </c>
      <c r="AV2583" t="s">
        <v>20733</v>
      </c>
    </row>
    <row r="2584" spans="1:48">
      <c r="A2584" s="1">
        <f>HYPERLINK("https://lsnyc.legalserver.org/matter/dynamic-profile/view/1885320","18-1885320")</f>
        <v>0</v>
      </c>
      <c r="B2584" t="s">
        <v>92</v>
      </c>
      <c r="C2584" t="s">
        <v>256</v>
      </c>
      <c r="D2584" t="s">
        <v>448</v>
      </c>
      <c r="F2584" t="s">
        <v>1203</v>
      </c>
      <c r="G2584" t="s">
        <v>3177</v>
      </c>
      <c r="H2584" t="s">
        <v>6998</v>
      </c>
      <c r="I2584" t="s">
        <v>8229</v>
      </c>
      <c r="J2584" t="s">
        <v>9059</v>
      </c>
      <c r="K2584">
        <v>11212</v>
      </c>
      <c r="L2584" t="s">
        <v>9094</v>
      </c>
      <c r="M2584" t="s">
        <v>9094</v>
      </c>
      <c r="N2584" t="s">
        <v>10113</v>
      </c>
      <c r="O2584" t="s">
        <v>11155</v>
      </c>
      <c r="P2584" t="s">
        <v>11165</v>
      </c>
      <c r="R2584" t="s">
        <v>11180</v>
      </c>
      <c r="S2584" t="s">
        <v>9094</v>
      </c>
      <c r="T2584" t="s">
        <v>11183</v>
      </c>
      <c r="V2584" t="s">
        <v>448</v>
      </c>
      <c r="W2584">
        <v>0</v>
      </c>
      <c r="X2584" t="s">
        <v>11332</v>
      </c>
      <c r="Z2584" t="s">
        <v>13117</v>
      </c>
      <c r="AB2584" t="s">
        <v>17481</v>
      </c>
      <c r="AC2584">
        <v>36</v>
      </c>
      <c r="AF2584">
        <v>0</v>
      </c>
      <c r="AG2584">
        <v>2</v>
      </c>
      <c r="AH2584">
        <v>0</v>
      </c>
      <c r="AI2584">
        <v>85.73999999999999</v>
      </c>
      <c r="AL2584" t="s">
        <v>19614</v>
      </c>
      <c r="AM2584">
        <v>14112</v>
      </c>
      <c r="AS2584">
        <v>18.8</v>
      </c>
      <c r="AT2584" t="s">
        <v>270</v>
      </c>
      <c r="AU2584" t="s">
        <v>95</v>
      </c>
    </row>
    <row r="2585" spans="1:48">
      <c r="A2585" s="1">
        <f>HYPERLINK("https://lsnyc.legalserver.org/matter/dynamic-profile/view/1902063","19-1902063")</f>
        <v>0</v>
      </c>
      <c r="B2585" t="s">
        <v>142</v>
      </c>
      <c r="C2585" t="s">
        <v>256</v>
      </c>
      <c r="D2585" t="s">
        <v>319</v>
      </c>
      <c r="F2585" t="s">
        <v>1516</v>
      </c>
      <c r="G2585" t="s">
        <v>3370</v>
      </c>
      <c r="H2585" t="s">
        <v>6999</v>
      </c>
      <c r="I2585" t="s">
        <v>8170</v>
      </c>
      <c r="J2585" t="s">
        <v>9067</v>
      </c>
      <c r="K2585">
        <v>10024</v>
      </c>
      <c r="L2585" t="s">
        <v>9094</v>
      </c>
      <c r="M2585" t="s">
        <v>9095</v>
      </c>
      <c r="O2585" t="s">
        <v>11130</v>
      </c>
      <c r="P2585" t="s">
        <v>11165</v>
      </c>
      <c r="R2585" t="s">
        <v>11180</v>
      </c>
      <c r="S2585" t="s">
        <v>9094</v>
      </c>
      <c r="T2585" t="s">
        <v>11183</v>
      </c>
      <c r="U2585" t="s">
        <v>11201</v>
      </c>
      <c r="V2585" t="s">
        <v>319</v>
      </c>
      <c r="W2585">
        <v>437</v>
      </c>
      <c r="X2585" t="s">
        <v>11335</v>
      </c>
      <c r="Y2585" t="s">
        <v>11157</v>
      </c>
      <c r="Z2585" t="s">
        <v>13118</v>
      </c>
      <c r="AB2585" t="s">
        <v>17482</v>
      </c>
      <c r="AC2585">
        <v>24</v>
      </c>
      <c r="AD2585" t="s">
        <v>19569</v>
      </c>
      <c r="AE2585" t="s">
        <v>9144</v>
      </c>
      <c r="AF2585">
        <v>53</v>
      </c>
      <c r="AG2585">
        <v>1</v>
      </c>
      <c r="AH2585">
        <v>0</v>
      </c>
      <c r="AI2585">
        <v>85.89</v>
      </c>
      <c r="AL2585" t="s">
        <v>19614</v>
      </c>
      <c r="AM2585">
        <v>10728</v>
      </c>
      <c r="AS2585">
        <v>20.2</v>
      </c>
      <c r="AT2585" t="s">
        <v>549</v>
      </c>
      <c r="AU2585" t="s">
        <v>20657</v>
      </c>
      <c r="AV2585" t="s">
        <v>20733</v>
      </c>
    </row>
    <row r="2586" spans="1:48">
      <c r="A2586" s="1">
        <f>HYPERLINK("https://lsnyc.legalserver.org/matter/dynamic-profile/view/1858402","18-1858402")</f>
        <v>0</v>
      </c>
      <c r="B2586" t="s">
        <v>136</v>
      </c>
      <c r="C2586" t="s">
        <v>256</v>
      </c>
      <c r="D2586" t="s">
        <v>946</v>
      </c>
      <c r="F2586" t="s">
        <v>1370</v>
      </c>
      <c r="G2586" t="s">
        <v>3498</v>
      </c>
      <c r="H2586" t="s">
        <v>5961</v>
      </c>
      <c r="I2586">
        <v>610</v>
      </c>
      <c r="J2586" t="s">
        <v>9067</v>
      </c>
      <c r="K2586">
        <v>10029</v>
      </c>
      <c r="L2586" t="s">
        <v>9094</v>
      </c>
      <c r="M2586" t="s">
        <v>9094</v>
      </c>
      <c r="O2586" t="s">
        <v>9121</v>
      </c>
      <c r="P2586" t="s">
        <v>11164</v>
      </c>
      <c r="R2586" t="s">
        <v>11180</v>
      </c>
      <c r="S2586" t="s">
        <v>9096</v>
      </c>
      <c r="T2586" t="s">
        <v>11183</v>
      </c>
      <c r="U2586" t="s">
        <v>11201</v>
      </c>
      <c r="V2586" t="s">
        <v>946</v>
      </c>
      <c r="W2586">
        <v>2500</v>
      </c>
      <c r="X2586" t="s">
        <v>11335</v>
      </c>
      <c r="Y2586" t="s">
        <v>11339</v>
      </c>
      <c r="Z2586" t="s">
        <v>13119</v>
      </c>
      <c r="AB2586" t="s">
        <v>17483</v>
      </c>
      <c r="AC2586">
        <v>108</v>
      </c>
      <c r="AD2586" t="s">
        <v>19567</v>
      </c>
      <c r="AE2586" t="s">
        <v>19580</v>
      </c>
      <c r="AF2586">
        <v>21</v>
      </c>
      <c r="AG2586">
        <v>1</v>
      </c>
      <c r="AH2586">
        <v>2</v>
      </c>
      <c r="AI2586">
        <v>85.95</v>
      </c>
      <c r="AL2586" t="s">
        <v>19614</v>
      </c>
      <c r="AM2586">
        <v>17550</v>
      </c>
      <c r="AS2586">
        <v>34</v>
      </c>
      <c r="AT2586" t="s">
        <v>773</v>
      </c>
      <c r="AU2586" t="s">
        <v>20657</v>
      </c>
      <c r="AV2586" t="s">
        <v>20733</v>
      </c>
    </row>
    <row r="2587" spans="1:48">
      <c r="A2587" s="1">
        <f>HYPERLINK("https://lsnyc.legalserver.org/matter/dynamic-profile/view/1892678","19-1892678")</f>
        <v>0</v>
      </c>
      <c r="B2587" t="s">
        <v>70</v>
      </c>
      <c r="C2587" t="s">
        <v>256</v>
      </c>
      <c r="D2587" t="s">
        <v>553</v>
      </c>
      <c r="F2587" t="s">
        <v>1211</v>
      </c>
      <c r="G2587" t="s">
        <v>3408</v>
      </c>
      <c r="H2587" t="s">
        <v>5750</v>
      </c>
      <c r="I2587" t="s">
        <v>8152</v>
      </c>
      <c r="J2587" t="s">
        <v>9059</v>
      </c>
      <c r="K2587">
        <v>11233</v>
      </c>
      <c r="L2587" t="s">
        <v>9094</v>
      </c>
      <c r="M2587" t="s">
        <v>9096</v>
      </c>
      <c r="N2587" t="s">
        <v>9145</v>
      </c>
      <c r="O2587" t="s">
        <v>11134</v>
      </c>
      <c r="P2587" t="s">
        <v>11168</v>
      </c>
      <c r="R2587" t="s">
        <v>11180</v>
      </c>
      <c r="S2587" t="s">
        <v>9094</v>
      </c>
      <c r="T2587" t="s">
        <v>11183</v>
      </c>
      <c r="U2587" t="s">
        <v>11201</v>
      </c>
      <c r="V2587" t="s">
        <v>482</v>
      </c>
      <c r="W2587">
        <v>0</v>
      </c>
      <c r="X2587" t="s">
        <v>11332</v>
      </c>
      <c r="Y2587" t="s">
        <v>11157</v>
      </c>
      <c r="Z2587" t="s">
        <v>11438</v>
      </c>
      <c r="AC2587">
        <v>359</v>
      </c>
      <c r="AD2587" t="s">
        <v>19566</v>
      </c>
      <c r="AF2587">
        <v>1</v>
      </c>
      <c r="AG2587">
        <v>1</v>
      </c>
      <c r="AH2587">
        <v>1</v>
      </c>
      <c r="AI2587">
        <v>86.08</v>
      </c>
      <c r="AL2587" t="s">
        <v>19614</v>
      </c>
      <c r="AM2587">
        <v>14556</v>
      </c>
      <c r="AN2587" t="s">
        <v>19885</v>
      </c>
      <c r="AS2587">
        <v>0</v>
      </c>
      <c r="AU2587" t="s">
        <v>79</v>
      </c>
      <c r="AV2587" t="s">
        <v>9144</v>
      </c>
    </row>
    <row r="2588" spans="1:48">
      <c r="A2588" s="1">
        <f>HYPERLINK("https://lsnyc.legalserver.org/matter/dynamic-profile/view/1892681","19-1892681")</f>
        <v>0</v>
      </c>
      <c r="B2588" t="s">
        <v>70</v>
      </c>
      <c r="C2588" t="s">
        <v>256</v>
      </c>
      <c r="D2588" t="s">
        <v>553</v>
      </c>
      <c r="F2588" t="s">
        <v>1211</v>
      </c>
      <c r="G2588" t="s">
        <v>3408</v>
      </c>
      <c r="H2588" t="s">
        <v>5750</v>
      </c>
      <c r="I2588" t="s">
        <v>8152</v>
      </c>
      <c r="J2588" t="s">
        <v>9059</v>
      </c>
      <c r="K2588">
        <v>11233</v>
      </c>
      <c r="L2588" t="s">
        <v>9094</v>
      </c>
      <c r="M2588" t="s">
        <v>9096</v>
      </c>
      <c r="O2588" t="s">
        <v>11137</v>
      </c>
      <c r="P2588" t="s">
        <v>11167</v>
      </c>
      <c r="R2588" t="s">
        <v>11180</v>
      </c>
      <c r="S2588" t="s">
        <v>9094</v>
      </c>
      <c r="T2588" t="s">
        <v>11183</v>
      </c>
      <c r="U2588" t="s">
        <v>11201</v>
      </c>
      <c r="V2588" t="s">
        <v>749</v>
      </c>
      <c r="W2588">
        <v>0</v>
      </c>
      <c r="X2588" t="s">
        <v>11332</v>
      </c>
      <c r="Y2588" t="s">
        <v>11157</v>
      </c>
      <c r="Z2588" t="s">
        <v>11438</v>
      </c>
      <c r="AC2588">
        <v>359</v>
      </c>
      <c r="AD2588" t="s">
        <v>19566</v>
      </c>
      <c r="AF2588">
        <v>1</v>
      </c>
      <c r="AG2588">
        <v>1</v>
      </c>
      <c r="AH2588">
        <v>1</v>
      </c>
      <c r="AI2588">
        <v>86.08</v>
      </c>
      <c r="AL2588" t="s">
        <v>19614</v>
      </c>
      <c r="AM2588">
        <v>14556</v>
      </c>
      <c r="AN2588" t="s">
        <v>19886</v>
      </c>
      <c r="AS2588">
        <v>0</v>
      </c>
      <c r="AU2588" t="s">
        <v>79</v>
      </c>
    </row>
    <row r="2589" spans="1:48">
      <c r="A2589" s="1">
        <f>HYPERLINK("https://lsnyc.legalserver.org/matter/dynamic-profile/view/1861395","18-1861395")</f>
        <v>0</v>
      </c>
      <c r="B2589" t="s">
        <v>187</v>
      </c>
      <c r="C2589" t="s">
        <v>256</v>
      </c>
      <c r="D2589" t="s">
        <v>882</v>
      </c>
      <c r="F2589" t="s">
        <v>1687</v>
      </c>
      <c r="G2589" t="s">
        <v>4491</v>
      </c>
      <c r="H2589" t="s">
        <v>5698</v>
      </c>
      <c r="I2589" t="s">
        <v>8627</v>
      </c>
      <c r="J2589" t="s">
        <v>9038</v>
      </c>
      <c r="K2589">
        <v>11691</v>
      </c>
      <c r="L2589" t="s">
        <v>9094</v>
      </c>
      <c r="M2589" t="s">
        <v>9095</v>
      </c>
      <c r="N2589" t="s">
        <v>10114</v>
      </c>
      <c r="O2589" t="s">
        <v>11128</v>
      </c>
      <c r="P2589" t="s">
        <v>11165</v>
      </c>
      <c r="R2589" t="s">
        <v>11180</v>
      </c>
      <c r="S2589" t="s">
        <v>9096</v>
      </c>
      <c r="T2589" t="s">
        <v>11183</v>
      </c>
      <c r="V2589" t="s">
        <v>882</v>
      </c>
      <c r="W2589">
        <v>906</v>
      </c>
      <c r="X2589" t="s">
        <v>11331</v>
      </c>
      <c r="Y2589" t="s">
        <v>11336</v>
      </c>
      <c r="Z2589" t="s">
        <v>13120</v>
      </c>
      <c r="AA2589" t="s">
        <v>15717</v>
      </c>
      <c r="AB2589" t="s">
        <v>17484</v>
      </c>
      <c r="AC2589">
        <v>375</v>
      </c>
      <c r="AD2589" t="s">
        <v>19568</v>
      </c>
      <c r="AE2589" t="s">
        <v>19580</v>
      </c>
      <c r="AF2589">
        <v>8</v>
      </c>
      <c r="AG2589">
        <v>1</v>
      </c>
      <c r="AH2589">
        <v>0</v>
      </c>
      <c r="AI2589">
        <v>86.09999999999999</v>
      </c>
      <c r="AL2589" t="s">
        <v>19614</v>
      </c>
      <c r="AM2589">
        <v>10452</v>
      </c>
      <c r="AN2589" t="s">
        <v>19887</v>
      </c>
      <c r="AS2589">
        <v>32.15</v>
      </c>
      <c r="AT2589" t="s">
        <v>703</v>
      </c>
      <c r="AU2589" t="s">
        <v>20620</v>
      </c>
    </row>
    <row r="2590" spans="1:48">
      <c r="A2590" s="1">
        <f>HYPERLINK("https://lsnyc.legalserver.org/matter/dynamic-profile/view/1839788","17-1839788")</f>
        <v>0</v>
      </c>
      <c r="B2590" t="s">
        <v>142</v>
      </c>
      <c r="C2590" t="s">
        <v>257</v>
      </c>
      <c r="D2590" t="s">
        <v>947</v>
      </c>
      <c r="E2590" t="s">
        <v>426</v>
      </c>
      <c r="F2590" t="s">
        <v>2267</v>
      </c>
      <c r="G2590" t="s">
        <v>3370</v>
      </c>
      <c r="H2590" t="s">
        <v>7000</v>
      </c>
      <c r="I2590" t="s">
        <v>8119</v>
      </c>
      <c r="J2590" t="s">
        <v>9067</v>
      </c>
      <c r="K2590">
        <v>10029</v>
      </c>
      <c r="L2590" t="s">
        <v>9094</v>
      </c>
      <c r="M2590" t="s">
        <v>9095</v>
      </c>
      <c r="N2590" t="s">
        <v>10115</v>
      </c>
      <c r="O2590" t="s">
        <v>11128</v>
      </c>
      <c r="P2590" t="s">
        <v>11165</v>
      </c>
      <c r="Q2590" t="s">
        <v>11174</v>
      </c>
      <c r="R2590" t="s">
        <v>11180</v>
      </c>
      <c r="S2590" t="s">
        <v>9096</v>
      </c>
      <c r="T2590" t="s">
        <v>11183</v>
      </c>
      <c r="U2590" t="s">
        <v>11201</v>
      </c>
      <c r="V2590" t="s">
        <v>856</v>
      </c>
      <c r="W2590">
        <v>637.2</v>
      </c>
      <c r="X2590" t="s">
        <v>11335</v>
      </c>
      <c r="Y2590" t="s">
        <v>11340</v>
      </c>
      <c r="Z2590" t="s">
        <v>13121</v>
      </c>
      <c r="AB2590" t="s">
        <v>17485</v>
      </c>
      <c r="AC2590">
        <v>10</v>
      </c>
      <c r="AD2590" t="s">
        <v>19566</v>
      </c>
      <c r="AE2590" t="s">
        <v>9144</v>
      </c>
      <c r="AF2590">
        <v>11</v>
      </c>
      <c r="AG2590">
        <v>1</v>
      </c>
      <c r="AH2590">
        <v>2</v>
      </c>
      <c r="AI2590">
        <v>86.15000000000001</v>
      </c>
      <c r="AL2590" t="s">
        <v>19615</v>
      </c>
      <c r="AM2590">
        <v>27216</v>
      </c>
      <c r="AO2590" t="s">
        <v>20305</v>
      </c>
      <c r="AP2590" t="s">
        <v>20317</v>
      </c>
      <c r="AQ2590" t="s">
        <v>20369</v>
      </c>
      <c r="AR2590" t="s">
        <v>20499</v>
      </c>
      <c r="AS2590">
        <v>29.65</v>
      </c>
      <c r="AT2590" t="s">
        <v>497</v>
      </c>
      <c r="AU2590" t="s">
        <v>20657</v>
      </c>
      <c r="AV2590" t="s">
        <v>20733</v>
      </c>
    </row>
    <row r="2591" spans="1:48">
      <c r="A2591" s="1">
        <f>HYPERLINK("https://lsnyc.legalserver.org/matter/dynamic-profile/view/1897303","19-1897303")</f>
        <v>0</v>
      </c>
      <c r="B2591" t="s">
        <v>64</v>
      </c>
      <c r="C2591" t="s">
        <v>256</v>
      </c>
      <c r="D2591" t="s">
        <v>434</v>
      </c>
      <c r="F2591" t="s">
        <v>2268</v>
      </c>
      <c r="G2591" t="s">
        <v>2035</v>
      </c>
      <c r="H2591" t="s">
        <v>7001</v>
      </c>
      <c r="I2591" t="s">
        <v>8112</v>
      </c>
      <c r="J2591" t="s">
        <v>9059</v>
      </c>
      <c r="K2591">
        <v>11207</v>
      </c>
      <c r="L2591" t="s">
        <v>9094</v>
      </c>
      <c r="M2591" t="s">
        <v>9095</v>
      </c>
      <c r="N2591" t="s">
        <v>10116</v>
      </c>
      <c r="O2591" t="s">
        <v>11128</v>
      </c>
      <c r="P2591" t="s">
        <v>11165</v>
      </c>
      <c r="R2591" t="s">
        <v>11180</v>
      </c>
      <c r="S2591" t="s">
        <v>9096</v>
      </c>
      <c r="T2591" t="s">
        <v>11183</v>
      </c>
      <c r="V2591" t="s">
        <v>302</v>
      </c>
      <c r="W2591">
        <v>1445</v>
      </c>
      <c r="X2591" t="s">
        <v>11332</v>
      </c>
      <c r="Y2591" t="s">
        <v>11340</v>
      </c>
      <c r="Z2591" t="s">
        <v>13122</v>
      </c>
      <c r="AB2591" t="s">
        <v>17486</v>
      </c>
      <c r="AC2591">
        <v>12</v>
      </c>
      <c r="AD2591" t="s">
        <v>19566</v>
      </c>
      <c r="AE2591" t="s">
        <v>9144</v>
      </c>
      <c r="AF2591">
        <v>12</v>
      </c>
      <c r="AG2591">
        <v>1</v>
      </c>
      <c r="AH2591">
        <v>4</v>
      </c>
      <c r="AI2591">
        <v>86.18000000000001</v>
      </c>
      <c r="AL2591" t="s">
        <v>19614</v>
      </c>
      <c r="AM2591">
        <v>26000</v>
      </c>
      <c r="AS2591">
        <v>19.9</v>
      </c>
      <c r="AT2591" t="s">
        <v>1135</v>
      </c>
      <c r="AU2591" t="s">
        <v>20632</v>
      </c>
      <c r="AV2591" t="s">
        <v>20733</v>
      </c>
    </row>
    <row r="2592" spans="1:48">
      <c r="A2592" s="1">
        <f>HYPERLINK("https://lsnyc.legalserver.org/matter/dynamic-profile/view/1893754","19-1893754")</f>
        <v>0</v>
      </c>
      <c r="B2592" t="s">
        <v>108</v>
      </c>
      <c r="C2592" t="s">
        <v>257</v>
      </c>
      <c r="D2592" t="s">
        <v>274</v>
      </c>
      <c r="E2592" t="s">
        <v>832</v>
      </c>
      <c r="F2592" t="s">
        <v>1721</v>
      </c>
      <c r="G2592" t="s">
        <v>3699</v>
      </c>
      <c r="H2592" t="s">
        <v>7002</v>
      </c>
      <c r="I2592" t="s">
        <v>8189</v>
      </c>
      <c r="J2592" t="s">
        <v>9065</v>
      </c>
      <c r="K2592">
        <v>10452</v>
      </c>
      <c r="L2592" t="s">
        <v>9094</v>
      </c>
      <c r="M2592" t="s">
        <v>9094</v>
      </c>
      <c r="N2592" t="s">
        <v>10117</v>
      </c>
      <c r="O2592" t="s">
        <v>11129</v>
      </c>
      <c r="P2592" t="s">
        <v>11164</v>
      </c>
      <c r="Q2592" t="s">
        <v>11172</v>
      </c>
      <c r="R2592" t="s">
        <v>11180</v>
      </c>
      <c r="S2592" t="s">
        <v>9096</v>
      </c>
      <c r="T2592" t="s">
        <v>11183</v>
      </c>
      <c r="U2592" t="s">
        <v>11201</v>
      </c>
      <c r="V2592" t="s">
        <v>274</v>
      </c>
      <c r="W2592">
        <v>1070</v>
      </c>
      <c r="X2592" t="s">
        <v>11333</v>
      </c>
      <c r="Y2592" t="s">
        <v>11338</v>
      </c>
      <c r="Z2592" t="s">
        <v>13123</v>
      </c>
      <c r="AC2592">
        <v>0</v>
      </c>
      <c r="AD2592" t="s">
        <v>19566</v>
      </c>
      <c r="AF2592">
        <v>8</v>
      </c>
      <c r="AG2592">
        <v>1</v>
      </c>
      <c r="AH2592">
        <v>4</v>
      </c>
      <c r="AI2592">
        <v>86.18000000000001</v>
      </c>
      <c r="AL2592" t="s">
        <v>19615</v>
      </c>
      <c r="AM2592">
        <v>26000</v>
      </c>
      <c r="AS2592">
        <v>0.2</v>
      </c>
      <c r="AT2592" t="s">
        <v>832</v>
      </c>
      <c r="AU2592" t="s">
        <v>108</v>
      </c>
    </row>
    <row r="2593" spans="1:48">
      <c r="A2593" s="1">
        <f>HYPERLINK("https://lsnyc.legalserver.org/matter/dynamic-profile/view/1895972","19-1895972")</f>
        <v>0</v>
      </c>
      <c r="B2593" t="s">
        <v>106</v>
      </c>
      <c r="C2593" t="s">
        <v>256</v>
      </c>
      <c r="D2593" t="s">
        <v>300</v>
      </c>
      <c r="F2593" t="s">
        <v>2269</v>
      </c>
      <c r="G2593" t="s">
        <v>4492</v>
      </c>
      <c r="H2593" t="s">
        <v>6624</v>
      </c>
      <c r="I2593" t="s">
        <v>8628</v>
      </c>
      <c r="J2593" t="s">
        <v>9065</v>
      </c>
      <c r="K2593">
        <v>10458</v>
      </c>
      <c r="L2593" t="s">
        <v>9094</v>
      </c>
      <c r="M2593" t="s">
        <v>9094</v>
      </c>
      <c r="N2593" t="s">
        <v>9819</v>
      </c>
      <c r="O2593" t="s">
        <v>11134</v>
      </c>
      <c r="P2593" t="s">
        <v>11168</v>
      </c>
      <c r="R2593" t="s">
        <v>11180</v>
      </c>
      <c r="S2593" t="s">
        <v>9094</v>
      </c>
      <c r="T2593" t="s">
        <v>11183</v>
      </c>
      <c r="V2593" t="s">
        <v>11212</v>
      </c>
      <c r="W2593">
        <v>867</v>
      </c>
      <c r="X2593" t="s">
        <v>11333</v>
      </c>
      <c r="Y2593" t="s">
        <v>11346</v>
      </c>
      <c r="Z2593" t="s">
        <v>13124</v>
      </c>
      <c r="AA2593">
        <v>4690917</v>
      </c>
      <c r="AC2593">
        <v>142</v>
      </c>
      <c r="AD2593" t="s">
        <v>19566</v>
      </c>
      <c r="AE2593" t="s">
        <v>11157</v>
      </c>
      <c r="AF2593">
        <v>39</v>
      </c>
      <c r="AG2593">
        <v>2</v>
      </c>
      <c r="AH2593">
        <v>0</v>
      </c>
      <c r="AI2593">
        <v>86.20999999999999</v>
      </c>
      <c r="AL2593" t="s">
        <v>19614</v>
      </c>
      <c r="AM2593">
        <v>14000</v>
      </c>
      <c r="AS2593">
        <v>0.1</v>
      </c>
      <c r="AT2593" t="s">
        <v>608</v>
      </c>
      <c r="AU2593" t="s">
        <v>220</v>
      </c>
      <c r="AV2593" t="s">
        <v>20733</v>
      </c>
    </row>
    <row r="2594" spans="1:48">
      <c r="A2594" s="1">
        <f>HYPERLINK("https://lsnyc.legalserver.org/matter/dynamic-profile/view/1908942","19-1908942")</f>
        <v>0</v>
      </c>
      <c r="B2594" t="s">
        <v>101</v>
      </c>
      <c r="C2594" t="s">
        <v>256</v>
      </c>
      <c r="D2594" t="s">
        <v>806</v>
      </c>
      <c r="F2594" t="s">
        <v>2045</v>
      </c>
      <c r="G2594" t="s">
        <v>4011</v>
      </c>
      <c r="H2594" t="s">
        <v>7003</v>
      </c>
      <c r="I2594" t="s">
        <v>8112</v>
      </c>
      <c r="J2594" t="s">
        <v>9065</v>
      </c>
      <c r="K2594">
        <v>10460</v>
      </c>
      <c r="L2594" t="s">
        <v>9094</v>
      </c>
      <c r="M2594" t="s">
        <v>9095</v>
      </c>
      <c r="O2594" t="s">
        <v>9121</v>
      </c>
      <c r="P2594" t="s">
        <v>11164</v>
      </c>
      <c r="R2594" t="s">
        <v>11180</v>
      </c>
      <c r="S2594" t="s">
        <v>9096</v>
      </c>
      <c r="T2594" t="s">
        <v>11183</v>
      </c>
      <c r="W2594">
        <v>818.75</v>
      </c>
      <c r="X2594" t="s">
        <v>11333</v>
      </c>
      <c r="Y2594" t="s">
        <v>11346</v>
      </c>
      <c r="Z2594" t="s">
        <v>13125</v>
      </c>
      <c r="AB2594" t="s">
        <v>17487</v>
      </c>
      <c r="AC2594">
        <v>20</v>
      </c>
      <c r="AD2594" t="s">
        <v>19570</v>
      </c>
      <c r="AE2594" t="s">
        <v>9144</v>
      </c>
      <c r="AF2594">
        <v>15</v>
      </c>
      <c r="AG2594">
        <v>2</v>
      </c>
      <c r="AH2594">
        <v>0</v>
      </c>
      <c r="AI2594">
        <v>86.22</v>
      </c>
      <c r="AL2594" t="s">
        <v>19614</v>
      </c>
      <c r="AM2594">
        <v>14580</v>
      </c>
      <c r="AS2594">
        <v>8.6</v>
      </c>
      <c r="AT2594" t="s">
        <v>301</v>
      </c>
      <c r="AU2594" t="s">
        <v>99</v>
      </c>
      <c r="AV2594" t="s">
        <v>20733</v>
      </c>
    </row>
    <row r="2595" spans="1:48">
      <c r="A2595" s="1">
        <f>HYPERLINK("https://lsnyc.legalserver.org/matter/dynamic-profile/view/1844969","17-1844969")</f>
        <v>0</v>
      </c>
      <c r="B2595" t="s">
        <v>138</v>
      </c>
      <c r="C2595" t="s">
        <v>256</v>
      </c>
      <c r="D2595" t="s">
        <v>948</v>
      </c>
      <c r="F2595" t="s">
        <v>2270</v>
      </c>
      <c r="G2595" t="s">
        <v>4493</v>
      </c>
      <c r="H2595" t="s">
        <v>7004</v>
      </c>
      <c r="I2595" t="s">
        <v>8629</v>
      </c>
      <c r="J2595" t="s">
        <v>9067</v>
      </c>
      <c r="K2595">
        <v>10025</v>
      </c>
      <c r="L2595" t="s">
        <v>9094</v>
      </c>
      <c r="M2595" t="s">
        <v>9095</v>
      </c>
      <c r="N2595" t="s">
        <v>10118</v>
      </c>
      <c r="O2595" t="s">
        <v>11128</v>
      </c>
      <c r="P2595" t="s">
        <v>11165</v>
      </c>
      <c r="R2595" t="s">
        <v>11181</v>
      </c>
      <c r="S2595" t="s">
        <v>9096</v>
      </c>
      <c r="T2595" t="s">
        <v>11183</v>
      </c>
      <c r="V2595" t="s">
        <v>11238</v>
      </c>
      <c r="W2595">
        <v>1127</v>
      </c>
      <c r="X2595" t="s">
        <v>11335</v>
      </c>
      <c r="Y2595" t="s">
        <v>11337</v>
      </c>
      <c r="Z2595" t="s">
        <v>13126</v>
      </c>
      <c r="AB2595" t="s">
        <v>17488</v>
      </c>
      <c r="AC2595">
        <v>207</v>
      </c>
      <c r="AD2595" t="s">
        <v>15441</v>
      </c>
      <c r="AE2595" t="s">
        <v>9144</v>
      </c>
      <c r="AF2595">
        <v>4</v>
      </c>
      <c r="AG2595">
        <v>1</v>
      </c>
      <c r="AH2595">
        <v>0</v>
      </c>
      <c r="AI2595">
        <v>86.23999999999999</v>
      </c>
      <c r="AJ2595" t="s">
        <v>19591</v>
      </c>
      <c r="AK2595" t="s">
        <v>19608</v>
      </c>
      <c r="AL2595" t="s">
        <v>19614</v>
      </c>
      <c r="AM2595">
        <v>10400</v>
      </c>
      <c r="AS2595">
        <v>63.7</v>
      </c>
      <c r="AT2595" t="s">
        <v>512</v>
      </c>
      <c r="AU2595" t="s">
        <v>20669</v>
      </c>
    </row>
    <row r="2596" spans="1:48">
      <c r="A2596" s="1">
        <f>HYPERLINK("https://lsnyc.legalserver.org/matter/dynamic-profile/view/1907361","19-1907361")</f>
        <v>0</v>
      </c>
      <c r="B2596" t="s">
        <v>140</v>
      </c>
      <c r="C2596" t="s">
        <v>257</v>
      </c>
      <c r="D2596" t="s">
        <v>334</v>
      </c>
      <c r="E2596" t="s">
        <v>290</v>
      </c>
      <c r="F2596" t="s">
        <v>2267</v>
      </c>
      <c r="G2596" t="s">
        <v>4156</v>
      </c>
      <c r="H2596" t="s">
        <v>7005</v>
      </c>
      <c r="I2596" t="s">
        <v>8630</v>
      </c>
      <c r="J2596" t="s">
        <v>9067</v>
      </c>
      <c r="K2596">
        <v>10029</v>
      </c>
      <c r="L2596" t="s">
        <v>9094</v>
      </c>
      <c r="M2596" t="s">
        <v>9095</v>
      </c>
      <c r="P2596" t="s">
        <v>11167</v>
      </c>
      <c r="Q2596" t="s">
        <v>11173</v>
      </c>
      <c r="R2596" t="s">
        <v>11180</v>
      </c>
      <c r="T2596" t="s">
        <v>11183</v>
      </c>
      <c r="W2596">
        <v>488</v>
      </c>
      <c r="X2596" t="s">
        <v>11335</v>
      </c>
      <c r="Y2596" t="s">
        <v>11345</v>
      </c>
      <c r="Z2596" t="s">
        <v>13127</v>
      </c>
      <c r="AB2596" t="s">
        <v>17489</v>
      </c>
      <c r="AC2596">
        <v>10</v>
      </c>
      <c r="AF2596">
        <v>19</v>
      </c>
      <c r="AG2596">
        <v>1</v>
      </c>
      <c r="AH2596">
        <v>0</v>
      </c>
      <c r="AI2596">
        <v>86.28</v>
      </c>
      <c r="AL2596" t="s">
        <v>19615</v>
      </c>
      <c r="AM2596">
        <v>10776</v>
      </c>
      <c r="AS2596">
        <v>1.5</v>
      </c>
      <c r="AT2596" t="s">
        <v>314</v>
      </c>
      <c r="AU2596" t="s">
        <v>20631</v>
      </c>
      <c r="AV2596" t="s">
        <v>20733</v>
      </c>
    </row>
    <row r="2597" spans="1:48">
      <c r="A2597" s="1">
        <f>HYPERLINK("https://lsnyc.legalserver.org/matter/dynamic-profile/view/1854109","17-1854109")</f>
        <v>0</v>
      </c>
      <c r="B2597" t="s">
        <v>103</v>
      </c>
      <c r="C2597" t="s">
        <v>256</v>
      </c>
      <c r="D2597" t="s">
        <v>789</v>
      </c>
      <c r="F2597" t="s">
        <v>2256</v>
      </c>
      <c r="G2597" t="s">
        <v>4479</v>
      </c>
      <c r="H2597" t="s">
        <v>6413</v>
      </c>
      <c r="I2597" t="s">
        <v>8212</v>
      </c>
      <c r="J2597" t="s">
        <v>9065</v>
      </c>
      <c r="K2597">
        <v>10456</v>
      </c>
      <c r="L2597" t="s">
        <v>9094</v>
      </c>
      <c r="M2597" t="s">
        <v>9095</v>
      </c>
      <c r="N2597" t="s">
        <v>9740</v>
      </c>
      <c r="O2597" t="s">
        <v>11135</v>
      </c>
      <c r="P2597" t="s">
        <v>11168</v>
      </c>
      <c r="R2597" t="s">
        <v>11180</v>
      </c>
      <c r="S2597" t="s">
        <v>9094</v>
      </c>
      <c r="T2597" t="s">
        <v>11183</v>
      </c>
      <c r="V2597" t="s">
        <v>11223</v>
      </c>
      <c r="W2597">
        <v>988</v>
      </c>
      <c r="X2597" t="s">
        <v>11333</v>
      </c>
      <c r="Y2597" t="s">
        <v>11346</v>
      </c>
      <c r="Z2597" t="s">
        <v>12814</v>
      </c>
      <c r="AB2597" t="s">
        <v>17458</v>
      </c>
      <c r="AC2597">
        <v>61</v>
      </c>
      <c r="AD2597" t="s">
        <v>19566</v>
      </c>
      <c r="AE2597" t="s">
        <v>19581</v>
      </c>
      <c r="AF2597">
        <v>11</v>
      </c>
      <c r="AG2597">
        <v>1</v>
      </c>
      <c r="AH2597">
        <v>2</v>
      </c>
      <c r="AI2597">
        <v>86.37</v>
      </c>
      <c r="AJ2597" t="s">
        <v>19597</v>
      </c>
      <c r="AL2597" t="s">
        <v>19615</v>
      </c>
      <c r="AM2597">
        <v>17636</v>
      </c>
      <c r="AS2597">
        <v>0.5</v>
      </c>
      <c r="AT2597" t="s">
        <v>870</v>
      </c>
      <c r="AU2597" t="s">
        <v>20643</v>
      </c>
    </row>
    <row r="2598" spans="1:48">
      <c r="A2598" s="1">
        <f>HYPERLINK("https://lsnyc.legalserver.org/matter/dynamic-profile/view/1834583","17-1834583")</f>
        <v>0</v>
      </c>
      <c r="B2598" t="s">
        <v>64</v>
      </c>
      <c r="C2598" t="s">
        <v>256</v>
      </c>
      <c r="D2598" t="s">
        <v>550</v>
      </c>
      <c r="F2598" t="s">
        <v>1755</v>
      </c>
      <c r="G2598" t="s">
        <v>3332</v>
      </c>
      <c r="H2598" t="s">
        <v>7006</v>
      </c>
      <c r="I2598" t="s">
        <v>8197</v>
      </c>
      <c r="J2598" t="s">
        <v>9059</v>
      </c>
      <c r="K2598">
        <v>11208</v>
      </c>
      <c r="L2598" t="s">
        <v>9094</v>
      </c>
      <c r="M2598" t="s">
        <v>9095</v>
      </c>
      <c r="N2598" t="s">
        <v>10119</v>
      </c>
      <c r="O2598" t="s">
        <v>11129</v>
      </c>
      <c r="P2598" t="s">
        <v>11165</v>
      </c>
      <c r="R2598" t="s">
        <v>11180</v>
      </c>
      <c r="S2598" t="s">
        <v>9096</v>
      </c>
      <c r="T2598" t="s">
        <v>11183</v>
      </c>
      <c r="V2598" t="s">
        <v>550</v>
      </c>
      <c r="W2598">
        <v>1000</v>
      </c>
      <c r="X2598" t="s">
        <v>11332</v>
      </c>
      <c r="Y2598" t="s">
        <v>11344</v>
      </c>
      <c r="Z2598" t="s">
        <v>13128</v>
      </c>
      <c r="AB2598" t="s">
        <v>17490</v>
      </c>
      <c r="AC2598">
        <v>30</v>
      </c>
      <c r="AE2598" t="s">
        <v>19586</v>
      </c>
      <c r="AF2598">
        <v>2</v>
      </c>
      <c r="AG2598">
        <v>1</v>
      </c>
      <c r="AH2598">
        <v>2</v>
      </c>
      <c r="AI2598">
        <v>86.39</v>
      </c>
      <c r="AL2598" t="s">
        <v>19614</v>
      </c>
      <c r="AM2598">
        <v>17640</v>
      </c>
      <c r="AS2598">
        <v>21</v>
      </c>
      <c r="AT2598" t="s">
        <v>835</v>
      </c>
      <c r="AU2598" t="s">
        <v>20633</v>
      </c>
    </row>
    <row r="2599" spans="1:48">
      <c r="A2599" s="1">
        <f>HYPERLINK("https://lsnyc.legalserver.org/matter/dynamic-profile/view/1904293","19-1904293")</f>
        <v>0</v>
      </c>
      <c r="B2599" t="s">
        <v>49</v>
      </c>
      <c r="C2599" t="s">
        <v>257</v>
      </c>
      <c r="D2599" t="s">
        <v>265</v>
      </c>
      <c r="E2599" t="s">
        <v>320</v>
      </c>
      <c r="F2599" t="s">
        <v>1270</v>
      </c>
      <c r="G2599" t="s">
        <v>4494</v>
      </c>
      <c r="H2599" t="s">
        <v>7007</v>
      </c>
      <c r="I2599" t="s">
        <v>8631</v>
      </c>
      <c r="J2599" t="s">
        <v>9037</v>
      </c>
      <c r="K2599">
        <v>11692</v>
      </c>
      <c r="L2599" t="s">
        <v>9096</v>
      </c>
      <c r="M2599" t="s">
        <v>9095</v>
      </c>
      <c r="N2599" t="s">
        <v>9154</v>
      </c>
      <c r="O2599" t="s">
        <v>9121</v>
      </c>
      <c r="P2599" t="s">
        <v>11164</v>
      </c>
      <c r="Q2599" t="s">
        <v>11172</v>
      </c>
      <c r="R2599" t="s">
        <v>11180</v>
      </c>
      <c r="S2599" t="s">
        <v>9096</v>
      </c>
      <c r="T2599" t="s">
        <v>11183</v>
      </c>
      <c r="U2599" t="s">
        <v>11201</v>
      </c>
      <c r="W2599">
        <v>1850</v>
      </c>
      <c r="X2599" t="s">
        <v>11331</v>
      </c>
      <c r="Y2599" t="s">
        <v>11354</v>
      </c>
      <c r="Z2599" t="s">
        <v>13129</v>
      </c>
      <c r="AA2599" t="s">
        <v>9144</v>
      </c>
      <c r="AB2599" t="s">
        <v>17491</v>
      </c>
      <c r="AC2599">
        <v>2</v>
      </c>
      <c r="AD2599" t="s">
        <v>19574</v>
      </c>
      <c r="AE2599" t="s">
        <v>9144</v>
      </c>
      <c r="AF2599">
        <v>-1</v>
      </c>
      <c r="AG2599">
        <v>1</v>
      </c>
      <c r="AH2599">
        <v>0</v>
      </c>
      <c r="AI2599">
        <v>86.47</v>
      </c>
      <c r="AL2599" t="s">
        <v>19614</v>
      </c>
      <c r="AM2599">
        <v>10800</v>
      </c>
      <c r="AP2599" t="s">
        <v>11157</v>
      </c>
      <c r="AR2599" t="s">
        <v>20500</v>
      </c>
      <c r="AS2599">
        <v>2.85</v>
      </c>
      <c r="AT2599" t="s">
        <v>341</v>
      </c>
      <c r="AU2599" t="s">
        <v>20631</v>
      </c>
      <c r="AV2599" t="s">
        <v>9144</v>
      </c>
    </row>
    <row r="2600" spans="1:48">
      <c r="A2600" s="1">
        <f>HYPERLINK("https://lsnyc.legalserver.org/matter/dynamic-profile/view/1904298","19-1904298")</f>
        <v>0</v>
      </c>
      <c r="B2600" t="s">
        <v>70</v>
      </c>
      <c r="C2600" t="s">
        <v>256</v>
      </c>
      <c r="D2600" t="s">
        <v>265</v>
      </c>
      <c r="F2600" t="s">
        <v>1723</v>
      </c>
      <c r="G2600" t="s">
        <v>4495</v>
      </c>
      <c r="H2600" t="s">
        <v>7008</v>
      </c>
      <c r="I2600" t="s">
        <v>8483</v>
      </c>
      <c r="J2600" t="s">
        <v>9059</v>
      </c>
      <c r="K2600">
        <v>11213</v>
      </c>
      <c r="L2600" t="s">
        <v>9094</v>
      </c>
      <c r="M2600" t="s">
        <v>9095</v>
      </c>
      <c r="N2600" t="s">
        <v>10120</v>
      </c>
      <c r="O2600" t="s">
        <v>11128</v>
      </c>
      <c r="P2600" t="s">
        <v>11165</v>
      </c>
      <c r="R2600" t="s">
        <v>11180</v>
      </c>
      <c r="S2600" t="s">
        <v>9096</v>
      </c>
      <c r="T2600" t="s">
        <v>11183</v>
      </c>
      <c r="U2600" t="s">
        <v>11201</v>
      </c>
      <c r="V2600" t="s">
        <v>312</v>
      </c>
      <c r="W2600">
        <v>300</v>
      </c>
      <c r="X2600" t="s">
        <v>11332</v>
      </c>
      <c r="Y2600" t="s">
        <v>11346</v>
      </c>
      <c r="Z2600" t="s">
        <v>13130</v>
      </c>
      <c r="AA2600" t="s">
        <v>15290</v>
      </c>
      <c r="AB2600" t="s">
        <v>17492</v>
      </c>
      <c r="AC2600">
        <v>34</v>
      </c>
      <c r="AD2600" t="s">
        <v>19569</v>
      </c>
      <c r="AE2600" t="s">
        <v>9144</v>
      </c>
      <c r="AF2600">
        <v>44</v>
      </c>
      <c r="AG2600">
        <v>1</v>
      </c>
      <c r="AH2600">
        <v>0</v>
      </c>
      <c r="AI2600">
        <v>86.47</v>
      </c>
      <c r="AL2600" t="s">
        <v>19614</v>
      </c>
      <c r="AM2600">
        <v>10800</v>
      </c>
      <c r="AS2600">
        <v>39.4</v>
      </c>
      <c r="AT2600" t="s">
        <v>270</v>
      </c>
      <c r="AU2600" t="s">
        <v>95</v>
      </c>
      <c r="AV2600" t="s">
        <v>20733</v>
      </c>
    </row>
    <row r="2601" spans="1:48">
      <c r="A2601" s="1">
        <f>HYPERLINK("https://lsnyc.legalserver.org/matter/dynamic-profile/view/1904000","19-1904000")</f>
        <v>0</v>
      </c>
      <c r="B2601" t="s">
        <v>78</v>
      </c>
      <c r="C2601" t="s">
        <v>256</v>
      </c>
      <c r="D2601" t="s">
        <v>663</v>
      </c>
      <c r="F2601" t="s">
        <v>1462</v>
      </c>
      <c r="G2601" t="s">
        <v>3430</v>
      </c>
      <c r="H2601" t="s">
        <v>5805</v>
      </c>
      <c r="I2601" t="s">
        <v>8178</v>
      </c>
      <c r="J2601" t="s">
        <v>9059</v>
      </c>
      <c r="K2601">
        <v>11213</v>
      </c>
      <c r="L2601" t="s">
        <v>9094</v>
      </c>
      <c r="M2601" t="s">
        <v>9095</v>
      </c>
      <c r="N2601" t="s">
        <v>9144</v>
      </c>
      <c r="O2601" t="s">
        <v>11137</v>
      </c>
      <c r="P2601" t="s">
        <v>11167</v>
      </c>
      <c r="R2601" t="s">
        <v>11180</v>
      </c>
      <c r="S2601" t="s">
        <v>9094</v>
      </c>
      <c r="T2601" t="s">
        <v>11186</v>
      </c>
      <c r="U2601" t="s">
        <v>11201</v>
      </c>
      <c r="V2601" t="s">
        <v>635</v>
      </c>
      <c r="W2601">
        <v>380.62</v>
      </c>
      <c r="X2601" t="s">
        <v>11332</v>
      </c>
      <c r="Y2601" t="s">
        <v>11339</v>
      </c>
      <c r="Z2601" t="s">
        <v>13131</v>
      </c>
      <c r="AA2601" t="s">
        <v>9144</v>
      </c>
      <c r="AB2601" t="s">
        <v>17493</v>
      </c>
      <c r="AC2601">
        <v>19</v>
      </c>
      <c r="AD2601" t="s">
        <v>19566</v>
      </c>
      <c r="AE2601" t="s">
        <v>9144</v>
      </c>
      <c r="AF2601">
        <v>8</v>
      </c>
      <c r="AG2601">
        <v>1</v>
      </c>
      <c r="AH2601">
        <v>0</v>
      </c>
      <c r="AI2601">
        <v>86.47</v>
      </c>
      <c r="AL2601" t="s">
        <v>19614</v>
      </c>
      <c r="AM2601">
        <v>10800</v>
      </c>
      <c r="AS2601">
        <v>0</v>
      </c>
      <c r="AU2601" t="s">
        <v>95</v>
      </c>
      <c r="AV2601" t="s">
        <v>20733</v>
      </c>
    </row>
    <row r="2602" spans="1:48">
      <c r="A2602" s="1">
        <f>HYPERLINK("https://lsnyc.legalserver.org/matter/dynamic-profile/view/1899826","19-1899826")</f>
        <v>0</v>
      </c>
      <c r="B2602" t="s">
        <v>90</v>
      </c>
      <c r="C2602" t="s">
        <v>257</v>
      </c>
      <c r="D2602" t="s">
        <v>411</v>
      </c>
      <c r="E2602" t="s">
        <v>259</v>
      </c>
      <c r="F2602" t="s">
        <v>1462</v>
      </c>
      <c r="G2602" t="s">
        <v>3430</v>
      </c>
      <c r="H2602" t="s">
        <v>5805</v>
      </c>
      <c r="I2602" t="s">
        <v>8178</v>
      </c>
      <c r="J2602" t="s">
        <v>9059</v>
      </c>
      <c r="K2602">
        <v>11213</v>
      </c>
      <c r="L2602" t="s">
        <v>9094</v>
      </c>
      <c r="M2602" t="s">
        <v>9095</v>
      </c>
      <c r="N2602" t="s">
        <v>10121</v>
      </c>
      <c r="O2602" t="s">
        <v>11129</v>
      </c>
      <c r="P2602" t="s">
        <v>11165</v>
      </c>
      <c r="Q2602" t="s">
        <v>11174</v>
      </c>
      <c r="R2602" t="s">
        <v>11180</v>
      </c>
      <c r="S2602" t="s">
        <v>9096</v>
      </c>
      <c r="T2602" t="s">
        <v>11183</v>
      </c>
      <c r="U2602" t="s">
        <v>11201</v>
      </c>
      <c r="V2602" t="s">
        <v>411</v>
      </c>
      <c r="W2602">
        <v>380.62</v>
      </c>
      <c r="X2602" t="s">
        <v>11332</v>
      </c>
      <c r="Y2602" t="s">
        <v>11339</v>
      </c>
      <c r="Z2602" t="s">
        <v>13131</v>
      </c>
      <c r="AB2602" t="s">
        <v>17493</v>
      </c>
      <c r="AC2602">
        <v>19</v>
      </c>
      <c r="AD2602" t="s">
        <v>19566</v>
      </c>
      <c r="AE2602" t="s">
        <v>9144</v>
      </c>
      <c r="AF2602">
        <v>8</v>
      </c>
      <c r="AG2602">
        <v>1</v>
      </c>
      <c r="AH2602">
        <v>0</v>
      </c>
      <c r="AI2602">
        <v>86.47</v>
      </c>
      <c r="AL2602" t="s">
        <v>19614</v>
      </c>
      <c r="AM2602">
        <v>10800</v>
      </c>
      <c r="AS2602">
        <v>7</v>
      </c>
      <c r="AT2602" t="s">
        <v>700</v>
      </c>
      <c r="AU2602" t="s">
        <v>90</v>
      </c>
      <c r="AV2602" t="s">
        <v>20733</v>
      </c>
    </row>
    <row r="2603" spans="1:48">
      <c r="A2603" s="1">
        <f>HYPERLINK("https://lsnyc.legalserver.org/matter/dynamic-profile/view/1900978","19-1900978")</f>
        <v>0</v>
      </c>
      <c r="B2603" t="s">
        <v>90</v>
      </c>
      <c r="C2603" t="s">
        <v>256</v>
      </c>
      <c r="D2603" t="s">
        <v>445</v>
      </c>
      <c r="F2603" t="s">
        <v>1462</v>
      </c>
      <c r="G2603" t="s">
        <v>3430</v>
      </c>
      <c r="H2603" t="s">
        <v>5805</v>
      </c>
      <c r="I2603" t="s">
        <v>8178</v>
      </c>
      <c r="J2603" t="s">
        <v>9059</v>
      </c>
      <c r="K2603">
        <v>11213</v>
      </c>
      <c r="L2603" t="s">
        <v>9094</v>
      </c>
      <c r="M2603" t="s">
        <v>9095</v>
      </c>
      <c r="N2603" t="s">
        <v>9182</v>
      </c>
      <c r="O2603" t="s">
        <v>11141</v>
      </c>
      <c r="P2603" t="s">
        <v>11170</v>
      </c>
      <c r="R2603" t="s">
        <v>11180</v>
      </c>
      <c r="S2603" t="s">
        <v>9094</v>
      </c>
      <c r="T2603" t="s">
        <v>11185</v>
      </c>
      <c r="U2603" t="s">
        <v>11201</v>
      </c>
      <c r="V2603" t="s">
        <v>614</v>
      </c>
      <c r="W2603">
        <v>380.62</v>
      </c>
      <c r="X2603" t="s">
        <v>11332</v>
      </c>
      <c r="Y2603" t="s">
        <v>11339</v>
      </c>
      <c r="Z2603" t="s">
        <v>13131</v>
      </c>
      <c r="AB2603" t="s">
        <v>17493</v>
      </c>
      <c r="AC2603">
        <v>19</v>
      </c>
      <c r="AD2603" t="s">
        <v>19566</v>
      </c>
      <c r="AE2603" t="s">
        <v>9144</v>
      </c>
      <c r="AF2603">
        <v>8</v>
      </c>
      <c r="AG2603">
        <v>1</v>
      </c>
      <c r="AH2603">
        <v>0</v>
      </c>
      <c r="AI2603">
        <v>86.47</v>
      </c>
      <c r="AL2603" t="s">
        <v>19614</v>
      </c>
      <c r="AM2603">
        <v>10800</v>
      </c>
      <c r="AN2603" t="s">
        <v>19888</v>
      </c>
      <c r="AS2603">
        <v>46</v>
      </c>
      <c r="AT2603" t="s">
        <v>487</v>
      </c>
      <c r="AU2603" t="s">
        <v>95</v>
      </c>
      <c r="AV2603" t="s">
        <v>20733</v>
      </c>
    </row>
    <row r="2604" spans="1:48">
      <c r="A2604" s="1">
        <f>HYPERLINK("https://lsnyc.legalserver.org/matter/dynamic-profile/view/1907251","19-1907251")</f>
        <v>0</v>
      </c>
      <c r="B2604" t="s">
        <v>69</v>
      </c>
      <c r="C2604" t="s">
        <v>256</v>
      </c>
      <c r="D2604" t="s">
        <v>415</v>
      </c>
      <c r="F2604" t="s">
        <v>2119</v>
      </c>
      <c r="G2604" t="s">
        <v>4496</v>
      </c>
      <c r="H2604" t="s">
        <v>7009</v>
      </c>
      <c r="I2604" t="s">
        <v>8391</v>
      </c>
      <c r="J2604" t="s">
        <v>9059</v>
      </c>
      <c r="K2604">
        <v>11208</v>
      </c>
      <c r="L2604" t="s">
        <v>9094</v>
      </c>
      <c r="M2604" t="s">
        <v>9095</v>
      </c>
      <c r="N2604" t="s">
        <v>10122</v>
      </c>
      <c r="O2604" t="s">
        <v>11129</v>
      </c>
      <c r="P2604" t="s">
        <v>11168</v>
      </c>
      <c r="R2604" t="s">
        <v>11180</v>
      </c>
      <c r="S2604" t="s">
        <v>9096</v>
      </c>
      <c r="T2604" t="s">
        <v>11184</v>
      </c>
      <c r="V2604" t="s">
        <v>592</v>
      </c>
      <c r="W2604">
        <v>1400</v>
      </c>
      <c r="X2604" t="s">
        <v>11332</v>
      </c>
      <c r="Y2604" t="s">
        <v>11348</v>
      </c>
      <c r="Z2604" t="s">
        <v>13132</v>
      </c>
      <c r="AB2604" t="s">
        <v>17494</v>
      </c>
      <c r="AC2604">
        <v>3</v>
      </c>
      <c r="AD2604" t="s">
        <v>15441</v>
      </c>
      <c r="AE2604" t="s">
        <v>9144</v>
      </c>
      <c r="AF2604">
        <v>5</v>
      </c>
      <c r="AG2604">
        <v>1</v>
      </c>
      <c r="AH2604">
        <v>0</v>
      </c>
      <c r="AI2604">
        <v>86.47</v>
      </c>
      <c r="AL2604" t="s">
        <v>19614</v>
      </c>
      <c r="AM2604">
        <v>10800</v>
      </c>
      <c r="AS2604">
        <v>13.5</v>
      </c>
      <c r="AT2604" t="s">
        <v>570</v>
      </c>
      <c r="AU2604" t="s">
        <v>79</v>
      </c>
      <c r="AV2604" t="s">
        <v>20733</v>
      </c>
    </row>
    <row r="2605" spans="1:48">
      <c r="A2605" s="1">
        <f>HYPERLINK("https://lsnyc.legalserver.org/matter/dynamic-profile/view/1900040","19-1900040")</f>
        <v>0</v>
      </c>
      <c r="B2605" t="s">
        <v>154</v>
      </c>
      <c r="C2605" t="s">
        <v>257</v>
      </c>
      <c r="D2605" t="s">
        <v>854</v>
      </c>
      <c r="E2605" t="s">
        <v>663</v>
      </c>
      <c r="F2605" t="s">
        <v>1362</v>
      </c>
      <c r="G2605" t="s">
        <v>4497</v>
      </c>
      <c r="H2605" t="s">
        <v>7010</v>
      </c>
      <c r="I2605" t="s">
        <v>8195</v>
      </c>
      <c r="J2605" t="s">
        <v>9066</v>
      </c>
      <c r="K2605">
        <v>10301</v>
      </c>
      <c r="L2605" t="s">
        <v>9094</v>
      </c>
      <c r="M2605" t="s">
        <v>9095</v>
      </c>
      <c r="N2605" t="s">
        <v>10123</v>
      </c>
      <c r="O2605" t="s">
        <v>11128</v>
      </c>
      <c r="P2605" t="s">
        <v>11165</v>
      </c>
      <c r="Q2605" t="s">
        <v>11174</v>
      </c>
      <c r="R2605" t="s">
        <v>11180</v>
      </c>
      <c r="S2605" t="s">
        <v>9096</v>
      </c>
      <c r="T2605" t="s">
        <v>11183</v>
      </c>
      <c r="U2605" t="s">
        <v>11201</v>
      </c>
      <c r="W2605">
        <v>0</v>
      </c>
      <c r="X2605" t="s">
        <v>11334</v>
      </c>
      <c r="Y2605" t="s">
        <v>11345</v>
      </c>
      <c r="Z2605" t="s">
        <v>13133</v>
      </c>
      <c r="AB2605" t="s">
        <v>17495</v>
      </c>
      <c r="AC2605">
        <v>2</v>
      </c>
      <c r="AD2605" t="s">
        <v>19565</v>
      </c>
      <c r="AE2605" t="s">
        <v>9144</v>
      </c>
      <c r="AF2605">
        <v>25</v>
      </c>
      <c r="AG2605">
        <v>1</v>
      </c>
      <c r="AH2605">
        <v>0</v>
      </c>
      <c r="AI2605">
        <v>86.47</v>
      </c>
      <c r="AL2605" t="s">
        <v>19614</v>
      </c>
      <c r="AM2605">
        <v>10800</v>
      </c>
      <c r="AS2605">
        <v>16</v>
      </c>
      <c r="AT2605" t="s">
        <v>312</v>
      </c>
      <c r="AU2605" t="s">
        <v>20653</v>
      </c>
      <c r="AV2605" t="s">
        <v>20733</v>
      </c>
    </row>
    <row r="2606" spans="1:48">
      <c r="A2606" s="1">
        <f>HYPERLINK("https://lsnyc.legalserver.org/matter/dynamic-profile/view/1908321","19-1908321")</f>
        <v>0</v>
      </c>
      <c r="B2606" t="s">
        <v>122</v>
      </c>
      <c r="C2606" t="s">
        <v>257</v>
      </c>
      <c r="D2606" t="s">
        <v>339</v>
      </c>
      <c r="E2606" t="s">
        <v>307</v>
      </c>
      <c r="F2606" t="s">
        <v>1362</v>
      </c>
      <c r="G2606" t="s">
        <v>4497</v>
      </c>
      <c r="H2606" t="s">
        <v>7010</v>
      </c>
      <c r="I2606" t="s">
        <v>8195</v>
      </c>
      <c r="J2606" t="s">
        <v>9066</v>
      </c>
      <c r="K2606">
        <v>10301</v>
      </c>
      <c r="L2606" t="s">
        <v>9094</v>
      </c>
      <c r="M2606" t="s">
        <v>9095</v>
      </c>
      <c r="N2606" t="s">
        <v>10124</v>
      </c>
      <c r="O2606" t="s">
        <v>11128</v>
      </c>
      <c r="P2606" t="s">
        <v>11165</v>
      </c>
      <c r="Q2606" t="s">
        <v>11174</v>
      </c>
      <c r="R2606" t="s">
        <v>11180</v>
      </c>
      <c r="S2606" t="s">
        <v>9096</v>
      </c>
      <c r="T2606" t="s">
        <v>11183</v>
      </c>
      <c r="U2606" t="s">
        <v>11201</v>
      </c>
      <c r="W2606">
        <v>0</v>
      </c>
      <c r="X2606" t="s">
        <v>11334</v>
      </c>
      <c r="Z2606" t="s">
        <v>13133</v>
      </c>
      <c r="AB2606" t="s">
        <v>17495</v>
      </c>
      <c r="AC2606">
        <v>2</v>
      </c>
      <c r="AD2606" t="s">
        <v>19565</v>
      </c>
      <c r="AE2606" t="s">
        <v>9144</v>
      </c>
      <c r="AF2606">
        <v>20</v>
      </c>
      <c r="AG2606">
        <v>1</v>
      </c>
      <c r="AH2606">
        <v>0</v>
      </c>
      <c r="AI2606">
        <v>86.47</v>
      </c>
      <c r="AL2606" t="s">
        <v>19614</v>
      </c>
      <c r="AM2606">
        <v>10800</v>
      </c>
      <c r="AO2606" t="s">
        <v>20290</v>
      </c>
      <c r="AP2606" t="s">
        <v>20313</v>
      </c>
      <c r="AQ2606" t="s">
        <v>20369</v>
      </c>
      <c r="AR2606" t="s">
        <v>20430</v>
      </c>
      <c r="AS2606">
        <v>2.1</v>
      </c>
      <c r="AT2606" t="s">
        <v>307</v>
      </c>
      <c r="AU2606" t="s">
        <v>20653</v>
      </c>
      <c r="AV2606" t="s">
        <v>20733</v>
      </c>
    </row>
    <row r="2607" spans="1:48">
      <c r="A2607" s="1">
        <f>HYPERLINK("https://lsnyc.legalserver.org/matter/dynamic-profile/view/1898899","19-1898899")</f>
        <v>0</v>
      </c>
      <c r="B2607" t="s">
        <v>134</v>
      </c>
      <c r="C2607" t="s">
        <v>257</v>
      </c>
      <c r="D2607" t="s">
        <v>337</v>
      </c>
      <c r="E2607" t="s">
        <v>457</v>
      </c>
      <c r="F2607" t="s">
        <v>2271</v>
      </c>
      <c r="G2607" t="s">
        <v>3855</v>
      </c>
      <c r="H2607" t="s">
        <v>7011</v>
      </c>
      <c r="I2607">
        <v>32</v>
      </c>
      <c r="J2607" t="s">
        <v>9067</v>
      </c>
      <c r="K2607">
        <v>10034</v>
      </c>
      <c r="L2607" t="s">
        <v>9094</v>
      </c>
      <c r="M2607" t="s">
        <v>9094</v>
      </c>
      <c r="O2607" t="s">
        <v>9121</v>
      </c>
      <c r="P2607" t="s">
        <v>11164</v>
      </c>
      <c r="Q2607" t="s">
        <v>11172</v>
      </c>
      <c r="R2607" t="s">
        <v>11180</v>
      </c>
      <c r="S2607" t="s">
        <v>9096</v>
      </c>
      <c r="T2607" t="s">
        <v>11183</v>
      </c>
      <c r="V2607" t="s">
        <v>337</v>
      </c>
      <c r="W2607">
        <v>0</v>
      </c>
      <c r="X2607" t="s">
        <v>11335</v>
      </c>
      <c r="Y2607" t="s">
        <v>11338</v>
      </c>
      <c r="Z2607" t="s">
        <v>13134</v>
      </c>
      <c r="AB2607" t="s">
        <v>17496</v>
      </c>
      <c r="AC2607">
        <v>27</v>
      </c>
      <c r="AD2607" t="s">
        <v>19566</v>
      </c>
      <c r="AE2607" t="s">
        <v>9144</v>
      </c>
      <c r="AF2607">
        <v>0</v>
      </c>
      <c r="AG2607">
        <v>1</v>
      </c>
      <c r="AH2607">
        <v>0</v>
      </c>
      <c r="AI2607">
        <v>86.47</v>
      </c>
      <c r="AL2607" t="s">
        <v>19614</v>
      </c>
      <c r="AM2607">
        <v>10800</v>
      </c>
      <c r="AS2607">
        <v>2.7</v>
      </c>
      <c r="AT2607" t="s">
        <v>338</v>
      </c>
      <c r="AU2607" t="s">
        <v>130</v>
      </c>
      <c r="AV2607" t="s">
        <v>20733</v>
      </c>
    </row>
    <row r="2608" spans="1:48">
      <c r="A2608" s="1">
        <f>HYPERLINK("https://lsnyc.legalserver.org/matter/dynamic-profile/view/1902439","19-1902439")</f>
        <v>0</v>
      </c>
      <c r="B2608" t="s">
        <v>195</v>
      </c>
      <c r="C2608" t="s">
        <v>256</v>
      </c>
      <c r="D2608" t="s">
        <v>798</v>
      </c>
      <c r="F2608" t="s">
        <v>2272</v>
      </c>
      <c r="G2608" t="s">
        <v>4498</v>
      </c>
      <c r="H2608" t="s">
        <v>7012</v>
      </c>
      <c r="I2608">
        <v>1</v>
      </c>
      <c r="J2608" t="s">
        <v>9067</v>
      </c>
      <c r="K2608">
        <v>10032</v>
      </c>
      <c r="L2608" t="s">
        <v>9094</v>
      </c>
      <c r="M2608" t="s">
        <v>9095</v>
      </c>
      <c r="N2608" t="s">
        <v>10125</v>
      </c>
      <c r="O2608" t="s">
        <v>11129</v>
      </c>
      <c r="P2608" t="s">
        <v>11165</v>
      </c>
      <c r="R2608" t="s">
        <v>11180</v>
      </c>
      <c r="S2608" t="s">
        <v>9096</v>
      </c>
      <c r="T2608" t="s">
        <v>11183</v>
      </c>
      <c r="V2608" t="s">
        <v>798</v>
      </c>
      <c r="W2608">
        <v>1308</v>
      </c>
      <c r="X2608" t="s">
        <v>11335</v>
      </c>
      <c r="Y2608" t="s">
        <v>11336</v>
      </c>
      <c r="Z2608" t="s">
        <v>13135</v>
      </c>
      <c r="AB2608" t="s">
        <v>17497</v>
      </c>
      <c r="AC2608">
        <v>0</v>
      </c>
      <c r="AD2608" t="s">
        <v>19566</v>
      </c>
      <c r="AE2608" t="s">
        <v>19580</v>
      </c>
      <c r="AF2608">
        <v>48</v>
      </c>
      <c r="AG2608">
        <v>1</v>
      </c>
      <c r="AH2608">
        <v>0</v>
      </c>
      <c r="AI2608">
        <v>86.47</v>
      </c>
      <c r="AL2608" t="s">
        <v>19614</v>
      </c>
      <c r="AM2608">
        <v>10800</v>
      </c>
      <c r="AS2608">
        <v>39.6</v>
      </c>
      <c r="AT2608" t="s">
        <v>301</v>
      </c>
      <c r="AU2608" t="s">
        <v>20659</v>
      </c>
      <c r="AV2608" t="s">
        <v>20733</v>
      </c>
    </row>
    <row r="2609" spans="1:48">
      <c r="A2609" s="1">
        <f>HYPERLINK("https://lsnyc.legalserver.org/matter/dynamic-profile/view/1866060","18-1866060")</f>
        <v>0</v>
      </c>
      <c r="B2609" t="s">
        <v>67</v>
      </c>
      <c r="C2609" t="s">
        <v>256</v>
      </c>
      <c r="D2609" t="s">
        <v>673</v>
      </c>
      <c r="F2609" t="s">
        <v>1247</v>
      </c>
      <c r="G2609" t="s">
        <v>4499</v>
      </c>
      <c r="H2609" t="s">
        <v>7013</v>
      </c>
      <c r="I2609" t="s">
        <v>8632</v>
      </c>
      <c r="J2609" t="s">
        <v>9059</v>
      </c>
      <c r="K2609">
        <v>11233</v>
      </c>
      <c r="L2609" t="s">
        <v>9094</v>
      </c>
      <c r="M2609" t="s">
        <v>9094</v>
      </c>
      <c r="N2609" t="s">
        <v>10126</v>
      </c>
      <c r="O2609" t="s">
        <v>11135</v>
      </c>
      <c r="P2609" t="s">
        <v>11166</v>
      </c>
      <c r="R2609" t="s">
        <v>11180</v>
      </c>
      <c r="S2609" t="s">
        <v>9096</v>
      </c>
      <c r="T2609" t="s">
        <v>11183</v>
      </c>
      <c r="V2609" t="s">
        <v>945</v>
      </c>
      <c r="W2609">
        <v>654</v>
      </c>
      <c r="X2609" t="s">
        <v>11332</v>
      </c>
      <c r="Y2609" t="s">
        <v>11347</v>
      </c>
      <c r="Z2609" t="s">
        <v>12815</v>
      </c>
      <c r="AA2609" t="s">
        <v>15718</v>
      </c>
      <c r="AB2609" t="s">
        <v>17498</v>
      </c>
      <c r="AC2609">
        <v>16</v>
      </c>
      <c r="AD2609" t="s">
        <v>19566</v>
      </c>
      <c r="AE2609" t="s">
        <v>9144</v>
      </c>
      <c r="AF2609">
        <v>36</v>
      </c>
      <c r="AG2609">
        <v>1</v>
      </c>
      <c r="AH2609">
        <v>0</v>
      </c>
      <c r="AI2609">
        <v>86.48999999999999</v>
      </c>
      <c r="AL2609" t="s">
        <v>19614</v>
      </c>
      <c r="AM2609">
        <v>10500</v>
      </c>
      <c r="AS2609">
        <v>12.1</v>
      </c>
      <c r="AT2609" t="s">
        <v>671</v>
      </c>
      <c r="AU2609" t="s">
        <v>20630</v>
      </c>
    </row>
    <row r="2610" spans="1:48">
      <c r="A2610" s="1">
        <f>HYPERLINK("https://lsnyc.legalserver.org/matter/dynamic-profile/view/0806931","16-0806931")</f>
        <v>0</v>
      </c>
      <c r="B2610" t="s">
        <v>141</v>
      </c>
      <c r="C2610" t="s">
        <v>256</v>
      </c>
      <c r="D2610" t="s">
        <v>590</v>
      </c>
      <c r="F2610" t="s">
        <v>1985</v>
      </c>
      <c r="G2610" t="s">
        <v>3499</v>
      </c>
      <c r="H2610" t="s">
        <v>6382</v>
      </c>
      <c r="I2610" t="s">
        <v>8153</v>
      </c>
      <c r="J2610" t="s">
        <v>9067</v>
      </c>
      <c r="K2610">
        <v>10034</v>
      </c>
      <c r="L2610" t="s">
        <v>9094</v>
      </c>
      <c r="M2610" t="s">
        <v>9095</v>
      </c>
      <c r="N2610" t="s">
        <v>9628</v>
      </c>
      <c r="O2610" t="s">
        <v>11130</v>
      </c>
      <c r="P2610" t="s">
        <v>11165</v>
      </c>
      <c r="R2610" t="s">
        <v>11180</v>
      </c>
      <c r="S2610" t="s">
        <v>9094</v>
      </c>
      <c r="T2610" t="s">
        <v>11183</v>
      </c>
      <c r="V2610" t="s">
        <v>956</v>
      </c>
      <c r="W2610">
        <v>858.17</v>
      </c>
      <c r="X2610" t="s">
        <v>11335</v>
      </c>
      <c r="Y2610" t="s">
        <v>11346</v>
      </c>
      <c r="Z2610" t="s">
        <v>13136</v>
      </c>
      <c r="AB2610" t="s">
        <v>17499</v>
      </c>
      <c r="AC2610">
        <v>44</v>
      </c>
      <c r="AD2610" t="s">
        <v>19566</v>
      </c>
      <c r="AE2610" t="s">
        <v>9144</v>
      </c>
      <c r="AF2610">
        <v>23</v>
      </c>
      <c r="AG2610">
        <v>2</v>
      </c>
      <c r="AH2610">
        <v>1</v>
      </c>
      <c r="AI2610">
        <v>86.48999999999999</v>
      </c>
      <c r="AL2610" t="s">
        <v>19615</v>
      </c>
      <c r="AM2610">
        <v>17436</v>
      </c>
      <c r="AS2610">
        <v>9.35</v>
      </c>
      <c r="AT2610" t="s">
        <v>274</v>
      </c>
      <c r="AU2610" t="s">
        <v>20657</v>
      </c>
    </row>
    <row r="2611" spans="1:48">
      <c r="A2611" s="1">
        <f>HYPERLINK("https://lsnyc.legalserver.org/matter/dynamic-profile/view/1898112","19-1898112")</f>
        <v>0</v>
      </c>
      <c r="B2611" t="s">
        <v>101</v>
      </c>
      <c r="C2611" t="s">
        <v>257</v>
      </c>
      <c r="D2611" t="s">
        <v>470</v>
      </c>
      <c r="E2611" t="s">
        <v>416</v>
      </c>
      <c r="F2611" t="s">
        <v>1627</v>
      </c>
      <c r="G2611" t="s">
        <v>4480</v>
      </c>
      <c r="H2611" t="s">
        <v>6262</v>
      </c>
      <c r="I2611" t="s">
        <v>8140</v>
      </c>
      <c r="J2611" t="s">
        <v>9065</v>
      </c>
      <c r="K2611">
        <v>10452</v>
      </c>
      <c r="L2611" t="s">
        <v>9094</v>
      </c>
      <c r="M2611" t="s">
        <v>9094</v>
      </c>
      <c r="O2611" t="s">
        <v>9121</v>
      </c>
      <c r="P2611" t="s">
        <v>11166</v>
      </c>
      <c r="Q2611" t="s">
        <v>11178</v>
      </c>
      <c r="R2611" t="s">
        <v>11180</v>
      </c>
      <c r="S2611" t="s">
        <v>9094</v>
      </c>
      <c r="T2611" t="s">
        <v>11183</v>
      </c>
      <c r="V2611" t="s">
        <v>11218</v>
      </c>
      <c r="W2611">
        <v>831.73</v>
      </c>
      <c r="X2611" t="s">
        <v>11333</v>
      </c>
      <c r="Y2611" t="s">
        <v>11346</v>
      </c>
      <c r="Z2611" t="s">
        <v>11817</v>
      </c>
      <c r="AA2611">
        <v>86252178934</v>
      </c>
      <c r="AB2611" t="s">
        <v>17500</v>
      </c>
      <c r="AC2611">
        <v>60</v>
      </c>
      <c r="AD2611" t="s">
        <v>19566</v>
      </c>
      <c r="AE2611" t="s">
        <v>9144</v>
      </c>
      <c r="AF2611">
        <v>0</v>
      </c>
      <c r="AG2611">
        <v>1</v>
      </c>
      <c r="AH2611">
        <v>0</v>
      </c>
      <c r="AI2611">
        <v>86.51000000000001</v>
      </c>
      <c r="AL2611" t="s">
        <v>19614</v>
      </c>
      <c r="AM2611">
        <v>10804.8</v>
      </c>
      <c r="AS2611">
        <v>0.5</v>
      </c>
      <c r="AT2611" t="s">
        <v>416</v>
      </c>
      <c r="AU2611" t="s">
        <v>20642</v>
      </c>
      <c r="AV2611" t="s">
        <v>20733</v>
      </c>
    </row>
    <row r="2612" spans="1:48">
      <c r="A2612" s="1">
        <f>HYPERLINK("https://lsnyc.legalserver.org/matter/dynamic-profile/view/1882302","18-1882302")</f>
        <v>0</v>
      </c>
      <c r="B2612" t="s">
        <v>69</v>
      </c>
      <c r="C2612" t="s">
        <v>257</v>
      </c>
      <c r="D2612" t="s">
        <v>949</v>
      </c>
      <c r="E2612" t="s">
        <v>367</v>
      </c>
      <c r="F2612" t="s">
        <v>1406</v>
      </c>
      <c r="G2612" t="s">
        <v>3503</v>
      </c>
      <c r="H2612" t="s">
        <v>7014</v>
      </c>
      <c r="I2612" t="s">
        <v>8154</v>
      </c>
      <c r="J2612" t="s">
        <v>9059</v>
      </c>
      <c r="K2612">
        <v>11207</v>
      </c>
      <c r="L2612" t="s">
        <v>9094</v>
      </c>
      <c r="M2612" t="s">
        <v>9094</v>
      </c>
      <c r="N2612" t="s">
        <v>10127</v>
      </c>
      <c r="O2612" t="s">
        <v>11146</v>
      </c>
      <c r="P2612" t="s">
        <v>11168</v>
      </c>
      <c r="Q2612" t="s">
        <v>11177</v>
      </c>
      <c r="R2612" t="s">
        <v>11180</v>
      </c>
      <c r="S2612" t="s">
        <v>9096</v>
      </c>
      <c r="T2612" t="s">
        <v>11184</v>
      </c>
      <c r="U2612" t="s">
        <v>11201</v>
      </c>
      <c r="V2612" t="s">
        <v>697</v>
      </c>
      <c r="W2612">
        <v>1277</v>
      </c>
      <c r="X2612" t="s">
        <v>11332</v>
      </c>
      <c r="Y2612" t="s">
        <v>11340</v>
      </c>
      <c r="Z2612" t="s">
        <v>13137</v>
      </c>
      <c r="AA2612" t="s">
        <v>15719</v>
      </c>
      <c r="AB2612" t="s">
        <v>17501</v>
      </c>
      <c r="AC2612">
        <v>6</v>
      </c>
      <c r="AD2612" t="s">
        <v>19566</v>
      </c>
      <c r="AE2612" t="s">
        <v>19582</v>
      </c>
      <c r="AF2612">
        <v>23</v>
      </c>
      <c r="AG2612">
        <v>2</v>
      </c>
      <c r="AH2612">
        <v>1</v>
      </c>
      <c r="AI2612">
        <v>86.58</v>
      </c>
      <c r="AL2612" t="s">
        <v>19614</v>
      </c>
      <c r="AM2612">
        <v>17992</v>
      </c>
      <c r="AS2612">
        <v>48.25</v>
      </c>
      <c r="AT2612" t="s">
        <v>367</v>
      </c>
      <c r="AU2612" t="s">
        <v>95</v>
      </c>
      <c r="AV2612" t="s">
        <v>20733</v>
      </c>
    </row>
    <row r="2613" spans="1:48">
      <c r="A2613" s="1">
        <f>HYPERLINK("https://lsnyc.legalserver.org/matter/dynamic-profile/view/1892699","19-1892699")</f>
        <v>0</v>
      </c>
      <c r="B2613" t="s">
        <v>137</v>
      </c>
      <c r="C2613" t="s">
        <v>256</v>
      </c>
      <c r="D2613" t="s">
        <v>553</v>
      </c>
      <c r="F2613" t="s">
        <v>2273</v>
      </c>
      <c r="G2613" t="s">
        <v>4500</v>
      </c>
      <c r="H2613" t="s">
        <v>7015</v>
      </c>
      <c r="I2613" t="s">
        <v>8633</v>
      </c>
      <c r="J2613" t="s">
        <v>9067</v>
      </c>
      <c r="K2613">
        <v>10034</v>
      </c>
      <c r="L2613" t="s">
        <v>9094</v>
      </c>
      <c r="M2613" t="s">
        <v>9094</v>
      </c>
      <c r="O2613" t="s">
        <v>11134</v>
      </c>
      <c r="P2613" t="s">
        <v>11164</v>
      </c>
      <c r="R2613" t="s">
        <v>11180</v>
      </c>
      <c r="S2613" t="s">
        <v>9096</v>
      </c>
      <c r="T2613" t="s">
        <v>11183</v>
      </c>
      <c r="V2613" t="s">
        <v>274</v>
      </c>
      <c r="W2613">
        <v>1912</v>
      </c>
      <c r="X2613" t="s">
        <v>11335</v>
      </c>
      <c r="Y2613" t="s">
        <v>11338</v>
      </c>
      <c r="Z2613" t="s">
        <v>13138</v>
      </c>
      <c r="AA2613" t="s">
        <v>15720</v>
      </c>
      <c r="AC2613">
        <v>60</v>
      </c>
      <c r="AD2613" t="s">
        <v>19566</v>
      </c>
      <c r="AE2613" t="s">
        <v>9144</v>
      </c>
      <c r="AF2613">
        <v>18</v>
      </c>
      <c r="AG2613">
        <v>2</v>
      </c>
      <c r="AH2613">
        <v>1</v>
      </c>
      <c r="AI2613">
        <v>86.58</v>
      </c>
      <c r="AL2613" t="s">
        <v>19614</v>
      </c>
      <c r="AM2613">
        <v>18468</v>
      </c>
      <c r="AS2613">
        <v>2.05</v>
      </c>
      <c r="AT2613" t="s">
        <v>270</v>
      </c>
      <c r="AU2613" t="s">
        <v>20627</v>
      </c>
      <c r="AV2613" t="s">
        <v>20733</v>
      </c>
    </row>
    <row r="2614" spans="1:48">
      <c r="A2614" s="1">
        <f>HYPERLINK("https://lsnyc.legalserver.org/matter/dynamic-profile/view/1873213","18-1873213")</f>
        <v>0</v>
      </c>
      <c r="B2614" t="s">
        <v>48</v>
      </c>
      <c r="C2614" t="s">
        <v>256</v>
      </c>
      <c r="D2614" t="s">
        <v>603</v>
      </c>
      <c r="F2614" t="s">
        <v>2274</v>
      </c>
      <c r="G2614" t="s">
        <v>4501</v>
      </c>
      <c r="H2614" t="s">
        <v>7016</v>
      </c>
      <c r="J2614" t="s">
        <v>9038</v>
      </c>
      <c r="K2614">
        <v>11691</v>
      </c>
      <c r="L2614" t="s">
        <v>9094</v>
      </c>
      <c r="M2614" t="s">
        <v>9094</v>
      </c>
      <c r="N2614" t="s">
        <v>10128</v>
      </c>
      <c r="O2614" t="s">
        <v>11128</v>
      </c>
      <c r="P2614" t="s">
        <v>11164</v>
      </c>
      <c r="R2614" t="s">
        <v>11180</v>
      </c>
      <c r="S2614" t="s">
        <v>9096</v>
      </c>
      <c r="T2614" t="s">
        <v>11183</v>
      </c>
      <c r="U2614" t="s">
        <v>11201</v>
      </c>
      <c r="V2614" t="s">
        <v>11208</v>
      </c>
      <c r="W2614">
        <v>500</v>
      </c>
      <c r="X2614" t="s">
        <v>11331</v>
      </c>
      <c r="Y2614" t="s">
        <v>11336</v>
      </c>
      <c r="Z2614" t="s">
        <v>13139</v>
      </c>
      <c r="AA2614" t="s">
        <v>9675</v>
      </c>
      <c r="AB2614" t="s">
        <v>17502</v>
      </c>
      <c r="AC2614">
        <v>2</v>
      </c>
      <c r="AD2614" t="s">
        <v>19565</v>
      </c>
      <c r="AE2614" t="s">
        <v>9144</v>
      </c>
      <c r="AF2614">
        <v>3</v>
      </c>
      <c r="AG2614">
        <v>2</v>
      </c>
      <c r="AH2614">
        <v>1</v>
      </c>
      <c r="AI2614">
        <v>86.62</v>
      </c>
      <c r="AK2614" t="s">
        <v>19610</v>
      </c>
      <c r="AL2614" t="s">
        <v>19614</v>
      </c>
      <c r="AM2614">
        <v>18000</v>
      </c>
      <c r="AS2614">
        <v>1.85</v>
      </c>
      <c r="AT2614" t="s">
        <v>363</v>
      </c>
      <c r="AU2614" t="s">
        <v>20620</v>
      </c>
    </row>
    <row r="2615" spans="1:48">
      <c r="A2615" s="1">
        <f>HYPERLINK("https://lsnyc.legalserver.org/matter/dynamic-profile/view/1914453","19-1914453")</f>
        <v>0</v>
      </c>
      <c r="B2615" t="s">
        <v>57</v>
      </c>
      <c r="C2615" t="s">
        <v>256</v>
      </c>
      <c r="D2615" t="s">
        <v>703</v>
      </c>
      <c r="F2615" t="s">
        <v>1566</v>
      </c>
      <c r="G2615" t="s">
        <v>4502</v>
      </c>
      <c r="H2615" t="s">
        <v>7017</v>
      </c>
      <c r="J2615" t="s">
        <v>9070</v>
      </c>
      <c r="K2615">
        <v>11421</v>
      </c>
      <c r="L2615" t="s">
        <v>9094</v>
      </c>
      <c r="M2615" t="s">
        <v>9095</v>
      </c>
      <c r="N2615" t="s">
        <v>10129</v>
      </c>
      <c r="O2615" t="s">
        <v>11128</v>
      </c>
      <c r="P2615" t="s">
        <v>11164</v>
      </c>
      <c r="R2615" t="s">
        <v>11180</v>
      </c>
      <c r="S2615" t="s">
        <v>9096</v>
      </c>
      <c r="T2615" t="s">
        <v>11183</v>
      </c>
      <c r="U2615" t="s">
        <v>11200</v>
      </c>
      <c r="V2615" t="s">
        <v>703</v>
      </c>
      <c r="W2615">
        <v>2400</v>
      </c>
      <c r="X2615" t="s">
        <v>11331</v>
      </c>
      <c r="Y2615" t="s">
        <v>11336</v>
      </c>
      <c r="Z2615" t="s">
        <v>13140</v>
      </c>
      <c r="AB2615" t="s">
        <v>17503</v>
      </c>
      <c r="AC2615">
        <v>2</v>
      </c>
      <c r="AD2615" t="s">
        <v>19565</v>
      </c>
      <c r="AF2615">
        <v>2</v>
      </c>
      <c r="AG2615">
        <v>2</v>
      </c>
      <c r="AH2615">
        <v>2</v>
      </c>
      <c r="AI2615">
        <v>86.70999999999999</v>
      </c>
      <c r="AM2615">
        <v>22329</v>
      </c>
      <c r="AS2615">
        <v>2.75</v>
      </c>
      <c r="AT2615" t="s">
        <v>270</v>
      </c>
      <c r="AU2615" t="s">
        <v>153</v>
      </c>
    </row>
    <row r="2616" spans="1:48">
      <c r="A2616" s="1">
        <f>HYPERLINK("https://lsnyc.legalserver.org/matter/dynamic-profile/view/1890731","19-1890731")</f>
        <v>0</v>
      </c>
      <c r="B2616" t="s">
        <v>119</v>
      </c>
      <c r="C2616" t="s">
        <v>256</v>
      </c>
      <c r="D2616" t="s">
        <v>381</v>
      </c>
      <c r="F2616" t="s">
        <v>1358</v>
      </c>
      <c r="G2616" t="s">
        <v>3418</v>
      </c>
      <c r="H2616" t="s">
        <v>5880</v>
      </c>
      <c r="I2616" t="s">
        <v>8197</v>
      </c>
      <c r="J2616" t="s">
        <v>9065</v>
      </c>
      <c r="K2616">
        <v>10456</v>
      </c>
      <c r="L2616" t="s">
        <v>9094</v>
      </c>
      <c r="M2616" t="s">
        <v>9094</v>
      </c>
      <c r="N2616" t="s">
        <v>9234</v>
      </c>
      <c r="O2616" t="s">
        <v>11130</v>
      </c>
      <c r="P2616" t="s">
        <v>11165</v>
      </c>
      <c r="R2616" t="s">
        <v>11180</v>
      </c>
      <c r="S2616" t="s">
        <v>9094</v>
      </c>
      <c r="T2616" t="s">
        <v>11183</v>
      </c>
      <c r="V2616" t="s">
        <v>11218</v>
      </c>
      <c r="W2616">
        <v>380.89</v>
      </c>
      <c r="X2616" t="s">
        <v>11333</v>
      </c>
      <c r="Y2616" t="s">
        <v>11347</v>
      </c>
      <c r="Z2616" t="s">
        <v>12127</v>
      </c>
      <c r="AB2616" t="s">
        <v>16562</v>
      </c>
      <c r="AC2616">
        <v>0</v>
      </c>
      <c r="AD2616" t="s">
        <v>19569</v>
      </c>
      <c r="AE2616" t="s">
        <v>19587</v>
      </c>
      <c r="AF2616">
        <v>50</v>
      </c>
      <c r="AG2616">
        <v>3</v>
      </c>
      <c r="AH2616">
        <v>0</v>
      </c>
      <c r="AI2616">
        <v>86.75</v>
      </c>
      <c r="AL2616" t="s">
        <v>19615</v>
      </c>
      <c r="AM2616">
        <v>18504</v>
      </c>
      <c r="AS2616">
        <v>5.5</v>
      </c>
      <c r="AT2616" t="s">
        <v>310</v>
      </c>
      <c r="AU2616" t="s">
        <v>174</v>
      </c>
      <c r="AV2616" t="s">
        <v>20733</v>
      </c>
    </row>
    <row r="2617" spans="1:48">
      <c r="A2617" s="1">
        <f>HYPERLINK("https://lsnyc.legalserver.org/matter/dynamic-profile/view/1899388","19-1899388")</f>
        <v>0</v>
      </c>
      <c r="B2617" t="s">
        <v>147</v>
      </c>
      <c r="C2617" t="s">
        <v>257</v>
      </c>
      <c r="D2617" t="s">
        <v>608</v>
      </c>
      <c r="E2617" t="s">
        <v>429</v>
      </c>
      <c r="F2617" t="s">
        <v>2275</v>
      </c>
      <c r="G2617" t="s">
        <v>3497</v>
      </c>
      <c r="H2617" t="s">
        <v>7018</v>
      </c>
      <c r="I2617" t="s">
        <v>8107</v>
      </c>
      <c r="J2617" t="s">
        <v>9066</v>
      </c>
      <c r="K2617">
        <v>10301</v>
      </c>
      <c r="L2617" t="s">
        <v>9094</v>
      </c>
      <c r="M2617" t="s">
        <v>9095</v>
      </c>
      <c r="O2617" t="s">
        <v>11128</v>
      </c>
      <c r="P2617" t="s">
        <v>11164</v>
      </c>
      <c r="Q2617" t="s">
        <v>11172</v>
      </c>
      <c r="R2617" t="s">
        <v>11180</v>
      </c>
      <c r="S2617" t="s">
        <v>9096</v>
      </c>
      <c r="T2617" t="s">
        <v>11183</v>
      </c>
      <c r="U2617" t="s">
        <v>11201</v>
      </c>
      <c r="V2617" t="s">
        <v>864</v>
      </c>
      <c r="W2617">
        <v>433</v>
      </c>
      <c r="X2617" t="s">
        <v>11334</v>
      </c>
      <c r="Y2617" t="s">
        <v>11340</v>
      </c>
      <c r="Z2617" t="s">
        <v>13141</v>
      </c>
      <c r="AB2617" t="s">
        <v>17504</v>
      </c>
      <c r="AC2617">
        <v>2</v>
      </c>
      <c r="AD2617" t="s">
        <v>19565</v>
      </c>
      <c r="AE2617" t="s">
        <v>9144</v>
      </c>
      <c r="AF2617">
        <v>1</v>
      </c>
      <c r="AG2617">
        <v>1</v>
      </c>
      <c r="AH2617">
        <v>2</v>
      </c>
      <c r="AI2617">
        <v>86.75</v>
      </c>
      <c r="AL2617" t="s">
        <v>19614</v>
      </c>
      <c r="AM2617">
        <v>18504</v>
      </c>
      <c r="AO2617" t="s">
        <v>20299</v>
      </c>
      <c r="AP2617" t="s">
        <v>20309</v>
      </c>
      <c r="AQ2617" t="s">
        <v>20368</v>
      </c>
      <c r="AR2617" t="s">
        <v>20501</v>
      </c>
      <c r="AS2617">
        <v>0.2</v>
      </c>
      <c r="AT2617" t="s">
        <v>864</v>
      </c>
      <c r="AU2617" t="s">
        <v>20653</v>
      </c>
      <c r="AV2617" t="s">
        <v>20733</v>
      </c>
    </row>
    <row r="2618" spans="1:48">
      <c r="A2618" s="1">
        <f>HYPERLINK("https://lsnyc.legalserver.org/matter/dynamic-profile/view/1867970","18-1867970")</f>
        <v>0</v>
      </c>
      <c r="B2618" t="s">
        <v>138</v>
      </c>
      <c r="C2618" t="s">
        <v>256</v>
      </c>
      <c r="D2618" t="s">
        <v>950</v>
      </c>
      <c r="F2618" t="s">
        <v>1341</v>
      </c>
      <c r="G2618" t="s">
        <v>3817</v>
      </c>
      <c r="H2618" t="s">
        <v>7019</v>
      </c>
      <c r="I2618" t="s">
        <v>8223</v>
      </c>
      <c r="J2618" t="s">
        <v>9067</v>
      </c>
      <c r="K2618">
        <v>10034</v>
      </c>
      <c r="L2618" t="s">
        <v>9094</v>
      </c>
      <c r="M2618" t="s">
        <v>9095</v>
      </c>
      <c r="O2618" t="s">
        <v>11137</v>
      </c>
      <c r="P2618" t="s">
        <v>11166</v>
      </c>
      <c r="R2618" t="s">
        <v>11180</v>
      </c>
      <c r="S2618" t="s">
        <v>9096</v>
      </c>
      <c r="T2618" t="s">
        <v>11183</v>
      </c>
      <c r="V2618" t="s">
        <v>950</v>
      </c>
      <c r="W2618">
        <v>432.57</v>
      </c>
      <c r="X2618" t="s">
        <v>11335</v>
      </c>
      <c r="Y2618" t="s">
        <v>11340</v>
      </c>
      <c r="Z2618" t="s">
        <v>13142</v>
      </c>
      <c r="AB2618" t="s">
        <v>17505</v>
      </c>
      <c r="AC2618">
        <v>41</v>
      </c>
      <c r="AD2618" t="s">
        <v>19569</v>
      </c>
      <c r="AE2618" t="s">
        <v>9144</v>
      </c>
      <c r="AF2618">
        <v>51</v>
      </c>
      <c r="AG2618">
        <v>1</v>
      </c>
      <c r="AH2618">
        <v>0</v>
      </c>
      <c r="AI2618">
        <v>86.83</v>
      </c>
      <c r="AL2618" t="s">
        <v>19614</v>
      </c>
      <c r="AM2618">
        <v>10540.8</v>
      </c>
      <c r="AS2618">
        <v>3.9</v>
      </c>
      <c r="AT2618" t="s">
        <v>754</v>
      </c>
      <c r="AU2618" t="s">
        <v>130</v>
      </c>
    </row>
    <row r="2619" spans="1:48">
      <c r="A2619" s="1">
        <f>HYPERLINK("https://lsnyc.legalserver.org/matter/dynamic-profile/view/1867941","18-1867941")</f>
        <v>0</v>
      </c>
      <c r="B2619" t="s">
        <v>138</v>
      </c>
      <c r="C2619" t="s">
        <v>256</v>
      </c>
      <c r="D2619" t="s">
        <v>950</v>
      </c>
      <c r="F2619" t="s">
        <v>1341</v>
      </c>
      <c r="G2619" t="s">
        <v>3817</v>
      </c>
      <c r="H2619" t="s">
        <v>7019</v>
      </c>
      <c r="I2619" t="s">
        <v>8223</v>
      </c>
      <c r="J2619" t="s">
        <v>9067</v>
      </c>
      <c r="K2619">
        <v>10034</v>
      </c>
      <c r="L2619" t="s">
        <v>9094</v>
      </c>
      <c r="M2619" t="s">
        <v>9095</v>
      </c>
      <c r="N2619" t="s">
        <v>10130</v>
      </c>
      <c r="O2619" t="s">
        <v>11129</v>
      </c>
      <c r="P2619" t="s">
        <v>11165</v>
      </c>
      <c r="R2619" t="s">
        <v>11180</v>
      </c>
      <c r="S2619" t="s">
        <v>9096</v>
      </c>
      <c r="T2619" t="s">
        <v>11183</v>
      </c>
      <c r="V2619" t="s">
        <v>950</v>
      </c>
      <c r="W2619">
        <v>432.57</v>
      </c>
      <c r="X2619" t="s">
        <v>11335</v>
      </c>
      <c r="Y2619" t="s">
        <v>11340</v>
      </c>
      <c r="Z2619" t="s">
        <v>13142</v>
      </c>
      <c r="AB2619" t="s">
        <v>17505</v>
      </c>
      <c r="AC2619">
        <v>41</v>
      </c>
      <c r="AD2619" t="s">
        <v>19569</v>
      </c>
      <c r="AE2619" t="s">
        <v>9144</v>
      </c>
      <c r="AF2619">
        <v>51</v>
      </c>
      <c r="AG2619">
        <v>1</v>
      </c>
      <c r="AH2619">
        <v>0</v>
      </c>
      <c r="AI2619">
        <v>86.83</v>
      </c>
      <c r="AL2619" t="s">
        <v>19614</v>
      </c>
      <c r="AM2619">
        <v>10540.8</v>
      </c>
      <c r="AS2619">
        <v>8.199999999999999</v>
      </c>
      <c r="AT2619" t="s">
        <v>871</v>
      </c>
      <c r="AU2619" t="s">
        <v>130</v>
      </c>
    </row>
    <row r="2620" spans="1:48">
      <c r="A2620" s="1">
        <f>HYPERLINK("https://lsnyc.legalserver.org/matter/dynamic-profile/view/1847636","17-1847636")</f>
        <v>0</v>
      </c>
      <c r="B2620" t="s">
        <v>139</v>
      </c>
      <c r="C2620" t="s">
        <v>256</v>
      </c>
      <c r="D2620" t="s">
        <v>587</v>
      </c>
      <c r="F2620" t="s">
        <v>2276</v>
      </c>
      <c r="G2620" t="s">
        <v>3722</v>
      </c>
      <c r="H2620" t="s">
        <v>6364</v>
      </c>
      <c r="I2620" t="s">
        <v>8170</v>
      </c>
      <c r="J2620" t="s">
        <v>9067</v>
      </c>
      <c r="K2620">
        <v>10034</v>
      </c>
      <c r="L2620" t="s">
        <v>9094</v>
      </c>
      <c r="M2620" t="s">
        <v>9095</v>
      </c>
      <c r="O2620" t="s">
        <v>11130</v>
      </c>
      <c r="P2620" t="s">
        <v>11165</v>
      </c>
      <c r="R2620" t="s">
        <v>11180</v>
      </c>
      <c r="S2620" t="s">
        <v>9094</v>
      </c>
      <c r="T2620" t="s">
        <v>11183</v>
      </c>
      <c r="V2620" t="s">
        <v>1057</v>
      </c>
      <c r="W2620">
        <v>981.25</v>
      </c>
      <c r="X2620" t="s">
        <v>11335</v>
      </c>
      <c r="Y2620" t="s">
        <v>11338</v>
      </c>
      <c r="Z2620" t="s">
        <v>13143</v>
      </c>
      <c r="AB2620" t="s">
        <v>17506</v>
      </c>
      <c r="AC2620">
        <v>50</v>
      </c>
      <c r="AD2620" t="s">
        <v>19566</v>
      </c>
      <c r="AE2620" t="s">
        <v>9144</v>
      </c>
      <c r="AF2620">
        <v>11</v>
      </c>
      <c r="AG2620">
        <v>3</v>
      </c>
      <c r="AH2620">
        <v>2</v>
      </c>
      <c r="AI2620">
        <v>86.87</v>
      </c>
      <c r="AL2620" t="s">
        <v>19615</v>
      </c>
      <c r="AM2620">
        <v>25000</v>
      </c>
      <c r="AS2620">
        <v>0</v>
      </c>
      <c r="AU2620" t="s">
        <v>130</v>
      </c>
    </row>
    <row r="2621" spans="1:48">
      <c r="A2621" s="1">
        <f>HYPERLINK("https://lsnyc.legalserver.org/matter/dynamic-profile/view/1878913","18-1878913")</f>
        <v>0</v>
      </c>
      <c r="B2621" t="s">
        <v>139</v>
      </c>
      <c r="C2621" t="s">
        <v>256</v>
      </c>
      <c r="D2621" t="s">
        <v>725</v>
      </c>
      <c r="F2621" t="s">
        <v>2277</v>
      </c>
      <c r="G2621" t="s">
        <v>4503</v>
      </c>
      <c r="H2621" t="s">
        <v>6363</v>
      </c>
      <c r="I2621" t="s">
        <v>8112</v>
      </c>
      <c r="J2621" t="s">
        <v>9067</v>
      </c>
      <c r="K2621">
        <v>10040</v>
      </c>
      <c r="L2621" t="s">
        <v>9094</v>
      </c>
      <c r="M2621" t="s">
        <v>9094</v>
      </c>
      <c r="O2621" t="s">
        <v>11134</v>
      </c>
      <c r="P2621" t="s">
        <v>11168</v>
      </c>
      <c r="R2621" t="s">
        <v>11180</v>
      </c>
      <c r="S2621" t="s">
        <v>9094</v>
      </c>
      <c r="T2621" t="s">
        <v>11183</v>
      </c>
      <c r="V2621" t="s">
        <v>725</v>
      </c>
      <c r="W2621">
        <v>531.28</v>
      </c>
      <c r="X2621" t="s">
        <v>11335</v>
      </c>
      <c r="Y2621" t="s">
        <v>11339</v>
      </c>
      <c r="Z2621" t="s">
        <v>13144</v>
      </c>
      <c r="AB2621" t="s">
        <v>17507</v>
      </c>
      <c r="AC2621">
        <v>88</v>
      </c>
      <c r="AD2621" t="s">
        <v>19566</v>
      </c>
      <c r="AE2621" t="s">
        <v>19587</v>
      </c>
      <c r="AF2621">
        <v>40</v>
      </c>
      <c r="AG2621">
        <v>1</v>
      </c>
      <c r="AH2621">
        <v>0</v>
      </c>
      <c r="AI2621">
        <v>86.98999999999999</v>
      </c>
      <c r="AL2621" t="s">
        <v>19615</v>
      </c>
      <c r="AM2621">
        <v>10560</v>
      </c>
      <c r="AS2621">
        <v>0</v>
      </c>
      <c r="AU2621" t="s">
        <v>130</v>
      </c>
      <c r="AV2621" t="s">
        <v>20733</v>
      </c>
    </row>
    <row r="2622" spans="1:48">
      <c r="A2622" s="1">
        <f>HYPERLINK("https://lsnyc.legalserver.org/matter/dynamic-profile/view/1897175","19-1897175")</f>
        <v>0</v>
      </c>
      <c r="B2622" t="s">
        <v>70</v>
      </c>
      <c r="C2622" t="s">
        <v>256</v>
      </c>
      <c r="D2622" t="s">
        <v>317</v>
      </c>
      <c r="F2622" t="s">
        <v>1212</v>
      </c>
      <c r="G2622" t="s">
        <v>3398</v>
      </c>
      <c r="H2622" t="s">
        <v>5749</v>
      </c>
      <c r="I2622" t="s">
        <v>8634</v>
      </c>
      <c r="J2622" t="s">
        <v>9059</v>
      </c>
      <c r="K2622">
        <v>11233</v>
      </c>
      <c r="L2622" t="s">
        <v>9094</v>
      </c>
      <c r="M2622" t="s">
        <v>9096</v>
      </c>
      <c r="N2622" t="s">
        <v>9146</v>
      </c>
      <c r="O2622" t="s">
        <v>11134</v>
      </c>
      <c r="P2622" t="s">
        <v>11168</v>
      </c>
      <c r="R2622" t="s">
        <v>11180</v>
      </c>
      <c r="S2622" t="s">
        <v>9094</v>
      </c>
      <c r="T2622" t="s">
        <v>11183</v>
      </c>
      <c r="U2622" t="s">
        <v>11201</v>
      </c>
      <c r="V2622" t="s">
        <v>482</v>
      </c>
      <c r="W2622">
        <v>603.74</v>
      </c>
      <c r="X2622" t="s">
        <v>11332</v>
      </c>
      <c r="Y2622" t="s">
        <v>11157</v>
      </c>
      <c r="Z2622" t="s">
        <v>13145</v>
      </c>
      <c r="AC2622">
        <v>359</v>
      </c>
      <c r="AD2622" t="s">
        <v>19566</v>
      </c>
      <c r="AE2622" t="s">
        <v>9144</v>
      </c>
      <c r="AF2622">
        <v>50</v>
      </c>
      <c r="AG2622">
        <v>1</v>
      </c>
      <c r="AH2622">
        <v>0</v>
      </c>
      <c r="AI2622">
        <v>87.33</v>
      </c>
      <c r="AL2622" t="s">
        <v>19614</v>
      </c>
      <c r="AM2622">
        <v>10908</v>
      </c>
      <c r="AN2622" t="s">
        <v>19885</v>
      </c>
      <c r="AS2622">
        <v>0</v>
      </c>
      <c r="AU2622" t="s">
        <v>79</v>
      </c>
    </row>
    <row r="2623" spans="1:48">
      <c r="A2623" s="1">
        <f>HYPERLINK("https://lsnyc.legalserver.org/matter/dynamic-profile/view/1897179","19-1897179")</f>
        <v>0</v>
      </c>
      <c r="B2623" t="s">
        <v>70</v>
      </c>
      <c r="C2623" t="s">
        <v>256</v>
      </c>
      <c r="D2623" t="s">
        <v>317</v>
      </c>
      <c r="F2623" t="s">
        <v>1212</v>
      </c>
      <c r="G2623" t="s">
        <v>3398</v>
      </c>
      <c r="H2623" t="s">
        <v>5749</v>
      </c>
      <c r="I2623" t="s">
        <v>8634</v>
      </c>
      <c r="J2623" t="s">
        <v>9059</v>
      </c>
      <c r="K2623">
        <v>11233</v>
      </c>
      <c r="L2623" t="s">
        <v>9094</v>
      </c>
      <c r="M2623" t="s">
        <v>9096</v>
      </c>
      <c r="O2623" t="s">
        <v>11137</v>
      </c>
      <c r="P2623" t="s">
        <v>11167</v>
      </c>
      <c r="R2623" t="s">
        <v>11180</v>
      </c>
      <c r="S2623" t="s">
        <v>9094</v>
      </c>
      <c r="T2623" t="s">
        <v>11183</v>
      </c>
      <c r="U2623" t="s">
        <v>11201</v>
      </c>
      <c r="V2623" t="s">
        <v>749</v>
      </c>
      <c r="W2623">
        <v>603.74</v>
      </c>
      <c r="X2623" t="s">
        <v>11332</v>
      </c>
      <c r="Y2623" t="s">
        <v>11157</v>
      </c>
      <c r="Z2623" t="s">
        <v>13145</v>
      </c>
      <c r="AC2623">
        <v>359</v>
      </c>
      <c r="AD2623" t="s">
        <v>19566</v>
      </c>
      <c r="AF2623">
        <v>50</v>
      </c>
      <c r="AG2623">
        <v>1</v>
      </c>
      <c r="AH2623">
        <v>0</v>
      </c>
      <c r="AI2623">
        <v>87.33</v>
      </c>
      <c r="AL2623" t="s">
        <v>19614</v>
      </c>
      <c r="AM2623">
        <v>10908</v>
      </c>
      <c r="AN2623" t="s">
        <v>19889</v>
      </c>
      <c r="AS2623">
        <v>0</v>
      </c>
      <c r="AU2623" t="s">
        <v>79</v>
      </c>
    </row>
    <row r="2624" spans="1:48">
      <c r="A2624" s="1">
        <f>HYPERLINK("https://lsnyc.legalserver.org/matter/dynamic-profile/view/1835837","17-1835837")</f>
        <v>0</v>
      </c>
      <c r="B2624" t="s">
        <v>136</v>
      </c>
      <c r="C2624" t="s">
        <v>257</v>
      </c>
      <c r="D2624" t="s">
        <v>920</v>
      </c>
      <c r="E2624" t="s">
        <v>321</v>
      </c>
      <c r="F2624" t="s">
        <v>1723</v>
      </c>
      <c r="G2624" t="s">
        <v>3998</v>
      </c>
      <c r="H2624" t="s">
        <v>6681</v>
      </c>
      <c r="I2624" t="s">
        <v>8279</v>
      </c>
      <c r="J2624" t="s">
        <v>9067</v>
      </c>
      <c r="K2624">
        <v>10040</v>
      </c>
      <c r="L2624" t="s">
        <v>9094</v>
      </c>
      <c r="M2624" t="s">
        <v>9095</v>
      </c>
      <c r="O2624" t="s">
        <v>11135</v>
      </c>
      <c r="P2624" t="s">
        <v>11168</v>
      </c>
      <c r="Q2624" t="s">
        <v>11173</v>
      </c>
      <c r="R2624" t="s">
        <v>11180</v>
      </c>
      <c r="S2624" t="s">
        <v>9094</v>
      </c>
      <c r="T2624" t="s">
        <v>11183</v>
      </c>
      <c r="V2624" t="s">
        <v>920</v>
      </c>
      <c r="W2624">
        <v>989</v>
      </c>
      <c r="X2624" t="s">
        <v>11335</v>
      </c>
      <c r="Y2624" t="s">
        <v>11339</v>
      </c>
      <c r="Z2624" t="s">
        <v>13146</v>
      </c>
      <c r="AC2624">
        <v>43</v>
      </c>
      <c r="AD2624" t="s">
        <v>19566</v>
      </c>
      <c r="AE2624" t="s">
        <v>19580</v>
      </c>
      <c r="AF2624">
        <v>25</v>
      </c>
      <c r="AG2624">
        <v>1</v>
      </c>
      <c r="AH2624">
        <v>0</v>
      </c>
      <c r="AI2624">
        <v>87.36</v>
      </c>
      <c r="AJ2624" t="s">
        <v>19599</v>
      </c>
      <c r="AM2624">
        <v>10536</v>
      </c>
      <c r="AS2624">
        <v>0.1</v>
      </c>
      <c r="AT2624" t="s">
        <v>542</v>
      </c>
      <c r="AU2624" t="s">
        <v>20657</v>
      </c>
    </row>
    <row r="2625" spans="1:48">
      <c r="A2625" s="1">
        <f>HYPERLINK("https://lsnyc.legalserver.org/matter/dynamic-profile/view/1847273","17-1847273")</f>
        <v>0</v>
      </c>
      <c r="B2625" t="s">
        <v>136</v>
      </c>
      <c r="C2625" t="s">
        <v>257</v>
      </c>
      <c r="D2625" t="s">
        <v>942</v>
      </c>
      <c r="E2625" t="s">
        <v>321</v>
      </c>
      <c r="F2625" t="s">
        <v>1723</v>
      </c>
      <c r="G2625" t="s">
        <v>3998</v>
      </c>
      <c r="H2625" t="s">
        <v>6681</v>
      </c>
      <c r="I2625" t="s">
        <v>8279</v>
      </c>
      <c r="J2625" t="s">
        <v>9067</v>
      </c>
      <c r="K2625">
        <v>10040</v>
      </c>
      <c r="L2625" t="s">
        <v>9094</v>
      </c>
      <c r="M2625" t="s">
        <v>9095</v>
      </c>
      <c r="N2625" t="s">
        <v>10131</v>
      </c>
      <c r="O2625" t="s">
        <v>11135</v>
      </c>
      <c r="P2625" t="s">
        <v>11166</v>
      </c>
      <c r="Q2625" t="s">
        <v>11173</v>
      </c>
      <c r="R2625" t="s">
        <v>11180</v>
      </c>
      <c r="S2625" t="s">
        <v>9094</v>
      </c>
      <c r="T2625" t="s">
        <v>11183</v>
      </c>
      <c r="V2625" t="s">
        <v>942</v>
      </c>
      <c r="W2625">
        <v>989</v>
      </c>
      <c r="X2625" t="s">
        <v>11335</v>
      </c>
      <c r="Y2625" t="s">
        <v>11338</v>
      </c>
      <c r="Z2625" t="s">
        <v>13146</v>
      </c>
      <c r="AC2625">
        <v>43</v>
      </c>
      <c r="AD2625" t="s">
        <v>19566</v>
      </c>
      <c r="AE2625" t="s">
        <v>19580</v>
      </c>
      <c r="AF2625">
        <v>25</v>
      </c>
      <c r="AG2625">
        <v>1</v>
      </c>
      <c r="AH2625">
        <v>0</v>
      </c>
      <c r="AI2625">
        <v>87.36</v>
      </c>
      <c r="AJ2625" t="s">
        <v>19599</v>
      </c>
      <c r="AL2625" t="s">
        <v>19615</v>
      </c>
      <c r="AM2625">
        <v>10536</v>
      </c>
      <c r="AN2625" t="s">
        <v>19890</v>
      </c>
      <c r="AS2625">
        <v>0.1</v>
      </c>
      <c r="AT2625" t="s">
        <v>542</v>
      </c>
      <c r="AU2625" t="s">
        <v>130</v>
      </c>
    </row>
    <row r="2626" spans="1:48">
      <c r="A2626" s="1">
        <f>HYPERLINK("https://lsnyc.legalserver.org/matter/dynamic-profile/view/1892359","19-1892359")</f>
        <v>0</v>
      </c>
      <c r="B2626" t="s">
        <v>71</v>
      </c>
      <c r="C2626" t="s">
        <v>256</v>
      </c>
      <c r="D2626" t="s">
        <v>635</v>
      </c>
      <c r="F2626" t="s">
        <v>2278</v>
      </c>
      <c r="G2626" t="s">
        <v>4504</v>
      </c>
      <c r="H2626" t="s">
        <v>7020</v>
      </c>
      <c r="I2626">
        <v>1</v>
      </c>
      <c r="J2626" t="s">
        <v>9059</v>
      </c>
      <c r="K2626">
        <v>11208</v>
      </c>
      <c r="L2626" t="s">
        <v>9094</v>
      </c>
      <c r="M2626" t="s">
        <v>9094</v>
      </c>
      <c r="N2626" t="s">
        <v>10132</v>
      </c>
      <c r="O2626" t="s">
        <v>11128</v>
      </c>
      <c r="P2626" t="s">
        <v>11165</v>
      </c>
      <c r="R2626" t="s">
        <v>11180</v>
      </c>
      <c r="S2626" t="s">
        <v>9096</v>
      </c>
      <c r="T2626" t="s">
        <v>11183</v>
      </c>
      <c r="V2626" t="s">
        <v>473</v>
      </c>
      <c r="W2626">
        <v>1268</v>
      </c>
      <c r="X2626" t="s">
        <v>11332</v>
      </c>
      <c r="Y2626" t="s">
        <v>11336</v>
      </c>
      <c r="Z2626" t="s">
        <v>13147</v>
      </c>
      <c r="AA2626" t="s">
        <v>15721</v>
      </c>
      <c r="AC2626">
        <v>3</v>
      </c>
      <c r="AD2626" t="s">
        <v>19565</v>
      </c>
      <c r="AE2626" t="s">
        <v>19586</v>
      </c>
      <c r="AF2626">
        <v>1</v>
      </c>
      <c r="AG2626">
        <v>1</v>
      </c>
      <c r="AH2626">
        <v>0</v>
      </c>
      <c r="AI2626">
        <v>87.43000000000001</v>
      </c>
      <c r="AL2626" t="s">
        <v>19614</v>
      </c>
      <c r="AM2626">
        <v>10920</v>
      </c>
      <c r="AS2626">
        <v>42.1</v>
      </c>
      <c r="AT2626" t="s">
        <v>596</v>
      </c>
      <c r="AU2626" t="s">
        <v>79</v>
      </c>
    </row>
    <row r="2627" spans="1:48">
      <c r="A2627" s="1">
        <f>HYPERLINK("https://lsnyc.legalserver.org/matter/dynamic-profile/view/1894582","19-1894582")</f>
        <v>0</v>
      </c>
      <c r="B2627" t="s">
        <v>72</v>
      </c>
      <c r="C2627" t="s">
        <v>256</v>
      </c>
      <c r="D2627" t="s">
        <v>694</v>
      </c>
      <c r="F2627" t="s">
        <v>2279</v>
      </c>
      <c r="G2627" t="s">
        <v>4505</v>
      </c>
      <c r="H2627" t="s">
        <v>7021</v>
      </c>
      <c r="I2627" t="s">
        <v>8635</v>
      </c>
      <c r="J2627" t="s">
        <v>9059</v>
      </c>
      <c r="K2627">
        <v>11208</v>
      </c>
      <c r="L2627" t="s">
        <v>9094</v>
      </c>
      <c r="M2627" t="s">
        <v>9096</v>
      </c>
      <c r="N2627" t="s">
        <v>10133</v>
      </c>
      <c r="O2627" t="s">
        <v>11129</v>
      </c>
      <c r="P2627" t="s">
        <v>11165</v>
      </c>
      <c r="R2627" t="s">
        <v>11180</v>
      </c>
      <c r="S2627" t="s">
        <v>9096</v>
      </c>
      <c r="T2627" t="s">
        <v>11183</v>
      </c>
      <c r="U2627" t="s">
        <v>11201</v>
      </c>
      <c r="V2627" t="s">
        <v>777</v>
      </c>
      <c r="W2627">
        <v>1174</v>
      </c>
      <c r="X2627" t="s">
        <v>11332</v>
      </c>
      <c r="Y2627" t="s">
        <v>11336</v>
      </c>
      <c r="Z2627" t="s">
        <v>13148</v>
      </c>
      <c r="AA2627" t="s">
        <v>15722</v>
      </c>
      <c r="AB2627" t="s">
        <v>17508</v>
      </c>
      <c r="AC2627">
        <v>0</v>
      </c>
      <c r="AD2627" t="s">
        <v>19566</v>
      </c>
      <c r="AE2627" t="s">
        <v>19588</v>
      </c>
      <c r="AF2627">
        <v>4</v>
      </c>
      <c r="AG2627">
        <v>1</v>
      </c>
      <c r="AH2627">
        <v>0</v>
      </c>
      <c r="AI2627">
        <v>87.43000000000001</v>
      </c>
      <c r="AL2627" t="s">
        <v>19614</v>
      </c>
      <c r="AM2627">
        <v>10920</v>
      </c>
      <c r="AS2627">
        <v>25.25</v>
      </c>
      <c r="AT2627" t="s">
        <v>282</v>
      </c>
      <c r="AU2627" t="s">
        <v>95</v>
      </c>
      <c r="AV2627" t="s">
        <v>20733</v>
      </c>
    </row>
    <row r="2628" spans="1:48">
      <c r="A2628" s="1">
        <f>HYPERLINK("https://lsnyc.legalserver.org/matter/dynamic-profile/view/1904533","19-1904533")</f>
        <v>0</v>
      </c>
      <c r="B2628" t="s">
        <v>135</v>
      </c>
      <c r="C2628" t="s">
        <v>256</v>
      </c>
      <c r="D2628" t="s">
        <v>615</v>
      </c>
      <c r="F2628" t="s">
        <v>2280</v>
      </c>
      <c r="G2628" t="s">
        <v>4506</v>
      </c>
      <c r="H2628" t="s">
        <v>7022</v>
      </c>
      <c r="I2628" t="s">
        <v>8229</v>
      </c>
      <c r="J2628" t="s">
        <v>9067</v>
      </c>
      <c r="K2628">
        <v>10024</v>
      </c>
      <c r="L2628" t="s">
        <v>9094</v>
      </c>
      <c r="M2628" t="s">
        <v>9095</v>
      </c>
      <c r="O2628" t="s">
        <v>11130</v>
      </c>
      <c r="P2628" t="s">
        <v>11165</v>
      </c>
      <c r="R2628" t="s">
        <v>11180</v>
      </c>
      <c r="S2628" t="s">
        <v>9094</v>
      </c>
      <c r="T2628" t="s">
        <v>11183</v>
      </c>
      <c r="U2628" t="s">
        <v>11201</v>
      </c>
      <c r="V2628" t="s">
        <v>750</v>
      </c>
      <c r="W2628">
        <v>670</v>
      </c>
      <c r="X2628" t="s">
        <v>11335</v>
      </c>
      <c r="Y2628" t="s">
        <v>11351</v>
      </c>
      <c r="Z2628" t="s">
        <v>13149</v>
      </c>
      <c r="AB2628" t="s">
        <v>17509</v>
      </c>
      <c r="AC2628">
        <v>12</v>
      </c>
      <c r="AD2628" t="s">
        <v>19569</v>
      </c>
      <c r="AE2628" t="s">
        <v>9144</v>
      </c>
      <c r="AF2628">
        <v>45</v>
      </c>
      <c r="AG2628">
        <v>2</v>
      </c>
      <c r="AH2628">
        <v>0</v>
      </c>
      <c r="AI2628">
        <v>87.43000000000001</v>
      </c>
      <c r="AL2628" t="s">
        <v>19614</v>
      </c>
      <c r="AM2628">
        <v>14784</v>
      </c>
      <c r="AS2628">
        <v>0.1</v>
      </c>
      <c r="AT2628" t="s">
        <v>408</v>
      </c>
      <c r="AU2628" t="s">
        <v>20657</v>
      </c>
      <c r="AV2628" t="s">
        <v>20733</v>
      </c>
    </row>
    <row r="2629" spans="1:48">
      <c r="A2629" s="1">
        <f>HYPERLINK("https://lsnyc.legalserver.org/matter/dynamic-profile/view/1899590","19-1899590")</f>
        <v>0</v>
      </c>
      <c r="B2629" t="s">
        <v>90</v>
      </c>
      <c r="C2629" t="s">
        <v>256</v>
      </c>
      <c r="D2629" t="s">
        <v>418</v>
      </c>
      <c r="F2629" t="s">
        <v>2281</v>
      </c>
      <c r="G2629" t="s">
        <v>1193</v>
      </c>
      <c r="H2629" t="s">
        <v>7023</v>
      </c>
      <c r="I2629" t="s">
        <v>8170</v>
      </c>
      <c r="J2629" t="s">
        <v>9059</v>
      </c>
      <c r="K2629">
        <v>11206</v>
      </c>
      <c r="L2629" t="s">
        <v>9094</v>
      </c>
      <c r="M2629" t="s">
        <v>9095</v>
      </c>
      <c r="N2629" t="s">
        <v>10134</v>
      </c>
      <c r="O2629" t="s">
        <v>11129</v>
      </c>
      <c r="P2629" t="s">
        <v>11165</v>
      </c>
      <c r="R2629" t="s">
        <v>11180</v>
      </c>
      <c r="S2629" t="s">
        <v>9096</v>
      </c>
      <c r="T2629" t="s">
        <v>11183</v>
      </c>
      <c r="U2629" t="s">
        <v>11201</v>
      </c>
      <c r="V2629" t="s">
        <v>299</v>
      </c>
      <c r="W2629">
        <v>1155.44</v>
      </c>
      <c r="X2629" t="s">
        <v>11332</v>
      </c>
      <c r="Y2629" t="s">
        <v>11340</v>
      </c>
      <c r="Z2629" t="s">
        <v>12582</v>
      </c>
      <c r="AA2629" t="s">
        <v>9144</v>
      </c>
      <c r="AB2629" t="s">
        <v>17510</v>
      </c>
      <c r="AC2629">
        <v>25</v>
      </c>
      <c r="AD2629" t="s">
        <v>19566</v>
      </c>
      <c r="AE2629" t="s">
        <v>9144</v>
      </c>
      <c r="AF2629">
        <v>10</v>
      </c>
      <c r="AG2629">
        <v>3</v>
      </c>
      <c r="AH2629">
        <v>5</v>
      </c>
      <c r="AI2629">
        <v>87.5</v>
      </c>
      <c r="AL2629" t="s">
        <v>19614</v>
      </c>
      <c r="AM2629">
        <v>38000</v>
      </c>
      <c r="AS2629">
        <v>41</v>
      </c>
      <c r="AT2629" t="s">
        <v>488</v>
      </c>
      <c r="AU2629" t="s">
        <v>95</v>
      </c>
      <c r="AV2629" t="s">
        <v>20733</v>
      </c>
    </row>
    <row r="2630" spans="1:48">
      <c r="A2630" s="1">
        <f>HYPERLINK("https://lsnyc.legalserver.org/matter/dynamic-profile/view/1906841","19-1906841")</f>
        <v>0</v>
      </c>
      <c r="B2630" t="s">
        <v>143</v>
      </c>
      <c r="C2630" t="s">
        <v>257</v>
      </c>
      <c r="D2630" t="s">
        <v>676</v>
      </c>
      <c r="E2630" t="s">
        <v>307</v>
      </c>
      <c r="F2630" t="s">
        <v>2282</v>
      </c>
      <c r="G2630" t="s">
        <v>4507</v>
      </c>
      <c r="H2630" t="s">
        <v>7024</v>
      </c>
      <c r="I2630" t="s">
        <v>8229</v>
      </c>
      <c r="J2630" t="s">
        <v>9067</v>
      </c>
      <c r="K2630">
        <v>10039</v>
      </c>
      <c r="L2630" t="s">
        <v>9094</v>
      </c>
      <c r="M2630" t="s">
        <v>9095</v>
      </c>
      <c r="N2630" t="s">
        <v>10135</v>
      </c>
      <c r="O2630" t="s">
        <v>11128</v>
      </c>
      <c r="P2630" t="s">
        <v>11164</v>
      </c>
      <c r="Q2630" t="s">
        <v>11172</v>
      </c>
      <c r="R2630" t="s">
        <v>11180</v>
      </c>
      <c r="S2630" t="s">
        <v>9096</v>
      </c>
      <c r="T2630" t="s">
        <v>11183</v>
      </c>
      <c r="V2630" t="s">
        <v>676</v>
      </c>
      <c r="W2630">
        <v>500.88</v>
      </c>
      <c r="X2630" t="s">
        <v>11335</v>
      </c>
      <c r="Y2630" t="s">
        <v>11336</v>
      </c>
      <c r="Z2630" t="s">
        <v>13150</v>
      </c>
      <c r="AA2630" t="s">
        <v>15723</v>
      </c>
      <c r="AB2630" t="s">
        <v>17511</v>
      </c>
      <c r="AC2630">
        <v>10</v>
      </c>
      <c r="AD2630" t="s">
        <v>19566</v>
      </c>
      <c r="AE2630" t="s">
        <v>9144</v>
      </c>
      <c r="AF2630">
        <v>2</v>
      </c>
      <c r="AG2630">
        <v>1</v>
      </c>
      <c r="AH2630">
        <v>0</v>
      </c>
      <c r="AI2630">
        <v>87.53</v>
      </c>
      <c r="AL2630" t="s">
        <v>19614</v>
      </c>
      <c r="AM2630">
        <v>10932</v>
      </c>
      <c r="AS2630">
        <v>0</v>
      </c>
      <c r="AT2630" t="s">
        <v>259</v>
      </c>
      <c r="AU2630" t="s">
        <v>20659</v>
      </c>
      <c r="AV2630" t="s">
        <v>20734</v>
      </c>
    </row>
    <row r="2631" spans="1:48">
      <c r="A2631" s="1">
        <f>HYPERLINK("https://lsnyc.legalserver.org/matter/dynamic-profile/view/0806096","16-0806096")</f>
        <v>0</v>
      </c>
      <c r="B2631" t="s">
        <v>58</v>
      </c>
      <c r="C2631" t="s">
        <v>256</v>
      </c>
      <c r="D2631" t="s">
        <v>951</v>
      </c>
      <c r="F2631" t="s">
        <v>2283</v>
      </c>
      <c r="G2631" t="s">
        <v>3572</v>
      </c>
      <c r="H2631" t="s">
        <v>6053</v>
      </c>
      <c r="I2631" t="s">
        <v>8151</v>
      </c>
      <c r="J2631" t="s">
        <v>9059</v>
      </c>
      <c r="K2631">
        <v>11225</v>
      </c>
      <c r="L2631" t="s">
        <v>9094</v>
      </c>
      <c r="M2631" t="s">
        <v>9095</v>
      </c>
      <c r="N2631" t="s">
        <v>9493</v>
      </c>
      <c r="O2631" t="s">
        <v>11132</v>
      </c>
      <c r="P2631" t="s">
        <v>11165</v>
      </c>
      <c r="R2631" t="s">
        <v>11180</v>
      </c>
      <c r="S2631" t="s">
        <v>9094</v>
      </c>
      <c r="T2631" t="s">
        <v>11183</v>
      </c>
      <c r="V2631" t="s">
        <v>986</v>
      </c>
      <c r="W2631">
        <v>794.29</v>
      </c>
      <c r="X2631" t="s">
        <v>11332</v>
      </c>
      <c r="Y2631" t="s">
        <v>11342</v>
      </c>
      <c r="Z2631" t="s">
        <v>13151</v>
      </c>
      <c r="AB2631" t="s">
        <v>17512</v>
      </c>
      <c r="AC2631">
        <v>16</v>
      </c>
      <c r="AD2631" t="s">
        <v>19566</v>
      </c>
      <c r="AF2631">
        <v>17</v>
      </c>
      <c r="AG2631">
        <v>1</v>
      </c>
      <c r="AH2631">
        <v>0</v>
      </c>
      <c r="AI2631">
        <v>87.54000000000001</v>
      </c>
      <c r="AJ2631" t="s">
        <v>19596</v>
      </c>
      <c r="AL2631" t="s">
        <v>19614</v>
      </c>
      <c r="AM2631">
        <v>10400</v>
      </c>
      <c r="AS2631">
        <v>1</v>
      </c>
      <c r="AT2631" t="s">
        <v>858</v>
      </c>
      <c r="AU2631" t="s">
        <v>157</v>
      </c>
    </row>
    <row r="2632" spans="1:48">
      <c r="A2632" s="1">
        <f>HYPERLINK("https://lsnyc.legalserver.org/matter/dynamic-profile/view/0823992","17-0823992")</f>
        <v>0</v>
      </c>
      <c r="B2632" t="s">
        <v>155</v>
      </c>
      <c r="C2632" t="s">
        <v>256</v>
      </c>
      <c r="D2632" t="s">
        <v>438</v>
      </c>
      <c r="F2632" t="s">
        <v>2283</v>
      </c>
      <c r="G2632" t="s">
        <v>3572</v>
      </c>
      <c r="H2632" t="s">
        <v>6053</v>
      </c>
      <c r="I2632" t="s">
        <v>8151</v>
      </c>
      <c r="J2632" t="s">
        <v>9059</v>
      </c>
      <c r="K2632">
        <v>11225</v>
      </c>
      <c r="L2632" t="s">
        <v>9094</v>
      </c>
      <c r="M2632" t="s">
        <v>9095</v>
      </c>
      <c r="O2632" t="s">
        <v>11137</v>
      </c>
      <c r="P2632" t="s">
        <v>11167</v>
      </c>
      <c r="R2632" t="s">
        <v>11180</v>
      </c>
      <c r="S2632" t="s">
        <v>9094</v>
      </c>
      <c r="T2632" t="s">
        <v>11183</v>
      </c>
      <c r="V2632" t="s">
        <v>951</v>
      </c>
      <c r="W2632">
        <v>794.29</v>
      </c>
      <c r="X2632" t="s">
        <v>11332</v>
      </c>
      <c r="Y2632" t="s">
        <v>11342</v>
      </c>
      <c r="Z2632" t="s">
        <v>13151</v>
      </c>
      <c r="AB2632" t="s">
        <v>17512</v>
      </c>
      <c r="AC2632">
        <v>16</v>
      </c>
      <c r="AD2632" t="s">
        <v>19566</v>
      </c>
      <c r="AF2632">
        <v>17</v>
      </c>
      <c r="AG2632">
        <v>1</v>
      </c>
      <c r="AH2632">
        <v>0</v>
      </c>
      <c r="AI2632">
        <v>87.54000000000001</v>
      </c>
      <c r="AJ2632" t="s">
        <v>19596</v>
      </c>
      <c r="AL2632" t="s">
        <v>19614</v>
      </c>
      <c r="AM2632">
        <v>10400</v>
      </c>
      <c r="AS2632">
        <v>0</v>
      </c>
      <c r="AU2632" t="s">
        <v>20636</v>
      </c>
    </row>
    <row r="2633" spans="1:48">
      <c r="A2633" s="1">
        <f>HYPERLINK("https://lsnyc.legalserver.org/matter/dynamic-profile/view/1912916","19-1912916")</f>
        <v>0</v>
      </c>
      <c r="B2633" t="s">
        <v>98</v>
      </c>
      <c r="C2633" t="s">
        <v>256</v>
      </c>
      <c r="D2633" t="s">
        <v>294</v>
      </c>
      <c r="F2633" t="s">
        <v>2284</v>
      </c>
      <c r="G2633" t="s">
        <v>3720</v>
      </c>
      <c r="H2633" t="s">
        <v>6713</v>
      </c>
      <c r="I2633" t="s">
        <v>8283</v>
      </c>
      <c r="J2633" t="s">
        <v>9065</v>
      </c>
      <c r="K2633">
        <v>10458</v>
      </c>
      <c r="L2633" t="s">
        <v>9094</v>
      </c>
      <c r="M2633" t="s">
        <v>9095</v>
      </c>
      <c r="O2633" t="s">
        <v>11130</v>
      </c>
      <c r="P2633" t="s">
        <v>11165</v>
      </c>
      <c r="R2633" t="s">
        <v>11180</v>
      </c>
      <c r="S2633" t="s">
        <v>9094</v>
      </c>
      <c r="T2633" t="s">
        <v>11183</v>
      </c>
      <c r="W2633">
        <v>0</v>
      </c>
      <c r="X2633" t="s">
        <v>11333</v>
      </c>
      <c r="Y2633" t="s">
        <v>11346</v>
      </c>
      <c r="Z2633" t="s">
        <v>13152</v>
      </c>
      <c r="AB2633" t="s">
        <v>17513</v>
      </c>
      <c r="AC2633">
        <v>94</v>
      </c>
      <c r="AD2633" t="s">
        <v>19566</v>
      </c>
      <c r="AE2633" t="s">
        <v>19581</v>
      </c>
      <c r="AF2633">
        <v>7</v>
      </c>
      <c r="AG2633">
        <v>3</v>
      </c>
      <c r="AH2633">
        <v>1</v>
      </c>
      <c r="AI2633">
        <v>87.56999999999999</v>
      </c>
      <c r="AL2633" t="s">
        <v>19615</v>
      </c>
      <c r="AM2633">
        <v>22548</v>
      </c>
      <c r="AS2633">
        <v>0</v>
      </c>
      <c r="AU2633" t="s">
        <v>20642</v>
      </c>
      <c r="AV2633" t="s">
        <v>20733</v>
      </c>
    </row>
    <row r="2634" spans="1:48">
      <c r="A2634" s="1">
        <f>HYPERLINK("https://lsnyc.legalserver.org/matter/dynamic-profile/view/1912986","19-1912986")</f>
        <v>0</v>
      </c>
      <c r="B2634" t="s">
        <v>162</v>
      </c>
      <c r="C2634" t="s">
        <v>256</v>
      </c>
      <c r="D2634" t="s">
        <v>294</v>
      </c>
      <c r="F2634" t="s">
        <v>2284</v>
      </c>
      <c r="G2634" t="s">
        <v>3720</v>
      </c>
      <c r="H2634" t="s">
        <v>6713</v>
      </c>
      <c r="I2634" t="s">
        <v>8283</v>
      </c>
      <c r="J2634" t="s">
        <v>9065</v>
      </c>
      <c r="K2634">
        <v>10458</v>
      </c>
      <c r="L2634" t="s">
        <v>9094</v>
      </c>
      <c r="M2634" t="s">
        <v>9095</v>
      </c>
      <c r="N2634" t="s">
        <v>10136</v>
      </c>
      <c r="O2634" t="s">
        <v>11129</v>
      </c>
      <c r="P2634" t="s">
        <v>11165</v>
      </c>
      <c r="R2634" t="s">
        <v>11180</v>
      </c>
      <c r="S2634" t="s">
        <v>9096</v>
      </c>
      <c r="T2634" t="s">
        <v>11183</v>
      </c>
      <c r="V2634" t="s">
        <v>294</v>
      </c>
      <c r="W2634">
        <v>0</v>
      </c>
      <c r="X2634" t="s">
        <v>11333</v>
      </c>
      <c r="Y2634" t="s">
        <v>11346</v>
      </c>
      <c r="Z2634" t="s">
        <v>13152</v>
      </c>
      <c r="AA2634" t="s">
        <v>15724</v>
      </c>
      <c r="AB2634" t="s">
        <v>17513</v>
      </c>
      <c r="AC2634">
        <v>0</v>
      </c>
      <c r="AD2634" t="s">
        <v>19566</v>
      </c>
      <c r="AE2634" t="s">
        <v>19582</v>
      </c>
      <c r="AF2634">
        <v>7</v>
      </c>
      <c r="AG2634">
        <v>3</v>
      </c>
      <c r="AH2634">
        <v>1</v>
      </c>
      <c r="AI2634">
        <v>87.56999999999999</v>
      </c>
      <c r="AL2634" t="s">
        <v>19615</v>
      </c>
      <c r="AM2634">
        <v>22548</v>
      </c>
      <c r="AS2634">
        <v>28.25</v>
      </c>
      <c r="AT2634" t="s">
        <v>594</v>
      </c>
      <c r="AU2634" t="s">
        <v>20647</v>
      </c>
      <c r="AV2634" t="s">
        <v>20734</v>
      </c>
    </row>
    <row r="2635" spans="1:48">
      <c r="A2635" s="1">
        <f>HYPERLINK("https://lsnyc.legalserver.org/matter/dynamic-profile/view/1871791","18-1871791")</f>
        <v>0</v>
      </c>
      <c r="B2635" t="s">
        <v>78</v>
      </c>
      <c r="C2635" t="s">
        <v>256</v>
      </c>
      <c r="D2635" t="s">
        <v>871</v>
      </c>
      <c r="F2635" t="s">
        <v>1725</v>
      </c>
      <c r="G2635" t="s">
        <v>3540</v>
      </c>
      <c r="H2635" t="s">
        <v>6453</v>
      </c>
      <c r="I2635" t="s">
        <v>8223</v>
      </c>
      <c r="J2635" t="s">
        <v>9059</v>
      </c>
      <c r="K2635">
        <v>11206</v>
      </c>
      <c r="L2635" t="s">
        <v>9094</v>
      </c>
      <c r="M2635" t="s">
        <v>9094</v>
      </c>
      <c r="N2635" t="s">
        <v>9972</v>
      </c>
      <c r="O2635" t="s">
        <v>11134</v>
      </c>
      <c r="P2635" t="s">
        <v>11168</v>
      </c>
      <c r="R2635" t="s">
        <v>11180</v>
      </c>
      <c r="S2635" t="s">
        <v>9094</v>
      </c>
      <c r="T2635" t="s">
        <v>11183</v>
      </c>
      <c r="V2635" t="s">
        <v>871</v>
      </c>
      <c r="W2635">
        <v>611.9299999999999</v>
      </c>
      <c r="X2635" t="s">
        <v>11332</v>
      </c>
      <c r="Y2635" t="s">
        <v>11157</v>
      </c>
      <c r="Z2635" t="s">
        <v>13153</v>
      </c>
      <c r="AA2635" t="s">
        <v>15725</v>
      </c>
      <c r="AB2635" t="s">
        <v>17514</v>
      </c>
      <c r="AC2635">
        <v>25</v>
      </c>
      <c r="AD2635" t="s">
        <v>19566</v>
      </c>
      <c r="AF2635">
        <v>7</v>
      </c>
      <c r="AG2635">
        <v>1</v>
      </c>
      <c r="AH2635">
        <v>2</v>
      </c>
      <c r="AI2635">
        <v>87.58</v>
      </c>
      <c r="AL2635" t="s">
        <v>19614</v>
      </c>
      <c r="AM2635">
        <v>18200</v>
      </c>
      <c r="AN2635" t="s">
        <v>19891</v>
      </c>
      <c r="AS2635">
        <v>0</v>
      </c>
      <c r="AU2635" t="s">
        <v>20637</v>
      </c>
    </row>
    <row r="2636" spans="1:48">
      <c r="A2636" s="1">
        <f>HYPERLINK("https://lsnyc.legalserver.org/matter/dynamic-profile/view/1878325","18-1878325")</f>
        <v>0</v>
      </c>
      <c r="B2636" t="s">
        <v>144</v>
      </c>
      <c r="C2636" t="s">
        <v>256</v>
      </c>
      <c r="D2636" t="s">
        <v>509</v>
      </c>
      <c r="F2636" t="s">
        <v>1435</v>
      </c>
      <c r="G2636" t="s">
        <v>4508</v>
      </c>
      <c r="H2636" t="s">
        <v>7025</v>
      </c>
      <c r="I2636">
        <v>1</v>
      </c>
      <c r="J2636" t="s">
        <v>9067</v>
      </c>
      <c r="K2636">
        <v>10033</v>
      </c>
      <c r="L2636" t="s">
        <v>9094</v>
      </c>
      <c r="M2636" t="s">
        <v>9095</v>
      </c>
      <c r="N2636" t="s">
        <v>10137</v>
      </c>
      <c r="O2636" t="s">
        <v>11129</v>
      </c>
      <c r="P2636" t="s">
        <v>11164</v>
      </c>
      <c r="R2636" t="s">
        <v>11180</v>
      </c>
      <c r="S2636" t="s">
        <v>9096</v>
      </c>
      <c r="T2636" t="s">
        <v>11183</v>
      </c>
      <c r="V2636" t="s">
        <v>671</v>
      </c>
      <c r="W2636">
        <v>1157.5</v>
      </c>
      <c r="X2636" t="s">
        <v>11335</v>
      </c>
      <c r="Y2636" t="s">
        <v>11350</v>
      </c>
      <c r="Z2636" t="s">
        <v>13154</v>
      </c>
      <c r="AC2636">
        <v>0</v>
      </c>
      <c r="AD2636" t="s">
        <v>19566</v>
      </c>
      <c r="AE2636" t="s">
        <v>9144</v>
      </c>
      <c r="AF2636">
        <v>14</v>
      </c>
      <c r="AG2636">
        <v>2</v>
      </c>
      <c r="AH2636">
        <v>1</v>
      </c>
      <c r="AI2636">
        <v>87.58</v>
      </c>
      <c r="AL2636" t="s">
        <v>19615</v>
      </c>
      <c r="AM2636">
        <v>18200</v>
      </c>
      <c r="AS2636">
        <v>1.8</v>
      </c>
      <c r="AT2636" t="s">
        <v>723</v>
      </c>
      <c r="AU2636" t="s">
        <v>20657</v>
      </c>
    </row>
    <row r="2637" spans="1:48">
      <c r="A2637" s="1">
        <f>HYPERLINK("https://lsnyc.legalserver.org/matter/dynamic-profile/view/1882776","18-1882776")</f>
        <v>0</v>
      </c>
      <c r="B2637" t="s">
        <v>132</v>
      </c>
      <c r="C2637" t="s">
        <v>257</v>
      </c>
      <c r="D2637" t="s">
        <v>490</v>
      </c>
      <c r="E2637" t="s">
        <v>328</v>
      </c>
      <c r="F2637" t="s">
        <v>2285</v>
      </c>
      <c r="G2637" t="s">
        <v>3818</v>
      </c>
      <c r="H2637" t="s">
        <v>7026</v>
      </c>
      <c r="I2637">
        <v>4</v>
      </c>
      <c r="J2637" t="s">
        <v>9067</v>
      </c>
      <c r="K2637">
        <v>10032</v>
      </c>
      <c r="L2637" t="s">
        <v>9094</v>
      </c>
      <c r="M2637" t="s">
        <v>9094</v>
      </c>
      <c r="O2637" t="s">
        <v>11136</v>
      </c>
      <c r="P2637" t="s">
        <v>11167</v>
      </c>
      <c r="Q2637" t="s">
        <v>11173</v>
      </c>
      <c r="R2637" t="s">
        <v>11180</v>
      </c>
      <c r="S2637" t="s">
        <v>9096</v>
      </c>
      <c r="T2637" t="s">
        <v>11183</v>
      </c>
      <c r="V2637" t="s">
        <v>490</v>
      </c>
      <c r="W2637">
        <v>1025</v>
      </c>
      <c r="X2637" t="s">
        <v>11335</v>
      </c>
      <c r="Y2637" t="s">
        <v>11338</v>
      </c>
      <c r="Z2637" t="s">
        <v>13155</v>
      </c>
      <c r="AB2637" t="s">
        <v>17515</v>
      </c>
      <c r="AC2637">
        <v>42</v>
      </c>
      <c r="AD2637" t="s">
        <v>19566</v>
      </c>
      <c r="AE2637" t="s">
        <v>9144</v>
      </c>
      <c r="AF2637">
        <v>24</v>
      </c>
      <c r="AG2637">
        <v>2</v>
      </c>
      <c r="AH2637">
        <v>1</v>
      </c>
      <c r="AI2637">
        <v>87.58</v>
      </c>
      <c r="AL2637" t="s">
        <v>19615</v>
      </c>
      <c r="AM2637">
        <v>18200</v>
      </c>
      <c r="AS2637">
        <v>7.1</v>
      </c>
      <c r="AT2637" t="s">
        <v>454</v>
      </c>
      <c r="AU2637" t="s">
        <v>130</v>
      </c>
      <c r="AV2637" t="s">
        <v>20733</v>
      </c>
    </row>
    <row r="2638" spans="1:48">
      <c r="A2638" s="1">
        <f>HYPERLINK("https://lsnyc.legalserver.org/matter/dynamic-profile/view/1904665","19-1904665")</f>
        <v>0</v>
      </c>
      <c r="B2638" t="s">
        <v>119</v>
      </c>
      <c r="C2638" t="s">
        <v>256</v>
      </c>
      <c r="D2638" t="s">
        <v>497</v>
      </c>
      <c r="F2638" t="s">
        <v>1913</v>
      </c>
      <c r="G2638" t="s">
        <v>3720</v>
      </c>
      <c r="H2638" t="s">
        <v>6095</v>
      </c>
      <c r="I2638" t="s">
        <v>8149</v>
      </c>
      <c r="J2638" t="s">
        <v>9065</v>
      </c>
      <c r="K2638">
        <v>10456</v>
      </c>
      <c r="L2638" t="s">
        <v>9094</v>
      </c>
      <c r="M2638" t="s">
        <v>9095</v>
      </c>
      <c r="N2638" t="s">
        <v>9401</v>
      </c>
      <c r="O2638" t="s">
        <v>11134</v>
      </c>
      <c r="P2638" t="s">
        <v>11168</v>
      </c>
      <c r="R2638" t="s">
        <v>11180</v>
      </c>
      <c r="S2638" t="s">
        <v>9094</v>
      </c>
      <c r="T2638" t="s">
        <v>11183</v>
      </c>
      <c r="V2638" t="s">
        <v>11218</v>
      </c>
      <c r="W2638">
        <v>1047</v>
      </c>
      <c r="X2638" t="s">
        <v>11333</v>
      </c>
      <c r="Y2638" t="s">
        <v>11346</v>
      </c>
      <c r="Z2638" t="s">
        <v>12421</v>
      </c>
      <c r="AB2638" t="s">
        <v>16829</v>
      </c>
      <c r="AC2638">
        <v>131</v>
      </c>
      <c r="AD2638" t="s">
        <v>19566</v>
      </c>
      <c r="AE2638" t="s">
        <v>9144</v>
      </c>
      <c r="AF2638">
        <v>13</v>
      </c>
      <c r="AG2638">
        <v>2</v>
      </c>
      <c r="AH2638">
        <v>0</v>
      </c>
      <c r="AI2638">
        <v>87.63</v>
      </c>
      <c r="AL2638" t="s">
        <v>19615</v>
      </c>
      <c r="AM2638">
        <v>14818.8</v>
      </c>
      <c r="AS2638">
        <v>0</v>
      </c>
      <c r="AU2638" t="s">
        <v>163</v>
      </c>
      <c r="AV2638" t="s">
        <v>20733</v>
      </c>
    </row>
    <row r="2639" spans="1:48">
      <c r="A2639" s="1">
        <f>HYPERLINK("https://lsnyc.legalserver.org/matter/dynamic-profile/view/1886645","18-1886645")</f>
        <v>0</v>
      </c>
      <c r="B2639" t="s">
        <v>65</v>
      </c>
      <c r="C2639" t="s">
        <v>256</v>
      </c>
      <c r="D2639" t="s">
        <v>753</v>
      </c>
      <c r="F2639" t="s">
        <v>1240</v>
      </c>
      <c r="G2639" t="s">
        <v>3632</v>
      </c>
      <c r="H2639" t="s">
        <v>7027</v>
      </c>
      <c r="I2639" t="s">
        <v>8636</v>
      </c>
      <c r="J2639" t="s">
        <v>9059</v>
      </c>
      <c r="K2639">
        <v>11216</v>
      </c>
      <c r="L2639" t="s">
        <v>9094</v>
      </c>
      <c r="M2639" t="s">
        <v>9094</v>
      </c>
      <c r="O2639" t="s">
        <v>9121</v>
      </c>
      <c r="P2639" t="s">
        <v>11166</v>
      </c>
      <c r="R2639" t="s">
        <v>11180</v>
      </c>
      <c r="S2639" t="s">
        <v>9096</v>
      </c>
      <c r="T2639" t="s">
        <v>11183</v>
      </c>
      <c r="V2639" t="s">
        <v>753</v>
      </c>
      <c r="W2639">
        <v>1010</v>
      </c>
      <c r="X2639" t="s">
        <v>11332</v>
      </c>
      <c r="Y2639" t="s">
        <v>11340</v>
      </c>
      <c r="Z2639" t="s">
        <v>13156</v>
      </c>
      <c r="AB2639" t="s">
        <v>17516</v>
      </c>
      <c r="AC2639">
        <v>0</v>
      </c>
      <c r="AD2639" t="s">
        <v>19566</v>
      </c>
      <c r="AF2639">
        <v>10</v>
      </c>
      <c r="AG2639">
        <v>3</v>
      </c>
      <c r="AH2639">
        <v>1</v>
      </c>
      <c r="AI2639">
        <v>87.65000000000001</v>
      </c>
      <c r="AL2639" t="s">
        <v>19614</v>
      </c>
      <c r="AM2639">
        <v>22000</v>
      </c>
      <c r="AS2639">
        <v>4.7</v>
      </c>
      <c r="AT2639" t="s">
        <v>1130</v>
      </c>
      <c r="AU2639" t="s">
        <v>215</v>
      </c>
      <c r="AV2639" t="s">
        <v>20733</v>
      </c>
    </row>
    <row r="2640" spans="1:48">
      <c r="A2640" s="1">
        <f>HYPERLINK("https://lsnyc.legalserver.org/matter/dynamic-profile/view/1845402","17-1845402")</f>
        <v>0</v>
      </c>
      <c r="B2640" t="s">
        <v>154</v>
      </c>
      <c r="C2640" t="s">
        <v>257</v>
      </c>
      <c r="D2640" t="s">
        <v>548</v>
      </c>
      <c r="E2640" t="s">
        <v>312</v>
      </c>
      <c r="F2640" t="s">
        <v>1173</v>
      </c>
      <c r="G2640" t="s">
        <v>1305</v>
      </c>
      <c r="H2640" t="s">
        <v>7028</v>
      </c>
      <c r="I2640" t="s">
        <v>8107</v>
      </c>
      <c r="J2640" t="s">
        <v>9066</v>
      </c>
      <c r="K2640">
        <v>10304</v>
      </c>
      <c r="L2640" t="s">
        <v>9094</v>
      </c>
      <c r="M2640" t="s">
        <v>9095</v>
      </c>
      <c r="N2640" t="s">
        <v>10138</v>
      </c>
      <c r="O2640" t="s">
        <v>11129</v>
      </c>
      <c r="P2640" t="s">
        <v>11165</v>
      </c>
      <c r="Q2640" t="s">
        <v>11175</v>
      </c>
      <c r="R2640" t="s">
        <v>11180</v>
      </c>
      <c r="S2640" t="s">
        <v>9096</v>
      </c>
      <c r="T2640" t="s">
        <v>11183</v>
      </c>
      <c r="V2640" t="s">
        <v>948</v>
      </c>
      <c r="W2640">
        <v>0</v>
      </c>
      <c r="X2640" t="s">
        <v>11334</v>
      </c>
      <c r="Y2640" t="s">
        <v>11340</v>
      </c>
      <c r="Z2640" t="s">
        <v>13157</v>
      </c>
      <c r="AA2640" t="s">
        <v>15726</v>
      </c>
      <c r="AB2640" t="s">
        <v>17517</v>
      </c>
      <c r="AC2640">
        <v>6</v>
      </c>
      <c r="AD2640" t="s">
        <v>19566</v>
      </c>
      <c r="AE2640" t="s">
        <v>9144</v>
      </c>
      <c r="AF2640">
        <v>4</v>
      </c>
      <c r="AG2640">
        <v>3</v>
      </c>
      <c r="AH2640">
        <v>0</v>
      </c>
      <c r="AI2640">
        <v>87.68000000000001</v>
      </c>
      <c r="AL2640" t="s">
        <v>19614</v>
      </c>
      <c r="AM2640">
        <v>17904</v>
      </c>
      <c r="AS2640">
        <v>54.5</v>
      </c>
      <c r="AT2640" t="s">
        <v>312</v>
      </c>
      <c r="AU2640" t="s">
        <v>20714</v>
      </c>
    </row>
    <row r="2641" spans="1:48">
      <c r="A2641" s="1">
        <f>HYPERLINK("https://lsnyc.legalserver.org/matter/dynamic-profile/view/1861085","18-1861085")</f>
        <v>0</v>
      </c>
      <c r="B2641" t="s">
        <v>145</v>
      </c>
      <c r="C2641" t="s">
        <v>257</v>
      </c>
      <c r="D2641" t="s">
        <v>485</v>
      </c>
      <c r="E2641" t="s">
        <v>377</v>
      </c>
      <c r="F2641" t="s">
        <v>2286</v>
      </c>
      <c r="G2641" t="s">
        <v>3364</v>
      </c>
      <c r="H2641" t="s">
        <v>7029</v>
      </c>
      <c r="I2641" t="s">
        <v>8573</v>
      </c>
      <c r="J2641" t="s">
        <v>9067</v>
      </c>
      <c r="K2641">
        <v>10016</v>
      </c>
      <c r="L2641" t="s">
        <v>9094</v>
      </c>
      <c r="M2641" t="s">
        <v>9095</v>
      </c>
      <c r="N2641" t="s">
        <v>10139</v>
      </c>
      <c r="O2641" t="s">
        <v>11129</v>
      </c>
      <c r="P2641" t="s">
        <v>11167</v>
      </c>
      <c r="Q2641" t="s">
        <v>11173</v>
      </c>
      <c r="R2641" t="s">
        <v>11180</v>
      </c>
      <c r="T2641" t="s">
        <v>11183</v>
      </c>
      <c r="V2641" t="s">
        <v>673</v>
      </c>
      <c r="W2641">
        <v>3633</v>
      </c>
      <c r="X2641" t="s">
        <v>11335</v>
      </c>
      <c r="Y2641" t="s">
        <v>11346</v>
      </c>
      <c r="Z2641" t="s">
        <v>13158</v>
      </c>
      <c r="AB2641" t="s">
        <v>17518</v>
      </c>
      <c r="AC2641">
        <v>0</v>
      </c>
      <c r="AD2641" t="s">
        <v>15441</v>
      </c>
      <c r="AE2641" t="s">
        <v>19580</v>
      </c>
      <c r="AF2641">
        <v>25</v>
      </c>
      <c r="AG2641">
        <v>1</v>
      </c>
      <c r="AH2641">
        <v>0</v>
      </c>
      <c r="AI2641">
        <v>87.81</v>
      </c>
      <c r="AM2641">
        <v>10660</v>
      </c>
      <c r="AS2641">
        <v>8.9</v>
      </c>
      <c r="AT2641" t="s">
        <v>377</v>
      </c>
      <c r="AU2641" t="s">
        <v>20680</v>
      </c>
    </row>
    <row r="2642" spans="1:48">
      <c r="A2642" s="1">
        <f>HYPERLINK("https://lsnyc.legalserver.org/matter/dynamic-profile/view/1893083","19-1893083")</f>
        <v>0</v>
      </c>
      <c r="B2642" t="s">
        <v>108</v>
      </c>
      <c r="C2642" t="s">
        <v>256</v>
      </c>
      <c r="D2642" t="s">
        <v>423</v>
      </c>
      <c r="F2642" t="s">
        <v>2287</v>
      </c>
      <c r="G2642" t="s">
        <v>4344</v>
      </c>
      <c r="H2642" t="s">
        <v>6842</v>
      </c>
      <c r="I2642" t="s">
        <v>8176</v>
      </c>
      <c r="J2642" t="s">
        <v>9065</v>
      </c>
      <c r="K2642">
        <v>10453</v>
      </c>
      <c r="L2642" t="s">
        <v>9094</v>
      </c>
      <c r="M2642" t="s">
        <v>9094</v>
      </c>
      <c r="O2642" t="s">
        <v>9121</v>
      </c>
      <c r="P2642" t="s">
        <v>11167</v>
      </c>
      <c r="R2642" t="s">
        <v>11180</v>
      </c>
      <c r="T2642" t="s">
        <v>11183</v>
      </c>
      <c r="V2642" t="s">
        <v>423</v>
      </c>
      <c r="W2642">
        <v>1260</v>
      </c>
      <c r="X2642" t="s">
        <v>11333</v>
      </c>
      <c r="Y2642" t="s">
        <v>11338</v>
      </c>
      <c r="Z2642" t="s">
        <v>12853</v>
      </c>
      <c r="AB2642" t="s">
        <v>17231</v>
      </c>
      <c r="AC2642">
        <v>0</v>
      </c>
      <c r="AD2642" t="s">
        <v>19566</v>
      </c>
      <c r="AE2642" t="s">
        <v>19580</v>
      </c>
      <c r="AF2642">
        <v>6</v>
      </c>
      <c r="AG2642">
        <v>2</v>
      </c>
      <c r="AH2642">
        <v>0</v>
      </c>
      <c r="AI2642">
        <v>87.84999999999999</v>
      </c>
      <c r="AL2642" t="s">
        <v>19615</v>
      </c>
      <c r="AM2642">
        <v>14856</v>
      </c>
      <c r="AS2642">
        <v>1.55</v>
      </c>
      <c r="AT2642" t="s">
        <v>336</v>
      </c>
      <c r="AU2642" t="s">
        <v>108</v>
      </c>
      <c r="AV2642" t="s">
        <v>20733</v>
      </c>
    </row>
    <row r="2643" spans="1:48">
      <c r="A2643" s="1">
        <f>HYPERLINK("https://lsnyc.legalserver.org/matter/dynamic-profile/view/1899187","19-1899187")</f>
        <v>0</v>
      </c>
      <c r="B2643" t="s">
        <v>119</v>
      </c>
      <c r="C2643" t="s">
        <v>257</v>
      </c>
      <c r="D2643" t="s">
        <v>454</v>
      </c>
      <c r="E2643" t="s">
        <v>664</v>
      </c>
      <c r="F2643" t="s">
        <v>2288</v>
      </c>
      <c r="G2643" t="s">
        <v>4509</v>
      </c>
      <c r="H2643" t="s">
        <v>7030</v>
      </c>
      <c r="I2643" t="s">
        <v>8637</v>
      </c>
      <c r="J2643" t="s">
        <v>9065</v>
      </c>
      <c r="K2643">
        <v>10458</v>
      </c>
      <c r="L2643" t="s">
        <v>9094</v>
      </c>
      <c r="M2643" t="s">
        <v>9095</v>
      </c>
      <c r="P2643" t="s">
        <v>11164</v>
      </c>
      <c r="Q2643" t="s">
        <v>11172</v>
      </c>
      <c r="R2643" t="s">
        <v>11180</v>
      </c>
      <c r="S2643" t="s">
        <v>9096</v>
      </c>
      <c r="T2643" t="s">
        <v>11183</v>
      </c>
      <c r="V2643" t="s">
        <v>279</v>
      </c>
      <c r="W2643">
        <v>1585.54</v>
      </c>
      <c r="X2643" t="s">
        <v>11333</v>
      </c>
      <c r="Y2643" t="s">
        <v>11346</v>
      </c>
      <c r="Z2643" t="s">
        <v>13159</v>
      </c>
      <c r="AB2643" t="s">
        <v>17519</v>
      </c>
      <c r="AC2643">
        <v>53</v>
      </c>
      <c r="AD2643" t="s">
        <v>19566</v>
      </c>
      <c r="AE2643" t="s">
        <v>19582</v>
      </c>
      <c r="AF2643">
        <v>20</v>
      </c>
      <c r="AG2643">
        <v>1</v>
      </c>
      <c r="AH2643">
        <v>0</v>
      </c>
      <c r="AI2643">
        <v>87.91</v>
      </c>
      <c r="AL2643" t="s">
        <v>19615</v>
      </c>
      <c r="AM2643">
        <v>10980</v>
      </c>
      <c r="AS2643">
        <v>0.5</v>
      </c>
      <c r="AT2643" t="s">
        <v>279</v>
      </c>
      <c r="AU2643" t="s">
        <v>163</v>
      </c>
      <c r="AV2643" t="s">
        <v>20733</v>
      </c>
    </row>
    <row r="2644" spans="1:48">
      <c r="A2644" s="1">
        <f>HYPERLINK("https://lsnyc.legalserver.org/matter/dynamic-profile/view/1876348","18-1876348")</f>
        <v>0</v>
      </c>
      <c r="B2644" t="s">
        <v>132</v>
      </c>
      <c r="C2644" t="s">
        <v>257</v>
      </c>
      <c r="D2644" t="s">
        <v>479</v>
      </c>
      <c r="E2644" t="s">
        <v>331</v>
      </c>
      <c r="F2644" t="s">
        <v>1484</v>
      </c>
      <c r="G2644" t="s">
        <v>3924</v>
      </c>
      <c r="H2644" t="s">
        <v>5953</v>
      </c>
      <c r="I2644" t="s">
        <v>8386</v>
      </c>
      <c r="J2644" t="s">
        <v>9067</v>
      </c>
      <c r="K2644">
        <v>10033</v>
      </c>
      <c r="L2644" t="s">
        <v>9094</v>
      </c>
      <c r="M2644" t="s">
        <v>9094</v>
      </c>
      <c r="O2644" t="s">
        <v>11130</v>
      </c>
      <c r="P2644" t="s">
        <v>11165</v>
      </c>
      <c r="Q2644" t="s">
        <v>11178</v>
      </c>
      <c r="R2644" t="s">
        <v>11180</v>
      </c>
      <c r="S2644" t="s">
        <v>9094</v>
      </c>
      <c r="T2644" t="s">
        <v>11183</v>
      </c>
      <c r="V2644" t="s">
        <v>479</v>
      </c>
      <c r="W2644">
        <v>1478.3</v>
      </c>
      <c r="X2644" t="s">
        <v>11335</v>
      </c>
      <c r="Y2644" t="s">
        <v>11338</v>
      </c>
      <c r="Z2644" t="s">
        <v>13160</v>
      </c>
      <c r="AB2644" t="s">
        <v>17520</v>
      </c>
      <c r="AC2644">
        <v>232</v>
      </c>
      <c r="AD2644" t="s">
        <v>19566</v>
      </c>
      <c r="AE2644" t="s">
        <v>19580</v>
      </c>
      <c r="AF2644">
        <v>19</v>
      </c>
      <c r="AG2644">
        <v>2</v>
      </c>
      <c r="AH2644">
        <v>0</v>
      </c>
      <c r="AI2644">
        <v>87.92</v>
      </c>
      <c r="AL2644" t="s">
        <v>19614</v>
      </c>
      <c r="AM2644">
        <v>14472</v>
      </c>
      <c r="AS2644">
        <v>1.6</v>
      </c>
      <c r="AT2644" t="s">
        <v>521</v>
      </c>
      <c r="AU2644" t="s">
        <v>130</v>
      </c>
      <c r="AV2644" t="s">
        <v>20733</v>
      </c>
    </row>
    <row r="2645" spans="1:48">
      <c r="A2645" s="1">
        <f>HYPERLINK("https://lsnyc.legalserver.org/matter/dynamic-profile/view/1897089","19-1897089")</f>
        <v>0</v>
      </c>
      <c r="B2645" t="s">
        <v>114</v>
      </c>
      <c r="C2645" t="s">
        <v>256</v>
      </c>
      <c r="D2645" t="s">
        <v>296</v>
      </c>
      <c r="F2645" t="s">
        <v>2289</v>
      </c>
      <c r="G2645" t="s">
        <v>4113</v>
      </c>
      <c r="H2645" t="s">
        <v>7031</v>
      </c>
      <c r="I2645" t="s">
        <v>8638</v>
      </c>
      <c r="J2645" t="s">
        <v>9065</v>
      </c>
      <c r="K2645">
        <v>10453</v>
      </c>
      <c r="L2645" t="s">
        <v>9094</v>
      </c>
      <c r="M2645" t="s">
        <v>9094</v>
      </c>
      <c r="N2645" t="s">
        <v>10140</v>
      </c>
      <c r="O2645" t="s">
        <v>11129</v>
      </c>
      <c r="P2645" t="s">
        <v>11165</v>
      </c>
      <c r="R2645" t="s">
        <v>11180</v>
      </c>
      <c r="S2645" t="s">
        <v>9096</v>
      </c>
      <c r="T2645" t="s">
        <v>11183</v>
      </c>
      <c r="V2645" t="s">
        <v>291</v>
      </c>
      <c r="W2645">
        <v>729</v>
      </c>
      <c r="X2645" t="s">
        <v>11333</v>
      </c>
      <c r="Y2645" t="s">
        <v>11340</v>
      </c>
      <c r="Z2645" t="s">
        <v>13161</v>
      </c>
      <c r="AA2645" t="s">
        <v>15727</v>
      </c>
      <c r="AB2645" t="s">
        <v>17521</v>
      </c>
      <c r="AC2645">
        <v>69</v>
      </c>
      <c r="AE2645" t="s">
        <v>19580</v>
      </c>
      <c r="AF2645">
        <v>0</v>
      </c>
      <c r="AG2645">
        <v>1</v>
      </c>
      <c r="AH2645">
        <v>0</v>
      </c>
      <c r="AI2645">
        <v>88.03</v>
      </c>
      <c r="AL2645" t="s">
        <v>19615</v>
      </c>
      <c r="AM2645">
        <v>10994.64</v>
      </c>
      <c r="AS2645">
        <v>31.2</v>
      </c>
      <c r="AT2645" t="s">
        <v>284</v>
      </c>
      <c r="AU2645" t="s">
        <v>163</v>
      </c>
      <c r="AV2645" t="s">
        <v>20734</v>
      </c>
    </row>
    <row r="2646" spans="1:48">
      <c r="A2646" s="1">
        <f>HYPERLINK("https://lsnyc.legalserver.org/matter/dynamic-profile/view/1905115","19-1905115")</f>
        <v>0</v>
      </c>
      <c r="B2646" t="s">
        <v>86</v>
      </c>
      <c r="C2646" t="s">
        <v>256</v>
      </c>
      <c r="D2646" t="s">
        <v>367</v>
      </c>
      <c r="F2646" t="s">
        <v>2290</v>
      </c>
      <c r="G2646" t="s">
        <v>4510</v>
      </c>
      <c r="H2646" t="s">
        <v>7032</v>
      </c>
      <c r="I2646" t="s">
        <v>8191</v>
      </c>
      <c r="J2646" t="s">
        <v>9059</v>
      </c>
      <c r="K2646">
        <v>11220</v>
      </c>
      <c r="L2646" t="s">
        <v>9094</v>
      </c>
      <c r="M2646" t="s">
        <v>9095</v>
      </c>
      <c r="P2646" t="s">
        <v>11165</v>
      </c>
      <c r="R2646" t="s">
        <v>11180</v>
      </c>
      <c r="S2646" t="s">
        <v>9094</v>
      </c>
      <c r="T2646" t="s">
        <v>11183</v>
      </c>
      <c r="V2646" t="s">
        <v>660</v>
      </c>
      <c r="W2646">
        <v>0</v>
      </c>
      <c r="X2646" t="s">
        <v>11332</v>
      </c>
      <c r="Z2646" t="s">
        <v>13162</v>
      </c>
      <c r="AB2646" t="s">
        <v>17522</v>
      </c>
      <c r="AC2646">
        <v>54</v>
      </c>
      <c r="AE2646" t="s">
        <v>19587</v>
      </c>
      <c r="AF2646">
        <v>0</v>
      </c>
      <c r="AG2646">
        <v>3</v>
      </c>
      <c r="AH2646">
        <v>0</v>
      </c>
      <c r="AI2646">
        <v>88.05</v>
      </c>
      <c r="AL2646" t="s">
        <v>19614</v>
      </c>
      <c r="AM2646">
        <v>18780</v>
      </c>
      <c r="AS2646">
        <v>88.45</v>
      </c>
      <c r="AT2646" t="s">
        <v>487</v>
      </c>
      <c r="AU2646" t="s">
        <v>67</v>
      </c>
    </row>
    <row r="2647" spans="1:48">
      <c r="A2647" s="1">
        <f>HYPERLINK("https://lsnyc.legalserver.org/matter/dynamic-profile/view/1843489","17-1843489")</f>
        <v>0</v>
      </c>
      <c r="B2647" t="s">
        <v>138</v>
      </c>
      <c r="C2647" t="s">
        <v>256</v>
      </c>
      <c r="D2647" t="s">
        <v>820</v>
      </c>
      <c r="F2647" t="s">
        <v>2030</v>
      </c>
      <c r="G2647" t="s">
        <v>3675</v>
      </c>
      <c r="H2647" t="s">
        <v>6647</v>
      </c>
      <c r="I2647">
        <v>33</v>
      </c>
      <c r="J2647" t="s">
        <v>9067</v>
      </c>
      <c r="K2647">
        <v>10031</v>
      </c>
      <c r="L2647" t="s">
        <v>9094</v>
      </c>
      <c r="M2647" t="s">
        <v>9095</v>
      </c>
      <c r="N2647" t="s">
        <v>10141</v>
      </c>
      <c r="O2647" t="s">
        <v>11128</v>
      </c>
      <c r="P2647" t="s">
        <v>11165</v>
      </c>
      <c r="R2647" t="s">
        <v>11180</v>
      </c>
      <c r="S2647" t="s">
        <v>9096</v>
      </c>
      <c r="T2647" t="s">
        <v>11183</v>
      </c>
      <c r="V2647" t="s">
        <v>480</v>
      </c>
      <c r="W2647">
        <v>424.4</v>
      </c>
      <c r="X2647" t="s">
        <v>11335</v>
      </c>
      <c r="Y2647" t="s">
        <v>11338</v>
      </c>
      <c r="Z2647" t="s">
        <v>13163</v>
      </c>
      <c r="AB2647" t="s">
        <v>17523</v>
      </c>
      <c r="AC2647">
        <v>26</v>
      </c>
      <c r="AD2647" t="s">
        <v>19566</v>
      </c>
      <c r="AE2647" t="s">
        <v>9144</v>
      </c>
      <c r="AF2647">
        <v>60</v>
      </c>
      <c r="AG2647">
        <v>1</v>
      </c>
      <c r="AH2647">
        <v>0</v>
      </c>
      <c r="AI2647">
        <v>88.06</v>
      </c>
      <c r="AJ2647" t="s">
        <v>670</v>
      </c>
      <c r="AL2647" t="s">
        <v>19614</v>
      </c>
      <c r="AM2647">
        <v>10620</v>
      </c>
      <c r="AS2647">
        <v>22.1</v>
      </c>
      <c r="AT2647" t="s">
        <v>553</v>
      </c>
      <c r="AU2647" t="s">
        <v>130</v>
      </c>
    </row>
    <row r="2648" spans="1:48">
      <c r="A2648" s="1">
        <f>HYPERLINK("https://lsnyc.legalserver.org/matter/dynamic-profile/view/1915160","19-1915160")</f>
        <v>0</v>
      </c>
      <c r="B2648" t="s">
        <v>132</v>
      </c>
      <c r="C2648" t="s">
        <v>256</v>
      </c>
      <c r="D2648" t="s">
        <v>270</v>
      </c>
      <c r="F2648" t="s">
        <v>1358</v>
      </c>
      <c r="G2648" t="s">
        <v>4444</v>
      </c>
      <c r="H2648" t="s">
        <v>7033</v>
      </c>
      <c r="I2648" t="s">
        <v>8132</v>
      </c>
      <c r="J2648" t="s">
        <v>9067</v>
      </c>
      <c r="K2648">
        <v>10032</v>
      </c>
      <c r="L2648" t="s">
        <v>9094</v>
      </c>
      <c r="M2648" t="s">
        <v>9095</v>
      </c>
      <c r="P2648" t="s">
        <v>11169</v>
      </c>
      <c r="R2648" t="s">
        <v>11180</v>
      </c>
      <c r="S2648" t="s">
        <v>9096</v>
      </c>
      <c r="T2648" t="s">
        <v>11183</v>
      </c>
      <c r="V2648" t="s">
        <v>270</v>
      </c>
      <c r="W2648">
        <v>555</v>
      </c>
      <c r="X2648" t="s">
        <v>11335</v>
      </c>
      <c r="Y2648" t="s">
        <v>11338</v>
      </c>
      <c r="Z2648" t="s">
        <v>13164</v>
      </c>
      <c r="AC2648">
        <v>22</v>
      </c>
      <c r="AD2648" t="s">
        <v>19570</v>
      </c>
      <c r="AE2648" t="s">
        <v>19580</v>
      </c>
      <c r="AF2648">
        <v>33</v>
      </c>
      <c r="AG2648">
        <v>1</v>
      </c>
      <c r="AH2648">
        <v>0</v>
      </c>
      <c r="AI2648">
        <v>88.06999999999999</v>
      </c>
      <c r="AL2648" t="s">
        <v>19615</v>
      </c>
      <c r="AM2648">
        <v>11000</v>
      </c>
      <c r="AS2648">
        <v>1.5</v>
      </c>
      <c r="AT2648" t="s">
        <v>270</v>
      </c>
      <c r="AU2648" t="s">
        <v>130</v>
      </c>
      <c r="AV2648" t="s">
        <v>20733</v>
      </c>
    </row>
    <row r="2649" spans="1:48">
      <c r="A2649" s="1">
        <f>HYPERLINK("https://lsnyc.legalserver.org/matter/dynamic-profile/view/1905718","19-1905718")</f>
        <v>0</v>
      </c>
      <c r="B2649" t="s">
        <v>78</v>
      </c>
      <c r="C2649" t="s">
        <v>256</v>
      </c>
      <c r="D2649" t="s">
        <v>328</v>
      </c>
      <c r="F2649" t="s">
        <v>2291</v>
      </c>
      <c r="G2649" t="s">
        <v>4511</v>
      </c>
      <c r="H2649" t="s">
        <v>5815</v>
      </c>
      <c r="I2649" t="s">
        <v>8112</v>
      </c>
      <c r="J2649" t="s">
        <v>9059</v>
      </c>
      <c r="K2649">
        <v>11212</v>
      </c>
      <c r="L2649" t="s">
        <v>9094</v>
      </c>
      <c r="M2649" t="s">
        <v>9095</v>
      </c>
      <c r="N2649" t="s">
        <v>9184</v>
      </c>
      <c r="O2649" t="s">
        <v>11132</v>
      </c>
      <c r="P2649" t="s">
        <v>11167</v>
      </c>
      <c r="R2649" t="s">
        <v>11180</v>
      </c>
      <c r="S2649" t="s">
        <v>9094</v>
      </c>
      <c r="T2649" t="s">
        <v>11186</v>
      </c>
      <c r="U2649" t="s">
        <v>11201</v>
      </c>
      <c r="V2649" t="s">
        <v>512</v>
      </c>
      <c r="W2649">
        <v>0</v>
      </c>
      <c r="X2649" t="s">
        <v>11332</v>
      </c>
      <c r="Y2649" t="s">
        <v>11339</v>
      </c>
      <c r="Z2649" t="s">
        <v>13165</v>
      </c>
      <c r="AA2649" t="s">
        <v>9144</v>
      </c>
      <c r="AB2649" t="s">
        <v>17524</v>
      </c>
      <c r="AC2649">
        <v>23</v>
      </c>
      <c r="AD2649" t="s">
        <v>19566</v>
      </c>
      <c r="AE2649" t="s">
        <v>9144</v>
      </c>
      <c r="AF2649">
        <v>0</v>
      </c>
      <c r="AG2649">
        <v>1</v>
      </c>
      <c r="AH2649">
        <v>0</v>
      </c>
      <c r="AI2649">
        <v>88.29000000000001</v>
      </c>
      <c r="AL2649" t="s">
        <v>19614</v>
      </c>
      <c r="AM2649">
        <v>11028</v>
      </c>
      <c r="AN2649" t="s">
        <v>19892</v>
      </c>
      <c r="AS2649">
        <v>2.5</v>
      </c>
      <c r="AT2649" t="s">
        <v>703</v>
      </c>
      <c r="AU2649" t="s">
        <v>79</v>
      </c>
      <c r="AV2649" t="s">
        <v>20733</v>
      </c>
    </row>
    <row r="2650" spans="1:48">
      <c r="A2650" s="1">
        <f>HYPERLINK("https://lsnyc.legalserver.org/matter/dynamic-profile/view/1901391","19-1901391")</f>
        <v>0</v>
      </c>
      <c r="B2650" t="s">
        <v>165</v>
      </c>
      <c r="C2650" t="s">
        <v>256</v>
      </c>
      <c r="D2650" t="s">
        <v>471</v>
      </c>
      <c r="F2650" t="s">
        <v>2291</v>
      </c>
      <c r="G2650" t="s">
        <v>4511</v>
      </c>
      <c r="H2650" t="s">
        <v>5815</v>
      </c>
      <c r="I2650" t="s">
        <v>8112</v>
      </c>
      <c r="J2650" t="s">
        <v>9059</v>
      </c>
      <c r="K2650">
        <v>11212</v>
      </c>
      <c r="L2650" t="s">
        <v>9094</v>
      </c>
      <c r="M2650" t="s">
        <v>9095</v>
      </c>
      <c r="N2650" t="s">
        <v>10142</v>
      </c>
      <c r="O2650" t="s">
        <v>11129</v>
      </c>
      <c r="P2650" t="s">
        <v>11165</v>
      </c>
      <c r="R2650" t="s">
        <v>11180</v>
      </c>
      <c r="S2650" t="s">
        <v>9096</v>
      </c>
      <c r="T2650" t="s">
        <v>11183</v>
      </c>
      <c r="U2650" t="s">
        <v>11201</v>
      </c>
      <c r="V2650" t="s">
        <v>471</v>
      </c>
      <c r="W2650">
        <v>0</v>
      </c>
      <c r="X2650" t="s">
        <v>11332</v>
      </c>
      <c r="Y2650" t="s">
        <v>11339</v>
      </c>
      <c r="Z2650" t="s">
        <v>13165</v>
      </c>
      <c r="AB2650" t="s">
        <v>17524</v>
      </c>
      <c r="AC2650">
        <v>23</v>
      </c>
      <c r="AD2650" t="s">
        <v>19566</v>
      </c>
      <c r="AE2650" t="s">
        <v>9144</v>
      </c>
      <c r="AF2650">
        <v>0</v>
      </c>
      <c r="AG2650">
        <v>1</v>
      </c>
      <c r="AH2650">
        <v>0</v>
      </c>
      <c r="AI2650">
        <v>88.29000000000001</v>
      </c>
      <c r="AL2650" t="s">
        <v>19614</v>
      </c>
      <c r="AM2650">
        <v>11028</v>
      </c>
      <c r="AN2650" t="s">
        <v>19893</v>
      </c>
      <c r="AS2650">
        <v>11.9</v>
      </c>
      <c r="AT2650" t="s">
        <v>377</v>
      </c>
      <c r="AU2650" t="s">
        <v>95</v>
      </c>
      <c r="AV2650" t="s">
        <v>20733</v>
      </c>
    </row>
    <row r="2651" spans="1:48">
      <c r="A2651" s="1">
        <f>HYPERLINK("https://lsnyc.legalserver.org/matter/dynamic-profile/view/1901098","19-1901098")</f>
        <v>0</v>
      </c>
      <c r="B2651" t="s">
        <v>76</v>
      </c>
      <c r="C2651" t="s">
        <v>256</v>
      </c>
      <c r="D2651" t="s">
        <v>394</v>
      </c>
      <c r="F2651" t="s">
        <v>2291</v>
      </c>
      <c r="G2651" t="s">
        <v>4511</v>
      </c>
      <c r="H2651" t="s">
        <v>5815</v>
      </c>
      <c r="I2651" t="s">
        <v>8112</v>
      </c>
      <c r="J2651" t="s">
        <v>9059</v>
      </c>
      <c r="K2651">
        <v>11212</v>
      </c>
      <c r="L2651" t="s">
        <v>9094</v>
      </c>
      <c r="M2651" t="s">
        <v>9095</v>
      </c>
      <c r="N2651" t="s">
        <v>9192</v>
      </c>
      <c r="P2651" t="s">
        <v>11170</v>
      </c>
      <c r="R2651" t="s">
        <v>11180</v>
      </c>
      <c r="S2651" t="s">
        <v>9094</v>
      </c>
      <c r="T2651" t="s">
        <v>11185</v>
      </c>
      <c r="U2651" t="s">
        <v>11201</v>
      </c>
      <c r="V2651" t="s">
        <v>264</v>
      </c>
      <c r="W2651">
        <v>0</v>
      </c>
      <c r="X2651" t="s">
        <v>11332</v>
      </c>
      <c r="Y2651" t="s">
        <v>11339</v>
      </c>
      <c r="Z2651" t="s">
        <v>13165</v>
      </c>
      <c r="AB2651" t="s">
        <v>17524</v>
      </c>
      <c r="AC2651">
        <v>23</v>
      </c>
      <c r="AD2651" t="s">
        <v>19566</v>
      </c>
      <c r="AE2651" t="s">
        <v>9144</v>
      </c>
      <c r="AF2651">
        <v>0</v>
      </c>
      <c r="AG2651">
        <v>1</v>
      </c>
      <c r="AH2651">
        <v>0</v>
      </c>
      <c r="AI2651">
        <v>88.29000000000001</v>
      </c>
      <c r="AL2651" t="s">
        <v>19614</v>
      </c>
      <c r="AM2651">
        <v>11028</v>
      </c>
      <c r="AS2651">
        <v>0</v>
      </c>
      <c r="AU2651" t="s">
        <v>95</v>
      </c>
      <c r="AV2651" t="s">
        <v>20733</v>
      </c>
    </row>
    <row r="2652" spans="1:48">
      <c r="A2652" s="1">
        <f>HYPERLINK("https://lsnyc.legalserver.org/matter/dynamic-profile/view/1863308","18-1863308")</f>
        <v>0</v>
      </c>
      <c r="B2652" t="s">
        <v>86</v>
      </c>
      <c r="C2652" t="s">
        <v>256</v>
      </c>
      <c r="D2652" t="s">
        <v>693</v>
      </c>
      <c r="F2652" t="s">
        <v>2292</v>
      </c>
      <c r="G2652" t="s">
        <v>3411</v>
      </c>
      <c r="H2652" t="s">
        <v>5778</v>
      </c>
      <c r="I2652" t="s">
        <v>8199</v>
      </c>
      <c r="J2652" t="s">
        <v>9059</v>
      </c>
      <c r="K2652">
        <v>11226</v>
      </c>
      <c r="L2652" t="s">
        <v>9094</v>
      </c>
      <c r="M2652" t="s">
        <v>9094</v>
      </c>
      <c r="O2652" t="s">
        <v>11136</v>
      </c>
      <c r="P2652" t="s">
        <v>11165</v>
      </c>
      <c r="R2652" t="s">
        <v>11180</v>
      </c>
      <c r="S2652" t="s">
        <v>9094</v>
      </c>
      <c r="T2652" t="s">
        <v>11183</v>
      </c>
      <c r="V2652" t="s">
        <v>723</v>
      </c>
      <c r="W2652">
        <v>1800</v>
      </c>
      <c r="X2652" t="s">
        <v>11332</v>
      </c>
      <c r="Y2652" t="s">
        <v>11340</v>
      </c>
      <c r="Z2652" t="s">
        <v>13166</v>
      </c>
      <c r="AB2652" t="s">
        <v>17525</v>
      </c>
      <c r="AC2652">
        <v>65</v>
      </c>
      <c r="AE2652" t="s">
        <v>19580</v>
      </c>
      <c r="AF2652">
        <v>15</v>
      </c>
      <c r="AG2652">
        <v>2</v>
      </c>
      <c r="AH2652">
        <v>0</v>
      </c>
      <c r="AI2652">
        <v>88.36</v>
      </c>
      <c r="AL2652" t="s">
        <v>19614</v>
      </c>
      <c r="AM2652">
        <v>14544</v>
      </c>
      <c r="AS2652">
        <v>3</v>
      </c>
      <c r="AT2652" t="s">
        <v>806</v>
      </c>
      <c r="AU2652" t="s">
        <v>20630</v>
      </c>
    </row>
    <row r="2653" spans="1:48">
      <c r="A2653" s="1">
        <f>HYPERLINK("https://lsnyc.legalserver.org/matter/dynamic-profile/view/0779699","15-0779699")</f>
        <v>0</v>
      </c>
      <c r="B2653" t="s">
        <v>75</v>
      </c>
      <c r="C2653" t="s">
        <v>257</v>
      </c>
      <c r="D2653" t="s">
        <v>952</v>
      </c>
      <c r="E2653" t="s">
        <v>867</v>
      </c>
      <c r="F2653" t="s">
        <v>1264</v>
      </c>
      <c r="G2653" t="s">
        <v>4262</v>
      </c>
      <c r="H2653" t="s">
        <v>6735</v>
      </c>
      <c r="I2653">
        <v>23</v>
      </c>
      <c r="J2653" t="s">
        <v>9059</v>
      </c>
      <c r="K2653">
        <v>11225</v>
      </c>
      <c r="L2653" t="s">
        <v>9094</v>
      </c>
      <c r="M2653" t="s">
        <v>9095</v>
      </c>
      <c r="N2653" t="s">
        <v>10143</v>
      </c>
      <c r="O2653" t="s">
        <v>11128</v>
      </c>
      <c r="P2653" t="s">
        <v>11168</v>
      </c>
      <c r="Q2653" t="s">
        <v>11174</v>
      </c>
      <c r="R2653" t="s">
        <v>11180</v>
      </c>
      <c r="T2653" t="s">
        <v>11183</v>
      </c>
      <c r="V2653" t="s">
        <v>952</v>
      </c>
      <c r="W2653">
        <v>683.22</v>
      </c>
      <c r="X2653" t="s">
        <v>11332</v>
      </c>
      <c r="Z2653" t="s">
        <v>12715</v>
      </c>
      <c r="AB2653" t="s">
        <v>17093</v>
      </c>
      <c r="AC2653">
        <v>0</v>
      </c>
      <c r="AD2653" t="s">
        <v>19569</v>
      </c>
      <c r="AF2653">
        <v>38</v>
      </c>
      <c r="AG2653">
        <v>1</v>
      </c>
      <c r="AH2653">
        <v>0</v>
      </c>
      <c r="AI2653">
        <v>88.36</v>
      </c>
      <c r="AL2653" t="s">
        <v>19615</v>
      </c>
      <c r="AM2653">
        <v>10400</v>
      </c>
      <c r="AN2653" t="s">
        <v>19894</v>
      </c>
      <c r="AS2653">
        <v>47.15</v>
      </c>
      <c r="AT2653" t="s">
        <v>867</v>
      </c>
      <c r="AU2653" t="s">
        <v>20715</v>
      </c>
      <c r="AV2653" t="s">
        <v>20734</v>
      </c>
    </row>
    <row r="2654" spans="1:48">
      <c r="A2654" s="1">
        <f>HYPERLINK("https://lsnyc.legalserver.org/matter/dynamic-profile/view/1835508","17-1835508")</f>
        <v>0</v>
      </c>
      <c r="B2654" t="s">
        <v>204</v>
      </c>
      <c r="C2654" t="s">
        <v>256</v>
      </c>
      <c r="D2654" t="s">
        <v>953</v>
      </c>
      <c r="F2654" t="s">
        <v>2293</v>
      </c>
      <c r="G2654" t="s">
        <v>4512</v>
      </c>
      <c r="H2654" t="s">
        <v>7034</v>
      </c>
      <c r="I2654" t="s">
        <v>8639</v>
      </c>
      <c r="J2654" t="s">
        <v>9059</v>
      </c>
      <c r="K2654">
        <v>11216</v>
      </c>
      <c r="L2654" t="s">
        <v>9094</v>
      </c>
      <c r="M2654" t="s">
        <v>9095</v>
      </c>
      <c r="P2654" t="s">
        <v>11168</v>
      </c>
      <c r="R2654" t="s">
        <v>11180</v>
      </c>
      <c r="T2654" t="s">
        <v>11183</v>
      </c>
      <c r="V2654" t="s">
        <v>734</v>
      </c>
      <c r="W2654">
        <v>0</v>
      </c>
      <c r="X2654" t="s">
        <v>11332</v>
      </c>
      <c r="Z2654" t="s">
        <v>13167</v>
      </c>
      <c r="AB2654" t="s">
        <v>17526</v>
      </c>
      <c r="AC2654">
        <v>6</v>
      </c>
      <c r="AF2654">
        <v>0</v>
      </c>
      <c r="AG2654">
        <v>1</v>
      </c>
      <c r="AH2654">
        <v>0</v>
      </c>
      <c r="AI2654">
        <v>88.36</v>
      </c>
      <c r="AL2654" t="s">
        <v>19614</v>
      </c>
      <c r="AM2654">
        <v>10656</v>
      </c>
      <c r="AS2654">
        <v>17.75</v>
      </c>
      <c r="AT2654" t="s">
        <v>301</v>
      </c>
      <c r="AU2654" t="s">
        <v>20678</v>
      </c>
    </row>
    <row r="2655" spans="1:48">
      <c r="A2655" s="1">
        <f>HYPERLINK("https://lsnyc.legalserver.org/matter/dynamic-profile/view/1869424","18-1869424")</f>
        <v>0</v>
      </c>
      <c r="B2655" t="s">
        <v>78</v>
      </c>
      <c r="C2655" t="s">
        <v>256</v>
      </c>
      <c r="D2655" t="s">
        <v>332</v>
      </c>
      <c r="F2655" t="s">
        <v>1201</v>
      </c>
      <c r="G2655" t="s">
        <v>4513</v>
      </c>
      <c r="H2655" t="s">
        <v>5759</v>
      </c>
      <c r="I2655" t="s">
        <v>8128</v>
      </c>
      <c r="J2655" t="s">
        <v>9059</v>
      </c>
      <c r="K2655">
        <v>11233</v>
      </c>
      <c r="L2655" t="s">
        <v>9094</v>
      </c>
      <c r="M2655" t="s">
        <v>9095</v>
      </c>
      <c r="O2655" t="s">
        <v>11137</v>
      </c>
      <c r="P2655" t="s">
        <v>11167</v>
      </c>
      <c r="R2655" t="s">
        <v>11180</v>
      </c>
      <c r="S2655" t="s">
        <v>9094</v>
      </c>
      <c r="T2655" t="s">
        <v>11183</v>
      </c>
      <c r="V2655" t="s">
        <v>975</v>
      </c>
      <c r="W2655">
        <v>950</v>
      </c>
      <c r="X2655" t="s">
        <v>11332</v>
      </c>
      <c r="Y2655" t="s">
        <v>11340</v>
      </c>
      <c r="Z2655" t="s">
        <v>13168</v>
      </c>
      <c r="AB2655" t="s">
        <v>17527</v>
      </c>
      <c r="AC2655">
        <v>11</v>
      </c>
      <c r="AD2655" t="s">
        <v>19566</v>
      </c>
      <c r="AE2655" t="s">
        <v>9144</v>
      </c>
      <c r="AF2655">
        <v>23</v>
      </c>
      <c r="AG2655">
        <v>3</v>
      </c>
      <c r="AH2655">
        <v>2</v>
      </c>
      <c r="AI2655">
        <v>88.38</v>
      </c>
      <c r="AL2655" t="s">
        <v>19614</v>
      </c>
      <c r="AM2655">
        <v>26000</v>
      </c>
      <c r="AS2655">
        <v>0</v>
      </c>
      <c r="AU2655" t="s">
        <v>95</v>
      </c>
    </row>
    <row r="2656" spans="1:48">
      <c r="A2656" s="1">
        <f>HYPERLINK("https://lsnyc.legalserver.org/matter/dynamic-profile/view/1880650","18-1880650")</f>
        <v>0</v>
      </c>
      <c r="B2656" t="s">
        <v>60</v>
      </c>
      <c r="C2656" t="s">
        <v>256</v>
      </c>
      <c r="D2656" t="s">
        <v>477</v>
      </c>
      <c r="F2656" t="s">
        <v>2294</v>
      </c>
      <c r="G2656" t="s">
        <v>4514</v>
      </c>
      <c r="H2656" t="s">
        <v>7035</v>
      </c>
      <c r="I2656">
        <v>14</v>
      </c>
      <c r="J2656" t="s">
        <v>9064</v>
      </c>
      <c r="K2656">
        <v>11101</v>
      </c>
      <c r="L2656" t="s">
        <v>9094</v>
      </c>
      <c r="M2656" t="s">
        <v>9094</v>
      </c>
      <c r="N2656" t="s">
        <v>10144</v>
      </c>
      <c r="O2656" t="s">
        <v>11129</v>
      </c>
      <c r="P2656" t="s">
        <v>11165</v>
      </c>
      <c r="R2656" t="s">
        <v>11180</v>
      </c>
      <c r="S2656" t="s">
        <v>9096</v>
      </c>
      <c r="T2656" t="s">
        <v>11183</v>
      </c>
      <c r="U2656" t="s">
        <v>11200</v>
      </c>
      <c r="V2656" t="s">
        <v>477</v>
      </c>
      <c r="W2656">
        <v>2000</v>
      </c>
      <c r="X2656" t="s">
        <v>11331</v>
      </c>
      <c r="Y2656" t="s">
        <v>11336</v>
      </c>
      <c r="Z2656" t="s">
        <v>13169</v>
      </c>
      <c r="AA2656" t="s">
        <v>15728</v>
      </c>
      <c r="AB2656" t="s">
        <v>17528</v>
      </c>
      <c r="AC2656">
        <v>18</v>
      </c>
      <c r="AD2656" t="s">
        <v>19566</v>
      </c>
      <c r="AE2656" t="s">
        <v>9144</v>
      </c>
      <c r="AF2656">
        <v>5</v>
      </c>
      <c r="AG2656">
        <v>2</v>
      </c>
      <c r="AH2656">
        <v>3</v>
      </c>
      <c r="AI2656">
        <v>88.38</v>
      </c>
      <c r="AL2656" t="s">
        <v>19614</v>
      </c>
      <c r="AM2656">
        <v>26000</v>
      </c>
      <c r="AO2656" t="s">
        <v>20293</v>
      </c>
      <c r="AP2656" t="s">
        <v>20309</v>
      </c>
      <c r="AQ2656" t="s">
        <v>20368</v>
      </c>
      <c r="AR2656" t="s">
        <v>20502</v>
      </c>
      <c r="AS2656">
        <v>3.6</v>
      </c>
      <c r="AT2656" t="s">
        <v>407</v>
      </c>
      <c r="AU2656" t="s">
        <v>81</v>
      </c>
    </row>
    <row r="2657" spans="1:48">
      <c r="A2657" s="1">
        <f>HYPERLINK("https://lsnyc.legalserver.org/matter/dynamic-profile/view/1903017","19-1903017")</f>
        <v>0</v>
      </c>
      <c r="B2657" t="s">
        <v>136</v>
      </c>
      <c r="C2657" t="s">
        <v>256</v>
      </c>
      <c r="D2657" t="s">
        <v>403</v>
      </c>
      <c r="F2657" t="s">
        <v>1146</v>
      </c>
      <c r="G2657" t="s">
        <v>3601</v>
      </c>
      <c r="H2657" t="s">
        <v>5961</v>
      </c>
      <c r="I2657">
        <v>409</v>
      </c>
      <c r="J2657" t="s">
        <v>9067</v>
      </c>
      <c r="K2657">
        <v>10029</v>
      </c>
      <c r="L2657" t="s">
        <v>9094</v>
      </c>
      <c r="M2657" t="s">
        <v>9095</v>
      </c>
      <c r="O2657" t="s">
        <v>11130</v>
      </c>
      <c r="P2657" t="s">
        <v>11165</v>
      </c>
      <c r="R2657" t="s">
        <v>11180</v>
      </c>
      <c r="S2657" t="s">
        <v>9094</v>
      </c>
      <c r="T2657" t="s">
        <v>11183</v>
      </c>
      <c r="U2657" t="s">
        <v>11201</v>
      </c>
      <c r="V2657" t="s">
        <v>760</v>
      </c>
      <c r="W2657">
        <v>271</v>
      </c>
      <c r="X2657" t="s">
        <v>11335</v>
      </c>
      <c r="Y2657" t="s">
        <v>11340</v>
      </c>
      <c r="Z2657" t="s">
        <v>11676</v>
      </c>
      <c r="AB2657" t="s">
        <v>16150</v>
      </c>
      <c r="AC2657">
        <v>108</v>
      </c>
      <c r="AD2657" t="s">
        <v>19567</v>
      </c>
      <c r="AE2657" t="s">
        <v>19580</v>
      </c>
      <c r="AF2657">
        <v>30</v>
      </c>
      <c r="AG2657">
        <v>1</v>
      </c>
      <c r="AH2657">
        <v>0</v>
      </c>
      <c r="AI2657">
        <v>88.39</v>
      </c>
      <c r="AL2657" t="s">
        <v>19615</v>
      </c>
      <c r="AM2657">
        <v>11040</v>
      </c>
      <c r="AS2657">
        <v>0.5</v>
      </c>
      <c r="AT2657" t="s">
        <v>497</v>
      </c>
      <c r="AU2657" t="s">
        <v>20657</v>
      </c>
      <c r="AV2657" t="s">
        <v>20733</v>
      </c>
    </row>
    <row r="2658" spans="1:48">
      <c r="A2658" s="1">
        <f>HYPERLINK("https://lsnyc.legalserver.org/matter/dynamic-profile/view/1914570","19-1914570")</f>
        <v>0</v>
      </c>
      <c r="B2658" t="s">
        <v>135</v>
      </c>
      <c r="C2658" t="s">
        <v>257</v>
      </c>
      <c r="D2658" t="s">
        <v>612</v>
      </c>
      <c r="E2658" t="s">
        <v>1130</v>
      </c>
      <c r="F2658" t="s">
        <v>1227</v>
      </c>
      <c r="G2658" t="s">
        <v>4038</v>
      </c>
      <c r="H2658" t="s">
        <v>7036</v>
      </c>
      <c r="I2658" t="s">
        <v>8151</v>
      </c>
      <c r="J2658" t="s">
        <v>9067</v>
      </c>
      <c r="K2658">
        <v>10029</v>
      </c>
      <c r="L2658" t="s">
        <v>9094</v>
      </c>
      <c r="M2658" t="s">
        <v>9095</v>
      </c>
      <c r="O2658" t="s">
        <v>9121</v>
      </c>
      <c r="P2658" t="s">
        <v>11169</v>
      </c>
      <c r="Q2658" t="s">
        <v>11172</v>
      </c>
      <c r="R2658" t="s">
        <v>11180</v>
      </c>
      <c r="S2658" t="s">
        <v>9096</v>
      </c>
      <c r="T2658" t="s">
        <v>11183</v>
      </c>
      <c r="U2658" t="s">
        <v>11201</v>
      </c>
      <c r="V2658" t="s">
        <v>612</v>
      </c>
      <c r="W2658">
        <v>1500</v>
      </c>
      <c r="X2658" t="s">
        <v>11335</v>
      </c>
      <c r="Y2658" t="s">
        <v>11157</v>
      </c>
      <c r="Z2658" t="s">
        <v>13170</v>
      </c>
      <c r="AB2658" t="s">
        <v>15274</v>
      </c>
      <c r="AC2658">
        <v>20</v>
      </c>
      <c r="AD2658" t="s">
        <v>19575</v>
      </c>
      <c r="AF2658">
        <v>6</v>
      </c>
      <c r="AG2658">
        <v>1</v>
      </c>
      <c r="AH2658">
        <v>0</v>
      </c>
      <c r="AI2658">
        <v>88.39</v>
      </c>
      <c r="AL2658" t="s">
        <v>19614</v>
      </c>
      <c r="AM2658">
        <v>11040</v>
      </c>
      <c r="AS2658">
        <v>4.75</v>
      </c>
      <c r="AT2658" t="s">
        <v>321</v>
      </c>
      <c r="AU2658" t="s">
        <v>20668</v>
      </c>
      <c r="AV2658" t="s">
        <v>20733</v>
      </c>
    </row>
    <row r="2659" spans="1:48">
      <c r="A2659" s="1">
        <f>HYPERLINK("https://lsnyc.legalserver.org/matter/dynamic-profile/view/1915376","19-1915376")</f>
        <v>0</v>
      </c>
      <c r="B2659" t="s">
        <v>135</v>
      </c>
      <c r="C2659" t="s">
        <v>256</v>
      </c>
      <c r="D2659" t="s">
        <v>487</v>
      </c>
      <c r="F2659" t="s">
        <v>1227</v>
      </c>
      <c r="G2659" t="s">
        <v>4038</v>
      </c>
      <c r="H2659" t="s">
        <v>7036</v>
      </c>
      <c r="I2659" t="s">
        <v>8151</v>
      </c>
      <c r="J2659" t="s">
        <v>9067</v>
      </c>
      <c r="K2659">
        <v>10029</v>
      </c>
      <c r="L2659" t="s">
        <v>9094</v>
      </c>
      <c r="M2659" t="s">
        <v>9095</v>
      </c>
      <c r="O2659" t="s">
        <v>9121</v>
      </c>
      <c r="P2659" t="s">
        <v>11167</v>
      </c>
      <c r="R2659" t="s">
        <v>11180</v>
      </c>
      <c r="S2659" t="s">
        <v>9096</v>
      </c>
      <c r="T2659" t="s">
        <v>11183</v>
      </c>
      <c r="U2659" t="s">
        <v>11201</v>
      </c>
      <c r="V2659" t="s">
        <v>487</v>
      </c>
      <c r="W2659">
        <v>1500</v>
      </c>
      <c r="X2659" t="s">
        <v>11335</v>
      </c>
      <c r="Y2659" t="s">
        <v>11157</v>
      </c>
      <c r="Z2659" t="s">
        <v>13170</v>
      </c>
      <c r="AB2659" t="s">
        <v>15274</v>
      </c>
      <c r="AC2659">
        <v>20</v>
      </c>
      <c r="AD2659" t="s">
        <v>19575</v>
      </c>
      <c r="AE2659" t="s">
        <v>19589</v>
      </c>
      <c r="AF2659">
        <v>6</v>
      </c>
      <c r="AG2659">
        <v>1</v>
      </c>
      <c r="AH2659">
        <v>0</v>
      </c>
      <c r="AI2659">
        <v>88.39</v>
      </c>
      <c r="AL2659" t="s">
        <v>19614</v>
      </c>
      <c r="AM2659">
        <v>11040</v>
      </c>
      <c r="AS2659">
        <v>1</v>
      </c>
      <c r="AT2659" t="s">
        <v>487</v>
      </c>
      <c r="AU2659" t="s">
        <v>20657</v>
      </c>
      <c r="AV2659" t="s">
        <v>20733</v>
      </c>
    </row>
    <row r="2660" spans="1:48">
      <c r="A2660" s="1">
        <f>HYPERLINK("https://lsnyc.legalserver.org/matter/dynamic-profile/view/1869373","18-1869373")</f>
        <v>0</v>
      </c>
      <c r="B2660" t="s">
        <v>119</v>
      </c>
      <c r="C2660" t="s">
        <v>256</v>
      </c>
      <c r="D2660" t="s">
        <v>332</v>
      </c>
      <c r="F2660" t="s">
        <v>1780</v>
      </c>
      <c r="G2660" t="s">
        <v>4024</v>
      </c>
      <c r="H2660" t="s">
        <v>6014</v>
      </c>
      <c r="I2660" t="s">
        <v>8283</v>
      </c>
      <c r="J2660" t="s">
        <v>9065</v>
      </c>
      <c r="K2660">
        <v>10453</v>
      </c>
      <c r="L2660" t="s">
        <v>9094</v>
      </c>
      <c r="M2660" t="s">
        <v>9095</v>
      </c>
      <c r="N2660" t="s">
        <v>10145</v>
      </c>
      <c r="O2660" t="s">
        <v>11129</v>
      </c>
      <c r="P2660" t="s">
        <v>11165</v>
      </c>
      <c r="R2660" t="s">
        <v>11180</v>
      </c>
      <c r="S2660" t="s">
        <v>9096</v>
      </c>
      <c r="T2660" t="s">
        <v>11183</v>
      </c>
      <c r="V2660" t="s">
        <v>588</v>
      </c>
      <c r="W2660">
        <v>1450</v>
      </c>
      <c r="X2660" t="s">
        <v>11333</v>
      </c>
      <c r="Y2660" t="s">
        <v>11349</v>
      </c>
      <c r="Z2660" t="s">
        <v>13171</v>
      </c>
      <c r="AA2660" t="s">
        <v>15729</v>
      </c>
      <c r="AB2660" t="s">
        <v>17529</v>
      </c>
      <c r="AC2660">
        <v>55</v>
      </c>
      <c r="AD2660" t="s">
        <v>19566</v>
      </c>
      <c r="AE2660" t="s">
        <v>9144</v>
      </c>
      <c r="AF2660">
        <v>1</v>
      </c>
      <c r="AG2660">
        <v>1</v>
      </c>
      <c r="AH2660">
        <v>1</v>
      </c>
      <c r="AI2660">
        <v>88.45999999999999</v>
      </c>
      <c r="AM2660">
        <v>14560</v>
      </c>
      <c r="AS2660">
        <v>7.6</v>
      </c>
      <c r="AT2660" t="s">
        <v>664</v>
      </c>
      <c r="AU2660" t="s">
        <v>20642</v>
      </c>
    </row>
    <row r="2661" spans="1:48">
      <c r="A2661" s="1">
        <f>HYPERLINK("https://lsnyc.legalserver.org/matter/dynamic-profile/view/1841599","17-1841599")</f>
        <v>0</v>
      </c>
      <c r="B2661" t="s">
        <v>108</v>
      </c>
      <c r="C2661" t="s">
        <v>256</v>
      </c>
      <c r="D2661" t="s">
        <v>885</v>
      </c>
      <c r="F2661" t="s">
        <v>1854</v>
      </c>
      <c r="G2661" t="s">
        <v>4515</v>
      </c>
      <c r="H2661" t="s">
        <v>6515</v>
      </c>
      <c r="I2661" t="s">
        <v>8640</v>
      </c>
      <c r="J2661" t="s">
        <v>9065</v>
      </c>
      <c r="K2661">
        <v>10453</v>
      </c>
      <c r="L2661" t="s">
        <v>9094</v>
      </c>
      <c r="M2661" t="s">
        <v>9095</v>
      </c>
      <c r="N2661" t="s">
        <v>10146</v>
      </c>
      <c r="O2661" t="s">
        <v>11151</v>
      </c>
      <c r="P2661" t="s">
        <v>11166</v>
      </c>
      <c r="R2661" t="s">
        <v>11180</v>
      </c>
      <c r="S2661" t="s">
        <v>9096</v>
      </c>
      <c r="T2661" t="s">
        <v>11183</v>
      </c>
      <c r="V2661" t="s">
        <v>765</v>
      </c>
      <c r="W2661">
        <v>1600</v>
      </c>
      <c r="X2661" t="s">
        <v>11333</v>
      </c>
      <c r="Y2661" t="s">
        <v>11349</v>
      </c>
      <c r="Z2661" t="s">
        <v>13172</v>
      </c>
      <c r="AB2661" t="s">
        <v>17530</v>
      </c>
      <c r="AC2661">
        <v>8270</v>
      </c>
      <c r="AD2661" t="s">
        <v>19566</v>
      </c>
      <c r="AE2661" t="s">
        <v>19580</v>
      </c>
      <c r="AF2661">
        <v>8</v>
      </c>
      <c r="AG2661">
        <v>1</v>
      </c>
      <c r="AH2661">
        <v>0</v>
      </c>
      <c r="AI2661">
        <v>88.56</v>
      </c>
      <c r="AL2661" t="s">
        <v>19614</v>
      </c>
      <c r="AM2661">
        <v>10680</v>
      </c>
      <c r="AS2661">
        <v>4.3</v>
      </c>
      <c r="AT2661" t="s">
        <v>611</v>
      </c>
      <c r="AU2661" t="s">
        <v>20629</v>
      </c>
    </row>
    <row r="2662" spans="1:48">
      <c r="A2662" s="1">
        <f>HYPERLINK("https://lsnyc.legalserver.org/matter/dynamic-profile/view/1900587","19-1900587")</f>
        <v>0</v>
      </c>
      <c r="B2662" t="s">
        <v>144</v>
      </c>
      <c r="C2662" t="s">
        <v>256</v>
      </c>
      <c r="D2662" t="s">
        <v>283</v>
      </c>
      <c r="F2662" t="s">
        <v>2295</v>
      </c>
      <c r="G2662" t="s">
        <v>4516</v>
      </c>
      <c r="H2662" t="s">
        <v>7037</v>
      </c>
      <c r="J2662" t="s">
        <v>9059</v>
      </c>
      <c r="K2662">
        <v>11219</v>
      </c>
      <c r="L2662" t="s">
        <v>9094</v>
      </c>
      <c r="M2662" t="s">
        <v>9095</v>
      </c>
      <c r="O2662" t="s">
        <v>9121</v>
      </c>
      <c r="P2662" t="s">
        <v>11167</v>
      </c>
      <c r="R2662" t="s">
        <v>11180</v>
      </c>
      <c r="S2662" t="s">
        <v>9096</v>
      </c>
      <c r="T2662" t="s">
        <v>11183</v>
      </c>
      <c r="V2662" t="s">
        <v>283</v>
      </c>
      <c r="W2662">
        <v>0</v>
      </c>
      <c r="X2662" t="s">
        <v>11335</v>
      </c>
      <c r="Y2662" t="s">
        <v>11339</v>
      </c>
      <c r="Z2662" t="s">
        <v>13173</v>
      </c>
      <c r="AC2662">
        <v>0</v>
      </c>
      <c r="AD2662" t="s">
        <v>15441</v>
      </c>
      <c r="AE2662" t="s">
        <v>9144</v>
      </c>
      <c r="AF2662">
        <v>0</v>
      </c>
      <c r="AG2662">
        <v>2</v>
      </c>
      <c r="AH2662">
        <v>0</v>
      </c>
      <c r="AI2662">
        <v>88.63</v>
      </c>
      <c r="AL2662" t="s">
        <v>19628</v>
      </c>
      <c r="AM2662">
        <v>14988</v>
      </c>
      <c r="AS2662">
        <v>0</v>
      </c>
      <c r="AU2662" t="s">
        <v>20655</v>
      </c>
      <c r="AV2662" t="s">
        <v>20733</v>
      </c>
    </row>
    <row r="2663" spans="1:48">
      <c r="A2663" s="1">
        <f>HYPERLINK("https://lsnyc.legalserver.org/matter/dynamic-profile/view/1864136","18-1864136")</f>
        <v>0</v>
      </c>
      <c r="B2663" t="s">
        <v>136</v>
      </c>
      <c r="C2663" t="s">
        <v>256</v>
      </c>
      <c r="D2663" t="s">
        <v>505</v>
      </c>
      <c r="F2663" t="s">
        <v>2296</v>
      </c>
      <c r="G2663" t="s">
        <v>3498</v>
      </c>
      <c r="H2663" t="s">
        <v>5961</v>
      </c>
      <c r="I2663">
        <v>514</v>
      </c>
      <c r="J2663" t="s">
        <v>9067</v>
      </c>
      <c r="K2663">
        <v>10029</v>
      </c>
      <c r="L2663" t="s">
        <v>9094</v>
      </c>
      <c r="M2663" t="s">
        <v>9094</v>
      </c>
      <c r="N2663" t="s">
        <v>9287</v>
      </c>
      <c r="O2663" t="s">
        <v>11130</v>
      </c>
      <c r="P2663" t="s">
        <v>11165</v>
      </c>
      <c r="R2663" t="s">
        <v>11180</v>
      </c>
      <c r="S2663" t="s">
        <v>9094</v>
      </c>
      <c r="T2663" t="s">
        <v>11183</v>
      </c>
      <c r="U2663" t="s">
        <v>11201</v>
      </c>
      <c r="V2663" t="s">
        <v>505</v>
      </c>
      <c r="W2663">
        <v>0</v>
      </c>
      <c r="X2663" t="s">
        <v>11335</v>
      </c>
      <c r="Y2663" t="s">
        <v>11339</v>
      </c>
      <c r="Z2663" t="s">
        <v>13174</v>
      </c>
      <c r="AB2663" t="s">
        <v>17531</v>
      </c>
      <c r="AC2663">
        <v>108</v>
      </c>
      <c r="AD2663" t="s">
        <v>19567</v>
      </c>
      <c r="AE2663" t="s">
        <v>19580</v>
      </c>
      <c r="AF2663">
        <v>26</v>
      </c>
      <c r="AG2663">
        <v>1</v>
      </c>
      <c r="AH2663">
        <v>0</v>
      </c>
      <c r="AI2663">
        <v>88.67</v>
      </c>
      <c r="AL2663" t="s">
        <v>19614</v>
      </c>
      <c r="AM2663">
        <v>10764</v>
      </c>
      <c r="AS2663">
        <v>0.5</v>
      </c>
      <c r="AT2663" t="s">
        <v>289</v>
      </c>
      <c r="AU2663" t="s">
        <v>20657</v>
      </c>
    </row>
    <row r="2664" spans="1:48">
      <c r="A2664" s="1">
        <f>HYPERLINK("https://lsnyc.legalserver.org/matter/dynamic-profile/view/1909431","19-1909431")</f>
        <v>0</v>
      </c>
      <c r="B2664" t="s">
        <v>57</v>
      </c>
      <c r="C2664" t="s">
        <v>256</v>
      </c>
      <c r="D2664" t="s">
        <v>339</v>
      </c>
      <c r="F2664" t="s">
        <v>2080</v>
      </c>
      <c r="G2664" t="s">
        <v>3364</v>
      </c>
      <c r="H2664" t="s">
        <v>7038</v>
      </c>
      <c r="I2664" t="s">
        <v>8112</v>
      </c>
      <c r="J2664" t="s">
        <v>9064</v>
      </c>
      <c r="K2664">
        <v>11101</v>
      </c>
      <c r="L2664" t="s">
        <v>9094</v>
      </c>
      <c r="M2664" t="s">
        <v>9095</v>
      </c>
      <c r="N2664" t="s">
        <v>10147</v>
      </c>
      <c r="O2664" t="s">
        <v>11134</v>
      </c>
      <c r="P2664" t="s">
        <v>11167</v>
      </c>
      <c r="R2664" t="s">
        <v>11180</v>
      </c>
      <c r="S2664" t="s">
        <v>9096</v>
      </c>
      <c r="T2664" t="s">
        <v>11183</v>
      </c>
      <c r="U2664" t="s">
        <v>11201</v>
      </c>
      <c r="V2664" t="s">
        <v>339</v>
      </c>
      <c r="W2664">
        <v>0</v>
      </c>
      <c r="X2664" t="s">
        <v>11331</v>
      </c>
      <c r="Y2664" t="s">
        <v>11340</v>
      </c>
      <c r="Z2664" t="s">
        <v>12471</v>
      </c>
      <c r="AB2664" t="s">
        <v>17532</v>
      </c>
      <c r="AC2664">
        <v>45</v>
      </c>
      <c r="AF2664">
        <v>0</v>
      </c>
      <c r="AG2664">
        <v>2</v>
      </c>
      <c r="AH2664">
        <v>0</v>
      </c>
      <c r="AI2664">
        <v>88.7</v>
      </c>
      <c r="AL2664" t="s">
        <v>19614</v>
      </c>
      <c r="AM2664">
        <v>15000</v>
      </c>
      <c r="AS2664">
        <v>1.2</v>
      </c>
      <c r="AT2664" t="s">
        <v>321</v>
      </c>
      <c r="AU2664" t="s">
        <v>20620</v>
      </c>
      <c r="AV2664" t="s">
        <v>20733</v>
      </c>
    </row>
    <row r="2665" spans="1:48">
      <c r="A2665" s="1">
        <f>HYPERLINK("https://lsnyc.legalserver.org/matter/dynamic-profile/view/1882560","18-1882560")</f>
        <v>0</v>
      </c>
      <c r="B2665" t="s">
        <v>194</v>
      </c>
      <c r="C2665" t="s">
        <v>256</v>
      </c>
      <c r="D2665" t="s">
        <v>323</v>
      </c>
      <c r="F2665" t="s">
        <v>2297</v>
      </c>
      <c r="G2665" t="s">
        <v>4517</v>
      </c>
      <c r="H2665" t="s">
        <v>7039</v>
      </c>
      <c r="I2665" t="s">
        <v>8129</v>
      </c>
      <c r="J2665" t="s">
        <v>9065</v>
      </c>
      <c r="K2665">
        <v>10462</v>
      </c>
      <c r="L2665" t="s">
        <v>9094</v>
      </c>
      <c r="M2665" t="s">
        <v>9094</v>
      </c>
      <c r="O2665" t="s">
        <v>11151</v>
      </c>
      <c r="P2665" t="s">
        <v>11166</v>
      </c>
      <c r="R2665" t="s">
        <v>11180</v>
      </c>
      <c r="S2665" t="s">
        <v>9096</v>
      </c>
      <c r="T2665" t="s">
        <v>11190</v>
      </c>
      <c r="V2665" t="s">
        <v>323</v>
      </c>
      <c r="W2665">
        <v>2181</v>
      </c>
      <c r="X2665" t="s">
        <v>11333</v>
      </c>
      <c r="Y2665" t="s">
        <v>11157</v>
      </c>
      <c r="Z2665" t="s">
        <v>13175</v>
      </c>
      <c r="AB2665" t="s">
        <v>17533</v>
      </c>
      <c r="AC2665">
        <v>2</v>
      </c>
      <c r="AD2665" t="s">
        <v>19565</v>
      </c>
      <c r="AE2665" t="s">
        <v>19580</v>
      </c>
      <c r="AF2665">
        <v>2</v>
      </c>
      <c r="AG2665">
        <v>2</v>
      </c>
      <c r="AH2665">
        <v>4</v>
      </c>
      <c r="AI2665">
        <v>88.92</v>
      </c>
      <c r="AL2665" t="s">
        <v>19614</v>
      </c>
      <c r="AM2665">
        <v>60000</v>
      </c>
      <c r="AS2665">
        <v>4.35</v>
      </c>
      <c r="AT2665" t="s">
        <v>574</v>
      </c>
      <c r="AU2665" t="s">
        <v>20670</v>
      </c>
    </row>
    <row r="2666" spans="1:48">
      <c r="A2666" s="1">
        <f>HYPERLINK("https://lsnyc.legalserver.org/matter/dynamic-profile/view/1860901","18-1860901")</f>
        <v>0</v>
      </c>
      <c r="B2666" t="s">
        <v>101</v>
      </c>
      <c r="C2666" t="s">
        <v>256</v>
      </c>
      <c r="D2666" t="s">
        <v>450</v>
      </c>
      <c r="F2666" t="s">
        <v>1975</v>
      </c>
      <c r="G2666" t="s">
        <v>3220</v>
      </c>
      <c r="H2666" t="s">
        <v>5890</v>
      </c>
      <c r="I2666" t="s">
        <v>8641</v>
      </c>
      <c r="J2666" t="s">
        <v>9065</v>
      </c>
      <c r="K2666">
        <v>10453</v>
      </c>
      <c r="L2666" t="s">
        <v>9094</v>
      </c>
      <c r="M2666" t="s">
        <v>9095</v>
      </c>
      <c r="N2666" t="s">
        <v>9242</v>
      </c>
      <c r="O2666" t="s">
        <v>11130</v>
      </c>
      <c r="P2666" t="s">
        <v>11165</v>
      </c>
      <c r="R2666" t="s">
        <v>11180</v>
      </c>
      <c r="S2666" t="s">
        <v>9094</v>
      </c>
      <c r="T2666" t="s">
        <v>11183</v>
      </c>
      <c r="V2666" t="s">
        <v>874</v>
      </c>
      <c r="W2666">
        <v>1325</v>
      </c>
      <c r="X2666" t="s">
        <v>11333</v>
      </c>
      <c r="Y2666" t="s">
        <v>11338</v>
      </c>
      <c r="Z2666" t="s">
        <v>12541</v>
      </c>
      <c r="AA2666" t="s">
        <v>15730</v>
      </c>
      <c r="AB2666" t="s">
        <v>16934</v>
      </c>
      <c r="AC2666">
        <v>46</v>
      </c>
      <c r="AD2666" t="s">
        <v>19566</v>
      </c>
      <c r="AE2666" t="s">
        <v>19582</v>
      </c>
      <c r="AF2666">
        <v>4</v>
      </c>
      <c r="AG2666">
        <v>2</v>
      </c>
      <c r="AH2666">
        <v>4</v>
      </c>
      <c r="AI2666">
        <v>88.92</v>
      </c>
      <c r="AL2666" t="s">
        <v>19614</v>
      </c>
      <c r="AM2666">
        <v>30000</v>
      </c>
      <c r="AS2666">
        <v>1.2</v>
      </c>
      <c r="AT2666" t="s">
        <v>545</v>
      </c>
      <c r="AU2666" t="s">
        <v>174</v>
      </c>
    </row>
    <row r="2667" spans="1:48">
      <c r="A2667" s="1">
        <f>HYPERLINK("https://lsnyc.legalserver.org/matter/dynamic-profile/view/1860915","18-1860915")</f>
        <v>0</v>
      </c>
      <c r="B2667" t="s">
        <v>86</v>
      </c>
      <c r="C2667" t="s">
        <v>256</v>
      </c>
      <c r="D2667" t="s">
        <v>450</v>
      </c>
      <c r="F2667" t="s">
        <v>2088</v>
      </c>
      <c r="G2667" t="s">
        <v>4518</v>
      </c>
      <c r="H2667" t="s">
        <v>7040</v>
      </c>
      <c r="I2667" t="s">
        <v>8413</v>
      </c>
      <c r="J2667" t="s">
        <v>9059</v>
      </c>
      <c r="K2667">
        <v>11226</v>
      </c>
      <c r="L2667" t="s">
        <v>9094</v>
      </c>
      <c r="M2667" t="s">
        <v>9095</v>
      </c>
      <c r="N2667" t="s">
        <v>10148</v>
      </c>
      <c r="O2667" t="s">
        <v>11152</v>
      </c>
      <c r="P2667" t="s">
        <v>11165</v>
      </c>
      <c r="R2667" t="s">
        <v>11180</v>
      </c>
      <c r="S2667" t="s">
        <v>9096</v>
      </c>
      <c r="T2667" t="s">
        <v>11183</v>
      </c>
      <c r="V2667" t="s">
        <v>11249</v>
      </c>
      <c r="W2667">
        <v>1300</v>
      </c>
      <c r="X2667" t="s">
        <v>11332</v>
      </c>
      <c r="Y2667" t="s">
        <v>11346</v>
      </c>
      <c r="Z2667" t="s">
        <v>13176</v>
      </c>
      <c r="AA2667">
        <v>11225120</v>
      </c>
      <c r="AB2667" t="s">
        <v>17534</v>
      </c>
      <c r="AC2667">
        <v>61</v>
      </c>
      <c r="AD2667" t="s">
        <v>19566</v>
      </c>
      <c r="AE2667" t="s">
        <v>9144</v>
      </c>
      <c r="AF2667">
        <v>12</v>
      </c>
      <c r="AG2667">
        <v>1</v>
      </c>
      <c r="AH2667">
        <v>0</v>
      </c>
      <c r="AI2667">
        <v>88.95999999999999</v>
      </c>
      <c r="AL2667" t="s">
        <v>19614</v>
      </c>
      <c r="AM2667">
        <v>10800</v>
      </c>
      <c r="AS2667">
        <v>1</v>
      </c>
      <c r="AT2667" t="s">
        <v>450</v>
      </c>
      <c r="AU2667" t="s">
        <v>20630</v>
      </c>
    </row>
    <row r="2668" spans="1:48">
      <c r="A2668" s="1">
        <f>HYPERLINK("https://lsnyc.legalserver.org/matter/dynamic-profile/view/1864198","18-1864198")</f>
        <v>0</v>
      </c>
      <c r="B2668" t="s">
        <v>86</v>
      </c>
      <c r="C2668" t="s">
        <v>256</v>
      </c>
      <c r="D2668" t="s">
        <v>505</v>
      </c>
      <c r="F2668" t="s">
        <v>2088</v>
      </c>
      <c r="G2668" t="s">
        <v>4518</v>
      </c>
      <c r="H2668" t="s">
        <v>7040</v>
      </c>
      <c r="I2668" t="s">
        <v>8413</v>
      </c>
      <c r="J2668" t="s">
        <v>9059</v>
      </c>
      <c r="K2668">
        <v>11226</v>
      </c>
      <c r="L2668" t="s">
        <v>9094</v>
      </c>
      <c r="M2668" t="s">
        <v>9095</v>
      </c>
      <c r="N2668" t="s">
        <v>10149</v>
      </c>
      <c r="O2668" t="s">
        <v>11135</v>
      </c>
      <c r="P2668" t="s">
        <v>11168</v>
      </c>
      <c r="R2668" t="s">
        <v>11180</v>
      </c>
      <c r="S2668" t="s">
        <v>9094</v>
      </c>
      <c r="T2668" t="s">
        <v>11183</v>
      </c>
      <c r="V2668" t="s">
        <v>675</v>
      </c>
      <c r="W2668">
        <v>1300</v>
      </c>
      <c r="X2668" t="s">
        <v>11332</v>
      </c>
      <c r="Y2668" t="s">
        <v>11346</v>
      </c>
      <c r="Z2668" t="s">
        <v>13176</v>
      </c>
      <c r="AA2668">
        <v>11225120</v>
      </c>
      <c r="AB2668" t="s">
        <v>17534</v>
      </c>
      <c r="AC2668">
        <v>61</v>
      </c>
      <c r="AD2668" t="s">
        <v>19566</v>
      </c>
      <c r="AF2668">
        <v>12</v>
      </c>
      <c r="AG2668">
        <v>1</v>
      </c>
      <c r="AH2668">
        <v>0</v>
      </c>
      <c r="AI2668">
        <v>88.95999999999999</v>
      </c>
      <c r="AL2668" t="s">
        <v>19614</v>
      </c>
      <c r="AM2668">
        <v>10800</v>
      </c>
      <c r="AS2668">
        <v>0.5</v>
      </c>
      <c r="AT2668" t="s">
        <v>505</v>
      </c>
      <c r="AU2668" t="s">
        <v>20630</v>
      </c>
    </row>
    <row r="2669" spans="1:48">
      <c r="A2669" s="1">
        <f>HYPERLINK("https://lsnyc.legalserver.org/matter/dynamic-profile/view/1870033","18-1870033")</f>
        <v>0</v>
      </c>
      <c r="B2669" t="s">
        <v>72</v>
      </c>
      <c r="C2669" t="s">
        <v>256</v>
      </c>
      <c r="D2669" t="s">
        <v>592</v>
      </c>
      <c r="F2669" t="s">
        <v>2119</v>
      </c>
      <c r="G2669" t="s">
        <v>4496</v>
      </c>
      <c r="H2669" t="s">
        <v>7009</v>
      </c>
      <c r="I2669" t="s">
        <v>8391</v>
      </c>
      <c r="J2669" t="s">
        <v>9059</v>
      </c>
      <c r="K2669">
        <v>11208</v>
      </c>
      <c r="L2669" t="s">
        <v>9094</v>
      </c>
      <c r="M2669" t="s">
        <v>9095</v>
      </c>
      <c r="N2669" t="s">
        <v>10122</v>
      </c>
      <c r="O2669" t="s">
        <v>11129</v>
      </c>
      <c r="P2669" t="s">
        <v>11164</v>
      </c>
      <c r="R2669" t="s">
        <v>11180</v>
      </c>
      <c r="S2669" t="s">
        <v>9096</v>
      </c>
      <c r="T2669" t="s">
        <v>11183</v>
      </c>
      <c r="V2669" t="s">
        <v>592</v>
      </c>
      <c r="W2669">
        <v>1400</v>
      </c>
      <c r="X2669" t="s">
        <v>11332</v>
      </c>
      <c r="Y2669" t="s">
        <v>11348</v>
      </c>
      <c r="Z2669" t="s">
        <v>13132</v>
      </c>
      <c r="AB2669" t="s">
        <v>17494</v>
      </c>
      <c r="AC2669">
        <v>3</v>
      </c>
      <c r="AF2669">
        <v>5</v>
      </c>
      <c r="AG2669">
        <v>1</v>
      </c>
      <c r="AH2669">
        <v>0</v>
      </c>
      <c r="AI2669">
        <v>88.95999999999999</v>
      </c>
      <c r="AL2669" t="s">
        <v>19614</v>
      </c>
      <c r="AM2669">
        <v>10800</v>
      </c>
      <c r="AS2669">
        <v>52.3</v>
      </c>
      <c r="AT2669" t="s">
        <v>331</v>
      </c>
      <c r="AU2669" t="s">
        <v>20631</v>
      </c>
    </row>
    <row r="2670" spans="1:48">
      <c r="A2670" s="1">
        <f>HYPERLINK("https://lsnyc.legalserver.org/matter/dynamic-profile/view/1863930","18-1863930")</f>
        <v>0</v>
      </c>
      <c r="B2670" t="s">
        <v>67</v>
      </c>
      <c r="C2670" t="s">
        <v>256</v>
      </c>
      <c r="D2670" t="s">
        <v>809</v>
      </c>
      <c r="F2670" t="s">
        <v>1349</v>
      </c>
      <c r="G2670" t="s">
        <v>4519</v>
      </c>
      <c r="H2670" t="s">
        <v>7041</v>
      </c>
      <c r="I2670">
        <v>4</v>
      </c>
      <c r="J2670" t="s">
        <v>9059</v>
      </c>
      <c r="K2670">
        <v>11205</v>
      </c>
      <c r="L2670" t="s">
        <v>9094</v>
      </c>
      <c r="M2670" t="s">
        <v>9095</v>
      </c>
      <c r="N2670" t="s">
        <v>10150</v>
      </c>
      <c r="O2670" t="s">
        <v>11135</v>
      </c>
      <c r="P2670" t="s">
        <v>11168</v>
      </c>
      <c r="R2670" t="s">
        <v>11180</v>
      </c>
      <c r="S2670" t="s">
        <v>9094</v>
      </c>
      <c r="T2670" t="s">
        <v>11183</v>
      </c>
      <c r="V2670" t="s">
        <v>673</v>
      </c>
      <c r="W2670">
        <v>356.66</v>
      </c>
      <c r="X2670" t="s">
        <v>11332</v>
      </c>
      <c r="Y2670" t="s">
        <v>11350</v>
      </c>
      <c r="Z2670" t="s">
        <v>13177</v>
      </c>
      <c r="AB2670" t="s">
        <v>17535</v>
      </c>
      <c r="AC2670">
        <v>10</v>
      </c>
      <c r="AD2670" t="s">
        <v>19569</v>
      </c>
      <c r="AE2670" t="s">
        <v>9144</v>
      </c>
      <c r="AF2670">
        <v>49</v>
      </c>
      <c r="AG2670">
        <v>1</v>
      </c>
      <c r="AH2670">
        <v>0</v>
      </c>
      <c r="AI2670">
        <v>88.95999999999999</v>
      </c>
      <c r="AL2670" t="s">
        <v>19615</v>
      </c>
      <c r="AM2670">
        <v>10800</v>
      </c>
      <c r="AS2670">
        <v>13.95</v>
      </c>
      <c r="AT2670" t="s">
        <v>696</v>
      </c>
      <c r="AU2670" t="s">
        <v>20630</v>
      </c>
    </row>
    <row r="2671" spans="1:48">
      <c r="A2671" s="1">
        <f>HYPERLINK("https://lsnyc.legalserver.org/matter/dynamic-profile/view/1863309","18-1863309")</f>
        <v>0</v>
      </c>
      <c r="B2671" t="s">
        <v>101</v>
      </c>
      <c r="C2671" t="s">
        <v>256</v>
      </c>
      <c r="D2671" t="s">
        <v>693</v>
      </c>
      <c r="F2671" t="s">
        <v>1252</v>
      </c>
      <c r="G2671" t="s">
        <v>3526</v>
      </c>
      <c r="H2671" t="s">
        <v>6063</v>
      </c>
      <c r="I2671" t="s">
        <v>8164</v>
      </c>
      <c r="J2671" t="s">
        <v>9065</v>
      </c>
      <c r="K2671">
        <v>10452</v>
      </c>
      <c r="L2671" t="s">
        <v>9094</v>
      </c>
      <c r="M2671" t="s">
        <v>9095</v>
      </c>
      <c r="O2671" t="s">
        <v>9121</v>
      </c>
      <c r="P2671" t="s">
        <v>11166</v>
      </c>
      <c r="R2671" t="s">
        <v>11180</v>
      </c>
      <c r="T2671" t="s">
        <v>11183</v>
      </c>
      <c r="V2671" t="s">
        <v>11270</v>
      </c>
      <c r="W2671">
        <v>1200</v>
      </c>
      <c r="X2671" t="s">
        <v>11333</v>
      </c>
      <c r="Y2671" t="s">
        <v>11346</v>
      </c>
      <c r="Z2671" t="s">
        <v>13178</v>
      </c>
      <c r="AB2671" t="s">
        <v>17536</v>
      </c>
      <c r="AC2671">
        <v>149</v>
      </c>
      <c r="AF2671">
        <v>13</v>
      </c>
      <c r="AG2671">
        <v>1</v>
      </c>
      <c r="AH2671">
        <v>0</v>
      </c>
      <c r="AI2671">
        <v>88.95999999999999</v>
      </c>
      <c r="AL2671" t="s">
        <v>19614</v>
      </c>
      <c r="AM2671">
        <v>10800</v>
      </c>
      <c r="AS2671">
        <v>48.65</v>
      </c>
      <c r="AT2671" t="s">
        <v>855</v>
      </c>
      <c r="AU2671" t="s">
        <v>101</v>
      </c>
    </row>
    <row r="2672" spans="1:48">
      <c r="A2672" s="1">
        <f>HYPERLINK("https://lsnyc.legalserver.org/matter/dynamic-profile/view/1856746","18-1856746")</f>
        <v>0</v>
      </c>
      <c r="B2672" t="s">
        <v>108</v>
      </c>
      <c r="C2672" t="s">
        <v>256</v>
      </c>
      <c r="D2672" t="s">
        <v>844</v>
      </c>
      <c r="F2672" t="s">
        <v>2279</v>
      </c>
      <c r="G2672" t="s">
        <v>4520</v>
      </c>
      <c r="H2672" t="s">
        <v>6178</v>
      </c>
      <c r="I2672" t="s">
        <v>8642</v>
      </c>
      <c r="J2672" t="s">
        <v>9065</v>
      </c>
      <c r="K2672">
        <v>10453</v>
      </c>
      <c r="L2672" t="s">
        <v>9094</v>
      </c>
      <c r="M2672" t="s">
        <v>9094</v>
      </c>
      <c r="N2672" t="s">
        <v>10151</v>
      </c>
      <c r="O2672" t="s">
        <v>11129</v>
      </c>
      <c r="P2672" t="s">
        <v>11165</v>
      </c>
      <c r="R2672" t="s">
        <v>11180</v>
      </c>
      <c r="S2672" t="s">
        <v>9096</v>
      </c>
      <c r="T2672" t="s">
        <v>11183</v>
      </c>
      <c r="V2672" t="s">
        <v>626</v>
      </c>
      <c r="W2672">
        <v>1074</v>
      </c>
      <c r="X2672" t="s">
        <v>11333</v>
      </c>
      <c r="Y2672" t="s">
        <v>11340</v>
      </c>
      <c r="Z2672" t="s">
        <v>13179</v>
      </c>
      <c r="AA2672" t="s">
        <v>15731</v>
      </c>
      <c r="AB2672" t="s">
        <v>17537</v>
      </c>
      <c r="AC2672">
        <v>400</v>
      </c>
      <c r="AD2672" t="s">
        <v>19566</v>
      </c>
      <c r="AE2672" t="s">
        <v>19581</v>
      </c>
      <c r="AF2672">
        <v>31</v>
      </c>
      <c r="AG2672">
        <v>1</v>
      </c>
      <c r="AH2672">
        <v>1</v>
      </c>
      <c r="AI2672">
        <v>89.04000000000001</v>
      </c>
      <c r="AL2672" t="s">
        <v>19614</v>
      </c>
      <c r="AM2672">
        <v>14460</v>
      </c>
      <c r="AN2672" t="s">
        <v>19699</v>
      </c>
      <c r="AS2672">
        <v>32.05</v>
      </c>
      <c r="AT2672" t="s">
        <v>435</v>
      </c>
      <c r="AU2672" t="s">
        <v>20632</v>
      </c>
    </row>
    <row r="2673" spans="1:48">
      <c r="A2673" s="1">
        <f>HYPERLINK("https://lsnyc.legalserver.org/matter/dynamic-profile/view/1898572","19-1898572")</f>
        <v>0</v>
      </c>
      <c r="B2673" t="s">
        <v>50</v>
      </c>
      <c r="C2673" t="s">
        <v>256</v>
      </c>
      <c r="D2673" t="s">
        <v>614</v>
      </c>
      <c r="F2673" t="s">
        <v>1804</v>
      </c>
      <c r="G2673" t="s">
        <v>4521</v>
      </c>
      <c r="H2673" t="s">
        <v>7042</v>
      </c>
      <c r="J2673" t="s">
        <v>9039</v>
      </c>
      <c r="K2673">
        <v>11436</v>
      </c>
      <c r="L2673" t="s">
        <v>9094</v>
      </c>
      <c r="M2673" t="s">
        <v>9094</v>
      </c>
      <c r="N2673" t="s">
        <v>10152</v>
      </c>
      <c r="O2673" t="s">
        <v>11128</v>
      </c>
      <c r="P2673" t="s">
        <v>11164</v>
      </c>
      <c r="R2673" t="s">
        <v>11180</v>
      </c>
      <c r="S2673" t="s">
        <v>9096</v>
      </c>
      <c r="T2673" t="s">
        <v>11183</v>
      </c>
      <c r="U2673" t="s">
        <v>11199</v>
      </c>
      <c r="V2673" t="s">
        <v>574</v>
      </c>
      <c r="W2673">
        <v>1800</v>
      </c>
      <c r="X2673" t="s">
        <v>11331</v>
      </c>
      <c r="Y2673" t="s">
        <v>11336</v>
      </c>
      <c r="Z2673" t="s">
        <v>13180</v>
      </c>
      <c r="AB2673" t="s">
        <v>17538</v>
      </c>
      <c r="AC2673">
        <v>3</v>
      </c>
      <c r="AD2673" t="s">
        <v>19576</v>
      </c>
      <c r="AE2673" t="s">
        <v>9144</v>
      </c>
      <c r="AF2673">
        <v>1</v>
      </c>
      <c r="AG2673">
        <v>1</v>
      </c>
      <c r="AH2673">
        <v>2</v>
      </c>
      <c r="AI2673">
        <v>89.08</v>
      </c>
      <c r="AL2673" t="s">
        <v>19614</v>
      </c>
      <c r="AM2673">
        <v>19000</v>
      </c>
      <c r="AS2673">
        <v>0.95</v>
      </c>
      <c r="AT2673" t="s">
        <v>333</v>
      </c>
      <c r="AU2673" t="s">
        <v>50</v>
      </c>
      <c r="AV2673" t="s">
        <v>20733</v>
      </c>
    </row>
    <row r="2674" spans="1:48">
      <c r="A2674" s="1">
        <f>HYPERLINK("https://lsnyc.legalserver.org/matter/dynamic-profile/view/1914384","19-1914384")</f>
        <v>0</v>
      </c>
      <c r="B2674" t="s">
        <v>67</v>
      </c>
      <c r="C2674" t="s">
        <v>256</v>
      </c>
      <c r="D2674" t="s">
        <v>703</v>
      </c>
      <c r="F2674" t="s">
        <v>2298</v>
      </c>
      <c r="G2674" t="s">
        <v>4522</v>
      </c>
      <c r="H2674" t="s">
        <v>7043</v>
      </c>
      <c r="I2674" t="s">
        <v>8643</v>
      </c>
      <c r="J2674" t="s">
        <v>9059</v>
      </c>
      <c r="K2674">
        <v>11231</v>
      </c>
      <c r="L2674" t="s">
        <v>9094</v>
      </c>
      <c r="M2674" t="s">
        <v>9095</v>
      </c>
      <c r="R2674" t="s">
        <v>11180</v>
      </c>
      <c r="T2674" t="s">
        <v>11183</v>
      </c>
      <c r="V2674" t="s">
        <v>496</v>
      </c>
      <c r="W2674">
        <v>0</v>
      </c>
      <c r="X2674" t="s">
        <v>11332</v>
      </c>
      <c r="Z2674" t="s">
        <v>13181</v>
      </c>
      <c r="AC2674">
        <v>8</v>
      </c>
      <c r="AF2674">
        <v>0</v>
      </c>
      <c r="AG2674">
        <v>1</v>
      </c>
      <c r="AH2674">
        <v>0</v>
      </c>
      <c r="AI2674">
        <v>89.09999999999999</v>
      </c>
      <c r="AL2674" t="s">
        <v>19614</v>
      </c>
      <c r="AM2674">
        <v>11128</v>
      </c>
      <c r="AS2674">
        <v>2.8</v>
      </c>
      <c r="AT2674" t="s">
        <v>703</v>
      </c>
      <c r="AU2674" t="s">
        <v>67</v>
      </c>
    </row>
    <row r="2675" spans="1:48">
      <c r="A2675" s="1">
        <f>HYPERLINK("https://lsnyc.legalserver.org/matter/dynamic-profile/view/1904398","19-1904398")</f>
        <v>0</v>
      </c>
      <c r="B2675" t="s">
        <v>78</v>
      </c>
      <c r="C2675" t="s">
        <v>257</v>
      </c>
      <c r="D2675" t="s">
        <v>736</v>
      </c>
      <c r="E2675" t="s">
        <v>736</v>
      </c>
      <c r="F2675" t="s">
        <v>2299</v>
      </c>
      <c r="G2675" t="s">
        <v>3344</v>
      </c>
      <c r="H2675" t="s">
        <v>5809</v>
      </c>
      <c r="I2675" t="s">
        <v>8212</v>
      </c>
      <c r="J2675" t="s">
        <v>9059</v>
      </c>
      <c r="K2675">
        <v>11212</v>
      </c>
      <c r="L2675" t="s">
        <v>9094</v>
      </c>
      <c r="M2675" t="s">
        <v>9095</v>
      </c>
      <c r="N2675" t="s">
        <v>9144</v>
      </c>
      <c r="O2675" t="s">
        <v>9121</v>
      </c>
      <c r="P2675" t="s">
        <v>11167</v>
      </c>
      <c r="Q2675" t="s">
        <v>11173</v>
      </c>
      <c r="R2675" t="s">
        <v>11180</v>
      </c>
      <c r="S2675" t="s">
        <v>9094</v>
      </c>
      <c r="T2675" t="s">
        <v>11183</v>
      </c>
      <c r="U2675" t="s">
        <v>11201</v>
      </c>
      <c r="V2675" t="s">
        <v>597</v>
      </c>
      <c r="W2675">
        <v>755</v>
      </c>
      <c r="X2675" t="s">
        <v>11332</v>
      </c>
      <c r="Y2675" t="s">
        <v>11157</v>
      </c>
      <c r="Z2675" t="s">
        <v>12806</v>
      </c>
      <c r="AA2675" t="s">
        <v>9144</v>
      </c>
      <c r="AB2675" t="s">
        <v>17539</v>
      </c>
      <c r="AC2675">
        <v>32</v>
      </c>
      <c r="AD2675" t="s">
        <v>19566</v>
      </c>
      <c r="AE2675" t="s">
        <v>9144</v>
      </c>
      <c r="AF2675">
        <v>30</v>
      </c>
      <c r="AG2675">
        <v>2</v>
      </c>
      <c r="AH2675">
        <v>0</v>
      </c>
      <c r="AI2675">
        <v>89.13</v>
      </c>
      <c r="AL2675" t="s">
        <v>19614</v>
      </c>
      <c r="AM2675">
        <v>15072</v>
      </c>
      <c r="AS2675">
        <v>1.5</v>
      </c>
      <c r="AT2675" t="s">
        <v>597</v>
      </c>
      <c r="AU2675" t="s">
        <v>95</v>
      </c>
      <c r="AV2675" t="s">
        <v>20733</v>
      </c>
    </row>
    <row r="2676" spans="1:48">
      <c r="A2676" s="1">
        <f>HYPERLINK("https://lsnyc.legalserver.org/matter/dynamic-profile/view/1857188","18-1857188")</f>
        <v>0</v>
      </c>
      <c r="B2676" t="s">
        <v>78</v>
      </c>
      <c r="C2676" t="s">
        <v>256</v>
      </c>
      <c r="D2676" t="s">
        <v>466</v>
      </c>
      <c r="F2676" t="s">
        <v>1725</v>
      </c>
      <c r="G2676" t="s">
        <v>3540</v>
      </c>
      <c r="H2676" t="s">
        <v>6453</v>
      </c>
      <c r="I2676" t="s">
        <v>8223</v>
      </c>
      <c r="J2676" t="s">
        <v>9059</v>
      </c>
      <c r="K2676">
        <v>11206</v>
      </c>
      <c r="L2676" t="s">
        <v>9094</v>
      </c>
      <c r="M2676" t="s">
        <v>9094</v>
      </c>
      <c r="O2676" t="s">
        <v>11130</v>
      </c>
      <c r="P2676" t="s">
        <v>11165</v>
      </c>
      <c r="R2676" t="s">
        <v>11180</v>
      </c>
      <c r="S2676" t="s">
        <v>9094</v>
      </c>
      <c r="T2676" t="s">
        <v>11183</v>
      </c>
      <c r="V2676" t="s">
        <v>970</v>
      </c>
      <c r="W2676">
        <v>611.9299999999999</v>
      </c>
      <c r="X2676" t="s">
        <v>11332</v>
      </c>
      <c r="Y2676" t="s">
        <v>11157</v>
      </c>
      <c r="Z2676" t="s">
        <v>13153</v>
      </c>
      <c r="AA2676" t="s">
        <v>15725</v>
      </c>
      <c r="AB2676" t="s">
        <v>17514</v>
      </c>
      <c r="AC2676">
        <v>25</v>
      </c>
      <c r="AD2676" t="s">
        <v>19566</v>
      </c>
      <c r="AF2676">
        <v>7</v>
      </c>
      <c r="AG2676">
        <v>1</v>
      </c>
      <c r="AH2676">
        <v>2</v>
      </c>
      <c r="AI2676">
        <v>89.13</v>
      </c>
      <c r="AL2676" t="s">
        <v>19614</v>
      </c>
      <c r="AM2676">
        <v>18200</v>
      </c>
      <c r="AN2676" t="s">
        <v>19895</v>
      </c>
      <c r="AS2676">
        <v>0</v>
      </c>
      <c r="AU2676" t="s">
        <v>95</v>
      </c>
    </row>
    <row r="2677" spans="1:48">
      <c r="A2677" s="1">
        <f>HYPERLINK("https://lsnyc.legalserver.org/matter/dynamic-profile/view/1843620","17-1843620")</f>
        <v>0</v>
      </c>
      <c r="B2677" t="s">
        <v>140</v>
      </c>
      <c r="C2677" t="s">
        <v>256</v>
      </c>
      <c r="D2677" t="s">
        <v>530</v>
      </c>
      <c r="F2677" t="s">
        <v>1200</v>
      </c>
      <c r="G2677" t="s">
        <v>4523</v>
      </c>
      <c r="H2677" t="s">
        <v>5999</v>
      </c>
      <c r="I2677" t="s">
        <v>8160</v>
      </c>
      <c r="J2677" t="s">
        <v>9067</v>
      </c>
      <c r="K2677">
        <v>10040</v>
      </c>
      <c r="L2677" t="s">
        <v>9096</v>
      </c>
      <c r="M2677" t="s">
        <v>9094</v>
      </c>
      <c r="O2677" t="s">
        <v>11130</v>
      </c>
      <c r="P2677" t="s">
        <v>11168</v>
      </c>
      <c r="R2677" t="s">
        <v>11180</v>
      </c>
      <c r="S2677" t="s">
        <v>9094</v>
      </c>
      <c r="T2677" t="s">
        <v>11183</v>
      </c>
      <c r="W2677">
        <v>825</v>
      </c>
      <c r="X2677" t="s">
        <v>11335</v>
      </c>
      <c r="Y2677" t="s">
        <v>11338</v>
      </c>
      <c r="Z2677" t="s">
        <v>13182</v>
      </c>
      <c r="AC2677">
        <v>44</v>
      </c>
      <c r="AD2677" t="s">
        <v>19566</v>
      </c>
      <c r="AE2677" t="s">
        <v>9144</v>
      </c>
      <c r="AF2677">
        <v>20</v>
      </c>
      <c r="AG2677">
        <v>2</v>
      </c>
      <c r="AH2677">
        <v>1</v>
      </c>
      <c r="AI2677">
        <v>89.13</v>
      </c>
      <c r="AJ2677" t="s">
        <v>982</v>
      </c>
      <c r="AL2677" t="s">
        <v>19615</v>
      </c>
      <c r="AM2677">
        <v>18200</v>
      </c>
      <c r="AS2677">
        <v>0.11</v>
      </c>
      <c r="AT2677" t="s">
        <v>279</v>
      </c>
      <c r="AU2677" t="s">
        <v>130</v>
      </c>
    </row>
    <row r="2678" spans="1:48">
      <c r="A2678" s="1">
        <f>HYPERLINK("https://lsnyc.legalserver.org/matter/dynamic-profile/view/1872232","18-1872232")</f>
        <v>0</v>
      </c>
      <c r="B2678" t="s">
        <v>114</v>
      </c>
      <c r="C2678" t="s">
        <v>256</v>
      </c>
      <c r="D2678" t="s">
        <v>954</v>
      </c>
      <c r="F2678" t="s">
        <v>1968</v>
      </c>
      <c r="G2678" t="s">
        <v>4143</v>
      </c>
      <c r="H2678" t="s">
        <v>7044</v>
      </c>
      <c r="I2678" t="s">
        <v>8151</v>
      </c>
      <c r="J2678" t="s">
        <v>9065</v>
      </c>
      <c r="K2678">
        <v>10453</v>
      </c>
      <c r="L2678" t="s">
        <v>9094</v>
      </c>
      <c r="M2678" t="s">
        <v>9094</v>
      </c>
      <c r="N2678" t="s">
        <v>10153</v>
      </c>
      <c r="O2678" t="s">
        <v>11129</v>
      </c>
      <c r="P2678" t="s">
        <v>11165</v>
      </c>
      <c r="R2678" t="s">
        <v>11180</v>
      </c>
      <c r="T2678" t="s">
        <v>11183</v>
      </c>
      <c r="V2678" t="s">
        <v>440</v>
      </c>
      <c r="W2678">
        <v>612.61</v>
      </c>
      <c r="X2678" t="s">
        <v>11333</v>
      </c>
      <c r="Y2678" t="s">
        <v>11341</v>
      </c>
      <c r="Z2678" t="s">
        <v>13183</v>
      </c>
      <c r="AA2678" t="s">
        <v>15732</v>
      </c>
      <c r="AB2678" t="s">
        <v>17540</v>
      </c>
      <c r="AC2678">
        <v>72</v>
      </c>
      <c r="AD2678" t="s">
        <v>19569</v>
      </c>
      <c r="AE2678" t="s">
        <v>9144</v>
      </c>
      <c r="AF2678">
        <v>36</v>
      </c>
      <c r="AG2678">
        <v>1</v>
      </c>
      <c r="AH2678">
        <v>1</v>
      </c>
      <c r="AI2678">
        <v>89.16</v>
      </c>
      <c r="AL2678" t="s">
        <v>19614</v>
      </c>
      <c r="AM2678">
        <v>14676</v>
      </c>
      <c r="AN2678" t="s">
        <v>19896</v>
      </c>
      <c r="AS2678">
        <v>7.9</v>
      </c>
      <c r="AT2678" t="s">
        <v>723</v>
      </c>
      <c r="AU2678" t="s">
        <v>20639</v>
      </c>
    </row>
    <row r="2679" spans="1:48">
      <c r="A2679" s="1">
        <f>HYPERLINK("https://lsnyc.legalserver.org/matter/dynamic-profile/view/1913993","19-1913993")</f>
        <v>0</v>
      </c>
      <c r="B2679" t="s">
        <v>139</v>
      </c>
      <c r="C2679" t="s">
        <v>257</v>
      </c>
      <c r="D2679" t="s">
        <v>556</v>
      </c>
      <c r="E2679" t="s">
        <v>377</v>
      </c>
      <c r="F2679" t="s">
        <v>2300</v>
      </c>
      <c r="G2679" t="s">
        <v>2023</v>
      </c>
      <c r="H2679" t="s">
        <v>7045</v>
      </c>
      <c r="I2679" t="s">
        <v>8171</v>
      </c>
      <c r="J2679" t="s">
        <v>9067</v>
      </c>
      <c r="K2679">
        <v>10032</v>
      </c>
      <c r="L2679" t="s">
        <v>9094</v>
      </c>
      <c r="M2679" t="s">
        <v>9095</v>
      </c>
      <c r="O2679" t="s">
        <v>11136</v>
      </c>
      <c r="P2679" t="s">
        <v>11167</v>
      </c>
      <c r="Q2679" t="s">
        <v>11173</v>
      </c>
      <c r="R2679" t="s">
        <v>11180</v>
      </c>
      <c r="S2679" t="s">
        <v>9096</v>
      </c>
      <c r="T2679" t="s">
        <v>11183</v>
      </c>
      <c r="V2679" t="s">
        <v>556</v>
      </c>
      <c r="W2679">
        <v>950</v>
      </c>
      <c r="X2679" t="s">
        <v>11335</v>
      </c>
      <c r="Y2679" t="s">
        <v>11338</v>
      </c>
      <c r="Z2679" t="s">
        <v>13184</v>
      </c>
      <c r="AB2679" t="s">
        <v>17541</v>
      </c>
      <c r="AC2679">
        <v>22</v>
      </c>
      <c r="AD2679" t="s">
        <v>19566</v>
      </c>
      <c r="AE2679" t="s">
        <v>9144</v>
      </c>
      <c r="AF2679">
        <v>39</v>
      </c>
      <c r="AG2679">
        <v>3</v>
      </c>
      <c r="AH2679">
        <v>2</v>
      </c>
      <c r="AI2679">
        <v>89.17</v>
      </c>
      <c r="AL2679" t="s">
        <v>19615</v>
      </c>
      <c r="AM2679">
        <v>26904</v>
      </c>
      <c r="AS2679">
        <v>0.1</v>
      </c>
      <c r="AT2679" t="s">
        <v>496</v>
      </c>
      <c r="AU2679" t="s">
        <v>130</v>
      </c>
      <c r="AV2679" t="s">
        <v>20733</v>
      </c>
    </row>
    <row r="2680" spans="1:48">
      <c r="A2680" s="1">
        <f>HYPERLINK("https://lsnyc.legalserver.org/matter/dynamic-profile/view/1871554","18-1871554")</f>
        <v>0</v>
      </c>
      <c r="B2680" t="s">
        <v>78</v>
      </c>
      <c r="C2680" t="s">
        <v>256</v>
      </c>
      <c r="D2680" t="s">
        <v>389</v>
      </c>
      <c r="F2680" t="s">
        <v>1905</v>
      </c>
      <c r="G2680" t="s">
        <v>4082</v>
      </c>
      <c r="H2680" t="s">
        <v>5809</v>
      </c>
      <c r="I2680" t="s">
        <v>8168</v>
      </c>
      <c r="J2680" t="s">
        <v>9059</v>
      </c>
      <c r="K2680">
        <v>11212</v>
      </c>
      <c r="L2680" t="s">
        <v>9094</v>
      </c>
      <c r="M2680" t="s">
        <v>9095</v>
      </c>
      <c r="O2680" t="s">
        <v>9121</v>
      </c>
      <c r="P2680" t="s">
        <v>11167</v>
      </c>
      <c r="R2680" t="s">
        <v>11180</v>
      </c>
      <c r="S2680" t="s">
        <v>9094</v>
      </c>
      <c r="T2680" t="s">
        <v>11183</v>
      </c>
      <c r="V2680" t="s">
        <v>11214</v>
      </c>
      <c r="W2680">
        <v>840</v>
      </c>
      <c r="X2680" t="s">
        <v>11332</v>
      </c>
      <c r="Y2680" t="s">
        <v>11157</v>
      </c>
      <c r="Z2680" t="s">
        <v>12412</v>
      </c>
      <c r="AB2680" t="s">
        <v>16821</v>
      </c>
      <c r="AC2680">
        <v>32</v>
      </c>
      <c r="AD2680" t="s">
        <v>19566</v>
      </c>
      <c r="AF2680">
        <v>19</v>
      </c>
      <c r="AG2680">
        <v>2</v>
      </c>
      <c r="AH2680">
        <v>0</v>
      </c>
      <c r="AI2680">
        <v>89.23</v>
      </c>
      <c r="AL2680" t="s">
        <v>19614</v>
      </c>
      <c r="AM2680">
        <v>14688</v>
      </c>
      <c r="AS2680">
        <v>0</v>
      </c>
      <c r="AU2680" t="s">
        <v>20637</v>
      </c>
    </row>
    <row r="2681" spans="1:48">
      <c r="A2681" s="1">
        <f>HYPERLINK("https://lsnyc.legalserver.org/matter/dynamic-profile/view/0798517","16-0798517")</f>
        <v>0</v>
      </c>
      <c r="B2681" t="s">
        <v>149</v>
      </c>
      <c r="C2681" t="s">
        <v>256</v>
      </c>
      <c r="D2681" t="s">
        <v>562</v>
      </c>
      <c r="F2681" t="s">
        <v>2301</v>
      </c>
      <c r="G2681" t="s">
        <v>3448</v>
      </c>
      <c r="H2681" t="s">
        <v>7046</v>
      </c>
      <c r="I2681">
        <v>2</v>
      </c>
      <c r="J2681" t="s">
        <v>9067</v>
      </c>
      <c r="K2681">
        <v>10035</v>
      </c>
      <c r="L2681" t="s">
        <v>9094</v>
      </c>
      <c r="M2681" t="s">
        <v>9095</v>
      </c>
      <c r="N2681" t="s">
        <v>9144</v>
      </c>
      <c r="O2681" t="s">
        <v>11132</v>
      </c>
      <c r="P2681" t="s">
        <v>11165</v>
      </c>
      <c r="R2681" t="s">
        <v>11180</v>
      </c>
      <c r="S2681" t="s">
        <v>9096</v>
      </c>
      <c r="T2681" t="s">
        <v>11183</v>
      </c>
      <c r="U2681" t="s">
        <v>11201</v>
      </c>
      <c r="V2681" t="s">
        <v>786</v>
      </c>
      <c r="W2681">
        <v>1500</v>
      </c>
      <c r="X2681" t="s">
        <v>11335</v>
      </c>
      <c r="Y2681" t="s">
        <v>11341</v>
      </c>
      <c r="Z2681" t="s">
        <v>13185</v>
      </c>
      <c r="AB2681" t="s">
        <v>17542</v>
      </c>
      <c r="AC2681">
        <v>30</v>
      </c>
      <c r="AD2681" t="s">
        <v>19566</v>
      </c>
      <c r="AE2681" t="s">
        <v>9144</v>
      </c>
      <c r="AF2681">
        <v>4</v>
      </c>
      <c r="AG2681">
        <v>1</v>
      </c>
      <c r="AH2681">
        <v>2</v>
      </c>
      <c r="AI2681">
        <v>89.29000000000001</v>
      </c>
      <c r="AL2681" t="s">
        <v>19614</v>
      </c>
      <c r="AM2681">
        <v>18000</v>
      </c>
      <c r="AS2681">
        <v>49.75</v>
      </c>
      <c r="AT2681" t="s">
        <v>563</v>
      </c>
      <c r="AU2681" t="s">
        <v>20657</v>
      </c>
    </row>
    <row r="2682" spans="1:48">
      <c r="A2682" s="1">
        <f>HYPERLINK("https://lsnyc.legalserver.org/matter/dynamic-profile/view/1914142","19-1914142")</f>
        <v>0</v>
      </c>
      <c r="B2682" t="s">
        <v>162</v>
      </c>
      <c r="C2682" t="s">
        <v>256</v>
      </c>
      <c r="D2682" t="s">
        <v>395</v>
      </c>
      <c r="F2682" t="s">
        <v>1646</v>
      </c>
      <c r="G2682" t="s">
        <v>3370</v>
      </c>
      <c r="H2682" t="s">
        <v>7047</v>
      </c>
      <c r="I2682" t="s">
        <v>8644</v>
      </c>
      <c r="J2682" t="s">
        <v>9065</v>
      </c>
      <c r="K2682">
        <v>10457</v>
      </c>
      <c r="L2682" t="s">
        <v>9095</v>
      </c>
      <c r="M2682" t="s">
        <v>9095</v>
      </c>
      <c r="N2682" t="s">
        <v>10154</v>
      </c>
      <c r="O2682" t="s">
        <v>11129</v>
      </c>
      <c r="P2682" t="s">
        <v>11165</v>
      </c>
      <c r="R2682" t="s">
        <v>11180</v>
      </c>
      <c r="S2682" t="s">
        <v>9096</v>
      </c>
      <c r="T2682" t="s">
        <v>11183</v>
      </c>
      <c r="W2682">
        <v>1008</v>
      </c>
      <c r="X2682" t="s">
        <v>11333</v>
      </c>
      <c r="Y2682" t="s">
        <v>11352</v>
      </c>
      <c r="Z2682" t="s">
        <v>13186</v>
      </c>
      <c r="AA2682" t="s">
        <v>15733</v>
      </c>
      <c r="AB2682" t="s">
        <v>17543</v>
      </c>
      <c r="AC2682">
        <v>0</v>
      </c>
      <c r="AD2682" t="s">
        <v>15441</v>
      </c>
      <c r="AF2682">
        <v>10</v>
      </c>
      <c r="AG2682">
        <v>1</v>
      </c>
      <c r="AH2682">
        <v>0</v>
      </c>
      <c r="AI2682">
        <v>89.3</v>
      </c>
      <c r="AL2682" t="s">
        <v>19615</v>
      </c>
      <c r="AM2682">
        <v>11154</v>
      </c>
      <c r="AS2682">
        <v>7</v>
      </c>
      <c r="AT2682" t="s">
        <v>487</v>
      </c>
      <c r="AU2682" t="s">
        <v>20640</v>
      </c>
      <c r="AV2682" t="s">
        <v>20734</v>
      </c>
    </row>
    <row r="2683" spans="1:48">
      <c r="A2683" s="1">
        <f>HYPERLINK("https://lsnyc.legalserver.org/matter/dynamic-profile/view/1898073","19-1898073")</f>
        <v>0</v>
      </c>
      <c r="B2683" t="s">
        <v>101</v>
      </c>
      <c r="C2683" t="s">
        <v>257</v>
      </c>
      <c r="D2683" t="s">
        <v>470</v>
      </c>
      <c r="E2683" t="s">
        <v>416</v>
      </c>
      <c r="F2683" t="s">
        <v>2283</v>
      </c>
      <c r="G2683" t="s">
        <v>3364</v>
      </c>
      <c r="H2683" t="s">
        <v>5902</v>
      </c>
      <c r="I2683" t="s">
        <v>8645</v>
      </c>
      <c r="J2683" t="s">
        <v>9065</v>
      </c>
      <c r="K2683">
        <v>10452</v>
      </c>
      <c r="L2683" t="s">
        <v>9094</v>
      </c>
      <c r="M2683" t="s">
        <v>9094</v>
      </c>
      <c r="O2683" t="s">
        <v>9121</v>
      </c>
      <c r="P2683" t="s">
        <v>11166</v>
      </c>
      <c r="Q2683" t="s">
        <v>11178</v>
      </c>
      <c r="R2683" t="s">
        <v>11180</v>
      </c>
      <c r="S2683" t="s">
        <v>9094</v>
      </c>
      <c r="T2683" t="s">
        <v>11183</v>
      </c>
      <c r="V2683" t="s">
        <v>11218</v>
      </c>
      <c r="W2683">
        <v>360</v>
      </c>
      <c r="X2683" t="s">
        <v>11333</v>
      </c>
      <c r="Y2683" t="s">
        <v>11346</v>
      </c>
      <c r="Z2683" t="s">
        <v>13187</v>
      </c>
      <c r="AC2683">
        <v>60</v>
      </c>
      <c r="AD2683" t="s">
        <v>19566</v>
      </c>
      <c r="AE2683" t="s">
        <v>19587</v>
      </c>
      <c r="AF2683">
        <v>50</v>
      </c>
      <c r="AG2683">
        <v>2</v>
      </c>
      <c r="AH2683">
        <v>0</v>
      </c>
      <c r="AI2683">
        <v>89.41</v>
      </c>
      <c r="AL2683" t="s">
        <v>19615</v>
      </c>
      <c r="AM2683">
        <v>15120</v>
      </c>
      <c r="AS2683">
        <v>0.5</v>
      </c>
      <c r="AT2683" t="s">
        <v>416</v>
      </c>
      <c r="AU2683" t="s">
        <v>20642</v>
      </c>
      <c r="AV2683" t="s">
        <v>20733</v>
      </c>
    </row>
    <row r="2684" spans="1:48">
      <c r="A2684" s="1">
        <f>HYPERLINK("https://lsnyc.legalserver.org/matter/dynamic-profile/view/1908992","19-1908992")</f>
        <v>0</v>
      </c>
      <c r="B2684" t="s">
        <v>99</v>
      </c>
      <c r="C2684" t="s">
        <v>257</v>
      </c>
      <c r="D2684" t="s">
        <v>806</v>
      </c>
      <c r="E2684" t="s">
        <v>728</v>
      </c>
      <c r="F2684" t="s">
        <v>1318</v>
      </c>
      <c r="G2684" t="s">
        <v>4524</v>
      </c>
      <c r="H2684" t="s">
        <v>7048</v>
      </c>
      <c r="I2684" t="s">
        <v>8107</v>
      </c>
      <c r="J2684" t="s">
        <v>9065</v>
      </c>
      <c r="K2684">
        <v>10457</v>
      </c>
      <c r="L2684" t="s">
        <v>9094</v>
      </c>
      <c r="M2684" t="s">
        <v>9095</v>
      </c>
      <c r="O2684" t="s">
        <v>9121</v>
      </c>
      <c r="P2684" t="s">
        <v>11167</v>
      </c>
      <c r="Q2684" t="s">
        <v>11172</v>
      </c>
      <c r="R2684" t="s">
        <v>11180</v>
      </c>
      <c r="S2684" t="s">
        <v>9096</v>
      </c>
      <c r="T2684" t="s">
        <v>11183</v>
      </c>
      <c r="V2684" t="s">
        <v>308</v>
      </c>
      <c r="W2684">
        <v>2268</v>
      </c>
      <c r="X2684" t="s">
        <v>11333</v>
      </c>
      <c r="Y2684" t="s">
        <v>11346</v>
      </c>
      <c r="Z2684" t="s">
        <v>13188</v>
      </c>
      <c r="AB2684" t="s">
        <v>17544</v>
      </c>
      <c r="AC2684">
        <v>3</v>
      </c>
      <c r="AD2684" t="s">
        <v>19565</v>
      </c>
      <c r="AE2684" t="s">
        <v>19580</v>
      </c>
      <c r="AF2684">
        <v>1</v>
      </c>
      <c r="AG2684">
        <v>1</v>
      </c>
      <c r="AH2684">
        <v>0</v>
      </c>
      <c r="AI2684">
        <v>89.45</v>
      </c>
      <c r="AL2684" t="s">
        <v>19615</v>
      </c>
      <c r="AM2684">
        <v>11172</v>
      </c>
      <c r="AS2684">
        <v>3.5</v>
      </c>
      <c r="AT2684" t="s">
        <v>728</v>
      </c>
      <c r="AU2684" t="s">
        <v>99</v>
      </c>
      <c r="AV2684" t="s">
        <v>20733</v>
      </c>
    </row>
    <row r="2685" spans="1:48">
      <c r="A2685" s="1">
        <f>HYPERLINK("https://lsnyc.legalserver.org/matter/dynamic-profile/view/1907026","19-1907026")</f>
        <v>0</v>
      </c>
      <c r="B2685" t="s">
        <v>140</v>
      </c>
      <c r="C2685" t="s">
        <v>256</v>
      </c>
      <c r="D2685" t="s">
        <v>498</v>
      </c>
      <c r="F2685" t="s">
        <v>1256</v>
      </c>
      <c r="G2685" t="s">
        <v>4220</v>
      </c>
      <c r="H2685" t="s">
        <v>6784</v>
      </c>
      <c r="I2685">
        <v>21</v>
      </c>
      <c r="J2685" t="s">
        <v>9067</v>
      </c>
      <c r="K2685">
        <v>10034</v>
      </c>
      <c r="L2685" t="s">
        <v>9094</v>
      </c>
      <c r="M2685" t="s">
        <v>9095</v>
      </c>
      <c r="N2685" t="s">
        <v>10155</v>
      </c>
      <c r="O2685" t="s">
        <v>11129</v>
      </c>
      <c r="P2685" t="s">
        <v>11167</v>
      </c>
      <c r="R2685" t="s">
        <v>11180</v>
      </c>
      <c r="S2685" t="s">
        <v>9096</v>
      </c>
      <c r="T2685" t="s">
        <v>11183</v>
      </c>
      <c r="V2685" t="s">
        <v>396</v>
      </c>
      <c r="W2685">
        <v>1717</v>
      </c>
      <c r="X2685" t="s">
        <v>11335</v>
      </c>
      <c r="Y2685" t="s">
        <v>11345</v>
      </c>
      <c r="Z2685" t="s">
        <v>13189</v>
      </c>
      <c r="AA2685" t="s">
        <v>15734</v>
      </c>
      <c r="AB2685" t="s">
        <v>17545</v>
      </c>
      <c r="AC2685">
        <v>27</v>
      </c>
      <c r="AD2685" t="s">
        <v>19566</v>
      </c>
      <c r="AE2685" t="s">
        <v>9144</v>
      </c>
      <c r="AF2685">
        <v>1</v>
      </c>
      <c r="AG2685">
        <v>2</v>
      </c>
      <c r="AH2685">
        <v>1</v>
      </c>
      <c r="AI2685">
        <v>89.45</v>
      </c>
      <c r="AL2685" t="s">
        <v>19615</v>
      </c>
      <c r="AM2685">
        <v>19080</v>
      </c>
      <c r="AS2685">
        <v>4.85</v>
      </c>
      <c r="AT2685" t="s">
        <v>481</v>
      </c>
      <c r="AU2685" t="s">
        <v>20629</v>
      </c>
      <c r="AV2685" t="s">
        <v>20734</v>
      </c>
    </row>
    <row r="2686" spans="1:48">
      <c r="A2686" s="1">
        <f>HYPERLINK("https://lsnyc.legalserver.org/matter/dynamic-profile/view/1912568","19-1912568")</f>
        <v>0</v>
      </c>
      <c r="B2686" t="s">
        <v>49</v>
      </c>
      <c r="C2686" t="s">
        <v>256</v>
      </c>
      <c r="D2686" t="s">
        <v>263</v>
      </c>
      <c r="F2686" t="s">
        <v>2302</v>
      </c>
      <c r="G2686" t="s">
        <v>3723</v>
      </c>
      <c r="H2686" t="s">
        <v>7049</v>
      </c>
      <c r="I2686" t="s">
        <v>8107</v>
      </c>
      <c r="J2686" t="s">
        <v>9055</v>
      </c>
      <c r="K2686">
        <v>11354</v>
      </c>
      <c r="L2686" t="s">
        <v>9094</v>
      </c>
      <c r="M2686" t="s">
        <v>9095</v>
      </c>
      <c r="N2686" t="s">
        <v>10156</v>
      </c>
      <c r="O2686" t="s">
        <v>11128</v>
      </c>
      <c r="P2686" t="s">
        <v>11164</v>
      </c>
      <c r="R2686" t="s">
        <v>11180</v>
      </c>
      <c r="S2686" t="s">
        <v>9096</v>
      </c>
      <c r="T2686" t="s">
        <v>11183</v>
      </c>
      <c r="W2686">
        <v>1600</v>
      </c>
      <c r="X2686" t="s">
        <v>11331</v>
      </c>
      <c r="Y2686" t="s">
        <v>11336</v>
      </c>
      <c r="Z2686" t="s">
        <v>13190</v>
      </c>
      <c r="AB2686" t="s">
        <v>17546</v>
      </c>
      <c r="AC2686">
        <v>2</v>
      </c>
      <c r="AD2686" t="s">
        <v>19565</v>
      </c>
      <c r="AE2686" t="s">
        <v>9144</v>
      </c>
      <c r="AF2686">
        <v>4</v>
      </c>
      <c r="AG2686">
        <v>2</v>
      </c>
      <c r="AH2686">
        <v>3</v>
      </c>
      <c r="AI2686">
        <v>89.48999999999999</v>
      </c>
      <c r="AL2686" t="s">
        <v>19622</v>
      </c>
      <c r="AM2686">
        <v>27000</v>
      </c>
      <c r="AS2686">
        <v>2</v>
      </c>
      <c r="AT2686" t="s">
        <v>377</v>
      </c>
      <c r="AU2686" t="s">
        <v>20619</v>
      </c>
      <c r="AV2686" t="s">
        <v>20733</v>
      </c>
    </row>
    <row r="2687" spans="1:48">
      <c r="A2687" s="1">
        <f>HYPERLINK("https://lsnyc.legalserver.org/matter/dynamic-profile/view/1845563","17-1845563")</f>
        <v>0</v>
      </c>
      <c r="B2687" t="s">
        <v>150</v>
      </c>
      <c r="C2687" t="s">
        <v>256</v>
      </c>
      <c r="D2687" t="s">
        <v>646</v>
      </c>
      <c r="F2687" t="s">
        <v>1222</v>
      </c>
      <c r="G2687" t="s">
        <v>3740</v>
      </c>
      <c r="H2687" t="s">
        <v>6207</v>
      </c>
      <c r="J2687" t="s">
        <v>9059</v>
      </c>
      <c r="K2687">
        <v>11213</v>
      </c>
      <c r="L2687" t="s">
        <v>9094</v>
      </c>
      <c r="M2687" t="s">
        <v>9095</v>
      </c>
      <c r="O2687" t="s">
        <v>11130</v>
      </c>
      <c r="P2687" t="s">
        <v>11165</v>
      </c>
      <c r="R2687" t="s">
        <v>11180</v>
      </c>
      <c r="S2687" t="s">
        <v>9094</v>
      </c>
      <c r="T2687" t="s">
        <v>11183</v>
      </c>
      <c r="V2687" t="s">
        <v>837</v>
      </c>
      <c r="W2687">
        <v>0</v>
      </c>
      <c r="X2687" t="s">
        <v>11332</v>
      </c>
      <c r="Y2687" t="s">
        <v>11346</v>
      </c>
      <c r="Z2687" t="s">
        <v>13191</v>
      </c>
      <c r="AB2687" t="s">
        <v>17547</v>
      </c>
      <c r="AC2687">
        <v>74</v>
      </c>
      <c r="AD2687" t="s">
        <v>19566</v>
      </c>
      <c r="AF2687">
        <v>0</v>
      </c>
      <c r="AG2687">
        <v>1</v>
      </c>
      <c r="AH2687">
        <v>0</v>
      </c>
      <c r="AI2687">
        <v>89.65000000000001</v>
      </c>
      <c r="AJ2687" t="s">
        <v>1108</v>
      </c>
      <c r="AL2687" t="s">
        <v>19614</v>
      </c>
      <c r="AM2687">
        <v>10812</v>
      </c>
      <c r="AS2687">
        <v>0</v>
      </c>
      <c r="AU2687" t="s">
        <v>20636</v>
      </c>
    </row>
    <row r="2688" spans="1:48">
      <c r="A2688" s="1">
        <f>HYPERLINK("https://lsnyc.legalserver.org/matter/dynamic-profile/view/1899798","19-1899798")</f>
        <v>0</v>
      </c>
      <c r="B2688" t="s">
        <v>113</v>
      </c>
      <c r="C2688" t="s">
        <v>256</v>
      </c>
      <c r="D2688" t="s">
        <v>411</v>
      </c>
      <c r="F2688" t="s">
        <v>2303</v>
      </c>
      <c r="G2688" t="s">
        <v>2216</v>
      </c>
      <c r="H2688" t="s">
        <v>5864</v>
      </c>
      <c r="I2688" t="s">
        <v>8646</v>
      </c>
      <c r="J2688" t="s">
        <v>9065</v>
      </c>
      <c r="K2688">
        <v>10460</v>
      </c>
      <c r="L2688" t="s">
        <v>9094</v>
      </c>
      <c r="M2688" t="s">
        <v>9095</v>
      </c>
      <c r="N2688" t="s">
        <v>9171</v>
      </c>
      <c r="O2688" t="s">
        <v>9121</v>
      </c>
      <c r="P2688" t="s">
        <v>11166</v>
      </c>
      <c r="R2688" t="s">
        <v>11180</v>
      </c>
      <c r="S2688" t="s">
        <v>9094</v>
      </c>
      <c r="T2688" t="s">
        <v>11183</v>
      </c>
      <c r="V2688" t="s">
        <v>11218</v>
      </c>
      <c r="W2688">
        <v>262</v>
      </c>
      <c r="X2688" t="s">
        <v>11333</v>
      </c>
      <c r="Y2688" t="s">
        <v>11346</v>
      </c>
      <c r="Z2688" t="s">
        <v>12593</v>
      </c>
      <c r="AB2688" t="s">
        <v>17548</v>
      </c>
      <c r="AC2688">
        <v>168</v>
      </c>
      <c r="AD2688" t="s">
        <v>19571</v>
      </c>
      <c r="AE2688" t="s">
        <v>19580</v>
      </c>
      <c r="AF2688">
        <v>27</v>
      </c>
      <c r="AG2688">
        <v>1</v>
      </c>
      <c r="AH2688">
        <v>0</v>
      </c>
      <c r="AI2688">
        <v>89.67</v>
      </c>
      <c r="AL2688" t="s">
        <v>19614</v>
      </c>
      <c r="AM2688">
        <v>11199.96</v>
      </c>
      <c r="AS2688">
        <v>0</v>
      </c>
      <c r="AU2688" t="s">
        <v>163</v>
      </c>
      <c r="AV2688" t="s">
        <v>20733</v>
      </c>
    </row>
    <row r="2689" spans="1:48">
      <c r="A2689" s="1">
        <f>HYPERLINK("https://lsnyc.legalserver.org/matter/dynamic-profile/view/1914127","19-1914127")</f>
        <v>0</v>
      </c>
      <c r="B2689" t="s">
        <v>98</v>
      </c>
      <c r="C2689" t="s">
        <v>256</v>
      </c>
      <c r="D2689" t="s">
        <v>395</v>
      </c>
      <c r="F2689" t="s">
        <v>2304</v>
      </c>
      <c r="G2689" t="s">
        <v>4525</v>
      </c>
      <c r="H2689" t="s">
        <v>5879</v>
      </c>
      <c r="I2689" t="s">
        <v>8191</v>
      </c>
      <c r="J2689" t="s">
        <v>9065</v>
      </c>
      <c r="K2689">
        <v>10456</v>
      </c>
      <c r="L2689" t="s">
        <v>9095</v>
      </c>
      <c r="M2689" t="s">
        <v>9095</v>
      </c>
      <c r="O2689" t="s">
        <v>11134</v>
      </c>
      <c r="P2689" t="s">
        <v>11168</v>
      </c>
      <c r="R2689" t="s">
        <v>11180</v>
      </c>
      <c r="S2689" t="s">
        <v>9094</v>
      </c>
      <c r="T2689" t="s">
        <v>11183</v>
      </c>
      <c r="W2689">
        <v>1235</v>
      </c>
      <c r="X2689" t="s">
        <v>11333</v>
      </c>
      <c r="Y2689" t="s">
        <v>11346</v>
      </c>
      <c r="Z2689" t="s">
        <v>13192</v>
      </c>
      <c r="AB2689" t="s">
        <v>17549</v>
      </c>
      <c r="AC2689">
        <v>30</v>
      </c>
      <c r="AD2689" t="s">
        <v>19566</v>
      </c>
      <c r="AE2689" t="s">
        <v>9144</v>
      </c>
      <c r="AF2689">
        <v>19</v>
      </c>
      <c r="AG2689">
        <v>4</v>
      </c>
      <c r="AH2689">
        <v>3</v>
      </c>
      <c r="AI2689">
        <v>89.72</v>
      </c>
      <c r="AM2689">
        <v>35000</v>
      </c>
      <c r="AS2689">
        <v>0</v>
      </c>
      <c r="AU2689" t="s">
        <v>98</v>
      </c>
    </row>
    <row r="2690" spans="1:48">
      <c r="A2690" s="1">
        <f>HYPERLINK("https://lsnyc.legalserver.org/matter/dynamic-profile/view/1892650","19-1892650")</f>
        <v>0</v>
      </c>
      <c r="B2690" t="s">
        <v>70</v>
      </c>
      <c r="C2690" t="s">
        <v>256</v>
      </c>
      <c r="D2690" t="s">
        <v>553</v>
      </c>
      <c r="F2690" t="s">
        <v>1365</v>
      </c>
      <c r="G2690" t="s">
        <v>4526</v>
      </c>
      <c r="H2690" t="s">
        <v>5750</v>
      </c>
      <c r="I2690" t="s">
        <v>8647</v>
      </c>
      <c r="J2690" t="s">
        <v>9059</v>
      </c>
      <c r="K2690">
        <v>11233</v>
      </c>
      <c r="L2690" t="s">
        <v>9094</v>
      </c>
      <c r="M2690" t="s">
        <v>9096</v>
      </c>
      <c r="N2690" t="s">
        <v>9145</v>
      </c>
      <c r="O2690" t="s">
        <v>11134</v>
      </c>
      <c r="P2690" t="s">
        <v>11168</v>
      </c>
      <c r="R2690" t="s">
        <v>11180</v>
      </c>
      <c r="S2690" t="s">
        <v>9094</v>
      </c>
      <c r="T2690" t="s">
        <v>11183</v>
      </c>
      <c r="U2690" t="s">
        <v>11201</v>
      </c>
      <c r="V2690" t="s">
        <v>482</v>
      </c>
      <c r="W2690">
        <v>1321</v>
      </c>
      <c r="X2690" t="s">
        <v>11332</v>
      </c>
      <c r="Y2690" t="s">
        <v>11157</v>
      </c>
      <c r="Z2690" t="s">
        <v>13193</v>
      </c>
      <c r="AC2690">
        <v>359</v>
      </c>
      <c r="AD2690" t="s">
        <v>19566</v>
      </c>
      <c r="AF2690">
        <v>34</v>
      </c>
      <c r="AG2690">
        <v>1</v>
      </c>
      <c r="AH2690">
        <v>3</v>
      </c>
      <c r="AI2690">
        <v>89.8</v>
      </c>
      <c r="AL2690" t="s">
        <v>19614</v>
      </c>
      <c r="AM2690">
        <v>23124</v>
      </c>
      <c r="AN2690" t="s">
        <v>19885</v>
      </c>
      <c r="AS2690">
        <v>0</v>
      </c>
      <c r="AU2690" t="s">
        <v>79</v>
      </c>
    </row>
    <row r="2691" spans="1:48">
      <c r="A2691" s="1">
        <f>HYPERLINK("https://lsnyc.legalserver.org/matter/dynamic-profile/view/1892653","19-1892653")</f>
        <v>0</v>
      </c>
      <c r="B2691" t="s">
        <v>70</v>
      </c>
      <c r="C2691" t="s">
        <v>256</v>
      </c>
      <c r="D2691" t="s">
        <v>553</v>
      </c>
      <c r="F2691" t="s">
        <v>1365</v>
      </c>
      <c r="G2691" t="s">
        <v>4526</v>
      </c>
      <c r="H2691" t="s">
        <v>5750</v>
      </c>
      <c r="I2691" t="s">
        <v>8647</v>
      </c>
      <c r="J2691" t="s">
        <v>9059</v>
      </c>
      <c r="K2691">
        <v>11233</v>
      </c>
      <c r="L2691" t="s">
        <v>9094</v>
      </c>
      <c r="M2691" t="s">
        <v>9096</v>
      </c>
      <c r="O2691" t="s">
        <v>11137</v>
      </c>
      <c r="P2691" t="s">
        <v>11167</v>
      </c>
      <c r="R2691" t="s">
        <v>11180</v>
      </c>
      <c r="S2691" t="s">
        <v>9094</v>
      </c>
      <c r="T2691" t="s">
        <v>11183</v>
      </c>
      <c r="U2691" t="s">
        <v>11201</v>
      </c>
      <c r="V2691" t="s">
        <v>749</v>
      </c>
      <c r="W2691">
        <v>1321</v>
      </c>
      <c r="X2691" t="s">
        <v>11332</v>
      </c>
      <c r="Y2691" t="s">
        <v>11157</v>
      </c>
      <c r="Z2691" t="s">
        <v>13193</v>
      </c>
      <c r="AC2691">
        <v>359</v>
      </c>
      <c r="AD2691" t="s">
        <v>19566</v>
      </c>
      <c r="AF2691">
        <v>34</v>
      </c>
      <c r="AG2691">
        <v>1</v>
      </c>
      <c r="AH2691">
        <v>3</v>
      </c>
      <c r="AI2691">
        <v>89.8</v>
      </c>
      <c r="AL2691" t="s">
        <v>19614</v>
      </c>
      <c r="AM2691">
        <v>23124</v>
      </c>
      <c r="AN2691" t="s">
        <v>19897</v>
      </c>
      <c r="AS2691">
        <v>0</v>
      </c>
      <c r="AU2691" t="s">
        <v>79</v>
      </c>
    </row>
    <row r="2692" spans="1:48">
      <c r="A2692" s="1">
        <f>HYPERLINK("https://lsnyc.legalserver.org/matter/dynamic-profile/view/1914295","19-1914295")</f>
        <v>0</v>
      </c>
      <c r="B2692" t="s">
        <v>147</v>
      </c>
      <c r="C2692" t="s">
        <v>256</v>
      </c>
      <c r="D2692" t="s">
        <v>377</v>
      </c>
      <c r="F2692" t="s">
        <v>1255</v>
      </c>
      <c r="G2692" t="s">
        <v>3656</v>
      </c>
      <c r="H2692" t="s">
        <v>7050</v>
      </c>
      <c r="I2692" t="s">
        <v>8107</v>
      </c>
      <c r="J2692" t="s">
        <v>9066</v>
      </c>
      <c r="K2692">
        <v>10301</v>
      </c>
      <c r="L2692" t="s">
        <v>9094</v>
      </c>
      <c r="M2692" t="s">
        <v>9095</v>
      </c>
      <c r="N2692" t="s">
        <v>9154</v>
      </c>
      <c r="O2692" t="s">
        <v>9121</v>
      </c>
      <c r="P2692" t="s">
        <v>11164</v>
      </c>
      <c r="R2692" t="s">
        <v>11180</v>
      </c>
      <c r="S2692" t="s">
        <v>9096</v>
      </c>
      <c r="T2692" t="s">
        <v>11183</v>
      </c>
      <c r="U2692" t="s">
        <v>11201</v>
      </c>
      <c r="V2692" t="s">
        <v>377</v>
      </c>
      <c r="W2692">
        <v>2300</v>
      </c>
      <c r="X2692" t="s">
        <v>11334</v>
      </c>
      <c r="Y2692" t="s">
        <v>11342</v>
      </c>
      <c r="Z2692" t="s">
        <v>12723</v>
      </c>
      <c r="AB2692" t="s">
        <v>17550</v>
      </c>
      <c r="AC2692">
        <v>2</v>
      </c>
      <c r="AD2692" t="s">
        <v>19565</v>
      </c>
      <c r="AE2692" t="s">
        <v>19580</v>
      </c>
      <c r="AF2692">
        <v>2</v>
      </c>
      <c r="AG2692">
        <v>4</v>
      </c>
      <c r="AH2692">
        <v>0</v>
      </c>
      <c r="AI2692">
        <v>89.8</v>
      </c>
      <c r="AL2692" t="s">
        <v>19614</v>
      </c>
      <c r="AM2692">
        <v>23124</v>
      </c>
      <c r="AP2692" t="s">
        <v>11157</v>
      </c>
      <c r="AQ2692" t="s">
        <v>20369</v>
      </c>
      <c r="AR2692" t="s">
        <v>20503</v>
      </c>
      <c r="AS2692">
        <v>1.25</v>
      </c>
      <c r="AT2692" t="s">
        <v>487</v>
      </c>
      <c r="AU2692" t="s">
        <v>20653</v>
      </c>
      <c r="AV2692" t="s">
        <v>20733</v>
      </c>
    </row>
    <row r="2693" spans="1:48">
      <c r="A2693" s="1">
        <f>HYPERLINK("https://lsnyc.legalserver.org/matter/dynamic-profile/view/1900058","19-1900058")</f>
        <v>0</v>
      </c>
      <c r="B2693" t="s">
        <v>164</v>
      </c>
      <c r="C2693" t="s">
        <v>257</v>
      </c>
      <c r="D2693" t="s">
        <v>293</v>
      </c>
      <c r="E2693" t="s">
        <v>1128</v>
      </c>
      <c r="F2693" t="s">
        <v>1384</v>
      </c>
      <c r="G2693" t="s">
        <v>4527</v>
      </c>
      <c r="H2693" t="s">
        <v>7051</v>
      </c>
      <c r="J2693" t="s">
        <v>9047</v>
      </c>
      <c r="K2693">
        <v>11412</v>
      </c>
      <c r="L2693" t="s">
        <v>9094</v>
      </c>
      <c r="M2693" t="s">
        <v>9095</v>
      </c>
      <c r="N2693" t="s">
        <v>10157</v>
      </c>
      <c r="O2693" t="s">
        <v>11128</v>
      </c>
      <c r="P2693" t="s">
        <v>11164</v>
      </c>
      <c r="Q2693" t="s">
        <v>11172</v>
      </c>
      <c r="R2693" t="s">
        <v>11180</v>
      </c>
      <c r="S2693" t="s">
        <v>9096</v>
      </c>
      <c r="T2693" t="s">
        <v>11183</v>
      </c>
      <c r="U2693" t="s">
        <v>11200</v>
      </c>
      <c r="V2693" t="s">
        <v>293</v>
      </c>
      <c r="W2693">
        <v>0</v>
      </c>
      <c r="X2693" t="s">
        <v>11331</v>
      </c>
      <c r="Y2693" t="s">
        <v>11336</v>
      </c>
      <c r="Z2693" t="s">
        <v>13194</v>
      </c>
      <c r="AA2693" t="s">
        <v>15274</v>
      </c>
      <c r="AB2693" t="s">
        <v>17551</v>
      </c>
      <c r="AC2693">
        <v>2</v>
      </c>
      <c r="AD2693" t="s">
        <v>15441</v>
      </c>
      <c r="AE2693" t="s">
        <v>9144</v>
      </c>
      <c r="AF2693">
        <v>3</v>
      </c>
      <c r="AG2693">
        <v>1</v>
      </c>
      <c r="AH2693">
        <v>0</v>
      </c>
      <c r="AI2693">
        <v>89.83</v>
      </c>
      <c r="AL2693" t="s">
        <v>19614</v>
      </c>
      <c r="AM2693">
        <v>11220</v>
      </c>
      <c r="AS2693">
        <v>1</v>
      </c>
      <c r="AT2693" t="s">
        <v>293</v>
      </c>
      <c r="AU2693" t="s">
        <v>20622</v>
      </c>
      <c r="AV2693" t="s">
        <v>20733</v>
      </c>
    </row>
    <row r="2694" spans="1:48">
      <c r="A2694" s="1">
        <f>HYPERLINK("https://lsnyc.legalserver.org/matter/dynamic-profile/view/1898437","19-1898437")</f>
        <v>0</v>
      </c>
      <c r="B2694" t="s">
        <v>140</v>
      </c>
      <c r="C2694" t="s">
        <v>256</v>
      </c>
      <c r="D2694" t="s">
        <v>299</v>
      </c>
      <c r="F2694" t="s">
        <v>1904</v>
      </c>
      <c r="G2694" t="s">
        <v>3370</v>
      </c>
      <c r="H2694" t="s">
        <v>5999</v>
      </c>
      <c r="I2694" t="s">
        <v>8156</v>
      </c>
      <c r="J2694" t="s">
        <v>9067</v>
      </c>
      <c r="K2694">
        <v>10040</v>
      </c>
      <c r="L2694" t="s">
        <v>9094</v>
      </c>
      <c r="M2694" t="s">
        <v>9094</v>
      </c>
      <c r="P2694" t="s">
        <v>11164</v>
      </c>
      <c r="R2694" t="s">
        <v>11180</v>
      </c>
      <c r="S2694" t="s">
        <v>9096</v>
      </c>
      <c r="T2694" t="s">
        <v>11183</v>
      </c>
      <c r="V2694" t="s">
        <v>299</v>
      </c>
      <c r="W2694">
        <v>1045.94</v>
      </c>
      <c r="X2694" t="s">
        <v>11335</v>
      </c>
      <c r="Y2694" t="s">
        <v>11340</v>
      </c>
      <c r="Z2694" t="s">
        <v>13195</v>
      </c>
      <c r="AB2694" t="s">
        <v>17552</v>
      </c>
      <c r="AC2694">
        <v>44</v>
      </c>
      <c r="AD2694" t="s">
        <v>19566</v>
      </c>
      <c r="AE2694" t="s">
        <v>9144</v>
      </c>
      <c r="AF2694">
        <v>36</v>
      </c>
      <c r="AG2694">
        <v>3</v>
      </c>
      <c r="AH2694">
        <v>0</v>
      </c>
      <c r="AI2694">
        <v>89.84999999999999</v>
      </c>
      <c r="AL2694" t="s">
        <v>19615</v>
      </c>
      <c r="AM2694">
        <v>19164</v>
      </c>
      <c r="AS2694">
        <v>22.3</v>
      </c>
      <c r="AT2694" t="s">
        <v>632</v>
      </c>
      <c r="AU2694" t="s">
        <v>130</v>
      </c>
    </row>
    <row r="2695" spans="1:48">
      <c r="A2695" s="1">
        <f>HYPERLINK("https://lsnyc.legalserver.org/matter/dynamic-profile/view/0806919","16-0806919")</f>
        <v>0</v>
      </c>
      <c r="B2695" t="s">
        <v>141</v>
      </c>
      <c r="C2695" t="s">
        <v>256</v>
      </c>
      <c r="D2695" t="s">
        <v>590</v>
      </c>
      <c r="F2695" t="s">
        <v>1256</v>
      </c>
      <c r="G2695" t="s">
        <v>3677</v>
      </c>
      <c r="H2695" t="s">
        <v>6382</v>
      </c>
      <c r="I2695" t="s">
        <v>8151</v>
      </c>
      <c r="J2695" t="s">
        <v>9067</v>
      </c>
      <c r="K2695">
        <v>10034</v>
      </c>
      <c r="L2695" t="s">
        <v>9094</v>
      </c>
      <c r="M2695" t="s">
        <v>9095</v>
      </c>
      <c r="N2695" t="s">
        <v>9628</v>
      </c>
      <c r="O2695" t="s">
        <v>11130</v>
      </c>
      <c r="P2695" t="s">
        <v>11165</v>
      </c>
      <c r="R2695" t="s">
        <v>11180</v>
      </c>
      <c r="S2695" t="s">
        <v>9094</v>
      </c>
      <c r="T2695" t="s">
        <v>11183</v>
      </c>
      <c r="V2695" t="s">
        <v>956</v>
      </c>
      <c r="W2695">
        <v>629.17</v>
      </c>
      <c r="X2695" t="s">
        <v>11335</v>
      </c>
      <c r="Y2695" t="s">
        <v>11346</v>
      </c>
      <c r="Z2695" t="s">
        <v>13196</v>
      </c>
      <c r="AB2695" t="s">
        <v>17553</v>
      </c>
      <c r="AC2695">
        <v>44</v>
      </c>
      <c r="AD2695" t="s">
        <v>19566</v>
      </c>
      <c r="AE2695" t="s">
        <v>9144</v>
      </c>
      <c r="AF2695">
        <v>29</v>
      </c>
      <c r="AG2695">
        <v>2</v>
      </c>
      <c r="AH2695">
        <v>0</v>
      </c>
      <c r="AI2695">
        <v>89.89</v>
      </c>
      <c r="AL2695" t="s">
        <v>19615</v>
      </c>
      <c r="AM2695">
        <v>14400</v>
      </c>
      <c r="AS2695">
        <v>26.1</v>
      </c>
      <c r="AT2695" t="s">
        <v>965</v>
      </c>
      <c r="AU2695" t="s">
        <v>20657</v>
      </c>
    </row>
    <row r="2696" spans="1:48">
      <c r="A2696" s="1">
        <f>HYPERLINK("https://lsnyc.legalserver.org/matter/dynamic-profile/view/1906897","19-1906897")</f>
        <v>0</v>
      </c>
      <c r="B2696" t="s">
        <v>217</v>
      </c>
      <c r="C2696" t="s">
        <v>257</v>
      </c>
      <c r="D2696" t="s">
        <v>370</v>
      </c>
      <c r="E2696" t="s">
        <v>435</v>
      </c>
      <c r="F2696" t="s">
        <v>2305</v>
      </c>
      <c r="G2696" t="s">
        <v>3647</v>
      </c>
      <c r="H2696" t="s">
        <v>7052</v>
      </c>
      <c r="I2696" t="s">
        <v>8140</v>
      </c>
      <c r="J2696" t="s">
        <v>9067</v>
      </c>
      <c r="K2696">
        <v>10002</v>
      </c>
      <c r="L2696" t="s">
        <v>9094</v>
      </c>
      <c r="M2696" t="s">
        <v>9095</v>
      </c>
      <c r="O2696" t="s">
        <v>9121</v>
      </c>
      <c r="P2696" t="s">
        <v>11164</v>
      </c>
      <c r="Q2696" t="s">
        <v>11172</v>
      </c>
      <c r="R2696" t="s">
        <v>11180</v>
      </c>
      <c r="S2696" t="s">
        <v>9096</v>
      </c>
      <c r="T2696" t="s">
        <v>11183</v>
      </c>
      <c r="V2696" t="s">
        <v>370</v>
      </c>
      <c r="W2696">
        <v>947</v>
      </c>
      <c r="X2696" t="s">
        <v>11335</v>
      </c>
      <c r="Y2696" t="s">
        <v>11339</v>
      </c>
      <c r="Z2696" t="s">
        <v>13197</v>
      </c>
      <c r="AB2696" t="s">
        <v>17554</v>
      </c>
      <c r="AC2696">
        <v>11</v>
      </c>
      <c r="AD2696" t="s">
        <v>19566</v>
      </c>
      <c r="AE2696" t="s">
        <v>19586</v>
      </c>
      <c r="AF2696">
        <v>1</v>
      </c>
      <c r="AG2696">
        <v>1</v>
      </c>
      <c r="AH2696">
        <v>0</v>
      </c>
      <c r="AI2696">
        <v>89.93000000000001</v>
      </c>
      <c r="AL2696" t="s">
        <v>19622</v>
      </c>
      <c r="AM2696">
        <v>11232</v>
      </c>
      <c r="AS2696">
        <v>2.4</v>
      </c>
      <c r="AT2696" t="s">
        <v>288</v>
      </c>
      <c r="AU2696" t="s">
        <v>20655</v>
      </c>
      <c r="AV2696" t="s">
        <v>20733</v>
      </c>
    </row>
    <row r="2697" spans="1:48">
      <c r="A2697" s="1">
        <f>HYPERLINK("https://lsnyc.legalserver.org/matter/dynamic-profile/view/1887836","19-1887836")</f>
        <v>0</v>
      </c>
      <c r="B2697" t="s">
        <v>78</v>
      </c>
      <c r="C2697" t="s">
        <v>256</v>
      </c>
      <c r="D2697" t="s">
        <v>363</v>
      </c>
      <c r="F2697" t="s">
        <v>2018</v>
      </c>
      <c r="G2697" t="s">
        <v>3966</v>
      </c>
      <c r="H2697" t="s">
        <v>5785</v>
      </c>
      <c r="I2697" t="s">
        <v>8648</v>
      </c>
      <c r="J2697" t="s">
        <v>9059</v>
      </c>
      <c r="K2697">
        <v>11225</v>
      </c>
      <c r="L2697" t="s">
        <v>9094</v>
      </c>
      <c r="M2697" t="s">
        <v>9095</v>
      </c>
      <c r="O2697" t="s">
        <v>11134</v>
      </c>
      <c r="P2697" t="s">
        <v>11168</v>
      </c>
      <c r="R2697" t="s">
        <v>11180</v>
      </c>
      <c r="S2697" t="s">
        <v>9094</v>
      </c>
      <c r="T2697" t="s">
        <v>11183</v>
      </c>
      <c r="V2697" t="s">
        <v>412</v>
      </c>
      <c r="W2697">
        <v>0</v>
      </c>
      <c r="X2697" t="s">
        <v>11332</v>
      </c>
      <c r="Y2697" t="s">
        <v>11339</v>
      </c>
      <c r="Z2697" t="s">
        <v>13198</v>
      </c>
      <c r="AB2697" t="s">
        <v>17555</v>
      </c>
      <c r="AC2697">
        <v>89</v>
      </c>
      <c r="AD2697" t="s">
        <v>19566</v>
      </c>
      <c r="AE2697" t="s">
        <v>19587</v>
      </c>
      <c r="AF2697">
        <v>29</v>
      </c>
      <c r="AG2697">
        <v>2</v>
      </c>
      <c r="AH2697">
        <v>0</v>
      </c>
      <c r="AI2697">
        <v>89.95999999999999</v>
      </c>
      <c r="AL2697" t="s">
        <v>19614</v>
      </c>
      <c r="AM2697">
        <v>14808</v>
      </c>
      <c r="AS2697">
        <v>0</v>
      </c>
      <c r="AU2697" t="s">
        <v>79</v>
      </c>
    </row>
    <row r="2698" spans="1:48">
      <c r="A2698" s="1">
        <f>HYPERLINK("https://lsnyc.legalserver.org/matter/dynamic-profile/view/1872113","18-1872113")</f>
        <v>0</v>
      </c>
      <c r="B2698" t="s">
        <v>78</v>
      </c>
      <c r="C2698" t="s">
        <v>256</v>
      </c>
      <c r="D2698" t="s">
        <v>352</v>
      </c>
      <c r="F2698" t="s">
        <v>2018</v>
      </c>
      <c r="G2698" t="s">
        <v>3966</v>
      </c>
      <c r="H2698" t="s">
        <v>5785</v>
      </c>
      <c r="I2698" t="s">
        <v>8648</v>
      </c>
      <c r="J2698" t="s">
        <v>9059</v>
      </c>
      <c r="K2698">
        <v>11225</v>
      </c>
      <c r="L2698" t="s">
        <v>9094</v>
      </c>
      <c r="M2698" t="s">
        <v>9095</v>
      </c>
      <c r="O2698" t="s">
        <v>11137</v>
      </c>
      <c r="P2698" t="s">
        <v>11167</v>
      </c>
      <c r="R2698" t="s">
        <v>11180</v>
      </c>
      <c r="S2698" t="s">
        <v>9094</v>
      </c>
      <c r="T2698" t="s">
        <v>11183</v>
      </c>
      <c r="V2698" t="s">
        <v>412</v>
      </c>
      <c r="W2698">
        <v>900</v>
      </c>
      <c r="X2698" t="s">
        <v>11332</v>
      </c>
      <c r="Y2698" t="s">
        <v>11339</v>
      </c>
      <c r="Z2698" t="s">
        <v>13198</v>
      </c>
      <c r="AB2698" t="s">
        <v>17555</v>
      </c>
      <c r="AC2698">
        <v>89</v>
      </c>
      <c r="AD2698" t="s">
        <v>19566</v>
      </c>
      <c r="AE2698" t="s">
        <v>19587</v>
      </c>
      <c r="AF2698">
        <v>29</v>
      </c>
      <c r="AG2698">
        <v>2</v>
      </c>
      <c r="AH2698">
        <v>0</v>
      </c>
      <c r="AI2698">
        <v>89.95999999999999</v>
      </c>
      <c r="AL2698" t="s">
        <v>19614</v>
      </c>
      <c r="AM2698">
        <v>14808</v>
      </c>
      <c r="AS2698">
        <v>0</v>
      </c>
      <c r="AU2698" t="s">
        <v>95</v>
      </c>
    </row>
    <row r="2699" spans="1:48">
      <c r="A2699" s="1">
        <f>HYPERLINK("https://lsnyc.legalserver.org/matter/dynamic-profile/view/1888671","19-1888671")</f>
        <v>0</v>
      </c>
      <c r="B2699" t="s">
        <v>52</v>
      </c>
      <c r="C2699" t="s">
        <v>256</v>
      </c>
      <c r="D2699" t="s">
        <v>325</v>
      </c>
      <c r="F2699" t="s">
        <v>1358</v>
      </c>
      <c r="G2699" t="s">
        <v>3374</v>
      </c>
      <c r="H2699" t="s">
        <v>7053</v>
      </c>
      <c r="I2699" t="s">
        <v>8649</v>
      </c>
      <c r="J2699" t="s">
        <v>9088</v>
      </c>
      <c r="K2699">
        <v>11369</v>
      </c>
      <c r="L2699" t="s">
        <v>9094</v>
      </c>
      <c r="M2699" t="s">
        <v>9094</v>
      </c>
      <c r="N2699" t="s">
        <v>10158</v>
      </c>
      <c r="O2699" t="s">
        <v>11129</v>
      </c>
      <c r="P2699" t="s">
        <v>11165</v>
      </c>
      <c r="R2699" t="s">
        <v>11180</v>
      </c>
      <c r="S2699" t="s">
        <v>9096</v>
      </c>
      <c r="T2699" t="s">
        <v>11183</v>
      </c>
      <c r="U2699" t="s">
        <v>11201</v>
      </c>
      <c r="V2699" t="s">
        <v>494</v>
      </c>
      <c r="W2699">
        <v>814.5700000000001</v>
      </c>
      <c r="X2699" t="s">
        <v>11331</v>
      </c>
      <c r="Y2699" t="s">
        <v>11336</v>
      </c>
      <c r="Z2699" t="s">
        <v>13199</v>
      </c>
      <c r="AB2699" t="s">
        <v>17556</v>
      </c>
      <c r="AC2699">
        <v>43</v>
      </c>
      <c r="AD2699" t="s">
        <v>19566</v>
      </c>
      <c r="AE2699" t="s">
        <v>9144</v>
      </c>
      <c r="AF2699">
        <v>5</v>
      </c>
      <c r="AG2699">
        <v>1</v>
      </c>
      <c r="AH2699">
        <v>2</v>
      </c>
      <c r="AI2699">
        <v>90.01000000000001</v>
      </c>
      <c r="AL2699" t="s">
        <v>19614</v>
      </c>
      <c r="AM2699">
        <v>19200</v>
      </c>
      <c r="AS2699">
        <v>3.95</v>
      </c>
      <c r="AT2699" t="s">
        <v>421</v>
      </c>
      <c r="AU2699" t="s">
        <v>153</v>
      </c>
    </row>
    <row r="2700" spans="1:48">
      <c r="A2700" s="1">
        <f>HYPERLINK("https://lsnyc.legalserver.org/matter/dynamic-profile/view/1907469","19-1907469")</f>
        <v>0</v>
      </c>
      <c r="B2700" t="s">
        <v>86</v>
      </c>
      <c r="C2700" t="s">
        <v>256</v>
      </c>
      <c r="D2700" t="s">
        <v>275</v>
      </c>
      <c r="F2700" t="s">
        <v>1199</v>
      </c>
      <c r="G2700" t="s">
        <v>4528</v>
      </c>
      <c r="H2700" t="s">
        <v>5786</v>
      </c>
      <c r="I2700" t="s">
        <v>8641</v>
      </c>
      <c r="J2700" t="s">
        <v>9059</v>
      </c>
      <c r="K2700">
        <v>11225</v>
      </c>
      <c r="L2700" t="s">
        <v>9094</v>
      </c>
      <c r="M2700" t="s">
        <v>9095</v>
      </c>
      <c r="O2700" t="s">
        <v>11137</v>
      </c>
      <c r="P2700" t="s">
        <v>11166</v>
      </c>
      <c r="R2700" t="s">
        <v>11180</v>
      </c>
      <c r="S2700" t="s">
        <v>9094</v>
      </c>
      <c r="T2700" t="s">
        <v>11183</v>
      </c>
      <c r="V2700" t="s">
        <v>275</v>
      </c>
      <c r="W2700">
        <v>0</v>
      </c>
      <c r="X2700" t="s">
        <v>11332</v>
      </c>
      <c r="Z2700" t="s">
        <v>13200</v>
      </c>
      <c r="AC2700">
        <v>46</v>
      </c>
      <c r="AF2700">
        <v>0</v>
      </c>
      <c r="AG2700">
        <v>3</v>
      </c>
      <c r="AH2700">
        <v>0</v>
      </c>
      <c r="AI2700">
        <v>90.01000000000001</v>
      </c>
      <c r="AL2700" t="s">
        <v>19614</v>
      </c>
      <c r="AM2700">
        <v>19200</v>
      </c>
      <c r="AS2700">
        <v>0</v>
      </c>
      <c r="AU2700" t="s">
        <v>215</v>
      </c>
      <c r="AV2700" t="s">
        <v>20733</v>
      </c>
    </row>
    <row r="2701" spans="1:48">
      <c r="A2701" s="1">
        <f>HYPERLINK("https://lsnyc.legalserver.org/matter/dynamic-profile/view/1914511","19-1914511")</f>
        <v>0</v>
      </c>
      <c r="B2701" t="s">
        <v>93</v>
      </c>
      <c r="C2701" t="s">
        <v>256</v>
      </c>
      <c r="D2701" t="s">
        <v>612</v>
      </c>
      <c r="F2701" t="s">
        <v>2306</v>
      </c>
      <c r="G2701" t="s">
        <v>4529</v>
      </c>
      <c r="H2701" t="s">
        <v>7054</v>
      </c>
      <c r="I2701">
        <v>3</v>
      </c>
      <c r="J2701" t="s">
        <v>9059</v>
      </c>
      <c r="K2701">
        <v>11208</v>
      </c>
      <c r="L2701" t="s">
        <v>9094</v>
      </c>
      <c r="M2701" t="s">
        <v>9095</v>
      </c>
      <c r="N2701" t="s">
        <v>9171</v>
      </c>
      <c r="O2701" t="s">
        <v>9121</v>
      </c>
      <c r="R2701" t="s">
        <v>11180</v>
      </c>
      <c r="S2701" t="s">
        <v>9096</v>
      </c>
      <c r="T2701" t="s">
        <v>11183</v>
      </c>
      <c r="U2701" t="s">
        <v>11201</v>
      </c>
      <c r="V2701" t="s">
        <v>395</v>
      </c>
      <c r="W2701">
        <v>0</v>
      </c>
      <c r="X2701" t="s">
        <v>11332</v>
      </c>
      <c r="Z2701" t="s">
        <v>13201</v>
      </c>
      <c r="AA2701" t="s">
        <v>9171</v>
      </c>
      <c r="AC2701">
        <v>3</v>
      </c>
      <c r="AD2701" t="s">
        <v>19565</v>
      </c>
      <c r="AE2701" t="s">
        <v>9144</v>
      </c>
      <c r="AF2701">
        <v>0</v>
      </c>
      <c r="AG2701">
        <v>2</v>
      </c>
      <c r="AH2701">
        <v>1</v>
      </c>
      <c r="AI2701">
        <v>90.01000000000001</v>
      </c>
      <c r="AL2701" t="s">
        <v>19615</v>
      </c>
      <c r="AM2701">
        <v>19200</v>
      </c>
      <c r="AN2701" t="s">
        <v>19898</v>
      </c>
      <c r="AS2701">
        <v>1</v>
      </c>
      <c r="AT2701" t="s">
        <v>395</v>
      </c>
      <c r="AU2701" t="s">
        <v>95</v>
      </c>
      <c r="AV2701" t="s">
        <v>20733</v>
      </c>
    </row>
    <row r="2702" spans="1:48">
      <c r="A2702" s="1">
        <f>HYPERLINK("https://lsnyc.legalserver.org/matter/dynamic-profile/view/1835328","17-1835328")</f>
        <v>0</v>
      </c>
      <c r="B2702" t="s">
        <v>68</v>
      </c>
      <c r="C2702" t="s">
        <v>256</v>
      </c>
      <c r="D2702" t="s">
        <v>955</v>
      </c>
      <c r="F2702" t="s">
        <v>1231</v>
      </c>
      <c r="G2702" t="s">
        <v>3419</v>
      </c>
      <c r="H2702" t="s">
        <v>6979</v>
      </c>
      <c r="I2702" t="s">
        <v>8443</v>
      </c>
      <c r="J2702" t="s">
        <v>9059</v>
      </c>
      <c r="K2702">
        <v>11219</v>
      </c>
      <c r="L2702" t="s">
        <v>9094</v>
      </c>
      <c r="M2702" t="s">
        <v>9095</v>
      </c>
      <c r="N2702" t="s">
        <v>10159</v>
      </c>
      <c r="O2702" t="s">
        <v>11128</v>
      </c>
      <c r="P2702" t="s">
        <v>11165</v>
      </c>
      <c r="R2702" t="s">
        <v>11180</v>
      </c>
      <c r="S2702" t="s">
        <v>9094</v>
      </c>
      <c r="T2702" t="s">
        <v>11183</v>
      </c>
      <c r="V2702" t="s">
        <v>878</v>
      </c>
      <c r="W2702">
        <v>900</v>
      </c>
      <c r="X2702" t="s">
        <v>11332</v>
      </c>
      <c r="Z2702" t="s">
        <v>13081</v>
      </c>
      <c r="AB2702" t="s">
        <v>17443</v>
      </c>
      <c r="AC2702">
        <v>6</v>
      </c>
      <c r="AD2702" t="s">
        <v>19566</v>
      </c>
      <c r="AE2702" t="s">
        <v>9144</v>
      </c>
      <c r="AF2702">
        <v>10</v>
      </c>
      <c r="AG2702">
        <v>3</v>
      </c>
      <c r="AH2702">
        <v>0</v>
      </c>
      <c r="AI2702">
        <v>90.09</v>
      </c>
      <c r="AL2702" t="s">
        <v>19615</v>
      </c>
      <c r="AM2702">
        <v>18396</v>
      </c>
      <c r="AS2702">
        <v>121.95</v>
      </c>
      <c r="AT2702" t="s">
        <v>334</v>
      </c>
      <c r="AU2702" t="s">
        <v>20636</v>
      </c>
    </row>
    <row r="2703" spans="1:48">
      <c r="A2703" s="1">
        <f>HYPERLINK("https://lsnyc.legalserver.org/matter/dynamic-profile/view/0809597","16-0809597")</f>
        <v>0</v>
      </c>
      <c r="B2703" t="s">
        <v>114</v>
      </c>
      <c r="C2703" t="s">
        <v>256</v>
      </c>
      <c r="D2703" t="s">
        <v>956</v>
      </c>
      <c r="F2703" t="s">
        <v>1599</v>
      </c>
      <c r="G2703" t="s">
        <v>3621</v>
      </c>
      <c r="H2703" t="s">
        <v>5890</v>
      </c>
      <c r="I2703" t="s">
        <v>8335</v>
      </c>
      <c r="J2703" t="s">
        <v>9065</v>
      </c>
      <c r="K2703">
        <v>10453</v>
      </c>
      <c r="L2703" t="s">
        <v>9094</v>
      </c>
      <c r="M2703" t="s">
        <v>9095</v>
      </c>
      <c r="N2703" t="s">
        <v>10160</v>
      </c>
      <c r="O2703" t="s">
        <v>11129</v>
      </c>
      <c r="P2703" t="s">
        <v>11165</v>
      </c>
      <c r="R2703" t="s">
        <v>11180</v>
      </c>
      <c r="S2703" t="s">
        <v>9096</v>
      </c>
      <c r="T2703" t="s">
        <v>11183</v>
      </c>
      <c r="V2703" t="s">
        <v>865</v>
      </c>
      <c r="W2703">
        <v>1139.81</v>
      </c>
      <c r="X2703" t="s">
        <v>11333</v>
      </c>
      <c r="Y2703" t="s">
        <v>11340</v>
      </c>
      <c r="Z2703" t="s">
        <v>11909</v>
      </c>
      <c r="AA2703" t="s">
        <v>15735</v>
      </c>
      <c r="AB2703" t="s">
        <v>16369</v>
      </c>
      <c r="AC2703">
        <v>46</v>
      </c>
      <c r="AD2703" t="s">
        <v>19566</v>
      </c>
      <c r="AE2703" t="s">
        <v>19582</v>
      </c>
      <c r="AF2703">
        <v>5</v>
      </c>
      <c r="AG2703">
        <v>1</v>
      </c>
      <c r="AH2703">
        <v>2</v>
      </c>
      <c r="AI2703">
        <v>90.2</v>
      </c>
      <c r="AL2703" t="s">
        <v>19615</v>
      </c>
      <c r="AM2703">
        <v>18184</v>
      </c>
      <c r="AP2703" t="s">
        <v>20342</v>
      </c>
      <c r="AQ2703" t="s">
        <v>20369</v>
      </c>
      <c r="AR2703" t="s">
        <v>20504</v>
      </c>
      <c r="AS2703">
        <v>100.4</v>
      </c>
      <c r="AT2703" t="s">
        <v>547</v>
      </c>
      <c r="AU2703" t="s">
        <v>20645</v>
      </c>
    </row>
    <row r="2704" spans="1:48">
      <c r="A2704" s="1">
        <f>HYPERLINK("https://lsnyc.legalserver.org/matter/dynamic-profile/view/1866352","18-1866352")</f>
        <v>0</v>
      </c>
      <c r="B2704" t="s">
        <v>113</v>
      </c>
      <c r="C2704" t="s">
        <v>256</v>
      </c>
      <c r="D2704" t="s">
        <v>957</v>
      </c>
      <c r="F2704" t="s">
        <v>2307</v>
      </c>
      <c r="G2704" t="s">
        <v>4530</v>
      </c>
      <c r="H2704" t="s">
        <v>7055</v>
      </c>
      <c r="I2704" t="s">
        <v>8650</v>
      </c>
      <c r="J2704" t="s">
        <v>9065</v>
      </c>
      <c r="K2704">
        <v>10458</v>
      </c>
      <c r="L2704" t="s">
        <v>9094</v>
      </c>
      <c r="M2704" t="s">
        <v>9094</v>
      </c>
      <c r="O2704" t="s">
        <v>11137</v>
      </c>
      <c r="P2704" t="s">
        <v>11166</v>
      </c>
      <c r="R2704" t="s">
        <v>11180</v>
      </c>
      <c r="S2704" t="s">
        <v>9096</v>
      </c>
      <c r="T2704" t="s">
        <v>11183</v>
      </c>
      <c r="V2704" t="s">
        <v>11238</v>
      </c>
      <c r="W2704">
        <v>1569</v>
      </c>
      <c r="X2704" t="s">
        <v>11333</v>
      </c>
      <c r="Y2704" t="s">
        <v>11346</v>
      </c>
      <c r="Z2704" t="s">
        <v>13202</v>
      </c>
      <c r="AB2704" t="s">
        <v>17557</v>
      </c>
      <c r="AC2704">
        <v>49</v>
      </c>
      <c r="AD2704" t="s">
        <v>19566</v>
      </c>
      <c r="AE2704" t="s">
        <v>19588</v>
      </c>
      <c r="AF2704">
        <v>2</v>
      </c>
      <c r="AG2704">
        <v>2</v>
      </c>
      <c r="AH2704">
        <v>0</v>
      </c>
      <c r="AI2704">
        <v>90.26000000000001</v>
      </c>
      <c r="AL2704" t="s">
        <v>19639</v>
      </c>
      <c r="AM2704">
        <v>14856</v>
      </c>
      <c r="AN2704" t="s">
        <v>19699</v>
      </c>
      <c r="AS2704">
        <v>9.85</v>
      </c>
      <c r="AT2704" t="s">
        <v>289</v>
      </c>
      <c r="AU2704" t="s">
        <v>20708</v>
      </c>
    </row>
    <row r="2705" spans="1:48">
      <c r="A2705" s="1">
        <f>HYPERLINK("https://lsnyc.legalserver.org/matter/dynamic-profile/view/0814096","16-0814096")</f>
        <v>0</v>
      </c>
      <c r="B2705" t="s">
        <v>114</v>
      </c>
      <c r="C2705" t="s">
        <v>256</v>
      </c>
      <c r="D2705" t="s">
        <v>522</v>
      </c>
      <c r="F2705" t="s">
        <v>2045</v>
      </c>
      <c r="G2705" t="s">
        <v>4531</v>
      </c>
      <c r="H2705" t="s">
        <v>7056</v>
      </c>
      <c r="J2705" t="s">
        <v>9065</v>
      </c>
      <c r="K2705">
        <v>10456</v>
      </c>
      <c r="L2705" t="s">
        <v>9094</v>
      </c>
      <c r="M2705" t="s">
        <v>9095</v>
      </c>
      <c r="N2705" t="s">
        <v>10161</v>
      </c>
      <c r="O2705" t="s">
        <v>11132</v>
      </c>
      <c r="P2705" t="s">
        <v>11165</v>
      </c>
      <c r="R2705" t="s">
        <v>11180</v>
      </c>
      <c r="S2705" t="s">
        <v>9094</v>
      </c>
      <c r="T2705" t="s">
        <v>11183</v>
      </c>
      <c r="V2705" t="s">
        <v>517</v>
      </c>
      <c r="W2705">
        <v>900</v>
      </c>
      <c r="X2705" t="s">
        <v>11333</v>
      </c>
      <c r="Y2705" t="s">
        <v>11347</v>
      </c>
      <c r="Z2705" t="s">
        <v>13203</v>
      </c>
      <c r="AB2705" t="s">
        <v>17558</v>
      </c>
      <c r="AC2705">
        <v>9</v>
      </c>
      <c r="AD2705" t="s">
        <v>19566</v>
      </c>
      <c r="AE2705" t="s">
        <v>9144</v>
      </c>
      <c r="AF2705">
        <v>8</v>
      </c>
      <c r="AG2705">
        <v>3</v>
      </c>
      <c r="AH2705">
        <v>0</v>
      </c>
      <c r="AI2705">
        <v>90.28</v>
      </c>
      <c r="AJ2705" t="s">
        <v>19600</v>
      </c>
      <c r="AL2705" t="s">
        <v>19615</v>
      </c>
      <c r="AM2705">
        <v>28600</v>
      </c>
      <c r="AS2705">
        <v>0</v>
      </c>
      <c r="AU2705" t="s">
        <v>109</v>
      </c>
    </row>
    <row r="2706" spans="1:48">
      <c r="A2706" s="1">
        <f>HYPERLINK("https://lsnyc.legalserver.org/matter/dynamic-profile/view/1876936","18-1876936")</f>
        <v>0</v>
      </c>
      <c r="B2706" t="s">
        <v>132</v>
      </c>
      <c r="C2706" t="s">
        <v>257</v>
      </c>
      <c r="D2706" t="s">
        <v>803</v>
      </c>
      <c r="E2706" t="s">
        <v>331</v>
      </c>
      <c r="F2706" t="s">
        <v>2308</v>
      </c>
      <c r="G2706" t="s">
        <v>3503</v>
      </c>
      <c r="H2706" t="s">
        <v>7057</v>
      </c>
      <c r="I2706" t="s">
        <v>8479</v>
      </c>
      <c r="J2706" t="s">
        <v>9067</v>
      </c>
      <c r="K2706">
        <v>10033</v>
      </c>
      <c r="L2706" t="s">
        <v>9094</v>
      </c>
      <c r="M2706" t="s">
        <v>9094</v>
      </c>
      <c r="O2706" t="s">
        <v>11130</v>
      </c>
      <c r="P2706" t="s">
        <v>11165</v>
      </c>
      <c r="Q2706" t="s">
        <v>11178</v>
      </c>
      <c r="R2706" t="s">
        <v>11180</v>
      </c>
      <c r="S2706" t="s">
        <v>9094</v>
      </c>
      <c r="T2706" t="s">
        <v>11183</v>
      </c>
      <c r="V2706" t="s">
        <v>803</v>
      </c>
      <c r="W2706">
        <v>1026</v>
      </c>
      <c r="X2706" t="s">
        <v>11335</v>
      </c>
      <c r="Y2706" t="s">
        <v>11339</v>
      </c>
      <c r="Z2706" t="s">
        <v>13204</v>
      </c>
      <c r="AB2706" t="s">
        <v>17559</v>
      </c>
      <c r="AC2706">
        <v>232</v>
      </c>
      <c r="AD2706" t="s">
        <v>19566</v>
      </c>
      <c r="AE2706" t="s">
        <v>19587</v>
      </c>
      <c r="AF2706">
        <v>25</v>
      </c>
      <c r="AG2706">
        <v>2</v>
      </c>
      <c r="AH2706">
        <v>0</v>
      </c>
      <c r="AI2706">
        <v>90.40000000000001</v>
      </c>
      <c r="AM2706">
        <v>14880</v>
      </c>
      <c r="AS2706">
        <v>2.4</v>
      </c>
      <c r="AT2706" t="s">
        <v>521</v>
      </c>
      <c r="AU2706" t="s">
        <v>130</v>
      </c>
      <c r="AV2706" t="s">
        <v>20733</v>
      </c>
    </row>
    <row r="2707" spans="1:48">
      <c r="A2707" s="1">
        <f>HYPERLINK("https://lsnyc.legalserver.org/matter/dynamic-profile/view/1877463","18-1877463")</f>
        <v>0</v>
      </c>
      <c r="B2707" t="s">
        <v>49</v>
      </c>
      <c r="C2707" t="s">
        <v>257</v>
      </c>
      <c r="D2707" t="s">
        <v>958</v>
      </c>
      <c r="E2707" t="s">
        <v>1129</v>
      </c>
      <c r="F2707" t="s">
        <v>2309</v>
      </c>
      <c r="G2707" t="s">
        <v>4532</v>
      </c>
      <c r="H2707" t="s">
        <v>7058</v>
      </c>
      <c r="I2707" t="s">
        <v>8213</v>
      </c>
      <c r="J2707" t="s">
        <v>9038</v>
      </c>
      <c r="K2707">
        <v>11691</v>
      </c>
      <c r="L2707" t="s">
        <v>9094</v>
      </c>
      <c r="M2707" t="s">
        <v>9094</v>
      </c>
      <c r="N2707" t="s">
        <v>10162</v>
      </c>
      <c r="O2707" t="s">
        <v>11129</v>
      </c>
      <c r="P2707" t="s">
        <v>11165</v>
      </c>
      <c r="Q2707" t="s">
        <v>11174</v>
      </c>
      <c r="R2707" t="s">
        <v>11180</v>
      </c>
      <c r="S2707" t="s">
        <v>9096</v>
      </c>
      <c r="T2707" t="s">
        <v>11183</v>
      </c>
      <c r="U2707" t="s">
        <v>11199</v>
      </c>
      <c r="V2707" t="s">
        <v>958</v>
      </c>
      <c r="W2707">
        <v>1377</v>
      </c>
      <c r="X2707" t="s">
        <v>11331</v>
      </c>
      <c r="Y2707" t="s">
        <v>11336</v>
      </c>
      <c r="Z2707" t="s">
        <v>13205</v>
      </c>
      <c r="AA2707" t="s">
        <v>15736</v>
      </c>
      <c r="AB2707" t="s">
        <v>17560</v>
      </c>
      <c r="AC2707">
        <v>107</v>
      </c>
      <c r="AD2707" t="s">
        <v>19566</v>
      </c>
      <c r="AE2707" t="s">
        <v>9144</v>
      </c>
      <c r="AF2707">
        <v>2</v>
      </c>
      <c r="AG2707">
        <v>1</v>
      </c>
      <c r="AH2707">
        <v>2</v>
      </c>
      <c r="AI2707">
        <v>90.45999999999999</v>
      </c>
      <c r="AL2707" t="s">
        <v>19614</v>
      </c>
      <c r="AM2707">
        <v>18798</v>
      </c>
      <c r="AO2707" t="s">
        <v>20296</v>
      </c>
      <c r="AP2707" t="s">
        <v>20338</v>
      </c>
      <c r="AQ2707" t="s">
        <v>20369</v>
      </c>
      <c r="AR2707" t="s">
        <v>20505</v>
      </c>
      <c r="AS2707">
        <v>96.34999999999999</v>
      </c>
      <c r="AT2707" t="s">
        <v>1129</v>
      </c>
      <c r="AU2707" t="s">
        <v>20620</v>
      </c>
      <c r="AV2707" t="s">
        <v>20733</v>
      </c>
    </row>
    <row r="2708" spans="1:48">
      <c r="A2708" s="1">
        <f>HYPERLINK("https://lsnyc.legalserver.org/matter/dynamic-profile/view/1855163","18-1855163")</f>
        <v>0</v>
      </c>
      <c r="B2708" t="s">
        <v>75</v>
      </c>
      <c r="C2708" t="s">
        <v>257</v>
      </c>
      <c r="D2708" t="s">
        <v>266</v>
      </c>
      <c r="E2708" t="s">
        <v>521</v>
      </c>
      <c r="F2708" t="s">
        <v>2281</v>
      </c>
      <c r="G2708" t="s">
        <v>1193</v>
      </c>
      <c r="H2708" t="s">
        <v>7023</v>
      </c>
      <c r="I2708" t="s">
        <v>8170</v>
      </c>
      <c r="J2708" t="s">
        <v>9059</v>
      </c>
      <c r="K2708">
        <v>11206</v>
      </c>
      <c r="L2708" t="s">
        <v>9094</v>
      </c>
      <c r="M2708" t="s">
        <v>9095</v>
      </c>
      <c r="N2708" t="s">
        <v>10163</v>
      </c>
      <c r="O2708" t="s">
        <v>11129</v>
      </c>
      <c r="P2708" t="s">
        <v>11165</v>
      </c>
      <c r="Q2708" t="s">
        <v>11174</v>
      </c>
      <c r="R2708" t="s">
        <v>11180</v>
      </c>
      <c r="S2708" t="s">
        <v>9094</v>
      </c>
      <c r="T2708" t="s">
        <v>11183</v>
      </c>
      <c r="V2708" t="s">
        <v>579</v>
      </c>
      <c r="W2708">
        <v>1155.44</v>
      </c>
      <c r="X2708" t="s">
        <v>11332</v>
      </c>
      <c r="Z2708" t="s">
        <v>12582</v>
      </c>
      <c r="AB2708" t="s">
        <v>17510</v>
      </c>
      <c r="AC2708">
        <v>25</v>
      </c>
      <c r="AD2708" t="s">
        <v>19566</v>
      </c>
      <c r="AF2708">
        <v>0</v>
      </c>
      <c r="AG2708">
        <v>1</v>
      </c>
      <c r="AH2708">
        <v>6</v>
      </c>
      <c r="AI2708">
        <v>90.47</v>
      </c>
      <c r="AL2708" t="s">
        <v>19614</v>
      </c>
      <c r="AM2708">
        <v>69600</v>
      </c>
      <c r="AN2708" t="s">
        <v>19899</v>
      </c>
      <c r="AS2708">
        <v>0.45</v>
      </c>
      <c r="AT2708" t="s">
        <v>521</v>
      </c>
      <c r="AU2708" t="s">
        <v>20709</v>
      </c>
      <c r="AV2708" t="s">
        <v>20733</v>
      </c>
    </row>
    <row r="2709" spans="1:48">
      <c r="A2709" s="1">
        <f>HYPERLINK("https://lsnyc.legalserver.org/matter/dynamic-profile/view/0791455","15-0791455")</f>
        <v>0</v>
      </c>
      <c r="B2709" t="s">
        <v>101</v>
      </c>
      <c r="C2709" t="s">
        <v>256</v>
      </c>
      <c r="D2709" t="s">
        <v>580</v>
      </c>
      <c r="F2709" t="s">
        <v>1599</v>
      </c>
      <c r="G2709" t="s">
        <v>3621</v>
      </c>
      <c r="H2709" t="s">
        <v>5890</v>
      </c>
      <c r="I2709" t="s">
        <v>8335</v>
      </c>
      <c r="J2709" t="s">
        <v>9065</v>
      </c>
      <c r="K2709">
        <v>10453</v>
      </c>
      <c r="L2709" t="s">
        <v>9094</v>
      </c>
      <c r="M2709" t="s">
        <v>9095</v>
      </c>
      <c r="N2709" t="s">
        <v>10164</v>
      </c>
      <c r="O2709" t="s">
        <v>11147</v>
      </c>
      <c r="P2709" t="s">
        <v>11165</v>
      </c>
      <c r="R2709" t="s">
        <v>11180</v>
      </c>
      <c r="S2709" t="s">
        <v>9094</v>
      </c>
      <c r="T2709" t="s">
        <v>11183</v>
      </c>
      <c r="V2709" t="s">
        <v>884</v>
      </c>
      <c r="W2709">
        <v>1138.81</v>
      </c>
      <c r="X2709" t="s">
        <v>11333</v>
      </c>
      <c r="Y2709" t="s">
        <v>11338</v>
      </c>
      <c r="Z2709" t="s">
        <v>11909</v>
      </c>
      <c r="AB2709" t="s">
        <v>16369</v>
      </c>
      <c r="AC2709">
        <v>0</v>
      </c>
      <c r="AD2709" t="s">
        <v>19566</v>
      </c>
      <c r="AF2709">
        <v>5</v>
      </c>
      <c r="AG2709">
        <v>1</v>
      </c>
      <c r="AH2709">
        <v>2</v>
      </c>
      <c r="AI2709">
        <v>90.51000000000001</v>
      </c>
      <c r="AL2709" t="s">
        <v>19615</v>
      </c>
      <c r="AM2709">
        <v>18184</v>
      </c>
      <c r="AS2709">
        <v>0.05</v>
      </c>
      <c r="AT2709" t="s">
        <v>20596</v>
      </c>
      <c r="AU2709" t="s">
        <v>109</v>
      </c>
    </row>
    <row r="2710" spans="1:48">
      <c r="A2710" s="1">
        <f>HYPERLINK("https://lsnyc.legalserver.org/matter/dynamic-profile/view/1899191","19-1899191")</f>
        <v>0</v>
      </c>
      <c r="B2710" t="s">
        <v>119</v>
      </c>
      <c r="C2710" t="s">
        <v>257</v>
      </c>
      <c r="D2710" t="s">
        <v>454</v>
      </c>
      <c r="E2710" t="s">
        <v>664</v>
      </c>
      <c r="F2710" t="s">
        <v>1256</v>
      </c>
      <c r="G2710" t="s">
        <v>4195</v>
      </c>
      <c r="H2710" t="s">
        <v>7059</v>
      </c>
      <c r="I2710" t="s">
        <v>8171</v>
      </c>
      <c r="J2710" t="s">
        <v>9065</v>
      </c>
      <c r="K2710">
        <v>10456</v>
      </c>
      <c r="L2710" t="s">
        <v>9094</v>
      </c>
      <c r="M2710" t="s">
        <v>9095</v>
      </c>
      <c r="P2710" t="s">
        <v>11167</v>
      </c>
      <c r="Q2710" t="s">
        <v>11173</v>
      </c>
      <c r="R2710" t="s">
        <v>11180</v>
      </c>
      <c r="S2710" t="s">
        <v>9096</v>
      </c>
      <c r="T2710" t="s">
        <v>11183</v>
      </c>
      <c r="V2710" t="s">
        <v>760</v>
      </c>
      <c r="W2710">
        <v>690.4</v>
      </c>
      <c r="X2710" t="s">
        <v>11333</v>
      </c>
      <c r="Y2710" t="s">
        <v>11346</v>
      </c>
      <c r="Z2710" t="s">
        <v>13206</v>
      </c>
      <c r="AB2710" t="s">
        <v>17561</v>
      </c>
      <c r="AC2710">
        <v>30</v>
      </c>
      <c r="AD2710" t="s">
        <v>19569</v>
      </c>
      <c r="AE2710" t="s">
        <v>19587</v>
      </c>
      <c r="AF2710">
        <v>43</v>
      </c>
      <c r="AG2710">
        <v>2</v>
      </c>
      <c r="AH2710">
        <v>0</v>
      </c>
      <c r="AI2710">
        <v>90.55</v>
      </c>
      <c r="AL2710" t="s">
        <v>19615</v>
      </c>
      <c r="AM2710">
        <v>15312</v>
      </c>
      <c r="AS2710">
        <v>0.5</v>
      </c>
      <c r="AT2710" t="s">
        <v>279</v>
      </c>
      <c r="AU2710" t="s">
        <v>163</v>
      </c>
      <c r="AV2710" t="s">
        <v>20733</v>
      </c>
    </row>
    <row r="2711" spans="1:48">
      <c r="A2711" s="1">
        <f>HYPERLINK("https://lsnyc.legalserver.org/matter/dynamic-profile/view/1868236","18-1868236")</f>
        <v>0</v>
      </c>
      <c r="B2711" t="s">
        <v>114</v>
      </c>
      <c r="C2711" t="s">
        <v>256</v>
      </c>
      <c r="D2711" t="s">
        <v>959</v>
      </c>
      <c r="F2711" t="s">
        <v>2289</v>
      </c>
      <c r="G2711" t="s">
        <v>4113</v>
      </c>
      <c r="H2711" t="s">
        <v>7031</v>
      </c>
      <c r="I2711" t="s">
        <v>8638</v>
      </c>
      <c r="J2711" t="s">
        <v>9065</v>
      </c>
      <c r="K2711">
        <v>10453</v>
      </c>
      <c r="L2711" t="s">
        <v>9094</v>
      </c>
      <c r="M2711" t="s">
        <v>9095</v>
      </c>
      <c r="N2711" t="s">
        <v>10165</v>
      </c>
      <c r="O2711" t="s">
        <v>11128</v>
      </c>
      <c r="P2711" t="s">
        <v>11165</v>
      </c>
      <c r="R2711" t="s">
        <v>11180</v>
      </c>
      <c r="S2711" t="s">
        <v>9096</v>
      </c>
      <c r="T2711" t="s">
        <v>11183</v>
      </c>
      <c r="V2711" t="s">
        <v>675</v>
      </c>
      <c r="W2711">
        <v>729</v>
      </c>
      <c r="X2711" t="s">
        <v>11333</v>
      </c>
      <c r="Y2711" t="s">
        <v>11346</v>
      </c>
      <c r="Z2711" t="s">
        <v>13161</v>
      </c>
      <c r="AB2711" t="s">
        <v>17521</v>
      </c>
      <c r="AC2711">
        <v>0</v>
      </c>
      <c r="AE2711" t="s">
        <v>19580</v>
      </c>
      <c r="AF2711">
        <v>0</v>
      </c>
      <c r="AG2711">
        <v>1</v>
      </c>
      <c r="AH2711">
        <v>0</v>
      </c>
      <c r="AI2711">
        <v>90.56999999999999</v>
      </c>
      <c r="AL2711" t="s">
        <v>19615</v>
      </c>
      <c r="AM2711">
        <v>10994.64</v>
      </c>
      <c r="AN2711" t="s">
        <v>19699</v>
      </c>
      <c r="AO2711" t="s">
        <v>20290</v>
      </c>
      <c r="AP2711" t="s">
        <v>20317</v>
      </c>
      <c r="AQ2711" t="s">
        <v>20369</v>
      </c>
      <c r="AR2711" t="s">
        <v>20506</v>
      </c>
      <c r="AS2711">
        <v>22</v>
      </c>
      <c r="AT2711" t="s">
        <v>594</v>
      </c>
      <c r="AU2711" t="s">
        <v>109</v>
      </c>
    </row>
    <row r="2712" spans="1:48">
      <c r="A2712" s="1">
        <f>HYPERLINK("https://lsnyc.legalserver.org/matter/dynamic-profile/view/1914554","19-1914554")</f>
        <v>0</v>
      </c>
      <c r="B2712" t="s">
        <v>124</v>
      </c>
      <c r="C2712" t="s">
        <v>256</v>
      </c>
      <c r="D2712" t="s">
        <v>321</v>
      </c>
      <c r="F2712" t="s">
        <v>2310</v>
      </c>
      <c r="G2712" t="s">
        <v>4533</v>
      </c>
      <c r="H2712" t="s">
        <v>6769</v>
      </c>
      <c r="I2712" t="s">
        <v>8651</v>
      </c>
      <c r="J2712" t="s">
        <v>9066</v>
      </c>
      <c r="K2712">
        <v>10304</v>
      </c>
      <c r="L2712" t="s">
        <v>9095</v>
      </c>
      <c r="M2712" t="s">
        <v>9095</v>
      </c>
      <c r="N2712" t="s">
        <v>10166</v>
      </c>
      <c r="O2712" t="s">
        <v>11128</v>
      </c>
      <c r="R2712" t="s">
        <v>11180</v>
      </c>
      <c r="S2712" t="s">
        <v>9096</v>
      </c>
      <c r="T2712" t="s">
        <v>11190</v>
      </c>
      <c r="W2712">
        <v>1380</v>
      </c>
      <c r="X2712" t="s">
        <v>11334</v>
      </c>
      <c r="Y2712" t="s">
        <v>11345</v>
      </c>
      <c r="Z2712" t="s">
        <v>13207</v>
      </c>
      <c r="AB2712" t="s">
        <v>17562</v>
      </c>
      <c r="AC2712">
        <v>0</v>
      </c>
      <c r="AD2712" t="s">
        <v>19571</v>
      </c>
      <c r="AE2712" t="s">
        <v>9144</v>
      </c>
      <c r="AF2712">
        <v>9</v>
      </c>
      <c r="AG2712">
        <v>1</v>
      </c>
      <c r="AH2712">
        <v>6</v>
      </c>
      <c r="AI2712">
        <v>90.64</v>
      </c>
      <c r="AL2712" t="s">
        <v>19614</v>
      </c>
      <c r="AM2712">
        <v>35360.04</v>
      </c>
      <c r="AS2712">
        <v>4</v>
      </c>
      <c r="AT2712" t="s">
        <v>377</v>
      </c>
      <c r="AU2712" t="s">
        <v>20653</v>
      </c>
    </row>
    <row r="2713" spans="1:48">
      <c r="A2713" s="1">
        <f>HYPERLINK("https://lsnyc.legalserver.org/matter/dynamic-profile/view/0792808","15-0792808")</f>
        <v>0</v>
      </c>
      <c r="B2713" t="s">
        <v>49</v>
      </c>
      <c r="C2713" t="s">
        <v>256</v>
      </c>
      <c r="D2713" t="s">
        <v>859</v>
      </c>
      <c r="F2713" t="s">
        <v>2311</v>
      </c>
      <c r="G2713" t="s">
        <v>4534</v>
      </c>
      <c r="H2713" t="s">
        <v>6492</v>
      </c>
      <c r="I2713" t="s">
        <v>8652</v>
      </c>
      <c r="J2713" t="s">
        <v>9055</v>
      </c>
      <c r="K2713">
        <v>11354</v>
      </c>
      <c r="L2713" t="s">
        <v>9094</v>
      </c>
      <c r="M2713" t="s">
        <v>9095</v>
      </c>
      <c r="N2713" t="s">
        <v>9717</v>
      </c>
      <c r="O2713" t="s">
        <v>11135</v>
      </c>
      <c r="P2713" t="s">
        <v>11168</v>
      </c>
      <c r="R2713" t="s">
        <v>11180</v>
      </c>
      <c r="T2713" t="s">
        <v>11183</v>
      </c>
      <c r="V2713" t="s">
        <v>11206</v>
      </c>
      <c r="W2713">
        <v>1500</v>
      </c>
      <c r="X2713" t="s">
        <v>11331</v>
      </c>
      <c r="Y2713" t="s">
        <v>11342</v>
      </c>
      <c r="Z2713" t="s">
        <v>12171</v>
      </c>
      <c r="AB2713" t="s">
        <v>17563</v>
      </c>
      <c r="AC2713">
        <v>175</v>
      </c>
      <c r="AD2713" t="s">
        <v>19566</v>
      </c>
      <c r="AE2713" t="s">
        <v>9144</v>
      </c>
      <c r="AF2713">
        <v>5</v>
      </c>
      <c r="AG2713">
        <v>2</v>
      </c>
      <c r="AH2713">
        <v>2</v>
      </c>
      <c r="AI2713">
        <v>90.72</v>
      </c>
      <c r="AL2713" t="s">
        <v>19626</v>
      </c>
      <c r="AM2713">
        <v>22000</v>
      </c>
      <c r="AS2713">
        <v>0.65</v>
      </c>
      <c r="AT2713" t="s">
        <v>448</v>
      </c>
      <c r="AU2713" t="s">
        <v>242</v>
      </c>
    </row>
    <row r="2714" spans="1:48">
      <c r="A2714" s="1">
        <f>HYPERLINK("https://lsnyc.legalserver.org/matter/dynamic-profile/view/1882206","18-1882206")</f>
        <v>0</v>
      </c>
      <c r="B2714" t="s">
        <v>92</v>
      </c>
      <c r="C2714" t="s">
        <v>256</v>
      </c>
      <c r="D2714" t="s">
        <v>697</v>
      </c>
      <c r="F2714" t="s">
        <v>2260</v>
      </c>
      <c r="G2714" t="s">
        <v>4535</v>
      </c>
      <c r="H2714" t="s">
        <v>6919</v>
      </c>
      <c r="I2714" t="s">
        <v>8117</v>
      </c>
      <c r="J2714" t="s">
        <v>9059</v>
      </c>
      <c r="K2714">
        <v>11233</v>
      </c>
      <c r="L2714" t="s">
        <v>9094</v>
      </c>
      <c r="M2714" t="s">
        <v>9094</v>
      </c>
      <c r="N2714" t="s">
        <v>9121</v>
      </c>
      <c r="O2714" t="s">
        <v>11137</v>
      </c>
      <c r="P2714" t="s">
        <v>11166</v>
      </c>
      <c r="R2714" t="s">
        <v>11180</v>
      </c>
      <c r="S2714" t="s">
        <v>9094</v>
      </c>
      <c r="T2714" t="s">
        <v>11183</v>
      </c>
      <c r="U2714" t="s">
        <v>11201</v>
      </c>
      <c r="V2714" t="s">
        <v>11271</v>
      </c>
      <c r="W2714">
        <v>1300</v>
      </c>
      <c r="X2714" t="s">
        <v>11332</v>
      </c>
      <c r="Y2714" t="s">
        <v>11340</v>
      </c>
      <c r="Z2714" t="s">
        <v>13208</v>
      </c>
      <c r="AA2714" t="s">
        <v>15290</v>
      </c>
      <c r="AB2714" t="s">
        <v>17564</v>
      </c>
      <c r="AC2714">
        <v>6</v>
      </c>
      <c r="AD2714" t="s">
        <v>19566</v>
      </c>
      <c r="AE2714" t="s">
        <v>19581</v>
      </c>
      <c r="AF2714">
        <v>1</v>
      </c>
      <c r="AG2714">
        <v>1</v>
      </c>
      <c r="AH2714">
        <v>2</v>
      </c>
      <c r="AI2714">
        <v>90.84</v>
      </c>
      <c r="AL2714" t="s">
        <v>11157</v>
      </c>
      <c r="AM2714">
        <v>18876</v>
      </c>
      <c r="AN2714" t="s">
        <v>19900</v>
      </c>
      <c r="AS2714">
        <v>0</v>
      </c>
      <c r="AU2714" t="s">
        <v>95</v>
      </c>
    </row>
    <row r="2715" spans="1:48">
      <c r="A2715" s="1">
        <f>HYPERLINK("https://lsnyc.legalserver.org/matter/dynamic-profile/view/1863518","18-1863518")</f>
        <v>0</v>
      </c>
      <c r="B2715" t="s">
        <v>111</v>
      </c>
      <c r="C2715" t="s">
        <v>256</v>
      </c>
      <c r="D2715" t="s">
        <v>595</v>
      </c>
      <c r="F2715" t="s">
        <v>1837</v>
      </c>
      <c r="G2715" t="s">
        <v>3448</v>
      </c>
      <c r="H2715" t="s">
        <v>6104</v>
      </c>
      <c r="I2715" t="s">
        <v>8130</v>
      </c>
      <c r="J2715" t="s">
        <v>9065</v>
      </c>
      <c r="K2715">
        <v>10452</v>
      </c>
      <c r="L2715" t="s">
        <v>9094</v>
      </c>
      <c r="M2715" t="s">
        <v>9095</v>
      </c>
      <c r="N2715" t="s">
        <v>9407</v>
      </c>
      <c r="O2715" t="s">
        <v>11135</v>
      </c>
      <c r="P2715" t="s">
        <v>11168</v>
      </c>
      <c r="R2715" t="s">
        <v>11180</v>
      </c>
      <c r="S2715" t="s">
        <v>9094</v>
      </c>
      <c r="T2715" t="s">
        <v>11183</v>
      </c>
      <c r="V2715" t="s">
        <v>11219</v>
      </c>
      <c r="W2715">
        <v>718.26</v>
      </c>
      <c r="X2715" t="s">
        <v>11333</v>
      </c>
      <c r="Y2715" t="s">
        <v>11346</v>
      </c>
      <c r="Z2715" t="s">
        <v>13209</v>
      </c>
      <c r="AB2715" t="s">
        <v>17565</v>
      </c>
      <c r="AC2715">
        <v>0</v>
      </c>
      <c r="AD2715" t="s">
        <v>19566</v>
      </c>
      <c r="AE2715" t="s">
        <v>9144</v>
      </c>
      <c r="AF2715">
        <v>37</v>
      </c>
      <c r="AG2715">
        <v>4</v>
      </c>
      <c r="AH2715">
        <v>0</v>
      </c>
      <c r="AI2715">
        <v>90.84</v>
      </c>
      <c r="AL2715" t="s">
        <v>19615</v>
      </c>
      <c r="AM2715">
        <v>38400</v>
      </c>
      <c r="AS2715">
        <v>0</v>
      </c>
      <c r="AU2715" t="s">
        <v>20647</v>
      </c>
    </row>
    <row r="2716" spans="1:48">
      <c r="A2716" s="1">
        <f>HYPERLINK("https://lsnyc.legalserver.org/matter/dynamic-profile/view/1872141","18-1872141")</f>
        <v>0</v>
      </c>
      <c r="B2716" t="s">
        <v>111</v>
      </c>
      <c r="C2716" t="s">
        <v>256</v>
      </c>
      <c r="D2716" t="s">
        <v>352</v>
      </c>
      <c r="F2716" t="s">
        <v>1837</v>
      </c>
      <c r="G2716" t="s">
        <v>3448</v>
      </c>
      <c r="H2716" t="s">
        <v>6104</v>
      </c>
      <c r="I2716" t="s">
        <v>8130</v>
      </c>
      <c r="J2716" t="s">
        <v>9065</v>
      </c>
      <c r="K2716">
        <v>10452</v>
      </c>
      <c r="L2716" t="s">
        <v>9094</v>
      </c>
      <c r="M2716" t="s">
        <v>9094</v>
      </c>
      <c r="N2716" t="s">
        <v>9407</v>
      </c>
      <c r="O2716" t="s">
        <v>11135</v>
      </c>
      <c r="P2716" t="s">
        <v>11168</v>
      </c>
      <c r="R2716" t="s">
        <v>11180</v>
      </c>
      <c r="S2716" t="s">
        <v>9094</v>
      </c>
      <c r="T2716" t="s">
        <v>11183</v>
      </c>
      <c r="V2716" t="s">
        <v>945</v>
      </c>
      <c r="W2716">
        <v>718.26</v>
      </c>
      <c r="X2716" t="s">
        <v>11333</v>
      </c>
      <c r="Y2716" t="s">
        <v>11346</v>
      </c>
      <c r="Z2716" t="s">
        <v>13209</v>
      </c>
      <c r="AB2716" t="s">
        <v>17565</v>
      </c>
      <c r="AC2716">
        <v>70</v>
      </c>
      <c r="AD2716" t="s">
        <v>19566</v>
      </c>
      <c r="AE2716" t="s">
        <v>9144</v>
      </c>
      <c r="AF2716">
        <v>37</v>
      </c>
      <c r="AG2716">
        <v>4</v>
      </c>
      <c r="AH2716">
        <v>0</v>
      </c>
      <c r="AI2716">
        <v>90.84</v>
      </c>
      <c r="AL2716" t="s">
        <v>19615</v>
      </c>
      <c r="AM2716">
        <v>22800</v>
      </c>
      <c r="AN2716" t="s">
        <v>19901</v>
      </c>
      <c r="AS2716">
        <v>0</v>
      </c>
      <c r="AU2716" t="s">
        <v>20642</v>
      </c>
    </row>
    <row r="2717" spans="1:48">
      <c r="A2717" s="1">
        <f>HYPERLINK("https://lsnyc.legalserver.org/matter/dynamic-profile/view/1896135","19-1896135")</f>
        <v>0</v>
      </c>
      <c r="B2717" t="s">
        <v>106</v>
      </c>
      <c r="C2717" t="s">
        <v>256</v>
      </c>
      <c r="D2717" t="s">
        <v>374</v>
      </c>
      <c r="F2717" t="s">
        <v>1241</v>
      </c>
      <c r="G2717" t="s">
        <v>3751</v>
      </c>
      <c r="H2717" t="s">
        <v>7060</v>
      </c>
      <c r="I2717" t="s">
        <v>8245</v>
      </c>
      <c r="J2717" t="s">
        <v>9065</v>
      </c>
      <c r="K2717">
        <v>10452</v>
      </c>
      <c r="L2717" t="s">
        <v>9094</v>
      </c>
      <c r="M2717" t="s">
        <v>9094</v>
      </c>
      <c r="N2717" t="s">
        <v>9171</v>
      </c>
      <c r="O2717" t="s">
        <v>11151</v>
      </c>
      <c r="P2717" t="s">
        <v>11166</v>
      </c>
      <c r="R2717" t="s">
        <v>11180</v>
      </c>
      <c r="S2717" t="s">
        <v>9096</v>
      </c>
      <c r="T2717" t="s">
        <v>11190</v>
      </c>
      <c r="V2717" t="s">
        <v>596</v>
      </c>
      <c r="W2717">
        <v>1500</v>
      </c>
      <c r="X2717" t="s">
        <v>11333</v>
      </c>
      <c r="Y2717" t="s">
        <v>11352</v>
      </c>
      <c r="Z2717" t="s">
        <v>13210</v>
      </c>
      <c r="AA2717">
        <v>370953540</v>
      </c>
      <c r="AB2717" t="s">
        <v>17566</v>
      </c>
      <c r="AC2717">
        <v>49</v>
      </c>
      <c r="AD2717" t="s">
        <v>19566</v>
      </c>
      <c r="AF2717">
        <v>10</v>
      </c>
      <c r="AG2717">
        <v>2</v>
      </c>
      <c r="AH2717">
        <v>1</v>
      </c>
      <c r="AI2717">
        <v>90.86</v>
      </c>
      <c r="AL2717" t="s">
        <v>19615</v>
      </c>
      <c r="AM2717">
        <v>19380</v>
      </c>
      <c r="AS2717">
        <v>16.8</v>
      </c>
      <c r="AT2717" t="s">
        <v>341</v>
      </c>
      <c r="AU2717" t="s">
        <v>20640</v>
      </c>
      <c r="AV2717" t="s">
        <v>20733</v>
      </c>
    </row>
    <row r="2718" spans="1:48">
      <c r="A2718" s="1">
        <f>HYPERLINK("https://lsnyc.legalserver.org/matter/dynamic-profile/view/0812112","16-0812112")</f>
        <v>0</v>
      </c>
      <c r="B2718" t="s">
        <v>113</v>
      </c>
      <c r="C2718" t="s">
        <v>256</v>
      </c>
      <c r="D2718" t="s">
        <v>960</v>
      </c>
      <c r="F2718" t="s">
        <v>1974</v>
      </c>
      <c r="G2718" t="s">
        <v>4143</v>
      </c>
      <c r="H2718" t="s">
        <v>5882</v>
      </c>
      <c r="I2718">
        <v>32</v>
      </c>
      <c r="J2718" t="s">
        <v>9065</v>
      </c>
      <c r="K2718">
        <v>10456</v>
      </c>
      <c r="L2718" t="s">
        <v>9095</v>
      </c>
      <c r="M2718" t="s">
        <v>9095</v>
      </c>
      <c r="N2718" t="s">
        <v>10167</v>
      </c>
      <c r="O2718" t="s">
        <v>11128</v>
      </c>
      <c r="P2718" t="s">
        <v>11165</v>
      </c>
      <c r="R2718" t="s">
        <v>11180</v>
      </c>
      <c r="T2718" t="s">
        <v>11183</v>
      </c>
      <c r="V2718" t="s">
        <v>960</v>
      </c>
      <c r="W2718">
        <v>721</v>
      </c>
      <c r="X2718" t="s">
        <v>11333</v>
      </c>
      <c r="Z2718" t="s">
        <v>13211</v>
      </c>
      <c r="AB2718" t="s">
        <v>17567</v>
      </c>
      <c r="AC2718">
        <v>0</v>
      </c>
      <c r="AD2718" t="s">
        <v>19566</v>
      </c>
      <c r="AF2718">
        <v>0</v>
      </c>
      <c r="AG2718">
        <v>1</v>
      </c>
      <c r="AH2718">
        <v>0</v>
      </c>
      <c r="AI2718">
        <v>90.91</v>
      </c>
      <c r="AL2718" t="s">
        <v>19615</v>
      </c>
      <c r="AM2718">
        <v>10800</v>
      </c>
      <c r="AN2718" t="s">
        <v>19902</v>
      </c>
      <c r="AS2718">
        <v>82.3</v>
      </c>
      <c r="AT2718" t="s">
        <v>1050</v>
      </c>
      <c r="AU2718" t="s">
        <v>20645</v>
      </c>
    </row>
    <row r="2719" spans="1:48">
      <c r="A2719" s="1">
        <f>HYPERLINK("https://lsnyc.legalserver.org/matter/dynamic-profile/view/0818715","16-0818715")</f>
        <v>0</v>
      </c>
      <c r="B2719" t="s">
        <v>138</v>
      </c>
      <c r="C2719" t="s">
        <v>256</v>
      </c>
      <c r="D2719" t="s">
        <v>961</v>
      </c>
      <c r="F2719" t="s">
        <v>2312</v>
      </c>
      <c r="G2719" t="s">
        <v>3536</v>
      </c>
      <c r="H2719" t="s">
        <v>7061</v>
      </c>
      <c r="I2719" t="s">
        <v>8132</v>
      </c>
      <c r="J2719" t="s">
        <v>9067</v>
      </c>
      <c r="K2719">
        <v>10035</v>
      </c>
      <c r="L2719" t="s">
        <v>9094</v>
      </c>
      <c r="M2719" t="s">
        <v>9095</v>
      </c>
      <c r="N2719" t="s">
        <v>10168</v>
      </c>
      <c r="O2719" t="s">
        <v>11128</v>
      </c>
      <c r="P2719" t="s">
        <v>11168</v>
      </c>
      <c r="R2719" t="s">
        <v>11180</v>
      </c>
      <c r="S2719" t="s">
        <v>9096</v>
      </c>
      <c r="T2719" t="s">
        <v>11183</v>
      </c>
      <c r="V2719" t="s">
        <v>961</v>
      </c>
      <c r="W2719">
        <v>1650</v>
      </c>
      <c r="X2719" t="s">
        <v>11335</v>
      </c>
      <c r="Y2719" t="s">
        <v>11341</v>
      </c>
      <c r="Z2719" t="s">
        <v>13212</v>
      </c>
      <c r="AB2719" t="s">
        <v>17568</v>
      </c>
      <c r="AC2719">
        <v>100</v>
      </c>
      <c r="AD2719" t="s">
        <v>19566</v>
      </c>
      <c r="AE2719" t="s">
        <v>9144</v>
      </c>
      <c r="AF2719">
        <v>5</v>
      </c>
      <c r="AG2719">
        <v>1</v>
      </c>
      <c r="AH2719">
        <v>0</v>
      </c>
      <c r="AI2719">
        <v>90.91</v>
      </c>
      <c r="AL2719" t="s">
        <v>19614</v>
      </c>
      <c r="AM2719">
        <v>10800</v>
      </c>
      <c r="AS2719">
        <v>83.40000000000001</v>
      </c>
      <c r="AT2719" t="s">
        <v>20597</v>
      </c>
      <c r="AU2719" t="s">
        <v>20657</v>
      </c>
    </row>
    <row r="2720" spans="1:48">
      <c r="A2720" s="1">
        <f>HYPERLINK("https://lsnyc.legalserver.org/matter/dynamic-profile/view/1909023","19-1909023")</f>
        <v>0</v>
      </c>
      <c r="B2720" t="s">
        <v>109</v>
      </c>
      <c r="C2720" t="s">
        <v>257</v>
      </c>
      <c r="D2720" t="s">
        <v>669</v>
      </c>
      <c r="E2720" t="s">
        <v>832</v>
      </c>
      <c r="F2720" t="s">
        <v>1910</v>
      </c>
      <c r="G2720" t="s">
        <v>4536</v>
      </c>
      <c r="H2720" t="s">
        <v>7062</v>
      </c>
      <c r="I2720" t="s">
        <v>8151</v>
      </c>
      <c r="J2720" t="s">
        <v>9065</v>
      </c>
      <c r="K2720">
        <v>10453</v>
      </c>
      <c r="L2720" t="s">
        <v>9094</v>
      </c>
      <c r="M2720" t="s">
        <v>9095</v>
      </c>
      <c r="P2720" t="s">
        <v>11167</v>
      </c>
      <c r="Q2720" t="s">
        <v>11172</v>
      </c>
      <c r="R2720" t="s">
        <v>11180</v>
      </c>
      <c r="S2720" t="s">
        <v>9096</v>
      </c>
      <c r="T2720" t="s">
        <v>11183</v>
      </c>
      <c r="W2720">
        <v>1542.96</v>
      </c>
      <c r="X2720" t="s">
        <v>11333</v>
      </c>
      <c r="Y2720" t="s">
        <v>11346</v>
      </c>
      <c r="Z2720" t="s">
        <v>11873</v>
      </c>
      <c r="AB2720" t="s">
        <v>17569</v>
      </c>
      <c r="AC2720">
        <v>48</v>
      </c>
      <c r="AD2720" t="s">
        <v>15441</v>
      </c>
      <c r="AE2720" t="s">
        <v>9144</v>
      </c>
      <c r="AF2720">
        <v>20</v>
      </c>
      <c r="AG2720">
        <v>2</v>
      </c>
      <c r="AH2720">
        <v>0</v>
      </c>
      <c r="AI2720">
        <v>91.02</v>
      </c>
      <c r="AL2720" t="s">
        <v>19614</v>
      </c>
      <c r="AM2720">
        <v>15392</v>
      </c>
      <c r="AS2720">
        <v>0.6</v>
      </c>
      <c r="AT2720" t="s">
        <v>472</v>
      </c>
      <c r="AU2720" t="s">
        <v>220</v>
      </c>
      <c r="AV2720" t="s">
        <v>20733</v>
      </c>
    </row>
    <row r="2721" spans="1:48">
      <c r="A2721" s="1">
        <f>HYPERLINK("https://lsnyc.legalserver.org/matter/dynamic-profile/view/1898095","19-1898095")</f>
        <v>0</v>
      </c>
      <c r="B2721" t="s">
        <v>101</v>
      </c>
      <c r="C2721" t="s">
        <v>257</v>
      </c>
      <c r="D2721" t="s">
        <v>470</v>
      </c>
      <c r="E2721" t="s">
        <v>416</v>
      </c>
      <c r="F2721" t="s">
        <v>1440</v>
      </c>
      <c r="G2721" t="s">
        <v>3588</v>
      </c>
      <c r="H2721" t="s">
        <v>5902</v>
      </c>
      <c r="I2721" t="s">
        <v>8142</v>
      </c>
      <c r="J2721" t="s">
        <v>9065</v>
      </c>
      <c r="K2721">
        <v>10452</v>
      </c>
      <c r="L2721" t="s">
        <v>9094</v>
      </c>
      <c r="M2721" t="s">
        <v>9094</v>
      </c>
      <c r="O2721" t="s">
        <v>9121</v>
      </c>
      <c r="P2721" t="s">
        <v>11166</v>
      </c>
      <c r="Q2721" t="s">
        <v>11178</v>
      </c>
      <c r="R2721" t="s">
        <v>11180</v>
      </c>
      <c r="S2721" t="s">
        <v>9094</v>
      </c>
      <c r="T2721" t="s">
        <v>11183</v>
      </c>
      <c r="V2721" t="s">
        <v>11218</v>
      </c>
      <c r="W2721">
        <v>460.75</v>
      </c>
      <c r="X2721" t="s">
        <v>11333</v>
      </c>
      <c r="Y2721" t="s">
        <v>11346</v>
      </c>
      <c r="Z2721" t="s">
        <v>13213</v>
      </c>
      <c r="AB2721" t="s">
        <v>17570</v>
      </c>
      <c r="AC2721">
        <v>60</v>
      </c>
      <c r="AD2721" t="s">
        <v>19566</v>
      </c>
      <c r="AE2721" t="s">
        <v>19587</v>
      </c>
      <c r="AF2721">
        <v>39</v>
      </c>
      <c r="AG2721">
        <v>1</v>
      </c>
      <c r="AH2721">
        <v>0</v>
      </c>
      <c r="AI2721">
        <v>91.18000000000001</v>
      </c>
      <c r="AL2721" t="s">
        <v>19614</v>
      </c>
      <c r="AM2721">
        <v>11388</v>
      </c>
      <c r="AS2721">
        <v>0.5</v>
      </c>
      <c r="AT2721" t="s">
        <v>416</v>
      </c>
      <c r="AU2721" t="s">
        <v>20642</v>
      </c>
      <c r="AV2721" t="s">
        <v>20733</v>
      </c>
    </row>
    <row r="2722" spans="1:48">
      <c r="A2722" s="1">
        <f>HYPERLINK("https://lsnyc.legalserver.org/matter/dynamic-profile/view/1914480","19-1914480")</f>
        <v>0</v>
      </c>
      <c r="B2722" t="s">
        <v>103</v>
      </c>
      <c r="C2722" t="s">
        <v>257</v>
      </c>
      <c r="D2722" t="s">
        <v>703</v>
      </c>
      <c r="E2722" t="s">
        <v>612</v>
      </c>
      <c r="F2722" t="s">
        <v>1336</v>
      </c>
      <c r="G2722" t="s">
        <v>3364</v>
      </c>
      <c r="H2722" t="s">
        <v>7063</v>
      </c>
      <c r="I2722" t="s">
        <v>8142</v>
      </c>
      <c r="J2722" t="s">
        <v>9065</v>
      </c>
      <c r="K2722">
        <v>10452</v>
      </c>
      <c r="L2722" t="s">
        <v>9094</v>
      </c>
      <c r="M2722" t="s">
        <v>9095</v>
      </c>
      <c r="N2722" t="s">
        <v>10169</v>
      </c>
      <c r="O2722" t="s">
        <v>11141</v>
      </c>
      <c r="P2722" t="s">
        <v>11164</v>
      </c>
      <c r="Q2722" t="s">
        <v>11172</v>
      </c>
      <c r="R2722" t="s">
        <v>11180</v>
      </c>
      <c r="S2722" t="s">
        <v>9096</v>
      </c>
      <c r="T2722" t="s">
        <v>11189</v>
      </c>
      <c r="U2722" t="s">
        <v>11199</v>
      </c>
      <c r="W2722">
        <v>1350</v>
      </c>
      <c r="X2722" t="s">
        <v>11333</v>
      </c>
      <c r="Z2722" t="s">
        <v>13214</v>
      </c>
      <c r="AA2722">
        <v>6050360</v>
      </c>
      <c r="AB2722" t="s">
        <v>17571</v>
      </c>
      <c r="AC2722">
        <v>3</v>
      </c>
      <c r="AD2722" t="s">
        <v>19565</v>
      </c>
      <c r="AE2722" t="s">
        <v>19580</v>
      </c>
      <c r="AF2722">
        <v>1</v>
      </c>
      <c r="AG2722">
        <v>1</v>
      </c>
      <c r="AH2722">
        <v>0</v>
      </c>
      <c r="AI2722">
        <v>91.18000000000001</v>
      </c>
      <c r="AL2722" t="s">
        <v>19614</v>
      </c>
      <c r="AM2722">
        <v>11388</v>
      </c>
      <c r="AS2722">
        <v>1.15</v>
      </c>
      <c r="AT2722" t="s">
        <v>377</v>
      </c>
      <c r="AU2722" t="s">
        <v>103</v>
      </c>
      <c r="AV2722" t="s">
        <v>20733</v>
      </c>
    </row>
    <row r="2723" spans="1:48">
      <c r="A2723" s="1">
        <f>HYPERLINK("https://lsnyc.legalserver.org/matter/dynamic-profile/view/1895822","19-1895822")</f>
        <v>0</v>
      </c>
      <c r="B2723" t="s">
        <v>52</v>
      </c>
      <c r="C2723" t="s">
        <v>257</v>
      </c>
      <c r="D2723" t="s">
        <v>376</v>
      </c>
      <c r="E2723" t="s">
        <v>1016</v>
      </c>
      <c r="F2723" t="s">
        <v>2313</v>
      </c>
      <c r="G2723" t="s">
        <v>4537</v>
      </c>
      <c r="H2723" t="s">
        <v>5692</v>
      </c>
      <c r="I2723" t="s">
        <v>8653</v>
      </c>
      <c r="J2723" t="s">
        <v>9038</v>
      </c>
      <c r="K2723">
        <v>11691</v>
      </c>
      <c r="L2723" t="s">
        <v>9094</v>
      </c>
      <c r="M2723" t="s">
        <v>9094</v>
      </c>
      <c r="O2723" t="s">
        <v>11134</v>
      </c>
      <c r="P2723" t="s">
        <v>11167</v>
      </c>
      <c r="Q2723" t="s">
        <v>11173</v>
      </c>
      <c r="R2723" t="s">
        <v>11180</v>
      </c>
      <c r="S2723" t="s">
        <v>9094</v>
      </c>
      <c r="T2723" t="s">
        <v>11183</v>
      </c>
      <c r="U2723" t="s">
        <v>11201</v>
      </c>
      <c r="V2723" t="s">
        <v>376</v>
      </c>
      <c r="W2723">
        <v>675</v>
      </c>
      <c r="X2723" t="s">
        <v>11331</v>
      </c>
      <c r="Y2723" t="s">
        <v>11339</v>
      </c>
      <c r="Z2723" t="s">
        <v>13215</v>
      </c>
      <c r="AA2723" t="s">
        <v>15274</v>
      </c>
      <c r="AB2723" t="s">
        <v>17572</v>
      </c>
      <c r="AC2723">
        <v>43</v>
      </c>
      <c r="AD2723" t="s">
        <v>19566</v>
      </c>
      <c r="AE2723" t="s">
        <v>9144</v>
      </c>
      <c r="AF2723">
        <v>8</v>
      </c>
      <c r="AG2723">
        <v>1</v>
      </c>
      <c r="AH2723">
        <v>0</v>
      </c>
      <c r="AI2723">
        <v>91.27</v>
      </c>
      <c r="AL2723" t="s">
        <v>19614</v>
      </c>
      <c r="AM2723">
        <v>11400</v>
      </c>
      <c r="AS2723">
        <v>0.1</v>
      </c>
      <c r="AT2723" t="s">
        <v>1016</v>
      </c>
      <c r="AU2723" t="s">
        <v>20622</v>
      </c>
      <c r="AV2723" t="s">
        <v>20733</v>
      </c>
    </row>
    <row r="2724" spans="1:48">
      <c r="A2724" s="1">
        <f>HYPERLINK("https://lsnyc.legalserver.org/matter/dynamic-profile/view/1912442","19-1912442")</f>
        <v>0</v>
      </c>
      <c r="B2724" t="s">
        <v>52</v>
      </c>
      <c r="C2724" t="s">
        <v>256</v>
      </c>
      <c r="D2724" t="s">
        <v>744</v>
      </c>
      <c r="F2724" t="s">
        <v>2313</v>
      </c>
      <c r="G2724" t="s">
        <v>4537</v>
      </c>
      <c r="H2724" t="s">
        <v>5692</v>
      </c>
      <c r="I2724" t="s">
        <v>8209</v>
      </c>
      <c r="J2724" t="s">
        <v>9038</v>
      </c>
      <c r="K2724">
        <v>11691</v>
      </c>
      <c r="L2724" t="s">
        <v>9094</v>
      </c>
      <c r="M2724" t="s">
        <v>9095</v>
      </c>
      <c r="N2724" t="s">
        <v>9664</v>
      </c>
      <c r="O2724" t="s">
        <v>11130</v>
      </c>
      <c r="P2724" t="s">
        <v>11165</v>
      </c>
      <c r="R2724" t="s">
        <v>11180</v>
      </c>
      <c r="S2724" t="s">
        <v>9096</v>
      </c>
      <c r="T2724" t="s">
        <v>11183</v>
      </c>
      <c r="U2724" t="s">
        <v>11201</v>
      </c>
      <c r="V2724" t="s">
        <v>744</v>
      </c>
      <c r="W2724">
        <v>675</v>
      </c>
      <c r="X2724" t="s">
        <v>11331</v>
      </c>
      <c r="Y2724" t="s">
        <v>11339</v>
      </c>
      <c r="Z2724" t="s">
        <v>13215</v>
      </c>
      <c r="AB2724" t="s">
        <v>17572</v>
      </c>
      <c r="AC2724">
        <v>43</v>
      </c>
      <c r="AD2724" t="s">
        <v>19566</v>
      </c>
      <c r="AE2724" t="s">
        <v>9144</v>
      </c>
      <c r="AF2724">
        <v>8</v>
      </c>
      <c r="AG2724">
        <v>1</v>
      </c>
      <c r="AH2724">
        <v>0</v>
      </c>
      <c r="AI2724">
        <v>91.27</v>
      </c>
      <c r="AL2724" t="s">
        <v>19614</v>
      </c>
      <c r="AM2724">
        <v>11400</v>
      </c>
      <c r="AP2724" t="s">
        <v>11157</v>
      </c>
      <c r="AS2724">
        <v>0.4</v>
      </c>
      <c r="AT2724" t="s">
        <v>744</v>
      </c>
      <c r="AU2724" t="s">
        <v>20620</v>
      </c>
      <c r="AV2724" t="s">
        <v>20733</v>
      </c>
    </row>
    <row r="2725" spans="1:48">
      <c r="A2725" s="1">
        <f>HYPERLINK("https://lsnyc.legalserver.org/matter/dynamic-profile/view/1895829","19-1895829")</f>
        <v>0</v>
      </c>
      <c r="B2725" t="s">
        <v>52</v>
      </c>
      <c r="C2725" t="s">
        <v>256</v>
      </c>
      <c r="D2725" t="s">
        <v>376</v>
      </c>
      <c r="F2725" t="s">
        <v>2313</v>
      </c>
      <c r="G2725" t="s">
        <v>4537</v>
      </c>
      <c r="H2725" t="s">
        <v>5692</v>
      </c>
      <c r="I2725" t="s">
        <v>8653</v>
      </c>
      <c r="J2725" t="s">
        <v>9038</v>
      </c>
      <c r="K2725">
        <v>11691</v>
      </c>
      <c r="L2725" t="s">
        <v>9094</v>
      </c>
      <c r="M2725" t="s">
        <v>9094</v>
      </c>
      <c r="O2725" t="s">
        <v>11136</v>
      </c>
      <c r="P2725" t="s">
        <v>11167</v>
      </c>
      <c r="R2725" t="s">
        <v>11180</v>
      </c>
      <c r="S2725" t="s">
        <v>9094</v>
      </c>
      <c r="T2725" t="s">
        <v>11183</v>
      </c>
      <c r="V2725" t="s">
        <v>376</v>
      </c>
      <c r="W2725">
        <v>675</v>
      </c>
      <c r="X2725" t="s">
        <v>11331</v>
      </c>
      <c r="Y2725" t="s">
        <v>11339</v>
      </c>
      <c r="Z2725" t="s">
        <v>13215</v>
      </c>
      <c r="AA2725" t="s">
        <v>15274</v>
      </c>
      <c r="AB2725" t="s">
        <v>17572</v>
      </c>
      <c r="AC2725">
        <v>43</v>
      </c>
      <c r="AD2725" t="s">
        <v>19566</v>
      </c>
      <c r="AE2725" t="s">
        <v>9144</v>
      </c>
      <c r="AF2725">
        <v>8</v>
      </c>
      <c r="AG2725">
        <v>1</v>
      </c>
      <c r="AH2725">
        <v>0</v>
      </c>
      <c r="AI2725">
        <v>91.27</v>
      </c>
      <c r="AL2725" t="s">
        <v>19614</v>
      </c>
      <c r="AM2725">
        <v>11400</v>
      </c>
      <c r="AS2725">
        <v>0</v>
      </c>
      <c r="AU2725" t="s">
        <v>20622</v>
      </c>
      <c r="AV2725" t="s">
        <v>20733</v>
      </c>
    </row>
    <row r="2726" spans="1:48">
      <c r="A2726" s="1">
        <f>HYPERLINK("https://lsnyc.legalserver.org/matter/dynamic-profile/view/1911922","19-1911922")</f>
        <v>0</v>
      </c>
      <c r="B2726" t="s">
        <v>98</v>
      </c>
      <c r="C2726" t="s">
        <v>256</v>
      </c>
      <c r="D2726" t="s">
        <v>292</v>
      </c>
      <c r="F2726" t="s">
        <v>2314</v>
      </c>
      <c r="G2726" t="s">
        <v>4538</v>
      </c>
      <c r="H2726" t="s">
        <v>6713</v>
      </c>
      <c r="I2726" t="s">
        <v>8521</v>
      </c>
      <c r="J2726" t="s">
        <v>9065</v>
      </c>
      <c r="K2726">
        <v>10458</v>
      </c>
      <c r="L2726" t="s">
        <v>9094</v>
      </c>
      <c r="M2726" t="s">
        <v>9095</v>
      </c>
      <c r="O2726" t="s">
        <v>11130</v>
      </c>
      <c r="P2726" t="s">
        <v>11165</v>
      </c>
      <c r="R2726" t="s">
        <v>11180</v>
      </c>
      <c r="S2726" t="s">
        <v>9094</v>
      </c>
      <c r="T2726" t="s">
        <v>11183</v>
      </c>
      <c r="W2726">
        <v>1150</v>
      </c>
      <c r="X2726" t="s">
        <v>11333</v>
      </c>
      <c r="Y2726" t="s">
        <v>11346</v>
      </c>
      <c r="Z2726" t="s">
        <v>13216</v>
      </c>
      <c r="AB2726" t="s">
        <v>17053</v>
      </c>
      <c r="AC2726">
        <v>94</v>
      </c>
      <c r="AD2726" t="s">
        <v>15441</v>
      </c>
      <c r="AE2726" t="s">
        <v>19585</v>
      </c>
      <c r="AF2726">
        <v>8</v>
      </c>
      <c r="AG2726">
        <v>1</v>
      </c>
      <c r="AH2726">
        <v>0</v>
      </c>
      <c r="AI2726">
        <v>91.27</v>
      </c>
      <c r="AL2726" t="s">
        <v>19615</v>
      </c>
      <c r="AM2726">
        <v>11400</v>
      </c>
      <c r="AS2726">
        <v>0</v>
      </c>
      <c r="AU2726" t="s">
        <v>20642</v>
      </c>
      <c r="AV2726" t="s">
        <v>20733</v>
      </c>
    </row>
    <row r="2727" spans="1:48">
      <c r="A2727" s="1">
        <f>HYPERLINK("https://lsnyc.legalserver.org/matter/dynamic-profile/view/1898558","19-1898558")</f>
        <v>0</v>
      </c>
      <c r="B2727" t="s">
        <v>126</v>
      </c>
      <c r="C2727" t="s">
        <v>257</v>
      </c>
      <c r="D2727" t="s">
        <v>338</v>
      </c>
      <c r="E2727" t="s">
        <v>457</v>
      </c>
      <c r="F2727" t="s">
        <v>1838</v>
      </c>
      <c r="G2727" t="s">
        <v>4163</v>
      </c>
      <c r="H2727" t="s">
        <v>6090</v>
      </c>
      <c r="I2727" t="s">
        <v>8270</v>
      </c>
      <c r="J2727" t="s">
        <v>9066</v>
      </c>
      <c r="K2727">
        <v>10304</v>
      </c>
      <c r="L2727" t="s">
        <v>9094</v>
      </c>
      <c r="M2727" t="s">
        <v>9095</v>
      </c>
      <c r="N2727" t="s">
        <v>10170</v>
      </c>
      <c r="O2727" t="s">
        <v>11129</v>
      </c>
      <c r="P2727" t="s">
        <v>11165</v>
      </c>
      <c r="Q2727" t="s">
        <v>11174</v>
      </c>
      <c r="R2727" t="s">
        <v>11180</v>
      </c>
      <c r="S2727" t="s">
        <v>9096</v>
      </c>
      <c r="T2727" t="s">
        <v>11183</v>
      </c>
      <c r="W2727">
        <v>183</v>
      </c>
      <c r="X2727" t="s">
        <v>11334</v>
      </c>
      <c r="Y2727" t="s">
        <v>11345</v>
      </c>
      <c r="Z2727" t="s">
        <v>13217</v>
      </c>
      <c r="AB2727" t="s">
        <v>17573</v>
      </c>
      <c r="AC2727">
        <v>305</v>
      </c>
      <c r="AD2727" t="s">
        <v>19567</v>
      </c>
      <c r="AE2727" t="s">
        <v>9144</v>
      </c>
      <c r="AF2727">
        <v>20</v>
      </c>
      <c r="AG2727">
        <v>1</v>
      </c>
      <c r="AH2727">
        <v>0</v>
      </c>
      <c r="AI2727">
        <v>91.27</v>
      </c>
      <c r="AL2727" t="s">
        <v>19614</v>
      </c>
      <c r="AM2727">
        <v>11400</v>
      </c>
      <c r="AO2727" t="s">
        <v>20290</v>
      </c>
      <c r="AP2727" t="s">
        <v>20309</v>
      </c>
      <c r="AQ2727" t="s">
        <v>20369</v>
      </c>
      <c r="AS2727">
        <v>12</v>
      </c>
      <c r="AT2727" t="s">
        <v>457</v>
      </c>
      <c r="AU2727" t="s">
        <v>20653</v>
      </c>
      <c r="AV2727" t="s">
        <v>20733</v>
      </c>
    </row>
    <row r="2728" spans="1:48">
      <c r="A2728" s="1">
        <f>HYPERLINK("https://lsnyc.legalserver.org/matter/dynamic-profile/view/0821956","16-0821956")</f>
        <v>0</v>
      </c>
      <c r="B2728" t="s">
        <v>53</v>
      </c>
      <c r="C2728" t="s">
        <v>256</v>
      </c>
      <c r="D2728" t="s">
        <v>463</v>
      </c>
      <c r="F2728" t="s">
        <v>2315</v>
      </c>
      <c r="G2728" t="s">
        <v>1948</v>
      </c>
      <c r="H2728" t="s">
        <v>7064</v>
      </c>
      <c r="I2728">
        <v>7</v>
      </c>
      <c r="J2728" t="s">
        <v>9063</v>
      </c>
      <c r="K2728">
        <v>11101</v>
      </c>
      <c r="L2728" t="s">
        <v>9095</v>
      </c>
      <c r="M2728" t="s">
        <v>9095</v>
      </c>
      <c r="N2728" t="s">
        <v>10171</v>
      </c>
      <c r="O2728" t="s">
        <v>11157</v>
      </c>
      <c r="P2728" t="s">
        <v>11165</v>
      </c>
      <c r="R2728" t="s">
        <v>11180</v>
      </c>
      <c r="S2728" t="s">
        <v>9094</v>
      </c>
      <c r="T2728" t="s">
        <v>11183</v>
      </c>
      <c r="W2728">
        <v>1694.41</v>
      </c>
      <c r="X2728" t="s">
        <v>11331</v>
      </c>
      <c r="Y2728" t="s">
        <v>11342</v>
      </c>
      <c r="Z2728" t="s">
        <v>13218</v>
      </c>
      <c r="AA2728" t="s">
        <v>15737</v>
      </c>
      <c r="AB2728" t="s">
        <v>17574</v>
      </c>
      <c r="AC2728">
        <v>19</v>
      </c>
      <c r="AD2728" t="s">
        <v>19566</v>
      </c>
      <c r="AE2728" t="s">
        <v>9144</v>
      </c>
      <c r="AF2728">
        <v>20</v>
      </c>
      <c r="AG2728">
        <v>3</v>
      </c>
      <c r="AH2728">
        <v>2</v>
      </c>
      <c r="AI2728">
        <v>91.42</v>
      </c>
      <c r="AL2728" t="s">
        <v>19616</v>
      </c>
      <c r="AM2728">
        <v>42800</v>
      </c>
      <c r="AS2728">
        <v>3.9</v>
      </c>
      <c r="AT2728" t="s">
        <v>20582</v>
      </c>
      <c r="AU2728" t="s">
        <v>53</v>
      </c>
    </row>
    <row r="2729" spans="1:48">
      <c r="A2729" s="1">
        <f>HYPERLINK("https://lsnyc.legalserver.org/matter/dynamic-profile/view/1906355","19-1906355")</f>
        <v>0</v>
      </c>
      <c r="B2729" t="s">
        <v>129</v>
      </c>
      <c r="C2729" t="s">
        <v>256</v>
      </c>
      <c r="D2729" t="s">
        <v>333</v>
      </c>
      <c r="F2729" t="s">
        <v>2316</v>
      </c>
      <c r="G2729" t="s">
        <v>3827</v>
      </c>
      <c r="H2729" t="s">
        <v>7065</v>
      </c>
      <c r="I2729">
        <v>3</v>
      </c>
      <c r="J2729" t="s">
        <v>9066</v>
      </c>
      <c r="K2729">
        <v>10301</v>
      </c>
      <c r="L2729" t="s">
        <v>9094</v>
      </c>
      <c r="M2729" t="s">
        <v>9095</v>
      </c>
      <c r="N2729" t="s">
        <v>10172</v>
      </c>
      <c r="O2729" t="s">
        <v>11128</v>
      </c>
      <c r="P2729" t="s">
        <v>11165</v>
      </c>
      <c r="R2729" t="s">
        <v>11180</v>
      </c>
      <c r="S2729" t="s">
        <v>9096</v>
      </c>
      <c r="T2729" t="s">
        <v>11183</v>
      </c>
      <c r="U2729" t="s">
        <v>11201</v>
      </c>
      <c r="V2729" t="s">
        <v>864</v>
      </c>
      <c r="W2729">
        <v>675</v>
      </c>
      <c r="X2729" t="s">
        <v>11334</v>
      </c>
      <c r="Y2729" t="s">
        <v>11345</v>
      </c>
      <c r="Z2729" t="s">
        <v>13219</v>
      </c>
      <c r="AB2729" t="s">
        <v>17575</v>
      </c>
      <c r="AC2729">
        <v>2</v>
      </c>
      <c r="AD2729" t="s">
        <v>19565</v>
      </c>
      <c r="AE2729" t="s">
        <v>9144</v>
      </c>
      <c r="AF2729">
        <v>-1</v>
      </c>
      <c r="AG2729">
        <v>2</v>
      </c>
      <c r="AH2729">
        <v>1</v>
      </c>
      <c r="AI2729">
        <v>91.42</v>
      </c>
      <c r="AL2729" t="s">
        <v>19614</v>
      </c>
      <c r="AM2729">
        <v>19500</v>
      </c>
      <c r="AS2729">
        <v>16.9</v>
      </c>
      <c r="AT2729" t="s">
        <v>1130</v>
      </c>
      <c r="AU2729" t="s">
        <v>20653</v>
      </c>
      <c r="AV2729" t="s">
        <v>20733</v>
      </c>
    </row>
    <row r="2730" spans="1:48">
      <c r="A2730" s="1">
        <f>HYPERLINK("https://lsnyc.legalserver.org/matter/dynamic-profile/view/1887131","19-1887131")</f>
        <v>0</v>
      </c>
      <c r="B2730" t="s">
        <v>52</v>
      </c>
      <c r="C2730" t="s">
        <v>257</v>
      </c>
      <c r="D2730" t="s">
        <v>344</v>
      </c>
      <c r="E2730" t="s">
        <v>1129</v>
      </c>
      <c r="F2730" t="s">
        <v>2317</v>
      </c>
      <c r="G2730" t="s">
        <v>4539</v>
      </c>
      <c r="H2730" t="s">
        <v>7066</v>
      </c>
      <c r="J2730" t="s">
        <v>9054</v>
      </c>
      <c r="K2730">
        <v>11368</v>
      </c>
      <c r="L2730" t="s">
        <v>9094</v>
      </c>
      <c r="M2730" t="s">
        <v>9094</v>
      </c>
      <c r="N2730" t="s">
        <v>10173</v>
      </c>
      <c r="O2730" t="s">
        <v>11128</v>
      </c>
      <c r="P2730" t="s">
        <v>11165</v>
      </c>
      <c r="Q2730" t="s">
        <v>11174</v>
      </c>
      <c r="R2730" t="s">
        <v>11181</v>
      </c>
      <c r="S2730" t="s">
        <v>9096</v>
      </c>
      <c r="T2730" t="s">
        <v>11183</v>
      </c>
      <c r="U2730" t="s">
        <v>11201</v>
      </c>
      <c r="V2730" t="s">
        <v>324</v>
      </c>
      <c r="W2730">
        <v>0</v>
      </c>
      <c r="X2730" t="s">
        <v>11331</v>
      </c>
      <c r="Y2730" t="s">
        <v>11337</v>
      </c>
      <c r="Z2730" t="s">
        <v>13220</v>
      </c>
      <c r="AA2730" t="s">
        <v>15274</v>
      </c>
      <c r="AB2730" t="s">
        <v>15274</v>
      </c>
      <c r="AC2730">
        <v>4</v>
      </c>
      <c r="AD2730" t="s">
        <v>19565</v>
      </c>
      <c r="AE2730" t="s">
        <v>9144</v>
      </c>
      <c r="AF2730">
        <v>6</v>
      </c>
      <c r="AG2730">
        <v>1</v>
      </c>
      <c r="AH2730">
        <v>2</v>
      </c>
      <c r="AI2730">
        <v>91.43000000000001</v>
      </c>
      <c r="AJ2730" t="s">
        <v>19591</v>
      </c>
      <c r="AK2730" t="s">
        <v>19608</v>
      </c>
      <c r="AL2730" t="s">
        <v>19614</v>
      </c>
      <c r="AM2730">
        <v>19000</v>
      </c>
      <c r="AO2730" t="s">
        <v>20293</v>
      </c>
      <c r="AP2730" t="s">
        <v>20311</v>
      </c>
      <c r="AQ2730" t="s">
        <v>20368</v>
      </c>
      <c r="AS2730">
        <v>11.7</v>
      </c>
      <c r="AT2730" t="s">
        <v>1129</v>
      </c>
      <c r="AU2730" t="s">
        <v>52</v>
      </c>
    </row>
    <row r="2731" spans="1:48">
      <c r="A2731" s="1">
        <f>HYPERLINK("https://lsnyc.legalserver.org/matter/dynamic-profile/view/1875911","18-1875911")</f>
        <v>0</v>
      </c>
      <c r="B2731" t="s">
        <v>122</v>
      </c>
      <c r="C2731" t="s">
        <v>256</v>
      </c>
      <c r="D2731" t="s">
        <v>349</v>
      </c>
      <c r="F2731" t="s">
        <v>1211</v>
      </c>
      <c r="G2731" t="s">
        <v>3733</v>
      </c>
      <c r="H2731" t="s">
        <v>7067</v>
      </c>
      <c r="J2731" t="s">
        <v>9066</v>
      </c>
      <c r="K2731">
        <v>10304</v>
      </c>
      <c r="L2731" t="s">
        <v>9094</v>
      </c>
      <c r="M2731" t="s">
        <v>9094</v>
      </c>
      <c r="N2731" t="s">
        <v>9144</v>
      </c>
      <c r="O2731" t="s">
        <v>11137</v>
      </c>
      <c r="P2731" t="s">
        <v>11166</v>
      </c>
      <c r="R2731" t="s">
        <v>11180</v>
      </c>
      <c r="S2731" t="s">
        <v>9096</v>
      </c>
      <c r="T2731" t="s">
        <v>11183</v>
      </c>
      <c r="W2731">
        <v>1295</v>
      </c>
      <c r="X2731" t="s">
        <v>11334</v>
      </c>
      <c r="Y2731" t="s">
        <v>11340</v>
      </c>
      <c r="Z2731" t="s">
        <v>13221</v>
      </c>
      <c r="AB2731" t="s">
        <v>17576</v>
      </c>
      <c r="AC2731">
        <v>12</v>
      </c>
      <c r="AD2731" t="s">
        <v>19566</v>
      </c>
      <c r="AE2731" t="s">
        <v>19580</v>
      </c>
      <c r="AF2731">
        <v>7</v>
      </c>
      <c r="AG2731">
        <v>1</v>
      </c>
      <c r="AH2731">
        <v>2</v>
      </c>
      <c r="AI2731">
        <v>91.43000000000001</v>
      </c>
      <c r="AL2731" t="s">
        <v>19614</v>
      </c>
      <c r="AM2731">
        <v>19000</v>
      </c>
      <c r="AS2731">
        <v>2.2</v>
      </c>
      <c r="AT2731" t="s">
        <v>803</v>
      </c>
      <c r="AU2731" t="s">
        <v>20662</v>
      </c>
    </row>
    <row r="2732" spans="1:48">
      <c r="A2732" s="1">
        <f>HYPERLINK("https://lsnyc.legalserver.org/matter/dynamic-profile/view/0792803","15-0792803")</f>
        <v>0</v>
      </c>
      <c r="B2732" t="s">
        <v>49</v>
      </c>
      <c r="C2732" t="s">
        <v>256</v>
      </c>
      <c r="D2732" t="s">
        <v>859</v>
      </c>
      <c r="F2732" t="s">
        <v>2318</v>
      </c>
      <c r="G2732" t="s">
        <v>3503</v>
      </c>
      <c r="H2732" t="s">
        <v>6492</v>
      </c>
      <c r="I2732" t="s">
        <v>8654</v>
      </c>
      <c r="J2732" t="s">
        <v>9055</v>
      </c>
      <c r="K2732">
        <v>11354</v>
      </c>
      <c r="L2732" t="s">
        <v>9094</v>
      </c>
      <c r="M2732" t="s">
        <v>9095</v>
      </c>
      <c r="N2732" t="s">
        <v>9717</v>
      </c>
      <c r="O2732" t="s">
        <v>11135</v>
      </c>
      <c r="P2732" t="s">
        <v>11168</v>
      </c>
      <c r="R2732" t="s">
        <v>11180</v>
      </c>
      <c r="T2732" t="s">
        <v>11183</v>
      </c>
      <c r="V2732" t="s">
        <v>303</v>
      </c>
      <c r="W2732">
        <v>1650</v>
      </c>
      <c r="X2732" t="s">
        <v>11331</v>
      </c>
      <c r="Y2732" t="s">
        <v>11342</v>
      </c>
      <c r="Z2732" t="s">
        <v>13222</v>
      </c>
      <c r="AB2732" t="s">
        <v>17577</v>
      </c>
      <c r="AC2732">
        <v>175</v>
      </c>
      <c r="AD2732" t="s">
        <v>19566</v>
      </c>
      <c r="AE2732" t="s">
        <v>9144</v>
      </c>
      <c r="AF2732">
        <v>11</v>
      </c>
      <c r="AG2732">
        <v>4</v>
      </c>
      <c r="AH2732">
        <v>1</v>
      </c>
      <c r="AI2732">
        <v>91.52</v>
      </c>
      <c r="AL2732" t="s">
        <v>19615</v>
      </c>
      <c r="AM2732">
        <v>26000</v>
      </c>
      <c r="AS2732">
        <v>0.95</v>
      </c>
      <c r="AT2732" t="s">
        <v>448</v>
      </c>
      <c r="AU2732" t="s">
        <v>242</v>
      </c>
    </row>
    <row r="2733" spans="1:48">
      <c r="A2733" s="1">
        <f>HYPERLINK("https://lsnyc.legalserver.org/matter/dynamic-profile/view/1899598","19-1899598")</f>
        <v>0</v>
      </c>
      <c r="B2733" t="s">
        <v>126</v>
      </c>
      <c r="C2733" t="s">
        <v>256</v>
      </c>
      <c r="D2733" t="s">
        <v>418</v>
      </c>
      <c r="F2733" t="s">
        <v>2319</v>
      </c>
      <c r="G2733" t="s">
        <v>4540</v>
      </c>
      <c r="H2733" t="s">
        <v>7068</v>
      </c>
      <c r="I2733" t="s">
        <v>8576</v>
      </c>
      <c r="J2733" t="s">
        <v>9066</v>
      </c>
      <c r="K2733">
        <v>10304</v>
      </c>
      <c r="L2733" t="s">
        <v>9095</v>
      </c>
      <c r="M2733" t="s">
        <v>9095</v>
      </c>
      <c r="N2733" t="s">
        <v>10174</v>
      </c>
      <c r="O2733" t="s">
        <v>11128</v>
      </c>
      <c r="R2733" t="s">
        <v>11180</v>
      </c>
      <c r="T2733" t="s">
        <v>11183</v>
      </c>
      <c r="W2733">
        <v>241</v>
      </c>
      <c r="X2733" t="s">
        <v>11334</v>
      </c>
      <c r="Y2733" t="s">
        <v>11157</v>
      </c>
      <c r="Z2733" t="s">
        <v>13223</v>
      </c>
      <c r="AB2733" t="s">
        <v>17578</v>
      </c>
      <c r="AC2733">
        <v>0</v>
      </c>
      <c r="AF2733">
        <v>13</v>
      </c>
      <c r="AG2733">
        <v>1</v>
      </c>
      <c r="AH2733">
        <v>0</v>
      </c>
      <c r="AI2733">
        <v>91.56</v>
      </c>
      <c r="AL2733" t="s">
        <v>19614</v>
      </c>
      <c r="AM2733">
        <v>11436</v>
      </c>
      <c r="AS2733">
        <v>39.8</v>
      </c>
      <c r="AT2733" t="s">
        <v>270</v>
      </c>
      <c r="AU2733" t="s">
        <v>20629</v>
      </c>
    </row>
    <row r="2734" spans="1:48">
      <c r="A2734" s="1">
        <f>HYPERLINK("https://lsnyc.legalserver.org/matter/dynamic-profile/view/1867069","18-1867069")</f>
        <v>0</v>
      </c>
      <c r="B2734" t="s">
        <v>78</v>
      </c>
      <c r="C2734" t="s">
        <v>256</v>
      </c>
      <c r="D2734" t="s">
        <v>390</v>
      </c>
      <c r="F2734" t="s">
        <v>2299</v>
      </c>
      <c r="G2734" t="s">
        <v>3344</v>
      </c>
      <c r="H2734" t="s">
        <v>5809</v>
      </c>
      <c r="I2734" t="s">
        <v>8212</v>
      </c>
      <c r="J2734" t="s">
        <v>9059</v>
      </c>
      <c r="K2734">
        <v>11212</v>
      </c>
      <c r="L2734" t="s">
        <v>9094</v>
      </c>
      <c r="M2734" t="s">
        <v>9095</v>
      </c>
      <c r="P2734" t="s">
        <v>11167</v>
      </c>
      <c r="R2734" t="s">
        <v>11180</v>
      </c>
      <c r="S2734" t="s">
        <v>9094</v>
      </c>
      <c r="T2734" t="s">
        <v>11183</v>
      </c>
      <c r="V2734" t="s">
        <v>673</v>
      </c>
      <c r="W2734">
        <v>755</v>
      </c>
      <c r="X2734" t="s">
        <v>11332</v>
      </c>
      <c r="Y2734" t="s">
        <v>11157</v>
      </c>
      <c r="Z2734" t="s">
        <v>12806</v>
      </c>
      <c r="AB2734" t="s">
        <v>17539</v>
      </c>
      <c r="AC2734">
        <v>0</v>
      </c>
      <c r="AD2734" t="s">
        <v>19566</v>
      </c>
      <c r="AF2734">
        <v>30</v>
      </c>
      <c r="AG2734">
        <v>2</v>
      </c>
      <c r="AH2734">
        <v>0</v>
      </c>
      <c r="AI2734">
        <v>91.56999999999999</v>
      </c>
      <c r="AL2734" t="s">
        <v>19614</v>
      </c>
      <c r="AM2734">
        <v>15072</v>
      </c>
      <c r="AS2734">
        <v>0</v>
      </c>
      <c r="AU2734" t="s">
        <v>95</v>
      </c>
    </row>
    <row r="2735" spans="1:48">
      <c r="A2735" s="1">
        <f>HYPERLINK("https://lsnyc.legalserver.org/matter/dynamic-profile/view/1910713","19-1910713")</f>
        <v>0</v>
      </c>
      <c r="B2735" t="s">
        <v>215</v>
      </c>
      <c r="C2735" t="s">
        <v>256</v>
      </c>
      <c r="D2735" t="s">
        <v>307</v>
      </c>
      <c r="F2735" t="s">
        <v>1462</v>
      </c>
      <c r="G2735" t="s">
        <v>4541</v>
      </c>
      <c r="H2735" t="s">
        <v>7069</v>
      </c>
      <c r="I2735" t="s">
        <v>8266</v>
      </c>
      <c r="J2735" t="s">
        <v>9059</v>
      </c>
      <c r="K2735">
        <v>11226</v>
      </c>
      <c r="L2735" t="s">
        <v>9095</v>
      </c>
      <c r="M2735" t="s">
        <v>9095</v>
      </c>
      <c r="N2735" t="s">
        <v>10175</v>
      </c>
      <c r="O2735" t="s">
        <v>9121</v>
      </c>
      <c r="P2735" t="s">
        <v>11164</v>
      </c>
      <c r="R2735" t="s">
        <v>11180</v>
      </c>
      <c r="S2735" t="s">
        <v>9096</v>
      </c>
      <c r="T2735" t="s">
        <v>11183</v>
      </c>
      <c r="W2735">
        <v>867.12</v>
      </c>
      <c r="X2735" t="s">
        <v>11332</v>
      </c>
      <c r="Z2735" t="s">
        <v>13224</v>
      </c>
      <c r="AC2735">
        <v>35</v>
      </c>
      <c r="AD2735" t="s">
        <v>15441</v>
      </c>
      <c r="AE2735" t="s">
        <v>9144</v>
      </c>
      <c r="AF2735">
        <v>12</v>
      </c>
      <c r="AG2735">
        <v>1</v>
      </c>
      <c r="AH2735">
        <v>0</v>
      </c>
      <c r="AI2735">
        <v>91.59</v>
      </c>
      <c r="AL2735" t="s">
        <v>19614</v>
      </c>
      <c r="AM2735">
        <v>11440</v>
      </c>
      <c r="AS2735">
        <v>0.5</v>
      </c>
      <c r="AT2735" t="s">
        <v>307</v>
      </c>
      <c r="AU2735" t="s">
        <v>20635</v>
      </c>
    </row>
    <row r="2736" spans="1:48">
      <c r="A2736" s="1">
        <f>HYPERLINK("https://lsnyc.legalserver.org/matter/dynamic-profile/view/1899593","19-1899593")</f>
        <v>0</v>
      </c>
      <c r="B2736" t="s">
        <v>102</v>
      </c>
      <c r="C2736" t="s">
        <v>256</v>
      </c>
      <c r="D2736" t="s">
        <v>418</v>
      </c>
      <c r="F2736" t="s">
        <v>1146</v>
      </c>
      <c r="G2736" t="s">
        <v>3405</v>
      </c>
      <c r="H2736" t="s">
        <v>7070</v>
      </c>
      <c r="I2736">
        <v>6</v>
      </c>
      <c r="J2736" t="s">
        <v>9065</v>
      </c>
      <c r="K2736">
        <v>10452</v>
      </c>
      <c r="L2736" t="s">
        <v>9094</v>
      </c>
      <c r="M2736" t="s">
        <v>9095</v>
      </c>
      <c r="O2736" t="s">
        <v>11143</v>
      </c>
      <c r="P2736" t="s">
        <v>11164</v>
      </c>
      <c r="R2736" t="s">
        <v>11180</v>
      </c>
      <c r="S2736" t="s">
        <v>9096</v>
      </c>
      <c r="T2736" t="s">
        <v>11183</v>
      </c>
      <c r="V2736" t="s">
        <v>11218</v>
      </c>
      <c r="W2736">
        <v>2000</v>
      </c>
      <c r="X2736" t="s">
        <v>11333</v>
      </c>
      <c r="Y2736" t="s">
        <v>11339</v>
      </c>
      <c r="Z2736" t="s">
        <v>13225</v>
      </c>
      <c r="AC2736">
        <v>2</v>
      </c>
      <c r="AD2736" t="s">
        <v>15441</v>
      </c>
      <c r="AE2736" t="s">
        <v>9144</v>
      </c>
      <c r="AF2736">
        <v>1</v>
      </c>
      <c r="AG2736">
        <v>3</v>
      </c>
      <c r="AH2736">
        <v>1</v>
      </c>
      <c r="AI2736">
        <v>91.68000000000001</v>
      </c>
      <c r="AL2736" t="s">
        <v>19615</v>
      </c>
      <c r="AM2736">
        <v>23608</v>
      </c>
      <c r="AS2736">
        <v>0.25</v>
      </c>
      <c r="AT2736" t="s">
        <v>293</v>
      </c>
      <c r="AU2736" t="s">
        <v>20642</v>
      </c>
      <c r="AV2736" t="s">
        <v>20733</v>
      </c>
    </row>
    <row r="2737" spans="1:48">
      <c r="A2737" s="1">
        <f>HYPERLINK("https://lsnyc.legalserver.org/matter/dynamic-profile/view/0792810","15-0792810")</f>
        <v>0</v>
      </c>
      <c r="B2737" t="s">
        <v>49</v>
      </c>
      <c r="C2737" t="s">
        <v>256</v>
      </c>
      <c r="D2737" t="s">
        <v>859</v>
      </c>
      <c r="F2737" t="s">
        <v>2320</v>
      </c>
      <c r="G2737" t="s">
        <v>4542</v>
      </c>
      <c r="H2737" t="s">
        <v>6492</v>
      </c>
      <c r="I2737" t="s">
        <v>8155</v>
      </c>
      <c r="J2737" t="s">
        <v>9055</v>
      </c>
      <c r="K2737">
        <v>11354</v>
      </c>
      <c r="L2737" t="s">
        <v>9094</v>
      </c>
      <c r="M2737" t="s">
        <v>9095</v>
      </c>
      <c r="N2737" t="s">
        <v>9717</v>
      </c>
      <c r="O2737" t="s">
        <v>11135</v>
      </c>
      <c r="P2737" t="s">
        <v>11168</v>
      </c>
      <c r="R2737" t="s">
        <v>11180</v>
      </c>
      <c r="T2737" t="s">
        <v>11183</v>
      </c>
      <c r="V2737" t="s">
        <v>303</v>
      </c>
      <c r="W2737">
        <v>912</v>
      </c>
      <c r="X2737" t="s">
        <v>11331</v>
      </c>
      <c r="Y2737" t="s">
        <v>11342</v>
      </c>
      <c r="Z2737" t="s">
        <v>13226</v>
      </c>
      <c r="AB2737" t="s">
        <v>17579</v>
      </c>
      <c r="AC2737">
        <v>175</v>
      </c>
      <c r="AD2737" t="s">
        <v>19566</v>
      </c>
      <c r="AE2737" t="s">
        <v>19587</v>
      </c>
      <c r="AF2737">
        <v>35</v>
      </c>
      <c r="AG2737">
        <v>1</v>
      </c>
      <c r="AH2737">
        <v>0</v>
      </c>
      <c r="AI2737">
        <v>91.76000000000001</v>
      </c>
      <c r="AL2737" t="s">
        <v>19614</v>
      </c>
      <c r="AM2737">
        <v>10800</v>
      </c>
      <c r="AS2737">
        <v>0.65</v>
      </c>
      <c r="AT2737" t="s">
        <v>448</v>
      </c>
      <c r="AU2737" t="s">
        <v>242</v>
      </c>
    </row>
    <row r="2738" spans="1:48">
      <c r="A2738" s="1">
        <f>HYPERLINK("https://lsnyc.legalserver.org/matter/dynamic-profile/view/0780604","15-0780604")</f>
        <v>0</v>
      </c>
      <c r="B2738" t="s">
        <v>119</v>
      </c>
      <c r="C2738" t="s">
        <v>256</v>
      </c>
      <c r="D2738" t="s">
        <v>962</v>
      </c>
      <c r="F2738" t="s">
        <v>1303</v>
      </c>
      <c r="G2738" t="s">
        <v>3990</v>
      </c>
      <c r="H2738" t="s">
        <v>5897</v>
      </c>
      <c r="I2738" t="s">
        <v>8413</v>
      </c>
      <c r="J2738" t="s">
        <v>9065</v>
      </c>
      <c r="K2738">
        <v>10452</v>
      </c>
      <c r="L2738" t="s">
        <v>9094</v>
      </c>
      <c r="M2738" t="s">
        <v>9095</v>
      </c>
      <c r="N2738" t="s">
        <v>9250</v>
      </c>
      <c r="O2738" t="s">
        <v>11147</v>
      </c>
      <c r="P2738" t="s">
        <v>11165</v>
      </c>
      <c r="R2738" t="s">
        <v>11180</v>
      </c>
      <c r="S2738" t="s">
        <v>9094</v>
      </c>
      <c r="T2738" t="s">
        <v>11183</v>
      </c>
      <c r="V2738" t="s">
        <v>969</v>
      </c>
      <c r="W2738">
        <v>706.95</v>
      </c>
      <c r="X2738" t="s">
        <v>11333</v>
      </c>
      <c r="Y2738" t="s">
        <v>11346</v>
      </c>
      <c r="Z2738" t="s">
        <v>12262</v>
      </c>
      <c r="AB2738" t="s">
        <v>16686</v>
      </c>
      <c r="AC2738">
        <v>122</v>
      </c>
      <c r="AD2738" t="s">
        <v>19566</v>
      </c>
      <c r="AF2738">
        <v>24</v>
      </c>
      <c r="AG2738">
        <v>1</v>
      </c>
      <c r="AH2738">
        <v>0</v>
      </c>
      <c r="AI2738">
        <v>91.76000000000001</v>
      </c>
      <c r="AL2738" t="s">
        <v>19614</v>
      </c>
      <c r="AM2738">
        <v>10800</v>
      </c>
      <c r="AS2738">
        <v>935.92</v>
      </c>
      <c r="AT2738" t="s">
        <v>1135</v>
      </c>
      <c r="AU2738" t="s">
        <v>109</v>
      </c>
    </row>
    <row r="2739" spans="1:48">
      <c r="A2739" s="1">
        <f>HYPERLINK("https://lsnyc.legalserver.org/matter/dynamic-profile/view/1899060","19-1899060")</f>
        <v>0</v>
      </c>
      <c r="B2739" t="s">
        <v>111</v>
      </c>
      <c r="C2739" t="s">
        <v>256</v>
      </c>
      <c r="D2739" t="s">
        <v>492</v>
      </c>
      <c r="F2739" t="s">
        <v>1566</v>
      </c>
      <c r="G2739" t="s">
        <v>4543</v>
      </c>
      <c r="H2739" t="s">
        <v>7071</v>
      </c>
      <c r="I2739">
        <v>1</v>
      </c>
      <c r="J2739" t="s">
        <v>9065</v>
      </c>
      <c r="K2739">
        <v>10456</v>
      </c>
      <c r="L2739" t="s">
        <v>9094</v>
      </c>
      <c r="M2739" t="s">
        <v>9095</v>
      </c>
      <c r="N2739" t="s">
        <v>10176</v>
      </c>
      <c r="O2739" t="s">
        <v>11128</v>
      </c>
      <c r="P2739" t="s">
        <v>11165</v>
      </c>
      <c r="R2739" t="s">
        <v>11180</v>
      </c>
      <c r="S2739" t="s">
        <v>9096</v>
      </c>
      <c r="T2739" t="s">
        <v>11183</v>
      </c>
      <c r="U2739" t="s">
        <v>11201</v>
      </c>
      <c r="V2739" t="s">
        <v>11218</v>
      </c>
      <c r="W2739">
        <v>0</v>
      </c>
      <c r="X2739" t="s">
        <v>11333</v>
      </c>
      <c r="Y2739" t="s">
        <v>11346</v>
      </c>
      <c r="Z2739" t="s">
        <v>13227</v>
      </c>
      <c r="AB2739" t="s">
        <v>17580</v>
      </c>
      <c r="AC2739">
        <v>2</v>
      </c>
      <c r="AD2739" t="s">
        <v>15441</v>
      </c>
      <c r="AE2739" t="s">
        <v>19580</v>
      </c>
      <c r="AF2739">
        <v>20</v>
      </c>
      <c r="AG2739">
        <v>2</v>
      </c>
      <c r="AH2739">
        <v>1</v>
      </c>
      <c r="AI2739">
        <v>91.77</v>
      </c>
      <c r="AL2739" t="s">
        <v>19614</v>
      </c>
      <c r="AM2739">
        <v>19574</v>
      </c>
      <c r="AS2739">
        <v>49.2</v>
      </c>
      <c r="AT2739" t="s">
        <v>899</v>
      </c>
      <c r="AU2739" t="s">
        <v>20642</v>
      </c>
      <c r="AV2739" t="s">
        <v>20733</v>
      </c>
    </row>
    <row r="2740" spans="1:48">
      <c r="A2740" s="1">
        <f>HYPERLINK("https://lsnyc.legalserver.org/matter/dynamic-profile/view/1888008","19-1888008")</f>
        <v>0</v>
      </c>
      <c r="B2740" t="s">
        <v>58</v>
      </c>
      <c r="C2740" t="s">
        <v>256</v>
      </c>
      <c r="D2740" t="s">
        <v>443</v>
      </c>
      <c r="F2740" t="s">
        <v>2321</v>
      </c>
      <c r="G2740" t="s">
        <v>4544</v>
      </c>
      <c r="H2740" t="s">
        <v>7072</v>
      </c>
      <c r="I2740" t="s">
        <v>8266</v>
      </c>
      <c r="J2740" t="s">
        <v>9059</v>
      </c>
      <c r="K2740">
        <v>11226</v>
      </c>
      <c r="L2740" t="s">
        <v>9094</v>
      </c>
      <c r="M2740" t="s">
        <v>9094</v>
      </c>
      <c r="R2740" t="s">
        <v>11180</v>
      </c>
      <c r="T2740" t="s">
        <v>11183</v>
      </c>
      <c r="V2740" t="s">
        <v>650</v>
      </c>
      <c r="W2740">
        <v>5</v>
      </c>
      <c r="X2740" t="s">
        <v>11332</v>
      </c>
      <c r="Z2740" t="s">
        <v>13228</v>
      </c>
      <c r="AB2740" t="s">
        <v>17581</v>
      </c>
      <c r="AC2740">
        <v>0</v>
      </c>
      <c r="AF2740">
        <v>0</v>
      </c>
      <c r="AG2740">
        <v>1</v>
      </c>
      <c r="AH2740">
        <v>0</v>
      </c>
      <c r="AI2740">
        <v>91.83</v>
      </c>
      <c r="AL2740" t="s">
        <v>19614</v>
      </c>
      <c r="AM2740">
        <v>11148</v>
      </c>
      <c r="AS2740">
        <v>16.3</v>
      </c>
      <c r="AT2740" t="s">
        <v>499</v>
      </c>
      <c r="AU2740" t="s">
        <v>215</v>
      </c>
    </row>
    <row r="2741" spans="1:48">
      <c r="A2741" s="1">
        <f>HYPERLINK("https://lsnyc.legalserver.org/matter/dynamic-profile/view/1900606","19-1900606")</f>
        <v>0</v>
      </c>
      <c r="B2741" t="s">
        <v>113</v>
      </c>
      <c r="C2741" t="s">
        <v>256</v>
      </c>
      <c r="D2741" t="s">
        <v>283</v>
      </c>
      <c r="F2741" t="s">
        <v>2322</v>
      </c>
      <c r="G2741" t="s">
        <v>3858</v>
      </c>
      <c r="H2741" t="s">
        <v>5864</v>
      </c>
      <c r="I2741" t="s">
        <v>8655</v>
      </c>
      <c r="J2741" t="s">
        <v>9065</v>
      </c>
      <c r="K2741">
        <v>10460</v>
      </c>
      <c r="L2741" t="s">
        <v>9094</v>
      </c>
      <c r="M2741" t="s">
        <v>9095</v>
      </c>
      <c r="O2741" t="s">
        <v>9121</v>
      </c>
      <c r="P2741" t="s">
        <v>11166</v>
      </c>
      <c r="R2741" t="s">
        <v>11180</v>
      </c>
      <c r="S2741" t="s">
        <v>9094</v>
      </c>
      <c r="T2741" t="s">
        <v>11183</v>
      </c>
      <c r="V2741" t="s">
        <v>11218</v>
      </c>
      <c r="W2741">
        <v>287</v>
      </c>
      <c r="X2741" t="s">
        <v>11333</v>
      </c>
      <c r="Y2741" t="s">
        <v>11340</v>
      </c>
      <c r="Z2741" t="s">
        <v>13229</v>
      </c>
      <c r="AB2741" t="s">
        <v>17582</v>
      </c>
      <c r="AC2741">
        <v>168</v>
      </c>
      <c r="AD2741" t="s">
        <v>19569</v>
      </c>
      <c r="AE2741" t="s">
        <v>19580</v>
      </c>
      <c r="AF2741">
        <v>19</v>
      </c>
      <c r="AG2741">
        <v>1</v>
      </c>
      <c r="AH2741">
        <v>0</v>
      </c>
      <c r="AI2741">
        <v>91.84999999999999</v>
      </c>
      <c r="AL2741" t="s">
        <v>19614</v>
      </c>
      <c r="AM2741">
        <v>11472</v>
      </c>
      <c r="AS2741">
        <v>0.5</v>
      </c>
      <c r="AT2741" t="s">
        <v>396</v>
      </c>
      <c r="AU2741" t="s">
        <v>20642</v>
      </c>
      <c r="AV2741" t="s">
        <v>20733</v>
      </c>
    </row>
    <row r="2742" spans="1:48">
      <c r="A2742" s="1">
        <f>HYPERLINK("https://lsnyc.legalserver.org/matter/dynamic-profile/view/1883558","18-1883558")</f>
        <v>0</v>
      </c>
      <c r="B2742" t="s">
        <v>101</v>
      </c>
      <c r="C2742" t="s">
        <v>256</v>
      </c>
      <c r="D2742" t="s">
        <v>963</v>
      </c>
      <c r="F2742" t="s">
        <v>2283</v>
      </c>
      <c r="G2742" t="s">
        <v>3364</v>
      </c>
      <c r="H2742" t="s">
        <v>5902</v>
      </c>
      <c r="I2742" t="s">
        <v>8645</v>
      </c>
      <c r="J2742" t="s">
        <v>9065</v>
      </c>
      <c r="K2742">
        <v>10452</v>
      </c>
      <c r="L2742" t="s">
        <v>9096</v>
      </c>
      <c r="M2742" t="s">
        <v>9096</v>
      </c>
      <c r="O2742" t="s">
        <v>9121</v>
      </c>
      <c r="P2742" t="s">
        <v>11166</v>
      </c>
      <c r="R2742" t="s">
        <v>11180</v>
      </c>
      <c r="S2742" t="s">
        <v>9094</v>
      </c>
      <c r="T2742" t="s">
        <v>11183</v>
      </c>
      <c r="U2742" t="s">
        <v>11201</v>
      </c>
      <c r="V2742" t="s">
        <v>874</v>
      </c>
      <c r="W2742">
        <v>360</v>
      </c>
      <c r="X2742" t="s">
        <v>11333</v>
      </c>
      <c r="Y2742" t="s">
        <v>11347</v>
      </c>
      <c r="Z2742" t="s">
        <v>13187</v>
      </c>
      <c r="AC2742">
        <v>60</v>
      </c>
      <c r="AD2742" t="s">
        <v>19566</v>
      </c>
      <c r="AE2742" t="s">
        <v>19587</v>
      </c>
      <c r="AF2742">
        <v>47</v>
      </c>
      <c r="AG2742">
        <v>2</v>
      </c>
      <c r="AH2742">
        <v>0</v>
      </c>
      <c r="AI2742">
        <v>91.86</v>
      </c>
      <c r="AL2742" t="s">
        <v>19615</v>
      </c>
      <c r="AM2742">
        <v>15120</v>
      </c>
      <c r="AS2742">
        <v>0.35</v>
      </c>
      <c r="AT2742" t="s">
        <v>422</v>
      </c>
      <c r="AU2742" t="s">
        <v>20647</v>
      </c>
    </row>
    <row r="2743" spans="1:48">
      <c r="A2743" s="1">
        <f>HYPERLINK("https://lsnyc.legalserver.org/matter/dynamic-profile/view/1912121","19-1912121")</f>
        <v>0</v>
      </c>
      <c r="B2743" t="s">
        <v>115</v>
      </c>
      <c r="C2743" t="s">
        <v>256</v>
      </c>
      <c r="D2743" t="s">
        <v>404</v>
      </c>
      <c r="F2743" t="s">
        <v>2323</v>
      </c>
      <c r="G2743" t="s">
        <v>3975</v>
      </c>
      <c r="H2743" t="s">
        <v>5887</v>
      </c>
      <c r="I2743" t="s">
        <v>8337</v>
      </c>
      <c r="J2743" t="s">
        <v>9065</v>
      </c>
      <c r="K2743">
        <v>10453</v>
      </c>
      <c r="L2743" t="s">
        <v>9094</v>
      </c>
      <c r="M2743" t="s">
        <v>9095</v>
      </c>
      <c r="N2743" t="s">
        <v>10177</v>
      </c>
      <c r="O2743" t="s">
        <v>11129</v>
      </c>
      <c r="P2743" t="s">
        <v>11165</v>
      </c>
      <c r="R2743" t="s">
        <v>11180</v>
      </c>
      <c r="S2743" t="s">
        <v>9096</v>
      </c>
      <c r="T2743" t="s">
        <v>11183</v>
      </c>
      <c r="U2743" t="s">
        <v>11201</v>
      </c>
      <c r="W2743">
        <v>1172</v>
      </c>
      <c r="X2743" t="s">
        <v>11333</v>
      </c>
      <c r="Y2743" t="s">
        <v>11346</v>
      </c>
      <c r="Z2743" t="s">
        <v>12238</v>
      </c>
      <c r="AB2743" t="s">
        <v>16662</v>
      </c>
      <c r="AC2743">
        <v>170</v>
      </c>
      <c r="AD2743" t="s">
        <v>15441</v>
      </c>
      <c r="AE2743" t="s">
        <v>9144</v>
      </c>
      <c r="AF2743">
        <v>16</v>
      </c>
      <c r="AG2743">
        <v>2</v>
      </c>
      <c r="AH2743">
        <v>3</v>
      </c>
      <c r="AI2743">
        <v>91.87</v>
      </c>
      <c r="AL2743" t="s">
        <v>19615</v>
      </c>
      <c r="AM2743">
        <v>27716</v>
      </c>
      <c r="AS2743">
        <v>4.9</v>
      </c>
      <c r="AT2743" t="s">
        <v>321</v>
      </c>
      <c r="AU2743" t="s">
        <v>220</v>
      </c>
      <c r="AV2743" t="s">
        <v>20733</v>
      </c>
    </row>
    <row r="2744" spans="1:48">
      <c r="A2744" s="1">
        <f>HYPERLINK("https://lsnyc.legalserver.org/matter/dynamic-profile/view/1896419","19-1896419")</f>
        <v>0</v>
      </c>
      <c r="B2744" t="s">
        <v>137</v>
      </c>
      <c r="C2744" t="s">
        <v>256</v>
      </c>
      <c r="D2744" t="s">
        <v>350</v>
      </c>
      <c r="F2744" t="s">
        <v>1749</v>
      </c>
      <c r="G2744" t="s">
        <v>4545</v>
      </c>
      <c r="H2744" t="s">
        <v>6231</v>
      </c>
      <c r="I2744" t="s">
        <v>8252</v>
      </c>
      <c r="J2744" t="s">
        <v>9067</v>
      </c>
      <c r="K2744">
        <v>10033</v>
      </c>
      <c r="L2744" t="s">
        <v>9096</v>
      </c>
      <c r="M2744" t="s">
        <v>9095</v>
      </c>
      <c r="O2744" t="s">
        <v>9121</v>
      </c>
      <c r="R2744" t="s">
        <v>11180</v>
      </c>
      <c r="T2744" t="s">
        <v>11183</v>
      </c>
      <c r="W2744">
        <v>3300</v>
      </c>
      <c r="X2744" t="s">
        <v>11335</v>
      </c>
      <c r="Z2744" t="s">
        <v>13230</v>
      </c>
      <c r="AB2744" t="s">
        <v>17583</v>
      </c>
      <c r="AC2744">
        <v>0</v>
      </c>
      <c r="AD2744" t="s">
        <v>19566</v>
      </c>
      <c r="AF2744">
        <v>1</v>
      </c>
      <c r="AG2744">
        <v>1</v>
      </c>
      <c r="AH2744">
        <v>0</v>
      </c>
      <c r="AI2744">
        <v>92.06999999999999</v>
      </c>
      <c r="AL2744" t="s">
        <v>19614</v>
      </c>
      <c r="AM2744">
        <v>11500</v>
      </c>
      <c r="AS2744">
        <v>3.2</v>
      </c>
      <c r="AT2744" t="s">
        <v>486</v>
      </c>
      <c r="AU2744" t="s">
        <v>20658</v>
      </c>
      <c r="AV2744" t="s">
        <v>20733</v>
      </c>
    </row>
    <row r="2745" spans="1:48">
      <c r="A2745" s="1">
        <f>HYPERLINK("https://lsnyc.legalserver.org/matter/dynamic-profile/view/1881892","18-1881892")</f>
        <v>0</v>
      </c>
      <c r="B2745" t="s">
        <v>72</v>
      </c>
      <c r="C2745" t="s">
        <v>256</v>
      </c>
      <c r="D2745" t="s">
        <v>514</v>
      </c>
      <c r="F2745" t="s">
        <v>2324</v>
      </c>
      <c r="G2745" t="s">
        <v>4546</v>
      </c>
      <c r="H2745" t="s">
        <v>7073</v>
      </c>
      <c r="I2745" t="s">
        <v>8140</v>
      </c>
      <c r="J2745" t="s">
        <v>9059</v>
      </c>
      <c r="K2745">
        <v>11208</v>
      </c>
      <c r="L2745" t="s">
        <v>9094</v>
      </c>
      <c r="M2745" t="s">
        <v>9094</v>
      </c>
      <c r="N2745" t="s">
        <v>10178</v>
      </c>
      <c r="O2745" t="s">
        <v>11129</v>
      </c>
      <c r="P2745" t="s">
        <v>11165</v>
      </c>
      <c r="R2745" t="s">
        <v>11180</v>
      </c>
      <c r="S2745" t="s">
        <v>9096</v>
      </c>
      <c r="T2745" t="s">
        <v>11183</v>
      </c>
      <c r="U2745" t="s">
        <v>11201</v>
      </c>
      <c r="V2745" t="s">
        <v>514</v>
      </c>
      <c r="W2745">
        <v>1425</v>
      </c>
      <c r="X2745" t="s">
        <v>11332</v>
      </c>
      <c r="Y2745" t="s">
        <v>11340</v>
      </c>
      <c r="Z2745" t="s">
        <v>13231</v>
      </c>
      <c r="AA2745" t="s">
        <v>15738</v>
      </c>
      <c r="AB2745" t="s">
        <v>17584</v>
      </c>
      <c r="AC2745">
        <v>12</v>
      </c>
      <c r="AD2745" t="s">
        <v>19566</v>
      </c>
      <c r="AE2745" t="s">
        <v>11157</v>
      </c>
      <c r="AF2745">
        <v>1</v>
      </c>
      <c r="AG2745">
        <v>1</v>
      </c>
      <c r="AH2745">
        <v>1</v>
      </c>
      <c r="AI2745">
        <v>92.09</v>
      </c>
      <c r="AL2745" t="s">
        <v>19615</v>
      </c>
      <c r="AM2745">
        <v>15158</v>
      </c>
      <c r="AS2745">
        <v>47.25</v>
      </c>
      <c r="AT2745" t="s">
        <v>706</v>
      </c>
      <c r="AU2745" t="s">
        <v>95</v>
      </c>
    </row>
    <row r="2746" spans="1:48">
      <c r="A2746" s="1">
        <f>HYPERLINK("https://lsnyc.legalserver.org/matter/dynamic-profile/view/0827315","17-0827315")</f>
        <v>0</v>
      </c>
      <c r="B2746" t="s">
        <v>141</v>
      </c>
      <c r="C2746" t="s">
        <v>256</v>
      </c>
      <c r="D2746" t="s">
        <v>911</v>
      </c>
      <c r="F2746" t="s">
        <v>2235</v>
      </c>
      <c r="G2746" t="s">
        <v>3419</v>
      </c>
      <c r="H2746" t="s">
        <v>6382</v>
      </c>
      <c r="I2746" t="s">
        <v>8140</v>
      </c>
      <c r="J2746" t="s">
        <v>9067</v>
      </c>
      <c r="K2746">
        <v>10034</v>
      </c>
      <c r="L2746" t="s">
        <v>9094</v>
      </c>
      <c r="M2746" t="s">
        <v>9095</v>
      </c>
      <c r="N2746" t="s">
        <v>10179</v>
      </c>
      <c r="O2746" t="s">
        <v>11130</v>
      </c>
      <c r="P2746" t="s">
        <v>11165</v>
      </c>
      <c r="R2746" t="s">
        <v>11180</v>
      </c>
      <c r="S2746" t="s">
        <v>9094</v>
      </c>
      <c r="T2746" t="s">
        <v>11183</v>
      </c>
      <c r="V2746" t="s">
        <v>11272</v>
      </c>
      <c r="W2746">
        <v>1422.5</v>
      </c>
      <c r="X2746" t="s">
        <v>11335</v>
      </c>
      <c r="Y2746" t="s">
        <v>11346</v>
      </c>
      <c r="Z2746" t="s">
        <v>13232</v>
      </c>
      <c r="AB2746" t="s">
        <v>17585</v>
      </c>
      <c r="AC2746">
        <v>44</v>
      </c>
      <c r="AD2746" t="s">
        <v>19566</v>
      </c>
      <c r="AE2746" t="s">
        <v>19580</v>
      </c>
      <c r="AF2746">
        <v>14</v>
      </c>
      <c r="AG2746">
        <v>2</v>
      </c>
      <c r="AH2746">
        <v>0</v>
      </c>
      <c r="AI2746">
        <v>92.14</v>
      </c>
      <c r="AL2746" t="s">
        <v>19615</v>
      </c>
      <c r="AM2746">
        <v>14964</v>
      </c>
      <c r="AS2746">
        <v>1.25</v>
      </c>
      <c r="AT2746" t="s">
        <v>1089</v>
      </c>
      <c r="AU2746" t="s">
        <v>141</v>
      </c>
    </row>
    <row r="2747" spans="1:48">
      <c r="A2747" s="1">
        <f>HYPERLINK("https://lsnyc.legalserver.org/matter/dynamic-profile/view/1910702","19-1910702")</f>
        <v>0</v>
      </c>
      <c r="B2747" t="s">
        <v>55</v>
      </c>
      <c r="C2747" t="s">
        <v>256</v>
      </c>
      <c r="D2747" t="s">
        <v>307</v>
      </c>
      <c r="F2747" t="s">
        <v>2325</v>
      </c>
      <c r="G2747" t="s">
        <v>2035</v>
      </c>
      <c r="H2747" t="s">
        <v>7074</v>
      </c>
      <c r="I2747" t="s">
        <v>8114</v>
      </c>
      <c r="J2747" t="s">
        <v>9055</v>
      </c>
      <c r="K2747">
        <v>11355</v>
      </c>
      <c r="L2747" t="s">
        <v>9094</v>
      </c>
      <c r="M2747" t="s">
        <v>9095</v>
      </c>
      <c r="N2747" t="s">
        <v>10180</v>
      </c>
      <c r="O2747" t="s">
        <v>11128</v>
      </c>
      <c r="P2747" t="s">
        <v>11164</v>
      </c>
      <c r="R2747" t="s">
        <v>11180</v>
      </c>
      <c r="S2747" t="s">
        <v>9096</v>
      </c>
      <c r="T2747" t="s">
        <v>11183</v>
      </c>
      <c r="V2747" t="s">
        <v>307</v>
      </c>
      <c r="W2747">
        <v>1500</v>
      </c>
      <c r="X2747" t="s">
        <v>11331</v>
      </c>
      <c r="Y2747" t="s">
        <v>11336</v>
      </c>
      <c r="Z2747" t="s">
        <v>13233</v>
      </c>
      <c r="AB2747" t="s">
        <v>17586</v>
      </c>
      <c r="AC2747">
        <v>2</v>
      </c>
      <c r="AD2747" t="s">
        <v>15441</v>
      </c>
      <c r="AE2747" t="s">
        <v>9144</v>
      </c>
      <c r="AF2747">
        <v>19</v>
      </c>
      <c r="AG2747">
        <v>3</v>
      </c>
      <c r="AH2747">
        <v>0</v>
      </c>
      <c r="AI2747">
        <v>92.17</v>
      </c>
      <c r="AL2747" t="s">
        <v>19614</v>
      </c>
      <c r="AM2747">
        <v>19660</v>
      </c>
      <c r="AS2747">
        <v>1.4</v>
      </c>
      <c r="AT2747" t="s">
        <v>307</v>
      </c>
      <c r="AU2747" t="s">
        <v>20620</v>
      </c>
      <c r="AV2747" t="s">
        <v>20733</v>
      </c>
    </row>
    <row r="2748" spans="1:48">
      <c r="A2748" s="1">
        <f>HYPERLINK("https://lsnyc.legalserver.org/matter/dynamic-profile/view/1862231","18-1862231")</f>
        <v>0</v>
      </c>
      <c r="B2748" t="s">
        <v>101</v>
      </c>
      <c r="C2748" t="s">
        <v>257</v>
      </c>
      <c r="D2748" t="s">
        <v>662</v>
      </c>
      <c r="E2748" t="s">
        <v>551</v>
      </c>
      <c r="F2748" t="s">
        <v>1376</v>
      </c>
      <c r="G2748" t="s">
        <v>3364</v>
      </c>
      <c r="H2748" t="s">
        <v>5902</v>
      </c>
      <c r="I2748" t="s">
        <v>8645</v>
      </c>
      <c r="J2748" t="s">
        <v>9065</v>
      </c>
      <c r="K2748">
        <v>10452</v>
      </c>
      <c r="L2748" t="s">
        <v>9094</v>
      </c>
      <c r="M2748" t="s">
        <v>9095</v>
      </c>
      <c r="N2748" t="s">
        <v>9537</v>
      </c>
      <c r="O2748" t="s">
        <v>11130</v>
      </c>
      <c r="P2748" t="s">
        <v>11165</v>
      </c>
      <c r="Q2748" t="s">
        <v>11174</v>
      </c>
      <c r="R2748" t="s">
        <v>11180</v>
      </c>
      <c r="S2748" t="s">
        <v>9094</v>
      </c>
      <c r="T2748" t="s">
        <v>11183</v>
      </c>
      <c r="V2748" t="s">
        <v>874</v>
      </c>
      <c r="W2748">
        <v>360</v>
      </c>
      <c r="X2748" t="s">
        <v>11333</v>
      </c>
      <c r="Y2748" t="s">
        <v>11346</v>
      </c>
      <c r="Z2748" t="s">
        <v>13234</v>
      </c>
      <c r="AB2748" t="s">
        <v>17587</v>
      </c>
      <c r="AC2748">
        <v>60</v>
      </c>
      <c r="AD2748" t="s">
        <v>19566</v>
      </c>
      <c r="AE2748" t="s">
        <v>19587</v>
      </c>
      <c r="AF2748">
        <v>49</v>
      </c>
      <c r="AG2748">
        <v>2</v>
      </c>
      <c r="AH2748">
        <v>0</v>
      </c>
      <c r="AI2748">
        <v>92.22</v>
      </c>
      <c r="AL2748" t="s">
        <v>19615</v>
      </c>
      <c r="AM2748">
        <v>15180</v>
      </c>
      <c r="AS2748">
        <v>0.5</v>
      </c>
      <c r="AT2748" t="s">
        <v>551</v>
      </c>
      <c r="AU2748" t="s">
        <v>20647</v>
      </c>
    </row>
    <row r="2749" spans="1:48">
      <c r="A2749" s="1">
        <f>HYPERLINK("https://lsnyc.legalserver.org/matter/dynamic-profile/view/1868756","18-1868756")</f>
        <v>0</v>
      </c>
      <c r="B2749" t="s">
        <v>101</v>
      </c>
      <c r="C2749" t="s">
        <v>256</v>
      </c>
      <c r="D2749" t="s">
        <v>678</v>
      </c>
      <c r="F2749" t="s">
        <v>1376</v>
      </c>
      <c r="G2749" t="s">
        <v>3364</v>
      </c>
      <c r="H2749" t="s">
        <v>5902</v>
      </c>
      <c r="I2749" t="s">
        <v>8645</v>
      </c>
      <c r="J2749" t="s">
        <v>9065</v>
      </c>
      <c r="K2749">
        <v>10452</v>
      </c>
      <c r="L2749" t="s">
        <v>9094</v>
      </c>
      <c r="M2749" t="s">
        <v>9095</v>
      </c>
      <c r="O2749" t="s">
        <v>9121</v>
      </c>
      <c r="P2749" t="s">
        <v>11166</v>
      </c>
      <c r="R2749" t="s">
        <v>11180</v>
      </c>
      <c r="S2749" t="s">
        <v>9094</v>
      </c>
      <c r="T2749" t="s">
        <v>11183</v>
      </c>
      <c r="V2749" t="s">
        <v>675</v>
      </c>
      <c r="W2749">
        <v>360</v>
      </c>
      <c r="X2749" t="s">
        <v>11333</v>
      </c>
      <c r="Y2749" t="s">
        <v>11347</v>
      </c>
      <c r="Z2749" t="s">
        <v>13234</v>
      </c>
      <c r="AB2749" t="s">
        <v>17587</v>
      </c>
      <c r="AC2749">
        <v>60</v>
      </c>
      <c r="AD2749" t="s">
        <v>19566</v>
      </c>
      <c r="AE2749" t="s">
        <v>19587</v>
      </c>
      <c r="AF2749">
        <v>49</v>
      </c>
      <c r="AG2749">
        <v>2</v>
      </c>
      <c r="AH2749">
        <v>0</v>
      </c>
      <c r="AI2749">
        <v>92.22</v>
      </c>
      <c r="AL2749" t="s">
        <v>19615</v>
      </c>
      <c r="AM2749">
        <v>15180</v>
      </c>
      <c r="AS2749">
        <v>0</v>
      </c>
      <c r="AU2749" t="s">
        <v>20647</v>
      </c>
    </row>
    <row r="2750" spans="1:48">
      <c r="A2750" s="1">
        <f>HYPERLINK("https://lsnyc.legalserver.org/matter/dynamic-profile/view/1899978","19-1899978")</f>
        <v>0</v>
      </c>
      <c r="B2750" t="s">
        <v>72</v>
      </c>
      <c r="C2750" t="s">
        <v>256</v>
      </c>
      <c r="D2750" t="s">
        <v>293</v>
      </c>
      <c r="F2750" t="s">
        <v>1416</v>
      </c>
      <c r="G2750" t="s">
        <v>4215</v>
      </c>
      <c r="H2750" t="s">
        <v>7075</v>
      </c>
      <c r="I2750" t="s">
        <v>8134</v>
      </c>
      <c r="J2750" t="s">
        <v>9059</v>
      </c>
      <c r="K2750">
        <v>11233</v>
      </c>
      <c r="L2750" t="s">
        <v>9094</v>
      </c>
      <c r="M2750" t="s">
        <v>9095</v>
      </c>
      <c r="N2750" t="s">
        <v>10181</v>
      </c>
      <c r="O2750" t="s">
        <v>11129</v>
      </c>
      <c r="P2750" t="s">
        <v>11165</v>
      </c>
      <c r="R2750" t="s">
        <v>11180</v>
      </c>
      <c r="S2750" t="s">
        <v>9096</v>
      </c>
      <c r="T2750" t="s">
        <v>11183</v>
      </c>
      <c r="U2750" t="s">
        <v>11198</v>
      </c>
      <c r="V2750" t="s">
        <v>293</v>
      </c>
      <c r="W2750">
        <v>917</v>
      </c>
      <c r="X2750" t="s">
        <v>11332</v>
      </c>
      <c r="Y2750" t="s">
        <v>11157</v>
      </c>
      <c r="Z2750" t="s">
        <v>13235</v>
      </c>
      <c r="AB2750" t="s">
        <v>17588</v>
      </c>
      <c r="AC2750">
        <v>36</v>
      </c>
      <c r="AD2750" t="s">
        <v>19572</v>
      </c>
      <c r="AE2750" t="s">
        <v>19581</v>
      </c>
      <c r="AF2750">
        <v>10</v>
      </c>
      <c r="AG2750">
        <v>1</v>
      </c>
      <c r="AH2750">
        <v>1</v>
      </c>
      <c r="AI2750">
        <v>92.25</v>
      </c>
      <c r="AL2750" t="s">
        <v>19614</v>
      </c>
      <c r="AM2750">
        <v>15600</v>
      </c>
      <c r="AS2750">
        <v>12.35</v>
      </c>
      <c r="AT2750" t="s">
        <v>394</v>
      </c>
      <c r="AU2750" t="s">
        <v>67</v>
      </c>
      <c r="AV2750" t="s">
        <v>20733</v>
      </c>
    </row>
    <row r="2751" spans="1:48">
      <c r="A2751" s="1">
        <f>HYPERLINK("https://lsnyc.legalserver.org/matter/dynamic-profile/view/1910958","19-1910958")</f>
        <v>0</v>
      </c>
      <c r="B2751" t="s">
        <v>64</v>
      </c>
      <c r="C2751" t="s">
        <v>256</v>
      </c>
      <c r="D2751" t="s">
        <v>295</v>
      </c>
      <c r="F2751" t="s">
        <v>2326</v>
      </c>
      <c r="G2751" t="s">
        <v>3858</v>
      </c>
      <c r="H2751" t="s">
        <v>7076</v>
      </c>
      <c r="J2751" t="s">
        <v>9059</v>
      </c>
      <c r="K2751">
        <v>11208</v>
      </c>
      <c r="L2751" t="s">
        <v>9094</v>
      </c>
      <c r="M2751" t="s">
        <v>9095</v>
      </c>
      <c r="N2751" t="s">
        <v>10182</v>
      </c>
      <c r="O2751" t="s">
        <v>11129</v>
      </c>
      <c r="P2751" t="s">
        <v>11165</v>
      </c>
      <c r="R2751" t="s">
        <v>11180</v>
      </c>
      <c r="S2751" t="s">
        <v>9096</v>
      </c>
      <c r="T2751" t="s">
        <v>11183</v>
      </c>
      <c r="U2751" t="s">
        <v>11201</v>
      </c>
      <c r="V2751" t="s">
        <v>259</v>
      </c>
      <c r="W2751">
        <v>1600</v>
      </c>
      <c r="X2751" t="s">
        <v>11332</v>
      </c>
      <c r="Y2751" t="s">
        <v>11345</v>
      </c>
      <c r="Z2751" t="s">
        <v>13236</v>
      </c>
      <c r="AA2751" t="s">
        <v>15487</v>
      </c>
      <c r="AB2751" t="s">
        <v>17589</v>
      </c>
      <c r="AC2751">
        <v>2</v>
      </c>
      <c r="AD2751" t="s">
        <v>19565</v>
      </c>
      <c r="AE2751" t="s">
        <v>9144</v>
      </c>
      <c r="AF2751">
        <v>0</v>
      </c>
      <c r="AG2751">
        <v>2</v>
      </c>
      <c r="AH2751">
        <v>0</v>
      </c>
      <c r="AI2751">
        <v>92.25</v>
      </c>
      <c r="AL2751" t="s">
        <v>19615</v>
      </c>
      <c r="AM2751">
        <v>15600</v>
      </c>
      <c r="AS2751">
        <v>5.1</v>
      </c>
      <c r="AT2751" t="s">
        <v>395</v>
      </c>
      <c r="AU2751" t="s">
        <v>95</v>
      </c>
      <c r="AV2751" t="s">
        <v>20734</v>
      </c>
    </row>
    <row r="2752" spans="1:48">
      <c r="A2752" s="1">
        <f>HYPERLINK("https://lsnyc.legalserver.org/matter/dynamic-profile/view/1898553","19-1898553")</f>
        <v>0</v>
      </c>
      <c r="B2752" t="s">
        <v>112</v>
      </c>
      <c r="C2752" t="s">
        <v>257</v>
      </c>
      <c r="D2752" t="s">
        <v>614</v>
      </c>
      <c r="E2752" t="s">
        <v>275</v>
      </c>
      <c r="F2752" t="s">
        <v>2327</v>
      </c>
      <c r="G2752" t="s">
        <v>4547</v>
      </c>
      <c r="H2752" t="s">
        <v>7077</v>
      </c>
      <c r="I2752" t="s">
        <v>8273</v>
      </c>
      <c r="J2752" t="s">
        <v>9065</v>
      </c>
      <c r="K2752">
        <v>10468</v>
      </c>
      <c r="L2752" t="s">
        <v>9094</v>
      </c>
      <c r="M2752" t="s">
        <v>9094</v>
      </c>
      <c r="O2752" t="s">
        <v>11140</v>
      </c>
      <c r="P2752" t="s">
        <v>11166</v>
      </c>
      <c r="Q2752" t="s">
        <v>11173</v>
      </c>
      <c r="R2752" t="s">
        <v>11180</v>
      </c>
      <c r="T2752" t="s">
        <v>11190</v>
      </c>
      <c r="V2752" t="s">
        <v>614</v>
      </c>
      <c r="W2752">
        <v>832</v>
      </c>
      <c r="X2752" t="s">
        <v>11333</v>
      </c>
      <c r="Y2752" t="s">
        <v>11336</v>
      </c>
      <c r="Z2752" t="s">
        <v>13237</v>
      </c>
      <c r="AA2752" t="s">
        <v>15739</v>
      </c>
      <c r="AB2752" t="s">
        <v>17590</v>
      </c>
      <c r="AC2752">
        <v>74</v>
      </c>
      <c r="AD2752" t="s">
        <v>19574</v>
      </c>
      <c r="AF2752">
        <v>20</v>
      </c>
      <c r="AG2752">
        <v>2</v>
      </c>
      <c r="AH2752">
        <v>0</v>
      </c>
      <c r="AI2752">
        <v>92.25</v>
      </c>
      <c r="AL2752" t="s">
        <v>19614</v>
      </c>
      <c r="AM2752">
        <v>15600</v>
      </c>
      <c r="AS2752">
        <v>1.5</v>
      </c>
      <c r="AT2752" t="s">
        <v>261</v>
      </c>
      <c r="AU2752" t="s">
        <v>20644</v>
      </c>
      <c r="AV2752" t="s">
        <v>20733</v>
      </c>
    </row>
    <row r="2753" spans="1:48">
      <c r="A2753" s="1">
        <f>HYPERLINK("https://lsnyc.legalserver.org/matter/dynamic-profile/view/1899837","19-1899837")</f>
        <v>0</v>
      </c>
      <c r="B2753" t="s">
        <v>113</v>
      </c>
      <c r="C2753" t="s">
        <v>256</v>
      </c>
      <c r="D2753" t="s">
        <v>411</v>
      </c>
      <c r="F2753" t="s">
        <v>2328</v>
      </c>
      <c r="G2753" t="s">
        <v>4163</v>
      </c>
      <c r="H2753" t="s">
        <v>5864</v>
      </c>
      <c r="I2753" t="s">
        <v>8656</v>
      </c>
      <c r="J2753" t="s">
        <v>9065</v>
      </c>
      <c r="K2753">
        <v>10460</v>
      </c>
      <c r="L2753" t="s">
        <v>9094</v>
      </c>
      <c r="M2753" t="s">
        <v>9095</v>
      </c>
      <c r="N2753" t="s">
        <v>9171</v>
      </c>
      <c r="O2753" t="s">
        <v>9121</v>
      </c>
      <c r="P2753" t="s">
        <v>11166</v>
      </c>
      <c r="R2753" t="s">
        <v>11180</v>
      </c>
      <c r="S2753" t="s">
        <v>9094</v>
      </c>
      <c r="T2753" t="s">
        <v>11183</v>
      </c>
      <c r="V2753" t="s">
        <v>11218</v>
      </c>
      <c r="W2753">
        <v>1543</v>
      </c>
      <c r="X2753" t="s">
        <v>11333</v>
      </c>
      <c r="Y2753" t="s">
        <v>11346</v>
      </c>
      <c r="Z2753" t="s">
        <v>13238</v>
      </c>
      <c r="AB2753" t="s">
        <v>17591</v>
      </c>
      <c r="AC2753">
        <v>168</v>
      </c>
      <c r="AD2753" t="s">
        <v>19566</v>
      </c>
      <c r="AE2753" t="s">
        <v>19580</v>
      </c>
      <c r="AF2753">
        <v>24</v>
      </c>
      <c r="AG2753">
        <v>2</v>
      </c>
      <c r="AH2753">
        <v>0</v>
      </c>
      <c r="AI2753">
        <v>92.25</v>
      </c>
      <c r="AL2753" t="s">
        <v>19614</v>
      </c>
      <c r="AM2753">
        <v>15600</v>
      </c>
      <c r="AS2753">
        <v>0</v>
      </c>
      <c r="AU2753" t="s">
        <v>163</v>
      </c>
      <c r="AV2753" t="s">
        <v>20733</v>
      </c>
    </row>
    <row r="2754" spans="1:48">
      <c r="A2754" s="1">
        <f>HYPERLINK("https://lsnyc.legalserver.org/matter/dynamic-profile/view/1910130","19-1910130")</f>
        <v>0</v>
      </c>
      <c r="B2754" t="s">
        <v>99</v>
      </c>
      <c r="C2754" t="s">
        <v>257</v>
      </c>
      <c r="D2754" t="s">
        <v>435</v>
      </c>
      <c r="E2754" t="s">
        <v>728</v>
      </c>
      <c r="F2754" t="s">
        <v>2329</v>
      </c>
      <c r="G2754" t="s">
        <v>4099</v>
      </c>
      <c r="H2754" t="s">
        <v>7078</v>
      </c>
      <c r="I2754" t="s">
        <v>8657</v>
      </c>
      <c r="J2754" t="s">
        <v>9065</v>
      </c>
      <c r="K2754">
        <v>10452</v>
      </c>
      <c r="L2754" t="s">
        <v>9094</v>
      </c>
      <c r="M2754" t="s">
        <v>9095</v>
      </c>
      <c r="O2754" t="s">
        <v>9121</v>
      </c>
      <c r="P2754" t="s">
        <v>11164</v>
      </c>
      <c r="Q2754" t="s">
        <v>11172</v>
      </c>
      <c r="R2754" t="s">
        <v>11180</v>
      </c>
      <c r="S2754" t="s">
        <v>9096</v>
      </c>
      <c r="T2754" t="s">
        <v>11183</v>
      </c>
      <c r="V2754" t="s">
        <v>308</v>
      </c>
      <c r="W2754">
        <v>640</v>
      </c>
      <c r="X2754" t="s">
        <v>11333</v>
      </c>
      <c r="Y2754" t="s">
        <v>11346</v>
      </c>
      <c r="Z2754" t="s">
        <v>13239</v>
      </c>
      <c r="AC2754">
        <v>59</v>
      </c>
      <c r="AD2754" t="s">
        <v>19578</v>
      </c>
      <c r="AE2754" t="s">
        <v>9144</v>
      </c>
      <c r="AF2754">
        <v>1</v>
      </c>
      <c r="AG2754">
        <v>1</v>
      </c>
      <c r="AH2754">
        <v>1</v>
      </c>
      <c r="AI2754">
        <v>92.25</v>
      </c>
      <c r="AL2754" t="s">
        <v>19615</v>
      </c>
      <c r="AM2754">
        <v>15600</v>
      </c>
      <c r="AS2754">
        <v>1.6</v>
      </c>
      <c r="AT2754" t="s">
        <v>728</v>
      </c>
      <c r="AU2754" t="s">
        <v>99</v>
      </c>
      <c r="AV2754" t="s">
        <v>20733</v>
      </c>
    </row>
    <row r="2755" spans="1:48">
      <c r="A2755" s="1">
        <f>HYPERLINK("https://lsnyc.legalserver.org/matter/dynamic-profile/view/1905507","19-1905507")</f>
        <v>0</v>
      </c>
      <c r="B2755" t="s">
        <v>129</v>
      </c>
      <c r="C2755" t="s">
        <v>257</v>
      </c>
      <c r="D2755" t="s">
        <v>457</v>
      </c>
      <c r="E2755" t="s">
        <v>728</v>
      </c>
      <c r="F2755" t="s">
        <v>2330</v>
      </c>
      <c r="G2755" t="s">
        <v>4033</v>
      </c>
      <c r="H2755" t="s">
        <v>6361</v>
      </c>
      <c r="I2755" t="s">
        <v>8288</v>
      </c>
      <c r="J2755" t="s">
        <v>9066</v>
      </c>
      <c r="K2755">
        <v>10304</v>
      </c>
      <c r="L2755" t="s">
        <v>9094</v>
      </c>
      <c r="M2755" t="s">
        <v>9095</v>
      </c>
      <c r="N2755" t="s">
        <v>10183</v>
      </c>
      <c r="O2755" t="s">
        <v>11129</v>
      </c>
      <c r="P2755" t="s">
        <v>11165</v>
      </c>
      <c r="Q2755" t="s">
        <v>11174</v>
      </c>
      <c r="R2755" t="s">
        <v>11180</v>
      </c>
      <c r="S2755" t="s">
        <v>9096</v>
      </c>
      <c r="T2755" t="s">
        <v>11183</v>
      </c>
      <c r="U2755" t="s">
        <v>11201</v>
      </c>
      <c r="W2755">
        <v>500</v>
      </c>
      <c r="X2755" t="s">
        <v>11334</v>
      </c>
      <c r="Y2755" t="s">
        <v>11345</v>
      </c>
      <c r="Z2755" t="s">
        <v>13240</v>
      </c>
      <c r="AB2755" t="s">
        <v>17592</v>
      </c>
      <c r="AC2755">
        <v>361</v>
      </c>
      <c r="AD2755" t="s">
        <v>19566</v>
      </c>
      <c r="AE2755" t="s">
        <v>9144</v>
      </c>
      <c r="AF2755">
        <v>11</v>
      </c>
      <c r="AG2755">
        <v>1</v>
      </c>
      <c r="AH2755">
        <v>1</v>
      </c>
      <c r="AI2755">
        <v>92.25</v>
      </c>
      <c r="AL2755" t="s">
        <v>19614</v>
      </c>
      <c r="AM2755">
        <v>15600</v>
      </c>
      <c r="AS2755">
        <v>6.15</v>
      </c>
      <c r="AT2755" t="s">
        <v>728</v>
      </c>
      <c r="AU2755" t="s">
        <v>20653</v>
      </c>
      <c r="AV2755" t="s">
        <v>20733</v>
      </c>
    </row>
    <row r="2756" spans="1:48">
      <c r="A2756" s="1">
        <f>HYPERLINK("https://lsnyc.legalserver.org/matter/dynamic-profile/view/1891535","19-1891535")</f>
        <v>0</v>
      </c>
      <c r="B2756" t="s">
        <v>142</v>
      </c>
      <c r="C2756" t="s">
        <v>256</v>
      </c>
      <c r="D2756" t="s">
        <v>316</v>
      </c>
      <c r="F2756" t="s">
        <v>1152</v>
      </c>
      <c r="G2756" t="s">
        <v>3507</v>
      </c>
      <c r="H2756" t="s">
        <v>7079</v>
      </c>
      <c r="I2756" t="s">
        <v>8170</v>
      </c>
      <c r="J2756" t="s">
        <v>9067</v>
      </c>
      <c r="K2756">
        <v>10035</v>
      </c>
      <c r="L2756" t="s">
        <v>9094</v>
      </c>
      <c r="M2756" t="s">
        <v>9094</v>
      </c>
      <c r="O2756" t="s">
        <v>9121</v>
      </c>
      <c r="P2756" t="s">
        <v>11167</v>
      </c>
      <c r="R2756" t="s">
        <v>11180</v>
      </c>
      <c r="S2756" t="s">
        <v>9094</v>
      </c>
      <c r="T2756" t="s">
        <v>11183</v>
      </c>
      <c r="U2756" t="s">
        <v>11201</v>
      </c>
      <c r="V2756" t="s">
        <v>473</v>
      </c>
      <c r="W2756">
        <v>1530</v>
      </c>
      <c r="X2756" t="s">
        <v>11335</v>
      </c>
      <c r="Y2756" t="s">
        <v>11352</v>
      </c>
      <c r="Z2756" t="s">
        <v>13241</v>
      </c>
      <c r="AB2756" t="s">
        <v>17593</v>
      </c>
      <c r="AC2756">
        <v>30</v>
      </c>
      <c r="AD2756" t="s">
        <v>19566</v>
      </c>
      <c r="AE2756" t="s">
        <v>9144</v>
      </c>
      <c r="AF2756">
        <v>3</v>
      </c>
      <c r="AG2756">
        <v>1</v>
      </c>
      <c r="AH2756">
        <v>1</v>
      </c>
      <c r="AI2756">
        <v>92.25</v>
      </c>
      <c r="AL2756" t="s">
        <v>19614</v>
      </c>
      <c r="AM2756">
        <v>15600</v>
      </c>
      <c r="AS2756">
        <v>64.42</v>
      </c>
      <c r="AT2756" t="s">
        <v>334</v>
      </c>
      <c r="AU2756" t="s">
        <v>20639</v>
      </c>
    </row>
    <row r="2757" spans="1:48">
      <c r="A2757" s="1">
        <f>HYPERLINK("https://lsnyc.legalserver.org/matter/dynamic-profile/view/1914154","19-1914154")</f>
        <v>0</v>
      </c>
      <c r="B2757" t="s">
        <v>137</v>
      </c>
      <c r="C2757" t="s">
        <v>256</v>
      </c>
      <c r="D2757" t="s">
        <v>395</v>
      </c>
      <c r="F2757" t="s">
        <v>2331</v>
      </c>
      <c r="G2757" t="s">
        <v>3592</v>
      </c>
      <c r="H2757" t="s">
        <v>7080</v>
      </c>
      <c r="I2757" t="s">
        <v>8225</v>
      </c>
      <c r="J2757" t="s">
        <v>9067</v>
      </c>
      <c r="K2757">
        <v>10034</v>
      </c>
      <c r="L2757" t="s">
        <v>9094</v>
      </c>
      <c r="M2757" t="s">
        <v>9095</v>
      </c>
      <c r="P2757" t="s">
        <v>11169</v>
      </c>
      <c r="R2757" t="s">
        <v>11180</v>
      </c>
      <c r="S2757" t="s">
        <v>9096</v>
      </c>
      <c r="T2757" t="s">
        <v>11183</v>
      </c>
      <c r="V2757" t="s">
        <v>395</v>
      </c>
      <c r="W2757">
        <v>1670</v>
      </c>
      <c r="X2757" t="s">
        <v>11335</v>
      </c>
      <c r="Y2757" t="s">
        <v>11338</v>
      </c>
      <c r="Z2757" t="s">
        <v>13242</v>
      </c>
      <c r="AC2757">
        <v>61</v>
      </c>
      <c r="AD2757" t="s">
        <v>19566</v>
      </c>
      <c r="AE2757" t="s">
        <v>9144</v>
      </c>
      <c r="AF2757">
        <v>5</v>
      </c>
      <c r="AG2757">
        <v>1</v>
      </c>
      <c r="AH2757">
        <v>1</v>
      </c>
      <c r="AI2757">
        <v>92.25</v>
      </c>
      <c r="AL2757" t="s">
        <v>19614</v>
      </c>
      <c r="AM2757">
        <v>15600</v>
      </c>
      <c r="AS2757">
        <v>0</v>
      </c>
      <c r="AU2757" t="s">
        <v>130</v>
      </c>
      <c r="AV2757" t="s">
        <v>20733</v>
      </c>
    </row>
    <row r="2758" spans="1:48">
      <c r="A2758" s="1">
        <f>HYPERLINK("https://lsnyc.legalserver.org/matter/dynamic-profile/view/1885539","18-1885539")</f>
        <v>0</v>
      </c>
      <c r="B2758" t="s">
        <v>113</v>
      </c>
      <c r="C2758" t="s">
        <v>257</v>
      </c>
      <c r="D2758" t="s">
        <v>357</v>
      </c>
      <c r="E2758" t="s">
        <v>301</v>
      </c>
      <c r="F2758" t="s">
        <v>2303</v>
      </c>
      <c r="G2758" t="s">
        <v>2216</v>
      </c>
      <c r="H2758" t="s">
        <v>5864</v>
      </c>
      <c r="I2758" t="s">
        <v>8646</v>
      </c>
      <c r="J2758" t="s">
        <v>9065</v>
      </c>
      <c r="K2758">
        <v>10460</v>
      </c>
      <c r="L2758" t="s">
        <v>9094</v>
      </c>
      <c r="M2758" t="s">
        <v>9094</v>
      </c>
      <c r="N2758" t="s">
        <v>9222</v>
      </c>
      <c r="O2758" t="s">
        <v>11130</v>
      </c>
      <c r="P2758" t="s">
        <v>11165</v>
      </c>
      <c r="Q2758" t="s">
        <v>11174</v>
      </c>
      <c r="R2758" t="s">
        <v>11180</v>
      </c>
      <c r="S2758" t="s">
        <v>9094</v>
      </c>
      <c r="T2758" t="s">
        <v>11183</v>
      </c>
      <c r="V2758" t="s">
        <v>512</v>
      </c>
      <c r="W2758">
        <v>262</v>
      </c>
      <c r="X2758" t="s">
        <v>11333</v>
      </c>
      <c r="Y2758" t="s">
        <v>11346</v>
      </c>
      <c r="Z2758" t="s">
        <v>12593</v>
      </c>
      <c r="AB2758" t="s">
        <v>17548</v>
      </c>
      <c r="AC2758">
        <v>169</v>
      </c>
      <c r="AD2758" t="s">
        <v>19571</v>
      </c>
      <c r="AE2758" t="s">
        <v>19580</v>
      </c>
      <c r="AF2758">
        <v>27</v>
      </c>
      <c r="AG2758">
        <v>1</v>
      </c>
      <c r="AH2758">
        <v>0</v>
      </c>
      <c r="AI2758">
        <v>92.26000000000001</v>
      </c>
      <c r="AL2758" t="s">
        <v>19614</v>
      </c>
      <c r="AM2758">
        <v>11200</v>
      </c>
      <c r="AS2758">
        <v>0.25</v>
      </c>
      <c r="AT2758" t="s">
        <v>301</v>
      </c>
      <c r="AU2758" t="s">
        <v>158</v>
      </c>
    </row>
    <row r="2759" spans="1:48">
      <c r="A2759" s="1">
        <f>HYPERLINK("https://lsnyc.legalserver.org/matter/dynamic-profile/view/0804313","16-0804313")</f>
        <v>0</v>
      </c>
      <c r="B2759" t="s">
        <v>64</v>
      </c>
      <c r="C2759" t="s">
        <v>257</v>
      </c>
      <c r="D2759" t="s">
        <v>726</v>
      </c>
      <c r="E2759" t="s">
        <v>806</v>
      </c>
      <c r="F2759" t="s">
        <v>2332</v>
      </c>
      <c r="G2759" t="s">
        <v>4548</v>
      </c>
      <c r="H2759" t="s">
        <v>7081</v>
      </c>
      <c r="I2759">
        <v>6</v>
      </c>
      <c r="J2759" t="s">
        <v>9059</v>
      </c>
      <c r="K2759">
        <v>11207</v>
      </c>
      <c r="L2759" t="s">
        <v>9094</v>
      </c>
      <c r="M2759" t="s">
        <v>9095</v>
      </c>
      <c r="N2759" t="s">
        <v>10184</v>
      </c>
      <c r="O2759" t="s">
        <v>11129</v>
      </c>
      <c r="P2759" t="s">
        <v>11165</v>
      </c>
      <c r="Q2759" t="s">
        <v>11174</v>
      </c>
      <c r="R2759" t="s">
        <v>11180</v>
      </c>
      <c r="S2759" t="s">
        <v>9096</v>
      </c>
      <c r="T2759" t="s">
        <v>11183</v>
      </c>
      <c r="V2759" t="s">
        <v>11273</v>
      </c>
      <c r="W2759">
        <v>1365</v>
      </c>
      <c r="X2759" t="s">
        <v>11332</v>
      </c>
      <c r="Y2759" t="s">
        <v>11349</v>
      </c>
      <c r="Z2759" t="s">
        <v>13243</v>
      </c>
      <c r="AB2759" t="s">
        <v>17594</v>
      </c>
      <c r="AC2759">
        <v>6</v>
      </c>
      <c r="AD2759" t="s">
        <v>19566</v>
      </c>
      <c r="AE2759" t="s">
        <v>9144</v>
      </c>
      <c r="AF2759">
        <v>4</v>
      </c>
      <c r="AG2759">
        <v>2</v>
      </c>
      <c r="AH2759">
        <v>1</v>
      </c>
      <c r="AI2759">
        <v>92.3</v>
      </c>
      <c r="AL2759" t="s">
        <v>19615</v>
      </c>
      <c r="AM2759">
        <v>18607.42</v>
      </c>
      <c r="AS2759">
        <v>238.25</v>
      </c>
      <c r="AT2759" t="s">
        <v>373</v>
      </c>
      <c r="AU2759" t="s">
        <v>20630</v>
      </c>
    </row>
    <row r="2760" spans="1:48">
      <c r="A2760" s="1">
        <f>HYPERLINK("https://lsnyc.legalserver.org/matter/dynamic-profile/view/1845235","17-1845235")</f>
        <v>0</v>
      </c>
      <c r="B2760" t="s">
        <v>151</v>
      </c>
      <c r="C2760" t="s">
        <v>256</v>
      </c>
      <c r="D2760" t="s">
        <v>399</v>
      </c>
      <c r="F2760" t="s">
        <v>2333</v>
      </c>
      <c r="G2760" t="s">
        <v>4549</v>
      </c>
      <c r="H2760" t="s">
        <v>7082</v>
      </c>
      <c r="I2760" t="s">
        <v>8179</v>
      </c>
      <c r="J2760" t="s">
        <v>9059</v>
      </c>
      <c r="K2760">
        <v>11208</v>
      </c>
      <c r="L2760" t="s">
        <v>9094</v>
      </c>
      <c r="M2760" t="s">
        <v>9095</v>
      </c>
      <c r="N2760" t="s">
        <v>10185</v>
      </c>
      <c r="O2760" t="s">
        <v>11128</v>
      </c>
      <c r="P2760" t="s">
        <v>11165</v>
      </c>
      <c r="R2760" t="s">
        <v>11180</v>
      </c>
      <c r="S2760" t="s">
        <v>9094</v>
      </c>
      <c r="T2760" t="s">
        <v>11183</v>
      </c>
      <c r="V2760" t="s">
        <v>399</v>
      </c>
      <c r="W2760">
        <v>878</v>
      </c>
      <c r="X2760" t="s">
        <v>11332</v>
      </c>
      <c r="Y2760" t="s">
        <v>11341</v>
      </c>
      <c r="Z2760" t="s">
        <v>13244</v>
      </c>
      <c r="AB2760" t="s">
        <v>17595</v>
      </c>
      <c r="AC2760">
        <v>176</v>
      </c>
      <c r="AD2760" t="s">
        <v>19575</v>
      </c>
      <c r="AF2760">
        <v>5</v>
      </c>
      <c r="AG2760">
        <v>2</v>
      </c>
      <c r="AH2760">
        <v>0</v>
      </c>
      <c r="AI2760">
        <v>92.36</v>
      </c>
      <c r="AL2760" t="s">
        <v>19614</v>
      </c>
      <c r="AM2760">
        <v>15000</v>
      </c>
      <c r="AS2760">
        <v>108</v>
      </c>
      <c r="AT2760" t="s">
        <v>551</v>
      </c>
      <c r="AU2760" t="s">
        <v>95</v>
      </c>
    </row>
    <row r="2761" spans="1:48">
      <c r="A2761" s="1">
        <f>HYPERLINK("https://lsnyc.legalserver.org/matter/dynamic-profile/view/1841429","17-1841429")</f>
        <v>0</v>
      </c>
      <c r="B2761" t="s">
        <v>138</v>
      </c>
      <c r="C2761" t="s">
        <v>256</v>
      </c>
      <c r="D2761" t="s">
        <v>857</v>
      </c>
      <c r="F2761" t="s">
        <v>2334</v>
      </c>
      <c r="G2761" t="s">
        <v>4032</v>
      </c>
      <c r="H2761" t="s">
        <v>6566</v>
      </c>
      <c r="I2761" t="s">
        <v>8658</v>
      </c>
      <c r="J2761" t="s">
        <v>9067</v>
      </c>
      <c r="K2761">
        <v>10034</v>
      </c>
      <c r="L2761" t="s">
        <v>9094</v>
      </c>
      <c r="M2761" t="s">
        <v>9095</v>
      </c>
      <c r="O2761" t="s">
        <v>11137</v>
      </c>
      <c r="P2761" t="s">
        <v>11166</v>
      </c>
      <c r="R2761" t="s">
        <v>11180</v>
      </c>
      <c r="S2761" t="s">
        <v>9096</v>
      </c>
      <c r="T2761" t="s">
        <v>11183</v>
      </c>
      <c r="V2761" t="s">
        <v>837</v>
      </c>
      <c r="W2761">
        <v>719.53</v>
      </c>
      <c r="X2761" t="s">
        <v>11335</v>
      </c>
      <c r="Y2761" t="s">
        <v>11338</v>
      </c>
      <c r="Z2761" t="s">
        <v>13245</v>
      </c>
      <c r="AB2761" t="s">
        <v>17596</v>
      </c>
      <c r="AC2761">
        <v>31</v>
      </c>
      <c r="AD2761" t="s">
        <v>19566</v>
      </c>
      <c r="AE2761" t="s">
        <v>19587</v>
      </c>
      <c r="AF2761">
        <v>27</v>
      </c>
      <c r="AG2761">
        <v>3</v>
      </c>
      <c r="AH2761">
        <v>0</v>
      </c>
      <c r="AI2761">
        <v>92.38</v>
      </c>
      <c r="AL2761" t="s">
        <v>19615</v>
      </c>
      <c r="AM2761">
        <v>18864</v>
      </c>
      <c r="AS2761">
        <v>9.199999999999999</v>
      </c>
      <c r="AT2761" t="s">
        <v>667</v>
      </c>
      <c r="AU2761" t="s">
        <v>130</v>
      </c>
    </row>
    <row r="2762" spans="1:48">
      <c r="A2762" s="1">
        <f>HYPERLINK("https://lsnyc.legalserver.org/matter/dynamic-profile/view/0824540","17-0824540")</f>
        <v>0</v>
      </c>
      <c r="B2762" t="s">
        <v>136</v>
      </c>
      <c r="C2762" t="s">
        <v>257</v>
      </c>
      <c r="D2762" t="s">
        <v>964</v>
      </c>
      <c r="E2762" t="s">
        <v>331</v>
      </c>
      <c r="F2762" t="s">
        <v>1238</v>
      </c>
      <c r="G2762" t="s">
        <v>4550</v>
      </c>
      <c r="H2762" t="s">
        <v>7083</v>
      </c>
      <c r="I2762" t="s">
        <v>8181</v>
      </c>
      <c r="J2762" t="s">
        <v>9067</v>
      </c>
      <c r="K2762">
        <v>10029</v>
      </c>
      <c r="L2762" t="s">
        <v>9094</v>
      </c>
      <c r="M2762" t="s">
        <v>9095</v>
      </c>
      <c r="O2762" t="s">
        <v>11140</v>
      </c>
      <c r="P2762" t="s">
        <v>11166</v>
      </c>
      <c r="Q2762" t="s">
        <v>11176</v>
      </c>
      <c r="R2762" t="s">
        <v>11180</v>
      </c>
      <c r="S2762" t="s">
        <v>9096</v>
      </c>
      <c r="T2762" t="s">
        <v>11190</v>
      </c>
      <c r="U2762" t="s">
        <v>11201</v>
      </c>
      <c r="V2762" t="s">
        <v>1089</v>
      </c>
      <c r="W2762">
        <v>1016</v>
      </c>
      <c r="X2762" t="s">
        <v>11335</v>
      </c>
      <c r="Y2762" t="s">
        <v>11340</v>
      </c>
      <c r="Z2762" t="s">
        <v>13246</v>
      </c>
      <c r="AB2762" t="s">
        <v>17597</v>
      </c>
      <c r="AC2762">
        <v>23</v>
      </c>
      <c r="AD2762" t="s">
        <v>19566</v>
      </c>
      <c r="AE2762" t="s">
        <v>9144</v>
      </c>
      <c r="AF2762">
        <v>24</v>
      </c>
      <c r="AG2762">
        <v>1</v>
      </c>
      <c r="AH2762">
        <v>1</v>
      </c>
      <c r="AI2762">
        <v>92.48999999999999</v>
      </c>
      <c r="AL2762" t="s">
        <v>19614</v>
      </c>
      <c r="AM2762">
        <v>14817</v>
      </c>
      <c r="AS2762">
        <v>17.7</v>
      </c>
      <c r="AT2762" t="s">
        <v>794</v>
      </c>
      <c r="AU2762" t="s">
        <v>20657</v>
      </c>
      <c r="AV2762" t="s">
        <v>20733</v>
      </c>
    </row>
    <row r="2763" spans="1:48">
      <c r="A2763" s="1">
        <f>HYPERLINK("https://lsnyc.legalserver.org/matter/dynamic-profile/view/1908656","19-1908656")</f>
        <v>0</v>
      </c>
      <c r="B2763" t="s">
        <v>142</v>
      </c>
      <c r="C2763" t="s">
        <v>256</v>
      </c>
      <c r="D2763" t="s">
        <v>326</v>
      </c>
      <c r="F2763" t="s">
        <v>1426</v>
      </c>
      <c r="G2763" t="s">
        <v>4551</v>
      </c>
      <c r="H2763" t="s">
        <v>6326</v>
      </c>
      <c r="I2763" t="s">
        <v>8213</v>
      </c>
      <c r="J2763" t="s">
        <v>9067</v>
      </c>
      <c r="K2763">
        <v>10035</v>
      </c>
      <c r="L2763" t="s">
        <v>9094</v>
      </c>
      <c r="M2763" t="s">
        <v>9095</v>
      </c>
      <c r="O2763" t="s">
        <v>9121</v>
      </c>
      <c r="P2763" t="s">
        <v>11167</v>
      </c>
      <c r="R2763" t="s">
        <v>11180</v>
      </c>
      <c r="S2763" t="s">
        <v>9094</v>
      </c>
      <c r="T2763" t="s">
        <v>11183</v>
      </c>
      <c r="U2763" t="s">
        <v>11201</v>
      </c>
      <c r="V2763" t="s">
        <v>326</v>
      </c>
      <c r="W2763">
        <v>1883.38</v>
      </c>
      <c r="X2763" t="s">
        <v>11335</v>
      </c>
      <c r="Y2763" t="s">
        <v>11339</v>
      </c>
      <c r="Z2763" t="s">
        <v>12728</v>
      </c>
      <c r="AB2763" t="s">
        <v>17598</v>
      </c>
      <c r="AC2763">
        <v>72</v>
      </c>
      <c r="AD2763" t="s">
        <v>19566</v>
      </c>
      <c r="AE2763" t="s">
        <v>19580</v>
      </c>
      <c r="AF2763">
        <v>36</v>
      </c>
      <c r="AG2763">
        <v>1</v>
      </c>
      <c r="AH2763">
        <v>0</v>
      </c>
      <c r="AI2763">
        <v>92.52</v>
      </c>
      <c r="AL2763" t="s">
        <v>19614</v>
      </c>
      <c r="AM2763">
        <v>11556</v>
      </c>
      <c r="AS2763">
        <v>6.5</v>
      </c>
      <c r="AT2763" t="s">
        <v>779</v>
      </c>
      <c r="AU2763" t="s">
        <v>20657</v>
      </c>
      <c r="AV2763" t="s">
        <v>20733</v>
      </c>
    </row>
    <row r="2764" spans="1:48">
      <c r="A2764" s="1">
        <f>HYPERLINK("https://lsnyc.legalserver.org/matter/dynamic-profile/view/1912268","19-1912268")</f>
        <v>0</v>
      </c>
      <c r="B2764" t="s">
        <v>134</v>
      </c>
      <c r="C2764" t="s">
        <v>256</v>
      </c>
      <c r="D2764" t="s">
        <v>570</v>
      </c>
      <c r="F2764" t="s">
        <v>1939</v>
      </c>
      <c r="G2764" t="s">
        <v>4552</v>
      </c>
      <c r="H2764" t="s">
        <v>6449</v>
      </c>
      <c r="I2764">
        <v>1</v>
      </c>
      <c r="J2764" t="s">
        <v>9067</v>
      </c>
      <c r="K2764">
        <v>10033</v>
      </c>
      <c r="L2764" t="s">
        <v>9094</v>
      </c>
      <c r="M2764" t="s">
        <v>9095</v>
      </c>
      <c r="O2764" t="s">
        <v>11160</v>
      </c>
      <c r="P2764" t="s">
        <v>11165</v>
      </c>
      <c r="R2764" t="s">
        <v>11180</v>
      </c>
      <c r="S2764" t="s">
        <v>9096</v>
      </c>
      <c r="T2764" t="s">
        <v>11183</v>
      </c>
      <c r="V2764" t="s">
        <v>570</v>
      </c>
      <c r="W2764">
        <v>0</v>
      </c>
      <c r="X2764" t="s">
        <v>11335</v>
      </c>
      <c r="Y2764" t="s">
        <v>11340</v>
      </c>
      <c r="Z2764" t="s">
        <v>13247</v>
      </c>
      <c r="AB2764" t="s">
        <v>17599</v>
      </c>
      <c r="AC2764">
        <v>20</v>
      </c>
      <c r="AE2764" t="s">
        <v>19587</v>
      </c>
      <c r="AF2764">
        <v>29</v>
      </c>
      <c r="AG2764">
        <v>2</v>
      </c>
      <c r="AH2764">
        <v>0</v>
      </c>
      <c r="AI2764">
        <v>92.54000000000001</v>
      </c>
      <c r="AL2764" t="s">
        <v>19615</v>
      </c>
      <c r="AM2764">
        <v>15648</v>
      </c>
      <c r="AS2764">
        <v>0</v>
      </c>
      <c r="AU2764" t="s">
        <v>130</v>
      </c>
      <c r="AV2764" t="s">
        <v>20733</v>
      </c>
    </row>
    <row r="2765" spans="1:48">
      <c r="A2765" s="1">
        <f>HYPERLINK("https://lsnyc.legalserver.org/matter/dynamic-profile/view/1909027","19-1909027")</f>
        <v>0</v>
      </c>
      <c r="B2765" t="s">
        <v>134</v>
      </c>
      <c r="C2765" t="s">
        <v>256</v>
      </c>
      <c r="D2765" t="s">
        <v>669</v>
      </c>
      <c r="F2765" t="s">
        <v>1939</v>
      </c>
      <c r="G2765" t="s">
        <v>4552</v>
      </c>
      <c r="H2765" t="s">
        <v>6449</v>
      </c>
      <c r="I2765">
        <v>1</v>
      </c>
      <c r="J2765" t="s">
        <v>9067</v>
      </c>
      <c r="K2765">
        <v>10033</v>
      </c>
      <c r="L2765" t="s">
        <v>9094</v>
      </c>
      <c r="M2765" t="s">
        <v>9095</v>
      </c>
      <c r="P2765" t="s">
        <v>11169</v>
      </c>
      <c r="R2765" t="s">
        <v>11180</v>
      </c>
      <c r="S2765" t="s">
        <v>9094</v>
      </c>
      <c r="T2765" t="s">
        <v>11183</v>
      </c>
      <c r="V2765" t="s">
        <v>669</v>
      </c>
      <c r="W2765">
        <v>0</v>
      </c>
      <c r="X2765" t="s">
        <v>11335</v>
      </c>
      <c r="Y2765" t="s">
        <v>11340</v>
      </c>
      <c r="Z2765" t="s">
        <v>13247</v>
      </c>
      <c r="AB2765" t="s">
        <v>17599</v>
      </c>
      <c r="AC2765">
        <v>20</v>
      </c>
      <c r="AD2765" t="s">
        <v>19566</v>
      </c>
      <c r="AE2765" t="s">
        <v>19587</v>
      </c>
      <c r="AF2765">
        <v>2</v>
      </c>
      <c r="AG2765">
        <v>2</v>
      </c>
      <c r="AH2765">
        <v>0</v>
      </c>
      <c r="AI2765">
        <v>92.54000000000001</v>
      </c>
      <c r="AL2765" t="s">
        <v>19615</v>
      </c>
      <c r="AM2765">
        <v>15648</v>
      </c>
      <c r="AS2765">
        <v>0</v>
      </c>
      <c r="AU2765" t="s">
        <v>130</v>
      </c>
      <c r="AV2765" t="s">
        <v>20733</v>
      </c>
    </row>
    <row r="2766" spans="1:48">
      <c r="A2766" s="1">
        <f>HYPERLINK("https://lsnyc.legalserver.org/matter/dynamic-profile/view/1909476","19-1909476")</f>
        <v>0</v>
      </c>
      <c r="B2766" t="s">
        <v>124</v>
      </c>
      <c r="C2766" t="s">
        <v>256</v>
      </c>
      <c r="D2766" t="s">
        <v>341</v>
      </c>
      <c r="F2766" t="s">
        <v>1956</v>
      </c>
      <c r="G2766" t="s">
        <v>4553</v>
      </c>
      <c r="H2766" t="s">
        <v>7084</v>
      </c>
      <c r="I2766" t="s">
        <v>8129</v>
      </c>
      <c r="J2766" t="s">
        <v>9066</v>
      </c>
      <c r="K2766">
        <v>10304</v>
      </c>
      <c r="L2766" t="s">
        <v>9096</v>
      </c>
      <c r="M2766" t="s">
        <v>9095</v>
      </c>
      <c r="N2766" t="s">
        <v>10186</v>
      </c>
      <c r="O2766" t="s">
        <v>11128</v>
      </c>
      <c r="R2766" t="s">
        <v>11180</v>
      </c>
      <c r="S2766" t="s">
        <v>9096</v>
      </c>
      <c r="T2766" t="s">
        <v>11183</v>
      </c>
      <c r="U2766" t="s">
        <v>11201</v>
      </c>
      <c r="W2766">
        <v>500</v>
      </c>
      <c r="X2766" t="s">
        <v>11334</v>
      </c>
      <c r="Y2766" t="s">
        <v>11157</v>
      </c>
      <c r="Z2766" t="s">
        <v>13248</v>
      </c>
      <c r="AB2766" t="s">
        <v>17600</v>
      </c>
      <c r="AC2766">
        <v>0</v>
      </c>
      <c r="AD2766" t="s">
        <v>15441</v>
      </c>
      <c r="AF2766">
        <v>1</v>
      </c>
      <c r="AG2766">
        <v>2</v>
      </c>
      <c r="AH2766">
        <v>0</v>
      </c>
      <c r="AI2766">
        <v>92.61</v>
      </c>
      <c r="AL2766" t="s">
        <v>19615</v>
      </c>
      <c r="AM2766">
        <v>15660</v>
      </c>
      <c r="AS2766">
        <v>11.4</v>
      </c>
      <c r="AT2766" t="s">
        <v>331</v>
      </c>
      <c r="AU2766" t="s">
        <v>20653</v>
      </c>
    </row>
    <row r="2767" spans="1:48">
      <c r="A2767" s="1">
        <f>HYPERLINK("https://lsnyc.legalserver.org/matter/dynamic-profile/view/0823542","16-0823542")</f>
        <v>0</v>
      </c>
      <c r="B2767" t="s">
        <v>119</v>
      </c>
      <c r="C2767" t="s">
        <v>256</v>
      </c>
      <c r="D2767" t="s">
        <v>965</v>
      </c>
      <c r="F2767" t="s">
        <v>2335</v>
      </c>
      <c r="G2767" t="s">
        <v>3220</v>
      </c>
      <c r="H2767" t="s">
        <v>5897</v>
      </c>
      <c r="J2767" t="s">
        <v>9065</v>
      </c>
      <c r="K2767">
        <v>10452</v>
      </c>
      <c r="L2767" t="s">
        <v>9094</v>
      </c>
      <c r="M2767" t="s">
        <v>9095</v>
      </c>
      <c r="O2767" t="s">
        <v>11135</v>
      </c>
      <c r="P2767" t="s">
        <v>11168</v>
      </c>
      <c r="R2767" t="s">
        <v>11180</v>
      </c>
      <c r="S2767" t="s">
        <v>9094</v>
      </c>
      <c r="T2767" t="s">
        <v>11183</v>
      </c>
      <c r="V2767" t="s">
        <v>965</v>
      </c>
      <c r="W2767">
        <v>700.84</v>
      </c>
      <c r="X2767" t="s">
        <v>11333</v>
      </c>
      <c r="Y2767" t="s">
        <v>11348</v>
      </c>
      <c r="Z2767" t="s">
        <v>13249</v>
      </c>
      <c r="AB2767" t="s">
        <v>17601</v>
      </c>
      <c r="AC2767">
        <v>122</v>
      </c>
      <c r="AD2767" t="s">
        <v>19566</v>
      </c>
      <c r="AF2767">
        <v>25</v>
      </c>
      <c r="AG2767">
        <v>1</v>
      </c>
      <c r="AH2767">
        <v>0</v>
      </c>
      <c r="AI2767">
        <v>92.63</v>
      </c>
      <c r="AL2767" t="s">
        <v>19614</v>
      </c>
      <c r="AM2767">
        <v>11004</v>
      </c>
      <c r="AS2767">
        <v>0</v>
      </c>
      <c r="AU2767" t="s">
        <v>20647</v>
      </c>
    </row>
    <row r="2768" spans="1:48">
      <c r="A2768" s="1">
        <f>HYPERLINK("https://lsnyc.legalserver.org/matter/dynamic-profile/view/1884518","18-1884518")</f>
        <v>0</v>
      </c>
      <c r="B2768" t="s">
        <v>82</v>
      </c>
      <c r="C2768" t="s">
        <v>256</v>
      </c>
      <c r="D2768" t="s">
        <v>375</v>
      </c>
      <c r="F2768" t="s">
        <v>1147</v>
      </c>
      <c r="G2768" t="s">
        <v>3452</v>
      </c>
      <c r="H2768" t="s">
        <v>5796</v>
      </c>
      <c r="J2768" t="s">
        <v>9059</v>
      </c>
      <c r="K2768">
        <v>11217</v>
      </c>
      <c r="L2768" t="s">
        <v>9094</v>
      </c>
      <c r="M2768" t="s">
        <v>9096</v>
      </c>
      <c r="N2768" t="s">
        <v>10187</v>
      </c>
      <c r="O2768" t="s">
        <v>11129</v>
      </c>
      <c r="P2768" t="s">
        <v>11165</v>
      </c>
      <c r="R2768" t="s">
        <v>11180</v>
      </c>
      <c r="S2768" t="s">
        <v>9096</v>
      </c>
      <c r="T2768" t="s">
        <v>11183</v>
      </c>
      <c r="U2768" t="s">
        <v>11201</v>
      </c>
      <c r="V2768" t="s">
        <v>375</v>
      </c>
      <c r="W2768">
        <v>1104</v>
      </c>
      <c r="X2768" t="s">
        <v>11332</v>
      </c>
      <c r="Y2768" t="s">
        <v>11157</v>
      </c>
      <c r="Z2768" t="s">
        <v>11492</v>
      </c>
      <c r="AB2768" t="s">
        <v>16609</v>
      </c>
      <c r="AC2768">
        <v>303</v>
      </c>
      <c r="AD2768" t="s">
        <v>19566</v>
      </c>
      <c r="AE2768" t="s">
        <v>9144</v>
      </c>
      <c r="AF2768">
        <v>1</v>
      </c>
      <c r="AG2768">
        <v>2</v>
      </c>
      <c r="AH2768">
        <v>1</v>
      </c>
      <c r="AI2768">
        <v>92.70999999999999</v>
      </c>
      <c r="AL2768" t="s">
        <v>19614</v>
      </c>
      <c r="AM2768">
        <v>19266</v>
      </c>
      <c r="AP2768" t="s">
        <v>20313</v>
      </c>
      <c r="AQ2768" t="s">
        <v>20369</v>
      </c>
      <c r="AR2768" t="s">
        <v>20507</v>
      </c>
      <c r="AS2768">
        <v>18.5</v>
      </c>
      <c r="AT2768" t="s">
        <v>483</v>
      </c>
      <c r="AU2768" t="s">
        <v>215</v>
      </c>
    </row>
    <row r="2769" spans="1:48">
      <c r="A2769" s="1">
        <f>HYPERLINK("https://lsnyc.legalserver.org/matter/dynamic-profile/view/1905354","19-1905354")</f>
        <v>0</v>
      </c>
      <c r="B2769" t="s">
        <v>115</v>
      </c>
      <c r="C2769" t="s">
        <v>256</v>
      </c>
      <c r="D2769" t="s">
        <v>621</v>
      </c>
      <c r="F2769" t="s">
        <v>1875</v>
      </c>
      <c r="G2769" t="s">
        <v>3503</v>
      </c>
      <c r="H2769" t="s">
        <v>7085</v>
      </c>
      <c r="I2769" t="s">
        <v>8659</v>
      </c>
      <c r="J2769" t="s">
        <v>9065</v>
      </c>
      <c r="K2769">
        <v>10459</v>
      </c>
      <c r="L2769" t="s">
        <v>9094</v>
      </c>
      <c r="M2769" t="s">
        <v>9095</v>
      </c>
      <c r="N2769" t="s">
        <v>10188</v>
      </c>
      <c r="O2769" t="s">
        <v>11128</v>
      </c>
      <c r="P2769" t="s">
        <v>11165</v>
      </c>
      <c r="R2769" t="s">
        <v>11180</v>
      </c>
      <c r="S2769" t="s">
        <v>9096</v>
      </c>
      <c r="T2769" t="s">
        <v>11183</v>
      </c>
      <c r="V2769" t="s">
        <v>574</v>
      </c>
      <c r="W2769">
        <v>833</v>
      </c>
      <c r="X2769" t="s">
        <v>11333</v>
      </c>
      <c r="Y2769" t="s">
        <v>11157</v>
      </c>
      <c r="Z2769" t="s">
        <v>13250</v>
      </c>
      <c r="AA2769" t="s">
        <v>15740</v>
      </c>
      <c r="AB2769" t="s">
        <v>17602</v>
      </c>
      <c r="AC2769">
        <v>67</v>
      </c>
      <c r="AD2769" t="s">
        <v>19566</v>
      </c>
      <c r="AE2769" t="s">
        <v>9144</v>
      </c>
      <c r="AF2769">
        <v>14</v>
      </c>
      <c r="AG2769">
        <v>3</v>
      </c>
      <c r="AH2769">
        <v>0</v>
      </c>
      <c r="AI2769">
        <v>92.70999999999999</v>
      </c>
      <c r="AL2769" t="s">
        <v>19615</v>
      </c>
      <c r="AM2769">
        <v>19776</v>
      </c>
      <c r="AS2769">
        <v>24</v>
      </c>
      <c r="AT2769" t="s">
        <v>1135</v>
      </c>
      <c r="AU2769" t="s">
        <v>20631</v>
      </c>
      <c r="AV2769" t="s">
        <v>20734</v>
      </c>
    </row>
    <row r="2770" spans="1:48">
      <c r="A2770" s="1">
        <f>HYPERLINK("https://lsnyc.legalserver.org/matter/dynamic-profile/view/1836206","17-1836206")</f>
        <v>0</v>
      </c>
      <c r="B2770" t="s">
        <v>93</v>
      </c>
      <c r="C2770" t="s">
        <v>256</v>
      </c>
      <c r="D2770" t="s">
        <v>732</v>
      </c>
      <c r="F2770" t="s">
        <v>2299</v>
      </c>
      <c r="G2770" t="s">
        <v>3344</v>
      </c>
      <c r="H2770" t="s">
        <v>5809</v>
      </c>
      <c r="I2770" t="s">
        <v>8212</v>
      </c>
      <c r="J2770" t="s">
        <v>9059</v>
      </c>
      <c r="K2770">
        <v>11212</v>
      </c>
      <c r="L2770" t="s">
        <v>9094</v>
      </c>
      <c r="M2770" t="s">
        <v>9095</v>
      </c>
      <c r="O2770" t="s">
        <v>11135</v>
      </c>
      <c r="P2770" t="s">
        <v>11168</v>
      </c>
      <c r="R2770" t="s">
        <v>11180</v>
      </c>
      <c r="S2770" t="s">
        <v>9094</v>
      </c>
      <c r="T2770" t="s">
        <v>11183</v>
      </c>
      <c r="V2770" t="s">
        <v>732</v>
      </c>
      <c r="W2770">
        <v>755</v>
      </c>
      <c r="X2770" t="s">
        <v>11332</v>
      </c>
      <c r="Y2770" t="s">
        <v>11340</v>
      </c>
      <c r="Z2770" t="s">
        <v>12806</v>
      </c>
      <c r="AB2770" t="s">
        <v>17539</v>
      </c>
      <c r="AC2770">
        <v>31</v>
      </c>
      <c r="AD2770" t="s">
        <v>19566</v>
      </c>
      <c r="AF2770">
        <v>30</v>
      </c>
      <c r="AG2770">
        <v>2</v>
      </c>
      <c r="AH2770">
        <v>0</v>
      </c>
      <c r="AI2770">
        <v>92.81</v>
      </c>
      <c r="AL2770" t="s">
        <v>19614</v>
      </c>
      <c r="AM2770">
        <v>21672</v>
      </c>
      <c r="AS2770">
        <v>1.85</v>
      </c>
      <c r="AT2770" t="s">
        <v>402</v>
      </c>
      <c r="AU2770" t="s">
        <v>59</v>
      </c>
    </row>
    <row r="2771" spans="1:48">
      <c r="A2771" s="1">
        <f>HYPERLINK("https://lsnyc.legalserver.org/matter/dynamic-profile/view/0829023","17-0829023")</f>
        <v>0</v>
      </c>
      <c r="B2771" t="s">
        <v>78</v>
      </c>
      <c r="C2771" t="s">
        <v>256</v>
      </c>
      <c r="D2771" t="s">
        <v>966</v>
      </c>
      <c r="F2771" t="s">
        <v>2299</v>
      </c>
      <c r="G2771" t="s">
        <v>3344</v>
      </c>
      <c r="H2771" t="s">
        <v>5809</v>
      </c>
      <c r="I2771" t="s">
        <v>8212</v>
      </c>
      <c r="J2771" t="s">
        <v>9059</v>
      </c>
      <c r="K2771">
        <v>11212</v>
      </c>
      <c r="L2771" t="s">
        <v>9094</v>
      </c>
      <c r="M2771" t="s">
        <v>9095</v>
      </c>
      <c r="N2771" t="s">
        <v>10189</v>
      </c>
      <c r="O2771" t="s">
        <v>9121</v>
      </c>
      <c r="P2771" t="s">
        <v>11167</v>
      </c>
      <c r="R2771" t="s">
        <v>11180</v>
      </c>
      <c r="S2771" t="s">
        <v>9094</v>
      </c>
      <c r="T2771" t="s">
        <v>11183</v>
      </c>
      <c r="V2771" t="s">
        <v>1087</v>
      </c>
      <c r="W2771">
        <v>755</v>
      </c>
      <c r="X2771" t="s">
        <v>11332</v>
      </c>
      <c r="Y2771" t="s">
        <v>11157</v>
      </c>
      <c r="Z2771" t="s">
        <v>12806</v>
      </c>
      <c r="AB2771" t="s">
        <v>17539</v>
      </c>
      <c r="AC2771">
        <v>32</v>
      </c>
      <c r="AD2771" t="s">
        <v>19566</v>
      </c>
      <c r="AF2771">
        <v>30</v>
      </c>
      <c r="AG2771">
        <v>2</v>
      </c>
      <c r="AH2771">
        <v>0</v>
      </c>
      <c r="AI2771">
        <v>92.81</v>
      </c>
      <c r="AL2771" t="s">
        <v>19614</v>
      </c>
      <c r="AM2771">
        <v>15072</v>
      </c>
      <c r="AS2771">
        <v>0.25</v>
      </c>
      <c r="AT2771" t="s">
        <v>778</v>
      </c>
      <c r="AU2771" t="s">
        <v>78</v>
      </c>
    </row>
    <row r="2772" spans="1:48">
      <c r="A2772" s="1">
        <f>HYPERLINK("https://lsnyc.legalserver.org/matter/dynamic-profile/view/1896712","19-1896712")</f>
        <v>0</v>
      </c>
      <c r="B2772" t="s">
        <v>71</v>
      </c>
      <c r="C2772" t="s">
        <v>256</v>
      </c>
      <c r="D2772" t="s">
        <v>454</v>
      </c>
      <c r="F2772" t="s">
        <v>1324</v>
      </c>
      <c r="G2772" t="s">
        <v>3370</v>
      </c>
      <c r="H2772" t="s">
        <v>6823</v>
      </c>
      <c r="I2772">
        <v>1</v>
      </c>
      <c r="J2772" t="s">
        <v>9059</v>
      </c>
      <c r="K2772">
        <v>11208</v>
      </c>
      <c r="L2772" t="s">
        <v>9094</v>
      </c>
      <c r="M2772" t="s">
        <v>9094</v>
      </c>
      <c r="N2772" t="s">
        <v>10190</v>
      </c>
      <c r="O2772" t="s">
        <v>11130</v>
      </c>
      <c r="P2772" t="s">
        <v>11165</v>
      </c>
      <c r="R2772" t="s">
        <v>11180</v>
      </c>
      <c r="S2772" t="s">
        <v>9096</v>
      </c>
      <c r="T2772" t="s">
        <v>11183</v>
      </c>
      <c r="U2772" t="s">
        <v>11201</v>
      </c>
      <c r="V2772" t="s">
        <v>394</v>
      </c>
      <c r="W2772">
        <v>1100</v>
      </c>
      <c r="X2772" t="s">
        <v>11332</v>
      </c>
      <c r="Y2772" t="s">
        <v>11336</v>
      </c>
      <c r="Z2772" t="s">
        <v>12829</v>
      </c>
      <c r="AA2772" t="s">
        <v>15656</v>
      </c>
      <c r="AB2772" t="s">
        <v>17211</v>
      </c>
      <c r="AC2772">
        <v>3</v>
      </c>
      <c r="AD2772" t="s">
        <v>19565</v>
      </c>
      <c r="AE2772" t="s">
        <v>11157</v>
      </c>
      <c r="AF2772">
        <v>21</v>
      </c>
      <c r="AG2772">
        <v>4</v>
      </c>
      <c r="AH2772">
        <v>6</v>
      </c>
      <c r="AI2772">
        <v>92.89</v>
      </c>
      <c r="AL2772" t="s">
        <v>19614</v>
      </c>
      <c r="AM2772">
        <v>48556</v>
      </c>
      <c r="AN2772" t="s">
        <v>19903</v>
      </c>
      <c r="AS2772">
        <v>27</v>
      </c>
      <c r="AT2772" t="s">
        <v>362</v>
      </c>
      <c r="AU2772" t="s">
        <v>95</v>
      </c>
      <c r="AV2772" t="s">
        <v>20733</v>
      </c>
    </row>
    <row r="2773" spans="1:48">
      <c r="A2773" s="1">
        <f>HYPERLINK("https://lsnyc.legalserver.org/matter/dynamic-profile/view/1898298","19-1898298")</f>
        <v>0</v>
      </c>
      <c r="B2773" t="s">
        <v>173</v>
      </c>
      <c r="C2773" t="s">
        <v>256</v>
      </c>
      <c r="D2773" t="s">
        <v>596</v>
      </c>
      <c r="F2773" t="s">
        <v>2336</v>
      </c>
      <c r="G2773" t="s">
        <v>4554</v>
      </c>
      <c r="H2773" t="s">
        <v>7086</v>
      </c>
      <c r="I2773" t="s">
        <v>8660</v>
      </c>
      <c r="J2773" t="s">
        <v>9054</v>
      </c>
      <c r="K2773">
        <v>11368</v>
      </c>
      <c r="L2773" t="s">
        <v>9094</v>
      </c>
      <c r="M2773" t="s">
        <v>9094</v>
      </c>
      <c r="N2773" t="s">
        <v>9126</v>
      </c>
      <c r="O2773" t="s">
        <v>11134</v>
      </c>
      <c r="P2773" t="s">
        <v>11168</v>
      </c>
      <c r="R2773" t="s">
        <v>11180</v>
      </c>
      <c r="S2773" t="s">
        <v>9094</v>
      </c>
      <c r="T2773" t="s">
        <v>11183</v>
      </c>
      <c r="U2773" t="s">
        <v>11201</v>
      </c>
      <c r="V2773" t="s">
        <v>596</v>
      </c>
      <c r="W2773">
        <v>1022</v>
      </c>
      <c r="X2773" t="s">
        <v>11331</v>
      </c>
      <c r="Y2773" t="s">
        <v>11157</v>
      </c>
      <c r="Z2773" t="s">
        <v>13251</v>
      </c>
      <c r="AA2773" t="s">
        <v>15274</v>
      </c>
      <c r="AB2773" t="s">
        <v>17603</v>
      </c>
      <c r="AC2773">
        <v>231</v>
      </c>
      <c r="AD2773" t="s">
        <v>19566</v>
      </c>
      <c r="AE2773" t="s">
        <v>19587</v>
      </c>
      <c r="AF2773">
        <v>37</v>
      </c>
      <c r="AG2773">
        <v>2</v>
      </c>
      <c r="AH2773">
        <v>0</v>
      </c>
      <c r="AI2773">
        <v>92.91</v>
      </c>
      <c r="AL2773" t="s">
        <v>19614</v>
      </c>
      <c r="AM2773">
        <v>15711</v>
      </c>
      <c r="AS2773">
        <v>0.1</v>
      </c>
      <c r="AT2773" t="s">
        <v>20582</v>
      </c>
      <c r="AU2773" t="s">
        <v>173</v>
      </c>
      <c r="AV2773" t="s">
        <v>20733</v>
      </c>
    </row>
    <row r="2774" spans="1:48">
      <c r="A2774" s="1">
        <f>HYPERLINK("https://lsnyc.legalserver.org/matter/dynamic-profile/view/1899153","19-1899153")</f>
        <v>0</v>
      </c>
      <c r="B2774" t="s">
        <v>98</v>
      </c>
      <c r="C2774" t="s">
        <v>257</v>
      </c>
      <c r="D2774" t="s">
        <v>492</v>
      </c>
      <c r="E2774" t="s">
        <v>574</v>
      </c>
      <c r="F2774" t="s">
        <v>2337</v>
      </c>
      <c r="G2774" t="s">
        <v>4555</v>
      </c>
      <c r="H2774" t="s">
        <v>6081</v>
      </c>
      <c r="I2774" t="s">
        <v>8193</v>
      </c>
      <c r="J2774" t="s">
        <v>9065</v>
      </c>
      <c r="K2774">
        <v>10452</v>
      </c>
      <c r="L2774" t="s">
        <v>9094</v>
      </c>
      <c r="M2774" t="s">
        <v>9095</v>
      </c>
      <c r="O2774" t="s">
        <v>11134</v>
      </c>
      <c r="P2774" t="s">
        <v>11167</v>
      </c>
      <c r="Q2774" t="s">
        <v>11173</v>
      </c>
      <c r="R2774" t="s">
        <v>11180</v>
      </c>
      <c r="S2774" t="s">
        <v>9094</v>
      </c>
      <c r="T2774" t="s">
        <v>11183</v>
      </c>
      <c r="V2774" t="s">
        <v>299</v>
      </c>
      <c r="W2774">
        <v>1024.89</v>
      </c>
      <c r="X2774" t="s">
        <v>11333</v>
      </c>
      <c r="Y2774" t="s">
        <v>11346</v>
      </c>
      <c r="Z2774" t="s">
        <v>13252</v>
      </c>
      <c r="AC2774">
        <v>41</v>
      </c>
      <c r="AD2774" t="s">
        <v>19566</v>
      </c>
      <c r="AE2774" t="s">
        <v>11157</v>
      </c>
      <c r="AF2774">
        <v>12</v>
      </c>
      <c r="AG2774">
        <v>1</v>
      </c>
      <c r="AH2774">
        <v>0</v>
      </c>
      <c r="AI2774">
        <v>92.91</v>
      </c>
      <c r="AL2774" t="s">
        <v>19615</v>
      </c>
      <c r="AM2774">
        <v>11604</v>
      </c>
      <c r="AS2774">
        <v>0.25</v>
      </c>
      <c r="AT2774" t="s">
        <v>410</v>
      </c>
      <c r="AU2774" t="s">
        <v>20642</v>
      </c>
      <c r="AV2774" t="s">
        <v>20733</v>
      </c>
    </row>
    <row r="2775" spans="1:48">
      <c r="A2775" s="1">
        <f>HYPERLINK("https://lsnyc.legalserver.org/matter/dynamic-profile/view/1909031","19-1909031")</f>
        <v>0</v>
      </c>
      <c r="B2775" t="s">
        <v>98</v>
      </c>
      <c r="C2775" t="s">
        <v>256</v>
      </c>
      <c r="D2775" t="s">
        <v>669</v>
      </c>
      <c r="F2775" t="s">
        <v>2337</v>
      </c>
      <c r="G2775" t="s">
        <v>4555</v>
      </c>
      <c r="H2775" t="s">
        <v>6081</v>
      </c>
      <c r="I2775" t="s">
        <v>8193</v>
      </c>
      <c r="J2775" t="s">
        <v>9065</v>
      </c>
      <c r="K2775">
        <v>10452</v>
      </c>
      <c r="L2775" t="s">
        <v>9094</v>
      </c>
      <c r="M2775" t="s">
        <v>9095</v>
      </c>
      <c r="N2775" t="s">
        <v>10191</v>
      </c>
      <c r="O2775" t="s">
        <v>11130</v>
      </c>
      <c r="P2775" t="s">
        <v>11165</v>
      </c>
      <c r="R2775" t="s">
        <v>11180</v>
      </c>
      <c r="S2775" t="s">
        <v>9096</v>
      </c>
      <c r="T2775" t="s">
        <v>11183</v>
      </c>
      <c r="U2775" t="s">
        <v>11201</v>
      </c>
      <c r="W2775">
        <v>1024.89</v>
      </c>
      <c r="X2775" t="s">
        <v>11333</v>
      </c>
      <c r="Y2775" t="s">
        <v>11340</v>
      </c>
      <c r="Z2775" t="s">
        <v>13252</v>
      </c>
      <c r="AB2775" t="s">
        <v>15274</v>
      </c>
      <c r="AC2775">
        <v>41</v>
      </c>
      <c r="AD2775" t="s">
        <v>19566</v>
      </c>
      <c r="AE2775" t="s">
        <v>9144</v>
      </c>
      <c r="AF2775">
        <v>12</v>
      </c>
      <c r="AG2775">
        <v>1</v>
      </c>
      <c r="AH2775">
        <v>0</v>
      </c>
      <c r="AI2775">
        <v>92.91</v>
      </c>
      <c r="AL2775" t="s">
        <v>19615</v>
      </c>
      <c r="AM2775">
        <v>11604</v>
      </c>
      <c r="AS2775">
        <v>8.25</v>
      </c>
      <c r="AT2775" t="s">
        <v>377</v>
      </c>
      <c r="AU2775" t="s">
        <v>98</v>
      </c>
    </row>
    <row r="2776" spans="1:48">
      <c r="A2776" s="1">
        <f>HYPERLINK("https://lsnyc.legalserver.org/matter/dynamic-profile/view/0809050","16-0809050")</f>
        <v>0</v>
      </c>
      <c r="B2776" t="s">
        <v>103</v>
      </c>
      <c r="C2776" t="s">
        <v>256</v>
      </c>
      <c r="D2776" t="s">
        <v>431</v>
      </c>
      <c r="F2776" t="s">
        <v>2338</v>
      </c>
      <c r="G2776" t="s">
        <v>4556</v>
      </c>
      <c r="H2776" t="s">
        <v>5873</v>
      </c>
      <c r="I2776" t="s">
        <v>8218</v>
      </c>
      <c r="J2776" t="s">
        <v>9065</v>
      </c>
      <c r="K2776">
        <v>10457</v>
      </c>
      <c r="L2776" t="s">
        <v>9094</v>
      </c>
      <c r="M2776" t="s">
        <v>9095</v>
      </c>
      <c r="N2776" t="s">
        <v>10192</v>
      </c>
      <c r="O2776" t="s">
        <v>11132</v>
      </c>
      <c r="P2776" t="s">
        <v>11165</v>
      </c>
      <c r="R2776" t="s">
        <v>11180</v>
      </c>
      <c r="S2776" t="s">
        <v>9094</v>
      </c>
      <c r="T2776" t="s">
        <v>11183</v>
      </c>
      <c r="V2776" t="s">
        <v>431</v>
      </c>
      <c r="W2776">
        <v>950</v>
      </c>
      <c r="X2776" t="s">
        <v>11333</v>
      </c>
      <c r="Y2776" t="s">
        <v>11346</v>
      </c>
      <c r="Z2776" t="s">
        <v>13253</v>
      </c>
      <c r="AB2776" t="s">
        <v>17604</v>
      </c>
      <c r="AC2776">
        <v>0</v>
      </c>
      <c r="AD2776" t="s">
        <v>19566</v>
      </c>
      <c r="AF2776">
        <v>4</v>
      </c>
      <c r="AG2776">
        <v>1</v>
      </c>
      <c r="AH2776">
        <v>0</v>
      </c>
      <c r="AI2776">
        <v>92.93000000000001</v>
      </c>
      <c r="AJ2776" t="s">
        <v>11262</v>
      </c>
      <c r="AL2776" t="s">
        <v>19614</v>
      </c>
      <c r="AM2776">
        <v>11040</v>
      </c>
      <c r="AS2776">
        <v>0</v>
      </c>
      <c r="AU2776" t="s">
        <v>109</v>
      </c>
    </row>
    <row r="2777" spans="1:48">
      <c r="A2777" s="1">
        <f>HYPERLINK("https://lsnyc.legalserver.org/matter/dynamic-profile/view/0816866","16-0816866")</f>
        <v>0</v>
      </c>
      <c r="B2777" t="s">
        <v>103</v>
      </c>
      <c r="C2777" t="s">
        <v>256</v>
      </c>
      <c r="D2777" t="s">
        <v>437</v>
      </c>
      <c r="F2777" t="s">
        <v>2338</v>
      </c>
      <c r="G2777" t="s">
        <v>4556</v>
      </c>
      <c r="H2777" t="s">
        <v>5873</v>
      </c>
      <c r="I2777" t="s">
        <v>8218</v>
      </c>
      <c r="J2777" t="s">
        <v>9065</v>
      </c>
      <c r="K2777">
        <v>10457</v>
      </c>
      <c r="L2777" t="s">
        <v>9094</v>
      </c>
      <c r="M2777" t="s">
        <v>9095</v>
      </c>
      <c r="N2777" t="s">
        <v>9228</v>
      </c>
      <c r="O2777" t="s">
        <v>11135</v>
      </c>
      <c r="P2777" t="s">
        <v>11168</v>
      </c>
      <c r="R2777" t="s">
        <v>11180</v>
      </c>
      <c r="S2777" t="s">
        <v>9094</v>
      </c>
      <c r="T2777" t="s">
        <v>11183</v>
      </c>
      <c r="V2777" t="s">
        <v>1024</v>
      </c>
      <c r="W2777">
        <v>950</v>
      </c>
      <c r="X2777" t="s">
        <v>11333</v>
      </c>
      <c r="Y2777" t="s">
        <v>11346</v>
      </c>
      <c r="Z2777" t="s">
        <v>13253</v>
      </c>
      <c r="AB2777" t="s">
        <v>17604</v>
      </c>
      <c r="AC2777">
        <v>100</v>
      </c>
      <c r="AD2777" t="s">
        <v>19566</v>
      </c>
      <c r="AE2777" t="s">
        <v>11157</v>
      </c>
      <c r="AF2777">
        <v>4</v>
      </c>
      <c r="AG2777">
        <v>1</v>
      </c>
      <c r="AH2777">
        <v>0</v>
      </c>
      <c r="AI2777">
        <v>92.93000000000001</v>
      </c>
      <c r="AJ2777" t="s">
        <v>11262</v>
      </c>
      <c r="AL2777" t="s">
        <v>19614</v>
      </c>
      <c r="AM2777">
        <v>11040</v>
      </c>
      <c r="AS2777">
        <v>0.5</v>
      </c>
      <c r="AT2777" t="s">
        <v>437</v>
      </c>
      <c r="AU2777" t="s">
        <v>20643</v>
      </c>
    </row>
    <row r="2778" spans="1:48">
      <c r="A2778" s="1">
        <f>HYPERLINK("https://lsnyc.legalserver.org/matter/dynamic-profile/view/1905129","19-1905129")</f>
        <v>0</v>
      </c>
      <c r="B2778" t="s">
        <v>82</v>
      </c>
      <c r="C2778" t="s">
        <v>256</v>
      </c>
      <c r="D2778" t="s">
        <v>367</v>
      </c>
      <c r="F2778" t="s">
        <v>1816</v>
      </c>
      <c r="G2778" t="s">
        <v>3935</v>
      </c>
      <c r="H2778" t="s">
        <v>7087</v>
      </c>
      <c r="I2778" t="s">
        <v>8661</v>
      </c>
      <c r="J2778" t="s">
        <v>9059</v>
      </c>
      <c r="K2778">
        <v>11218</v>
      </c>
      <c r="L2778" t="s">
        <v>9094</v>
      </c>
      <c r="M2778" t="s">
        <v>9095</v>
      </c>
      <c r="N2778" t="s">
        <v>10193</v>
      </c>
      <c r="O2778" t="s">
        <v>11128</v>
      </c>
      <c r="P2778" t="s">
        <v>11165</v>
      </c>
      <c r="R2778" t="s">
        <v>11180</v>
      </c>
      <c r="S2778" t="s">
        <v>9096</v>
      </c>
      <c r="T2778" t="s">
        <v>11183</v>
      </c>
      <c r="U2778" t="s">
        <v>11201</v>
      </c>
      <c r="V2778" t="s">
        <v>11207</v>
      </c>
      <c r="W2778">
        <v>1627</v>
      </c>
      <c r="X2778" t="s">
        <v>11332</v>
      </c>
      <c r="Y2778" t="s">
        <v>11340</v>
      </c>
      <c r="Z2778" t="s">
        <v>13254</v>
      </c>
      <c r="AB2778" t="s">
        <v>17605</v>
      </c>
      <c r="AC2778">
        <v>6</v>
      </c>
      <c r="AD2778" t="s">
        <v>19565</v>
      </c>
      <c r="AF2778">
        <v>13</v>
      </c>
      <c r="AG2778">
        <v>1</v>
      </c>
      <c r="AH2778">
        <v>0</v>
      </c>
      <c r="AI2778">
        <v>93</v>
      </c>
      <c r="AL2778" t="s">
        <v>19614</v>
      </c>
      <c r="AM2778">
        <v>11616</v>
      </c>
      <c r="AS2778">
        <v>80.09999999999999</v>
      </c>
      <c r="AT2778" t="s">
        <v>1130</v>
      </c>
      <c r="AU2778" t="s">
        <v>20631</v>
      </c>
      <c r="AV2778" t="s">
        <v>20733</v>
      </c>
    </row>
    <row r="2779" spans="1:48">
      <c r="A2779" s="1">
        <f>HYPERLINK("https://lsnyc.legalserver.org/matter/dynamic-profile/view/1914349","19-1914349")</f>
        <v>0</v>
      </c>
      <c r="B2779" t="s">
        <v>119</v>
      </c>
      <c r="C2779" t="s">
        <v>256</v>
      </c>
      <c r="D2779" t="s">
        <v>703</v>
      </c>
      <c r="F2779" t="s">
        <v>2339</v>
      </c>
      <c r="G2779" t="s">
        <v>3624</v>
      </c>
      <c r="H2779" t="s">
        <v>7088</v>
      </c>
      <c r="I2779" t="s">
        <v>8662</v>
      </c>
      <c r="J2779" t="s">
        <v>9065</v>
      </c>
      <c r="K2779">
        <v>10460</v>
      </c>
      <c r="L2779" t="s">
        <v>9094</v>
      </c>
      <c r="M2779" t="s">
        <v>9095</v>
      </c>
      <c r="N2779" t="s">
        <v>10194</v>
      </c>
      <c r="O2779" t="s">
        <v>11130</v>
      </c>
      <c r="P2779" t="s">
        <v>11164</v>
      </c>
      <c r="R2779" t="s">
        <v>11180</v>
      </c>
      <c r="S2779" t="s">
        <v>9096</v>
      </c>
      <c r="T2779" t="s">
        <v>11183</v>
      </c>
      <c r="W2779">
        <v>1487</v>
      </c>
      <c r="X2779" t="s">
        <v>11333</v>
      </c>
      <c r="Y2779" t="s">
        <v>11346</v>
      </c>
      <c r="Z2779" t="s">
        <v>13255</v>
      </c>
      <c r="AB2779" t="s">
        <v>17606</v>
      </c>
      <c r="AC2779">
        <v>0</v>
      </c>
      <c r="AD2779" t="s">
        <v>19566</v>
      </c>
      <c r="AE2779" t="s">
        <v>19585</v>
      </c>
      <c r="AF2779">
        <v>1</v>
      </c>
      <c r="AG2779">
        <v>1</v>
      </c>
      <c r="AH2779">
        <v>0</v>
      </c>
      <c r="AI2779">
        <v>93</v>
      </c>
      <c r="AL2779" t="s">
        <v>19614</v>
      </c>
      <c r="AM2779">
        <v>11616</v>
      </c>
      <c r="AS2779">
        <v>0.25</v>
      </c>
      <c r="AT2779" t="s">
        <v>703</v>
      </c>
      <c r="AU2779" t="s">
        <v>119</v>
      </c>
      <c r="AV2779" t="s">
        <v>20733</v>
      </c>
    </row>
    <row r="2780" spans="1:48">
      <c r="A2780" s="1">
        <f>HYPERLINK("https://lsnyc.legalserver.org/matter/dynamic-profile/view/1907790","19-1907790")</f>
        <v>0</v>
      </c>
      <c r="B2780" t="s">
        <v>78</v>
      </c>
      <c r="C2780" t="s">
        <v>256</v>
      </c>
      <c r="D2780" t="s">
        <v>396</v>
      </c>
      <c r="F2780" t="s">
        <v>2071</v>
      </c>
      <c r="G2780" t="s">
        <v>2278</v>
      </c>
      <c r="H2780" t="s">
        <v>5984</v>
      </c>
      <c r="I2780" t="s">
        <v>8266</v>
      </c>
      <c r="J2780" t="s">
        <v>9059</v>
      </c>
      <c r="K2780">
        <v>11212</v>
      </c>
      <c r="L2780" t="s">
        <v>9094</v>
      </c>
      <c r="M2780" t="s">
        <v>9095</v>
      </c>
      <c r="N2780" t="s">
        <v>9144</v>
      </c>
      <c r="O2780" t="s">
        <v>11137</v>
      </c>
      <c r="P2780" t="s">
        <v>11167</v>
      </c>
      <c r="R2780" t="s">
        <v>11180</v>
      </c>
      <c r="S2780" t="s">
        <v>9094</v>
      </c>
      <c r="T2780" t="s">
        <v>11183</v>
      </c>
      <c r="U2780" t="s">
        <v>11201</v>
      </c>
      <c r="V2780" t="s">
        <v>330</v>
      </c>
      <c r="W2780">
        <v>164.4</v>
      </c>
      <c r="X2780" t="s">
        <v>11332</v>
      </c>
      <c r="Y2780" t="s">
        <v>11346</v>
      </c>
      <c r="Z2780" t="s">
        <v>13256</v>
      </c>
      <c r="AB2780" t="s">
        <v>17607</v>
      </c>
      <c r="AC2780">
        <v>96</v>
      </c>
      <c r="AD2780" t="s">
        <v>19566</v>
      </c>
      <c r="AE2780" t="s">
        <v>11157</v>
      </c>
      <c r="AF2780">
        <v>10</v>
      </c>
      <c r="AG2780">
        <v>1</v>
      </c>
      <c r="AH2780">
        <v>0</v>
      </c>
      <c r="AI2780">
        <v>93.09999999999999</v>
      </c>
      <c r="AL2780" t="s">
        <v>19614</v>
      </c>
      <c r="AM2780">
        <v>11628</v>
      </c>
      <c r="AS2780">
        <v>0.08</v>
      </c>
      <c r="AT2780" t="s">
        <v>664</v>
      </c>
      <c r="AU2780" t="s">
        <v>79</v>
      </c>
      <c r="AV2780" t="s">
        <v>20733</v>
      </c>
    </row>
    <row r="2781" spans="1:48">
      <c r="A2781" s="1">
        <f>HYPERLINK("https://lsnyc.legalserver.org/matter/dynamic-profile/view/1902486","19-1902486")</f>
        <v>0</v>
      </c>
      <c r="B2781" t="s">
        <v>69</v>
      </c>
      <c r="C2781" t="s">
        <v>257</v>
      </c>
      <c r="D2781" t="s">
        <v>798</v>
      </c>
      <c r="E2781" t="s">
        <v>415</v>
      </c>
      <c r="F2781" t="s">
        <v>1197</v>
      </c>
      <c r="G2781" t="s">
        <v>4441</v>
      </c>
      <c r="H2781" t="s">
        <v>6937</v>
      </c>
      <c r="I2781" t="s">
        <v>8605</v>
      </c>
      <c r="J2781" t="s">
        <v>9059</v>
      </c>
      <c r="K2781">
        <v>11239</v>
      </c>
      <c r="L2781" t="s">
        <v>9094</v>
      </c>
      <c r="M2781" t="s">
        <v>9095</v>
      </c>
      <c r="N2781" t="s">
        <v>9154</v>
      </c>
      <c r="O2781" t="s">
        <v>9121</v>
      </c>
      <c r="P2781" t="s">
        <v>11164</v>
      </c>
      <c r="Q2781" t="s">
        <v>11172</v>
      </c>
      <c r="R2781" t="s">
        <v>11180</v>
      </c>
      <c r="S2781" t="s">
        <v>9096</v>
      </c>
      <c r="T2781" t="s">
        <v>11183</v>
      </c>
      <c r="U2781" t="s">
        <v>11201</v>
      </c>
      <c r="V2781" t="s">
        <v>760</v>
      </c>
      <c r="W2781">
        <v>898.5</v>
      </c>
      <c r="X2781" t="s">
        <v>11332</v>
      </c>
      <c r="Y2781" t="s">
        <v>11345</v>
      </c>
      <c r="Z2781" t="s">
        <v>13013</v>
      </c>
      <c r="AA2781" t="s">
        <v>15694</v>
      </c>
      <c r="AB2781" t="s">
        <v>17376</v>
      </c>
      <c r="AC2781">
        <v>84</v>
      </c>
      <c r="AD2781" t="s">
        <v>19567</v>
      </c>
      <c r="AE2781" t="s">
        <v>9144</v>
      </c>
      <c r="AF2781">
        <v>1</v>
      </c>
      <c r="AG2781">
        <v>1</v>
      </c>
      <c r="AH2781">
        <v>0</v>
      </c>
      <c r="AI2781">
        <v>93.19</v>
      </c>
      <c r="AL2781" t="s">
        <v>19614</v>
      </c>
      <c r="AM2781">
        <v>11640</v>
      </c>
      <c r="AS2781">
        <v>5.25</v>
      </c>
      <c r="AT2781" t="s">
        <v>415</v>
      </c>
      <c r="AU2781" t="s">
        <v>20631</v>
      </c>
      <c r="AV2781" t="s">
        <v>20733</v>
      </c>
    </row>
    <row r="2782" spans="1:48">
      <c r="A2782" s="1">
        <f>HYPERLINK("https://lsnyc.legalserver.org/matter/dynamic-profile/view/1905795","19-1905795")</f>
        <v>0</v>
      </c>
      <c r="B2782" t="s">
        <v>78</v>
      </c>
      <c r="C2782" t="s">
        <v>256</v>
      </c>
      <c r="D2782" t="s">
        <v>328</v>
      </c>
      <c r="F2782" t="s">
        <v>1150</v>
      </c>
      <c r="G2782" t="s">
        <v>4557</v>
      </c>
      <c r="H2782" t="s">
        <v>6465</v>
      </c>
      <c r="I2782" t="s">
        <v>8140</v>
      </c>
      <c r="J2782" t="s">
        <v>9059</v>
      </c>
      <c r="K2782">
        <v>11212</v>
      </c>
      <c r="L2782" t="s">
        <v>9094</v>
      </c>
      <c r="M2782" t="s">
        <v>9095</v>
      </c>
      <c r="N2782" t="s">
        <v>9184</v>
      </c>
      <c r="O2782" t="s">
        <v>11132</v>
      </c>
      <c r="P2782" t="s">
        <v>11167</v>
      </c>
      <c r="R2782" t="s">
        <v>11180</v>
      </c>
      <c r="S2782" t="s">
        <v>9094</v>
      </c>
      <c r="T2782" t="s">
        <v>11186</v>
      </c>
      <c r="U2782" t="s">
        <v>11201</v>
      </c>
      <c r="V2782" t="s">
        <v>512</v>
      </c>
      <c r="W2782">
        <v>0</v>
      </c>
      <c r="X2782" t="s">
        <v>11332</v>
      </c>
      <c r="Y2782" t="s">
        <v>11157</v>
      </c>
      <c r="Z2782" t="s">
        <v>13257</v>
      </c>
      <c r="AA2782" t="s">
        <v>9144</v>
      </c>
      <c r="AB2782" t="s">
        <v>17608</v>
      </c>
      <c r="AC2782">
        <v>0</v>
      </c>
      <c r="AD2782" t="s">
        <v>19566</v>
      </c>
      <c r="AE2782" t="s">
        <v>9144</v>
      </c>
      <c r="AF2782">
        <v>0</v>
      </c>
      <c r="AG2782">
        <v>1</v>
      </c>
      <c r="AH2782">
        <v>0</v>
      </c>
      <c r="AI2782">
        <v>93.19</v>
      </c>
      <c r="AL2782" t="s">
        <v>19614</v>
      </c>
      <c r="AM2782">
        <v>11640</v>
      </c>
      <c r="AN2782" t="s">
        <v>19904</v>
      </c>
      <c r="AS2782">
        <v>0</v>
      </c>
      <c r="AU2782" t="s">
        <v>79</v>
      </c>
      <c r="AV2782" t="s">
        <v>20733</v>
      </c>
    </row>
    <row r="2783" spans="1:48">
      <c r="A2783" s="1">
        <f>HYPERLINK("https://lsnyc.legalserver.org/matter/dynamic-profile/view/1903231","19-1903231")</f>
        <v>0</v>
      </c>
      <c r="B2783" t="s">
        <v>92</v>
      </c>
      <c r="C2783" t="s">
        <v>256</v>
      </c>
      <c r="D2783" t="s">
        <v>280</v>
      </c>
      <c r="F2783" t="s">
        <v>1150</v>
      </c>
      <c r="G2783" t="s">
        <v>4557</v>
      </c>
      <c r="H2783" t="s">
        <v>6465</v>
      </c>
      <c r="I2783" t="s">
        <v>8140</v>
      </c>
      <c r="J2783" t="s">
        <v>9059</v>
      </c>
      <c r="K2783">
        <v>11212</v>
      </c>
      <c r="L2783" t="s">
        <v>9094</v>
      </c>
      <c r="M2783" t="s">
        <v>9095</v>
      </c>
      <c r="N2783" t="s">
        <v>10195</v>
      </c>
      <c r="O2783" t="s">
        <v>11129</v>
      </c>
      <c r="P2783" t="s">
        <v>11165</v>
      </c>
      <c r="R2783" t="s">
        <v>11180</v>
      </c>
      <c r="S2783" t="s">
        <v>9094</v>
      </c>
      <c r="T2783" t="s">
        <v>11183</v>
      </c>
      <c r="U2783" t="s">
        <v>11201</v>
      </c>
      <c r="V2783" t="s">
        <v>760</v>
      </c>
      <c r="W2783">
        <v>0</v>
      </c>
      <c r="X2783" t="s">
        <v>11332</v>
      </c>
      <c r="Z2783" t="s">
        <v>13257</v>
      </c>
      <c r="AA2783" t="s">
        <v>9144</v>
      </c>
      <c r="AB2783" t="s">
        <v>17608</v>
      </c>
      <c r="AC2783">
        <v>0</v>
      </c>
      <c r="AD2783" t="s">
        <v>19566</v>
      </c>
      <c r="AE2783" t="s">
        <v>9144</v>
      </c>
      <c r="AF2783">
        <v>0</v>
      </c>
      <c r="AG2783">
        <v>1</v>
      </c>
      <c r="AH2783">
        <v>0</v>
      </c>
      <c r="AI2783">
        <v>93.19</v>
      </c>
      <c r="AL2783" t="s">
        <v>19614</v>
      </c>
      <c r="AM2783">
        <v>11640</v>
      </c>
      <c r="AS2783">
        <v>6.2</v>
      </c>
      <c r="AT2783" t="s">
        <v>496</v>
      </c>
      <c r="AU2783" t="s">
        <v>95</v>
      </c>
      <c r="AV2783" t="s">
        <v>20733</v>
      </c>
    </row>
    <row r="2784" spans="1:48">
      <c r="A2784" s="1">
        <f>HYPERLINK("https://lsnyc.legalserver.org/matter/dynamic-profile/view/1905812","19-1905812")</f>
        <v>0</v>
      </c>
      <c r="B2784" t="s">
        <v>78</v>
      </c>
      <c r="C2784" t="s">
        <v>256</v>
      </c>
      <c r="D2784" t="s">
        <v>426</v>
      </c>
      <c r="F2784" t="s">
        <v>1150</v>
      </c>
      <c r="G2784" t="s">
        <v>4557</v>
      </c>
      <c r="H2784" t="s">
        <v>6465</v>
      </c>
      <c r="I2784" t="s">
        <v>8140</v>
      </c>
      <c r="J2784" t="s">
        <v>9059</v>
      </c>
      <c r="K2784">
        <v>11212</v>
      </c>
      <c r="L2784" t="s">
        <v>9094</v>
      </c>
      <c r="M2784" t="s">
        <v>9095</v>
      </c>
      <c r="N2784" t="s">
        <v>9182</v>
      </c>
      <c r="O2784" t="s">
        <v>11141</v>
      </c>
      <c r="P2784" t="s">
        <v>11170</v>
      </c>
      <c r="R2784" t="s">
        <v>11180</v>
      </c>
      <c r="S2784" t="s">
        <v>9094</v>
      </c>
      <c r="T2784" t="s">
        <v>11185</v>
      </c>
      <c r="U2784" t="s">
        <v>11201</v>
      </c>
      <c r="V2784" t="s">
        <v>777</v>
      </c>
      <c r="W2784">
        <v>0</v>
      </c>
      <c r="X2784" t="s">
        <v>11332</v>
      </c>
      <c r="Y2784" t="s">
        <v>11157</v>
      </c>
      <c r="Z2784" t="s">
        <v>13257</v>
      </c>
      <c r="AA2784" t="s">
        <v>9144</v>
      </c>
      <c r="AB2784" t="s">
        <v>17608</v>
      </c>
      <c r="AC2784">
        <v>11</v>
      </c>
      <c r="AD2784" t="s">
        <v>19566</v>
      </c>
      <c r="AE2784" t="s">
        <v>9144</v>
      </c>
      <c r="AF2784">
        <v>0</v>
      </c>
      <c r="AG2784">
        <v>1</v>
      </c>
      <c r="AH2784">
        <v>0</v>
      </c>
      <c r="AI2784">
        <v>93.19</v>
      </c>
      <c r="AL2784" t="s">
        <v>19614</v>
      </c>
      <c r="AM2784">
        <v>11640</v>
      </c>
      <c r="AN2784" t="s">
        <v>19904</v>
      </c>
      <c r="AS2784">
        <v>0</v>
      </c>
      <c r="AU2784" t="s">
        <v>79</v>
      </c>
      <c r="AV2784" t="s">
        <v>20733</v>
      </c>
    </row>
    <row r="2785" spans="1:48">
      <c r="A2785" s="1">
        <f>HYPERLINK("https://lsnyc.legalserver.org/matter/dynamic-profile/view/1907453","19-1907453")</f>
        <v>0</v>
      </c>
      <c r="B2785" t="s">
        <v>171</v>
      </c>
      <c r="C2785" t="s">
        <v>256</v>
      </c>
      <c r="D2785" t="s">
        <v>275</v>
      </c>
      <c r="F2785" t="s">
        <v>2068</v>
      </c>
      <c r="G2785" t="s">
        <v>4558</v>
      </c>
      <c r="H2785" t="s">
        <v>7089</v>
      </c>
      <c r="I2785" t="s">
        <v>8120</v>
      </c>
      <c r="J2785" t="s">
        <v>9070</v>
      </c>
      <c r="K2785">
        <v>11421</v>
      </c>
      <c r="L2785" t="s">
        <v>9094</v>
      </c>
      <c r="M2785" t="s">
        <v>9095</v>
      </c>
      <c r="N2785" t="s">
        <v>10196</v>
      </c>
      <c r="O2785" t="s">
        <v>11128</v>
      </c>
      <c r="P2785" t="s">
        <v>11165</v>
      </c>
      <c r="R2785" t="s">
        <v>11180</v>
      </c>
      <c r="S2785" t="s">
        <v>9096</v>
      </c>
      <c r="T2785" t="s">
        <v>11183</v>
      </c>
      <c r="U2785" t="s">
        <v>11200</v>
      </c>
      <c r="V2785" t="s">
        <v>275</v>
      </c>
      <c r="W2785">
        <v>1800</v>
      </c>
      <c r="X2785" t="s">
        <v>11331</v>
      </c>
      <c r="Y2785" t="s">
        <v>11336</v>
      </c>
      <c r="Z2785" t="s">
        <v>13258</v>
      </c>
      <c r="AB2785" t="s">
        <v>17609</v>
      </c>
      <c r="AC2785">
        <v>2</v>
      </c>
      <c r="AD2785" t="s">
        <v>15441</v>
      </c>
      <c r="AE2785" t="s">
        <v>9144</v>
      </c>
      <c r="AF2785">
        <v>8</v>
      </c>
      <c r="AG2785">
        <v>1</v>
      </c>
      <c r="AH2785">
        <v>3</v>
      </c>
      <c r="AI2785">
        <v>93.2</v>
      </c>
      <c r="AL2785" t="s">
        <v>19614</v>
      </c>
      <c r="AM2785">
        <v>24000</v>
      </c>
      <c r="AO2785" t="s">
        <v>20293</v>
      </c>
      <c r="AP2785" t="s">
        <v>11157</v>
      </c>
      <c r="AQ2785" t="s">
        <v>20368</v>
      </c>
      <c r="AR2785" t="s">
        <v>20393</v>
      </c>
      <c r="AS2785">
        <v>29.25</v>
      </c>
      <c r="AT2785" t="s">
        <v>336</v>
      </c>
      <c r="AU2785" t="s">
        <v>20620</v>
      </c>
      <c r="AV2785" t="s">
        <v>20733</v>
      </c>
    </row>
    <row r="2786" spans="1:48">
      <c r="A2786" s="1">
        <f>HYPERLINK("https://lsnyc.legalserver.org/matter/dynamic-profile/view/1914416","19-1914416")</f>
        <v>0</v>
      </c>
      <c r="B2786" t="s">
        <v>62</v>
      </c>
      <c r="C2786" t="s">
        <v>256</v>
      </c>
      <c r="D2786" t="s">
        <v>703</v>
      </c>
      <c r="F2786" t="s">
        <v>2340</v>
      </c>
      <c r="G2786" t="s">
        <v>4559</v>
      </c>
      <c r="H2786" t="s">
        <v>7090</v>
      </c>
      <c r="I2786" t="s">
        <v>8114</v>
      </c>
      <c r="J2786" t="s">
        <v>9058</v>
      </c>
      <c r="K2786">
        <v>11356</v>
      </c>
      <c r="L2786" t="s">
        <v>9094</v>
      </c>
      <c r="M2786" t="s">
        <v>9095</v>
      </c>
      <c r="N2786" t="s">
        <v>10197</v>
      </c>
      <c r="O2786" t="s">
        <v>11128</v>
      </c>
      <c r="P2786" t="s">
        <v>11164</v>
      </c>
      <c r="R2786" t="s">
        <v>11180</v>
      </c>
      <c r="T2786" t="s">
        <v>11183</v>
      </c>
      <c r="U2786" t="s">
        <v>11200</v>
      </c>
      <c r="W2786">
        <v>1800</v>
      </c>
      <c r="X2786" t="s">
        <v>11331</v>
      </c>
      <c r="Y2786" t="s">
        <v>11336</v>
      </c>
      <c r="Z2786" t="s">
        <v>13259</v>
      </c>
      <c r="AB2786" t="s">
        <v>17610</v>
      </c>
      <c r="AC2786">
        <v>2</v>
      </c>
      <c r="AD2786" t="s">
        <v>19565</v>
      </c>
      <c r="AE2786" t="s">
        <v>9144</v>
      </c>
      <c r="AF2786">
        <v>3</v>
      </c>
      <c r="AG2786">
        <v>2</v>
      </c>
      <c r="AH2786">
        <v>2</v>
      </c>
      <c r="AI2786">
        <v>93.2</v>
      </c>
      <c r="AL2786" t="s">
        <v>19614</v>
      </c>
      <c r="AM2786">
        <v>24000</v>
      </c>
      <c r="AS2786">
        <v>2.25</v>
      </c>
      <c r="AT2786" t="s">
        <v>1135</v>
      </c>
      <c r="AU2786" t="s">
        <v>153</v>
      </c>
    </row>
    <row r="2787" spans="1:48">
      <c r="A2787" s="1">
        <f>HYPERLINK("https://lsnyc.legalserver.org/matter/dynamic-profile/view/1905425","19-1905425")</f>
        <v>0</v>
      </c>
      <c r="B2787" t="s">
        <v>126</v>
      </c>
      <c r="C2787" t="s">
        <v>256</v>
      </c>
      <c r="D2787" t="s">
        <v>333</v>
      </c>
      <c r="F2787" t="s">
        <v>1200</v>
      </c>
      <c r="G2787" t="s">
        <v>3339</v>
      </c>
      <c r="H2787" t="s">
        <v>7091</v>
      </c>
      <c r="J2787" t="s">
        <v>9066</v>
      </c>
      <c r="K2787">
        <v>10306</v>
      </c>
      <c r="L2787" t="s">
        <v>9095</v>
      </c>
      <c r="M2787" t="s">
        <v>9095</v>
      </c>
      <c r="N2787" t="s">
        <v>10198</v>
      </c>
      <c r="O2787" t="s">
        <v>11128</v>
      </c>
      <c r="R2787" t="s">
        <v>11180</v>
      </c>
      <c r="S2787" t="s">
        <v>9096</v>
      </c>
      <c r="T2787" t="s">
        <v>11183</v>
      </c>
      <c r="U2787" t="s">
        <v>11201</v>
      </c>
      <c r="W2787">
        <v>1775</v>
      </c>
      <c r="X2787" t="s">
        <v>11334</v>
      </c>
      <c r="Y2787" t="s">
        <v>11345</v>
      </c>
      <c r="Z2787" t="s">
        <v>13260</v>
      </c>
      <c r="AB2787" t="s">
        <v>17611</v>
      </c>
      <c r="AC2787">
        <v>0</v>
      </c>
      <c r="AD2787" t="s">
        <v>19565</v>
      </c>
      <c r="AE2787" t="s">
        <v>9144</v>
      </c>
      <c r="AF2787">
        <v>0</v>
      </c>
      <c r="AG2787">
        <v>1</v>
      </c>
      <c r="AH2787">
        <v>3</v>
      </c>
      <c r="AI2787">
        <v>93.2</v>
      </c>
      <c r="AL2787" t="s">
        <v>19614</v>
      </c>
      <c r="AM2787">
        <v>24000</v>
      </c>
      <c r="AS2787">
        <v>14.95</v>
      </c>
      <c r="AT2787" t="s">
        <v>556</v>
      </c>
      <c r="AU2787" t="s">
        <v>20653</v>
      </c>
    </row>
    <row r="2788" spans="1:48">
      <c r="A2788" s="1">
        <f>HYPERLINK("https://lsnyc.legalserver.org/matter/dynamic-profile/view/1909614","19-1909614")</f>
        <v>0</v>
      </c>
      <c r="B2788" t="s">
        <v>137</v>
      </c>
      <c r="C2788" t="s">
        <v>256</v>
      </c>
      <c r="D2788" t="s">
        <v>444</v>
      </c>
      <c r="F2788" t="s">
        <v>2341</v>
      </c>
      <c r="G2788" t="s">
        <v>4560</v>
      </c>
      <c r="H2788" t="s">
        <v>7092</v>
      </c>
      <c r="J2788" t="s">
        <v>9067</v>
      </c>
      <c r="K2788">
        <v>10033</v>
      </c>
      <c r="L2788" t="s">
        <v>9094</v>
      </c>
      <c r="M2788" t="s">
        <v>9095</v>
      </c>
      <c r="P2788" t="s">
        <v>11169</v>
      </c>
      <c r="R2788" t="s">
        <v>11180</v>
      </c>
      <c r="S2788" t="s">
        <v>9096</v>
      </c>
      <c r="T2788" t="s">
        <v>11183</v>
      </c>
      <c r="V2788" t="s">
        <v>444</v>
      </c>
      <c r="W2788">
        <v>370</v>
      </c>
      <c r="X2788" t="s">
        <v>11335</v>
      </c>
      <c r="Y2788" t="s">
        <v>11338</v>
      </c>
      <c r="Z2788" t="s">
        <v>13261</v>
      </c>
      <c r="AB2788" t="s">
        <v>17612</v>
      </c>
      <c r="AC2788">
        <v>43</v>
      </c>
      <c r="AD2788" t="s">
        <v>19569</v>
      </c>
      <c r="AE2788" t="s">
        <v>9144</v>
      </c>
      <c r="AF2788">
        <v>30</v>
      </c>
      <c r="AG2788">
        <v>4</v>
      </c>
      <c r="AH2788">
        <v>0</v>
      </c>
      <c r="AI2788">
        <v>93.2</v>
      </c>
      <c r="AL2788" t="s">
        <v>19615</v>
      </c>
      <c r="AM2788">
        <v>23998</v>
      </c>
      <c r="AS2788">
        <v>0</v>
      </c>
      <c r="AU2788" t="s">
        <v>130</v>
      </c>
      <c r="AV2788" t="s">
        <v>20733</v>
      </c>
    </row>
    <row r="2789" spans="1:48">
      <c r="A2789" s="1">
        <f>HYPERLINK("https://lsnyc.legalserver.org/matter/dynamic-profile/view/1864507","18-1864507")</f>
        <v>0</v>
      </c>
      <c r="B2789" t="s">
        <v>136</v>
      </c>
      <c r="C2789" t="s">
        <v>256</v>
      </c>
      <c r="D2789" t="s">
        <v>552</v>
      </c>
      <c r="F2789" t="s">
        <v>2342</v>
      </c>
      <c r="G2789" t="s">
        <v>4561</v>
      </c>
      <c r="H2789" t="s">
        <v>5961</v>
      </c>
      <c r="I2789">
        <v>415</v>
      </c>
      <c r="J2789" t="s">
        <v>9067</v>
      </c>
      <c r="K2789">
        <v>10029</v>
      </c>
      <c r="L2789" t="s">
        <v>9094</v>
      </c>
      <c r="M2789" t="s">
        <v>9094</v>
      </c>
      <c r="N2789" t="s">
        <v>9287</v>
      </c>
      <c r="O2789" t="s">
        <v>11130</v>
      </c>
      <c r="P2789" t="s">
        <v>11165</v>
      </c>
      <c r="R2789" t="s">
        <v>11180</v>
      </c>
      <c r="S2789" t="s">
        <v>9094</v>
      </c>
      <c r="T2789" t="s">
        <v>11183</v>
      </c>
      <c r="U2789" t="s">
        <v>11201</v>
      </c>
      <c r="V2789" t="s">
        <v>552</v>
      </c>
      <c r="W2789">
        <v>0</v>
      </c>
      <c r="X2789" t="s">
        <v>11335</v>
      </c>
      <c r="Y2789" t="s">
        <v>11339</v>
      </c>
      <c r="Z2789" t="s">
        <v>13262</v>
      </c>
      <c r="AC2789">
        <v>108</v>
      </c>
      <c r="AD2789" t="s">
        <v>19567</v>
      </c>
      <c r="AE2789" t="s">
        <v>19580</v>
      </c>
      <c r="AF2789">
        <v>2</v>
      </c>
      <c r="AG2789">
        <v>1</v>
      </c>
      <c r="AH2789">
        <v>1</v>
      </c>
      <c r="AI2789">
        <v>93.2</v>
      </c>
      <c r="AL2789" t="s">
        <v>19614</v>
      </c>
      <c r="AM2789">
        <v>15340</v>
      </c>
      <c r="AS2789">
        <v>0.5</v>
      </c>
      <c r="AT2789" t="s">
        <v>289</v>
      </c>
      <c r="AU2789" t="s">
        <v>20657</v>
      </c>
    </row>
    <row r="2790" spans="1:48">
      <c r="A2790" s="1">
        <f>HYPERLINK("https://lsnyc.legalserver.org/matter/dynamic-profile/view/1876957","18-1876957")</f>
        <v>0</v>
      </c>
      <c r="B2790" t="s">
        <v>114</v>
      </c>
      <c r="C2790" t="s">
        <v>256</v>
      </c>
      <c r="D2790" t="s">
        <v>803</v>
      </c>
      <c r="F2790" t="s">
        <v>1928</v>
      </c>
      <c r="G2790" t="s">
        <v>3677</v>
      </c>
      <c r="H2790" t="s">
        <v>7093</v>
      </c>
      <c r="I2790" t="s">
        <v>8149</v>
      </c>
      <c r="J2790" t="s">
        <v>9065</v>
      </c>
      <c r="K2790">
        <v>10459</v>
      </c>
      <c r="L2790" t="s">
        <v>9094</v>
      </c>
      <c r="M2790" t="s">
        <v>9094</v>
      </c>
      <c r="N2790" t="s">
        <v>10199</v>
      </c>
      <c r="O2790" t="s">
        <v>11129</v>
      </c>
      <c r="P2790" t="s">
        <v>11165</v>
      </c>
      <c r="R2790" t="s">
        <v>11180</v>
      </c>
      <c r="S2790" t="s">
        <v>9096</v>
      </c>
      <c r="T2790" t="s">
        <v>11183</v>
      </c>
      <c r="V2790" t="s">
        <v>906</v>
      </c>
      <c r="W2790">
        <v>890</v>
      </c>
      <c r="X2790" t="s">
        <v>11333</v>
      </c>
      <c r="Y2790" t="s">
        <v>11345</v>
      </c>
      <c r="Z2790" t="s">
        <v>13263</v>
      </c>
      <c r="AB2790" t="s">
        <v>17613</v>
      </c>
      <c r="AC2790">
        <v>56</v>
      </c>
      <c r="AD2790" t="s">
        <v>19566</v>
      </c>
      <c r="AE2790" t="s">
        <v>19586</v>
      </c>
      <c r="AF2790">
        <v>1</v>
      </c>
      <c r="AG2790">
        <v>2</v>
      </c>
      <c r="AH2790">
        <v>2</v>
      </c>
      <c r="AI2790">
        <v>93.23</v>
      </c>
      <c r="AL2790" t="s">
        <v>19614</v>
      </c>
      <c r="AM2790">
        <v>23400</v>
      </c>
      <c r="AS2790">
        <v>33.5</v>
      </c>
      <c r="AT2790" t="s">
        <v>1135</v>
      </c>
      <c r="AU2790" t="s">
        <v>163</v>
      </c>
    </row>
    <row r="2791" spans="1:48">
      <c r="A2791" s="1">
        <f>HYPERLINK("https://lsnyc.legalserver.org/matter/dynamic-profile/view/1898128","19-1898128")</f>
        <v>0</v>
      </c>
      <c r="B2791" t="s">
        <v>174</v>
      </c>
      <c r="C2791" t="s">
        <v>256</v>
      </c>
      <c r="D2791" t="s">
        <v>470</v>
      </c>
      <c r="F2791" t="s">
        <v>2343</v>
      </c>
      <c r="G2791" t="s">
        <v>4562</v>
      </c>
      <c r="H2791" t="s">
        <v>7094</v>
      </c>
      <c r="I2791" t="s">
        <v>8192</v>
      </c>
      <c r="J2791" t="s">
        <v>9065</v>
      </c>
      <c r="K2791">
        <v>10467</v>
      </c>
      <c r="L2791" t="s">
        <v>9094</v>
      </c>
      <c r="M2791" t="s">
        <v>9094</v>
      </c>
      <c r="O2791" t="s">
        <v>11129</v>
      </c>
      <c r="P2791" t="s">
        <v>11167</v>
      </c>
      <c r="R2791" t="s">
        <v>11180</v>
      </c>
      <c r="S2791" t="s">
        <v>9096</v>
      </c>
      <c r="T2791" t="s">
        <v>11183</v>
      </c>
      <c r="V2791" t="s">
        <v>470</v>
      </c>
      <c r="W2791">
        <v>914</v>
      </c>
      <c r="X2791" t="s">
        <v>11333</v>
      </c>
      <c r="Y2791" t="s">
        <v>11346</v>
      </c>
      <c r="Z2791" t="s">
        <v>13264</v>
      </c>
      <c r="AB2791" t="s">
        <v>17614</v>
      </c>
      <c r="AC2791">
        <v>49</v>
      </c>
      <c r="AD2791" t="s">
        <v>19566</v>
      </c>
      <c r="AE2791" t="s">
        <v>11157</v>
      </c>
      <c r="AF2791">
        <v>7</v>
      </c>
      <c r="AG2791">
        <v>4</v>
      </c>
      <c r="AH2791">
        <v>3</v>
      </c>
      <c r="AI2791">
        <v>93.31</v>
      </c>
      <c r="AL2791" t="s">
        <v>19614</v>
      </c>
      <c r="AM2791">
        <v>36400</v>
      </c>
      <c r="AS2791">
        <v>2.7</v>
      </c>
      <c r="AT2791" t="s">
        <v>486</v>
      </c>
      <c r="AU2791" t="s">
        <v>174</v>
      </c>
      <c r="AV2791" t="s">
        <v>20733</v>
      </c>
    </row>
    <row r="2792" spans="1:48">
      <c r="A2792" s="1">
        <f>HYPERLINK("https://lsnyc.legalserver.org/matter/dynamic-profile/view/1871747","18-1871747")</f>
        <v>0</v>
      </c>
      <c r="B2792" t="s">
        <v>78</v>
      </c>
      <c r="C2792" t="s">
        <v>256</v>
      </c>
      <c r="D2792" t="s">
        <v>686</v>
      </c>
      <c r="F2792" t="s">
        <v>2028</v>
      </c>
      <c r="G2792" t="s">
        <v>4522</v>
      </c>
      <c r="H2792" t="s">
        <v>6453</v>
      </c>
      <c r="I2792" t="s">
        <v>8212</v>
      </c>
      <c r="J2792" t="s">
        <v>9059</v>
      </c>
      <c r="K2792">
        <v>11206</v>
      </c>
      <c r="L2792" t="s">
        <v>9094</v>
      </c>
      <c r="M2792" t="s">
        <v>9096</v>
      </c>
      <c r="N2792" t="s">
        <v>9972</v>
      </c>
      <c r="O2792" t="s">
        <v>11134</v>
      </c>
      <c r="P2792" t="s">
        <v>11168</v>
      </c>
      <c r="R2792" t="s">
        <v>11180</v>
      </c>
      <c r="S2792" t="s">
        <v>9094</v>
      </c>
      <c r="T2792" t="s">
        <v>11183</v>
      </c>
      <c r="U2792" t="s">
        <v>11201</v>
      </c>
      <c r="V2792" t="s">
        <v>11215</v>
      </c>
      <c r="W2792">
        <v>678</v>
      </c>
      <c r="X2792" t="s">
        <v>11332</v>
      </c>
      <c r="Y2792" t="s">
        <v>11157</v>
      </c>
      <c r="Z2792" t="s">
        <v>13265</v>
      </c>
      <c r="AB2792" t="s">
        <v>17615</v>
      </c>
      <c r="AC2792">
        <v>25</v>
      </c>
      <c r="AD2792" t="s">
        <v>19566</v>
      </c>
      <c r="AE2792" t="s">
        <v>9144</v>
      </c>
      <c r="AF2792">
        <v>23</v>
      </c>
      <c r="AG2792">
        <v>1</v>
      </c>
      <c r="AH2792">
        <v>1</v>
      </c>
      <c r="AI2792">
        <v>93.45999999999999</v>
      </c>
      <c r="AL2792" t="s">
        <v>19614</v>
      </c>
      <c r="AM2792">
        <v>15384</v>
      </c>
      <c r="AN2792" t="s">
        <v>19905</v>
      </c>
      <c r="AS2792">
        <v>1</v>
      </c>
      <c r="AT2792" t="s">
        <v>719</v>
      </c>
      <c r="AU2792" t="s">
        <v>20637</v>
      </c>
    </row>
    <row r="2793" spans="1:48">
      <c r="A2793" s="1">
        <f>HYPERLINK("https://lsnyc.legalserver.org/matter/dynamic-profile/view/1857530","18-1857530")</f>
        <v>0</v>
      </c>
      <c r="B2793" t="s">
        <v>78</v>
      </c>
      <c r="C2793" t="s">
        <v>256</v>
      </c>
      <c r="D2793" t="s">
        <v>468</v>
      </c>
      <c r="F2793" t="s">
        <v>2028</v>
      </c>
      <c r="G2793" t="s">
        <v>4522</v>
      </c>
      <c r="H2793" t="s">
        <v>6453</v>
      </c>
      <c r="I2793" t="s">
        <v>8212</v>
      </c>
      <c r="J2793" t="s">
        <v>9059</v>
      </c>
      <c r="K2793">
        <v>11206</v>
      </c>
      <c r="L2793" t="s">
        <v>9094</v>
      </c>
      <c r="M2793" t="s">
        <v>9094</v>
      </c>
      <c r="O2793" t="s">
        <v>11130</v>
      </c>
      <c r="P2793" t="s">
        <v>11165</v>
      </c>
      <c r="R2793" t="s">
        <v>11180</v>
      </c>
      <c r="S2793" t="s">
        <v>9094</v>
      </c>
      <c r="T2793" t="s">
        <v>11183</v>
      </c>
      <c r="V2793" t="s">
        <v>1065</v>
      </c>
      <c r="W2793">
        <v>678</v>
      </c>
      <c r="X2793" t="s">
        <v>11332</v>
      </c>
      <c r="Y2793" t="s">
        <v>11157</v>
      </c>
      <c r="Z2793" t="s">
        <v>13265</v>
      </c>
      <c r="AB2793" t="s">
        <v>17615</v>
      </c>
      <c r="AC2793">
        <v>25</v>
      </c>
      <c r="AD2793" t="s">
        <v>19566</v>
      </c>
      <c r="AF2793">
        <v>23</v>
      </c>
      <c r="AG2793">
        <v>1</v>
      </c>
      <c r="AH2793">
        <v>1</v>
      </c>
      <c r="AI2793">
        <v>93.45999999999999</v>
      </c>
      <c r="AL2793" t="s">
        <v>19614</v>
      </c>
      <c r="AM2793">
        <v>15384</v>
      </c>
      <c r="AN2793" t="s">
        <v>19906</v>
      </c>
      <c r="AS2793">
        <v>0</v>
      </c>
      <c r="AU2793" t="s">
        <v>95</v>
      </c>
    </row>
    <row r="2794" spans="1:48">
      <c r="A2794" s="1">
        <f>HYPERLINK("https://lsnyc.legalserver.org/matter/dynamic-profile/view/1898442","19-1898442")</f>
        <v>0</v>
      </c>
      <c r="B2794" t="s">
        <v>137</v>
      </c>
      <c r="C2794" t="s">
        <v>256</v>
      </c>
      <c r="D2794" t="s">
        <v>299</v>
      </c>
      <c r="F2794" t="s">
        <v>1227</v>
      </c>
      <c r="G2794" t="s">
        <v>4563</v>
      </c>
      <c r="H2794" t="s">
        <v>7095</v>
      </c>
      <c r="I2794" t="s">
        <v>8245</v>
      </c>
      <c r="J2794" t="s">
        <v>9067</v>
      </c>
      <c r="K2794">
        <v>10040</v>
      </c>
      <c r="L2794" t="s">
        <v>9094</v>
      </c>
      <c r="M2794" t="s">
        <v>9094</v>
      </c>
      <c r="P2794" t="s">
        <v>11164</v>
      </c>
      <c r="R2794" t="s">
        <v>11180</v>
      </c>
      <c r="S2794" t="s">
        <v>9096</v>
      </c>
      <c r="T2794" t="s">
        <v>11183</v>
      </c>
      <c r="V2794" t="s">
        <v>299</v>
      </c>
      <c r="W2794">
        <v>1153.74</v>
      </c>
      <c r="X2794" t="s">
        <v>11335</v>
      </c>
      <c r="Y2794" t="s">
        <v>11338</v>
      </c>
      <c r="Z2794" t="s">
        <v>13266</v>
      </c>
      <c r="AB2794" t="s">
        <v>17616</v>
      </c>
      <c r="AC2794">
        <v>112</v>
      </c>
      <c r="AD2794" t="s">
        <v>19566</v>
      </c>
      <c r="AE2794" t="s">
        <v>9144</v>
      </c>
      <c r="AF2794">
        <v>43</v>
      </c>
      <c r="AG2794">
        <v>1</v>
      </c>
      <c r="AH2794">
        <v>0</v>
      </c>
      <c r="AI2794">
        <v>93.48</v>
      </c>
      <c r="AL2794" t="s">
        <v>19614</v>
      </c>
      <c r="AM2794">
        <v>11676</v>
      </c>
      <c r="AS2794">
        <v>5</v>
      </c>
      <c r="AT2794" t="s">
        <v>453</v>
      </c>
      <c r="AU2794" t="s">
        <v>130</v>
      </c>
      <c r="AV2794" t="s">
        <v>20733</v>
      </c>
    </row>
    <row r="2795" spans="1:48">
      <c r="A2795" s="1">
        <f>HYPERLINK("https://lsnyc.legalserver.org/matter/dynamic-profile/view/0788972","15-0788972")</f>
        <v>0</v>
      </c>
      <c r="B2795" t="s">
        <v>119</v>
      </c>
      <c r="C2795" t="s">
        <v>256</v>
      </c>
      <c r="D2795" t="s">
        <v>580</v>
      </c>
      <c r="F2795" t="s">
        <v>2335</v>
      </c>
      <c r="G2795" t="s">
        <v>3220</v>
      </c>
      <c r="H2795" t="s">
        <v>5897</v>
      </c>
      <c r="J2795" t="s">
        <v>9065</v>
      </c>
      <c r="K2795">
        <v>10452</v>
      </c>
      <c r="L2795" t="s">
        <v>9094</v>
      </c>
      <c r="M2795" t="s">
        <v>9095</v>
      </c>
      <c r="N2795" t="s">
        <v>9250</v>
      </c>
      <c r="O2795" t="s">
        <v>11147</v>
      </c>
      <c r="P2795" t="s">
        <v>11165</v>
      </c>
      <c r="R2795" t="s">
        <v>11180</v>
      </c>
      <c r="S2795" t="s">
        <v>9094</v>
      </c>
      <c r="T2795" t="s">
        <v>11183</v>
      </c>
      <c r="V2795" t="s">
        <v>580</v>
      </c>
      <c r="W2795">
        <v>700.84</v>
      </c>
      <c r="X2795" t="s">
        <v>11333</v>
      </c>
      <c r="Y2795" t="s">
        <v>11347</v>
      </c>
      <c r="Z2795" t="s">
        <v>13249</v>
      </c>
      <c r="AB2795" t="s">
        <v>17601</v>
      </c>
      <c r="AC2795">
        <v>0</v>
      </c>
      <c r="AD2795" t="s">
        <v>19566</v>
      </c>
      <c r="AF2795">
        <v>24</v>
      </c>
      <c r="AG2795">
        <v>1</v>
      </c>
      <c r="AH2795">
        <v>0</v>
      </c>
      <c r="AI2795">
        <v>93.48999999999999</v>
      </c>
      <c r="AL2795" t="s">
        <v>19614</v>
      </c>
      <c r="AM2795">
        <v>11004</v>
      </c>
      <c r="AS2795">
        <v>2.8</v>
      </c>
      <c r="AT2795" t="s">
        <v>306</v>
      </c>
      <c r="AU2795" t="s">
        <v>109</v>
      </c>
    </row>
    <row r="2796" spans="1:48">
      <c r="A2796" s="1">
        <f>HYPERLINK("https://lsnyc.legalserver.org/matter/dynamic-profile/view/1857367","18-1857367")</f>
        <v>0</v>
      </c>
      <c r="B2796" t="s">
        <v>108</v>
      </c>
      <c r="C2796" t="s">
        <v>256</v>
      </c>
      <c r="D2796" t="s">
        <v>467</v>
      </c>
      <c r="F2796" t="s">
        <v>2335</v>
      </c>
      <c r="G2796" t="s">
        <v>3220</v>
      </c>
      <c r="H2796" t="s">
        <v>5897</v>
      </c>
      <c r="J2796" t="s">
        <v>9065</v>
      </c>
      <c r="K2796">
        <v>10452</v>
      </c>
      <c r="L2796" t="s">
        <v>9094</v>
      </c>
      <c r="M2796" t="s">
        <v>9095</v>
      </c>
      <c r="N2796" t="s">
        <v>9253</v>
      </c>
      <c r="O2796" t="s">
        <v>11135</v>
      </c>
      <c r="P2796" t="s">
        <v>11168</v>
      </c>
      <c r="R2796" t="s">
        <v>11180</v>
      </c>
      <c r="S2796" t="s">
        <v>9094</v>
      </c>
      <c r="T2796" t="s">
        <v>11183</v>
      </c>
      <c r="V2796" t="s">
        <v>11233</v>
      </c>
      <c r="W2796">
        <v>700.84</v>
      </c>
      <c r="X2796" t="s">
        <v>11333</v>
      </c>
      <c r="Y2796" t="s">
        <v>11346</v>
      </c>
      <c r="Z2796" t="s">
        <v>13249</v>
      </c>
      <c r="AB2796" t="s">
        <v>17601</v>
      </c>
      <c r="AC2796">
        <v>122</v>
      </c>
      <c r="AD2796" t="s">
        <v>19566</v>
      </c>
      <c r="AE2796" t="s">
        <v>19587</v>
      </c>
      <c r="AF2796">
        <v>26</v>
      </c>
      <c r="AG2796">
        <v>1</v>
      </c>
      <c r="AH2796">
        <v>0</v>
      </c>
      <c r="AI2796">
        <v>93.53</v>
      </c>
      <c r="AL2796" t="s">
        <v>19614</v>
      </c>
      <c r="AM2796">
        <v>11280</v>
      </c>
      <c r="AS2796">
        <v>0</v>
      </c>
      <c r="AU2796" t="s">
        <v>20647</v>
      </c>
    </row>
    <row r="2797" spans="1:48">
      <c r="A2797" s="1">
        <f>HYPERLINK("https://lsnyc.legalserver.org/matter/dynamic-profile/view/0791421","15-0791421")</f>
        <v>0</v>
      </c>
      <c r="B2797" t="s">
        <v>225</v>
      </c>
      <c r="C2797" t="s">
        <v>256</v>
      </c>
      <c r="D2797" t="s">
        <v>967</v>
      </c>
      <c r="F2797" t="s">
        <v>2344</v>
      </c>
      <c r="G2797" t="s">
        <v>3588</v>
      </c>
      <c r="H2797" t="s">
        <v>7096</v>
      </c>
      <c r="I2797">
        <v>18</v>
      </c>
      <c r="J2797" t="s">
        <v>9065</v>
      </c>
      <c r="K2797">
        <v>10453</v>
      </c>
      <c r="L2797" t="s">
        <v>9094</v>
      </c>
      <c r="M2797" t="s">
        <v>9095</v>
      </c>
      <c r="O2797" t="s">
        <v>11137</v>
      </c>
      <c r="P2797" t="s">
        <v>11166</v>
      </c>
      <c r="R2797" t="s">
        <v>11180</v>
      </c>
      <c r="S2797" t="s">
        <v>9096</v>
      </c>
      <c r="T2797" t="s">
        <v>11183</v>
      </c>
      <c r="V2797" t="s">
        <v>1104</v>
      </c>
      <c r="W2797">
        <v>1126</v>
      </c>
      <c r="X2797" t="s">
        <v>11333</v>
      </c>
      <c r="Y2797" t="s">
        <v>11354</v>
      </c>
      <c r="Z2797" t="s">
        <v>13267</v>
      </c>
      <c r="AA2797">
        <v>10147704</v>
      </c>
      <c r="AB2797" t="s">
        <v>17617</v>
      </c>
      <c r="AC2797">
        <v>21</v>
      </c>
      <c r="AD2797" t="s">
        <v>19566</v>
      </c>
      <c r="AF2797">
        <v>6</v>
      </c>
      <c r="AG2797">
        <v>1</v>
      </c>
      <c r="AH2797">
        <v>0</v>
      </c>
      <c r="AI2797">
        <v>93.59</v>
      </c>
      <c r="AL2797" t="s">
        <v>19614</v>
      </c>
      <c r="AM2797">
        <v>11016</v>
      </c>
      <c r="AS2797">
        <v>20.2</v>
      </c>
      <c r="AT2797" t="s">
        <v>284</v>
      </c>
      <c r="AU2797" t="s">
        <v>20660</v>
      </c>
    </row>
    <row r="2798" spans="1:48">
      <c r="A2798" s="1">
        <f>HYPERLINK("https://lsnyc.legalserver.org/matter/dynamic-profile/view/0823487","16-0823487")</f>
        <v>0</v>
      </c>
      <c r="B2798" t="s">
        <v>148</v>
      </c>
      <c r="C2798" t="s">
        <v>256</v>
      </c>
      <c r="D2798" t="s">
        <v>965</v>
      </c>
      <c r="F2798" t="s">
        <v>1450</v>
      </c>
      <c r="G2798" t="s">
        <v>3364</v>
      </c>
      <c r="H2798" t="s">
        <v>7097</v>
      </c>
      <c r="I2798">
        <v>4</v>
      </c>
      <c r="J2798" t="s">
        <v>9067</v>
      </c>
      <c r="K2798">
        <v>10029</v>
      </c>
      <c r="L2798" t="s">
        <v>9094</v>
      </c>
      <c r="M2798" t="s">
        <v>9095</v>
      </c>
      <c r="O2798" t="s">
        <v>9121</v>
      </c>
      <c r="P2798" t="s">
        <v>11164</v>
      </c>
      <c r="R2798" t="s">
        <v>11180</v>
      </c>
      <c r="S2798" t="s">
        <v>9096</v>
      </c>
      <c r="T2798" t="s">
        <v>11183</v>
      </c>
      <c r="V2798" t="s">
        <v>11274</v>
      </c>
      <c r="W2798">
        <v>180.93</v>
      </c>
      <c r="X2798" t="s">
        <v>11335</v>
      </c>
      <c r="Y2798" t="s">
        <v>11348</v>
      </c>
      <c r="Z2798" t="s">
        <v>13268</v>
      </c>
      <c r="AB2798" t="s">
        <v>17618</v>
      </c>
      <c r="AC2798">
        <v>22</v>
      </c>
      <c r="AD2798" t="s">
        <v>19569</v>
      </c>
      <c r="AE2798" t="s">
        <v>9144</v>
      </c>
      <c r="AF2798">
        <v>35</v>
      </c>
      <c r="AG2798">
        <v>2</v>
      </c>
      <c r="AH2798">
        <v>0</v>
      </c>
      <c r="AI2798">
        <v>93.63</v>
      </c>
      <c r="AL2798" t="s">
        <v>19614</v>
      </c>
      <c r="AM2798">
        <v>15000</v>
      </c>
      <c r="AS2798">
        <v>14.35</v>
      </c>
      <c r="AT2798" t="s">
        <v>872</v>
      </c>
      <c r="AU2798" t="s">
        <v>20619</v>
      </c>
    </row>
    <row r="2799" spans="1:48">
      <c r="A2799" s="1">
        <f>HYPERLINK("https://lsnyc.legalserver.org/matter/dynamic-profile/view/1907531","19-1907531")</f>
        <v>0</v>
      </c>
      <c r="B2799" t="s">
        <v>98</v>
      </c>
      <c r="C2799" t="s">
        <v>256</v>
      </c>
      <c r="D2799" t="s">
        <v>275</v>
      </c>
      <c r="F2799" t="s">
        <v>1604</v>
      </c>
      <c r="G2799" t="s">
        <v>4564</v>
      </c>
      <c r="H2799" t="s">
        <v>5851</v>
      </c>
      <c r="I2799" t="s">
        <v>8197</v>
      </c>
      <c r="J2799" t="s">
        <v>9065</v>
      </c>
      <c r="K2799">
        <v>10474</v>
      </c>
      <c r="L2799" t="s">
        <v>9095</v>
      </c>
      <c r="M2799" t="s">
        <v>9095</v>
      </c>
      <c r="N2799" t="s">
        <v>9218</v>
      </c>
      <c r="O2799" t="s">
        <v>11134</v>
      </c>
      <c r="P2799" t="s">
        <v>11168</v>
      </c>
      <c r="R2799" t="s">
        <v>11180</v>
      </c>
      <c r="T2799" t="s">
        <v>11183</v>
      </c>
      <c r="W2799">
        <v>0</v>
      </c>
      <c r="X2799" t="s">
        <v>11333</v>
      </c>
      <c r="Z2799" t="s">
        <v>13269</v>
      </c>
      <c r="AB2799" t="s">
        <v>17619</v>
      </c>
      <c r="AC2799">
        <v>0</v>
      </c>
      <c r="AF2799">
        <v>0</v>
      </c>
      <c r="AG2799">
        <v>1</v>
      </c>
      <c r="AH2799">
        <v>0</v>
      </c>
      <c r="AI2799">
        <v>93.67</v>
      </c>
      <c r="AL2799" t="s">
        <v>19614</v>
      </c>
      <c r="AM2799">
        <v>11700</v>
      </c>
      <c r="AS2799">
        <v>0</v>
      </c>
      <c r="AU2799" t="s">
        <v>98</v>
      </c>
    </row>
    <row r="2800" spans="1:48">
      <c r="A2800" s="1">
        <f>HYPERLINK("https://lsnyc.legalserver.org/matter/dynamic-profile/view/1907098","19-1907098")</f>
        <v>0</v>
      </c>
      <c r="B2800" t="s">
        <v>98</v>
      </c>
      <c r="C2800" t="s">
        <v>256</v>
      </c>
      <c r="D2800" t="s">
        <v>414</v>
      </c>
      <c r="F2800" t="s">
        <v>1604</v>
      </c>
      <c r="G2800" t="s">
        <v>4564</v>
      </c>
      <c r="H2800" t="s">
        <v>5851</v>
      </c>
      <c r="I2800" t="s">
        <v>8197</v>
      </c>
      <c r="J2800" t="s">
        <v>9065</v>
      </c>
      <c r="K2800">
        <v>10474</v>
      </c>
      <c r="L2800" t="s">
        <v>9094</v>
      </c>
      <c r="M2800" t="s">
        <v>9095</v>
      </c>
      <c r="N2800" t="s">
        <v>9536</v>
      </c>
      <c r="O2800" t="s">
        <v>11130</v>
      </c>
      <c r="P2800" t="s">
        <v>11165</v>
      </c>
      <c r="R2800" t="s">
        <v>11180</v>
      </c>
      <c r="S2800" t="s">
        <v>9094</v>
      </c>
      <c r="T2800" t="s">
        <v>11183</v>
      </c>
      <c r="W2800">
        <v>215</v>
      </c>
      <c r="X2800" t="s">
        <v>11333</v>
      </c>
      <c r="Y2800" t="s">
        <v>11346</v>
      </c>
      <c r="Z2800" t="s">
        <v>13269</v>
      </c>
      <c r="AB2800" t="s">
        <v>17619</v>
      </c>
      <c r="AC2800">
        <v>45</v>
      </c>
      <c r="AD2800" t="s">
        <v>19566</v>
      </c>
      <c r="AE2800" t="s">
        <v>19580</v>
      </c>
      <c r="AF2800">
        <v>20</v>
      </c>
      <c r="AG2800">
        <v>1</v>
      </c>
      <c r="AH2800">
        <v>0</v>
      </c>
      <c r="AI2800">
        <v>93.67</v>
      </c>
      <c r="AL2800" t="s">
        <v>19614</v>
      </c>
      <c r="AM2800">
        <v>11700</v>
      </c>
      <c r="AS2800">
        <v>0</v>
      </c>
      <c r="AU2800" t="s">
        <v>163</v>
      </c>
      <c r="AV2800" t="s">
        <v>20733</v>
      </c>
    </row>
    <row r="2801" spans="1:48">
      <c r="A2801" s="1">
        <f>HYPERLINK("https://lsnyc.legalserver.org/matter/dynamic-profile/view/1915284","19-1915284")</f>
        <v>0</v>
      </c>
      <c r="B2801" t="s">
        <v>142</v>
      </c>
      <c r="C2801" t="s">
        <v>256</v>
      </c>
      <c r="D2801" t="s">
        <v>321</v>
      </c>
      <c r="F2801" t="s">
        <v>2345</v>
      </c>
      <c r="G2801" t="s">
        <v>3861</v>
      </c>
      <c r="H2801" t="s">
        <v>6596</v>
      </c>
      <c r="I2801" t="s">
        <v>8169</v>
      </c>
      <c r="J2801" t="s">
        <v>9067</v>
      </c>
      <c r="K2801">
        <v>10035</v>
      </c>
      <c r="L2801" t="s">
        <v>9094</v>
      </c>
      <c r="M2801" t="s">
        <v>9095</v>
      </c>
      <c r="O2801" t="s">
        <v>11134</v>
      </c>
      <c r="P2801" t="s">
        <v>11165</v>
      </c>
      <c r="R2801" t="s">
        <v>11180</v>
      </c>
      <c r="S2801" t="s">
        <v>9094</v>
      </c>
      <c r="T2801" t="s">
        <v>11183</v>
      </c>
      <c r="U2801" t="s">
        <v>11201</v>
      </c>
      <c r="V2801" t="s">
        <v>321</v>
      </c>
      <c r="W2801">
        <v>258</v>
      </c>
      <c r="X2801" t="s">
        <v>11335</v>
      </c>
      <c r="Y2801" t="s">
        <v>11340</v>
      </c>
      <c r="Z2801" t="s">
        <v>13270</v>
      </c>
      <c r="AC2801">
        <v>60</v>
      </c>
      <c r="AD2801" t="s">
        <v>19566</v>
      </c>
      <c r="AE2801" t="s">
        <v>19589</v>
      </c>
      <c r="AF2801">
        <v>14</v>
      </c>
      <c r="AG2801">
        <v>1</v>
      </c>
      <c r="AH2801">
        <v>0</v>
      </c>
      <c r="AI2801">
        <v>93.67</v>
      </c>
      <c r="AL2801" t="s">
        <v>19614</v>
      </c>
      <c r="AM2801">
        <v>11700</v>
      </c>
      <c r="AS2801">
        <v>0</v>
      </c>
      <c r="AU2801" t="s">
        <v>20657</v>
      </c>
      <c r="AV2801" t="s">
        <v>20733</v>
      </c>
    </row>
    <row r="2802" spans="1:48">
      <c r="A2802" s="1">
        <f>HYPERLINK("https://lsnyc.legalserver.org/matter/dynamic-profile/view/1914816","19-1914816")</f>
        <v>0</v>
      </c>
      <c r="B2802" t="s">
        <v>142</v>
      </c>
      <c r="C2802" t="s">
        <v>256</v>
      </c>
      <c r="D2802" t="s">
        <v>331</v>
      </c>
      <c r="F2802" t="s">
        <v>2345</v>
      </c>
      <c r="G2802" t="s">
        <v>3861</v>
      </c>
      <c r="H2802" t="s">
        <v>6596</v>
      </c>
      <c r="I2802" t="s">
        <v>8169</v>
      </c>
      <c r="J2802" t="s">
        <v>9067</v>
      </c>
      <c r="K2802">
        <v>10035</v>
      </c>
      <c r="L2802" t="s">
        <v>9094</v>
      </c>
      <c r="M2802" t="s">
        <v>9095</v>
      </c>
      <c r="O2802" t="s">
        <v>11130</v>
      </c>
      <c r="P2802" t="s">
        <v>11165</v>
      </c>
      <c r="R2802" t="s">
        <v>11180</v>
      </c>
      <c r="S2802" t="s">
        <v>9094</v>
      </c>
      <c r="T2802" t="s">
        <v>11183</v>
      </c>
      <c r="U2802" t="s">
        <v>11201</v>
      </c>
      <c r="V2802" t="s">
        <v>632</v>
      </c>
      <c r="W2802">
        <v>258</v>
      </c>
      <c r="X2802" t="s">
        <v>11335</v>
      </c>
      <c r="Y2802" t="s">
        <v>11340</v>
      </c>
      <c r="Z2802" t="s">
        <v>13270</v>
      </c>
      <c r="AC2802">
        <v>60</v>
      </c>
      <c r="AD2802" t="s">
        <v>19566</v>
      </c>
      <c r="AE2802" t="s">
        <v>19589</v>
      </c>
      <c r="AF2802">
        <v>14</v>
      </c>
      <c r="AG2802">
        <v>1</v>
      </c>
      <c r="AH2802">
        <v>0</v>
      </c>
      <c r="AI2802">
        <v>93.67</v>
      </c>
      <c r="AL2802" t="s">
        <v>19614</v>
      </c>
      <c r="AM2802">
        <v>11700</v>
      </c>
      <c r="AS2802">
        <v>0</v>
      </c>
      <c r="AU2802" t="s">
        <v>20657</v>
      </c>
      <c r="AV2802" t="s">
        <v>20733</v>
      </c>
    </row>
    <row r="2803" spans="1:48">
      <c r="A2803" s="1">
        <f>HYPERLINK("https://lsnyc.legalserver.org/matter/dynamic-profile/view/1897584","19-1897584")</f>
        <v>0</v>
      </c>
      <c r="B2803" t="s">
        <v>142</v>
      </c>
      <c r="C2803" t="s">
        <v>256</v>
      </c>
      <c r="D2803" t="s">
        <v>617</v>
      </c>
      <c r="F2803" t="s">
        <v>2345</v>
      </c>
      <c r="G2803" t="s">
        <v>3861</v>
      </c>
      <c r="H2803" t="s">
        <v>6596</v>
      </c>
      <c r="I2803" t="s">
        <v>8169</v>
      </c>
      <c r="J2803" t="s">
        <v>9067</v>
      </c>
      <c r="K2803">
        <v>10035</v>
      </c>
      <c r="L2803" t="s">
        <v>9094</v>
      </c>
      <c r="M2803" t="s">
        <v>9094</v>
      </c>
      <c r="O2803" t="s">
        <v>9121</v>
      </c>
      <c r="P2803" t="s">
        <v>11167</v>
      </c>
      <c r="R2803" t="s">
        <v>11180</v>
      </c>
      <c r="S2803" t="s">
        <v>9094</v>
      </c>
      <c r="T2803" t="s">
        <v>11183</v>
      </c>
      <c r="U2803" t="s">
        <v>11201</v>
      </c>
      <c r="V2803" t="s">
        <v>317</v>
      </c>
      <c r="W2803">
        <v>258</v>
      </c>
      <c r="X2803" t="s">
        <v>11335</v>
      </c>
      <c r="Y2803" t="s">
        <v>11339</v>
      </c>
      <c r="Z2803" t="s">
        <v>13270</v>
      </c>
      <c r="AC2803">
        <v>60</v>
      </c>
      <c r="AD2803" t="s">
        <v>19566</v>
      </c>
      <c r="AE2803" t="s">
        <v>19589</v>
      </c>
      <c r="AF2803">
        <v>14</v>
      </c>
      <c r="AG2803">
        <v>1</v>
      </c>
      <c r="AH2803">
        <v>0</v>
      </c>
      <c r="AI2803">
        <v>93.67</v>
      </c>
      <c r="AL2803" t="s">
        <v>19614</v>
      </c>
      <c r="AM2803">
        <v>11700</v>
      </c>
      <c r="AN2803" t="s">
        <v>19728</v>
      </c>
      <c r="AS2803">
        <v>0</v>
      </c>
      <c r="AU2803" t="s">
        <v>20657</v>
      </c>
      <c r="AV2803" t="s">
        <v>20733</v>
      </c>
    </row>
    <row r="2804" spans="1:48">
      <c r="A2804" s="1">
        <f>HYPERLINK("https://lsnyc.legalserver.org/matter/dynamic-profile/view/1907462","19-1907462")</f>
        <v>0</v>
      </c>
      <c r="B2804" t="s">
        <v>50</v>
      </c>
      <c r="C2804" t="s">
        <v>256</v>
      </c>
      <c r="D2804" t="s">
        <v>275</v>
      </c>
      <c r="F2804" t="s">
        <v>2088</v>
      </c>
      <c r="G2804" t="s">
        <v>4038</v>
      </c>
      <c r="H2804" t="s">
        <v>7098</v>
      </c>
      <c r="J2804" t="s">
        <v>9069</v>
      </c>
      <c r="K2804">
        <v>11429</v>
      </c>
      <c r="L2804" t="s">
        <v>9094</v>
      </c>
      <c r="M2804" t="s">
        <v>9095</v>
      </c>
      <c r="N2804" t="s">
        <v>10200</v>
      </c>
      <c r="O2804" t="s">
        <v>11128</v>
      </c>
      <c r="P2804" t="s">
        <v>11164</v>
      </c>
      <c r="R2804" t="s">
        <v>11180</v>
      </c>
      <c r="S2804" t="s">
        <v>9096</v>
      </c>
      <c r="T2804" t="s">
        <v>11183</v>
      </c>
      <c r="U2804" t="s">
        <v>11200</v>
      </c>
      <c r="V2804" t="s">
        <v>275</v>
      </c>
      <c r="W2804">
        <v>450</v>
      </c>
      <c r="X2804" t="s">
        <v>11331</v>
      </c>
      <c r="Y2804" t="s">
        <v>11336</v>
      </c>
      <c r="Z2804" t="s">
        <v>13271</v>
      </c>
      <c r="AA2804" t="s">
        <v>15274</v>
      </c>
      <c r="AB2804" t="s">
        <v>15274</v>
      </c>
      <c r="AC2804">
        <v>2</v>
      </c>
      <c r="AD2804" t="s">
        <v>15441</v>
      </c>
      <c r="AE2804" t="s">
        <v>9144</v>
      </c>
      <c r="AF2804">
        <v>2</v>
      </c>
      <c r="AG2804">
        <v>1</v>
      </c>
      <c r="AH2804">
        <v>2</v>
      </c>
      <c r="AI2804">
        <v>93.76000000000001</v>
      </c>
      <c r="AL2804" t="s">
        <v>19614</v>
      </c>
      <c r="AM2804">
        <v>20000</v>
      </c>
      <c r="AS2804">
        <v>2.45</v>
      </c>
      <c r="AT2804" t="s">
        <v>326</v>
      </c>
      <c r="AU2804" t="s">
        <v>20620</v>
      </c>
      <c r="AV2804" t="s">
        <v>20733</v>
      </c>
    </row>
    <row r="2805" spans="1:48">
      <c r="A2805" s="1">
        <f>HYPERLINK("https://lsnyc.legalserver.org/matter/dynamic-profile/view/1900594","19-1900594")</f>
        <v>0</v>
      </c>
      <c r="B2805" t="s">
        <v>49</v>
      </c>
      <c r="C2805" t="s">
        <v>256</v>
      </c>
      <c r="D2805" t="s">
        <v>283</v>
      </c>
      <c r="F2805" t="s">
        <v>2346</v>
      </c>
      <c r="G2805" t="s">
        <v>4565</v>
      </c>
      <c r="H2805" t="s">
        <v>7099</v>
      </c>
      <c r="I2805" t="s">
        <v>8120</v>
      </c>
      <c r="J2805" t="s">
        <v>9088</v>
      </c>
      <c r="K2805">
        <v>11369</v>
      </c>
      <c r="L2805" t="s">
        <v>9094</v>
      </c>
      <c r="M2805" t="s">
        <v>9095</v>
      </c>
      <c r="N2805" t="s">
        <v>10201</v>
      </c>
      <c r="O2805" t="s">
        <v>11128</v>
      </c>
      <c r="P2805" t="s">
        <v>11165</v>
      </c>
      <c r="R2805" t="s">
        <v>11180</v>
      </c>
      <c r="S2805" t="s">
        <v>9096</v>
      </c>
      <c r="T2805" t="s">
        <v>11183</v>
      </c>
      <c r="U2805" t="s">
        <v>11201</v>
      </c>
      <c r="V2805" t="s">
        <v>298</v>
      </c>
      <c r="W2805">
        <v>1500</v>
      </c>
      <c r="X2805" t="s">
        <v>11331</v>
      </c>
      <c r="Y2805" t="s">
        <v>11336</v>
      </c>
      <c r="Z2805" t="s">
        <v>13272</v>
      </c>
      <c r="AB2805" t="s">
        <v>17620</v>
      </c>
      <c r="AC2805">
        <v>2</v>
      </c>
      <c r="AD2805" t="s">
        <v>19565</v>
      </c>
      <c r="AE2805" t="s">
        <v>9144</v>
      </c>
      <c r="AF2805">
        <v>22</v>
      </c>
      <c r="AG2805">
        <v>3</v>
      </c>
      <c r="AH2805">
        <v>0</v>
      </c>
      <c r="AI2805">
        <v>93.76000000000001</v>
      </c>
      <c r="AL2805" t="s">
        <v>19614</v>
      </c>
      <c r="AM2805">
        <v>20000</v>
      </c>
      <c r="AO2805" t="s">
        <v>20297</v>
      </c>
      <c r="AP2805" t="s">
        <v>11157</v>
      </c>
      <c r="AQ2805" t="s">
        <v>20368</v>
      </c>
      <c r="AR2805" t="s">
        <v>20433</v>
      </c>
      <c r="AS2805">
        <v>22.1</v>
      </c>
      <c r="AT2805" t="s">
        <v>294</v>
      </c>
      <c r="AU2805" t="s">
        <v>20620</v>
      </c>
      <c r="AV2805" t="s">
        <v>20733</v>
      </c>
    </row>
    <row r="2806" spans="1:48">
      <c r="A2806" s="1">
        <f>HYPERLINK("https://lsnyc.legalserver.org/matter/dynamic-profile/view/1906488","19-1906488")</f>
        <v>0</v>
      </c>
      <c r="B2806" t="s">
        <v>49</v>
      </c>
      <c r="C2806" t="s">
        <v>257</v>
      </c>
      <c r="D2806" t="s">
        <v>864</v>
      </c>
      <c r="E2806" t="s">
        <v>320</v>
      </c>
      <c r="F2806" t="s">
        <v>2347</v>
      </c>
      <c r="G2806" t="s">
        <v>4566</v>
      </c>
      <c r="H2806" t="s">
        <v>7100</v>
      </c>
      <c r="I2806" t="s">
        <v>8663</v>
      </c>
      <c r="J2806" t="s">
        <v>9055</v>
      </c>
      <c r="K2806">
        <v>11355</v>
      </c>
      <c r="L2806" t="s">
        <v>9094</v>
      </c>
      <c r="M2806" t="s">
        <v>9095</v>
      </c>
      <c r="N2806" t="s">
        <v>9171</v>
      </c>
      <c r="O2806" t="s">
        <v>9121</v>
      </c>
      <c r="P2806" t="s">
        <v>11167</v>
      </c>
      <c r="Q2806" t="s">
        <v>11173</v>
      </c>
      <c r="R2806" t="s">
        <v>11180</v>
      </c>
      <c r="S2806" t="s">
        <v>9096</v>
      </c>
      <c r="T2806" t="s">
        <v>11183</v>
      </c>
      <c r="U2806" t="s">
        <v>11201</v>
      </c>
      <c r="V2806" t="s">
        <v>864</v>
      </c>
      <c r="W2806">
        <v>1750</v>
      </c>
      <c r="X2806" t="s">
        <v>11331</v>
      </c>
      <c r="Y2806" t="s">
        <v>11351</v>
      </c>
      <c r="Z2806" t="s">
        <v>13273</v>
      </c>
      <c r="AA2806" t="s">
        <v>9144</v>
      </c>
      <c r="AB2806" t="s">
        <v>17621</v>
      </c>
      <c r="AC2806">
        <v>146</v>
      </c>
      <c r="AD2806" t="s">
        <v>19566</v>
      </c>
      <c r="AE2806" t="s">
        <v>9144</v>
      </c>
      <c r="AF2806">
        <v>4</v>
      </c>
      <c r="AG2806">
        <v>2</v>
      </c>
      <c r="AH2806">
        <v>1</v>
      </c>
      <c r="AI2806">
        <v>93.76000000000001</v>
      </c>
      <c r="AL2806" t="s">
        <v>19619</v>
      </c>
      <c r="AM2806">
        <v>20000</v>
      </c>
      <c r="AP2806" t="s">
        <v>11157</v>
      </c>
      <c r="AR2806" t="s">
        <v>20508</v>
      </c>
      <c r="AS2806">
        <v>3.85</v>
      </c>
      <c r="AT2806" t="s">
        <v>446</v>
      </c>
      <c r="AU2806" t="s">
        <v>61</v>
      </c>
      <c r="AV2806" t="s">
        <v>20733</v>
      </c>
    </row>
    <row r="2807" spans="1:48">
      <c r="A2807" s="1">
        <f>HYPERLINK("https://lsnyc.legalserver.org/matter/dynamic-profile/view/1897843","19-1897843")</f>
        <v>0</v>
      </c>
      <c r="B2807" t="s">
        <v>70</v>
      </c>
      <c r="C2807" t="s">
        <v>256</v>
      </c>
      <c r="D2807" t="s">
        <v>499</v>
      </c>
      <c r="F2807" t="s">
        <v>1698</v>
      </c>
      <c r="G2807" t="s">
        <v>3632</v>
      </c>
      <c r="H2807" t="s">
        <v>5748</v>
      </c>
      <c r="I2807" t="s">
        <v>8527</v>
      </c>
      <c r="J2807" t="s">
        <v>9059</v>
      </c>
      <c r="K2807">
        <v>11233</v>
      </c>
      <c r="L2807" t="s">
        <v>9094</v>
      </c>
      <c r="M2807" t="s">
        <v>9096</v>
      </c>
      <c r="N2807" t="s">
        <v>9145</v>
      </c>
      <c r="O2807" t="s">
        <v>11134</v>
      </c>
      <c r="P2807" t="s">
        <v>11168</v>
      </c>
      <c r="R2807" t="s">
        <v>11180</v>
      </c>
      <c r="S2807" t="s">
        <v>9094</v>
      </c>
      <c r="T2807" t="s">
        <v>11183</v>
      </c>
      <c r="U2807" t="s">
        <v>11201</v>
      </c>
      <c r="V2807" t="s">
        <v>482</v>
      </c>
      <c r="W2807">
        <v>1300</v>
      </c>
      <c r="X2807" t="s">
        <v>11332</v>
      </c>
      <c r="Y2807" t="s">
        <v>11157</v>
      </c>
      <c r="Z2807" t="s">
        <v>11995</v>
      </c>
      <c r="AC2807">
        <v>359</v>
      </c>
      <c r="AD2807" t="s">
        <v>19566</v>
      </c>
      <c r="AF2807">
        <v>3</v>
      </c>
      <c r="AG2807">
        <v>2</v>
      </c>
      <c r="AH2807">
        <v>1</v>
      </c>
      <c r="AI2807">
        <v>93.76000000000001</v>
      </c>
      <c r="AL2807" t="s">
        <v>19614</v>
      </c>
      <c r="AM2807">
        <v>20000</v>
      </c>
      <c r="AN2807" t="s">
        <v>19642</v>
      </c>
      <c r="AS2807">
        <v>0</v>
      </c>
      <c r="AU2807" t="s">
        <v>79</v>
      </c>
    </row>
    <row r="2808" spans="1:48">
      <c r="A2808" s="1">
        <f>HYPERLINK("https://lsnyc.legalserver.org/matter/dynamic-profile/view/1897985","19-1897985")</f>
        <v>0</v>
      </c>
      <c r="B2808" t="s">
        <v>70</v>
      </c>
      <c r="C2808" t="s">
        <v>256</v>
      </c>
      <c r="D2808" t="s">
        <v>598</v>
      </c>
      <c r="F2808" t="s">
        <v>1698</v>
      </c>
      <c r="G2808" t="s">
        <v>3632</v>
      </c>
      <c r="H2808" t="s">
        <v>5748</v>
      </c>
      <c r="I2808" t="s">
        <v>8527</v>
      </c>
      <c r="J2808" t="s">
        <v>9059</v>
      </c>
      <c r="K2808">
        <v>11233</v>
      </c>
      <c r="L2808" t="s">
        <v>9094</v>
      </c>
      <c r="M2808" t="s">
        <v>9096</v>
      </c>
      <c r="O2808" t="s">
        <v>11137</v>
      </c>
      <c r="P2808" t="s">
        <v>11167</v>
      </c>
      <c r="R2808" t="s">
        <v>11180</v>
      </c>
      <c r="S2808" t="s">
        <v>9094</v>
      </c>
      <c r="T2808" t="s">
        <v>11183</v>
      </c>
      <c r="U2808" t="s">
        <v>11201</v>
      </c>
      <c r="V2808" t="s">
        <v>749</v>
      </c>
      <c r="W2808">
        <v>1300</v>
      </c>
      <c r="X2808" t="s">
        <v>11332</v>
      </c>
      <c r="Y2808" t="s">
        <v>11157</v>
      </c>
      <c r="Z2808" t="s">
        <v>11995</v>
      </c>
      <c r="AC2808">
        <v>359</v>
      </c>
      <c r="AD2808" t="s">
        <v>19566</v>
      </c>
      <c r="AF2808">
        <v>3</v>
      </c>
      <c r="AG2808">
        <v>2</v>
      </c>
      <c r="AH2808">
        <v>1</v>
      </c>
      <c r="AI2808">
        <v>93.76000000000001</v>
      </c>
      <c r="AL2808" t="s">
        <v>19614</v>
      </c>
      <c r="AM2808">
        <v>20000</v>
      </c>
      <c r="AN2808" t="s">
        <v>19907</v>
      </c>
      <c r="AS2808">
        <v>0</v>
      </c>
      <c r="AU2808" t="s">
        <v>79</v>
      </c>
    </row>
    <row r="2809" spans="1:48">
      <c r="A2809" s="1">
        <f>HYPERLINK("https://lsnyc.legalserver.org/matter/dynamic-profile/view/1909273","19-1909273")</f>
        <v>0</v>
      </c>
      <c r="B2809" t="s">
        <v>84</v>
      </c>
      <c r="C2809" t="s">
        <v>256</v>
      </c>
      <c r="D2809" t="s">
        <v>297</v>
      </c>
      <c r="F2809" t="s">
        <v>1468</v>
      </c>
      <c r="G2809" t="s">
        <v>4567</v>
      </c>
      <c r="H2809" t="s">
        <v>7101</v>
      </c>
      <c r="J2809" t="s">
        <v>9059</v>
      </c>
      <c r="K2809">
        <v>11217</v>
      </c>
      <c r="L2809" t="s">
        <v>9094</v>
      </c>
      <c r="M2809" t="s">
        <v>9095</v>
      </c>
      <c r="O2809" t="s">
        <v>11137</v>
      </c>
      <c r="P2809" t="s">
        <v>11166</v>
      </c>
      <c r="R2809" t="s">
        <v>11180</v>
      </c>
      <c r="T2809" t="s">
        <v>11183</v>
      </c>
      <c r="V2809" t="s">
        <v>297</v>
      </c>
      <c r="W2809">
        <v>0</v>
      </c>
      <c r="X2809" t="s">
        <v>11332</v>
      </c>
      <c r="Z2809" t="s">
        <v>13274</v>
      </c>
      <c r="AB2809" t="s">
        <v>17622</v>
      </c>
      <c r="AC2809">
        <v>20</v>
      </c>
      <c r="AF2809">
        <v>0</v>
      </c>
      <c r="AG2809">
        <v>2</v>
      </c>
      <c r="AH2809">
        <v>1</v>
      </c>
      <c r="AI2809">
        <v>93.76000000000001</v>
      </c>
      <c r="AL2809" t="s">
        <v>19639</v>
      </c>
      <c r="AM2809">
        <v>20000</v>
      </c>
      <c r="AS2809">
        <v>2.1</v>
      </c>
      <c r="AT2809" t="s">
        <v>294</v>
      </c>
      <c r="AU2809" t="s">
        <v>215</v>
      </c>
      <c r="AV2809" t="s">
        <v>20733</v>
      </c>
    </row>
    <row r="2810" spans="1:48">
      <c r="A2810" s="1">
        <f>HYPERLINK("https://lsnyc.legalserver.org/matter/dynamic-profile/view/1907958","19-1907958")</f>
        <v>0</v>
      </c>
      <c r="B2810" t="s">
        <v>84</v>
      </c>
      <c r="C2810" t="s">
        <v>256</v>
      </c>
      <c r="D2810" t="s">
        <v>288</v>
      </c>
      <c r="F2810" t="s">
        <v>1468</v>
      </c>
      <c r="G2810" t="s">
        <v>4567</v>
      </c>
      <c r="H2810" t="s">
        <v>7101</v>
      </c>
      <c r="J2810" t="s">
        <v>9059</v>
      </c>
      <c r="K2810">
        <v>11217</v>
      </c>
      <c r="L2810" t="s">
        <v>9094</v>
      </c>
      <c r="M2810" t="s">
        <v>9095</v>
      </c>
      <c r="N2810" t="s">
        <v>10202</v>
      </c>
      <c r="O2810" t="s">
        <v>11129</v>
      </c>
      <c r="P2810" t="s">
        <v>11165</v>
      </c>
      <c r="R2810" t="s">
        <v>11180</v>
      </c>
      <c r="S2810" t="s">
        <v>9096</v>
      </c>
      <c r="T2810" t="s">
        <v>11183</v>
      </c>
      <c r="V2810" t="s">
        <v>288</v>
      </c>
      <c r="W2810">
        <v>1739.1</v>
      </c>
      <c r="X2810" t="s">
        <v>11332</v>
      </c>
      <c r="Y2810" t="s">
        <v>11340</v>
      </c>
      <c r="Z2810" t="s">
        <v>13274</v>
      </c>
      <c r="AB2810" t="s">
        <v>17622</v>
      </c>
      <c r="AC2810">
        <v>20</v>
      </c>
      <c r="AD2810" t="s">
        <v>19566</v>
      </c>
      <c r="AE2810" t="s">
        <v>9144</v>
      </c>
      <c r="AF2810">
        <v>22</v>
      </c>
      <c r="AG2810">
        <v>3</v>
      </c>
      <c r="AH2810">
        <v>0</v>
      </c>
      <c r="AI2810">
        <v>93.76000000000001</v>
      </c>
      <c r="AL2810" t="s">
        <v>19639</v>
      </c>
      <c r="AM2810">
        <v>20000</v>
      </c>
      <c r="AS2810">
        <v>9</v>
      </c>
      <c r="AT2810" t="s">
        <v>377</v>
      </c>
      <c r="AU2810" t="s">
        <v>20629</v>
      </c>
      <c r="AV2810" t="s">
        <v>20733</v>
      </c>
    </row>
    <row r="2811" spans="1:48">
      <c r="A2811" s="1">
        <f>HYPERLINK("https://lsnyc.legalserver.org/matter/dynamic-profile/view/1902677","19-1902677")</f>
        <v>0</v>
      </c>
      <c r="B2811" t="s">
        <v>71</v>
      </c>
      <c r="C2811" t="s">
        <v>256</v>
      </c>
      <c r="D2811" t="s">
        <v>327</v>
      </c>
      <c r="F2811" t="s">
        <v>1333</v>
      </c>
      <c r="G2811" t="s">
        <v>4568</v>
      </c>
      <c r="H2811" t="s">
        <v>7102</v>
      </c>
      <c r="I2811" t="s">
        <v>8664</v>
      </c>
      <c r="J2811" t="s">
        <v>9059</v>
      </c>
      <c r="K2811">
        <v>11213</v>
      </c>
      <c r="L2811" t="s">
        <v>9094</v>
      </c>
      <c r="M2811" t="s">
        <v>9095</v>
      </c>
      <c r="N2811" t="s">
        <v>10203</v>
      </c>
      <c r="O2811" t="s">
        <v>11128</v>
      </c>
      <c r="P2811" t="s">
        <v>11165</v>
      </c>
      <c r="R2811" t="s">
        <v>11180</v>
      </c>
      <c r="S2811" t="s">
        <v>9096</v>
      </c>
      <c r="T2811" t="s">
        <v>11183</v>
      </c>
      <c r="U2811" t="s">
        <v>11201</v>
      </c>
      <c r="V2811" t="s">
        <v>597</v>
      </c>
      <c r="W2811">
        <v>831</v>
      </c>
      <c r="X2811" t="s">
        <v>11332</v>
      </c>
      <c r="Y2811" t="s">
        <v>11336</v>
      </c>
      <c r="Z2811" t="s">
        <v>13275</v>
      </c>
      <c r="AA2811" t="s">
        <v>9144</v>
      </c>
      <c r="AB2811" t="s">
        <v>17623</v>
      </c>
      <c r="AC2811">
        <v>200</v>
      </c>
      <c r="AD2811" t="s">
        <v>19566</v>
      </c>
      <c r="AE2811" t="s">
        <v>9144</v>
      </c>
      <c r="AF2811">
        <v>16</v>
      </c>
      <c r="AG2811">
        <v>3</v>
      </c>
      <c r="AH2811">
        <v>0</v>
      </c>
      <c r="AI2811">
        <v>93.76000000000001</v>
      </c>
      <c r="AL2811" t="s">
        <v>19614</v>
      </c>
      <c r="AM2811">
        <v>20000</v>
      </c>
      <c r="AS2811">
        <v>9.5</v>
      </c>
      <c r="AT2811" t="s">
        <v>377</v>
      </c>
      <c r="AU2811" t="s">
        <v>95</v>
      </c>
      <c r="AV2811" t="s">
        <v>20733</v>
      </c>
    </row>
    <row r="2812" spans="1:48">
      <c r="A2812" s="1">
        <f>HYPERLINK("https://lsnyc.legalserver.org/matter/dynamic-profile/view/1892604","19-1892604")</f>
        <v>0</v>
      </c>
      <c r="B2812" t="s">
        <v>103</v>
      </c>
      <c r="C2812" t="s">
        <v>256</v>
      </c>
      <c r="D2812" t="s">
        <v>311</v>
      </c>
      <c r="F2812" t="s">
        <v>1527</v>
      </c>
      <c r="G2812" t="s">
        <v>4012</v>
      </c>
      <c r="H2812" t="s">
        <v>5887</v>
      </c>
      <c r="I2812" t="s">
        <v>8352</v>
      </c>
      <c r="J2812" t="s">
        <v>9065</v>
      </c>
      <c r="K2812">
        <v>10453</v>
      </c>
      <c r="L2812" t="s">
        <v>9094</v>
      </c>
      <c r="M2812" t="s">
        <v>9094</v>
      </c>
      <c r="O2812" t="s">
        <v>11134</v>
      </c>
      <c r="P2812" t="s">
        <v>11168</v>
      </c>
      <c r="R2812" t="s">
        <v>11180</v>
      </c>
      <c r="S2812" t="s">
        <v>9094</v>
      </c>
      <c r="T2812" t="s">
        <v>11183</v>
      </c>
      <c r="V2812" t="s">
        <v>512</v>
      </c>
      <c r="W2812">
        <v>1237.88</v>
      </c>
      <c r="X2812" t="s">
        <v>11333</v>
      </c>
      <c r="Y2812" t="s">
        <v>11346</v>
      </c>
      <c r="Z2812" t="s">
        <v>13276</v>
      </c>
      <c r="AC2812">
        <v>170</v>
      </c>
      <c r="AD2812" t="s">
        <v>19566</v>
      </c>
      <c r="AE2812" t="s">
        <v>9144</v>
      </c>
      <c r="AF2812">
        <v>9</v>
      </c>
      <c r="AG2812">
        <v>3</v>
      </c>
      <c r="AH2812">
        <v>0</v>
      </c>
      <c r="AI2812">
        <v>93.76000000000001</v>
      </c>
      <c r="AL2812" t="s">
        <v>19615</v>
      </c>
      <c r="AM2812">
        <v>20000</v>
      </c>
      <c r="AS2812">
        <v>0</v>
      </c>
      <c r="AU2812" t="s">
        <v>20647</v>
      </c>
    </row>
    <row r="2813" spans="1:48">
      <c r="A2813" s="1">
        <f>HYPERLINK("https://lsnyc.legalserver.org/matter/dynamic-profile/view/1905146","19-1905146")</f>
        <v>0</v>
      </c>
      <c r="B2813" t="s">
        <v>103</v>
      </c>
      <c r="C2813" t="s">
        <v>256</v>
      </c>
      <c r="D2813" t="s">
        <v>367</v>
      </c>
      <c r="F2813" t="s">
        <v>1527</v>
      </c>
      <c r="G2813" t="s">
        <v>4012</v>
      </c>
      <c r="H2813" t="s">
        <v>5887</v>
      </c>
      <c r="I2813" t="s">
        <v>8352</v>
      </c>
      <c r="J2813" t="s">
        <v>9065</v>
      </c>
      <c r="K2813">
        <v>10453</v>
      </c>
      <c r="L2813" t="s">
        <v>9094</v>
      </c>
      <c r="M2813" t="s">
        <v>9095</v>
      </c>
      <c r="N2813" t="s">
        <v>9239</v>
      </c>
      <c r="O2813" t="s">
        <v>11134</v>
      </c>
      <c r="P2813" t="s">
        <v>11168</v>
      </c>
      <c r="R2813" t="s">
        <v>11180</v>
      </c>
      <c r="S2813" t="s">
        <v>9094</v>
      </c>
      <c r="T2813" t="s">
        <v>11183</v>
      </c>
      <c r="V2813" t="s">
        <v>1061</v>
      </c>
      <c r="W2813">
        <v>1237.88</v>
      </c>
      <c r="X2813" t="s">
        <v>11333</v>
      </c>
      <c r="Y2813" t="s">
        <v>11346</v>
      </c>
      <c r="Z2813" t="s">
        <v>13276</v>
      </c>
      <c r="AC2813">
        <v>170</v>
      </c>
      <c r="AD2813" t="s">
        <v>19566</v>
      </c>
      <c r="AE2813" t="s">
        <v>9144</v>
      </c>
      <c r="AF2813">
        <v>9</v>
      </c>
      <c r="AG2813">
        <v>3</v>
      </c>
      <c r="AH2813">
        <v>0</v>
      </c>
      <c r="AI2813">
        <v>93.76000000000001</v>
      </c>
      <c r="AL2813" t="s">
        <v>19615</v>
      </c>
      <c r="AM2813">
        <v>20000</v>
      </c>
      <c r="AS2813">
        <v>0</v>
      </c>
      <c r="AU2813" t="s">
        <v>163</v>
      </c>
      <c r="AV2813" t="s">
        <v>20733</v>
      </c>
    </row>
    <row r="2814" spans="1:48">
      <c r="A2814" s="1">
        <f>HYPERLINK("https://lsnyc.legalserver.org/matter/dynamic-profile/view/1905148","19-1905148")</f>
        <v>0</v>
      </c>
      <c r="B2814" t="s">
        <v>103</v>
      </c>
      <c r="C2814" t="s">
        <v>256</v>
      </c>
      <c r="D2814" t="s">
        <v>367</v>
      </c>
      <c r="F2814" t="s">
        <v>1527</v>
      </c>
      <c r="G2814" t="s">
        <v>4012</v>
      </c>
      <c r="H2814" t="s">
        <v>5887</v>
      </c>
      <c r="I2814" t="s">
        <v>8352</v>
      </c>
      <c r="J2814" t="s">
        <v>9065</v>
      </c>
      <c r="K2814">
        <v>10453</v>
      </c>
      <c r="L2814" t="s">
        <v>9094</v>
      </c>
      <c r="M2814" t="s">
        <v>9095</v>
      </c>
      <c r="N2814" t="s">
        <v>9240</v>
      </c>
      <c r="O2814" t="s">
        <v>11134</v>
      </c>
      <c r="P2814" t="s">
        <v>11168</v>
      </c>
      <c r="R2814" t="s">
        <v>11180</v>
      </c>
      <c r="S2814" t="s">
        <v>9094</v>
      </c>
      <c r="T2814" t="s">
        <v>11183</v>
      </c>
      <c r="V2814" t="s">
        <v>422</v>
      </c>
      <c r="W2814">
        <v>1237.88</v>
      </c>
      <c r="X2814" t="s">
        <v>11333</v>
      </c>
      <c r="Y2814" t="s">
        <v>11346</v>
      </c>
      <c r="Z2814" t="s">
        <v>13276</v>
      </c>
      <c r="AC2814">
        <v>170</v>
      </c>
      <c r="AD2814" t="s">
        <v>19566</v>
      </c>
      <c r="AE2814" t="s">
        <v>9144</v>
      </c>
      <c r="AF2814">
        <v>9</v>
      </c>
      <c r="AG2814">
        <v>3</v>
      </c>
      <c r="AH2814">
        <v>0</v>
      </c>
      <c r="AI2814">
        <v>93.76000000000001</v>
      </c>
      <c r="AL2814" t="s">
        <v>19615</v>
      </c>
      <c r="AM2814">
        <v>20000</v>
      </c>
      <c r="AS2814">
        <v>0</v>
      </c>
      <c r="AU2814" t="s">
        <v>163</v>
      </c>
      <c r="AV2814" t="s">
        <v>20733</v>
      </c>
    </row>
    <row r="2815" spans="1:48">
      <c r="A2815" s="1">
        <f>HYPERLINK("https://lsnyc.legalserver.org/matter/dynamic-profile/view/1892594","19-1892594")</f>
        <v>0</v>
      </c>
      <c r="B2815" t="s">
        <v>103</v>
      </c>
      <c r="C2815" t="s">
        <v>256</v>
      </c>
      <c r="D2815" t="s">
        <v>311</v>
      </c>
      <c r="F2815" t="s">
        <v>1527</v>
      </c>
      <c r="G2815" t="s">
        <v>4012</v>
      </c>
      <c r="H2815" t="s">
        <v>5887</v>
      </c>
      <c r="I2815" t="s">
        <v>8352</v>
      </c>
      <c r="J2815" t="s">
        <v>9065</v>
      </c>
      <c r="K2815">
        <v>10453</v>
      </c>
      <c r="L2815" t="s">
        <v>9094</v>
      </c>
      <c r="M2815" t="s">
        <v>9094</v>
      </c>
      <c r="N2815" t="s">
        <v>9352</v>
      </c>
      <c r="O2815" t="s">
        <v>11130</v>
      </c>
      <c r="P2815" t="s">
        <v>11165</v>
      </c>
      <c r="R2815" t="s">
        <v>11180</v>
      </c>
      <c r="S2815" t="s">
        <v>9094</v>
      </c>
      <c r="T2815" t="s">
        <v>11183</v>
      </c>
      <c r="V2815" t="s">
        <v>512</v>
      </c>
      <c r="W2815">
        <v>1237.88</v>
      </c>
      <c r="X2815" t="s">
        <v>11333</v>
      </c>
      <c r="Y2815" t="s">
        <v>11346</v>
      </c>
      <c r="Z2815" t="s">
        <v>13276</v>
      </c>
      <c r="AC2815">
        <v>170</v>
      </c>
      <c r="AD2815" t="s">
        <v>19566</v>
      </c>
      <c r="AE2815" t="s">
        <v>9144</v>
      </c>
      <c r="AF2815">
        <v>9</v>
      </c>
      <c r="AG2815">
        <v>3</v>
      </c>
      <c r="AH2815">
        <v>0</v>
      </c>
      <c r="AI2815">
        <v>93.76000000000001</v>
      </c>
      <c r="AL2815" t="s">
        <v>19615</v>
      </c>
      <c r="AM2815">
        <v>20000</v>
      </c>
      <c r="AS2815">
        <v>0</v>
      </c>
      <c r="AU2815" t="s">
        <v>20647</v>
      </c>
    </row>
    <row r="2816" spans="1:48">
      <c r="A2816" s="1">
        <f>HYPERLINK("https://lsnyc.legalserver.org/matter/dynamic-profile/view/1911547","19-1911547")</f>
        <v>0</v>
      </c>
      <c r="B2816" t="s">
        <v>141</v>
      </c>
      <c r="C2816" t="s">
        <v>256</v>
      </c>
      <c r="D2816" t="s">
        <v>362</v>
      </c>
      <c r="F2816" t="s">
        <v>1576</v>
      </c>
      <c r="G2816" t="s">
        <v>4341</v>
      </c>
      <c r="H2816" t="s">
        <v>5999</v>
      </c>
      <c r="I2816" t="s">
        <v>8149</v>
      </c>
      <c r="J2816" t="s">
        <v>9067</v>
      </c>
      <c r="K2816">
        <v>10040</v>
      </c>
      <c r="L2816" t="s">
        <v>9094</v>
      </c>
      <c r="M2816" t="s">
        <v>9095</v>
      </c>
      <c r="O2816" t="s">
        <v>11132</v>
      </c>
      <c r="P2816" t="s">
        <v>11169</v>
      </c>
      <c r="R2816" t="s">
        <v>11180</v>
      </c>
      <c r="S2816" t="s">
        <v>9094</v>
      </c>
      <c r="T2816" t="s">
        <v>11183</v>
      </c>
      <c r="V2816" t="s">
        <v>362</v>
      </c>
      <c r="W2816">
        <v>952</v>
      </c>
      <c r="X2816" t="s">
        <v>11335</v>
      </c>
      <c r="Y2816" t="s">
        <v>11340</v>
      </c>
      <c r="Z2816" t="s">
        <v>12850</v>
      </c>
      <c r="AB2816" t="s">
        <v>17229</v>
      </c>
      <c r="AC2816">
        <v>44</v>
      </c>
      <c r="AD2816" t="s">
        <v>19566</v>
      </c>
      <c r="AE2816" t="s">
        <v>9144</v>
      </c>
      <c r="AF2816">
        <v>24</v>
      </c>
      <c r="AG2816">
        <v>2</v>
      </c>
      <c r="AH2816">
        <v>1</v>
      </c>
      <c r="AI2816">
        <v>93.76000000000001</v>
      </c>
      <c r="AL2816" t="s">
        <v>19615</v>
      </c>
      <c r="AM2816">
        <v>20000</v>
      </c>
      <c r="AS2816">
        <v>0.1</v>
      </c>
      <c r="AT2816" t="s">
        <v>292</v>
      </c>
      <c r="AU2816" t="s">
        <v>130</v>
      </c>
      <c r="AV2816" t="s">
        <v>20733</v>
      </c>
    </row>
    <row r="2817" spans="1:48">
      <c r="A2817" s="1">
        <f>HYPERLINK("https://lsnyc.legalserver.org/matter/dynamic-profile/view/1912334","19-1912334")</f>
        <v>0</v>
      </c>
      <c r="B2817" t="s">
        <v>141</v>
      </c>
      <c r="C2817" t="s">
        <v>256</v>
      </c>
      <c r="D2817" t="s">
        <v>309</v>
      </c>
      <c r="F2817" t="s">
        <v>1576</v>
      </c>
      <c r="G2817" t="s">
        <v>4341</v>
      </c>
      <c r="H2817" t="s">
        <v>5999</v>
      </c>
      <c r="I2817" t="s">
        <v>8149</v>
      </c>
      <c r="J2817" t="s">
        <v>9067</v>
      </c>
      <c r="K2817">
        <v>10040</v>
      </c>
      <c r="L2817" t="s">
        <v>9094</v>
      </c>
      <c r="M2817" t="s">
        <v>9095</v>
      </c>
      <c r="O2817" t="s">
        <v>11134</v>
      </c>
      <c r="P2817" t="s">
        <v>11165</v>
      </c>
      <c r="R2817" t="s">
        <v>11180</v>
      </c>
      <c r="S2817" t="s">
        <v>9094</v>
      </c>
      <c r="T2817" t="s">
        <v>11183</v>
      </c>
      <c r="V2817" t="s">
        <v>309</v>
      </c>
      <c r="W2817">
        <v>952</v>
      </c>
      <c r="X2817" t="s">
        <v>11335</v>
      </c>
      <c r="Y2817" t="s">
        <v>11340</v>
      </c>
      <c r="Z2817" t="s">
        <v>12850</v>
      </c>
      <c r="AB2817" t="s">
        <v>17229</v>
      </c>
      <c r="AC2817">
        <v>44</v>
      </c>
      <c r="AD2817" t="s">
        <v>19566</v>
      </c>
      <c r="AE2817" t="s">
        <v>9144</v>
      </c>
      <c r="AF2817">
        <v>24</v>
      </c>
      <c r="AG2817">
        <v>2</v>
      </c>
      <c r="AH2817">
        <v>1</v>
      </c>
      <c r="AI2817">
        <v>93.76000000000001</v>
      </c>
      <c r="AL2817" t="s">
        <v>19615</v>
      </c>
      <c r="AM2817">
        <v>20000</v>
      </c>
      <c r="AS2817">
        <v>0</v>
      </c>
      <c r="AU2817" t="s">
        <v>130</v>
      </c>
      <c r="AV2817" t="s">
        <v>20733</v>
      </c>
    </row>
    <row r="2818" spans="1:48">
      <c r="A2818" s="1">
        <f>HYPERLINK("https://lsnyc.legalserver.org/matter/dynamic-profile/view/1913071","19-1913071")</f>
        <v>0</v>
      </c>
      <c r="B2818" t="s">
        <v>141</v>
      </c>
      <c r="C2818" t="s">
        <v>256</v>
      </c>
      <c r="D2818" t="s">
        <v>833</v>
      </c>
      <c r="F2818" t="s">
        <v>1576</v>
      </c>
      <c r="G2818" t="s">
        <v>4341</v>
      </c>
      <c r="H2818" t="s">
        <v>5999</v>
      </c>
      <c r="I2818" t="s">
        <v>8149</v>
      </c>
      <c r="J2818" t="s">
        <v>9067</v>
      </c>
      <c r="K2818">
        <v>10040</v>
      </c>
      <c r="L2818" t="s">
        <v>9094</v>
      </c>
      <c r="M2818" t="s">
        <v>9095</v>
      </c>
      <c r="N2818" t="s">
        <v>9652</v>
      </c>
      <c r="O2818" t="s">
        <v>11134</v>
      </c>
      <c r="P2818" t="s">
        <v>11168</v>
      </c>
      <c r="R2818" t="s">
        <v>11180</v>
      </c>
      <c r="S2818" t="s">
        <v>9094</v>
      </c>
      <c r="T2818" t="s">
        <v>11183</v>
      </c>
      <c r="V2818" t="s">
        <v>833</v>
      </c>
      <c r="W2818">
        <v>952</v>
      </c>
      <c r="X2818" t="s">
        <v>11335</v>
      </c>
      <c r="Y2818" t="s">
        <v>11340</v>
      </c>
      <c r="Z2818" t="s">
        <v>12850</v>
      </c>
      <c r="AB2818" t="s">
        <v>17229</v>
      </c>
      <c r="AC2818">
        <v>44</v>
      </c>
      <c r="AD2818" t="s">
        <v>19566</v>
      </c>
      <c r="AE2818" t="s">
        <v>9144</v>
      </c>
      <c r="AF2818">
        <v>25</v>
      </c>
      <c r="AG2818">
        <v>2</v>
      </c>
      <c r="AH2818">
        <v>1</v>
      </c>
      <c r="AI2818">
        <v>93.76000000000001</v>
      </c>
      <c r="AL2818" t="s">
        <v>19615</v>
      </c>
      <c r="AM2818">
        <v>20000</v>
      </c>
      <c r="AS2818">
        <v>0.1</v>
      </c>
      <c r="AT2818" t="s">
        <v>594</v>
      </c>
      <c r="AU2818" t="s">
        <v>130</v>
      </c>
      <c r="AV2818" t="s">
        <v>20733</v>
      </c>
    </row>
    <row r="2819" spans="1:48">
      <c r="A2819" s="1">
        <f>HYPERLINK("https://lsnyc.legalserver.org/matter/dynamic-profile/view/1877117","18-1877117")</f>
        <v>0</v>
      </c>
      <c r="B2819" t="s">
        <v>129</v>
      </c>
      <c r="C2819" t="s">
        <v>256</v>
      </c>
      <c r="D2819" t="s">
        <v>846</v>
      </c>
      <c r="F2819" t="s">
        <v>1323</v>
      </c>
      <c r="G2819" t="s">
        <v>3615</v>
      </c>
      <c r="H2819" t="s">
        <v>6444</v>
      </c>
      <c r="I2819" t="s">
        <v>8164</v>
      </c>
      <c r="J2819" t="s">
        <v>9066</v>
      </c>
      <c r="K2819">
        <v>10304</v>
      </c>
      <c r="L2819" t="s">
        <v>9094</v>
      </c>
      <c r="M2819" t="s">
        <v>9094</v>
      </c>
      <c r="N2819" t="s">
        <v>10204</v>
      </c>
      <c r="O2819" t="s">
        <v>11129</v>
      </c>
      <c r="P2819" t="s">
        <v>11165</v>
      </c>
      <c r="R2819" t="s">
        <v>11180</v>
      </c>
      <c r="S2819" t="s">
        <v>9096</v>
      </c>
      <c r="T2819" t="s">
        <v>11183</v>
      </c>
      <c r="U2819" t="s">
        <v>11201</v>
      </c>
      <c r="V2819" t="s">
        <v>846</v>
      </c>
      <c r="W2819">
        <v>1321.12</v>
      </c>
      <c r="X2819" t="s">
        <v>11334</v>
      </c>
      <c r="Y2819" t="s">
        <v>11338</v>
      </c>
      <c r="Z2819" t="s">
        <v>13277</v>
      </c>
      <c r="AB2819" t="s">
        <v>17624</v>
      </c>
      <c r="AC2819">
        <v>84</v>
      </c>
      <c r="AD2819" t="s">
        <v>19566</v>
      </c>
      <c r="AE2819" t="s">
        <v>19580</v>
      </c>
      <c r="AF2819">
        <v>3</v>
      </c>
      <c r="AG2819">
        <v>1</v>
      </c>
      <c r="AH2819">
        <v>0</v>
      </c>
      <c r="AI2819">
        <v>93.81</v>
      </c>
      <c r="AL2819" t="s">
        <v>19614</v>
      </c>
      <c r="AM2819">
        <v>11388</v>
      </c>
      <c r="AO2819" t="s">
        <v>20292</v>
      </c>
      <c r="AP2819" t="s">
        <v>20309</v>
      </c>
      <c r="AS2819">
        <v>59.15</v>
      </c>
      <c r="AT2819" t="s">
        <v>584</v>
      </c>
      <c r="AU2819" t="s">
        <v>20662</v>
      </c>
      <c r="AV2819" t="s">
        <v>20733</v>
      </c>
    </row>
    <row r="2820" spans="1:48">
      <c r="A2820" s="1">
        <f>HYPERLINK("https://lsnyc.legalserver.org/matter/dynamic-profile/view/1883527","18-1883527")</f>
        <v>0</v>
      </c>
      <c r="B2820" t="s">
        <v>142</v>
      </c>
      <c r="C2820" t="s">
        <v>256</v>
      </c>
      <c r="D2820" t="s">
        <v>357</v>
      </c>
      <c r="F2820" t="s">
        <v>2106</v>
      </c>
      <c r="G2820" t="s">
        <v>4132</v>
      </c>
      <c r="H2820" t="s">
        <v>7103</v>
      </c>
      <c r="I2820" t="s">
        <v>8665</v>
      </c>
      <c r="J2820" t="s">
        <v>9067</v>
      </c>
      <c r="K2820">
        <v>10029</v>
      </c>
      <c r="L2820" t="s">
        <v>9094</v>
      </c>
      <c r="M2820" t="s">
        <v>9094</v>
      </c>
      <c r="N2820" t="s">
        <v>10205</v>
      </c>
      <c r="O2820" t="s">
        <v>11129</v>
      </c>
      <c r="P2820" t="s">
        <v>11165</v>
      </c>
      <c r="R2820" t="s">
        <v>11180</v>
      </c>
      <c r="S2820" t="s">
        <v>9096</v>
      </c>
      <c r="T2820" t="s">
        <v>11183</v>
      </c>
      <c r="U2820" t="s">
        <v>11201</v>
      </c>
      <c r="V2820" t="s">
        <v>359</v>
      </c>
      <c r="W2820">
        <v>2944</v>
      </c>
      <c r="X2820" t="s">
        <v>11335</v>
      </c>
      <c r="Y2820" t="s">
        <v>11157</v>
      </c>
      <c r="Z2820" t="s">
        <v>13278</v>
      </c>
      <c r="AB2820" t="s">
        <v>17625</v>
      </c>
      <c r="AC2820">
        <v>700</v>
      </c>
      <c r="AD2820" t="s">
        <v>19565</v>
      </c>
      <c r="AE2820" t="s">
        <v>11157</v>
      </c>
      <c r="AF2820">
        <v>35</v>
      </c>
      <c r="AG2820">
        <v>4</v>
      </c>
      <c r="AH2820">
        <v>1</v>
      </c>
      <c r="AI2820">
        <v>93.81</v>
      </c>
      <c r="AL2820" t="s">
        <v>19614</v>
      </c>
      <c r="AM2820">
        <v>27600</v>
      </c>
      <c r="AP2820" t="s">
        <v>20324</v>
      </c>
      <c r="AS2820">
        <v>81.06999999999999</v>
      </c>
      <c r="AT2820" t="s">
        <v>446</v>
      </c>
      <c r="AU2820" t="s">
        <v>20619</v>
      </c>
    </row>
    <row r="2821" spans="1:48">
      <c r="A2821" s="1">
        <f>HYPERLINK("https://lsnyc.legalserver.org/matter/dynamic-profile/view/1864519","18-1864519")</f>
        <v>0</v>
      </c>
      <c r="B2821" t="s">
        <v>136</v>
      </c>
      <c r="C2821" t="s">
        <v>256</v>
      </c>
      <c r="D2821" t="s">
        <v>552</v>
      </c>
      <c r="F2821" t="s">
        <v>1146</v>
      </c>
      <c r="G2821" t="s">
        <v>3720</v>
      </c>
      <c r="H2821" t="s">
        <v>5961</v>
      </c>
      <c r="I2821">
        <v>203</v>
      </c>
      <c r="J2821" t="s">
        <v>9067</v>
      </c>
      <c r="K2821">
        <v>10029</v>
      </c>
      <c r="L2821" t="s">
        <v>9094</v>
      </c>
      <c r="M2821" t="s">
        <v>9094</v>
      </c>
      <c r="N2821" t="s">
        <v>9863</v>
      </c>
      <c r="O2821" t="s">
        <v>11130</v>
      </c>
      <c r="P2821" t="s">
        <v>11165</v>
      </c>
      <c r="R2821" t="s">
        <v>11180</v>
      </c>
      <c r="S2821" t="s">
        <v>9094</v>
      </c>
      <c r="T2821" t="s">
        <v>11183</v>
      </c>
      <c r="U2821" t="s">
        <v>11201</v>
      </c>
      <c r="V2821" t="s">
        <v>552</v>
      </c>
      <c r="W2821">
        <v>0</v>
      </c>
      <c r="X2821" t="s">
        <v>11335</v>
      </c>
      <c r="Y2821" t="s">
        <v>11339</v>
      </c>
      <c r="Z2821" t="s">
        <v>13279</v>
      </c>
      <c r="AC2821">
        <v>108</v>
      </c>
      <c r="AD2821" t="s">
        <v>19567</v>
      </c>
      <c r="AE2821" t="s">
        <v>19580</v>
      </c>
      <c r="AF2821">
        <v>33</v>
      </c>
      <c r="AG2821">
        <v>1</v>
      </c>
      <c r="AH2821">
        <v>0</v>
      </c>
      <c r="AI2821">
        <v>93.90000000000001</v>
      </c>
      <c r="AL2821" t="s">
        <v>19615</v>
      </c>
      <c r="AM2821">
        <v>11400</v>
      </c>
      <c r="AS2821">
        <v>0</v>
      </c>
      <c r="AU2821" t="s">
        <v>20657</v>
      </c>
      <c r="AV2821" t="s">
        <v>20733</v>
      </c>
    </row>
    <row r="2822" spans="1:48">
      <c r="A2822" s="1">
        <f>HYPERLINK("https://lsnyc.legalserver.org/matter/dynamic-profile/view/1911734","19-1911734")</f>
        <v>0</v>
      </c>
      <c r="B2822" t="s">
        <v>134</v>
      </c>
      <c r="C2822" t="s">
        <v>256</v>
      </c>
      <c r="D2822" t="s">
        <v>290</v>
      </c>
      <c r="F2822" t="s">
        <v>2173</v>
      </c>
      <c r="G2822" t="s">
        <v>4458</v>
      </c>
      <c r="H2822" t="s">
        <v>7104</v>
      </c>
      <c r="I2822" t="s">
        <v>8124</v>
      </c>
      <c r="J2822" t="s">
        <v>9067</v>
      </c>
      <c r="K2822">
        <v>10034</v>
      </c>
      <c r="L2822" t="s">
        <v>9094</v>
      </c>
      <c r="M2822" t="s">
        <v>9095</v>
      </c>
      <c r="P2822" t="s">
        <v>11169</v>
      </c>
      <c r="R2822" t="s">
        <v>11180</v>
      </c>
      <c r="T2822" t="s">
        <v>11189</v>
      </c>
      <c r="V2822" t="s">
        <v>632</v>
      </c>
      <c r="W2822">
        <v>829.75</v>
      </c>
      <c r="X2822" t="s">
        <v>11335</v>
      </c>
      <c r="Y2822" t="s">
        <v>11338</v>
      </c>
      <c r="Z2822" t="s">
        <v>13280</v>
      </c>
      <c r="AB2822" t="s">
        <v>17626</v>
      </c>
      <c r="AC2822">
        <v>120</v>
      </c>
      <c r="AD2822" t="s">
        <v>19566</v>
      </c>
      <c r="AE2822" t="s">
        <v>9144</v>
      </c>
      <c r="AF2822">
        <v>3</v>
      </c>
      <c r="AG2822">
        <v>2</v>
      </c>
      <c r="AH2822">
        <v>0</v>
      </c>
      <c r="AI2822">
        <v>93.94</v>
      </c>
      <c r="AL2822" t="s">
        <v>19614</v>
      </c>
      <c r="AM2822">
        <v>15886</v>
      </c>
      <c r="AS2822">
        <v>2.25</v>
      </c>
      <c r="AT2822" t="s">
        <v>632</v>
      </c>
      <c r="AU2822" t="s">
        <v>20674</v>
      </c>
      <c r="AV2822" t="s">
        <v>20733</v>
      </c>
    </row>
    <row r="2823" spans="1:48">
      <c r="A2823" s="1">
        <f>HYPERLINK("https://lsnyc.legalserver.org/matter/dynamic-profile/view/1913772","19-1913772")</f>
        <v>0</v>
      </c>
      <c r="B2823" t="s">
        <v>178</v>
      </c>
      <c r="C2823" t="s">
        <v>257</v>
      </c>
      <c r="D2823" t="s">
        <v>484</v>
      </c>
      <c r="E2823" t="s">
        <v>321</v>
      </c>
      <c r="F2823" t="s">
        <v>1624</v>
      </c>
      <c r="G2823" t="s">
        <v>3593</v>
      </c>
      <c r="H2823" t="s">
        <v>7105</v>
      </c>
      <c r="I2823" t="s">
        <v>8197</v>
      </c>
      <c r="J2823" t="s">
        <v>9065</v>
      </c>
      <c r="K2823">
        <v>10453</v>
      </c>
      <c r="L2823" t="s">
        <v>9095</v>
      </c>
      <c r="M2823" t="s">
        <v>9095</v>
      </c>
      <c r="P2823" t="s">
        <v>11164</v>
      </c>
      <c r="Q2823" t="s">
        <v>11172</v>
      </c>
      <c r="R2823" t="s">
        <v>11180</v>
      </c>
      <c r="T2823" t="s">
        <v>11183</v>
      </c>
      <c r="W2823">
        <v>0</v>
      </c>
      <c r="X2823" t="s">
        <v>11333</v>
      </c>
      <c r="Z2823" t="s">
        <v>13281</v>
      </c>
      <c r="AB2823" t="s">
        <v>17627</v>
      </c>
      <c r="AC2823">
        <v>0</v>
      </c>
      <c r="AF2823">
        <v>0</v>
      </c>
      <c r="AG2823">
        <v>3</v>
      </c>
      <c r="AH2823">
        <v>3</v>
      </c>
      <c r="AI2823">
        <v>93.95999999999999</v>
      </c>
      <c r="AL2823" t="s">
        <v>19615</v>
      </c>
      <c r="AM2823">
        <v>32500</v>
      </c>
      <c r="AS2823">
        <v>1.35</v>
      </c>
      <c r="AT2823" t="s">
        <v>321</v>
      </c>
      <c r="AU2823" t="s">
        <v>178</v>
      </c>
    </row>
    <row r="2824" spans="1:48">
      <c r="A2824" s="1">
        <f>HYPERLINK("https://lsnyc.legalserver.org/matter/dynamic-profile/view/1904907","19-1904907")</f>
        <v>0</v>
      </c>
      <c r="B2824" t="s">
        <v>57</v>
      </c>
      <c r="C2824" t="s">
        <v>257</v>
      </c>
      <c r="D2824" t="s">
        <v>660</v>
      </c>
      <c r="E2824" t="s">
        <v>444</v>
      </c>
      <c r="F2824" t="s">
        <v>1557</v>
      </c>
      <c r="G2824" t="s">
        <v>3846</v>
      </c>
      <c r="H2824" t="s">
        <v>6572</v>
      </c>
      <c r="I2824">
        <v>2</v>
      </c>
      <c r="J2824" t="s">
        <v>9082</v>
      </c>
      <c r="K2824">
        <v>11693</v>
      </c>
      <c r="L2824" t="s">
        <v>9094</v>
      </c>
      <c r="M2824" t="s">
        <v>9095</v>
      </c>
      <c r="N2824" t="s">
        <v>9780</v>
      </c>
      <c r="O2824" t="s">
        <v>11128</v>
      </c>
      <c r="P2824" t="s">
        <v>11164</v>
      </c>
      <c r="Q2824" t="s">
        <v>11172</v>
      </c>
      <c r="R2824" t="s">
        <v>11180</v>
      </c>
      <c r="S2824" t="s">
        <v>9096</v>
      </c>
      <c r="T2824" t="s">
        <v>11183</v>
      </c>
      <c r="U2824" t="s">
        <v>11201</v>
      </c>
      <c r="V2824" t="s">
        <v>444</v>
      </c>
      <c r="W2824">
        <v>2022</v>
      </c>
      <c r="X2824" t="s">
        <v>11331</v>
      </c>
      <c r="Y2824" t="s">
        <v>11336</v>
      </c>
      <c r="Z2824" t="s">
        <v>12455</v>
      </c>
      <c r="AA2824" t="s">
        <v>15741</v>
      </c>
      <c r="AB2824" t="s">
        <v>17628</v>
      </c>
      <c r="AC2824">
        <v>2</v>
      </c>
      <c r="AD2824" t="s">
        <v>19565</v>
      </c>
      <c r="AE2824" t="s">
        <v>19580</v>
      </c>
      <c r="AF2824">
        <v>5</v>
      </c>
      <c r="AG2824">
        <v>2</v>
      </c>
      <c r="AH2824">
        <v>6</v>
      </c>
      <c r="AI2824">
        <v>93.98999999999999</v>
      </c>
      <c r="AL2824" t="s">
        <v>19614</v>
      </c>
      <c r="AM2824">
        <v>40821.98</v>
      </c>
      <c r="AS2824">
        <v>2</v>
      </c>
      <c r="AT2824" t="s">
        <v>444</v>
      </c>
      <c r="AU2824" t="s">
        <v>20620</v>
      </c>
      <c r="AV2824" t="s">
        <v>20733</v>
      </c>
    </row>
    <row r="2825" spans="1:48">
      <c r="A2825" s="1">
        <f>HYPERLINK("https://lsnyc.legalserver.org/matter/dynamic-profile/view/1886842","19-1886842")</f>
        <v>0</v>
      </c>
      <c r="B2825" t="s">
        <v>65</v>
      </c>
      <c r="C2825" t="s">
        <v>257</v>
      </c>
      <c r="D2825" t="s">
        <v>324</v>
      </c>
      <c r="E2825" t="s">
        <v>426</v>
      </c>
      <c r="F2825" t="s">
        <v>1227</v>
      </c>
      <c r="G2825" t="s">
        <v>3374</v>
      </c>
      <c r="H2825" t="s">
        <v>5770</v>
      </c>
      <c r="I2825" t="s">
        <v>8140</v>
      </c>
      <c r="J2825" t="s">
        <v>9059</v>
      </c>
      <c r="K2825">
        <v>11231</v>
      </c>
      <c r="L2825" t="s">
        <v>9094</v>
      </c>
      <c r="M2825" t="s">
        <v>9094</v>
      </c>
      <c r="N2825" t="s">
        <v>10206</v>
      </c>
      <c r="O2825" t="s">
        <v>11129</v>
      </c>
      <c r="P2825" t="s">
        <v>11165</v>
      </c>
      <c r="Q2825" t="s">
        <v>11174</v>
      </c>
      <c r="R2825" t="s">
        <v>11180</v>
      </c>
      <c r="T2825" t="s">
        <v>11183</v>
      </c>
      <c r="U2825" t="s">
        <v>11200</v>
      </c>
      <c r="V2825" t="s">
        <v>441</v>
      </c>
      <c r="W2825">
        <v>995.25</v>
      </c>
      <c r="X2825" t="s">
        <v>11332</v>
      </c>
      <c r="Z2825" t="s">
        <v>11454</v>
      </c>
      <c r="AB2825" t="s">
        <v>15973</v>
      </c>
      <c r="AC2825">
        <v>20</v>
      </c>
      <c r="AF2825">
        <v>15</v>
      </c>
      <c r="AG2825">
        <v>2</v>
      </c>
      <c r="AH2825">
        <v>2</v>
      </c>
      <c r="AI2825">
        <v>94.02</v>
      </c>
      <c r="AL2825" t="s">
        <v>19614</v>
      </c>
      <c r="AM2825">
        <v>23600</v>
      </c>
      <c r="AO2825" t="s">
        <v>20293</v>
      </c>
      <c r="AP2825" t="s">
        <v>20317</v>
      </c>
      <c r="AQ2825" t="s">
        <v>20369</v>
      </c>
      <c r="AS2825">
        <v>12.15</v>
      </c>
      <c r="AT2825" t="s">
        <v>426</v>
      </c>
      <c r="AU2825" t="s">
        <v>215</v>
      </c>
    </row>
    <row r="2826" spans="1:48">
      <c r="A2826" s="1">
        <f>HYPERLINK("https://lsnyc.legalserver.org/matter/dynamic-profile/view/1838498","17-1838498")</f>
        <v>0</v>
      </c>
      <c r="B2826" t="s">
        <v>56</v>
      </c>
      <c r="C2826" t="s">
        <v>256</v>
      </c>
      <c r="D2826" t="s">
        <v>968</v>
      </c>
      <c r="F2826" t="s">
        <v>1260</v>
      </c>
      <c r="G2826" t="s">
        <v>4569</v>
      </c>
      <c r="H2826" t="s">
        <v>7106</v>
      </c>
      <c r="I2826" t="s">
        <v>8142</v>
      </c>
      <c r="J2826" t="s">
        <v>9048</v>
      </c>
      <c r="K2826">
        <v>11385</v>
      </c>
      <c r="L2826" t="s">
        <v>9094</v>
      </c>
      <c r="M2826" t="s">
        <v>9095</v>
      </c>
      <c r="N2826" t="s">
        <v>10207</v>
      </c>
      <c r="O2826" t="s">
        <v>11129</v>
      </c>
      <c r="P2826" t="s">
        <v>11165</v>
      </c>
      <c r="R2826" t="s">
        <v>11180</v>
      </c>
      <c r="S2826" t="s">
        <v>9096</v>
      </c>
      <c r="T2826" t="s">
        <v>11183</v>
      </c>
      <c r="V2826" t="s">
        <v>968</v>
      </c>
      <c r="W2826">
        <v>1017.34</v>
      </c>
      <c r="X2826" t="s">
        <v>11331</v>
      </c>
      <c r="Y2826" t="s">
        <v>11340</v>
      </c>
      <c r="Z2826" t="s">
        <v>13282</v>
      </c>
      <c r="AB2826" t="s">
        <v>17629</v>
      </c>
      <c r="AC2826">
        <v>6</v>
      </c>
      <c r="AD2826" t="s">
        <v>19566</v>
      </c>
      <c r="AF2826">
        <v>34</v>
      </c>
      <c r="AG2826">
        <v>3</v>
      </c>
      <c r="AH2826">
        <v>0</v>
      </c>
      <c r="AI2826">
        <v>94.03</v>
      </c>
      <c r="AL2826" t="s">
        <v>19614</v>
      </c>
      <c r="AM2826">
        <v>19200</v>
      </c>
      <c r="AS2826">
        <v>31.65</v>
      </c>
      <c r="AT2826" t="s">
        <v>919</v>
      </c>
      <c r="AU2826" t="s">
        <v>56</v>
      </c>
    </row>
    <row r="2827" spans="1:48">
      <c r="A2827" s="1">
        <f>HYPERLINK("https://lsnyc.legalserver.org/matter/dynamic-profile/view/1888079","19-1888079")</f>
        <v>0</v>
      </c>
      <c r="B2827" t="s">
        <v>73</v>
      </c>
      <c r="C2827" t="s">
        <v>257</v>
      </c>
      <c r="D2827" t="s">
        <v>756</v>
      </c>
      <c r="E2827" t="s">
        <v>372</v>
      </c>
      <c r="F2827" t="s">
        <v>2348</v>
      </c>
      <c r="G2827" t="s">
        <v>1488</v>
      </c>
      <c r="H2827" t="s">
        <v>7107</v>
      </c>
      <c r="I2827">
        <v>2</v>
      </c>
      <c r="J2827" t="s">
        <v>9059</v>
      </c>
      <c r="K2827">
        <v>11212</v>
      </c>
      <c r="L2827" t="s">
        <v>9094</v>
      </c>
      <c r="M2827" t="s">
        <v>9094</v>
      </c>
      <c r="N2827" t="s">
        <v>10208</v>
      </c>
      <c r="O2827" t="s">
        <v>11128</v>
      </c>
      <c r="P2827" t="s">
        <v>11165</v>
      </c>
      <c r="Q2827" t="s">
        <v>11174</v>
      </c>
      <c r="R2827" t="s">
        <v>11180</v>
      </c>
      <c r="S2827" t="s">
        <v>9096</v>
      </c>
      <c r="T2827" t="s">
        <v>11183</v>
      </c>
      <c r="U2827" t="s">
        <v>11201</v>
      </c>
      <c r="V2827" t="s">
        <v>11208</v>
      </c>
      <c r="W2827">
        <v>800</v>
      </c>
      <c r="X2827" t="s">
        <v>11332</v>
      </c>
      <c r="Y2827" t="s">
        <v>11340</v>
      </c>
      <c r="Z2827" t="s">
        <v>13283</v>
      </c>
      <c r="AA2827" t="s">
        <v>15742</v>
      </c>
      <c r="AB2827" t="s">
        <v>17630</v>
      </c>
      <c r="AC2827">
        <v>4</v>
      </c>
      <c r="AD2827" t="s">
        <v>19565</v>
      </c>
      <c r="AE2827" t="s">
        <v>9144</v>
      </c>
      <c r="AF2827">
        <v>9</v>
      </c>
      <c r="AG2827">
        <v>2</v>
      </c>
      <c r="AH2827">
        <v>0</v>
      </c>
      <c r="AI2827">
        <v>94.05</v>
      </c>
      <c r="AL2827" t="s">
        <v>19614</v>
      </c>
      <c r="AM2827">
        <v>15480</v>
      </c>
      <c r="AN2827" t="s">
        <v>19908</v>
      </c>
      <c r="AQ2827" t="s">
        <v>20368</v>
      </c>
      <c r="AR2827" t="s">
        <v>20450</v>
      </c>
      <c r="AS2827">
        <v>8.800000000000001</v>
      </c>
      <c r="AT2827" t="s">
        <v>367</v>
      </c>
      <c r="AU2827" t="s">
        <v>95</v>
      </c>
      <c r="AV2827" t="s">
        <v>20733</v>
      </c>
    </row>
    <row r="2828" spans="1:48">
      <c r="A2828" s="1">
        <f>HYPERLINK("https://lsnyc.legalserver.org/matter/dynamic-profile/view/1911546","19-1911546")</f>
        <v>0</v>
      </c>
      <c r="B2828" t="s">
        <v>135</v>
      </c>
      <c r="C2828" t="s">
        <v>256</v>
      </c>
      <c r="D2828" t="s">
        <v>362</v>
      </c>
      <c r="F2828" t="s">
        <v>2349</v>
      </c>
      <c r="G2828" t="s">
        <v>4570</v>
      </c>
      <c r="H2828" t="s">
        <v>7108</v>
      </c>
      <c r="I2828" t="s">
        <v>8666</v>
      </c>
      <c r="J2828" t="s">
        <v>9067</v>
      </c>
      <c r="K2828">
        <v>10035</v>
      </c>
      <c r="L2828" t="s">
        <v>9094</v>
      </c>
      <c r="M2828" t="s">
        <v>9095</v>
      </c>
      <c r="N2828" t="s">
        <v>10209</v>
      </c>
      <c r="O2828" t="s">
        <v>11129</v>
      </c>
      <c r="P2828" t="s">
        <v>11169</v>
      </c>
      <c r="R2828" t="s">
        <v>11180</v>
      </c>
      <c r="S2828" t="s">
        <v>9096</v>
      </c>
      <c r="T2828" t="s">
        <v>11183</v>
      </c>
      <c r="U2828" t="s">
        <v>11201</v>
      </c>
      <c r="V2828" t="s">
        <v>563</v>
      </c>
      <c r="W2828">
        <v>811</v>
      </c>
      <c r="X2828" t="s">
        <v>11335</v>
      </c>
      <c r="Y2828" t="s">
        <v>11157</v>
      </c>
      <c r="Z2828" t="s">
        <v>13284</v>
      </c>
      <c r="AB2828" t="s">
        <v>17631</v>
      </c>
      <c r="AC2828">
        <v>90</v>
      </c>
      <c r="AD2828" t="s">
        <v>19567</v>
      </c>
      <c r="AE2828" t="s">
        <v>19580</v>
      </c>
      <c r="AF2828">
        <v>5</v>
      </c>
      <c r="AG2828">
        <v>2</v>
      </c>
      <c r="AH2828">
        <v>3</v>
      </c>
      <c r="AI2828">
        <v>94.13</v>
      </c>
      <c r="AL2828" t="s">
        <v>19614</v>
      </c>
      <c r="AM2828">
        <v>28400</v>
      </c>
      <c r="AS2828">
        <v>14.75</v>
      </c>
      <c r="AT2828" t="s">
        <v>594</v>
      </c>
      <c r="AU2828" t="s">
        <v>20638</v>
      </c>
      <c r="AV2828" t="s">
        <v>20733</v>
      </c>
    </row>
    <row r="2829" spans="1:48">
      <c r="A2829" s="1">
        <f>HYPERLINK("https://lsnyc.legalserver.org/matter/dynamic-profile/view/1887235","19-1887235")</f>
        <v>0</v>
      </c>
      <c r="B2829" t="s">
        <v>82</v>
      </c>
      <c r="C2829" t="s">
        <v>256</v>
      </c>
      <c r="D2829" t="s">
        <v>344</v>
      </c>
      <c r="F2829" t="s">
        <v>1460</v>
      </c>
      <c r="G2829" t="s">
        <v>4571</v>
      </c>
      <c r="H2829" t="s">
        <v>7109</v>
      </c>
      <c r="I2829">
        <v>43</v>
      </c>
      <c r="J2829" t="s">
        <v>9059</v>
      </c>
      <c r="K2829">
        <v>11210</v>
      </c>
      <c r="L2829" t="s">
        <v>9096</v>
      </c>
      <c r="M2829" t="s">
        <v>9095</v>
      </c>
      <c r="P2829" t="s">
        <v>11166</v>
      </c>
      <c r="R2829" t="s">
        <v>11180</v>
      </c>
      <c r="S2829" t="s">
        <v>9096</v>
      </c>
      <c r="T2829" t="s">
        <v>11183</v>
      </c>
      <c r="V2829" t="s">
        <v>344</v>
      </c>
      <c r="W2829">
        <v>0</v>
      </c>
      <c r="X2829" t="s">
        <v>11332</v>
      </c>
      <c r="Z2829" t="s">
        <v>13285</v>
      </c>
      <c r="AB2829" t="s">
        <v>17632</v>
      </c>
      <c r="AC2829">
        <v>0</v>
      </c>
      <c r="AF2829">
        <v>0</v>
      </c>
      <c r="AG2829">
        <v>1</v>
      </c>
      <c r="AH2829">
        <v>0</v>
      </c>
      <c r="AI2829">
        <v>94.3</v>
      </c>
      <c r="AL2829" t="s">
        <v>19614</v>
      </c>
      <c r="AM2829">
        <v>11448</v>
      </c>
      <c r="AS2829">
        <v>13.9</v>
      </c>
      <c r="AT2829" t="s">
        <v>750</v>
      </c>
      <c r="AU2829" t="s">
        <v>215</v>
      </c>
    </row>
    <row r="2830" spans="1:48">
      <c r="A2830" s="1">
        <f>HYPERLINK("https://lsnyc.legalserver.org/matter/dynamic-profile/view/1863004","18-1863004")</f>
        <v>0</v>
      </c>
      <c r="B2830" t="s">
        <v>140</v>
      </c>
      <c r="C2830" t="s">
        <v>256</v>
      </c>
      <c r="D2830" t="s">
        <v>873</v>
      </c>
      <c r="F2830" t="s">
        <v>1264</v>
      </c>
      <c r="G2830" t="s">
        <v>4572</v>
      </c>
      <c r="H2830" t="s">
        <v>5942</v>
      </c>
      <c r="I2830" t="s">
        <v>8209</v>
      </c>
      <c r="J2830" t="s">
        <v>9067</v>
      </c>
      <c r="K2830">
        <v>10034</v>
      </c>
      <c r="L2830" t="s">
        <v>9094</v>
      </c>
      <c r="M2830" t="s">
        <v>9095</v>
      </c>
      <c r="N2830" t="s">
        <v>10077</v>
      </c>
      <c r="O2830" t="s">
        <v>11130</v>
      </c>
      <c r="P2830" t="s">
        <v>11165</v>
      </c>
      <c r="R2830" t="s">
        <v>11180</v>
      </c>
      <c r="S2830" t="s">
        <v>9094</v>
      </c>
      <c r="T2830" t="s">
        <v>11183</v>
      </c>
      <c r="V2830" t="s">
        <v>873</v>
      </c>
      <c r="W2830">
        <v>1285.69</v>
      </c>
      <c r="X2830" t="s">
        <v>11335</v>
      </c>
      <c r="Y2830" t="s">
        <v>11338</v>
      </c>
      <c r="Z2830" t="s">
        <v>13286</v>
      </c>
      <c r="AB2830" t="s">
        <v>17633</v>
      </c>
      <c r="AC2830">
        <v>60</v>
      </c>
      <c r="AD2830" t="s">
        <v>19566</v>
      </c>
      <c r="AE2830" t="s">
        <v>9144</v>
      </c>
      <c r="AF2830">
        <v>5</v>
      </c>
      <c r="AG2830">
        <v>3</v>
      </c>
      <c r="AH2830">
        <v>0</v>
      </c>
      <c r="AI2830">
        <v>94.31</v>
      </c>
      <c r="AL2830" t="s">
        <v>19615</v>
      </c>
      <c r="AM2830">
        <v>19597.58</v>
      </c>
      <c r="AS2830">
        <v>55.1</v>
      </c>
      <c r="AT2830" t="s">
        <v>426</v>
      </c>
      <c r="AU2830" t="s">
        <v>130</v>
      </c>
    </row>
    <row r="2831" spans="1:48">
      <c r="A2831" s="1">
        <f>HYPERLINK("https://lsnyc.legalserver.org/matter/dynamic-profile/view/1894701","19-1894701")</f>
        <v>0</v>
      </c>
      <c r="B2831" t="s">
        <v>49</v>
      </c>
      <c r="C2831" t="s">
        <v>257</v>
      </c>
      <c r="D2831" t="s">
        <v>502</v>
      </c>
      <c r="E2831" t="s">
        <v>1129</v>
      </c>
      <c r="F2831" t="s">
        <v>1788</v>
      </c>
      <c r="G2831" t="s">
        <v>3698</v>
      </c>
      <c r="H2831" t="s">
        <v>6809</v>
      </c>
      <c r="I2831">
        <v>404</v>
      </c>
      <c r="J2831" t="s">
        <v>9055</v>
      </c>
      <c r="K2831">
        <v>11354</v>
      </c>
      <c r="L2831" t="s">
        <v>9094</v>
      </c>
      <c r="M2831" t="s">
        <v>9094</v>
      </c>
      <c r="N2831" t="s">
        <v>10210</v>
      </c>
      <c r="O2831" t="s">
        <v>11129</v>
      </c>
      <c r="P2831" t="s">
        <v>11165</v>
      </c>
      <c r="Q2831" t="s">
        <v>11174</v>
      </c>
      <c r="R2831" t="s">
        <v>11180</v>
      </c>
      <c r="S2831" t="s">
        <v>9096</v>
      </c>
      <c r="T2831" t="s">
        <v>11183</v>
      </c>
      <c r="U2831" t="s">
        <v>11201</v>
      </c>
      <c r="V2831" t="s">
        <v>502</v>
      </c>
      <c r="W2831">
        <v>1355.8</v>
      </c>
      <c r="X2831" t="s">
        <v>11331</v>
      </c>
      <c r="Y2831" t="s">
        <v>11157</v>
      </c>
      <c r="Z2831" t="s">
        <v>12802</v>
      </c>
      <c r="AB2831" t="s">
        <v>17183</v>
      </c>
      <c r="AC2831">
        <v>130</v>
      </c>
      <c r="AD2831" t="s">
        <v>19566</v>
      </c>
      <c r="AE2831" t="s">
        <v>19587</v>
      </c>
      <c r="AF2831">
        <v>20</v>
      </c>
      <c r="AG2831">
        <v>1</v>
      </c>
      <c r="AH2831">
        <v>0</v>
      </c>
      <c r="AI2831">
        <v>94.44</v>
      </c>
      <c r="AL2831" t="s">
        <v>19614</v>
      </c>
      <c r="AM2831">
        <v>11796</v>
      </c>
      <c r="AO2831" t="s">
        <v>20290</v>
      </c>
      <c r="AP2831" t="s">
        <v>20309</v>
      </c>
      <c r="AQ2831" t="s">
        <v>20369</v>
      </c>
      <c r="AR2831" t="s">
        <v>20509</v>
      </c>
      <c r="AS2831">
        <v>10.4</v>
      </c>
      <c r="AT2831" t="s">
        <v>1129</v>
      </c>
      <c r="AU2831" t="s">
        <v>20632</v>
      </c>
      <c r="AV2831" t="s">
        <v>20733</v>
      </c>
    </row>
    <row r="2832" spans="1:48">
      <c r="A2832" s="1">
        <f>HYPERLINK("https://lsnyc.legalserver.org/matter/dynamic-profile/view/1885749","18-1885749")</f>
        <v>0</v>
      </c>
      <c r="B2832" t="s">
        <v>113</v>
      </c>
      <c r="C2832" t="s">
        <v>257</v>
      </c>
      <c r="D2832" t="s">
        <v>424</v>
      </c>
      <c r="E2832" t="s">
        <v>377</v>
      </c>
      <c r="F2832" t="s">
        <v>2322</v>
      </c>
      <c r="G2832" t="s">
        <v>3858</v>
      </c>
      <c r="H2832" t="s">
        <v>5864</v>
      </c>
      <c r="I2832" t="s">
        <v>8655</v>
      </c>
      <c r="J2832" t="s">
        <v>9065</v>
      </c>
      <c r="K2832">
        <v>10460</v>
      </c>
      <c r="L2832" t="s">
        <v>9094</v>
      </c>
      <c r="M2832" t="s">
        <v>9094</v>
      </c>
      <c r="N2832" t="s">
        <v>9222</v>
      </c>
      <c r="O2832" t="s">
        <v>11130</v>
      </c>
      <c r="P2832" t="s">
        <v>11165</v>
      </c>
      <c r="Q2832" t="s">
        <v>11174</v>
      </c>
      <c r="R2832" t="s">
        <v>11180</v>
      </c>
      <c r="S2832" t="s">
        <v>9094</v>
      </c>
      <c r="T2832" t="s">
        <v>11183</v>
      </c>
      <c r="V2832" t="s">
        <v>512</v>
      </c>
      <c r="W2832">
        <v>287</v>
      </c>
      <c r="X2832" t="s">
        <v>11333</v>
      </c>
      <c r="Y2832" t="s">
        <v>11346</v>
      </c>
      <c r="Z2832" t="s">
        <v>13229</v>
      </c>
      <c r="AB2832" t="s">
        <v>17582</v>
      </c>
      <c r="AC2832">
        <v>168</v>
      </c>
      <c r="AD2832" t="s">
        <v>19569</v>
      </c>
      <c r="AE2832" t="s">
        <v>19580</v>
      </c>
      <c r="AF2832">
        <v>19</v>
      </c>
      <c r="AG2832">
        <v>1</v>
      </c>
      <c r="AH2832">
        <v>0</v>
      </c>
      <c r="AI2832">
        <v>94.5</v>
      </c>
      <c r="AL2832" t="s">
        <v>19614</v>
      </c>
      <c r="AM2832">
        <v>11472</v>
      </c>
      <c r="AS2832">
        <v>0.25</v>
      </c>
      <c r="AT2832" t="s">
        <v>377</v>
      </c>
      <c r="AU2832" t="s">
        <v>20642</v>
      </c>
    </row>
    <row r="2833" spans="1:48">
      <c r="A2833" s="1">
        <f>HYPERLINK("https://lsnyc.legalserver.org/matter/dynamic-profile/view/1882714","18-1882714")</f>
        <v>0</v>
      </c>
      <c r="B2833" t="s">
        <v>106</v>
      </c>
      <c r="C2833" t="s">
        <v>256</v>
      </c>
      <c r="D2833" t="s">
        <v>433</v>
      </c>
      <c r="F2833" t="s">
        <v>2068</v>
      </c>
      <c r="G2833" t="s">
        <v>4573</v>
      </c>
      <c r="H2833" t="s">
        <v>5874</v>
      </c>
      <c r="I2833" t="s">
        <v>8140</v>
      </c>
      <c r="J2833" t="s">
        <v>9065</v>
      </c>
      <c r="K2833">
        <v>10457</v>
      </c>
      <c r="L2833" t="s">
        <v>9094</v>
      </c>
      <c r="M2833" t="s">
        <v>9094</v>
      </c>
      <c r="N2833" t="s">
        <v>9230</v>
      </c>
      <c r="O2833" t="s">
        <v>11134</v>
      </c>
      <c r="P2833" t="s">
        <v>11168</v>
      </c>
      <c r="R2833" t="s">
        <v>11180</v>
      </c>
      <c r="S2833" t="s">
        <v>9094</v>
      </c>
      <c r="T2833" t="s">
        <v>11183</v>
      </c>
      <c r="V2833" t="s">
        <v>738</v>
      </c>
      <c r="W2833">
        <v>235.4</v>
      </c>
      <c r="X2833" t="s">
        <v>11333</v>
      </c>
      <c r="Y2833" t="s">
        <v>11346</v>
      </c>
      <c r="Z2833" t="s">
        <v>13287</v>
      </c>
      <c r="AB2833" t="s">
        <v>17634</v>
      </c>
      <c r="AC2833">
        <v>47</v>
      </c>
      <c r="AD2833" t="s">
        <v>19569</v>
      </c>
      <c r="AE2833" t="s">
        <v>9144</v>
      </c>
      <c r="AF2833">
        <v>49</v>
      </c>
      <c r="AG2833">
        <v>1</v>
      </c>
      <c r="AH2833">
        <v>0</v>
      </c>
      <c r="AI2833">
        <v>94.5</v>
      </c>
      <c r="AL2833" t="s">
        <v>19615</v>
      </c>
      <c r="AM2833">
        <v>11472</v>
      </c>
      <c r="AS2833">
        <v>1.3</v>
      </c>
      <c r="AT2833" t="s">
        <v>669</v>
      </c>
      <c r="AU2833" t="s">
        <v>20642</v>
      </c>
    </row>
    <row r="2834" spans="1:48">
      <c r="A2834" s="1">
        <f>HYPERLINK("https://lsnyc.legalserver.org/matter/dynamic-profile/view/1882709","18-1882709")</f>
        <v>0</v>
      </c>
      <c r="B2834" t="s">
        <v>106</v>
      </c>
      <c r="C2834" t="s">
        <v>256</v>
      </c>
      <c r="D2834" t="s">
        <v>433</v>
      </c>
      <c r="F2834" t="s">
        <v>2068</v>
      </c>
      <c r="G2834" t="s">
        <v>4573</v>
      </c>
      <c r="H2834" t="s">
        <v>5874</v>
      </c>
      <c r="I2834" t="s">
        <v>8140</v>
      </c>
      <c r="J2834" t="s">
        <v>9065</v>
      </c>
      <c r="K2834">
        <v>10457</v>
      </c>
      <c r="L2834" t="s">
        <v>9094</v>
      </c>
      <c r="M2834" t="s">
        <v>9094</v>
      </c>
      <c r="N2834" t="s">
        <v>9231</v>
      </c>
      <c r="O2834" t="s">
        <v>11130</v>
      </c>
      <c r="P2834" t="s">
        <v>11165</v>
      </c>
      <c r="R2834" t="s">
        <v>11180</v>
      </c>
      <c r="S2834" t="s">
        <v>9094</v>
      </c>
      <c r="T2834" t="s">
        <v>11183</v>
      </c>
      <c r="V2834" t="s">
        <v>738</v>
      </c>
      <c r="W2834">
        <v>235.4</v>
      </c>
      <c r="X2834" t="s">
        <v>11333</v>
      </c>
      <c r="Y2834" t="s">
        <v>11346</v>
      </c>
      <c r="Z2834" t="s">
        <v>13287</v>
      </c>
      <c r="AB2834" t="s">
        <v>17634</v>
      </c>
      <c r="AC2834">
        <v>47</v>
      </c>
      <c r="AD2834" t="s">
        <v>19569</v>
      </c>
      <c r="AE2834" t="s">
        <v>9144</v>
      </c>
      <c r="AF2834">
        <v>49</v>
      </c>
      <c r="AG2834">
        <v>1</v>
      </c>
      <c r="AH2834">
        <v>0</v>
      </c>
      <c r="AI2834">
        <v>94.5</v>
      </c>
      <c r="AL2834" t="s">
        <v>19615</v>
      </c>
      <c r="AM2834">
        <v>11472</v>
      </c>
      <c r="AS2834">
        <v>0</v>
      </c>
      <c r="AU2834" t="s">
        <v>20642</v>
      </c>
    </row>
    <row r="2835" spans="1:48">
      <c r="A2835" s="1">
        <f>HYPERLINK("https://lsnyc.legalserver.org/matter/dynamic-profile/view/1914631","19-1914631")</f>
        <v>0</v>
      </c>
      <c r="B2835" t="s">
        <v>99</v>
      </c>
      <c r="C2835" t="s">
        <v>256</v>
      </c>
      <c r="D2835" t="s">
        <v>476</v>
      </c>
      <c r="F2835" t="s">
        <v>2335</v>
      </c>
      <c r="G2835" t="s">
        <v>3220</v>
      </c>
      <c r="H2835" t="s">
        <v>5897</v>
      </c>
      <c r="J2835" t="s">
        <v>9065</v>
      </c>
      <c r="K2835">
        <v>10452</v>
      </c>
      <c r="L2835" t="s">
        <v>9094</v>
      </c>
      <c r="M2835" t="s">
        <v>9095</v>
      </c>
      <c r="O2835" t="s">
        <v>11133</v>
      </c>
      <c r="P2835" t="s">
        <v>11167</v>
      </c>
      <c r="R2835" t="s">
        <v>11180</v>
      </c>
      <c r="S2835" t="s">
        <v>9096</v>
      </c>
      <c r="T2835" t="s">
        <v>11189</v>
      </c>
      <c r="W2835">
        <v>700.84</v>
      </c>
      <c r="X2835" t="s">
        <v>11333</v>
      </c>
      <c r="Y2835" t="s">
        <v>11340</v>
      </c>
      <c r="Z2835" t="s">
        <v>13249</v>
      </c>
      <c r="AB2835" t="s">
        <v>17601</v>
      </c>
      <c r="AC2835">
        <v>122</v>
      </c>
      <c r="AD2835" t="s">
        <v>19566</v>
      </c>
      <c r="AE2835" t="s">
        <v>19587</v>
      </c>
      <c r="AF2835">
        <v>27</v>
      </c>
      <c r="AG2835">
        <v>1</v>
      </c>
      <c r="AH2835">
        <v>0</v>
      </c>
      <c r="AI2835">
        <v>94.70999999999999</v>
      </c>
      <c r="AL2835" t="s">
        <v>19614</v>
      </c>
      <c r="AM2835">
        <v>11829.6</v>
      </c>
      <c r="AS2835">
        <v>2</v>
      </c>
      <c r="AT2835" t="s">
        <v>476</v>
      </c>
      <c r="AU2835" t="s">
        <v>99</v>
      </c>
      <c r="AV2835" t="s">
        <v>20733</v>
      </c>
    </row>
    <row r="2836" spans="1:48">
      <c r="A2836" s="1">
        <f>HYPERLINK("https://lsnyc.legalserver.org/matter/dynamic-profile/view/1864098","18-1864098")</f>
        <v>0</v>
      </c>
      <c r="B2836" t="s">
        <v>226</v>
      </c>
      <c r="C2836" t="s">
        <v>257</v>
      </c>
      <c r="D2836" t="s">
        <v>505</v>
      </c>
      <c r="E2836" t="s">
        <v>481</v>
      </c>
      <c r="F2836" t="s">
        <v>2350</v>
      </c>
      <c r="G2836" t="s">
        <v>4574</v>
      </c>
      <c r="H2836" t="s">
        <v>7110</v>
      </c>
      <c r="I2836" t="s">
        <v>8626</v>
      </c>
      <c r="J2836" t="s">
        <v>9059</v>
      </c>
      <c r="K2836">
        <v>11201</v>
      </c>
      <c r="L2836" t="s">
        <v>9096</v>
      </c>
      <c r="M2836" t="s">
        <v>9095</v>
      </c>
      <c r="N2836" t="s">
        <v>10211</v>
      </c>
      <c r="O2836" t="s">
        <v>11128</v>
      </c>
      <c r="P2836" t="s">
        <v>11165</v>
      </c>
      <c r="Q2836" t="s">
        <v>11174</v>
      </c>
      <c r="R2836" t="s">
        <v>11180</v>
      </c>
      <c r="S2836" t="s">
        <v>9096</v>
      </c>
      <c r="T2836" t="s">
        <v>11183</v>
      </c>
      <c r="W2836">
        <v>400</v>
      </c>
      <c r="X2836" t="s">
        <v>11332</v>
      </c>
      <c r="Y2836" t="s">
        <v>11336</v>
      </c>
      <c r="Z2836" t="s">
        <v>13288</v>
      </c>
      <c r="AA2836" t="s">
        <v>15441</v>
      </c>
      <c r="AB2836" t="s">
        <v>17635</v>
      </c>
      <c r="AC2836">
        <v>72</v>
      </c>
      <c r="AD2836" t="s">
        <v>19568</v>
      </c>
      <c r="AE2836" t="s">
        <v>9144</v>
      </c>
      <c r="AF2836">
        <v>25</v>
      </c>
      <c r="AG2836">
        <v>1</v>
      </c>
      <c r="AH2836">
        <v>0</v>
      </c>
      <c r="AI2836">
        <v>94.73</v>
      </c>
      <c r="AL2836" t="s">
        <v>19614</v>
      </c>
      <c r="AM2836">
        <v>11500</v>
      </c>
      <c r="AS2836">
        <v>22.75</v>
      </c>
      <c r="AT2836" t="s">
        <v>481</v>
      </c>
      <c r="AU2836" t="s">
        <v>95</v>
      </c>
    </row>
    <row r="2837" spans="1:48">
      <c r="A2837" s="1">
        <f>HYPERLINK("https://lsnyc.legalserver.org/matter/dynamic-profile/view/1884207","18-1884207")</f>
        <v>0</v>
      </c>
      <c r="B2837" t="s">
        <v>76</v>
      </c>
      <c r="C2837" t="s">
        <v>256</v>
      </c>
      <c r="D2837" t="s">
        <v>287</v>
      </c>
      <c r="F2837" t="s">
        <v>1137</v>
      </c>
      <c r="G2837" t="s">
        <v>4484</v>
      </c>
      <c r="H2837" t="s">
        <v>6169</v>
      </c>
      <c r="I2837" t="s">
        <v>8302</v>
      </c>
      <c r="J2837" t="s">
        <v>9059</v>
      </c>
      <c r="K2837">
        <v>11213</v>
      </c>
      <c r="L2837" t="s">
        <v>9094</v>
      </c>
      <c r="M2837" t="s">
        <v>9094</v>
      </c>
      <c r="N2837" t="s">
        <v>9179</v>
      </c>
      <c r="O2837" t="s">
        <v>11130</v>
      </c>
      <c r="P2837" t="s">
        <v>11165</v>
      </c>
      <c r="R2837" t="s">
        <v>11180</v>
      </c>
      <c r="S2837" t="s">
        <v>9094</v>
      </c>
      <c r="T2837" t="s">
        <v>11183</v>
      </c>
      <c r="U2837" t="s">
        <v>11201</v>
      </c>
      <c r="V2837" t="s">
        <v>407</v>
      </c>
      <c r="W2837">
        <v>659.52</v>
      </c>
      <c r="X2837" t="s">
        <v>11332</v>
      </c>
      <c r="Y2837" t="s">
        <v>11346</v>
      </c>
      <c r="Z2837" t="s">
        <v>12443</v>
      </c>
      <c r="AA2837" t="s">
        <v>15715</v>
      </c>
      <c r="AC2837">
        <v>35</v>
      </c>
      <c r="AD2837" t="s">
        <v>19566</v>
      </c>
      <c r="AE2837" t="s">
        <v>9144</v>
      </c>
      <c r="AF2837">
        <v>30</v>
      </c>
      <c r="AG2837">
        <v>2</v>
      </c>
      <c r="AH2837">
        <v>0</v>
      </c>
      <c r="AI2837">
        <v>94.78</v>
      </c>
      <c r="AL2837" t="s">
        <v>19614</v>
      </c>
      <c r="AM2837">
        <v>15600</v>
      </c>
      <c r="AS2837">
        <v>0.1</v>
      </c>
      <c r="AT2837" t="s">
        <v>344</v>
      </c>
      <c r="AU2837" t="s">
        <v>95</v>
      </c>
      <c r="AV2837" t="s">
        <v>20733</v>
      </c>
    </row>
    <row r="2838" spans="1:48">
      <c r="A2838" s="1">
        <f>HYPERLINK("https://lsnyc.legalserver.org/matter/dynamic-profile/view/1867114","18-1867114")</f>
        <v>0</v>
      </c>
      <c r="B2838" t="s">
        <v>78</v>
      </c>
      <c r="C2838" t="s">
        <v>256</v>
      </c>
      <c r="D2838" t="s">
        <v>272</v>
      </c>
      <c r="F2838" t="s">
        <v>1575</v>
      </c>
      <c r="G2838" t="s">
        <v>3740</v>
      </c>
      <c r="H2838" t="s">
        <v>5809</v>
      </c>
      <c r="I2838" t="s">
        <v>8327</v>
      </c>
      <c r="J2838" t="s">
        <v>9059</v>
      </c>
      <c r="K2838">
        <v>11212</v>
      </c>
      <c r="L2838" t="s">
        <v>9094</v>
      </c>
      <c r="M2838" t="s">
        <v>9095</v>
      </c>
      <c r="O2838" t="s">
        <v>11137</v>
      </c>
      <c r="P2838" t="s">
        <v>11168</v>
      </c>
      <c r="R2838" t="s">
        <v>11180</v>
      </c>
      <c r="S2838" t="s">
        <v>9094</v>
      </c>
      <c r="T2838" t="s">
        <v>11183</v>
      </c>
      <c r="V2838" t="s">
        <v>673</v>
      </c>
      <c r="W2838">
        <v>1135</v>
      </c>
      <c r="X2838" t="s">
        <v>11332</v>
      </c>
      <c r="Y2838" t="s">
        <v>11157</v>
      </c>
      <c r="Z2838" t="s">
        <v>11875</v>
      </c>
      <c r="AB2838" t="s">
        <v>16336</v>
      </c>
      <c r="AC2838">
        <v>32</v>
      </c>
      <c r="AD2838" t="s">
        <v>19566</v>
      </c>
      <c r="AE2838" t="s">
        <v>9144</v>
      </c>
      <c r="AF2838">
        <v>20</v>
      </c>
      <c r="AG2838">
        <v>2</v>
      </c>
      <c r="AH2838">
        <v>0</v>
      </c>
      <c r="AI2838">
        <v>94.78</v>
      </c>
      <c r="AL2838" t="s">
        <v>19614</v>
      </c>
      <c r="AM2838">
        <v>15600</v>
      </c>
      <c r="AS2838">
        <v>0</v>
      </c>
      <c r="AU2838" t="s">
        <v>95</v>
      </c>
    </row>
    <row r="2839" spans="1:48">
      <c r="A2839" s="1">
        <f>HYPERLINK("https://lsnyc.legalserver.org/matter/dynamic-profile/view/1885581","18-1885581")</f>
        <v>0</v>
      </c>
      <c r="B2839" t="s">
        <v>113</v>
      </c>
      <c r="C2839" t="s">
        <v>256</v>
      </c>
      <c r="D2839" t="s">
        <v>622</v>
      </c>
      <c r="F2839" t="s">
        <v>2328</v>
      </c>
      <c r="G2839" t="s">
        <v>4163</v>
      </c>
      <c r="H2839" t="s">
        <v>5864</v>
      </c>
      <c r="I2839" t="s">
        <v>8656</v>
      </c>
      <c r="J2839" t="s">
        <v>9065</v>
      </c>
      <c r="K2839">
        <v>10460</v>
      </c>
      <c r="L2839" t="s">
        <v>9094</v>
      </c>
      <c r="M2839" t="s">
        <v>9094</v>
      </c>
      <c r="N2839" t="s">
        <v>9222</v>
      </c>
      <c r="O2839" t="s">
        <v>11130</v>
      </c>
      <c r="P2839" t="s">
        <v>11165</v>
      </c>
      <c r="R2839" t="s">
        <v>11180</v>
      </c>
      <c r="S2839" t="s">
        <v>9094</v>
      </c>
      <c r="T2839" t="s">
        <v>11183</v>
      </c>
      <c r="V2839" t="s">
        <v>512</v>
      </c>
      <c r="W2839">
        <v>1543</v>
      </c>
      <c r="X2839" t="s">
        <v>11333</v>
      </c>
      <c r="Y2839" t="s">
        <v>11346</v>
      </c>
      <c r="Z2839" t="s">
        <v>13238</v>
      </c>
      <c r="AB2839" t="s">
        <v>17591</v>
      </c>
      <c r="AC2839">
        <v>168</v>
      </c>
      <c r="AD2839" t="s">
        <v>19566</v>
      </c>
      <c r="AE2839" t="s">
        <v>19580</v>
      </c>
      <c r="AF2839">
        <v>24</v>
      </c>
      <c r="AG2839">
        <v>2</v>
      </c>
      <c r="AH2839">
        <v>0</v>
      </c>
      <c r="AI2839">
        <v>94.78</v>
      </c>
      <c r="AL2839" t="s">
        <v>19614</v>
      </c>
      <c r="AM2839">
        <v>15600</v>
      </c>
      <c r="AS2839">
        <v>0</v>
      </c>
      <c r="AU2839" t="s">
        <v>163</v>
      </c>
      <c r="AV2839" t="s">
        <v>20733</v>
      </c>
    </row>
    <row r="2840" spans="1:48">
      <c r="A2840" s="1">
        <f>HYPERLINK("https://lsnyc.legalserver.org/matter/dynamic-profile/view/1886091","18-1886091")</f>
        <v>0</v>
      </c>
      <c r="B2840" t="s">
        <v>138</v>
      </c>
      <c r="C2840" t="s">
        <v>256</v>
      </c>
      <c r="D2840" t="s">
        <v>397</v>
      </c>
      <c r="F2840" t="s">
        <v>1358</v>
      </c>
      <c r="G2840" t="s">
        <v>3540</v>
      </c>
      <c r="H2840" t="s">
        <v>6093</v>
      </c>
      <c r="I2840">
        <v>35</v>
      </c>
      <c r="J2840" t="s">
        <v>9067</v>
      </c>
      <c r="K2840">
        <v>10034</v>
      </c>
      <c r="L2840" t="s">
        <v>9094</v>
      </c>
      <c r="M2840" t="s">
        <v>9094</v>
      </c>
      <c r="O2840" t="s">
        <v>11130</v>
      </c>
      <c r="P2840" t="s">
        <v>11165</v>
      </c>
      <c r="R2840" t="s">
        <v>11180</v>
      </c>
      <c r="S2840" t="s">
        <v>9094</v>
      </c>
      <c r="T2840" t="s">
        <v>11183</v>
      </c>
      <c r="V2840" t="s">
        <v>397</v>
      </c>
      <c r="W2840">
        <v>961.5</v>
      </c>
      <c r="X2840" t="s">
        <v>11335</v>
      </c>
      <c r="Y2840" t="s">
        <v>11338</v>
      </c>
      <c r="Z2840" t="s">
        <v>13289</v>
      </c>
      <c r="AB2840" t="s">
        <v>17636</v>
      </c>
      <c r="AC2840">
        <v>25</v>
      </c>
      <c r="AD2840" t="s">
        <v>19566</v>
      </c>
      <c r="AE2840" t="s">
        <v>9144</v>
      </c>
      <c r="AF2840">
        <v>26</v>
      </c>
      <c r="AG2840">
        <v>2</v>
      </c>
      <c r="AH2840">
        <v>0</v>
      </c>
      <c r="AI2840">
        <v>94.78</v>
      </c>
      <c r="AL2840" t="s">
        <v>19615</v>
      </c>
      <c r="AM2840">
        <v>15600</v>
      </c>
      <c r="AS2840">
        <v>114.6</v>
      </c>
      <c r="AT2840" t="s">
        <v>1135</v>
      </c>
      <c r="AU2840" t="s">
        <v>130</v>
      </c>
      <c r="AV2840" t="s">
        <v>20733</v>
      </c>
    </row>
    <row r="2841" spans="1:48">
      <c r="A2841" s="1">
        <f>HYPERLINK("https://lsnyc.legalserver.org/matter/dynamic-profile/view/1874297","18-1874297")</f>
        <v>0</v>
      </c>
      <c r="B2841" t="s">
        <v>136</v>
      </c>
      <c r="C2841" t="s">
        <v>256</v>
      </c>
      <c r="D2841" t="s">
        <v>794</v>
      </c>
      <c r="F2841" t="s">
        <v>2351</v>
      </c>
      <c r="G2841" t="s">
        <v>3808</v>
      </c>
      <c r="H2841" t="s">
        <v>6119</v>
      </c>
      <c r="I2841" t="s">
        <v>8229</v>
      </c>
      <c r="J2841" t="s">
        <v>9067</v>
      </c>
      <c r="K2841">
        <v>10031</v>
      </c>
      <c r="L2841" t="s">
        <v>9094</v>
      </c>
      <c r="M2841" t="s">
        <v>9094</v>
      </c>
      <c r="N2841" t="s">
        <v>9461</v>
      </c>
      <c r="O2841" t="s">
        <v>11130</v>
      </c>
      <c r="P2841" t="s">
        <v>11165</v>
      </c>
      <c r="R2841" t="s">
        <v>11180</v>
      </c>
      <c r="S2841" t="s">
        <v>9094</v>
      </c>
      <c r="T2841" t="s">
        <v>11183</v>
      </c>
      <c r="U2841" t="s">
        <v>11201</v>
      </c>
      <c r="V2841" t="s">
        <v>794</v>
      </c>
      <c r="W2841">
        <v>2050</v>
      </c>
      <c r="X2841" t="s">
        <v>11335</v>
      </c>
      <c r="Y2841" t="s">
        <v>11339</v>
      </c>
      <c r="Z2841" t="s">
        <v>13290</v>
      </c>
      <c r="AB2841" t="s">
        <v>17637</v>
      </c>
      <c r="AC2841">
        <v>44</v>
      </c>
      <c r="AD2841" t="s">
        <v>19567</v>
      </c>
      <c r="AE2841" t="s">
        <v>19580</v>
      </c>
      <c r="AF2841">
        <v>22</v>
      </c>
      <c r="AG2841">
        <v>2</v>
      </c>
      <c r="AH2841">
        <v>0</v>
      </c>
      <c r="AI2841">
        <v>94.78</v>
      </c>
      <c r="AL2841" t="s">
        <v>19615</v>
      </c>
      <c r="AM2841">
        <v>15600</v>
      </c>
      <c r="AO2841" t="s">
        <v>20293</v>
      </c>
      <c r="AS2841">
        <v>2.75</v>
      </c>
      <c r="AT2841" t="s">
        <v>497</v>
      </c>
      <c r="AU2841" t="s">
        <v>20657</v>
      </c>
    </row>
    <row r="2842" spans="1:48">
      <c r="A2842" s="1">
        <f>HYPERLINK("https://lsnyc.legalserver.org/matter/dynamic-profile/view/1908658","19-1908658")</f>
        <v>0</v>
      </c>
      <c r="B2842" t="s">
        <v>173</v>
      </c>
      <c r="C2842" t="s">
        <v>256</v>
      </c>
      <c r="D2842" t="s">
        <v>326</v>
      </c>
      <c r="F2842" t="s">
        <v>2352</v>
      </c>
      <c r="G2842" t="s">
        <v>4575</v>
      </c>
      <c r="H2842" t="s">
        <v>6671</v>
      </c>
      <c r="I2842">
        <v>314</v>
      </c>
      <c r="J2842" t="s">
        <v>9055</v>
      </c>
      <c r="K2842">
        <v>11354</v>
      </c>
      <c r="L2842" t="s">
        <v>9094</v>
      </c>
      <c r="M2842" t="s">
        <v>9095</v>
      </c>
      <c r="N2842" t="s">
        <v>10212</v>
      </c>
      <c r="O2842" t="s">
        <v>11129</v>
      </c>
      <c r="P2842" t="s">
        <v>11165</v>
      </c>
      <c r="R2842" t="s">
        <v>11180</v>
      </c>
      <c r="S2842" t="s">
        <v>9096</v>
      </c>
      <c r="T2842" t="s">
        <v>11183</v>
      </c>
      <c r="U2842" t="s">
        <v>11201</v>
      </c>
      <c r="V2842" t="s">
        <v>326</v>
      </c>
      <c r="W2842">
        <v>1150.87</v>
      </c>
      <c r="X2842" t="s">
        <v>11331</v>
      </c>
      <c r="Y2842" t="s">
        <v>11341</v>
      </c>
      <c r="Z2842" t="s">
        <v>13291</v>
      </c>
      <c r="AB2842" t="s">
        <v>17638</v>
      </c>
      <c r="AC2842">
        <v>79</v>
      </c>
      <c r="AD2842" t="s">
        <v>19566</v>
      </c>
      <c r="AE2842" t="s">
        <v>19587</v>
      </c>
      <c r="AF2842">
        <v>30</v>
      </c>
      <c r="AG2842">
        <v>1</v>
      </c>
      <c r="AH2842">
        <v>0</v>
      </c>
      <c r="AI2842">
        <v>94.83</v>
      </c>
      <c r="AL2842" t="s">
        <v>19623</v>
      </c>
      <c r="AM2842">
        <v>11844</v>
      </c>
      <c r="AP2842" t="s">
        <v>20317</v>
      </c>
      <c r="AS2842">
        <v>4.65</v>
      </c>
      <c r="AT2842" t="s">
        <v>496</v>
      </c>
      <c r="AU2842" t="s">
        <v>61</v>
      </c>
    </row>
    <row r="2843" spans="1:48">
      <c r="A2843" s="1">
        <f>HYPERLINK("https://lsnyc.legalserver.org/matter/dynamic-profile/view/1880614","18-1880614")</f>
        <v>0</v>
      </c>
      <c r="B2843" t="s">
        <v>103</v>
      </c>
      <c r="C2843" t="s">
        <v>256</v>
      </c>
      <c r="D2843" t="s">
        <v>477</v>
      </c>
      <c r="F2843" t="s">
        <v>1837</v>
      </c>
      <c r="G2843" t="s">
        <v>4012</v>
      </c>
      <c r="H2843" t="s">
        <v>6413</v>
      </c>
      <c r="I2843" t="s">
        <v>8216</v>
      </c>
      <c r="J2843" t="s">
        <v>9065</v>
      </c>
      <c r="K2843">
        <v>10456</v>
      </c>
      <c r="L2843" t="s">
        <v>9094</v>
      </c>
      <c r="M2843" t="s">
        <v>9094</v>
      </c>
      <c r="N2843" t="s">
        <v>9732</v>
      </c>
      <c r="O2843" t="s">
        <v>11134</v>
      </c>
      <c r="P2843" t="s">
        <v>11168</v>
      </c>
      <c r="R2843" t="s">
        <v>11180</v>
      </c>
      <c r="S2843" t="s">
        <v>9094</v>
      </c>
      <c r="T2843" t="s">
        <v>11183</v>
      </c>
      <c r="V2843" t="s">
        <v>512</v>
      </c>
      <c r="W2843">
        <v>1466.39</v>
      </c>
      <c r="X2843" t="s">
        <v>11333</v>
      </c>
      <c r="Y2843" t="s">
        <v>11346</v>
      </c>
      <c r="Z2843" t="s">
        <v>11723</v>
      </c>
      <c r="AB2843" t="s">
        <v>16718</v>
      </c>
      <c r="AC2843">
        <v>61</v>
      </c>
      <c r="AD2843" t="s">
        <v>19566</v>
      </c>
      <c r="AE2843" t="s">
        <v>19580</v>
      </c>
      <c r="AF2843">
        <v>18</v>
      </c>
      <c r="AG2843">
        <v>2</v>
      </c>
      <c r="AH2843">
        <v>0</v>
      </c>
      <c r="AI2843">
        <v>94.84999999999999</v>
      </c>
      <c r="AL2843" t="s">
        <v>19615</v>
      </c>
      <c r="AM2843">
        <v>15612</v>
      </c>
      <c r="AS2843">
        <v>0</v>
      </c>
      <c r="AU2843" t="s">
        <v>20642</v>
      </c>
    </row>
    <row r="2844" spans="1:48">
      <c r="A2844" s="1">
        <f>HYPERLINK("https://lsnyc.legalserver.org/matter/dynamic-profile/view/1908659","19-1908659")</f>
        <v>0</v>
      </c>
      <c r="B2844" t="s">
        <v>139</v>
      </c>
      <c r="C2844" t="s">
        <v>257</v>
      </c>
      <c r="D2844" t="s">
        <v>326</v>
      </c>
      <c r="E2844" t="s">
        <v>481</v>
      </c>
      <c r="F2844" t="s">
        <v>1566</v>
      </c>
      <c r="G2844" t="s">
        <v>4011</v>
      </c>
      <c r="H2844" t="s">
        <v>7111</v>
      </c>
      <c r="I2844" t="s">
        <v>8212</v>
      </c>
      <c r="J2844" t="s">
        <v>9067</v>
      </c>
      <c r="K2844">
        <v>10032</v>
      </c>
      <c r="L2844" t="s">
        <v>9094</v>
      </c>
      <c r="M2844" t="s">
        <v>9095</v>
      </c>
      <c r="N2844" t="s">
        <v>10213</v>
      </c>
      <c r="P2844" t="s">
        <v>11164</v>
      </c>
      <c r="Q2844" t="s">
        <v>11172</v>
      </c>
      <c r="R2844" t="s">
        <v>11180</v>
      </c>
      <c r="S2844" t="s">
        <v>9096</v>
      </c>
      <c r="T2844" t="s">
        <v>11183</v>
      </c>
      <c r="V2844" t="s">
        <v>326</v>
      </c>
      <c r="W2844">
        <v>199.43</v>
      </c>
      <c r="X2844" t="s">
        <v>11335</v>
      </c>
      <c r="Y2844" t="s">
        <v>11338</v>
      </c>
      <c r="Z2844" t="s">
        <v>13292</v>
      </c>
      <c r="AB2844" t="s">
        <v>17639</v>
      </c>
      <c r="AC2844">
        <v>45</v>
      </c>
      <c r="AD2844" t="s">
        <v>19566</v>
      </c>
      <c r="AE2844" t="s">
        <v>19587</v>
      </c>
      <c r="AF2844">
        <v>60</v>
      </c>
      <c r="AG2844">
        <v>2</v>
      </c>
      <c r="AH2844">
        <v>0</v>
      </c>
      <c r="AI2844">
        <v>94.95</v>
      </c>
      <c r="AL2844" t="s">
        <v>19615</v>
      </c>
      <c r="AM2844">
        <v>16056</v>
      </c>
      <c r="AS2844">
        <v>0.5</v>
      </c>
      <c r="AT2844" t="s">
        <v>481</v>
      </c>
      <c r="AU2844" t="s">
        <v>130</v>
      </c>
      <c r="AV2844" t="s">
        <v>20733</v>
      </c>
    </row>
    <row r="2845" spans="1:48">
      <c r="A2845" s="1">
        <f>HYPERLINK("https://lsnyc.legalserver.org/matter/dynamic-profile/view/1877914","18-1877914")</f>
        <v>0</v>
      </c>
      <c r="B2845" t="s">
        <v>113</v>
      </c>
      <c r="C2845" t="s">
        <v>256</v>
      </c>
      <c r="D2845" t="s">
        <v>489</v>
      </c>
      <c r="F2845" t="s">
        <v>1459</v>
      </c>
      <c r="G2845" t="s">
        <v>3640</v>
      </c>
      <c r="H2845" t="s">
        <v>5892</v>
      </c>
      <c r="I2845" t="s">
        <v>8279</v>
      </c>
      <c r="J2845" t="s">
        <v>9065</v>
      </c>
      <c r="K2845">
        <v>10453</v>
      </c>
      <c r="L2845" t="s">
        <v>9094</v>
      </c>
      <c r="M2845" t="s">
        <v>9094</v>
      </c>
      <c r="O2845" t="s">
        <v>9121</v>
      </c>
      <c r="P2845" t="s">
        <v>11167</v>
      </c>
      <c r="R2845" t="s">
        <v>11180</v>
      </c>
      <c r="S2845" t="s">
        <v>9094</v>
      </c>
      <c r="T2845" t="s">
        <v>11183</v>
      </c>
      <c r="V2845" t="s">
        <v>11218</v>
      </c>
      <c r="W2845">
        <v>669</v>
      </c>
      <c r="X2845" t="s">
        <v>11333</v>
      </c>
      <c r="Y2845" t="s">
        <v>11346</v>
      </c>
      <c r="Z2845" t="s">
        <v>11726</v>
      </c>
      <c r="AA2845" t="s">
        <v>15337</v>
      </c>
      <c r="AB2845" t="s">
        <v>16193</v>
      </c>
      <c r="AC2845">
        <v>99</v>
      </c>
      <c r="AD2845" t="s">
        <v>19566</v>
      </c>
      <c r="AE2845" t="s">
        <v>19580</v>
      </c>
      <c r="AF2845">
        <v>9</v>
      </c>
      <c r="AG2845">
        <v>1</v>
      </c>
      <c r="AH2845">
        <v>2</v>
      </c>
      <c r="AI2845">
        <v>95.09</v>
      </c>
      <c r="AL2845" t="s">
        <v>19614</v>
      </c>
      <c r="AM2845">
        <v>19760</v>
      </c>
      <c r="AS2845">
        <v>90.59999999999999</v>
      </c>
      <c r="AT2845" t="s">
        <v>335</v>
      </c>
      <c r="AU2845" t="s">
        <v>163</v>
      </c>
      <c r="AV2845" t="s">
        <v>20733</v>
      </c>
    </row>
    <row r="2846" spans="1:48">
      <c r="A2846" s="1">
        <f>HYPERLINK("https://lsnyc.legalserver.org/matter/dynamic-profile/view/1911785","19-1911785")</f>
        <v>0</v>
      </c>
      <c r="B2846" t="s">
        <v>138</v>
      </c>
      <c r="C2846" t="s">
        <v>256</v>
      </c>
      <c r="D2846" t="s">
        <v>284</v>
      </c>
      <c r="F2846" t="s">
        <v>2069</v>
      </c>
      <c r="G2846" t="s">
        <v>4576</v>
      </c>
      <c r="H2846" t="s">
        <v>7112</v>
      </c>
      <c r="I2846">
        <v>46</v>
      </c>
      <c r="J2846" t="s">
        <v>9067</v>
      </c>
      <c r="K2846">
        <v>10033</v>
      </c>
      <c r="L2846" t="s">
        <v>9094</v>
      </c>
      <c r="M2846" t="s">
        <v>9095</v>
      </c>
      <c r="P2846" t="s">
        <v>11169</v>
      </c>
      <c r="R2846" t="s">
        <v>11180</v>
      </c>
      <c r="S2846" t="s">
        <v>9096</v>
      </c>
      <c r="T2846" t="s">
        <v>11183</v>
      </c>
      <c r="V2846" t="s">
        <v>284</v>
      </c>
      <c r="W2846">
        <v>724.4</v>
      </c>
      <c r="X2846" t="s">
        <v>11335</v>
      </c>
      <c r="Y2846" t="s">
        <v>11338</v>
      </c>
      <c r="Z2846" t="s">
        <v>13293</v>
      </c>
      <c r="AA2846" t="s">
        <v>15743</v>
      </c>
      <c r="AB2846" t="s">
        <v>17640</v>
      </c>
      <c r="AC2846">
        <v>56</v>
      </c>
      <c r="AD2846" t="s">
        <v>19566</v>
      </c>
      <c r="AE2846" t="s">
        <v>9144</v>
      </c>
      <c r="AF2846">
        <v>48</v>
      </c>
      <c r="AG2846">
        <v>1</v>
      </c>
      <c r="AH2846">
        <v>0</v>
      </c>
      <c r="AI2846">
        <v>95.12</v>
      </c>
      <c r="AL2846" t="s">
        <v>19614</v>
      </c>
      <c r="AM2846">
        <v>11880</v>
      </c>
      <c r="AS2846">
        <v>7.2</v>
      </c>
      <c r="AT2846" t="s">
        <v>476</v>
      </c>
      <c r="AU2846" t="s">
        <v>130</v>
      </c>
      <c r="AV2846" t="s">
        <v>20733</v>
      </c>
    </row>
    <row r="2847" spans="1:48">
      <c r="A2847" s="1">
        <f>HYPERLINK("https://lsnyc.legalserver.org/matter/dynamic-profile/view/1894073","19-1894073")</f>
        <v>0</v>
      </c>
      <c r="B2847" t="s">
        <v>100</v>
      </c>
      <c r="C2847" t="s">
        <v>256</v>
      </c>
      <c r="D2847" t="s">
        <v>397</v>
      </c>
      <c r="F2847" t="s">
        <v>1524</v>
      </c>
      <c r="G2847" t="s">
        <v>3498</v>
      </c>
      <c r="H2847" t="s">
        <v>5888</v>
      </c>
      <c r="I2847" t="s">
        <v>8229</v>
      </c>
      <c r="J2847" t="s">
        <v>9065</v>
      </c>
      <c r="K2847">
        <v>10453</v>
      </c>
      <c r="L2847" t="s">
        <v>9094</v>
      </c>
      <c r="M2847" t="s">
        <v>9094</v>
      </c>
      <c r="O2847" t="s">
        <v>11134</v>
      </c>
      <c r="P2847" t="s">
        <v>11168</v>
      </c>
      <c r="R2847" t="s">
        <v>11180</v>
      </c>
      <c r="S2847" t="s">
        <v>9094</v>
      </c>
      <c r="T2847" t="s">
        <v>11183</v>
      </c>
      <c r="V2847" t="s">
        <v>512</v>
      </c>
      <c r="W2847">
        <v>0</v>
      </c>
      <c r="X2847" t="s">
        <v>11333</v>
      </c>
      <c r="Y2847" t="s">
        <v>11346</v>
      </c>
      <c r="Z2847" t="s">
        <v>13294</v>
      </c>
      <c r="AB2847" t="s">
        <v>17641</v>
      </c>
      <c r="AC2847">
        <v>44</v>
      </c>
      <c r="AD2847" t="s">
        <v>19566</v>
      </c>
      <c r="AE2847" t="s">
        <v>11157</v>
      </c>
      <c r="AF2847">
        <v>13</v>
      </c>
      <c r="AG2847">
        <v>1</v>
      </c>
      <c r="AH2847">
        <v>0</v>
      </c>
      <c r="AI2847">
        <v>95.19</v>
      </c>
      <c r="AL2847" t="s">
        <v>19614</v>
      </c>
      <c r="AM2847">
        <v>11556</v>
      </c>
      <c r="AS2847">
        <v>0</v>
      </c>
      <c r="AU2847" t="s">
        <v>163</v>
      </c>
    </row>
    <row r="2848" spans="1:48">
      <c r="A2848" s="1">
        <f>HYPERLINK("https://lsnyc.legalserver.org/matter/dynamic-profile/view/1894071","19-1894071")</f>
        <v>0</v>
      </c>
      <c r="B2848" t="s">
        <v>100</v>
      </c>
      <c r="C2848" t="s">
        <v>256</v>
      </c>
      <c r="D2848" t="s">
        <v>397</v>
      </c>
      <c r="F2848" t="s">
        <v>1524</v>
      </c>
      <c r="G2848" t="s">
        <v>3498</v>
      </c>
      <c r="H2848" t="s">
        <v>5888</v>
      </c>
      <c r="I2848" t="s">
        <v>8229</v>
      </c>
      <c r="J2848" t="s">
        <v>9065</v>
      </c>
      <c r="K2848">
        <v>10453</v>
      </c>
      <c r="L2848" t="s">
        <v>9094</v>
      </c>
      <c r="M2848" t="s">
        <v>9094</v>
      </c>
      <c r="N2848" t="s">
        <v>9243</v>
      </c>
      <c r="O2848" t="s">
        <v>11130</v>
      </c>
      <c r="P2848" t="s">
        <v>11165</v>
      </c>
      <c r="R2848" t="s">
        <v>11180</v>
      </c>
      <c r="S2848" t="s">
        <v>9094</v>
      </c>
      <c r="T2848" t="s">
        <v>11183</v>
      </c>
      <c r="V2848" t="s">
        <v>512</v>
      </c>
      <c r="W2848">
        <v>0</v>
      </c>
      <c r="X2848" t="s">
        <v>11333</v>
      </c>
      <c r="Y2848" t="s">
        <v>11346</v>
      </c>
      <c r="Z2848" t="s">
        <v>13294</v>
      </c>
      <c r="AB2848" t="s">
        <v>17641</v>
      </c>
      <c r="AC2848">
        <v>44</v>
      </c>
      <c r="AD2848" t="s">
        <v>19566</v>
      </c>
      <c r="AE2848" t="s">
        <v>11157</v>
      </c>
      <c r="AF2848">
        <v>13</v>
      </c>
      <c r="AG2848">
        <v>1</v>
      </c>
      <c r="AH2848">
        <v>0</v>
      </c>
      <c r="AI2848">
        <v>95.19</v>
      </c>
      <c r="AL2848" t="s">
        <v>19614</v>
      </c>
      <c r="AM2848">
        <v>11556</v>
      </c>
      <c r="AS2848">
        <v>0</v>
      </c>
      <c r="AU2848" t="s">
        <v>163</v>
      </c>
    </row>
    <row r="2849" spans="1:48">
      <c r="A2849" s="1">
        <f>HYPERLINK("https://lsnyc.legalserver.org/matter/dynamic-profile/view/1894068","18-1894068")</f>
        <v>0</v>
      </c>
      <c r="B2849" t="s">
        <v>117</v>
      </c>
      <c r="C2849" t="s">
        <v>256</v>
      </c>
      <c r="D2849" t="s">
        <v>397</v>
      </c>
      <c r="F2849" t="s">
        <v>1524</v>
      </c>
      <c r="G2849" t="s">
        <v>3498</v>
      </c>
      <c r="H2849" t="s">
        <v>5888</v>
      </c>
      <c r="I2849" t="s">
        <v>8229</v>
      </c>
      <c r="J2849" t="s">
        <v>9065</v>
      </c>
      <c r="K2849">
        <v>10453</v>
      </c>
      <c r="L2849" t="s">
        <v>9094</v>
      </c>
      <c r="M2849" t="s">
        <v>9094</v>
      </c>
      <c r="O2849" t="s">
        <v>9121</v>
      </c>
      <c r="P2849" t="s">
        <v>11166</v>
      </c>
      <c r="R2849" t="s">
        <v>11180</v>
      </c>
      <c r="S2849" t="s">
        <v>9094</v>
      </c>
      <c r="T2849" t="s">
        <v>11183</v>
      </c>
      <c r="V2849" t="s">
        <v>746</v>
      </c>
      <c r="W2849">
        <v>0</v>
      </c>
      <c r="X2849" t="s">
        <v>11333</v>
      </c>
      <c r="Y2849" t="s">
        <v>11346</v>
      </c>
      <c r="Z2849" t="s">
        <v>13294</v>
      </c>
      <c r="AB2849" t="s">
        <v>17641</v>
      </c>
      <c r="AC2849">
        <v>44</v>
      </c>
      <c r="AD2849" t="s">
        <v>19566</v>
      </c>
      <c r="AE2849" t="s">
        <v>11157</v>
      </c>
      <c r="AF2849">
        <v>13</v>
      </c>
      <c r="AG2849">
        <v>1</v>
      </c>
      <c r="AH2849">
        <v>0</v>
      </c>
      <c r="AI2849">
        <v>95.19</v>
      </c>
      <c r="AL2849" t="s">
        <v>19614</v>
      </c>
      <c r="AM2849">
        <v>11556</v>
      </c>
      <c r="AS2849">
        <v>0</v>
      </c>
      <c r="AU2849" t="s">
        <v>163</v>
      </c>
    </row>
    <row r="2850" spans="1:48">
      <c r="A2850" s="1">
        <f>HYPERLINK("https://lsnyc.legalserver.org/matter/dynamic-profile/view/1869429","18-1869429")</f>
        <v>0</v>
      </c>
      <c r="B2850" t="s">
        <v>78</v>
      </c>
      <c r="C2850" t="s">
        <v>256</v>
      </c>
      <c r="D2850" t="s">
        <v>332</v>
      </c>
      <c r="F2850" t="s">
        <v>1324</v>
      </c>
      <c r="G2850" t="s">
        <v>3409</v>
      </c>
      <c r="H2850" t="s">
        <v>5759</v>
      </c>
      <c r="I2850" t="s">
        <v>8161</v>
      </c>
      <c r="J2850" t="s">
        <v>9059</v>
      </c>
      <c r="K2850">
        <v>11233</v>
      </c>
      <c r="L2850" t="s">
        <v>9094</v>
      </c>
      <c r="M2850" t="s">
        <v>9095</v>
      </c>
      <c r="O2850" t="s">
        <v>11137</v>
      </c>
      <c r="P2850" t="s">
        <v>11167</v>
      </c>
      <c r="R2850" t="s">
        <v>11180</v>
      </c>
      <c r="S2850" t="s">
        <v>9094</v>
      </c>
      <c r="T2850" t="s">
        <v>11183</v>
      </c>
      <c r="V2850" t="s">
        <v>975</v>
      </c>
      <c r="W2850">
        <v>950</v>
      </c>
      <c r="X2850" t="s">
        <v>11332</v>
      </c>
      <c r="Y2850" t="s">
        <v>11340</v>
      </c>
      <c r="Z2850" t="s">
        <v>13295</v>
      </c>
      <c r="AB2850" t="s">
        <v>17642</v>
      </c>
      <c r="AC2850">
        <v>11</v>
      </c>
      <c r="AD2850" t="s">
        <v>19566</v>
      </c>
      <c r="AE2850" t="s">
        <v>9144</v>
      </c>
      <c r="AF2850">
        <v>27</v>
      </c>
      <c r="AG2850">
        <v>2</v>
      </c>
      <c r="AH2850">
        <v>1</v>
      </c>
      <c r="AI2850">
        <v>95.28</v>
      </c>
      <c r="AL2850" t="s">
        <v>19614</v>
      </c>
      <c r="AM2850">
        <v>19800</v>
      </c>
      <c r="AS2850">
        <v>0</v>
      </c>
      <c r="AU2850" t="s">
        <v>95</v>
      </c>
    </row>
    <row r="2851" spans="1:48">
      <c r="A2851" s="1">
        <f>HYPERLINK("https://lsnyc.legalserver.org/matter/dynamic-profile/view/1880927","18-1880927")</f>
        <v>0</v>
      </c>
      <c r="B2851" t="s">
        <v>103</v>
      </c>
      <c r="C2851" t="s">
        <v>257</v>
      </c>
      <c r="D2851" t="s">
        <v>514</v>
      </c>
      <c r="E2851" t="s">
        <v>556</v>
      </c>
      <c r="F2851" t="s">
        <v>1450</v>
      </c>
      <c r="G2851" t="s">
        <v>4577</v>
      </c>
      <c r="H2851" t="s">
        <v>7113</v>
      </c>
      <c r="I2851" t="s">
        <v>8197</v>
      </c>
      <c r="J2851" t="s">
        <v>9065</v>
      </c>
      <c r="K2851">
        <v>10453</v>
      </c>
      <c r="L2851" t="s">
        <v>9094</v>
      </c>
      <c r="M2851" t="s">
        <v>9094</v>
      </c>
      <c r="O2851" t="s">
        <v>11136</v>
      </c>
      <c r="P2851" t="s">
        <v>11164</v>
      </c>
      <c r="Q2851" t="s">
        <v>11172</v>
      </c>
      <c r="R2851" t="s">
        <v>11180</v>
      </c>
      <c r="T2851" t="s">
        <v>11183</v>
      </c>
      <c r="V2851" t="s">
        <v>516</v>
      </c>
      <c r="W2851">
        <v>1335.48</v>
      </c>
      <c r="X2851" t="s">
        <v>11333</v>
      </c>
      <c r="Y2851" t="s">
        <v>11346</v>
      </c>
      <c r="Z2851" t="s">
        <v>13296</v>
      </c>
      <c r="AB2851" t="s">
        <v>17643</v>
      </c>
      <c r="AC2851">
        <v>0</v>
      </c>
      <c r="AD2851" t="s">
        <v>19566</v>
      </c>
      <c r="AF2851">
        <v>0</v>
      </c>
      <c r="AG2851">
        <v>3</v>
      </c>
      <c r="AH2851">
        <v>0</v>
      </c>
      <c r="AI2851">
        <v>95.28</v>
      </c>
      <c r="AL2851" t="s">
        <v>19615</v>
      </c>
      <c r="AM2851">
        <v>19800</v>
      </c>
      <c r="AS2851">
        <v>0.1</v>
      </c>
      <c r="AT2851" t="s">
        <v>516</v>
      </c>
      <c r="AU2851" t="s">
        <v>178</v>
      </c>
    </row>
    <row r="2852" spans="1:48">
      <c r="A2852" s="1">
        <f>HYPERLINK("https://lsnyc.legalserver.org/matter/dynamic-profile/view/1842302","17-1842302")</f>
        <v>0</v>
      </c>
      <c r="B2852" t="s">
        <v>138</v>
      </c>
      <c r="C2852" t="s">
        <v>256</v>
      </c>
      <c r="D2852" t="s">
        <v>837</v>
      </c>
      <c r="F2852" t="s">
        <v>1229</v>
      </c>
      <c r="G2852" t="s">
        <v>3503</v>
      </c>
      <c r="H2852" t="s">
        <v>7114</v>
      </c>
      <c r="I2852" t="s">
        <v>8308</v>
      </c>
      <c r="J2852" t="s">
        <v>9067</v>
      </c>
      <c r="K2852">
        <v>10034</v>
      </c>
      <c r="L2852" t="s">
        <v>9094</v>
      </c>
      <c r="M2852" t="s">
        <v>9095</v>
      </c>
      <c r="N2852" t="s">
        <v>10214</v>
      </c>
      <c r="O2852" t="s">
        <v>11129</v>
      </c>
      <c r="P2852" t="s">
        <v>11165</v>
      </c>
      <c r="R2852" t="s">
        <v>11180</v>
      </c>
      <c r="S2852" t="s">
        <v>9096</v>
      </c>
      <c r="T2852" t="s">
        <v>11183</v>
      </c>
      <c r="V2852" t="s">
        <v>837</v>
      </c>
      <c r="W2852">
        <v>916.29</v>
      </c>
      <c r="X2852" t="s">
        <v>11335</v>
      </c>
      <c r="Y2852" t="s">
        <v>11338</v>
      </c>
      <c r="Z2852" t="s">
        <v>13297</v>
      </c>
      <c r="AB2852" t="s">
        <v>17644</v>
      </c>
      <c r="AC2852">
        <v>47</v>
      </c>
      <c r="AD2852" t="s">
        <v>19566</v>
      </c>
      <c r="AE2852" t="s">
        <v>9144</v>
      </c>
      <c r="AF2852">
        <v>17</v>
      </c>
      <c r="AG2852">
        <v>2</v>
      </c>
      <c r="AH2852">
        <v>0</v>
      </c>
      <c r="AI2852">
        <v>95.42</v>
      </c>
      <c r="AL2852" t="s">
        <v>19614</v>
      </c>
      <c r="AM2852">
        <v>15496</v>
      </c>
      <c r="AS2852">
        <v>77.25</v>
      </c>
      <c r="AT2852" t="s">
        <v>284</v>
      </c>
      <c r="AU2852" t="s">
        <v>130</v>
      </c>
    </row>
    <row r="2853" spans="1:48">
      <c r="A2853" s="1">
        <f>HYPERLINK("https://lsnyc.legalserver.org/matter/dynamic-profile/view/1902859","19-1902859")</f>
        <v>0</v>
      </c>
      <c r="B2853" t="s">
        <v>114</v>
      </c>
      <c r="C2853" t="s">
        <v>256</v>
      </c>
      <c r="D2853" t="s">
        <v>760</v>
      </c>
      <c r="F2853" t="s">
        <v>2353</v>
      </c>
      <c r="G2853" t="s">
        <v>4578</v>
      </c>
      <c r="H2853" t="s">
        <v>7115</v>
      </c>
      <c r="I2853">
        <v>2</v>
      </c>
      <c r="J2853" t="s">
        <v>9065</v>
      </c>
      <c r="K2853">
        <v>10458</v>
      </c>
      <c r="L2853" t="s">
        <v>9094</v>
      </c>
      <c r="M2853" t="s">
        <v>9095</v>
      </c>
      <c r="O2853" t="s">
        <v>11128</v>
      </c>
      <c r="P2853" t="s">
        <v>11164</v>
      </c>
      <c r="R2853" t="s">
        <v>11180</v>
      </c>
      <c r="T2853" t="s">
        <v>11183</v>
      </c>
      <c r="U2853" t="s">
        <v>11201</v>
      </c>
      <c r="V2853" t="s">
        <v>11218</v>
      </c>
      <c r="W2853">
        <v>1900</v>
      </c>
      <c r="X2853" t="s">
        <v>11333</v>
      </c>
      <c r="Z2853" t="s">
        <v>13273</v>
      </c>
      <c r="AC2853">
        <v>0</v>
      </c>
      <c r="AF2853">
        <v>3</v>
      </c>
      <c r="AG2853">
        <v>3</v>
      </c>
      <c r="AH2853">
        <v>2</v>
      </c>
      <c r="AI2853">
        <v>95.45999999999999</v>
      </c>
      <c r="AL2853" t="s">
        <v>19615</v>
      </c>
      <c r="AM2853">
        <v>28800</v>
      </c>
      <c r="AS2853">
        <v>0</v>
      </c>
      <c r="AU2853" t="s">
        <v>114</v>
      </c>
      <c r="AV2853" t="s">
        <v>20733</v>
      </c>
    </row>
    <row r="2854" spans="1:48">
      <c r="A2854" s="1">
        <f>HYPERLINK("https://lsnyc.legalserver.org/matter/dynamic-profile/view/1884681","18-1884681")</f>
        <v>0</v>
      </c>
      <c r="B2854" t="s">
        <v>98</v>
      </c>
      <c r="C2854" t="s">
        <v>257</v>
      </c>
      <c r="D2854" t="s">
        <v>622</v>
      </c>
      <c r="E2854" t="s">
        <v>574</v>
      </c>
      <c r="F2854" t="s">
        <v>2337</v>
      </c>
      <c r="G2854" t="s">
        <v>4555</v>
      </c>
      <c r="H2854" t="s">
        <v>6081</v>
      </c>
      <c r="I2854" t="s">
        <v>8193</v>
      </c>
      <c r="J2854" t="s">
        <v>9065</v>
      </c>
      <c r="K2854">
        <v>10452</v>
      </c>
      <c r="L2854" t="s">
        <v>9094</v>
      </c>
      <c r="M2854" t="s">
        <v>9094</v>
      </c>
      <c r="N2854" t="s">
        <v>9397</v>
      </c>
      <c r="O2854" t="s">
        <v>11130</v>
      </c>
      <c r="P2854" t="s">
        <v>11165</v>
      </c>
      <c r="Q2854" t="s">
        <v>11174</v>
      </c>
      <c r="R2854" t="s">
        <v>11180</v>
      </c>
      <c r="S2854" t="s">
        <v>9094</v>
      </c>
      <c r="T2854" t="s">
        <v>11183</v>
      </c>
      <c r="V2854" t="s">
        <v>738</v>
      </c>
      <c r="W2854">
        <v>1024.89</v>
      </c>
      <c r="X2854" t="s">
        <v>11333</v>
      </c>
      <c r="Y2854" t="s">
        <v>11346</v>
      </c>
      <c r="Z2854" t="s">
        <v>13252</v>
      </c>
      <c r="AC2854">
        <v>41</v>
      </c>
      <c r="AD2854" t="s">
        <v>19566</v>
      </c>
      <c r="AE2854" t="s">
        <v>11157</v>
      </c>
      <c r="AF2854">
        <v>12</v>
      </c>
      <c r="AG2854">
        <v>1</v>
      </c>
      <c r="AH2854">
        <v>0</v>
      </c>
      <c r="AI2854">
        <v>95.58</v>
      </c>
      <c r="AL2854" t="s">
        <v>19615</v>
      </c>
      <c r="AM2854">
        <v>11604</v>
      </c>
      <c r="AN2854" t="s">
        <v>19909</v>
      </c>
      <c r="AS2854">
        <v>2.65</v>
      </c>
      <c r="AT2854" t="s">
        <v>335</v>
      </c>
      <c r="AU2854" t="s">
        <v>20642</v>
      </c>
    </row>
    <row r="2855" spans="1:48">
      <c r="A2855" s="1">
        <f>HYPERLINK("https://lsnyc.legalserver.org/matter/dynamic-profile/view/1903654","19-1903654")</f>
        <v>0</v>
      </c>
      <c r="B2855" t="s">
        <v>64</v>
      </c>
      <c r="C2855" t="s">
        <v>257</v>
      </c>
      <c r="D2855" t="s">
        <v>700</v>
      </c>
      <c r="E2855" t="s">
        <v>1135</v>
      </c>
      <c r="F2855" t="s">
        <v>1175</v>
      </c>
      <c r="G2855" t="s">
        <v>4579</v>
      </c>
      <c r="H2855" t="s">
        <v>7116</v>
      </c>
      <c r="I2855" t="s">
        <v>8229</v>
      </c>
      <c r="J2855" t="s">
        <v>9059</v>
      </c>
      <c r="K2855">
        <v>11225</v>
      </c>
      <c r="L2855" t="s">
        <v>9094</v>
      </c>
      <c r="M2855" t="s">
        <v>9095</v>
      </c>
      <c r="N2855" t="s">
        <v>10215</v>
      </c>
      <c r="O2855" t="s">
        <v>11129</v>
      </c>
      <c r="P2855" t="s">
        <v>11164</v>
      </c>
      <c r="Q2855" t="s">
        <v>11172</v>
      </c>
      <c r="R2855" t="s">
        <v>11180</v>
      </c>
      <c r="S2855" t="s">
        <v>9096</v>
      </c>
      <c r="T2855" t="s">
        <v>11183</v>
      </c>
      <c r="U2855" t="s">
        <v>11200</v>
      </c>
      <c r="V2855" t="s">
        <v>736</v>
      </c>
      <c r="W2855">
        <v>678</v>
      </c>
      <c r="X2855" t="s">
        <v>11332</v>
      </c>
      <c r="Y2855" t="s">
        <v>11340</v>
      </c>
      <c r="Z2855" t="s">
        <v>13298</v>
      </c>
      <c r="AA2855" t="s">
        <v>9144</v>
      </c>
      <c r="AB2855" t="s">
        <v>17645</v>
      </c>
      <c r="AC2855">
        <v>26</v>
      </c>
      <c r="AD2855" t="s">
        <v>19566</v>
      </c>
      <c r="AE2855" t="s">
        <v>19584</v>
      </c>
      <c r="AF2855">
        <v>19</v>
      </c>
      <c r="AG2855">
        <v>2</v>
      </c>
      <c r="AH2855">
        <v>3</v>
      </c>
      <c r="AI2855">
        <v>95.66</v>
      </c>
      <c r="AK2855" t="s">
        <v>19613</v>
      </c>
      <c r="AL2855" t="s">
        <v>19614</v>
      </c>
      <c r="AM2855">
        <v>28860</v>
      </c>
      <c r="AS2855">
        <v>3.7</v>
      </c>
      <c r="AT2855" t="s">
        <v>632</v>
      </c>
      <c r="AU2855" t="s">
        <v>95</v>
      </c>
      <c r="AV2855" t="s">
        <v>20733</v>
      </c>
    </row>
    <row r="2856" spans="1:48">
      <c r="A2856" s="1">
        <f>HYPERLINK("https://lsnyc.legalserver.org/matter/dynamic-profile/view/1910874","19-1910874")</f>
        <v>0</v>
      </c>
      <c r="B2856" t="s">
        <v>69</v>
      </c>
      <c r="C2856" t="s">
        <v>256</v>
      </c>
      <c r="D2856" t="s">
        <v>308</v>
      </c>
      <c r="F2856" t="s">
        <v>1175</v>
      </c>
      <c r="G2856" t="s">
        <v>4579</v>
      </c>
      <c r="H2856" t="s">
        <v>7116</v>
      </c>
      <c r="I2856" t="s">
        <v>8229</v>
      </c>
      <c r="J2856" t="s">
        <v>9059</v>
      </c>
      <c r="K2856">
        <v>11225</v>
      </c>
      <c r="L2856" t="s">
        <v>9094</v>
      </c>
      <c r="M2856" t="s">
        <v>9095</v>
      </c>
      <c r="N2856" t="s">
        <v>10215</v>
      </c>
      <c r="O2856" t="s">
        <v>11129</v>
      </c>
      <c r="P2856" t="s">
        <v>11166</v>
      </c>
      <c r="R2856" t="s">
        <v>11180</v>
      </c>
      <c r="S2856" t="s">
        <v>9096</v>
      </c>
      <c r="T2856" t="s">
        <v>11184</v>
      </c>
      <c r="U2856" t="s">
        <v>11200</v>
      </c>
      <c r="W2856">
        <v>678</v>
      </c>
      <c r="X2856" t="s">
        <v>11332</v>
      </c>
      <c r="Y2856" t="s">
        <v>11340</v>
      </c>
      <c r="Z2856" t="s">
        <v>13298</v>
      </c>
      <c r="AA2856" t="s">
        <v>9144</v>
      </c>
      <c r="AB2856" t="s">
        <v>17645</v>
      </c>
      <c r="AC2856">
        <v>26</v>
      </c>
      <c r="AE2856" t="s">
        <v>19584</v>
      </c>
      <c r="AF2856">
        <v>19</v>
      </c>
      <c r="AG2856">
        <v>2</v>
      </c>
      <c r="AH2856">
        <v>3</v>
      </c>
      <c r="AI2856">
        <v>95.66</v>
      </c>
      <c r="AL2856" t="s">
        <v>19614</v>
      </c>
      <c r="AM2856">
        <v>28860</v>
      </c>
      <c r="AN2856" t="s">
        <v>19910</v>
      </c>
      <c r="AS2856">
        <v>4</v>
      </c>
      <c r="AT2856" t="s">
        <v>521</v>
      </c>
      <c r="AU2856" t="s">
        <v>95</v>
      </c>
      <c r="AV2856" t="s">
        <v>20733</v>
      </c>
    </row>
    <row r="2857" spans="1:48">
      <c r="A2857" s="1">
        <f>HYPERLINK("https://lsnyc.legalserver.org/matter/dynamic-profile/view/0796053","16-0796053")</f>
        <v>0</v>
      </c>
      <c r="B2857" t="s">
        <v>108</v>
      </c>
      <c r="C2857" t="s">
        <v>256</v>
      </c>
      <c r="D2857" t="s">
        <v>969</v>
      </c>
      <c r="F2857" t="s">
        <v>1552</v>
      </c>
      <c r="G2857" t="s">
        <v>4580</v>
      </c>
      <c r="H2857" t="s">
        <v>5897</v>
      </c>
      <c r="I2857" t="s">
        <v>8515</v>
      </c>
      <c r="J2857" t="s">
        <v>9065</v>
      </c>
      <c r="K2857">
        <v>10452</v>
      </c>
      <c r="L2857" t="s">
        <v>9094</v>
      </c>
      <c r="M2857" t="s">
        <v>9094</v>
      </c>
      <c r="N2857" t="s">
        <v>9252</v>
      </c>
      <c r="O2857" t="s">
        <v>11135</v>
      </c>
      <c r="P2857" t="s">
        <v>11168</v>
      </c>
      <c r="R2857" t="s">
        <v>11180</v>
      </c>
      <c r="S2857" t="s">
        <v>9094</v>
      </c>
      <c r="T2857" t="s">
        <v>11183</v>
      </c>
      <c r="V2857" t="s">
        <v>11229</v>
      </c>
      <c r="W2857">
        <v>1088.6</v>
      </c>
      <c r="X2857" t="s">
        <v>11333</v>
      </c>
      <c r="Y2857" t="s">
        <v>11346</v>
      </c>
      <c r="Z2857" t="s">
        <v>13299</v>
      </c>
      <c r="AB2857" t="s">
        <v>17646</v>
      </c>
      <c r="AC2857">
        <v>122</v>
      </c>
      <c r="AD2857" t="s">
        <v>19566</v>
      </c>
      <c r="AE2857" t="s">
        <v>9144</v>
      </c>
      <c r="AF2857">
        <v>3</v>
      </c>
      <c r="AG2857">
        <v>2</v>
      </c>
      <c r="AH2857">
        <v>4</v>
      </c>
      <c r="AI2857">
        <v>95.79000000000001</v>
      </c>
      <c r="AL2857" t="s">
        <v>19614</v>
      </c>
      <c r="AM2857">
        <v>31200</v>
      </c>
      <c r="AN2857" t="s">
        <v>19911</v>
      </c>
      <c r="AS2857">
        <v>2.85</v>
      </c>
      <c r="AT2857" t="s">
        <v>477</v>
      </c>
      <c r="AU2857" t="s">
        <v>109</v>
      </c>
    </row>
    <row r="2858" spans="1:48">
      <c r="A2858" s="1">
        <f>HYPERLINK("https://lsnyc.legalserver.org/matter/dynamic-profile/view/1897154","19-1897154")</f>
        <v>0</v>
      </c>
      <c r="B2858" t="s">
        <v>70</v>
      </c>
      <c r="C2858" t="s">
        <v>256</v>
      </c>
      <c r="D2858" t="s">
        <v>317</v>
      </c>
      <c r="F2858" t="s">
        <v>2354</v>
      </c>
      <c r="G2858" t="s">
        <v>3986</v>
      </c>
      <c r="H2858" t="s">
        <v>5748</v>
      </c>
      <c r="I2858" t="s">
        <v>8379</v>
      </c>
      <c r="J2858" t="s">
        <v>9059</v>
      </c>
      <c r="K2858">
        <v>11233</v>
      </c>
      <c r="L2858" t="s">
        <v>9094</v>
      </c>
      <c r="M2858" t="s">
        <v>9096</v>
      </c>
      <c r="N2858" t="s">
        <v>9145</v>
      </c>
      <c r="O2858" t="s">
        <v>11134</v>
      </c>
      <c r="P2858" t="s">
        <v>11168</v>
      </c>
      <c r="R2858" t="s">
        <v>11180</v>
      </c>
      <c r="S2858" t="s">
        <v>9094</v>
      </c>
      <c r="T2858" t="s">
        <v>11183</v>
      </c>
      <c r="U2858" t="s">
        <v>11201</v>
      </c>
      <c r="V2858" t="s">
        <v>482</v>
      </c>
      <c r="W2858">
        <v>1100</v>
      </c>
      <c r="X2858" t="s">
        <v>11332</v>
      </c>
      <c r="Y2858" t="s">
        <v>11157</v>
      </c>
      <c r="Z2858" t="s">
        <v>13300</v>
      </c>
      <c r="AC2858">
        <v>359</v>
      </c>
      <c r="AD2858" t="s">
        <v>19566</v>
      </c>
      <c r="AE2858" t="s">
        <v>9144</v>
      </c>
      <c r="AF2858">
        <v>32</v>
      </c>
      <c r="AG2858">
        <v>1</v>
      </c>
      <c r="AH2858">
        <v>1</v>
      </c>
      <c r="AI2858">
        <v>95.8</v>
      </c>
      <c r="AL2858" t="s">
        <v>19614</v>
      </c>
      <c r="AM2858">
        <v>16200</v>
      </c>
      <c r="AN2858" t="s">
        <v>19642</v>
      </c>
      <c r="AS2858">
        <v>0</v>
      </c>
      <c r="AU2858" t="s">
        <v>79</v>
      </c>
    </row>
    <row r="2859" spans="1:48">
      <c r="A2859" s="1">
        <f>HYPERLINK("https://lsnyc.legalserver.org/matter/dynamic-profile/view/1897159","19-1897159")</f>
        <v>0</v>
      </c>
      <c r="B2859" t="s">
        <v>70</v>
      </c>
      <c r="C2859" t="s">
        <v>256</v>
      </c>
      <c r="D2859" t="s">
        <v>317</v>
      </c>
      <c r="F2859" t="s">
        <v>2354</v>
      </c>
      <c r="G2859" t="s">
        <v>3986</v>
      </c>
      <c r="H2859" t="s">
        <v>5748</v>
      </c>
      <c r="I2859" t="s">
        <v>8379</v>
      </c>
      <c r="J2859" t="s">
        <v>9059</v>
      </c>
      <c r="K2859">
        <v>11233</v>
      </c>
      <c r="L2859" t="s">
        <v>9094</v>
      </c>
      <c r="M2859" t="s">
        <v>9096</v>
      </c>
      <c r="O2859" t="s">
        <v>11137</v>
      </c>
      <c r="P2859" t="s">
        <v>11167</v>
      </c>
      <c r="R2859" t="s">
        <v>11180</v>
      </c>
      <c r="S2859" t="s">
        <v>9094</v>
      </c>
      <c r="T2859" t="s">
        <v>11183</v>
      </c>
      <c r="U2859" t="s">
        <v>11201</v>
      </c>
      <c r="V2859" t="s">
        <v>749</v>
      </c>
      <c r="W2859">
        <v>1100</v>
      </c>
      <c r="X2859" t="s">
        <v>11332</v>
      </c>
      <c r="Y2859" t="s">
        <v>11157</v>
      </c>
      <c r="Z2859" t="s">
        <v>13300</v>
      </c>
      <c r="AC2859">
        <v>359</v>
      </c>
      <c r="AD2859" t="s">
        <v>19566</v>
      </c>
      <c r="AE2859" t="s">
        <v>9144</v>
      </c>
      <c r="AF2859">
        <v>32</v>
      </c>
      <c r="AG2859">
        <v>1</v>
      </c>
      <c r="AH2859">
        <v>1</v>
      </c>
      <c r="AI2859">
        <v>95.8</v>
      </c>
      <c r="AL2859" t="s">
        <v>19614</v>
      </c>
      <c r="AM2859">
        <v>16200</v>
      </c>
      <c r="AN2859" t="s">
        <v>19912</v>
      </c>
      <c r="AS2859">
        <v>0</v>
      </c>
      <c r="AU2859" t="s">
        <v>79</v>
      </c>
    </row>
    <row r="2860" spans="1:48">
      <c r="A2860" s="1">
        <f>HYPERLINK("https://lsnyc.legalserver.org/matter/dynamic-profile/view/1856175","18-1856175")</f>
        <v>0</v>
      </c>
      <c r="B2860" t="s">
        <v>74</v>
      </c>
      <c r="C2860" t="s">
        <v>256</v>
      </c>
      <c r="D2860" t="s">
        <v>970</v>
      </c>
      <c r="F2860" t="s">
        <v>1199</v>
      </c>
      <c r="G2860" t="s">
        <v>3344</v>
      </c>
      <c r="H2860" t="s">
        <v>7117</v>
      </c>
      <c r="I2860" t="s">
        <v>8141</v>
      </c>
      <c r="J2860" t="s">
        <v>9059</v>
      </c>
      <c r="K2860">
        <v>11233</v>
      </c>
      <c r="L2860" t="s">
        <v>9094</v>
      </c>
      <c r="M2860" t="s">
        <v>9095</v>
      </c>
      <c r="N2860" t="s">
        <v>10216</v>
      </c>
      <c r="O2860" t="s">
        <v>11128</v>
      </c>
      <c r="P2860" t="s">
        <v>11165</v>
      </c>
      <c r="R2860" t="s">
        <v>11180</v>
      </c>
      <c r="S2860" t="s">
        <v>9096</v>
      </c>
      <c r="T2860" t="s">
        <v>11183</v>
      </c>
      <c r="V2860" t="s">
        <v>970</v>
      </c>
      <c r="W2860">
        <v>370.26</v>
      </c>
      <c r="X2860" t="s">
        <v>11332</v>
      </c>
      <c r="Y2860" t="s">
        <v>11340</v>
      </c>
      <c r="Z2860" t="s">
        <v>13301</v>
      </c>
      <c r="AA2860">
        <v>3499647</v>
      </c>
      <c r="AB2860" t="s">
        <v>17647</v>
      </c>
      <c r="AC2860">
        <v>6</v>
      </c>
      <c r="AD2860" t="s">
        <v>19566</v>
      </c>
      <c r="AF2860">
        <v>41</v>
      </c>
      <c r="AG2860">
        <v>3</v>
      </c>
      <c r="AH2860">
        <v>0</v>
      </c>
      <c r="AI2860">
        <v>95.84</v>
      </c>
      <c r="AL2860" t="s">
        <v>19614</v>
      </c>
      <c r="AM2860">
        <v>19570</v>
      </c>
      <c r="AS2860">
        <v>94.92</v>
      </c>
      <c r="AT2860" t="s">
        <v>404</v>
      </c>
      <c r="AU2860" t="s">
        <v>95</v>
      </c>
    </row>
    <row r="2861" spans="1:48">
      <c r="A2861" s="1">
        <f>HYPERLINK("https://lsnyc.legalserver.org/matter/dynamic-profile/view/1849906","17-1849906")</f>
        <v>0</v>
      </c>
      <c r="B2861" t="s">
        <v>150</v>
      </c>
      <c r="C2861" t="s">
        <v>256</v>
      </c>
      <c r="D2861" t="s">
        <v>398</v>
      </c>
      <c r="F2861" t="s">
        <v>1365</v>
      </c>
      <c r="G2861" t="s">
        <v>4581</v>
      </c>
      <c r="H2861" t="s">
        <v>7118</v>
      </c>
      <c r="I2861" t="s">
        <v>8504</v>
      </c>
      <c r="J2861" t="s">
        <v>9059</v>
      </c>
      <c r="K2861">
        <v>11217</v>
      </c>
      <c r="L2861" t="s">
        <v>9094</v>
      </c>
      <c r="M2861" t="s">
        <v>9095</v>
      </c>
      <c r="O2861" t="s">
        <v>11135</v>
      </c>
      <c r="P2861" t="s">
        <v>11166</v>
      </c>
      <c r="R2861" t="s">
        <v>11180</v>
      </c>
      <c r="S2861" t="s">
        <v>9094</v>
      </c>
      <c r="T2861" t="s">
        <v>11183</v>
      </c>
      <c r="V2861" t="s">
        <v>734</v>
      </c>
      <c r="W2861">
        <v>0</v>
      </c>
      <c r="X2861" t="s">
        <v>11332</v>
      </c>
      <c r="Y2861" t="s">
        <v>11340</v>
      </c>
      <c r="Z2861" t="s">
        <v>13302</v>
      </c>
      <c r="AB2861" t="s">
        <v>17648</v>
      </c>
      <c r="AC2861">
        <v>2</v>
      </c>
      <c r="AD2861" t="s">
        <v>15441</v>
      </c>
      <c r="AF2861">
        <v>14</v>
      </c>
      <c r="AG2861">
        <v>1</v>
      </c>
      <c r="AH2861">
        <v>0</v>
      </c>
      <c r="AI2861">
        <v>95.94</v>
      </c>
      <c r="AL2861" t="s">
        <v>19614</v>
      </c>
      <c r="AM2861">
        <v>11570</v>
      </c>
      <c r="AS2861">
        <v>12.75</v>
      </c>
      <c r="AT2861" t="s">
        <v>662</v>
      </c>
      <c r="AU2861" t="s">
        <v>59</v>
      </c>
    </row>
    <row r="2862" spans="1:48">
      <c r="A2862" s="1">
        <f>HYPERLINK("https://lsnyc.legalserver.org/matter/dynamic-profile/view/1872575","18-1872575")</f>
        <v>0</v>
      </c>
      <c r="B2862" t="s">
        <v>114</v>
      </c>
      <c r="C2862" t="s">
        <v>256</v>
      </c>
      <c r="D2862" t="s">
        <v>672</v>
      </c>
      <c r="F2862" t="s">
        <v>2355</v>
      </c>
      <c r="G2862" t="s">
        <v>4582</v>
      </c>
      <c r="H2862" t="s">
        <v>7119</v>
      </c>
      <c r="I2862" t="s">
        <v>8127</v>
      </c>
      <c r="J2862" t="s">
        <v>9065</v>
      </c>
      <c r="K2862">
        <v>10463</v>
      </c>
      <c r="L2862" t="s">
        <v>9094</v>
      </c>
      <c r="M2862" t="s">
        <v>9094</v>
      </c>
      <c r="N2862" t="s">
        <v>10217</v>
      </c>
      <c r="O2862" t="s">
        <v>11128</v>
      </c>
      <c r="P2862" t="s">
        <v>11165</v>
      </c>
      <c r="R2862" t="s">
        <v>11180</v>
      </c>
      <c r="T2862" t="s">
        <v>11183</v>
      </c>
      <c r="V2862" t="s">
        <v>945</v>
      </c>
      <c r="W2862">
        <v>0</v>
      </c>
      <c r="X2862" t="s">
        <v>11333</v>
      </c>
      <c r="Z2862" t="s">
        <v>13303</v>
      </c>
      <c r="AB2862" t="s">
        <v>15274</v>
      </c>
      <c r="AC2862">
        <v>145</v>
      </c>
      <c r="AF2862">
        <v>0</v>
      </c>
      <c r="AG2862">
        <v>1</v>
      </c>
      <c r="AH2862">
        <v>0</v>
      </c>
      <c r="AI2862">
        <v>95.98</v>
      </c>
      <c r="AL2862" t="s">
        <v>19615</v>
      </c>
      <c r="AM2862">
        <v>11652</v>
      </c>
      <c r="AS2862">
        <v>21</v>
      </c>
      <c r="AT2862" t="s">
        <v>286</v>
      </c>
      <c r="AU2862" t="s">
        <v>163</v>
      </c>
    </row>
    <row r="2863" spans="1:48">
      <c r="A2863" s="1">
        <f>HYPERLINK("https://lsnyc.legalserver.org/matter/dynamic-profile/view/1899922","19-1899922")</f>
        <v>0</v>
      </c>
      <c r="B2863" t="s">
        <v>122</v>
      </c>
      <c r="C2863" t="s">
        <v>257</v>
      </c>
      <c r="D2863" t="s">
        <v>854</v>
      </c>
      <c r="E2863" t="s">
        <v>367</v>
      </c>
      <c r="F2863" t="s">
        <v>2356</v>
      </c>
      <c r="G2863" t="s">
        <v>4583</v>
      </c>
      <c r="H2863" t="s">
        <v>7120</v>
      </c>
      <c r="I2863" t="s">
        <v>8220</v>
      </c>
      <c r="J2863" t="s">
        <v>9066</v>
      </c>
      <c r="K2863">
        <v>10301</v>
      </c>
      <c r="L2863" t="s">
        <v>9094</v>
      </c>
      <c r="M2863" t="s">
        <v>9095</v>
      </c>
      <c r="N2863" t="s">
        <v>10218</v>
      </c>
      <c r="O2863" t="s">
        <v>11128</v>
      </c>
      <c r="P2863" t="s">
        <v>11165</v>
      </c>
      <c r="Q2863" t="s">
        <v>11174</v>
      </c>
      <c r="R2863" t="s">
        <v>11180</v>
      </c>
      <c r="S2863" t="s">
        <v>9096</v>
      </c>
      <c r="T2863" t="s">
        <v>11183</v>
      </c>
      <c r="U2863" t="s">
        <v>11201</v>
      </c>
      <c r="V2863" t="s">
        <v>854</v>
      </c>
      <c r="W2863">
        <v>3200</v>
      </c>
      <c r="X2863" t="s">
        <v>11334</v>
      </c>
      <c r="Y2863" t="s">
        <v>11345</v>
      </c>
      <c r="Z2863" t="s">
        <v>13304</v>
      </c>
      <c r="AB2863" t="s">
        <v>17649</v>
      </c>
      <c r="AC2863">
        <v>2</v>
      </c>
      <c r="AD2863" t="s">
        <v>19565</v>
      </c>
      <c r="AE2863" t="s">
        <v>9144</v>
      </c>
      <c r="AF2863">
        <v>2</v>
      </c>
      <c r="AG2863">
        <v>5</v>
      </c>
      <c r="AH2863">
        <v>2</v>
      </c>
      <c r="AI2863">
        <v>95.98</v>
      </c>
      <c r="AL2863" t="s">
        <v>19614</v>
      </c>
      <c r="AM2863">
        <v>37440</v>
      </c>
      <c r="AO2863" t="s">
        <v>20290</v>
      </c>
      <c r="AP2863" t="s">
        <v>20342</v>
      </c>
      <c r="AQ2863" t="s">
        <v>20368</v>
      </c>
      <c r="AR2863" t="s">
        <v>20411</v>
      </c>
      <c r="AS2863">
        <v>5.1</v>
      </c>
      <c r="AT2863" t="s">
        <v>367</v>
      </c>
      <c r="AU2863" t="s">
        <v>20653</v>
      </c>
      <c r="AV2863" t="s">
        <v>20733</v>
      </c>
    </row>
    <row r="2864" spans="1:48">
      <c r="A2864" s="1">
        <f>HYPERLINK("https://lsnyc.legalserver.org/matter/dynamic-profile/view/1853193","17-1853193")</f>
        <v>0</v>
      </c>
      <c r="B2864" t="s">
        <v>114</v>
      </c>
      <c r="C2864" t="s">
        <v>256</v>
      </c>
      <c r="D2864" t="s">
        <v>971</v>
      </c>
      <c r="F2864" t="s">
        <v>2357</v>
      </c>
      <c r="G2864" t="s">
        <v>4584</v>
      </c>
      <c r="H2864" t="s">
        <v>7121</v>
      </c>
      <c r="I2864" t="s">
        <v>8364</v>
      </c>
      <c r="J2864" t="s">
        <v>9065</v>
      </c>
      <c r="K2864">
        <v>10467</v>
      </c>
      <c r="L2864" t="s">
        <v>9094</v>
      </c>
      <c r="M2864" t="s">
        <v>9095</v>
      </c>
      <c r="O2864" t="s">
        <v>9121</v>
      </c>
      <c r="P2864" t="s">
        <v>11164</v>
      </c>
      <c r="R2864" t="s">
        <v>11181</v>
      </c>
      <c r="S2864" t="s">
        <v>9096</v>
      </c>
      <c r="T2864" t="s">
        <v>11183</v>
      </c>
      <c r="V2864" t="s">
        <v>11275</v>
      </c>
      <c r="W2864">
        <v>1175</v>
      </c>
      <c r="X2864" t="s">
        <v>11333</v>
      </c>
      <c r="Y2864" t="s">
        <v>11337</v>
      </c>
      <c r="Z2864" t="s">
        <v>13305</v>
      </c>
      <c r="AB2864" t="s">
        <v>17650</v>
      </c>
      <c r="AC2864">
        <v>66</v>
      </c>
      <c r="AD2864" t="s">
        <v>19566</v>
      </c>
      <c r="AE2864" t="s">
        <v>9144</v>
      </c>
      <c r="AF2864">
        <v>3</v>
      </c>
      <c r="AG2864">
        <v>1</v>
      </c>
      <c r="AH2864">
        <v>1</v>
      </c>
      <c r="AI2864">
        <v>96.06</v>
      </c>
      <c r="AJ2864" t="s">
        <v>19591</v>
      </c>
      <c r="AK2864" t="s">
        <v>19608</v>
      </c>
      <c r="AL2864" t="s">
        <v>19615</v>
      </c>
      <c r="AM2864">
        <v>15600</v>
      </c>
      <c r="AS2864">
        <v>6.4</v>
      </c>
      <c r="AT2864" t="s">
        <v>893</v>
      </c>
      <c r="AU2864" t="s">
        <v>228</v>
      </c>
    </row>
    <row r="2865" spans="1:48">
      <c r="A2865" s="1">
        <f>HYPERLINK("https://lsnyc.legalserver.org/matter/dynamic-profile/view/1857086","18-1857086")</f>
        <v>0</v>
      </c>
      <c r="B2865" t="s">
        <v>108</v>
      </c>
      <c r="C2865" t="s">
        <v>256</v>
      </c>
      <c r="D2865" t="s">
        <v>751</v>
      </c>
      <c r="F2865" t="s">
        <v>1256</v>
      </c>
      <c r="G2865" t="s">
        <v>4585</v>
      </c>
      <c r="H2865" t="s">
        <v>5897</v>
      </c>
      <c r="J2865" t="s">
        <v>9065</v>
      </c>
      <c r="K2865">
        <v>10452</v>
      </c>
      <c r="L2865" t="s">
        <v>9094</v>
      </c>
      <c r="M2865" t="s">
        <v>9095</v>
      </c>
      <c r="N2865" t="s">
        <v>9252</v>
      </c>
      <c r="O2865" t="s">
        <v>11135</v>
      </c>
      <c r="P2865" t="s">
        <v>11168</v>
      </c>
      <c r="R2865" t="s">
        <v>11180</v>
      </c>
      <c r="S2865" t="s">
        <v>9094</v>
      </c>
      <c r="T2865" t="s">
        <v>11183</v>
      </c>
      <c r="V2865" t="s">
        <v>11229</v>
      </c>
      <c r="W2865">
        <v>699</v>
      </c>
      <c r="X2865" t="s">
        <v>11333</v>
      </c>
      <c r="Y2865" t="s">
        <v>11346</v>
      </c>
      <c r="Z2865" t="s">
        <v>13306</v>
      </c>
      <c r="AB2865" t="s">
        <v>17651</v>
      </c>
      <c r="AC2865">
        <v>122</v>
      </c>
      <c r="AD2865" t="s">
        <v>19566</v>
      </c>
      <c r="AE2865" t="s">
        <v>9144</v>
      </c>
      <c r="AF2865">
        <v>19</v>
      </c>
      <c r="AG2865">
        <v>2</v>
      </c>
      <c r="AH2865">
        <v>0</v>
      </c>
      <c r="AI2865">
        <v>96.06</v>
      </c>
      <c r="AL2865" t="s">
        <v>19615</v>
      </c>
      <c r="AM2865">
        <v>15600</v>
      </c>
      <c r="AN2865" t="s">
        <v>19808</v>
      </c>
      <c r="AS2865">
        <v>0</v>
      </c>
      <c r="AU2865" t="s">
        <v>20647</v>
      </c>
    </row>
    <row r="2866" spans="1:48">
      <c r="A2866" s="1">
        <f>HYPERLINK("https://lsnyc.legalserver.org/matter/dynamic-profile/view/1857559","18-1857559")</f>
        <v>0</v>
      </c>
      <c r="B2866" t="s">
        <v>108</v>
      </c>
      <c r="C2866" t="s">
        <v>256</v>
      </c>
      <c r="D2866" t="s">
        <v>468</v>
      </c>
      <c r="F2866" t="s">
        <v>1256</v>
      </c>
      <c r="G2866" t="s">
        <v>4585</v>
      </c>
      <c r="H2866" t="s">
        <v>5897</v>
      </c>
      <c r="J2866" t="s">
        <v>9065</v>
      </c>
      <c r="K2866">
        <v>10452</v>
      </c>
      <c r="L2866" t="s">
        <v>9094</v>
      </c>
      <c r="M2866" t="s">
        <v>9095</v>
      </c>
      <c r="N2866" t="s">
        <v>9253</v>
      </c>
      <c r="O2866" t="s">
        <v>11135</v>
      </c>
      <c r="P2866" t="s">
        <v>11168</v>
      </c>
      <c r="R2866" t="s">
        <v>11180</v>
      </c>
      <c r="S2866" t="s">
        <v>9094</v>
      </c>
      <c r="T2866" t="s">
        <v>11183</v>
      </c>
      <c r="V2866" t="s">
        <v>364</v>
      </c>
      <c r="W2866">
        <v>669</v>
      </c>
      <c r="X2866" t="s">
        <v>11333</v>
      </c>
      <c r="Y2866" t="s">
        <v>11346</v>
      </c>
      <c r="Z2866" t="s">
        <v>13306</v>
      </c>
      <c r="AB2866" t="s">
        <v>17651</v>
      </c>
      <c r="AC2866">
        <v>122</v>
      </c>
      <c r="AD2866" t="s">
        <v>19566</v>
      </c>
      <c r="AE2866" t="s">
        <v>9144</v>
      </c>
      <c r="AF2866">
        <v>0</v>
      </c>
      <c r="AG2866">
        <v>2</v>
      </c>
      <c r="AH2866">
        <v>0</v>
      </c>
      <c r="AI2866">
        <v>96.06</v>
      </c>
      <c r="AL2866" t="s">
        <v>19615</v>
      </c>
      <c r="AM2866">
        <v>15600</v>
      </c>
      <c r="AS2866">
        <v>0</v>
      </c>
      <c r="AU2866" t="s">
        <v>20647</v>
      </c>
    </row>
    <row r="2867" spans="1:48">
      <c r="A2867" s="1">
        <f>HYPERLINK("https://lsnyc.legalserver.org/matter/dynamic-profile/view/1903788","19-1903788")</f>
        <v>0</v>
      </c>
      <c r="B2867" t="s">
        <v>59</v>
      </c>
      <c r="C2867" t="s">
        <v>256</v>
      </c>
      <c r="D2867" t="s">
        <v>706</v>
      </c>
      <c r="F2867" t="s">
        <v>1260</v>
      </c>
      <c r="G2867" t="s">
        <v>4586</v>
      </c>
      <c r="H2867" t="s">
        <v>6367</v>
      </c>
      <c r="I2867" t="s">
        <v>8667</v>
      </c>
      <c r="J2867" t="s">
        <v>9055</v>
      </c>
      <c r="K2867">
        <v>11354</v>
      </c>
      <c r="L2867" t="s">
        <v>9094</v>
      </c>
      <c r="M2867" t="s">
        <v>9095</v>
      </c>
      <c r="N2867" t="s">
        <v>9135</v>
      </c>
      <c r="O2867" t="s">
        <v>11134</v>
      </c>
      <c r="P2867" t="s">
        <v>11168</v>
      </c>
      <c r="R2867" t="s">
        <v>11180</v>
      </c>
      <c r="S2867" t="s">
        <v>9094</v>
      </c>
      <c r="T2867" t="s">
        <v>11183</v>
      </c>
      <c r="U2867" t="s">
        <v>11201</v>
      </c>
      <c r="V2867" t="s">
        <v>302</v>
      </c>
      <c r="W2867">
        <v>598.66</v>
      </c>
      <c r="X2867" t="s">
        <v>11331</v>
      </c>
      <c r="Y2867" t="s">
        <v>11341</v>
      </c>
      <c r="Z2867" t="s">
        <v>13307</v>
      </c>
      <c r="AA2867" t="s">
        <v>15274</v>
      </c>
      <c r="AB2867" t="s">
        <v>15274</v>
      </c>
      <c r="AC2867">
        <v>91</v>
      </c>
      <c r="AD2867" t="s">
        <v>19566</v>
      </c>
      <c r="AE2867" t="s">
        <v>19580</v>
      </c>
      <c r="AF2867">
        <v>45</v>
      </c>
      <c r="AG2867">
        <v>1</v>
      </c>
      <c r="AH2867">
        <v>0</v>
      </c>
      <c r="AI2867">
        <v>96.08</v>
      </c>
      <c r="AL2867" t="s">
        <v>19614</v>
      </c>
      <c r="AM2867">
        <v>12000</v>
      </c>
      <c r="AS2867">
        <v>0.15</v>
      </c>
      <c r="AT2867" t="s">
        <v>706</v>
      </c>
      <c r="AU2867" t="s">
        <v>59</v>
      </c>
      <c r="AV2867" t="s">
        <v>20733</v>
      </c>
    </row>
    <row r="2868" spans="1:48">
      <c r="A2868" s="1">
        <f>HYPERLINK("https://lsnyc.legalserver.org/matter/dynamic-profile/view/1905676","19-1905676")</f>
        <v>0</v>
      </c>
      <c r="B2868" t="s">
        <v>82</v>
      </c>
      <c r="C2868" t="s">
        <v>256</v>
      </c>
      <c r="D2868" t="s">
        <v>328</v>
      </c>
      <c r="F2868" t="s">
        <v>1616</v>
      </c>
      <c r="G2868" t="s">
        <v>1434</v>
      </c>
      <c r="H2868" t="s">
        <v>6393</v>
      </c>
      <c r="I2868" t="s">
        <v>8171</v>
      </c>
      <c r="J2868" t="s">
        <v>9059</v>
      </c>
      <c r="K2868">
        <v>11226</v>
      </c>
      <c r="L2868" t="s">
        <v>9094</v>
      </c>
      <c r="M2868" t="s">
        <v>9095</v>
      </c>
      <c r="O2868" t="s">
        <v>11134</v>
      </c>
      <c r="P2868" t="s">
        <v>11168</v>
      </c>
      <c r="R2868" t="s">
        <v>11180</v>
      </c>
      <c r="S2868" t="s">
        <v>9094</v>
      </c>
      <c r="T2868" t="s">
        <v>11183</v>
      </c>
      <c r="V2868" t="s">
        <v>328</v>
      </c>
      <c r="W2868">
        <v>0</v>
      </c>
      <c r="X2868" t="s">
        <v>11332</v>
      </c>
      <c r="Z2868" t="s">
        <v>13308</v>
      </c>
      <c r="AB2868" t="s">
        <v>17652</v>
      </c>
      <c r="AC2868">
        <v>36</v>
      </c>
      <c r="AD2868" t="s">
        <v>19566</v>
      </c>
      <c r="AF2868">
        <v>0</v>
      </c>
      <c r="AG2868">
        <v>1</v>
      </c>
      <c r="AH2868">
        <v>0</v>
      </c>
      <c r="AI2868">
        <v>96.08</v>
      </c>
      <c r="AL2868" t="s">
        <v>19620</v>
      </c>
      <c r="AM2868">
        <v>12000</v>
      </c>
      <c r="AS2868">
        <v>0.2</v>
      </c>
      <c r="AT2868" t="s">
        <v>328</v>
      </c>
      <c r="AU2868" t="s">
        <v>67</v>
      </c>
    </row>
    <row r="2869" spans="1:48">
      <c r="A2869" s="1">
        <f>HYPERLINK("https://lsnyc.legalserver.org/matter/dynamic-profile/view/1893266","19-1893266")</f>
        <v>0</v>
      </c>
      <c r="B2869" t="s">
        <v>83</v>
      </c>
      <c r="C2869" t="s">
        <v>256</v>
      </c>
      <c r="D2869" t="s">
        <v>719</v>
      </c>
      <c r="F2869" t="s">
        <v>1527</v>
      </c>
      <c r="G2869" t="s">
        <v>1553</v>
      </c>
      <c r="H2869" t="s">
        <v>6257</v>
      </c>
      <c r="I2869" t="s">
        <v>8132</v>
      </c>
      <c r="J2869" t="s">
        <v>9059</v>
      </c>
      <c r="K2869">
        <v>11225</v>
      </c>
      <c r="L2869" t="s">
        <v>9094</v>
      </c>
      <c r="M2869" t="s">
        <v>9094</v>
      </c>
      <c r="O2869" t="s">
        <v>11140</v>
      </c>
      <c r="P2869" t="s">
        <v>11166</v>
      </c>
      <c r="R2869" t="s">
        <v>11180</v>
      </c>
      <c r="T2869" t="s">
        <v>11183</v>
      </c>
      <c r="V2869" t="s">
        <v>719</v>
      </c>
      <c r="W2869">
        <v>1480.9</v>
      </c>
      <c r="X2869" t="s">
        <v>11332</v>
      </c>
      <c r="Z2869" t="s">
        <v>13050</v>
      </c>
      <c r="AB2869" t="s">
        <v>17416</v>
      </c>
      <c r="AC2869">
        <v>0</v>
      </c>
      <c r="AE2869" t="s">
        <v>19580</v>
      </c>
      <c r="AF2869">
        <v>11</v>
      </c>
      <c r="AG2869">
        <v>1</v>
      </c>
      <c r="AH2869">
        <v>0</v>
      </c>
      <c r="AI2869">
        <v>96.08</v>
      </c>
      <c r="AL2869" t="s">
        <v>19614</v>
      </c>
      <c r="AM2869">
        <v>12000</v>
      </c>
      <c r="AS2869">
        <v>0.6</v>
      </c>
      <c r="AT2869" t="s">
        <v>288</v>
      </c>
      <c r="AU2869" t="s">
        <v>215</v>
      </c>
    </row>
    <row r="2870" spans="1:48">
      <c r="A2870" s="1">
        <f>HYPERLINK("https://lsnyc.legalserver.org/matter/dynamic-profile/view/1894553","19-1894553")</f>
        <v>0</v>
      </c>
      <c r="B2870" t="s">
        <v>83</v>
      </c>
      <c r="C2870" t="s">
        <v>256</v>
      </c>
      <c r="D2870" t="s">
        <v>308</v>
      </c>
      <c r="F2870" t="s">
        <v>1527</v>
      </c>
      <c r="G2870" t="s">
        <v>1553</v>
      </c>
      <c r="H2870" t="s">
        <v>6257</v>
      </c>
      <c r="I2870" t="s">
        <v>8132</v>
      </c>
      <c r="J2870" t="s">
        <v>9059</v>
      </c>
      <c r="K2870">
        <v>11225</v>
      </c>
      <c r="L2870" t="s">
        <v>9094</v>
      </c>
      <c r="M2870" t="s">
        <v>9095</v>
      </c>
      <c r="P2870" t="s">
        <v>11168</v>
      </c>
      <c r="R2870" t="s">
        <v>11180</v>
      </c>
      <c r="S2870" t="s">
        <v>9094</v>
      </c>
      <c r="T2870" t="s">
        <v>11183</v>
      </c>
      <c r="V2870" t="s">
        <v>435</v>
      </c>
      <c r="W2870">
        <v>0</v>
      </c>
      <c r="X2870" t="s">
        <v>11332</v>
      </c>
      <c r="Z2870" t="s">
        <v>13050</v>
      </c>
      <c r="AB2870" t="s">
        <v>17416</v>
      </c>
      <c r="AC2870">
        <v>11</v>
      </c>
      <c r="AF2870">
        <v>0</v>
      </c>
      <c r="AG2870">
        <v>1</v>
      </c>
      <c r="AH2870">
        <v>0</v>
      </c>
      <c r="AI2870">
        <v>96.08</v>
      </c>
      <c r="AL2870" t="s">
        <v>19614</v>
      </c>
      <c r="AM2870">
        <v>12000</v>
      </c>
      <c r="AS2870">
        <v>0.3</v>
      </c>
      <c r="AT2870" t="s">
        <v>570</v>
      </c>
      <c r="AU2870" t="s">
        <v>215</v>
      </c>
      <c r="AV2870" t="s">
        <v>20733</v>
      </c>
    </row>
    <row r="2871" spans="1:48">
      <c r="A2871" s="1">
        <f>HYPERLINK("https://lsnyc.legalserver.org/matter/dynamic-profile/view/1912486","19-1912486")</f>
        <v>0</v>
      </c>
      <c r="B2871" t="s">
        <v>66</v>
      </c>
      <c r="C2871" t="s">
        <v>256</v>
      </c>
      <c r="D2871" t="s">
        <v>744</v>
      </c>
      <c r="F2871" t="s">
        <v>2358</v>
      </c>
      <c r="G2871" t="s">
        <v>4587</v>
      </c>
      <c r="H2871" t="s">
        <v>6683</v>
      </c>
      <c r="I2871" t="s">
        <v>8119</v>
      </c>
      <c r="J2871" t="s">
        <v>9059</v>
      </c>
      <c r="K2871">
        <v>11210</v>
      </c>
      <c r="L2871" t="s">
        <v>9094</v>
      </c>
      <c r="M2871" t="s">
        <v>9095</v>
      </c>
      <c r="O2871" t="s">
        <v>11137</v>
      </c>
      <c r="P2871" t="s">
        <v>11166</v>
      </c>
      <c r="R2871" t="s">
        <v>11180</v>
      </c>
      <c r="S2871" t="s">
        <v>9096</v>
      </c>
      <c r="T2871" t="s">
        <v>11183</v>
      </c>
      <c r="V2871" t="s">
        <v>744</v>
      </c>
      <c r="W2871">
        <v>0</v>
      </c>
      <c r="X2871" t="s">
        <v>11332</v>
      </c>
      <c r="Z2871" t="s">
        <v>13309</v>
      </c>
      <c r="AB2871" t="s">
        <v>17653</v>
      </c>
      <c r="AC2871">
        <v>65</v>
      </c>
      <c r="AF2871">
        <v>14</v>
      </c>
      <c r="AG2871">
        <v>1</v>
      </c>
      <c r="AH2871">
        <v>0</v>
      </c>
      <c r="AI2871">
        <v>96.08</v>
      </c>
      <c r="AL2871" t="s">
        <v>19614</v>
      </c>
      <c r="AM2871">
        <v>12000</v>
      </c>
      <c r="AS2871">
        <v>0</v>
      </c>
      <c r="AU2871" t="s">
        <v>215</v>
      </c>
      <c r="AV2871" t="s">
        <v>20733</v>
      </c>
    </row>
    <row r="2872" spans="1:48">
      <c r="A2872" s="1">
        <f>HYPERLINK("https://lsnyc.legalserver.org/matter/dynamic-profile/view/1912188","19-1912188")</f>
        <v>0</v>
      </c>
      <c r="B2872" t="s">
        <v>79</v>
      </c>
      <c r="C2872" t="s">
        <v>256</v>
      </c>
      <c r="D2872" t="s">
        <v>570</v>
      </c>
      <c r="F2872" t="s">
        <v>1212</v>
      </c>
      <c r="G2872" t="s">
        <v>4588</v>
      </c>
      <c r="H2872" t="s">
        <v>6907</v>
      </c>
      <c r="I2872">
        <v>311</v>
      </c>
      <c r="J2872" t="s">
        <v>9059</v>
      </c>
      <c r="K2872">
        <v>11208</v>
      </c>
      <c r="L2872" t="s">
        <v>9096</v>
      </c>
      <c r="M2872" t="s">
        <v>9095</v>
      </c>
      <c r="N2872" t="s">
        <v>9121</v>
      </c>
      <c r="O2872" t="s">
        <v>9121</v>
      </c>
      <c r="P2872" t="s">
        <v>11164</v>
      </c>
      <c r="R2872" t="s">
        <v>11180</v>
      </c>
      <c r="S2872" t="s">
        <v>9096</v>
      </c>
      <c r="T2872" t="s">
        <v>11183</v>
      </c>
      <c r="W2872">
        <v>1200</v>
      </c>
      <c r="X2872" t="s">
        <v>11332</v>
      </c>
      <c r="Y2872" t="s">
        <v>11352</v>
      </c>
      <c r="Z2872" t="s">
        <v>13310</v>
      </c>
      <c r="AB2872" t="s">
        <v>17654</v>
      </c>
      <c r="AC2872">
        <v>30</v>
      </c>
      <c r="AF2872">
        <v>9</v>
      </c>
      <c r="AG2872">
        <v>1</v>
      </c>
      <c r="AH2872">
        <v>0</v>
      </c>
      <c r="AI2872">
        <v>96.08</v>
      </c>
      <c r="AL2872" t="s">
        <v>19614</v>
      </c>
      <c r="AM2872">
        <v>12000</v>
      </c>
      <c r="AN2872" t="s">
        <v>19677</v>
      </c>
      <c r="AS2872">
        <v>1</v>
      </c>
      <c r="AT2872" t="s">
        <v>570</v>
      </c>
      <c r="AU2872" t="s">
        <v>20640</v>
      </c>
      <c r="AV2872" t="s">
        <v>9144</v>
      </c>
    </row>
    <row r="2873" spans="1:48">
      <c r="A2873" s="1">
        <f>HYPERLINK("https://lsnyc.legalserver.org/matter/dynamic-profile/view/1915496","19-1915496")</f>
        <v>0</v>
      </c>
      <c r="B2873" t="s">
        <v>113</v>
      </c>
      <c r="C2873" t="s">
        <v>257</v>
      </c>
      <c r="D2873" t="s">
        <v>594</v>
      </c>
      <c r="E2873" t="s">
        <v>594</v>
      </c>
      <c r="F2873" t="s">
        <v>2359</v>
      </c>
      <c r="G2873" t="s">
        <v>4589</v>
      </c>
      <c r="H2873" t="s">
        <v>7122</v>
      </c>
      <c r="J2873" t="s">
        <v>9065</v>
      </c>
      <c r="K2873">
        <v>10462</v>
      </c>
      <c r="L2873" t="s">
        <v>9094</v>
      </c>
      <c r="M2873" t="s">
        <v>9095</v>
      </c>
      <c r="O2873" t="s">
        <v>11149</v>
      </c>
      <c r="P2873" t="s">
        <v>11164</v>
      </c>
      <c r="Q2873" t="s">
        <v>11172</v>
      </c>
      <c r="R2873" t="s">
        <v>11180</v>
      </c>
      <c r="T2873" t="s">
        <v>11183</v>
      </c>
      <c r="U2873" t="s">
        <v>11201</v>
      </c>
      <c r="W2873">
        <v>1</v>
      </c>
      <c r="X2873" t="s">
        <v>11333</v>
      </c>
      <c r="Y2873" t="s">
        <v>11346</v>
      </c>
      <c r="Z2873" t="s">
        <v>13311</v>
      </c>
      <c r="AB2873" t="s">
        <v>17655</v>
      </c>
      <c r="AC2873">
        <v>3</v>
      </c>
      <c r="AD2873" t="s">
        <v>19576</v>
      </c>
      <c r="AF2873">
        <v>3</v>
      </c>
      <c r="AG2873">
        <v>1</v>
      </c>
      <c r="AH2873">
        <v>0</v>
      </c>
      <c r="AI2873">
        <v>96.08</v>
      </c>
      <c r="AL2873" t="s">
        <v>19614</v>
      </c>
      <c r="AM2873">
        <v>12000</v>
      </c>
      <c r="AS2873">
        <v>0.5</v>
      </c>
      <c r="AT2873" t="s">
        <v>594</v>
      </c>
      <c r="AU2873" t="s">
        <v>113</v>
      </c>
      <c r="AV2873" t="s">
        <v>20733</v>
      </c>
    </row>
    <row r="2874" spans="1:48">
      <c r="A2874" s="1">
        <f>HYPERLINK("https://lsnyc.legalserver.org/matter/dynamic-profile/view/1896228","19-1896228")</f>
        <v>0</v>
      </c>
      <c r="B2874" t="s">
        <v>103</v>
      </c>
      <c r="C2874" t="s">
        <v>256</v>
      </c>
      <c r="D2874" t="s">
        <v>374</v>
      </c>
      <c r="F2874" t="s">
        <v>2360</v>
      </c>
      <c r="G2874" t="s">
        <v>4590</v>
      </c>
      <c r="H2874" t="s">
        <v>5887</v>
      </c>
      <c r="I2874" t="s">
        <v>8142</v>
      </c>
      <c r="J2874" t="s">
        <v>9065</v>
      </c>
      <c r="K2874">
        <v>10453</v>
      </c>
      <c r="L2874" t="s">
        <v>9094</v>
      </c>
      <c r="M2874" t="s">
        <v>9094</v>
      </c>
      <c r="O2874" t="s">
        <v>11134</v>
      </c>
      <c r="P2874" t="s">
        <v>11168</v>
      </c>
      <c r="R2874" t="s">
        <v>11180</v>
      </c>
      <c r="S2874" t="s">
        <v>9094</v>
      </c>
      <c r="T2874" t="s">
        <v>11183</v>
      </c>
      <c r="V2874" t="s">
        <v>512</v>
      </c>
      <c r="W2874">
        <v>1000</v>
      </c>
      <c r="X2874" t="s">
        <v>11333</v>
      </c>
      <c r="Y2874" t="s">
        <v>11339</v>
      </c>
      <c r="Z2874" t="s">
        <v>13312</v>
      </c>
      <c r="AB2874" t="s">
        <v>17656</v>
      </c>
      <c r="AC2874">
        <v>170</v>
      </c>
      <c r="AD2874" t="s">
        <v>19566</v>
      </c>
      <c r="AF2874">
        <v>9</v>
      </c>
      <c r="AG2874">
        <v>1</v>
      </c>
      <c r="AH2874">
        <v>0</v>
      </c>
      <c r="AI2874">
        <v>96.08</v>
      </c>
      <c r="AL2874" t="s">
        <v>19615</v>
      </c>
      <c r="AM2874">
        <v>12000</v>
      </c>
      <c r="AS2874">
        <v>0</v>
      </c>
      <c r="AU2874" t="s">
        <v>220</v>
      </c>
    </row>
    <row r="2875" spans="1:48">
      <c r="A2875" s="1">
        <f>HYPERLINK("https://lsnyc.legalserver.org/matter/dynamic-profile/view/1905073","19-1905073")</f>
        <v>0</v>
      </c>
      <c r="B2875" t="s">
        <v>103</v>
      </c>
      <c r="C2875" t="s">
        <v>256</v>
      </c>
      <c r="D2875" t="s">
        <v>367</v>
      </c>
      <c r="F2875" t="s">
        <v>2360</v>
      </c>
      <c r="G2875" t="s">
        <v>4590</v>
      </c>
      <c r="H2875" t="s">
        <v>5887</v>
      </c>
      <c r="I2875" t="s">
        <v>8142</v>
      </c>
      <c r="J2875" t="s">
        <v>9065</v>
      </c>
      <c r="K2875">
        <v>10453</v>
      </c>
      <c r="L2875" t="s">
        <v>9094</v>
      </c>
      <c r="M2875" t="s">
        <v>9095</v>
      </c>
      <c r="N2875" t="s">
        <v>9239</v>
      </c>
      <c r="O2875" t="s">
        <v>11134</v>
      </c>
      <c r="P2875" t="s">
        <v>11168</v>
      </c>
      <c r="R2875" t="s">
        <v>11180</v>
      </c>
      <c r="S2875" t="s">
        <v>9094</v>
      </c>
      <c r="T2875" t="s">
        <v>11183</v>
      </c>
      <c r="V2875" t="s">
        <v>1061</v>
      </c>
      <c r="W2875">
        <v>1000</v>
      </c>
      <c r="X2875" t="s">
        <v>11333</v>
      </c>
      <c r="Y2875" t="s">
        <v>11346</v>
      </c>
      <c r="Z2875" t="s">
        <v>13312</v>
      </c>
      <c r="AB2875" t="s">
        <v>17656</v>
      </c>
      <c r="AC2875">
        <v>170</v>
      </c>
      <c r="AD2875" t="s">
        <v>19566</v>
      </c>
      <c r="AE2875" t="s">
        <v>9144</v>
      </c>
      <c r="AF2875">
        <v>9</v>
      </c>
      <c r="AG2875">
        <v>1</v>
      </c>
      <c r="AH2875">
        <v>0</v>
      </c>
      <c r="AI2875">
        <v>96.08</v>
      </c>
      <c r="AL2875" t="s">
        <v>19615</v>
      </c>
      <c r="AM2875">
        <v>12000</v>
      </c>
      <c r="AS2875">
        <v>0</v>
      </c>
      <c r="AU2875" t="s">
        <v>220</v>
      </c>
      <c r="AV2875" t="s">
        <v>20733</v>
      </c>
    </row>
    <row r="2876" spans="1:48">
      <c r="A2876" s="1">
        <f>HYPERLINK("https://lsnyc.legalserver.org/matter/dynamic-profile/view/1905077","19-1905077")</f>
        <v>0</v>
      </c>
      <c r="B2876" t="s">
        <v>103</v>
      </c>
      <c r="C2876" t="s">
        <v>256</v>
      </c>
      <c r="D2876" t="s">
        <v>367</v>
      </c>
      <c r="F2876" t="s">
        <v>2360</v>
      </c>
      <c r="G2876" t="s">
        <v>4590</v>
      </c>
      <c r="H2876" t="s">
        <v>5887</v>
      </c>
      <c r="I2876" t="s">
        <v>8142</v>
      </c>
      <c r="J2876" t="s">
        <v>9065</v>
      </c>
      <c r="K2876">
        <v>10453</v>
      </c>
      <c r="L2876" t="s">
        <v>9094</v>
      </c>
      <c r="M2876" t="s">
        <v>9095</v>
      </c>
      <c r="N2876" t="s">
        <v>9240</v>
      </c>
      <c r="O2876" t="s">
        <v>11134</v>
      </c>
      <c r="P2876" t="s">
        <v>11168</v>
      </c>
      <c r="R2876" t="s">
        <v>11180</v>
      </c>
      <c r="S2876" t="s">
        <v>9094</v>
      </c>
      <c r="T2876" t="s">
        <v>11183</v>
      </c>
      <c r="V2876" t="s">
        <v>422</v>
      </c>
      <c r="W2876">
        <v>1000</v>
      </c>
      <c r="X2876" t="s">
        <v>11333</v>
      </c>
      <c r="Y2876" t="s">
        <v>11346</v>
      </c>
      <c r="Z2876" t="s">
        <v>13312</v>
      </c>
      <c r="AB2876" t="s">
        <v>17656</v>
      </c>
      <c r="AC2876">
        <v>170</v>
      </c>
      <c r="AD2876" t="s">
        <v>19566</v>
      </c>
      <c r="AE2876" t="s">
        <v>9144</v>
      </c>
      <c r="AF2876">
        <v>9</v>
      </c>
      <c r="AG2876">
        <v>1</v>
      </c>
      <c r="AH2876">
        <v>0</v>
      </c>
      <c r="AI2876">
        <v>96.08</v>
      </c>
      <c r="AL2876" t="s">
        <v>19615</v>
      </c>
      <c r="AM2876">
        <v>12000</v>
      </c>
      <c r="AS2876">
        <v>0</v>
      </c>
      <c r="AU2876" t="s">
        <v>220</v>
      </c>
      <c r="AV2876" t="s">
        <v>20733</v>
      </c>
    </row>
    <row r="2877" spans="1:48">
      <c r="A2877" s="1">
        <f>HYPERLINK("https://lsnyc.legalserver.org/matter/dynamic-profile/view/1896222","19-1896222")</f>
        <v>0</v>
      </c>
      <c r="B2877" t="s">
        <v>103</v>
      </c>
      <c r="C2877" t="s">
        <v>256</v>
      </c>
      <c r="D2877" t="s">
        <v>374</v>
      </c>
      <c r="F2877" t="s">
        <v>2360</v>
      </c>
      <c r="G2877" t="s">
        <v>4590</v>
      </c>
      <c r="H2877" t="s">
        <v>5887</v>
      </c>
      <c r="I2877" t="s">
        <v>8142</v>
      </c>
      <c r="J2877" t="s">
        <v>9065</v>
      </c>
      <c r="K2877">
        <v>10453</v>
      </c>
      <c r="L2877" t="s">
        <v>9094</v>
      </c>
      <c r="M2877" t="s">
        <v>9094</v>
      </c>
      <c r="N2877" t="s">
        <v>9352</v>
      </c>
      <c r="O2877" t="s">
        <v>11130</v>
      </c>
      <c r="P2877" t="s">
        <v>11165</v>
      </c>
      <c r="R2877" t="s">
        <v>11180</v>
      </c>
      <c r="S2877" t="s">
        <v>9094</v>
      </c>
      <c r="T2877" t="s">
        <v>11183</v>
      </c>
      <c r="V2877" t="s">
        <v>512</v>
      </c>
      <c r="W2877">
        <v>1000</v>
      </c>
      <c r="X2877" t="s">
        <v>11333</v>
      </c>
      <c r="Y2877" t="s">
        <v>11339</v>
      </c>
      <c r="Z2877" t="s">
        <v>13312</v>
      </c>
      <c r="AB2877" t="s">
        <v>17656</v>
      </c>
      <c r="AC2877">
        <v>170</v>
      </c>
      <c r="AD2877" t="s">
        <v>19566</v>
      </c>
      <c r="AE2877" t="s">
        <v>9144</v>
      </c>
      <c r="AF2877">
        <v>9</v>
      </c>
      <c r="AG2877">
        <v>1</v>
      </c>
      <c r="AH2877">
        <v>0</v>
      </c>
      <c r="AI2877">
        <v>96.08</v>
      </c>
      <c r="AL2877" t="s">
        <v>19615</v>
      </c>
      <c r="AM2877">
        <v>12000</v>
      </c>
      <c r="AS2877">
        <v>0</v>
      </c>
      <c r="AU2877" t="s">
        <v>220</v>
      </c>
    </row>
    <row r="2878" spans="1:48">
      <c r="A2878" s="1">
        <f>HYPERLINK("https://lsnyc.legalserver.org/matter/dynamic-profile/view/1906131","19-1906131")</f>
        <v>0</v>
      </c>
      <c r="B2878" t="s">
        <v>101</v>
      </c>
      <c r="C2878" t="s">
        <v>256</v>
      </c>
      <c r="D2878" t="s">
        <v>330</v>
      </c>
      <c r="F2878" t="s">
        <v>1171</v>
      </c>
      <c r="G2878" t="s">
        <v>4591</v>
      </c>
      <c r="H2878" t="s">
        <v>7123</v>
      </c>
      <c r="I2878" t="s">
        <v>8213</v>
      </c>
      <c r="J2878" t="s">
        <v>9065</v>
      </c>
      <c r="K2878">
        <v>10452</v>
      </c>
      <c r="L2878" t="s">
        <v>9094</v>
      </c>
      <c r="M2878" t="s">
        <v>9095</v>
      </c>
      <c r="O2878" t="s">
        <v>11134</v>
      </c>
      <c r="P2878" t="s">
        <v>11167</v>
      </c>
      <c r="R2878" t="s">
        <v>11180</v>
      </c>
      <c r="S2878" t="s">
        <v>9096</v>
      </c>
      <c r="T2878" t="s">
        <v>11183</v>
      </c>
      <c r="W2878">
        <v>1191</v>
      </c>
      <c r="X2878" t="s">
        <v>11333</v>
      </c>
      <c r="Y2878" t="s">
        <v>11338</v>
      </c>
      <c r="Z2878" t="s">
        <v>13313</v>
      </c>
      <c r="AB2878" t="s">
        <v>17657</v>
      </c>
      <c r="AC2878">
        <v>0</v>
      </c>
      <c r="AF2878">
        <v>20</v>
      </c>
      <c r="AG2878">
        <v>1</v>
      </c>
      <c r="AH2878">
        <v>0</v>
      </c>
      <c r="AI2878">
        <v>96.08</v>
      </c>
      <c r="AL2878" t="s">
        <v>19614</v>
      </c>
      <c r="AM2878">
        <v>12000</v>
      </c>
      <c r="AS2878">
        <v>0.5</v>
      </c>
      <c r="AT2878" t="s">
        <v>330</v>
      </c>
      <c r="AU2878" t="s">
        <v>101</v>
      </c>
      <c r="AV2878" t="s">
        <v>20733</v>
      </c>
    </row>
    <row r="2879" spans="1:48">
      <c r="A2879" s="1">
        <f>HYPERLINK("https://lsnyc.legalserver.org/matter/dynamic-profile/view/1912850","19-1912850")</f>
        <v>0</v>
      </c>
      <c r="B2879" t="s">
        <v>99</v>
      </c>
      <c r="C2879" t="s">
        <v>256</v>
      </c>
      <c r="D2879" t="s">
        <v>563</v>
      </c>
      <c r="F2879" t="s">
        <v>1344</v>
      </c>
      <c r="G2879" t="s">
        <v>4592</v>
      </c>
      <c r="H2879" t="s">
        <v>7124</v>
      </c>
      <c r="J2879" t="s">
        <v>9065</v>
      </c>
      <c r="K2879">
        <v>10452</v>
      </c>
      <c r="L2879" t="s">
        <v>9094</v>
      </c>
      <c r="M2879" t="s">
        <v>9095</v>
      </c>
      <c r="O2879" t="s">
        <v>9121</v>
      </c>
      <c r="P2879" t="s">
        <v>11164</v>
      </c>
      <c r="R2879" t="s">
        <v>11180</v>
      </c>
      <c r="S2879" t="s">
        <v>9096</v>
      </c>
      <c r="T2879" t="s">
        <v>11183</v>
      </c>
      <c r="V2879" t="s">
        <v>286</v>
      </c>
      <c r="W2879">
        <v>286</v>
      </c>
      <c r="X2879" t="s">
        <v>11333</v>
      </c>
      <c r="Y2879" t="s">
        <v>11346</v>
      </c>
      <c r="Z2879" t="s">
        <v>13314</v>
      </c>
      <c r="AB2879" t="s">
        <v>17658</v>
      </c>
      <c r="AC2879">
        <v>79</v>
      </c>
      <c r="AD2879" t="s">
        <v>19570</v>
      </c>
      <c r="AE2879" t="s">
        <v>19580</v>
      </c>
      <c r="AF2879">
        <v>8</v>
      </c>
      <c r="AG2879">
        <v>1</v>
      </c>
      <c r="AH2879">
        <v>0</v>
      </c>
      <c r="AI2879">
        <v>96.08</v>
      </c>
      <c r="AL2879" t="s">
        <v>19615</v>
      </c>
      <c r="AM2879">
        <v>12000</v>
      </c>
      <c r="AS2879">
        <v>1.7</v>
      </c>
      <c r="AT2879" t="s">
        <v>556</v>
      </c>
      <c r="AU2879" t="s">
        <v>99</v>
      </c>
      <c r="AV2879" t="s">
        <v>20733</v>
      </c>
    </row>
    <row r="2880" spans="1:48">
      <c r="A2880" s="1">
        <f>HYPERLINK("https://lsnyc.legalserver.org/matter/dynamic-profile/view/1900969","19-1900969")</f>
        <v>0</v>
      </c>
      <c r="B2880" t="s">
        <v>98</v>
      </c>
      <c r="C2880" t="s">
        <v>257</v>
      </c>
      <c r="D2880" t="s">
        <v>445</v>
      </c>
      <c r="E2880" t="s">
        <v>663</v>
      </c>
      <c r="F2880" t="s">
        <v>1171</v>
      </c>
      <c r="G2880" t="s">
        <v>4591</v>
      </c>
      <c r="H2880" t="s">
        <v>7123</v>
      </c>
      <c r="I2880" t="s">
        <v>8213</v>
      </c>
      <c r="J2880" t="s">
        <v>9065</v>
      </c>
      <c r="K2880">
        <v>10452</v>
      </c>
      <c r="L2880" t="s">
        <v>9094</v>
      </c>
      <c r="M2880" t="s">
        <v>9095</v>
      </c>
      <c r="N2880" t="s">
        <v>10219</v>
      </c>
      <c r="O2880" t="s">
        <v>11129</v>
      </c>
      <c r="P2880" t="s">
        <v>11167</v>
      </c>
      <c r="Q2880" t="s">
        <v>11173</v>
      </c>
      <c r="R2880" t="s">
        <v>11180</v>
      </c>
      <c r="S2880" t="s">
        <v>9096</v>
      </c>
      <c r="T2880" t="s">
        <v>11183</v>
      </c>
      <c r="U2880" t="s">
        <v>11201</v>
      </c>
      <c r="V2880" t="s">
        <v>785</v>
      </c>
      <c r="W2880">
        <v>1191</v>
      </c>
      <c r="X2880" t="s">
        <v>11333</v>
      </c>
      <c r="Y2880" t="s">
        <v>11339</v>
      </c>
      <c r="Z2880" t="s">
        <v>13313</v>
      </c>
      <c r="AB2880" t="s">
        <v>17657</v>
      </c>
      <c r="AC2880">
        <v>64</v>
      </c>
      <c r="AD2880" t="s">
        <v>19566</v>
      </c>
      <c r="AF2880">
        <v>20</v>
      </c>
      <c r="AG2880">
        <v>1</v>
      </c>
      <c r="AH2880">
        <v>0</v>
      </c>
      <c r="AI2880">
        <v>96.08</v>
      </c>
      <c r="AL2880" t="s">
        <v>19614</v>
      </c>
      <c r="AM2880">
        <v>12000</v>
      </c>
      <c r="AS2880">
        <v>0.5</v>
      </c>
      <c r="AT2880" t="s">
        <v>319</v>
      </c>
      <c r="AU2880" t="s">
        <v>220</v>
      </c>
      <c r="AV2880" t="s">
        <v>20733</v>
      </c>
    </row>
    <row r="2881" spans="1:48">
      <c r="A2881" s="1">
        <f>HYPERLINK("https://lsnyc.legalserver.org/matter/dynamic-profile/view/1903782","19-1903782")</f>
        <v>0</v>
      </c>
      <c r="B2881" t="s">
        <v>129</v>
      </c>
      <c r="C2881" t="s">
        <v>257</v>
      </c>
      <c r="D2881" t="s">
        <v>271</v>
      </c>
      <c r="E2881" t="s">
        <v>286</v>
      </c>
      <c r="F2881" t="s">
        <v>2361</v>
      </c>
      <c r="G2881" t="s">
        <v>4593</v>
      </c>
      <c r="H2881" t="s">
        <v>7125</v>
      </c>
      <c r="I2881" t="s">
        <v>8209</v>
      </c>
      <c r="J2881" t="s">
        <v>9066</v>
      </c>
      <c r="K2881">
        <v>10301</v>
      </c>
      <c r="L2881" t="s">
        <v>9094</v>
      </c>
      <c r="M2881" t="s">
        <v>9095</v>
      </c>
      <c r="N2881" t="s">
        <v>10220</v>
      </c>
      <c r="O2881" t="s">
        <v>11129</v>
      </c>
      <c r="P2881" t="s">
        <v>11165</v>
      </c>
      <c r="Q2881" t="s">
        <v>11174</v>
      </c>
      <c r="R2881" t="s">
        <v>11180</v>
      </c>
      <c r="S2881" t="s">
        <v>9096</v>
      </c>
      <c r="T2881" t="s">
        <v>11183</v>
      </c>
      <c r="U2881" t="s">
        <v>11201</v>
      </c>
      <c r="W2881">
        <v>1400</v>
      </c>
      <c r="X2881" t="s">
        <v>11334</v>
      </c>
      <c r="Y2881" t="s">
        <v>11345</v>
      </c>
      <c r="Z2881" t="s">
        <v>13315</v>
      </c>
      <c r="AB2881" t="s">
        <v>17659</v>
      </c>
      <c r="AC2881">
        <v>0</v>
      </c>
      <c r="AD2881" t="s">
        <v>19565</v>
      </c>
      <c r="AE2881" t="s">
        <v>9144</v>
      </c>
      <c r="AF2881">
        <v>4</v>
      </c>
      <c r="AG2881">
        <v>1</v>
      </c>
      <c r="AH2881">
        <v>0</v>
      </c>
      <c r="AI2881">
        <v>96.08</v>
      </c>
      <c r="AL2881" t="s">
        <v>19614</v>
      </c>
      <c r="AM2881">
        <v>12000</v>
      </c>
      <c r="AP2881" t="s">
        <v>20343</v>
      </c>
      <c r="AQ2881" t="s">
        <v>20369</v>
      </c>
      <c r="AR2881" t="s">
        <v>20510</v>
      </c>
      <c r="AS2881">
        <v>9.9</v>
      </c>
      <c r="AT2881" t="s">
        <v>728</v>
      </c>
      <c r="AU2881" t="s">
        <v>20653</v>
      </c>
      <c r="AV2881" t="s">
        <v>20733</v>
      </c>
    </row>
    <row r="2882" spans="1:48">
      <c r="A2882" s="1">
        <f>HYPERLINK("https://lsnyc.legalserver.org/matter/dynamic-profile/view/1915277","19-1915277")</f>
        <v>0</v>
      </c>
      <c r="B2882" t="s">
        <v>142</v>
      </c>
      <c r="C2882" t="s">
        <v>256</v>
      </c>
      <c r="D2882" t="s">
        <v>321</v>
      </c>
      <c r="F2882" t="s">
        <v>1723</v>
      </c>
      <c r="G2882" t="s">
        <v>4131</v>
      </c>
      <c r="H2882" t="s">
        <v>6596</v>
      </c>
      <c r="I2882" t="s">
        <v>8227</v>
      </c>
      <c r="J2882" t="s">
        <v>9067</v>
      </c>
      <c r="K2882">
        <v>10035</v>
      </c>
      <c r="L2882" t="s">
        <v>9094</v>
      </c>
      <c r="M2882" t="s">
        <v>9095</v>
      </c>
      <c r="O2882" t="s">
        <v>11134</v>
      </c>
      <c r="P2882" t="s">
        <v>11165</v>
      </c>
      <c r="R2882" t="s">
        <v>11180</v>
      </c>
      <c r="S2882" t="s">
        <v>9094</v>
      </c>
      <c r="T2882" t="s">
        <v>11183</v>
      </c>
      <c r="U2882" t="s">
        <v>11201</v>
      </c>
      <c r="V2882" t="s">
        <v>321</v>
      </c>
      <c r="W2882">
        <v>1104.42</v>
      </c>
      <c r="X2882" t="s">
        <v>11335</v>
      </c>
      <c r="Y2882" t="s">
        <v>11340</v>
      </c>
      <c r="Z2882" t="s">
        <v>13316</v>
      </c>
      <c r="AB2882" t="s">
        <v>17660</v>
      </c>
      <c r="AC2882">
        <v>60</v>
      </c>
      <c r="AD2882" t="s">
        <v>19566</v>
      </c>
      <c r="AE2882" t="s">
        <v>9144</v>
      </c>
      <c r="AF2882">
        <v>7</v>
      </c>
      <c r="AG2882">
        <v>1</v>
      </c>
      <c r="AH2882">
        <v>0</v>
      </c>
      <c r="AI2882">
        <v>96.08</v>
      </c>
      <c r="AL2882" t="s">
        <v>19615</v>
      </c>
      <c r="AM2882">
        <v>12000</v>
      </c>
      <c r="AS2882">
        <v>0</v>
      </c>
      <c r="AU2882" t="s">
        <v>20657</v>
      </c>
      <c r="AV2882" t="s">
        <v>20733</v>
      </c>
    </row>
    <row r="2883" spans="1:48">
      <c r="A2883" s="1">
        <f>HYPERLINK("https://lsnyc.legalserver.org/matter/dynamic-profile/view/1914815","19-1914815")</f>
        <v>0</v>
      </c>
      <c r="B2883" t="s">
        <v>142</v>
      </c>
      <c r="C2883" t="s">
        <v>256</v>
      </c>
      <c r="D2883" t="s">
        <v>331</v>
      </c>
      <c r="F2883" t="s">
        <v>1723</v>
      </c>
      <c r="G2883" t="s">
        <v>4131</v>
      </c>
      <c r="H2883" t="s">
        <v>6596</v>
      </c>
      <c r="I2883" t="s">
        <v>8227</v>
      </c>
      <c r="J2883" t="s">
        <v>9067</v>
      </c>
      <c r="K2883">
        <v>10035</v>
      </c>
      <c r="L2883" t="s">
        <v>9094</v>
      </c>
      <c r="M2883" t="s">
        <v>9095</v>
      </c>
      <c r="O2883" t="s">
        <v>11130</v>
      </c>
      <c r="P2883" t="s">
        <v>11165</v>
      </c>
      <c r="R2883" t="s">
        <v>11180</v>
      </c>
      <c r="S2883" t="s">
        <v>9094</v>
      </c>
      <c r="T2883" t="s">
        <v>11183</v>
      </c>
      <c r="U2883" t="s">
        <v>11201</v>
      </c>
      <c r="V2883" t="s">
        <v>632</v>
      </c>
      <c r="W2883">
        <v>1104.42</v>
      </c>
      <c r="X2883" t="s">
        <v>11335</v>
      </c>
      <c r="Y2883" t="s">
        <v>11340</v>
      </c>
      <c r="Z2883" t="s">
        <v>13316</v>
      </c>
      <c r="AB2883" t="s">
        <v>17660</v>
      </c>
      <c r="AC2883">
        <v>60</v>
      </c>
      <c r="AD2883" t="s">
        <v>19566</v>
      </c>
      <c r="AE2883" t="s">
        <v>9144</v>
      </c>
      <c r="AF2883">
        <v>7</v>
      </c>
      <c r="AG2883">
        <v>1</v>
      </c>
      <c r="AH2883">
        <v>0</v>
      </c>
      <c r="AI2883">
        <v>96.08</v>
      </c>
      <c r="AL2883" t="s">
        <v>19615</v>
      </c>
      <c r="AM2883">
        <v>12000</v>
      </c>
      <c r="AS2883">
        <v>0</v>
      </c>
      <c r="AU2883" t="s">
        <v>20657</v>
      </c>
      <c r="AV2883" t="s">
        <v>20733</v>
      </c>
    </row>
    <row r="2884" spans="1:48">
      <c r="A2884" s="1">
        <f>HYPERLINK("https://lsnyc.legalserver.org/matter/dynamic-profile/view/1897620","19-1897620")</f>
        <v>0</v>
      </c>
      <c r="B2884" t="s">
        <v>142</v>
      </c>
      <c r="C2884" t="s">
        <v>256</v>
      </c>
      <c r="D2884" t="s">
        <v>617</v>
      </c>
      <c r="F2884" t="s">
        <v>1723</v>
      </c>
      <c r="G2884" t="s">
        <v>4131</v>
      </c>
      <c r="H2884" t="s">
        <v>6596</v>
      </c>
      <c r="I2884" t="s">
        <v>8227</v>
      </c>
      <c r="J2884" t="s">
        <v>9067</v>
      </c>
      <c r="K2884">
        <v>10035</v>
      </c>
      <c r="L2884" t="s">
        <v>9094</v>
      </c>
      <c r="M2884" t="s">
        <v>9094</v>
      </c>
      <c r="O2884" t="s">
        <v>9121</v>
      </c>
      <c r="P2884" t="s">
        <v>11167</v>
      </c>
      <c r="R2884" t="s">
        <v>11180</v>
      </c>
      <c r="S2884" t="s">
        <v>9094</v>
      </c>
      <c r="T2884" t="s">
        <v>11183</v>
      </c>
      <c r="U2884" t="s">
        <v>11201</v>
      </c>
      <c r="V2884" t="s">
        <v>317</v>
      </c>
      <c r="W2884">
        <v>1104.42</v>
      </c>
      <c r="X2884" t="s">
        <v>11335</v>
      </c>
      <c r="Y2884" t="s">
        <v>11350</v>
      </c>
      <c r="Z2884" t="s">
        <v>13316</v>
      </c>
      <c r="AB2884" t="s">
        <v>17660</v>
      </c>
      <c r="AC2884">
        <v>60</v>
      </c>
      <c r="AD2884" t="s">
        <v>19566</v>
      </c>
      <c r="AE2884" t="s">
        <v>9144</v>
      </c>
      <c r="AF2884">
        <v>7</v>
      </c>
      <c r="AG2884">
        <v>1</v>
      </c>
      <c r="AH2884">
        <v>0</v>
      </c>
      <c r="AI2884">
        <v>96.08</v>
      </c>
      <c r="AL2884" t="s">
        <v>19615</v>
      </c>
      <c r="AM2884">
        <v>12000</v>
      </c>
      <c r="AS2884">
        <v>0</v>
      </c>
      <c r="AU2884" t="s">
        <v>20657</v>
      </c>
      <c r="AV2884" t="s">
        <v>20733</v>
      </c>
    </row>
    <row r="2885" spans="1:48">
      <c r="A2885" s="1">
        <f>HYPERLINK("https://lsnyc.legalserver.org/matter/dynamic-profile/view/1904439","19-1904439")</f>
        <v>0</v>
      </c>
      <c r="B2885" t="s">
        <v>135</v>
      </c>
      <c r="C2885" t="s">
        <v>257</v>
      </c>
      <c r="D2885" t="s">
        <v>736</v>
      </c>
      <c r="E2885" t="s">
        <v>676</v>
      </c>
      <c r="F2885" t="s">
        <v>2362</v>
      </c>
      <c r="G2885" t="s">
        <v>4594</v>
      </c>
      <c r="H2885" t="s">
        <v>7022</v>
      </c>
      <c r="I2885" t="s">
        <v>8193</v>
      </c>
      <c r="J2885" t="s">
        <v>9067</v>
      </c>
      <c r="K2885">
        <v>10024</v>
      </c>
      <c r="L2885" t="s">
        <v>9094</v>
      </c>
      <c r="M2885" t="s">
        <v>9095</v>
      </c>
      <c r="O2885" t="s">
        <v>11130</v>
      </c>
      <c r="P2885" t="s">
        <v>11164</v>
      </c>
      <c r="Q2885" t="s">
        <v>11172</v>
      </c>
      <c r="R2885" t="s">
        <v>11180</v>
      </c>
      <c r="S2885" t="s">
        <v>9094</v>
      </c>
      <c r="T2885" t="s">
        <v>11183</v>
      </c>
      <c r="U2885" t="s">
        <v>11201</v>
      </c>
      <c r="V2885" t="s">
        <v>750</v>
      </c>
      <c r="W2885">
        <v>670</v>
      </c>
      <c r="X2885" t="s">
        <v>11335</v>
      </c>
      <c r="Y2885" t="s">
        <v>11157</v>
      </c>
      <c r="Z2885" t="s">
        <v>13317</v>
      </c>
      <c r="AB2885" t="s">
        <v>17661</v>
      </c>
      <c r="AC2885">
        <v>12</v>
      </c>
      <c r="AD2885" t="s">
        <v>19569</v>
      </c>
      <c r="AE2885" t="s">
        <v>9144</v>
      </c>
      <c r="AF2885">
        <v>48</v>
      </c>
      <c r="AG2885">
        <v>1</v>
      </c>
      <c r="AH2885">
        <v>0</v>
      </c>
      <c r="AI2885">
        <v>96.08</v>
      </c>
      <c r="AL2885" t="s">
        <v>19614</v>
      </c>
      <c r="AM2885">
        <v>12000</v>
      </c>
      <c r="AS2885">
        <v>41</v>
      </c>
      <c r="AT2885" t="s">
        <v>426</v>
      </c>
      <c r="AU2885" t="s">
        <v>20657</v>
      </c>
      <c r="AV2885" t="s">
        <v>20733</v>
      </c>
    </row>
    <row r="2886" spans="1:48">
      <c r="A2886" s="1">
        <f>HYPERLINK("https://lsnyc.legalserver.org/matter/dynamic-profile/view/1904817","19-1904817")</f>
        <v>0</v>
      </c>
      <c r="B2886" t="s">
        <v>135</v>
      </c>
      <c r="C2886" t="s">
        <v>256</v>
      </c>
      <c r="D2886" t="s">
        <v>748</v>
      </c>
      <c r="F2886" t="s">
        <v>1197</v>
      </c>
      <c r="G2886" t="s">
        <v>4595</v>
      </c>
      <c r="H2886" t="s">
        <v>7022</v>
      </c>
      <c r="I2886" t="s">
        <v>8197</v>
      </c>
      <c r="J2886" t="s">
        <v>9067</v>
      </c>
      <c r="K2886">
        <v>10024</v>
      </c>
      <c r="L2886" t="s">
        <v>9094</v>
      </c>
      <c r="M2886" t="s">
        <v>9095</v>
      </c>
      <c r="O2886" t="s">
        <v>11130</v>
      </c>
      <c r="P2886" t="s">
        <v>11165</v>
      </c>
      <c r="R2886" t="s">
        <v>11180</v>
      </c>
      <c r="S2886" t="s">
        <v>9094</v>
      </c>
      <c r="T2886" t="s">
        <v>11183</v>
      </c>
      <c r="U2886" t="s">
        <v>11201</v>
      </c>
      <c r="V2886" t="s">
        <v>700</v>
      </c>
      <c r="W2886">
        <v>386</v>
      </c>
      <c r="X2886" t="s">
        <v>11335</v>
      </c>
      <c r="Y2886" t="s">
        <v>11351</v>
      </c>
      <c r="Z2886" t="s">
        <v>13318</v>
      </c>
      <c r="AB2886" t="s">
        <v>17662</v>
      </c>
      <c r="AC2886">
        <v>12</v>
      </c>
      <c r="AD2886" t="s">
        <v>19569</v>
      </c>
      <c r="AE2886" t="s">
        <v>9144</v>
      </c>
      <c r="AF2886">
        <v>62</v>
      </c>
      <c r="AG2886">
        <v>1</v>
      </c>
      <c r="AH2886">
        <v>0</v>
      </c>
      <c r="AI2886">
        <v>96.08</v>
      </c>
      <c r="AL2886" t="s">
        <v>19614</v>
      </c>
      <c r="AM2886">
        <v>12000</v>
      </c>
      <c r="AN2886" t="s">
        <v>19913</v>
      </c>
      <c r="AS2886">
        <v>22.35</v>
      </c>
      <c r="AT2886" t="s">
        <v>309</v>
      </c>
      <c r="AU2886" t="s">
        <v>20657</v>
      </c>
      <c r="AV2886" t="s">
        <v>20733</v>
      </c>
    </row>
    <row r="2887" spans="1:48">
      <c r="A2887" s="1">
        <f>HYPERLINK("https://lsnyc.legalserver.org/matter/dynamic-profile/view/1904712","19-1904712")</f>
        <v>0</v>
      </c>
      <c r="B2887" t="s">
        <v>137</v>
      </c>
      <c r="C2887" t="s">
        <v>256</v>
      </c>
      <c r="D2887" t="s">
        <v>497</v>
      </c>
      <c r="F2887" t="s">
        <v>1397</v>
      </c>
      <c r="G2887" t="s">
        <v>3699</v>
      </c>
      <c r="H2887" t="s">
        <v>5950</v>
      </c>
      <c r="I2887">
        <v>44</v>
      </c>
      <c r="J2887" t="s">
        <v>9067</v>
      </c>
      <c r="K2887">
        <v>10034</v>
      </c>
      <c r="L2887" t="s">
        <v>9094</v>
      </c>
      <c r="M2887" t="s">
        <v>9095</v>
      </c>
      <c r="P2887" t="s">
        <v>11169</v>
      </c>
      <c r="R2887" t="s">
        <v>11180</v>
      </c>
      <c r="S2887" t="s">
        <v>9094</v>
      </c>
      <c r="T2887" t="s">
        <v>11183</v>
      </c>
      <c r="V2887" t="s">
        <v>497</v>
      </c>
      <c r="W2887">
        <v>1180.21</v>
      </c>
      <c r="X2887" t="s">
        <v>11335</v>
      </c>
      <c r="Y2887" t="s">
        <v>11338</v>
      </c>
      <c r="Z2887" t="s">
        <v>13319</v>
      </c>
      <c r="AC2887">
        <v>25</v>
      </c>
      <c r="AD2887" t="s">
        <v>19566</v>
      </c>
      <c r="AE2887" t="s">
        <v>9144</v>
      </c>
      <c r="AF2887">
        <v>14</v>
      </c>
      <c r="AG2887">
        <v>2</v>
      </c>
      <c r="AH2887">
        <v>3</v>
      </c>
      <c r="AI2887">
        <v>96.12</v>
      </c>
      <c r="AL2887" t="s">
        <v>19615</v>
      </c>
      <c r="AM2887">
        <v>29000</v>
      </c>
      <c r="AS2887">
        <v>0</v>
      </c>
      <c r="AU2887" t="s">
        <v>130</v>
      </c>
      <c r="AV2887" t="s">
        <v>20733</v>
      </c>
    </row>
    <row r="2888" spans="1:48">
      <c r="A2888" s="1">
        <f>HYPERLINK("https://lsnyc.legalserver.org/matter/dynamic-profile/view/1854138","17-1854138")</f>
        <v>0</v>
      </c>
      <c r="B2888" t="s">
        <v>103</v>
      </c>
      <c r="C2888" t="s">
        <v>256</v>
      </c>
      <c r="D2888" t="s">
        <v>789</v>
      </c>
      <c r="F2888" t="s">
        <v>1837</v>
      </c>
      <c r="G2888" t="s">
        <v>4012</v>
      </c>
      <c r="H2888" t="s">
        <v>6413</v>
      </c>
      <c r="I2888" t="s">
        <v>8216</v>
      </c>
      <c r="J2888" t="s">
        <v>9065</v>
      </c>
      <c r="K2888">
        <v>10456</v>
      </c>
      <c r="L2888" t="s">
        <v>9094</v>
      </c>
      <c r="M2888" t="s">
        <v>9095</v>
      </c>
      <c r="N2888" t="s">
        <v>9740</v>
      </c>
      <c r="O2888" t="s">
        <v>11135</v>
      </c>
      <c r="P2888" t="s">
        <v>11168</v>
      </c>
      <c r="R2888" t="s">
        <v>11180</v>
      </c>
      <c r="S2888" t="s">
        <v>9094</v>
      </c>
      <c r="T2888" t="s">
        <v>11183</v>
      </c>
      <c r="V2888" t="s">
        <v>11223</v>
      </c>
      <c r="W2888">
        <v>1466.39</v>
      </c>
      <c r="X2888" t="s">
        <v>11333</v>
      </c>
      <c r="Y2888" t="s">
        <v>11346</v>
      </c>
      <c r="Z2888" t="s">
        <v>11723</v>
      </c>
      <c r="AB2888" t="s">
        <v>16718</v>
      </c>
      <c r="AC2888">
        <v>61</v>
      </c>
      <c r="AD2888" t="s">
        <v>19566</v>
      </c>
      <c r="AE2888" t="s">
        <v>19580</v>
      </c>
      <c r="AF2888">
        <v>17</v>
      </c>
      <c r="AG2888">
        <v>2</v>
      </c>
      <c r="AH2888">
        <v>0</v>
      </c>
      <c r="AI2888">
        <v>96.13</v>
      </c>
      <c r="AJ2888" t="s">
        <v>19597</v>
      </c>
      <c r="AL2888" t="s">
        <v>19615</v>
      </c>
      <c r="AM2888">
        <v>15612</v>
      </c>
      <c r="AS2888">
        <v>0.5</v>
      </c>
      <c r="AT2888" t="s">
        <v>870</v>
      </c>
      <c r="AU2888" t="s">
        <v>20643</v>
      </c>
    </row>
    <row r="2889" spans="1:48">
      <c r="A2889" s="1">
        <f>HYPERLINK("https://lsnyc.legalserver.org/matter/dynamic-profile/view/1903527","19-1903527")</f>
        <v>0</v>
      </c>
      <c r="B2889" t="s">
        <v>108</v>
      </c>
      <c r="C2889" t="s">
        <v>256</v>
      </c>
      <c r="D2889" t="s">
        <v>370</v>
      </c>
      <c r="F2889" t="s">
        <v>2359</v>
      </c>
      <c r="G2889" t="s">
        <v>4589</v>
      </c>
      <c r="H2889" t="s">
        <v>7122</v>
      </c>
      <c r="I2889">
        <v>3</v>
      </c>
      <c r="J2889" t="s">
        <v>9065</v>
      </c>
      <c r="K2889">
        <v>10462</v>
      </c>
      <c r="L2889" t="s">
        <v>9094</v>
      </c>
      <c r="M2889" t="s">
        <v>9095</v>
      </c>
      <c r="O2889" t="s">
        <v>11149</v>
      </c>
      <c r="P2889" t="s">
        <v>11164</v>
      </c>
      <c r="R2889" t="s">
        <v>11180</v>
      </c>
      <c r="S2889" t="s">
        <v>9096</v>
      </c>
      <c r="T2889" t="s">
        <v>11183</v>
      </c>
      <c r="W2889">
        <v>0</v>
      </c>
      <c r="X2889" t="s">
        <v>11333</v>
      </c>
      <c r="Z2889" t="s">
        <v>13311</v>
      </c>
      <c r="AB2889" t="s">
        <v>17655</v>
      </c>
      <c r="AC2889">
        <v>0</v>
      </c>
      <c r="AE2889" t="s">
        <v>19581</v>
      </c>
      <c r="AF2889">
        <v>0</v>
      </c>
      <c r="AG2889">
        <v>1</v>
      </c>
      <c r="AH2889">
        <v>0</v>
      </c>
      <c r="AI2889">
        <v>96.16</v>
      </c>
      <c r="AL2889" t="s">
        <v>19614</v>
      </c>
      <c r="AM2889">
        <v>12010.68</v>
      </c>
      <c r="AS2889">
        <v>2.25</v>
      </c>
      <c r="AT2889" t="s">
        <v>377</v>
      </c>
      <c r="AU2889" t="s">
        <v>100</v>
      </c>
      <c r="AV2889" t="s">
        <v>20733</v>
      </c>
    </row>
    <row r="2890" spans="1:48">
      <c r="A2890" s="1">
        <f>HYPERLINK("https://lsnyc.legalserver.org/matter/dynamic-profile/view/1881008","18-1881008")</f>
        <v>0</v>
      </c>
      <c r="B2890" t="s">
        <v>115</v>
      </c>
      <c r="C2890" t="s">
        <v>256</v>
      </c>
      <c r="D2890" t="s">
        <v>917</v>
      </c>
      <c r="F2890" t="s">
        <v>2363</v>
      </c>
      <c r="G2890" t="s">
        <v>4033</v>
      </c>
      <c r="H2890" t="s">
        <v>7126</v>
      </c>
      <c r="I2890" t="s">
        <v>8191</v>
      </c>
      <c r="J2890" t="s">
        <v>9065</v>
      </c>
      <c r="K2890">
        <v>10458</v>
      </c>
      <c r="L2890" t="s">
        <v>9094</v>
      </c>
      <c r="M2890" t="s">
        <v>9094</v>
      </c>
      <c r="N2890" t="s">
        <v>10221</v>
      </c>
      <c r="O2890" t="s">
        <v>11128</v>
      </c>
      <c r="P2890" t="s">
        <v>11165</v>
      </c>
      <c r="R2890" t="s">
        <v>11180</v>
      </c>
      <c r="S2890" t="s">
        <v>9096</v>
      </c>
      <c r="T2890" t="s">
        <v>11183</v>
      </c>
      <c r="U2890" t="s">
        <v>11199</v>
      </c>
      <c r="V2890" t="s">
        <v>917</v>
      </c>
      <c r="W2890">
        <v>0</v>
      </c>
      <c r="X2890" t="s">
        <v>11333</v>
      </c>
      <c r="Y2890" t="s">
        <v>11341</v>
      </c>
      <c r="Z2890" t="s">
        <v>13320</v>
      </c>
      <c r="AB2890" t="s">
        <v>17663</v>
      </c>
      <c r="AC2890">
        <v>69</v>
      </c>
      <c r="AD2890" t="s">
        <v>19566</v>
      </c>
      <c r="AE2890" t="s">
        <v>19580</v>
      </c>
      <c r="AF2890">
        <v>5</v>
      </c>
      <c r="AG2890">
        <v>3</v>
      </c>
      <c r="AH2890">
        <v>0</v>
      </c>
      <c r="AI2890">
        <v>96.25</v>
      </c>
      <c r="AL2890" t="s">
        <v>19614</v>
      </c>
      <c r="AM2890">
        <v>20000</v>
      </c>
      <c r="AS2890">
        <v>159</v>
      </c>
      <c r="AT2890" t="s">
        <v>309</v>
      </c>
      <c r="AU2890" t="s">
        <v>163</v>
      </c>
    </row>
    <row r="2891" spans="1:48">
      <c r="A2891" s="1">
        <f>HYPERLINK("https://lsnyc.legalserver.org/matter/dynamic-profile/view/1915454","19-1915454")</f>
        <v>0</v>
      </c>
      <c r="B2891" t="s">
        <v>134</v>
      </c>
      <c r="C2891" t="s">
        <v>256</v>
      </c>
      <c r="D2891" t="s">
        <v>594</v>
      </c>
      <c r="F2891" t="s">
        <v>2364</v>
      </c>
      <c r="G2891" t="s">
        <v>3366</v>
      </c>
      <c r="H2891" t="s">
        <v>6333</v>
      </c>
      <c r="I2891" t="s">
        <v>8189</v>
      </c>
      <c r="J2891" t="s">
        <v>9067</v>
      </c>
      <c r="K2891">
        <v>10002</v>
      </c>
      <c r="L2891" t="s">
        <v>9094</v>
      </c>
      <c r="M2891" t="s">
        <v>9095</v>
      </c>
      <c r="O2891" t="s">
        <v>9121</v>
      </c>
      <c r="P2891" t="s">
        <v>11169</v>
      </c>
      <c r="R2891" t="s">
        <v>11180</v>
      </c>
      <c r="S2891" t="s">
        <v>9096</v>
      </c>
      <c r="T2891" t="s">
        <v>11183</v>
      </c>
      <c r="V2891" t="s">
        <v>594</v>
      </c>
      <c r="W2891">
        <v>311.6</v>
      </c>
      <c r="X2891" t="s">
        <v>11335</v>
      </c>
      <c r="Y2891" t="s">
        <v>11339</v>
      </c>
      <c r="Z2891" t="s">
        <v>13321</v>
      </c>
      <c r="AB2891" t="s">
        <v>17664</v>
      </c>
      <c r="AC2891">
        <v>141</v>
      </c>
      <c r="AD2891" t="s">
        <v>19566</v>
      </c>
      <c r="AE2891" t="s">
        <v>9144</v>
      </c>
      <c r="AF2891">
        <v>12</v>
      </c>
      <c r="AG2891">
        <v>1</v>
      </c>
      <c r="AH2891">
        <v>0</v>
      </c>
      <c r="AI2891">
        <v>96.27</v>
      </c>
      <c r="AL2891" t="s">
        <v>19615</v>
      </c>
      <c r="AM2891">
        <v>12024</v>
      </c>
      <c r="AS2891">
        <v>0</v>
      </c>
      <c r="AU2891" t="s">
        <v>130</v>
      </c>
      <c r="AV2891" t="s">
        <v>20733</v>
      </c>
    </row>
    <row r="2892" spans="1:48">
      <c r="A2892" s="1">
        <f>HYPERLINK("https://lsnyc.legalserver.org/matter/dynamic-profile/view/1906981","19-1906981")</f>
        <v>0</v>
      </c>
      <c r="B2892" t="s">
        <v>122</v>
      </c>
      <c r="C2892" t="s">
        <v>257</v>
      </c>
      <c r="D2892" t="s">
        <v>334</v>
      </c>
      <c r="E2892" t="s">
        <v>728</v>
      </c>
      <c r="F2892" t="s">
        <v>2365</v>
      </c>
      <c r="G2892" t="s">
        <v>4596</v>
      </c>
      <c r="H2892" t="s">
        <v>7127</v>
      </c>
      <c r="J2892" t="s">
        <v>9066</v>
      </c>
      <c r="K2892">
        <v>10304</v>
      </c>
      <c r="L2892" t="s">
        <v>9094</v>
      </c>
      <c r="M2892" t="s">
        <v>9095</v>
      </c>
      <c r="N2892" t="s">
        <v>9154</v>
      </c>
      <c r="O2892" t="s">
        <v>9121</v>
      </c>
      <c r="P2892" t="s">
        <v>11167</v>
      </c>
      <c r="Q2892" t="s">
        <v>11173</v>
      </c>
      <c r="R2892" t="s">
        <v>11180</v>
      </c>
      <c r="S2892" t="s">
        <v>9096</v>
      </c>
      <c r="T2892" t="s">
        <v>11183</v>
      </c>
      <c r="U2892" t="s">
        <v>11201</v>
      </c>
      <c r="V2892" t="s">
        <v>334</v>
      </c>
      <c r="W2892">
        <v>1750</v>
      </c>
      <c r="X2892" t="s">
        <v>11334</v>
      </c>
      <c r="Y2892" t="s">
        <v>11336</v>
      </c>
      <c r="Z2892" t="s">
        <v>13322</v>
      </c>
      <c r="AB2892" t="s">
        <v>17665</v>
      </c>
      <c r="AC2892">
        <v>1</v>
      </c>
      <c r="AD2892" t="s">
        <v>19565</v>
      </c>
      <c r="AE2892" t="s">
        <v>9144</v>
      </c>
      <c r="AF2892">
        <v>5</v>
      </c>
      <c r="AG2892">
        <v>2</v>
      </c>
      <c r="AH2892">
        <v>2</v>
      </c>
      <c r="AI2892">
        <v>96.33</v>
      </c>
      <c r="AL2892" t="s">
        <v>19614</v>
      </c>
      <c r="AM2892">
        <v>24804</v>
      </c>
      <c r="AS2892">
        <v>1.65</v>
      </c>
      <c r="AT2892" t="s">
        <v>728</v>
      </c>
      <c r="AU2892" t="s">
        <v>20653</v>
      </c>
      <c r="AV2892" t="s">
        <v>20733</v>
      </c>
    </row>
    <row r="2893" spans="1:48">
      <c r="A2893" s="1">
        <f>HYPERLINK("https://lsnyc.legalserver.org/matter/dynamic-profile/view/1857401","18-1857401")</f>
        <v>0</v>
      </c>
      <c r="B2893" t="s">
        <v>108</v>
      </c>
      <c r="C2893" t="s">
        <v>256</v>
      </c>
      <c r="D2893" t="s">
        <v>467</v>
      </c>
      <c r="F2893" t="s">
        <v>2267</v>
      </c>
      <c r="G2893" t="s">
        <v>3630</v>
      </c>
      <c r="H2893" t="s">
        <v>5897</v>
      </c>
      <c r="I2893" t="s">
        <v>8668</v>
      </c>
      <c r="J2893" t="s">
        <v>9065</v>
      </c>
      <c r="K2893">
        <v>10452</v>
      </c>
      <c r="L2893" t="s">
        <v>9094</v>
      </c>
      <c r="M2893" t="s">
        <v>9095</v>
      </c>
      <c r="N2893" t="s">
        <v>9253</v>
      </c>
      <c r="O2893" t="s">
        <v>11135</v>
      </c>
      <c r="P2893" t="s">
        <v>11168</v>
      </c>
      <c r="R2893" t="s">
        <v>11180</v>
      </c>
      <c r="S2893" t="s">
        <v>9094</v>
      </c>
      <c r="T2893" t="s">
        <v>11183</v>
      </c>
      <c r="V2893" t="s">
        <v>364</v>
      </c>
      <c r="W2893">
        <v>0</v>
      </c>
      <c r="X2893" t="s">
        <v>11333</v>
      </c>
      <c r="Y2893" t="s">
        <v>11346</v>
      </c>
      <c r="Z2893" t="s">
        <v>13323</v>
      </c>
      <c r="AB2893" t="s">
        <v>17666</v>
      </c>
      <c r="AC2893">
        <v>122</v>
      </c>
      <c r="AD2893" t="s">
        <v>19566</v>
      </c>
      <c r="AF2893">
        <v>0</v>
      </c>
      <c r="AG2893">
        <v>1</v>
      </c>
      <c r="AH2893">
        <v>0</v>
      </c>
      <c r="AI2893">
        <v>96.42</v>
      </c>
      <c r="AL2893" t="s">
        <v>19615</v>
      </c>
      <c r="AM2893">
        <v>11628</v>
      </c>
      <c r="AN2893" t="s">
        <v>19808</v>
      </c>
      <c r="AS2893">
        <v>0</v>
      </c>
      <c r="AU2893" t="s">
        <v>20647</v>
      </c>
    </row>
    <row r="2894" spans="1:48">
      <c r="A2894" s="1">
        <f>HYPERLINK("https://lsnyc.legalserver.org/matter/dynamic-profile/view/1903495","19-1903495")</f>
        <v>0</v>
      </c>
      <c r="B2894" t="s">
        <v>111</v>
      </c>
      <c r="C2894" t="s">
        <v>256</v>
      </c>
      <c r="D2894" t="s">
        <v>302</v>
      </c>
      <c r="F2894" t="s">
        <v>1566</v>
      </c>
      <c r="G2894" t="s">
        <v>4543</v>
      </c>
      <c r="H2894" t="s">
        <v>7071</v>
      </c>
      <c r="I2894">
        <v>1</v>
      </c>
      <c r="J2894" t="s">
        <v>9065</v>
      </c>
      <c r="K2894">
        <v>10456</v>
      </c>
      <c r="L2894" t="s">
        <v>9094</v>
      </c>
      <c r="M2894" t="s">
        <v>9095</v>
      </c>
      <c r="N2894" t="s">
        <v>10222</v>
      </c>
      <c r="O2894" t="s">
        <v>11130</v>
      </c>
      <c r="P2894" t="s">
        <v>11165</v>
      </c>
      <c r="R2894" t="s">
        <v>11180</v>
      </c>
      <c r="S2894" t="s">
        <v>9096</v>
      </c>
      <c r="T2894" t="s">
        <v>11183</v>
      </c>
      <c r="U2894" t="s">
        <v>11201</v>
      </c>
      <c r="V2894" t="s">
        <v>11218</v>
      </c>
      <c r="W2894">
        <v>0</v>
      </c>
      <c r="X2894" t="s">
        <v>11333</v>
      </c>
      <c r="Y2894" t="s">
        <v>11346</v>
      </c>
      <c r="Z2894" t="s">
        <v>13227</v>
      </c>
      <c r="AB2894" t="s">
        <v>17580</v>
      </c>
      <c r="AC2894">
        <v>2</v>
      </c>
      <c r="AD2894" t="s">
        <v>15441</v>
      </c>
      <c r="AE2894" t="s">
        <v>19580</v>
      </c>
      <c r="AF2894">
        <v>20</v>
      </c>
      <c r="AG2894">
        <v>3</v>
      </c>
      <c r="AH2894">
        <v>1</v>
      </c>
      <c r="AI2894">
        <v>96.51000000000001</v>
      </c>
      <c r="AL2894" t="s">
        <v>19614</v>
      </c>
      <c r="AM2894">
        <v>24852</v>
      </c>
      <c r="AS2894">
        <v>78.5</v>
      </c>
      <c r="AT2894" t="s">
        <v>294</v>
      </c>
      <c r="AU2894" t="s">
        <v>111</v>
      </c>
      <c r="AV2894" t="s">
        <v>20733</v>
      </c>
    </row>
    <row r="2895" spans="1:48">
      <c r="A2895" s="1">
        <f>HYPERLINK("https://lsnyc.legalserver.org/matter/dynamic-profile/view/1883614","18-1883614")</f>
        <v>0</v>
      </c>
      <c r="B2895" t="s">
        <v>129</v>
      </c>
      <c r="C2895" t="s">
        <v>256</v>
      </c>
      <c r="D2895" t="s">
        <v>343</v>
      </c>
      <c r="F2895" t="s">
        <v>2366</v>
      </c>
      <c r="G2895" t="s">
        <v>4597</v>
      </c>
      <c r="H2895" t="s">
        <v>7128</v>
      </c>
      <c r="I2895" t="s">
        <v>8669</v>
      </c>
      <c r="J2895" t="s">
        <v>9066</v>
      </c>
      <c r="K2895">
        <v>10301</v>
      </c>
      <c r="L2895" t="s">
        <v>9094</v>
      </c>
      <c r="M2895" t="s">
        <v>9094</v>
      </c>
      <c r="N2895" t="s">
        <v>10223</v>
      </c>
      <c r="O2895" t="s">
        <v>11129</v>
      </c>
      <c r="P2895" t="s">
        <v>11165</v>
      </c>
      <c r="R2895" t="s">
        <v>11180</v>
      </c>
      <c r="S2895" t="s">
        <v>9096</v>
      </c>
      <c r="T2895" t="s">
        <v>11183</v>
      </c>
      <c r="U2895" t="s">
        <v>11201</v>
      </c>
      <c r="V2895" t="s">
        <v>343</v>
      </c>
      <c r="W2895">
        <v>1213</v>
      </c>
      <c r="X2895" t="s">
        <v>11334</v>
      </c>
      <c r="Y2895" t="s">
        <v>11353</v>
      </c>
      <c r="Z2895" t="s">
        <v>11923</v>
      </c>
      <c r="AB2895" t="s">
        <v>17667</v>
      </c>
      <c r="AC2895">
        <v>4</v>
      </c>
      <c r="AD2895" t="s">
        <v>19565</v>
      </c>
      <c r="AE2895" t="s">
        <v>19588</v>
      </c>
      <c r="AF2895">
        <v>2</v>
      </c>
      <c r="AG2895">
        <v>1</v>
      </c>
      <c r="AH2895">
        <v>0</v>
      </c>
      <c r="AI2895">
        <v>96.59999999999999</v>
      </c>
      <c r="AL2895" t="s">
        <v>19614</v>
      </c>
      <c r="AM2895">
        <v>11727.12</v>
      </c>
      <c r="AS2895">
        <v>36</v>
      </c>
      <c r="AT2895" t="s">
        <v>487</v>
      </c>
      <c r="AU2895" t="s">
        <v>20654</v>
      </c>
      <c r="AV2895" t="s">
        <v>20733</v>
      </c>
    </row>
    <row r="2896" spans="1:48">
      <c r="A2896" s="1">
        <f>HYPERLINK("https://lsnyc.legalserver.org/matter/dynamic-profile/view/1896853","19-1896853")</f>
        <v>0</v>
      </c>
      <c r="B2896" t="s">
        <v>147</v>
      </c>
      <c r="C2896" t="s">
        <v>256</v>
      </c>
      <c r="D2896" t="s">
        <v>470</v>
      </c>
      <c r="F2896" t="s">
        <v>2367</v>
      </c>
      <c r="G2896" t="s">
        <v>2025</v>
      </c>
      <c r="H2896" t="s">
        <v>7129</v>
      </c>
      <c r="I2896">
        <v>1</v>
      </c>
      <c r="J2896" t="s">
        <v>9066</v>
      </c>
      <c r="K2896">
        <v>10304</v>
      </c>
      <c r="L2896" t="s">
        <v>9094</v>
      </c>
      <c r="M2896" t="s">
        <v>9095</v>
      </c>
      <c r="N2896" t="s">
        <v>10224</v>
      </c>
      <c r="O2896" t="s">
        <v>11128</v>
      </c>
      <c r="R2896" t="s">
        <v>11180</v>
      </c>
      <c r="S2896" t="s">
        <v>9096</v>
      </c>
      <c r="T2896" t="s">
        <v>11183</v>
      </c>
      <c r="U2896" t="s">
        <v>11201</v>
      </c>
      <c r="W2896">
        <v>1900</v>
      </c>
      <c r="X2896" t="s">
        <v>11334</v>
      </c>
      <c r="Y2896" t="s">
        <v>11345</v>
      </c>
      <c r="Z2896" t="s">
        <v>13133</v>
      </c>
      <c r="AB2896" t="s">
        <v>17668</v>
      </c>
      <c r="AC2896">
        <v>0</v>
      </c>
      <c r="AD2896" t="s">
        <v>19565</v>
      </c>
      <c r="AE2896" t="s">
        <v>19580</v>
      </c>
      <c r="AF2896">
        <v>5</v>
      </c>
      <c r="AG2896">
        <v>1</v>
      </c>
      <c r="AH2896">
        <v>1</v>
      </c>
      <c r="AI2896">
        <v>96.87</v>
      </c>
      <c r="AL2896" t="s">
        <v>19614</v>
      </c>
      <c r="AM2896">
        <v>16380</v>
      </c>
      <c r="AS2896">
        <v>5.4</v>
      </c>
      <c r="AT2896" t="s">
        <v>632</v>
      </c>
      <c r="AU2896" t="s">
        <v>20653</v>
      </c>
    </row>
    <row r="2897" spans="1:48">
      <c r="A2897" s="1">
        <f>HYPERLINK("https://lsnyc.legalserver.org/matter/dynamic-profile/view/1903972","19-1903972")</f>
        <v>0</v>
      </c>
      <c r="B2897" t="s">
        <v>82</v>
      </c>
      <c r="C2897" t="s">
        <v>256</v>
      </c>
      <c r="D2897" t="s">
        <v>457</v>
      </c>
      <c r="F2897" t="s">
        <v>1616</v>
      </c>
      <c r="G2897" t="s">
        <v>1434</v>
      </c>
      <c r="H2897" t="s">
        <v>6393</v>
      </c>
      <c r="I2897" t="s">
        <v>8171</v>
      </c>
      <c r="J2897" t="s">
        <v>9059</v>
      </c>
      <c r="K2897">
        <v>11226</v>
      </c>
      <c r="L2897" t="s">
        <v>9094</v>
      </c>
      <c r="M2897" t="s">
        <v>9095</v>
      </c>
      <c r="O2897" t="s">
        <v>11130</v>
      </c>
      <c r="P2897" t="s">
        <v>11165</v>
      </c>
      <c r="R2897" t="s">
        <v>11180</v>
      </c>
      <c r="S2897" t="s">
        <v>9094</v>
      </c>
      <c r="T2897" t="s">
        <v>11183</v>
      </c>
      <c r="V2897" t="s">
        <v>854</v>
      </c>
      <c r="W2897">
        <v>0</v>
      </c>
      <c r="X2897" t="s">
        <v>11332</v>
      </c>
      <c r="Z2897" t="s">
        <v>13308</v>
      </c>
      <c r="AB2897" t="s">
        <v>17652</v>
      </c>
      <c r="AC2897">
        <v>0</v>
      </c>
      <c r="AF2897">
        <v>0</v>
      </c>
      <c r="AG2897">
        <v>1</v>
      </c>
      <c r="AH2897">
        <v>0</v>
      </c>
      <c r="AI2897">
        <v>96.88</v>
      </c>
      <c r="AL2897" t="s">
        <v>19620</v>
      </c>
      <c r="AM2897">
        <v>12100</v>
      </c>
      <c r="AS2897">
        <v>0.5</v>
      </c>
      <c r="AT2897" t="s">
        <v>282</v>
      </c>
      <c r="AU2897" t="s">
        <v>215</v>
      </c>
      <c r="AV2897" t="s">
        <v>20733</v>
      </c>
    </row>
    <row r="2898" spans="1:48">
      <c r="A2898" s="1">
        <f>HYPERLINK("https://lsnyc.legalserver.org/matter/dynamic-profile/view/1897227","19-1897227")</f>
        <v>0</v>
      </c>
      <c r="B2898" t="s">
        <v>106</v>
      </c>
      <c r="C2898" t="s">
        <v>256</v>
      </c>
      <c r="D2898" t="s">
        <v>317</v>
      </c>
      <c r="F2898" t="s">
        <v>1241</v>
      </c>
      <c r="G2898" t="s">
        <v>3751</v>
      </c>
      <c r="H2898" t="s">
        <v>7060</v>
      </c>
      <c r="I2898" t="s">
        <v>8245</v>
      </c>
      <c r="J2898" t="s">
        <v>9065</v>
      </c>
      <c r="K2898">
        <v>10452</v>
      </c>
      <c r="L2898" t="s">
        <v>9094</v>
      </c>
      <c r="M2898" t="s">
        <v>9094</v>
      </c>
      <c r="O2898" t="s">
        <v>11128</v>
      </c>
      <c r="P2898" t="s">
        <v>11167</v>
      </c>
      <c r="R2898" t="s">
        <v>11180</v>
      </c>
      <c r="S2898" t="s">
        <v>9096</v>
      </c>
      <c r="T2898" t="s">
        <v>11183</v>
      </c>
      <c r="U2898" t="s">
        <v>11201</v>
      </c>
      <c r="V2898" t="s">
        <v>317</v>
      </c>
      <c r="W2898">
        <v>1500</v>
      </c>
      <c r="X2898" t="s">
        <v>11333</v>
      </c>
      <c r="Y2898" t="s">
        <v>11347</v>
      </c>
      <c r="Z2898" t="s">
        <v>13210</v>
      </c>
      <c r="AA2898">
        <v>370953540</v>
      </c>
      <c r="AB2898" t="s">
        <v>17566</v>
      </c>
      <c r="AC2898">
        <v>49</v>
      </c>
      <c r="AD2898" t="s">
        <v>19566</v>
      </c>
      <c r="AF2898">
        <v>10</v>
      </c>
      <c r="AG2898">
        <v>2</v>
      </c>
      <c r="AH2898">
        <v>1</v>
      </c>
      <c r="AI2898">
        <v>96.88</v>
      </c>
      <c r="AL2898" t="s">
        <v>19615</v>
      </c>
      <c r="AM2898">
        <v>20664</v>
      </c>
      <c r="AS2898">
        <v>4.2</v>
      </c>
      <c r="AT2898" t="s">
        <v>341</v>
      </c>
      <c r="AU2898" t="s">
        <v>106</v>
      </c>
      <c r="AV2898" t="s">
        <v>20734</v>
      </c>
    </row>
    <row r="2899" spans="1:48">
      <c r="A2899" s="1">
        <f>HYPERLINK("https://lsnyc.legalserver.org/matter/dynamic-profile/view/1907318","19-1907318")</f>
        <v>0</v>
      </c>
      <c r="B2899" t="s">
        <v>57</v>
      </c>
      <c r="C2899" t="s">
        <v>256</v>
      </c>
      <c r="D2899" t="s">
        <v>415</v>
      </c>
      <c r="F2899" t="s">
        <v>1146</v>
      </c>
      <c r="G2899" t="s">
        <v>3498</v>
      </c>
      <c r="H2899" t="s">
        <v>7130</v>
      </c>
      <c r="I2899" t="s">
        <v>8128</v>
      </c>
      <c r="J2899" t="s">
        <v>9048</v>
      </c>
      <c r="K2899">
        <v>11385</v>
      </c>
      <c r="L2899" t="s">
        <v>9094</v>
      </c>
      <c r="M2899" t="s">
        <v>9095</v>
      </c>
      <c r="N2899" t="s">
        <v>10225</v>
      </c>
      <c r="O2899" t="s">
        <v>11141</v>
      </c>
      <c r="P2899" t="s">
        <v>11167</v>
      </c>
      <c r="R2899" t="s">
        <v>11181</v>
      </c>
      <c r="S2899" t="s">
        <v>9096</v>
      </c>
      <c r="T2899" t="s">
        <v>11183</v>
      </c>
      <c r="U2899" t="s">
        <v>11198</v>
      </c>
      <c r="V2899" t="s">
        <v>415</v>
      </c>
      <c r="W2899">
        <v>1734</v>
      </c>
      <c r="X2899" t="s">
        <v>11331</v>
      </c>
      <c r="Y2899" t="s">
        <v>11337</v>
      </c>
      <c r="Z2899" t="s">
        <v>13324</v>
      </c>
      <c r="AA2899" t="s">
        <v>15274</v>
      </c>
      <c r="AB2899" t="s">
        <v>15274</v>
      </c>
      <c r="AC2899">
        <v>6</v>
      </c>
      <c r="AD2899" t="s">
        <v>19566</v>
      </c>
      <c r="AE2899" t="s">
        <v>9144</v>
      </c>
      <c r="AF2899">
        <v>4</v>
      </c>
      <c r="AG2899">
        <v>1</v>
      </c>
      <c r="AH2899">
        <v>3</v>
      </c>
      <c r="AI2899">
        <v>96.93000000000001</v>
      </c>
      <c r="AJ2899" t="s">
        <v>19591</v>
      </c>
      <c r="AK2899" t="s">
        <v>19608</v>
      </c>
      <c r="AL2899" t="s">
        <v>19615</v>
      </c>
      <c r="AM2899">
        <v>24960</v>
      </c>
      <c r="AS2899">
        <v>2.4</v>
      </c>
      <c r="AT2899" t="s">
        <v>321</v>
      </c>
      <c r="AU2899" t="s">
        <v>57</v>
      </c>
      <c r="AV2899" t="s">
        <v>20733</v>
      </c>
    </row>
    <row r="2900" spans="1:48">
      <c r="A2900" s="1">
        <f>HYPERLINK("https://lsnyc.legalserver.org/matter/dynamic-profile/view/1881801","18-1881801")</f>
        <v>0</v>
      </c>
      <c r="B2900" t="s">
        <v>114</v>
      </c>
      <c r="C2900" t="s">
        <v>257</v>
      </c>
      <c r="D2900" t="s">
        <v>477</v>
      </c>
      <c r="E2900" t="s">
        <v>563</v>
      </c>
      <c r="F2900" t="s">
        <v>2006</v>
      </c>
      <c r="G2900" t="s">
        <v>3448</v>
      </c>
      <c r="H2900" t="s">
        <v>5907</v>
      </c>
      <c r="I2900" t="s">
        <v>8670</v>
      </c>
      <c r="J2900" t="s">
        <v>9065</v>
      </c>
      <c r="K2900">
        <v>10451</v>
      </c>
      <c r="L2900" t="s">
        <v>9094</v>
      </c>
      <c r="M2900" t="s">
        <v>9094</v>
      </c>
      <c r="N2900" t="s">
        <v>9259</v>
      </c>
      <c r="O2900" t="s">
        <v>11130</v>
      </c>
      <c r="P2900" t="s">
        <v>11165</v>
      </c>
      <c r="Q2900" t="s">
        <v>11174</v>
      </c>
      <c r="R2900" t="s">
        <v>11180</v>
      </c>
      <c r="S2900" t="s">
        <v>9094</v>
      </c>
      <c r="T2900" t="s">
        <v>11183</v>
      </c>
      <c r="V2900" t="s">
        <v>738</v>
      </c>
      <c r="W2900">
        <v>900</v>
      </c>
      <c r="X2900" t="s">
        <v>11333</v>
      </c>
      <c r="Y2900" t="s">
        <v>11346</v>
      </c>
      <c r="Z2900" t="s">
        <v>13325</v>
      </c>
      <c r="AB2900" t="s">
        <v>17669</v>
      </c>
      <c r="AC2900">
        <v>100</v>
      </c>
      <c r="AD2900" t="s">
        <v>19566</v>
      </c>
      <c r="AE2900" t="s">
        <v>19587</v>
      </c>
      <c r="AF2900">
        <v>35</v>
      </c>
      <c r="AG2900">
        <v>1</v>
      </c>
      <c r="AH2900">
        <v>0</v>
      </c>
      <c r="AI2900">
        <v>96.93000000000001</v>
      </c>
      <c r="AL2900" t="s">
        <v>19615</v>
      </c>
      <c r="AM2900">
        <v>11767.2</v>
      </c>
      <c r="AS2900">
        <v>0.25</v>
      </c>
      <c r="AT2900" t="s">
        <v>563</v>
      </c>
      <c r="AU2900" t="s">
        <v>163</v>
      </c>
    </row>
    <row r="2901" spans="1:48">
      <c r="A2901" s="1">
        <f>HYPERLINK("https://lsnyc.legalserver.org/matter/dynamic-profile/view/0793302","15-0793302")</f>
        <v>0</v>
      </c>
      <c r="B2901" t="s">
        <v>167</v>
      </c>
      <c r="C2901" t="s">
        <v>256</v>
      </c>
      <c r="D2901" t="s">
        <v>972</v>
      </c>
      <c r="F2901" t="s">
        <v>2368</v>
      </c>
      <c r="G2901" t="s">
        <v>1299</v>
      </c>
      <c r="H2901" t="s">
        <v>7131</v>
      </c>
      <c r="I2901" t="s">
        <v>8370</v>
      </c>
      <c r="J2901" t="s">
        <v>9059</v>
      </c>
      <c r="K2901">
        <v>11213</v>
      </c>
      <c r="L2901" t="s">
        <v>9094</v>
      </c>
      <c r="M2901" t="s">
        <v>9095</v>
      </c>
      <c r="N2901" t="s">
        <v>10226</v>
      </c>
      <c r="O2901" t="s">
        <v>11128</v>
      </c>
      <c r="P2901" t="s">
        <v>11165</v>
      </c>
      <c r="R2901" t="s">
        <v>11180</v>
      </c>
      <c r="T2901" t="s">
        <v>11183</v>
      </c>
      <c r="V2901" t="s">
        <v>11276</v>
      </c>
      <c r="W2901">
        <v>1008</v>
      </c>
      <c r="X2901" t="s">
        <v>11332</v>
      </c>
      <c r="Z2901" t="s">
        <v>13326</v>
      </c>
      <c r="AB2901" t="s">
        <v>17670</v>
      </c>
      <c r="AC2901">
        <v>20</v>
      </c>
      <c r="AE2901" t="s">
        <v>19580</v>
      </c>
      <c r="AF2901">
        <v>21</v>
      </c>
      <c r="AG2901">
        <v>2</v>
      </c>
      <c r="AH2901">
        <v>0</v>
      </c>
      <c r="AI2901">
        <v>96.95</v>
      </c>
      <c r="AL2901" t="s">
        <v>19614</v>
      </c>
      <c r="AM2901">
        <v>15444</v>
      </c>
      <c r="AS2901">
        <v>186.85</v>
      </c>
      <c r="AT2901" t="s">
        <v>11217</v>
      </c>
      <c r="AU2901" t="s">
        <v>20630</v>
      </c>
    </row>
    <row r="2902" spans="1:48">
      <c r="A2902" s="1">
        <f>HYPERLINK("https://lsnyc.legalserver.org/matter/dynamic-profile/view/1905724","19-1905724")</f>
        <v>0</v>
      </c>
      <c r="B2902" t="s">
        <v>78</v>
      </c>
      <c r="C2902" t="s">
        <v>256</v>
      </c>
      <c r="D2902" t="s">
        <v>328</v>
      </c>
      <c r="F2902" t="s">
        <v>1227</v>
      </c>
      <c r="G2902" t="s">
        <v>4598</v>
      </c>
      <c r="H2902" t="s">
        <v>5805</v>
      </c>
      <c r="I2902" t="s">
        <v>8153</v>
      </c>
      <c r="J2902" t="s">
        <v>9059</v>
      </c>
      <c r="K2902">
        <v>11213</v>
      </c>
      <c r="L2902" t="s">
        <v>9094</v>
      </c>
      <c r="M2902" t="s">
        <v>9095</v>
      </c>
      <c r="N2902" t="s">
        <v>9121</v>
      </c>
      <c r="O2902" t="s">
        <v>9121</v>
      </c>
      <c r="P2902" t="s">
        <v>11167</v>
      </c>
      <c r="R2902" t="s">
        <v>11180</v>
      </c>
      <c r="S2902" t="s">
        <v>9094</v>
      </c>
      <c r="T2902" t="s">
        <v>11183</v>
      </c>
      <c r="U2902" t="s">
        <v>11201</v>
      </c>
      <c r="V2902" t="s">
        <v>512</v>
      </c>
      <c r="W2902">
        <v>1268</v>
      </c>
      <c r="X2902" t="s">
        <v>11332</v>
      </c>
      <c r="Y2902" t="s">
        <v>11348</v>
      </c>
      <c r="Z2902" t="s">
        <v>13327</v>
      </c>
      <c r="AB2902" t="s">
        <v>17671</v>
      </c>
      <c r="AC2902">
        <v>19</v>
      </c>
      <c r="AD2902" t="s">
        <v>19566</v>
      </c>
      <c r="AE2902" t="s">
        <v>19588</v>
      </c>
      <c r="AF2902">
        <v>2</v>
      </c>
      <c r="AG2902">
        <v>2</v>
      </c>
      <c r="AH2902">
        <v>0</v>
      </c>
      <c r="AI2902">
        <v>96.97</v>
      </c>
      <c r="AL2902" t="s">
        <v>19614</v>
      </c>
      <c r="AM2902">
        <v>16398</v>
      </c>
      <c r="AN2902" t="s">
        <v>19914</v>
      </c>
      <c r="AS2902">
        <v>0</v>
      </c>
      <c r="AU2902" t="s">
        <v>79</v>
      </c>
      <c r="AV2902" t="s">
        <v>20733</v>
      </c>
    </row>
    <row r="2903" spans="1:48">
      <c r="A2903" s="1">
        <f>HYPERLINK("https://lsnyc.legalserver.org/matter/dynamic-profile/view/1904006","19-1904006")</f>
        <v>0</v>
      </c>
      <c r="B2903" t="s">
        <v>78</v>
      </c>
      <c r="C2903" t="s">
        <v>256</v>
      </c>
      <c r="D2903" t="s">
        <v>663</v>
      </c>
      <c r="F2903" t="s">
        <v>1227</v>
      </c>
      <c r="G2903" t="s">
        <v>4598</v>
      </c>
      <c r="H2903" t="s">
        <v>5805</v>
      </c>
      <c r="I2903" t="s">
        <v>8153</v>
      </c>
      <c r="J2903" t="s">
        <v>9059</v>
      </c>
      <c r="K2903">
        <v>11213</v>
      </c>
      <c r="L2903" t="s">
        <v>9094</v>
      </c>
      <c r="M2903" t="s">
        <v>9095</v>
      </c>
      <c r="N2903" t="s">
        <v>9144</v>
      </c>
      <c r="O2903" t="s">
        <v>11137</v>
      </c>
      <c r="P2903" t="s">
        <v>11167</v>
      </c>
      <c r="R2903" t="s">
        <v>11180</v>
      </c>
      <c r="S2903" t="s">
        <v>9094</v>
      </c>
      <c r="T2903" t="s">
        <v>11186</v>
      </c>
      <c r="U2903" t="s">
        <v>11201</v>
      </c>
      <c r="V2903" t="s">
        <v>635</v>
      </c>
      <c r="W2903">
        <v>1268</v>
      </c>
      <c r="X2903" t="s">
        <v>11332</v>
      </c>
      <c r="Y2903" t="s">
        <v>11348</v>
      </c>
      <c r="Z2903" t="s">
        <v>13327</v>
      </c>
      <c r="AB2903" t="s">
        <v>17671</v>
      </c>
      <c r="AC2903">
        <v>19</v>
      </c>
      <c r="AD2903" t="s">
        <v>19566</v>
      </c>
      <c r="AE2903" t="s">
        <v>19588</v>
      </c>
      <c r="AF2903">
        <v>2</v>
      </c>
      <c r="AG2903">
        <v>2</v>
      </c>
      <c r="AH2903">
        <v>0</v>
      </c>
      <c r="AI2903">
        <v>96.97</v>
      </c>
      <c r="AL2903" t="s">
        <v>19614</v>
      </c>
      <c r="AM2903">
        <v>16398</v>
      </c>
      <c r="AN2903" t="s">
        <v>19915</v>
      </c>
      <c r="AS2903">
        <v>0</v>
      </c>
      <c r="AU2903" t="s">
        <v>79</v>
      </c>
    </row>
    <row r="2904" spans="1:48">
      <c r="A2904" s="1">
        <f>HYPERLINK("https://lsnyc.legalserver.org/matter/dynamic-profile/view/1895329","19-1895329")</f>
        <v>0</v>
      </c>
      <c r="B2904" t="s">
        <v>102</v>
      </c>
      <c r="C2904" t="s">
        <v>256</v>
      </c>
      <c r="D2904" t="s">
        <v>264</v>
      </c>
      <c r="F2904" t="s">
        <v>1227</v>
      </c>
      <c r="G2904" t="s">
        <v>4598</v>
      </c>
      <c r="H2904" t="s">
        <v>5805</v>
      </c>
      <c r="I2904" t="s">
        <v>8153</v>
      </c>
      <c r="J2904" t="s">
        <v>9059</v>
      </c>
      <c r="K2904">
        <v>11213</v>
      </c>
      <c r="L2904" t="s">
        <v>9094</v>
      </c>
      <c r="M2904" t="s">
        <v>9094</v>
      </c>
      <c r="N2904" t="s">
        <v>9144</v>
      </c>
      <c r="O2904" t="s">
        <v>11141</v>
      </c>
      <c r="P2904" t="s">
        <v>11170</v>
      </c>
      <c r="R2904" t="s">
        <v>11180</v>
      </c>
      <c r="S2904" t="s">
        <v>9094</v>
      </c>
      <c r="T2904" t="s">
        <v>11185</v>
      </c>
      <c r="V2904" t="s">
        <v>264</v>
      </c>
      <c r="W2904">
        <v>1268</v>
      </c>
      <c r="X2904" t="s">
        <v>11332</v>
      </c>
      <c r="Y2904" t="s">
        <v>11348</v>
      </c>
      <c r="Z2904" t="s">
        <v>13327</v>
      </c>
      <c r="AB2904" t="s">
        <v>17671</v>
      </c>
      <c r="AC2904">
        <v>19</v>
      </c>
      <c r="AD2904" t="s">
        <v>19566</v>
      </c>
      <c r="AE2904" t="s">
        <v>19588</v>
      </c>
      <c r="AF2904">
        <v>2</v>
      </c>
      <c r="AG2904">
        <v>2</v>
      </c>
      <c r="AH2904">
        <v>0</v>
      </c>
      <c r="AI2904">
        <v>96.97</v>
      </c>
      <c r="AL2904" t="s">
        <v>19614</v>
      </c>
      <c r="AM2904">
        <v>16398</v>
      </c>
      <c r="AN2904" t="s">
        <v>19914</v>
      </c>
      <c r="AS2904">
        <v>4.5</v>
      </c>
      <c r="AT2904" t="s">
        <v>748</v>
      </c>
      <c r="AU2904" t="s">
        <v>79</v>
      </c>
      <c r="AV2904" t="s">
        <v>20733</v>
      </c>
    </row>
    <row r="2905" spans="1:48">
      <c r="A2905" s="1">
        <f>HYPERLINK("https://lsnyc.legalserver.org/matter/dynamic-profile/view/1906286","19-1906286")</f>
        <v>0</v>
      </c>
      <c r="B2905" t="s">
        <v>82</v>
      </c>
      <c r="C2905" t="s">
        <v>256</v>
      </c>
      <c r="D2905" t="s">
        <v>372</v>
      </c>
      <c r="F2905" t="s">
        <v>1740</v>
      </c>
      <c r="G2905" t="s">
        <v>4599</v>
      </c>
      <c r="H2905" t="s">
        <v>7132</v>
      </c>
      <c r="I2905" t="s">
        <v>8164</v>
      </c>
      <c r="J2905" t="s">
        <v>9059</v>
      </c>
      <c r="K2905">
        <v>11226</v>
      </c>
      <c r="L2905" t="s">
        <v>9094</v>
      </c>
      <c r="M2905" t="s">
        <v>9095</v>
      </c>
      <c r="N2905" t="s">
        <v>10227</v>
      </c>
      <c r="O2905" t="s">
        <v>11134</v>
      </c>
      <c r="P2905" t="s">
        <v>11166</v>
      </c>
      <c r="R2905" t="s">
        <v>11180</v>
      </c>
      <c r="S2905" t="s">
        <v>9096</v>
      </c>
      <c r="T2905" t="s">
        <v>11183</v>
      </c>
      <c r="V2905" t="s">
        <v>372</v>
      </c>
      <c r="W2905">
        <v>1024.45</v>
      </c>
      <c r="X2905" t="s">
        <v>11332</v>
      </c>
      <c r="Z2905" t="s">
        <v>13328</v>
      </c>
      <c r="AC2905">
        <v>27</v>
      </c>
      <c r="AD2905" t="s">
        <v>19566</v>
      </c>
      <c r="AF2905">
        <v>23</v>
      </c>
      <c r="AG2905">
        <v>4</v>
      </c>
      <c r="AH2905">
        <v>0</v>
      </c>
      <c r="AI2905">
        <v>97.09</v>
      </c>
      <c r="AL2905" t="s">
        <v>19614</v>
      </c>
      <c r="AM2905">
        <v>25000</v>
      </c>
      <c r="AS2905">
        <v>0.6</v>
      </c>
      <c r="AT2905" t="s">
        <v>474</v>
      </c>
      <c r="AU2905" t="s">
        <v>67</v>
      </c>
      <c r="AV2905" t="s">
        <v>20733</v>
      </c>
    </row>
    <row r="2906" spans="1:48">
      <c r="A2906" s="1">
        <f>HYPERLINK("https://lsnyc.legalserver.org/matter/dynamic-profile/view/1890052","19-1890052")</f>
        <v>0</v>
      </c>
      <c r="B2906" t="s">
        <v>103</v>
      </c>
      <c r="C2906" t="s">
        <v>256</v>
      </c>
      <c r="D2906" t="s">
        <v>543</v>
      </c>
      <c r="F2906" t="s">
        <v>1264</v>
      </c>
      <c r="G2906" t="s">
        <v>3479</v>
      </c>
      <c r="H2906" t="s">
        <v>5887</v>
      </c>
      <c r="I2906" t="s">
        <v>8671</v>
      </c>
      <c r="J2906" t="s">
        <v>9065</v>
      </c>
      <c r="K2906">
        <v>10453</v>
      </c>
      <c r="L2906" t="s">
        <v>9094</v>
      </c>
      <c r="M2906" t="s">
        <v>9094</v>
      </c>
      <c r="O2906" t="s">
        <v>11134</v>
      </c>
      <c r="P2906" t="s">
        <v>11168</v>
      </c>
      <c r="R2906" t="s">
        <v>11180</v>
      </c>
      <c r="S2906" t="s">
        <v>9094</v>
      </c>
      <c r="T2906" t="s">
        <v>11183</v>
      </c>
      <c r="V2906" t="s">
        <v>512</v>
      </c>
      <c r="W2906">
        <v>1319</v>
      </c>
      <c r="X2906" t="s">
        <v>11333</v>
      </c>
      <c r="Y2906" t="s">
        <v>11346</v>
      </c>
      <c r="Z2906" t="s">
        <v>13329</v>
      </c>
      <c r="AC2906">
        <v>170</v>
      </c>
      <c r="AD2906" t="s">
        <v>19566</v>
      </c>
      <c r="AF2906">
        <v>12</v>
      </c>
      <c r="AG2906">
        <v>2</v>
      </c>
      <c r="AH2906">
        <v>2</v>
      </c>
      <c r="AI2906">
        <v>97.09</v>
      </c>
      <c r="AL2906" t="s">
        <v>19615</v>
      </c>
      <c r="AM2906">
        <v>25000</v>
      </c>
      <c r="AS2906">
        <v>0</v>
      </c>
      <c r="AU2906" t="s">
        <v>158</v>
      </c>
    </row>
    <row r="2907" spans="1:48">
      <c r="A2907" s="1">
        <f>HYPERLINK("https://lsnyc.legalserver.org/matter/dynamic-profile/view/1905663","19-1905663")</f>
        <v>0</v>
      </c>
      <c r="B2907" t="s">
        <v>103</v>
      </c>
      <c r="C2907" t="s">
        <v>256</v>
      </c>
      <c r="D2907" t="s">
        <v>328</v>
      </c>
      <c r="F2907" t="s">
        <v>1264</v>
      </c>
      <c r="G2907" t="s">
        <v>3479</v>
      </c>
      <c r="H2907" t="s">
        <v>5887</v>
      </c>
      <c r="I2907" t="s">
        <v>8671</v>
      </c>
      <c r="J2907" t="s">
        <v>9065</v>
      </c>
      <c r="K2907">
        <v>10453</v>
      </c>
      <c r="L2907" t="s">
        <v>9094</v>
      </c>
      <c r="M2907" t="s">
        <v>9095</v>
      </c>
      <c r="N2907" t="s">
        <v>9239</v>
      </c>
      <c r="O2907" t="s">
        <v>11134</v>
      </c>
      <c r="P2907" t="s">
        <v>11168</v>
      </c>
      <c r="R2907" t="s">
        <v>11180</v>
      </c>
      <c r="S2907" t="s">
        <v>9094</v>
      </c>
      <c r="T2907" t="s">
        <v>11183</v>
      </c>
      <c r="V2907" t="s">
        <v>817</v>
      </c>
      <c r="W2907">
        <v>1319</v>
      </c>
      <c r="X2907" t="s">
        <v>11333</v>
      </c>
      <c r="Y2907" t="s">
        <v>11346</v>
      </c>
      <c r="Z2907" t="s">
        <v>13329</v>
      </c>
      <c r="AC2907">
        <v>170</v>
      </c>
      <c r="AE2907" t="s">
        <v>9144</v>
      </c>
      <c r="AF2907">
        <v>12</v>
      </c>
      <c r="AG2907">
        <v>2</v>
      </c>
      <c r="AH2907">
        <v>2</v>
      </c>
      <c r="AI2907">
        <v>97.09</v>
      </c>
      <c r="AL2907" t="s">
        <v>19615</v>
      </c>
      <c r="AM2907">
        <v>25000</v>
      </c>
      <c r="AS2907">
        <v>0</v>
      </c>
      <c r="AU2907" t="s">
        <v>163</v>
      </c>
      <c r="AV2907" t="s">
        <v>20733</v>
      </c>
    </row>
    <row r="2908" spans="1:48">
      <c r="A2908" s="1">
        <f>HYPERLINK("https://lsnyc.legalserver.org/matter/dynamic-profile/view/1905666","19-1905666")</f>
        <v>0</v>
      </c>
      <c r="B2908" t="s">
        <v>103</v>
      </c>
      <c r="C2908" t="s">
        <v>256</v>
      </c>
      <c r="D2908" t="s">
        <v>328</v>
      </c>
      <c r="F2908" t="s">
        <v>1264</v>
      </c>
      <c r="G2908" t="s">
        <v>3479</v>
      </c>
      <c r="H2908" t="s">
        <v>5887</v>
      </c>
      <c r="I2908" t="s">
        <v>8671</v>
      </c>
      <c r="J2908" t="s">
        <v>9065</v>
      </c>
      <c r="K2908">
        <v>10453</v>
      </c>
      <c r="L2908" t="s">
        <v>9094</v>
      </c>
      <c r="M2908" t="s">
        <v>9095</v>
      </c>
      <c r="N2908" t="s">
        <v>9240</v>
      </c>
      <c r="O2908" t="s">
        <v>11134</v>
      </c>
      <c r="P2908" t="s">
        <v>11168</v>
      </c>
      <c r="R2908" t="s">
        <v>11180</v>
      </c>
      <c r="S2908" t="s">
        <v>9094</v>
      </c>
      <c r="T2908" t="s">
        <v>11183</v>
      </c>
      <c r="V2908" t="s">
        <v>988</v>
      </c>
      <c r="W2908">
        <v>1319</v>
      </c>
      <c r="X2908" t="s">
        <v>11333</v>
      </c>
      <c r="Y2908" t="s">
        <v>11346</v>
      </c>
      <c r="Z2908" t="s">
        <v>13329</v>
      </c>
      <c r="AC2908">
        <v>170</v>
      </c>
      <c r="AD2908" t="s">
        <v>19566</v>
      </c>
      <c r="AE2908" t="s">
        <v>9144</v>
      </c>
      <c r="AF2908">
        <v>12</v>
      </c>
      <c r="AG2908">
        <v>2</v>
      </c>
      <c r="AH2908">
        <v>2</v>
      </c>
      <c r="AI2908">
        <v>97.09</v>
      </c>
      <c r="AL2908" t="s">
        <v>19615</v>
      </c>
      <c r="AM2908">
        <v>25000</v>
      </c>
      <c r="AS2908">
        <v>0</v>
      </c>
      <c r="AU2908" t="s">
        <v>163</v>
      </c>
      <c r="AV2908" t="s">
        <v>20733</v>
      </c>
    </row>
    <row r="2909" spans="1:48">
      <c r="A2909" s="1">
        <f>HYPERLINK("https://lsnyc.legalserver.org/matter/dynamic-profile/view/1890043","19-1890043")</f>
        <v>0</v>
      </c>
      <c r="B2909" t="s">
        <v>103</v>
      </c>
      <c r="C2909" t="s">
        <v>256</v>
      </c>
      <c r="D2909" t="s">
        <v>543</v>
      </c>
      <c r="F2909" t="s">
        <v>1264</v>
      </c>
      <c r="G2909" t="s">
        <v>3479</v>
      </c>
      <c r="H2909" t="s">
        <v>5887</v>
      </c>
      <c r="I2909" t="s">
        <v>8671</v>
      </c>
      <c r="J2909" t="s">
        <v>9065</v>
      </c>
      <c r="K2909">
        <v>10453</v>
      </c>
      <c r="L2909" t="s">
        <v>9094</v>
      </c>
      <c r="M2909" t="s">
        <v>9094</v>
      </c>
      <c r="N2909" t="s">
        <v>9352</v>
      </c>
      <c r="O2909" t="s">
        <v>11130</v>
      </c>
      <c r="P2909" t="s">
        <v>11165</v>
      </c>
      <c r="R2909" t="s">
        <v>11180</v>
      </c>
      <c r="S2909" t="s">
        <v>9094</v>
      </c>
      <c r="T2909" t="s">
        <v>11183</v>
      </c>
      <c r="V2909" t="s">
        <v>512</v>
      </c>
      <c r="W2909">
        <v>1319</v>
      </c>
      <c r="X2909" t="s">
        <v>11333</v>
      </c>
      <c r="Y2909" t="s">
        <v>11346</v>
      </c>
      <c r="Z2909" t="s">
        <v>13329</v>
      </c>
      <c r="AC2909">
        <v>170</v>
      </c>
      <c r="AD2909" t="s">
        <v>19566</v>
      </c>
      <c r="AF2909">
        <v>12</v>
      </c>
      <c r="AG2909">
        <v>2</v>
      </c>
      <c r="AH2909">
        <v>2</v>
      </c>
      <c r="AI2909">
        <v>97.09</v>
      </c>
      <c r="AL2909" t="s">
        <v>19615</v>
      </c>
      <c r="AM2909">
        <v>25000</v>
      </c>
      <c r="AS2909">
        <v>0</v>
      </c>
      <c r="AU2909" t="s">
        <v>158</v>
      </c>
    </row>
    <row r="2910" spans="1:48">
      <c r="A2910" s="1">
        <f>HYPERLINK("https://lsnyc.legalserver.org/matter/dynamic-profile/view/1866488","18-1866488")</f>
        <v>0</v>
      </c>
      <c r="B2910" t="s">
        <v>86</v>
      </c>
      <c r="C2910" t="s">
        <v>256</v>
      </c>
      <c r="D2910" t="s">
        <v>727</v>
      </c>
      <c r="F2910" t="s">
        <v>2230</v>
      </c>
      <c r="G2910" t="s">
        <v>3383</v>
      </c>
      <c r="H2910" t="s">
        <v>5778</v>
      </c>
      <c r="I2910" t="s">
        <v>8233</v>
      </c>
      <c r="J2910" t="s">
        <v>9059</v>
      </c>
      <c r="K2910">
        <v>11226</v>
      </c>
      <c r="L2910" t="s">
        <v>9094</v>
      </c>
      <c r="M2910" t="s">
        <v>9094</v>
      </c>
      <c r="O2910" t="s">
        <v>11136</v>
      </c>
      <c r="P2910" t="s">
        <v>11165</v>
      </c>
      <c r="R2910" t="s">
        <v>11180</v>
      </c>
      <c r="S2910" t="s">
        <v>9094</v>
      </c>
      <c r="T2910" t="s">
        <v>11183</v>
      </c>
      <c r="V2910" t="s">
        <v>697</v>
      </c>
      <c r="W2910">
        <v>0</v>
      </c>
      <c r="X2910" t="s">
        <v>11332</v>
      </c>
      <c r="Y2910" t="s">
        <v>11346</v>
      </c>
      <c r="Z2910" t="s">
        <v>12752</v>
      </c>
      <c r="AC2910">
        <v>61</v>
      </c>
      <c r="AD2910" t="s">
        <v>19566</v>
      </c>
      <c r="AF2910">
        <v>0</v>
      </c>
      <c r="AG2910">
        <v>2</v>
      </c>
      <c r="AH2910">
        <v>0</v>
      </c>
      <c r="AI2910">
        <v>97.18000000000001</v>
      </c>
      <c r="AL2910" t="s">
        <v>19614</v>
      </c>
      <c r="AM2910">
        <v>27780</v>
      </c>
      <c r="AS2910">
        <v>1.1</v>
      </c>
      <c r="AT2910" t="s">
        <v>599</v>
      </c>
      <c r="AU2910" t="s">
        <v>20630</v>
      </c>
    </row>
    <row r="2911" spans="1:48">
      <c r="A2911" s="1">
        <f>HYPERLINK("https://lsnyc.legalserver.org/matter/dynamic-profile/view/1861487","18-1861487")</f>
        <v>0</v>
      </c>
      <c r="B2911" t="s">
        <v>108</v>
      </c>
      <c r="C2911" t="s">
        <v>256</v>
      </c>
      <c r="D2911" t="s">
        <v>752</v>
      </c>
      <c r="F2911" t="s">
        <v>2369</v>
      </c>
      <c r="G2911" t="s">
        <v>3524</v>
      </c>
      <c r="H2911" t="s">
        <v>5897</v>
      </c>
      <c r="I2911" t="s">
        <v>8672</v>
      </c>
      <c r="J2911" t="s">
        <v>9065</v>
      </c>
      <c r="K2911">
        <v>10452</v>
      </c>
      <c r="L2911" t="s">
        <v>9094</v>
      </c>
      <c r="M2911" t="s">
        <v>9095</v>
      </c>
      <c r="P2911" t="s">
        <v>11166</v>
      </c>
      <c r="R2911" t="s">
        <v>11180</v>
      </c>
      <c r="S2911" t="s">
        <v>9094</v>
      </c>
      <c r="T2911" t="s">
        <v>11183</v>
      </c>
      <c r="V2911" t="s">
        <v>874</v>
      </c>
      <c r="W2911">
        <v>1160</v>
      </c>
      <c r="X2911" t="s">
        <v>11333</v>
      </c>
      <c r="Y2911" t="s">
        <v>11346</v>
      </c>
      <c r="Z2911" t="s">
        <v>13330</v>
      </c>
      <c r="AA2911" t="s">
        <v>15744</v>
      </c>
      <c r="AB2911" t="s">
        <v>17672</v>
      </c>
      <c r="AC2911">
        <v>122</v>
      </c>
      <c r="AD2911" t="s">
        <v>19566</v>
      </c>
      <c r="AF2911">
        <v>10</v>
      </c>
      <c r="AG2911">
        <v>2</v>
      </c>
      <c r="AH2911">
        <v>3</v>
      </c>
      <c r="AI2911">
        <v>97.20999999999999</v>
      </c>
      <c r="AL2911" t="s">
        <v>19614</v>
      </c>
      <c r="AM2911">
        <v>28600</v>
      </c>
      <c r="AS2911">
        <v>0.2</v>
      </c>
      <c r="AT2911" t="s">
        <v>288</v>
      </c>
      <c r="AU2911" t="s">
        <v>158</v>
      </c>
    </row>
    <row r="2912" spans="1:48">
      <c r="A2912" s="1">
        <f>HYPERLINK("https://lsnyc.legalserver.org/matter/dynamic-profile/view/1906180","19-1906180")</f>
        <v>0</v>
      </c>
      <c r="B2912" t="s">
        <v>55</v>
      </c>
      <c r="C2912" t="s">
        <v>256</v>
      </c>
      <c r="D2912" t="s">
        <v>282</v>
      </c>
      <c r="F2912" t="s">
        <v>1639</v>
      </c>
      <c r="G2912" t="s">
        <v>4600</v>
      </c>
      <c r="H2912" t="s">
        <v>7133</v>
      </c>
      <c r="J2912" t="s">
        <v>9039</v>
      </c>
      <c r="K2912">
        <v>11435</v>
      </c>
      <c r="L2912" t="s">
        <v>9094</v>
      </c>
      <c r="M2912" t="s">
        <v>9095</v>
      </c>
      <c r="N2912" t="s">
        <v>10228</v>
      </c>
      <c r="O2912" t="s">
        <v>11128</v>
      </c>
      <c r="P2912" t="s">
        <v>11164</v>
      </c>
      <c r="R2912" t="s">
        <v>11180</v>
      </c>
      <c r="S2912" t="s">
        <v>9096</v>
      </c>
      <c r="T2912" t="s">
        <v>11183</v>
      </c>
      <c r="U2912" t="s">
        <v>11201</v>
      </c>
      <c r="V2912" t="s">
        <v>282</v>
      </c>
      <c r="W2912">
        <v>3100</v>
      </c>
      <c r="X2912" t="s">
        <v>11331</v>
      </c>
      <c r="Y2912" t="s">
        <v>11336</v>
      </c>
      <c r="Z2912" t="s">
        <v>13331</v>
      </c>
      <c r="AB2912" t="s">
        <v>17673</v>
      </c>
      <c r="AC2912">
        <v>1</v>
      </c>
      <c r="AD2912" t="s">
        <v>15441</v>
      </c>
      <c r="AE2912" t="s">
        <v>9144</v>
      </c>
      <c r="AF2912">
        <v>-1</v>
      </c>
      <c r="AG2912">
        <v>4</v>
      </c>
      <c r="AH2912">
        <v>3</v>
      </c>
      <c r="AI2912">
        <v>97.26000000000001</v>
      </c>
      <c r="AL2912" t="s">
        <v>19614</v>
      </c>
      <c r="AM2912">
        <v>37940</v>
      </c>
      <c r="AS2912">
        <v>1.4</v>
      </c>
      <c r="AT2912" t="s">
        <v>1136</v>
      </c>
      <c r="AU2912" t="s">
        <v>20620</v>
      </c>
      <c r="AV2912" t="s">
        <v>20733</v>
      </c>
    </row>
    <row r="2913" spans="1:48">
      <c r="A2913" s="1">
        <f>HYPERLINK("https://lsnyc.legalserver.org/matter/dynamic-profile/view/1914162","19-1914162")</f>
        <v>0</v>
      </c>
      <c r="B2913" t="s">
        <v>74</v>
      </c>
      <c r="C2913" t="s">
        <v>256</v>
      </c>
      <c r="D2913" t="s">
        <v>395</v>
      </c>
      <c r="F2913" t="s">
        <v>1270</v>
      </c>
      <c r="G2913" t="s">
        <v>4601</v>
      </c>
      <c r="H2913" t="s">
        <v>7134</v>
      </c>
      <c r="I2913" t="s">
        <v>8229</v>
      </c>
      <c r="J2913" t="s">
        <v>9059</v>
      </c>
      <c r="K2913">
        <v>11212</v>
      </c>
      <c r="L2913" t="s">
        <v>9096</v>
      </c>
      <c r="M2913" t="s">
        <v>9095</v>
      </c>
      <c r="O2913" t="s">
        <v>11129</v>
      </c>
      <c r="R2913" t="s">
        <v>11180</v>
      </c>
      <c r="S2913" t="s">
        <v>9096</v>
      </c>
      <c r="T2913" t="s">
        <v>11183</v>
      </c>
      <c r="U2913" t="s">
        <v>11201</v>
      </c>
      <c r="W2913">
        <v>1100</v>
      </c>
      <c r="X2913" t="s">
        <v>11332</v>
      </c>
      <c r="Z2913" t="s">
        <v>13332</v>
      </c>
      <c r="AB2913" t="s">
        <v>17674</v>
      </c>
      <c r="AC2913">
        <v>6</v>
      </c>
      <c r="AD2913" t="s">
        <v>19566</v>
      </c>
      <c r="AF2913">
        <v>9</v>
      </c>
      <c r="AG2913">
        <v>1</v>
      </c>
      <c r="AH2913">
        <v>2</v>
      </c>
      <c r="AI2913">
        <v>97.27</v>
      </c>
      <c r="AL2913" t="s">
        <v>19614</v>
      </c>
      <c r="AM2913">
        <v>20748</v>
      </c>
      <c r="AS2913">
        <v>1</v>
      </c>
      <c r="AT2913" t="s">
        <v>395</v>
      </c>
      <c r="AU2913" t="s">
        <v>20674</v>
      </c>
      <c r="AV2913" t="s">
        <v>9144</v>
      </c>
    </row>
    <row r="2914" spans="1:48">
      <c r="A2914" s="1">
        <f>HYPERLINK("https://lsnyc.legalserver.org/matter/dynamic-profile/view/1902841","19-1902841")</f>
        <v>0</v>
      </c>
      <c r="B2914" t="s">
        <v>114</v>
      </c>
      <c r="C2914" t="s">
        <v>256</v>
      </c>
      <c r="D2914" t="s">
        <v>760</v>
      </c>
      <c r="F2914" t="s">
        <v>2370</v>
      </c>
      <c r="G2914" t="s">
        <v>4602</v>
      </c>
      <c r="H2914" t="s">
        <v>7135</v>
      </c>
      <c r="I2914" t="s">
        <v>8170</v>
      </c>
      <c r="J2914" t="s">
        <v>9065</v>
      </c>
      <c r="K2914">
        <v>10452</v>
      </c>
      <c r="L2914" t="s">
        <v>9094</v>
      </c>
      <c r="M2914" t="s">
        <v>9095</v>
      </c>
      <c r="N2914" t="s">
        <v>10229</v>
      </c>
      <c r="O2914" t="s">
        <v>11129</v>
      </c>
      <c r="P2914" t="s">
        <v>11165</v>
      </c>
      <c r="R2914" t="s">
        <v>11180</v>
      </c>
      <c r="S2914" t="s">
        <v>9096</v>
      </c>
      <c r="T2914" t="s">
        <v>11183</v>
      </c>
      <c r="V2914" t="s">
        <v>706</v>
      </c>
      <c r="W2914">
        <v>950</v>
      </c>
      <c r="X2914" t="s">
        <v>11333</v>
      </c>
      <c r="Y2914" t="s">
        <v>11346</v>
      </c>
      <c r="Z2914" t="s">
        <v>13333</v>
      </c>
      <c r="AB2914" t="s">
        <v>17675</v>
      </c>
      <c r="AC2914">
        <v>9</v>
      </c>
      <c r="AD2914" t="s">
        <v>19566</v>
      </c>
      <c r="AE2914" t="s">
        <v>9144</v>
      </c>
      <c r="AF2914">
        <v>4</v>
      </c>
      <c r="AG2914">
        <v>1</v>
      </c>
      <c r="AH2914">
        <v>2</v>
      </c>
      <c r="AI2914">
        <v>97.27</v>
      </c>
      <c r="AL2914" t="s">
        <v>19614</v>
      </c>
      <c r="AM2914">
        <v>20748</v>
      </c>
      <c r="AS2914">
        <v>4</v>
      </c>
      <c r="AT2914" t="s">
        <v>415</v>
      </c>
      <c r="AU2914" t="s">
        <v>20642</v>
      </c>
      <c r="AV2914" t="s">
        <v>20733</v>
      </c>
    </row>
    <row r="2915" spans="1:48">
      <c r="A2915" s="1">
        <f>HYPERLINK("https://lsnyc.legalserver.org/matter/dynamic-profile/view/1899592","19-1899592")</f>
        <v>0</v>
      </c>
      <c r="B2915" t="s">
        <v>174</v>
      </c>
      <c r="C2915" t="s">
        <v>256</v>
      </c>
      <c r="D2915" t="s">
        <v>418</v>
      </c>
      <c r="F2915" t="s">
        <v>1381</v>
      </c>
      <c r="G2915" t="s">
        <v>3858</v>
      </c>
      <c r="H2915" t="s">
        <v>7136</v>
      </c>
      <c r="I2915" t="s">
        <v>8132</v>
      </c>
      <c r="J2915" t="s">
        <v>9065</v>
      </c>
      <c r="K2915">
        <v>10468</v>
      </c>
      <c r="L2915" t="s">
        <v>9094</v>
      </c>
      <c r="M2915" t="s">
        <v>9095</v>
      </c>
      <c r="O2915" t="s">
        <v>9121</v>
      </c>
      <c r="P2915" t="s">
        <v>11164</v>
      </c>
      <c r="R2915" t="s">
        <v>11180</v>
      </c>
      <c r="S2915" t="s">
        <v>9096</v>
      </c>
      <c r="T2915" t="s">
        <v>11183</v>
      </c>
      <c r="V2915" t="s">
        <v>785</v>
      </c>
      <c r="W2915">
        <v>340</v>
      </c>
      <c r="X2915" t="s">
        <v>11333</v>
      </c>
      <c r="Y2915" t="s">
        <v>11351</v>
      </c>
      <c r="Z2915" t="s">
        <v>13334</v>
      </c>
      <c r="AA2915" t="s">
        <v>15745</v>
      </c>
      <c r="AB2915" t="s">
        <v>17676</v>
      </c>
      <c r="AC2915">
        <v>0</v>
      </c>
      <c r="AD2915" t="s">
        <v>19566</v>
      </c>
      <c r="AE2915" t="s">
        <v>19580</v>
      </c>
      <c r="AF2915">
        <v>3</v>
      </c>
      <c r="AG2915">
        <v>2</v>
      </c>
      <c r="AH2915">
        <v>0</v>
      </c>
      <c r="AI2915">
        <v>97.29000000000001</v>
      </c>
      <c r="AL2915" t="s">
        <v>19614</v>
      </c>
      <c r="AM2915">
        <v>16452</v>
      </c>
      <c r="AS2915">
        <v>2.9</v>
      </c>
      <c r="AT2915" t="s">
        <v>293</v>
      </c>
      <c r="AU2915" t="s">
        <v>174</v>
      </c>
      <c r="AV2915" t="s">
        <v>20734</v>
      </c>
    </row>
    <row r="2916" spans="1:48">
      <c r="A2916" s="1">
        <f>HYPERLINK("https://lsnyc.legalserver.org/matter/dynamic-profile/view/0806134","16-0806134")</f>
        <v>0</v>
      </c>
      <c r="B2916" t="s">
        <v>108</v>
      </c>
      <c r="C2916" t="s">
        <v>256</v>
      </c>
      <c r="D2916" t="s">
        <v>459</v>
      </c>
      <c r="F2916" t="s">
        <v>1256</v>
      </c>
      <c r="G2916" t="s">
        <v>4585</v>
      </c>
      <c r="H2916" t="s">
        <v>5897</v>
      </c>
      <c r="J2916" t="s">
        <v>9065</v>
      </c>
      <c r="K2916">
        <v>10452</v>
      </c>
      <c r="L2916" t="s">
        <v>9094</v>
      </c>
      <c r="M2916" t="s">
        <v>9095</v>
      </c>
      <c r="N2916" t="s">
        <v>9250</v>
      </c>
      <c r="O2916" t="s">
        <v>11132</v>
      </c>
      <c r="P2916" t="s">
        <v>11165</v>
      </c>
      <c r="R2916" t="s">
        <v>11180</v>
      </c>
      <c r="S2916" t="s">
        <v>9094</v>
      </c>
      <c r="T2916" t="s">
        <v>11183</v>
      </c>
      <c r="V2916" t="s">
        <v>364</v>
      </c>
      <c r="W2916">
        <v>669</v>
      </c>
      <c r="X2916" t="s">
        <v>11333</v>
      </c>
      <c r="Y2916" t="s">
        <v>11346</v>
      </c>
      <c r="Z2916" t="s">
        <v>13306</v>
      </c>
      <c r="AB2916" t="s">
        <v>17651</v>
      </c>
      <c r="AC2916">
        <v>122</v>
      </c>
      <c r="AD2916" t="s">
        <v>19566</v>
      </c>
      <c r="AF2916">
        <v>0</v>
      </c>
      <c r="AG2916">
        <v>2</v>
      </c>
      <c r="AH2916">
        <v>0</v>
      </c>
      <c r="AI2916">
        <v>97.38</v>
      </c>
      <c r="AL2916" t="s">
        <v>19615</v>
      </c>
      <c r="AM2916">
        <v>15600</v>
      </c>
      <c r="AS2916">
        <v>0.1</v>
      </c>
      <c r="AT2916" t="s">
        <v>965</v>
      </c>
      <c r="AU2916" t="s">
        <v>109</v>
      </c>
    </row>
    <row r="2917" spans="1:48">
      <c r="A2917" s="1">
        <f>HYPERLINK("https://lsnyc.legalserver.org/matter/dynamic-profile/view/1836107","17-1836107")</f>
        <v>0</v>
      </c>
      <c r="B2917" t="s">
        <v>142</v>
      </c>
      <c r="C2917" t="s">
        <v>256</v>
      </c>
      <c r="D2917" t="s">
        <v>973</v>
      </c>
      <c r="F2917" t="s">
        <v>2371</v>
      </c>
      <c r="G2917" t="s">
        <v>4603</v>
      </c>
      <c r="H2917" t="s">
        <v>7137</v>
      </c>
      <c r="I2917">
        <v>303</v>
      </c>
      <c r="J2917" t="s">
        <v>9067</v>
      </c>
      <c r="K2917">
        <v>10029</v>
      </c>
      <c r="L2917" t="s">
        <v>9094</v>
      </c>
      <c r="M2917" t="s">
        <v>9095</v>
      </c>
      <c r="N2917" t="s">
        <v>10230</v>
      </c>
      <c r="O2917" t="s">
        <v>11128</v>
      </c>
      <c r="P2917" t="s">
        <v>11165</v>
      </c>
      <c r="R2917" t="s">
        <v>11180</v>
      </c>
      <c r="S2917" t="s">
        <v>9096</v>
      </c>
      <c r="T2917" t="s">
        <v>11183</v>
      </c>
      <c r="U2917" t="s">
        <v>11201</v>
      </c>
      <c r="V2917" t="s">
        <v>878</v>
      </c>
      <c r="W2917">
        <v>1800</v>
      </c>
      <c r="X2917" t="s">
        <v>11335</v>
      </c>
      <c r="Y2917" t="s">
        <v>11340</v>
      </c>
      <c r="Z2917" t="s">
        <v>13335</v>
      </c>
      <c r="AB2917" t="s">
        <v>17677</v>
      </c>
      <c r="AC2917">
        <v>91</v>
      </c>
      <c r="AD2917" t="s">
        <v>19567</v>
      </c>
      <c r="AE2917" t="s">
        <v>19580</v>
      </c>
      <c r="AF2917">
        <v>31</v>
      </c>
      <c r="AG2917">
        <v>2</v>
      </c>
      <c r="AH2917">
        <v>0</v>
      </c>
      <c r="AI2917">
        <v>97.45999999999999</v>
      </c>
      <c r="AL2917" t="s">
        <v>19614</v>
      </c>
      <c r="AM2917">
        <v>15828</v>
      </c>
      <c r="AS2917">
        <v>24.1</v>
      </c>
      <c r="AT2917" t="s">
        <v>262</v>
      </c>
      <c r="AU2917" t="s">
        <v>20657</v>
      </c>
      <c r="AV2917" t="s">
        <v>20733</v>
      </c>
    </row>
    <row r="2918" spans="1:48">
      <c r="A2918" s="1">
        <f>HYPERLINK("https://lsnyc.legalserver.org/matter/dynamic-profile/view/1898956","19-1898956")</f>
        <v>0</v>
      </c>
      <c r="B2918" t="s">
        <v>70</v>
      </c>
      <c r="C2918" t="s">
        <v>256</v>
      </c>
      <c r="D2918" t="s">
        <v>310</v>
      </c>
      <c r="F2918" t="s">
        <v>2372</v>
      </c>
      <c r="G2918" t="s">
        <v>4604</v>
      </c>
      <c r="H2918" t="s">
        <v>5748</v>
      </c>
      <c r="I2918" t="s">
        <v>8673</v>
      </c>
      <c r="J2918" t="s">
        <v>9059</v>
      </c>
      <c r="K2918">
        <v>11233</v>
      </c>
      <c r="L2918" t="s">
        <v>9094</v>
      </c>
      <c r="M2918" t="s">
        <v>9095</v>
      </c>
      <c r="N2918" t="s">
        <v>9145</v>
      </c>
      <c r="O2918" t="s">
        <v>11134</v>
      </c>
      <c r="P2918" t="s">
        <v>11168</v>
      </c>
      <c r="R2918" t="s">
        <v>11180</v>
      </c>
      <c r="S2918" t="s">
        <v>9094</v>
      </c>
      <c r="T2918" t="s">
        <v>11183</v>
      </c>
      <c r="U2918" t="s">
        <v>11201</v>
      </c>
      <c r="V2918" t="s">
        <v>482</v>
      </c>
      <c r="W2918">
        <v>1041.4</v>
      </c>
      <c r="X2918" t="s">
        <v>11332</v>
      </c>
      <c r="Y2918" t="s">
        <v>11157</v>
      </c>
      <c r="Z2918" t="s">
        <v>13336</v>
      </c>
      <c r="AC2918">
        <v>359</v>
      </c>
      <c r="AD2918" t="s">
        <v>19566</v>
      </c>
      <c r="AF2918">
        <v>18</v>
      </c>
      <c r="AG2918">
        <v>2</v>
      </c>
      <c r="AH2918">
        <v>0</v>
      </c>
      <c r="AI2918">
        <v>97.5</v>
      </c>
      <c r="AL2918" t="s">
        <v>19614</v>
      </c>
      <c r="AM2918">
        <v>16488</v>
      </c>
      <c r="AN2918" t="s">
        <v>19642</v>
      </c>
      <c r="AS2918">
        <v>0</v>
      </c>
      <c r="AU2918" t="s">
        <v>79</v>
      </c>
      <c r="AV2918" t="s">
        <v>9144</v>
      </c>
    </row>
    <row r="2919" spans="1:48">
      <c r="A2919" s="1">
        <f>HYPERLINK("https://lsnyc.legalserver.org/matter/dynamic-profile/view/1898960","19-1898960")</f>
        <v>0</v>
      </c>
      <c r="B2919" t="s">
        <v>70</v>
      </c>
      <c r="C2919" t="s">
        <v>256</v>
      </c>
      <c r="D2919" t="s">
        <v>310</v>
      </c>
      <c r="F2919" t="s">
        <v>2372</v>
      </c>
      <c r="G2919" t="s">
        <v>4604</v>
      </c>
      <c r="H2919" t="s">
        <v>5748</v>
      </c>
      <c r="I2919" t="s">
        <v>8673</v>
      </c>
      <c r="J2919" t="s">
        <v>9059</v>
      </c>
      <c r="K2919">
        <v>11233</v>
      </c>
      <c r="L2919" t="s">
        <v>9094</v>
      </c>
      <c r="M2919" t="s">
        <v>9095</v>
      </c>
      <c r="O2919" t="s">
        <v>11137</v>
      </c>
      <c r="P2919" t="s">
        <v>11167</v>
      </c>
      <c r="R2919" t="s">
        <v>11180</v>
      </c>
      <c r="S2919" t="s">
        <v>9094</v>
      </c>
      <c r="T2919" t="s">
        <v>11183</v>
      </c>
      <c r="U2919" t="s">
        <v>11201</v>
      </c>
      <c r="V2919" t="s">
        <v>749</v>
      </c>
      <c r="W2919">
        <v>1041.4</v>
      </c>
      <c r="X2919" t="s">
        <v>11332</v>
      </c>
      <c r="Y2919" t="s">
        <v>11157</v>
      </c>
      <c r="Z2919" t="s">
        <v>13336</v>
      </c>
      <c r="AC2919">
        <v>359</v>
      </c>
      <c r="AD2919" t="s">
        <v>19566</v>
      </c>
      <c r="AF2919">
        <v>18</v>
      </c>
      <c r="AG2919">
        <v>2</v>
      </c>
      <c r="AH2919">
        <v>0</v>
      </c>
      <c r="AI2919">
        <v>97.5</v>
      </c>
      <c r="AL2919" t="s">
        <v>19614</v>
      </c>
      <c r="AM2919">
        <v>16488</v>
      </c>
      <c r="AN2919" t="s">
        <v>19916</v>
      </c>
      <c r="AS2919">
        <v>0</v>
      </c>
      <c r="AU2919" t="s">
        <v>79</v>
      </c>
      <c r="AV2919" t="s">
        <v>9144</v>
      </c>
    </row>
    <row r="2920" spans="1:48">
      <c r="A2920" s="1">
        <f>HYPERLINK("https://lsnyc.legalserver.org/matter/dynamic-profile/view/1913181","19-1913181")</f>
        <v>0</v>
      </c>
      <c r="B2920" t="s">
        <v>55</v>
      </c>
      <c r="C2920" t="s">
        <v>256</v>
      </c>
      <c r="D2920" t="s">
        <v>276</v>
      </c>
      <c r="F2920" t="s">
        <v>2373</v>
      </c>
      <c r="G2920" t="s">
        <v>4605</v>
      </c>
      <c r="H2920" t="s">
        <v>7138</v>
      </c>
      <c r="I2920" t="s">
        <v>8674</v>
      </c>
      <c r="J2920" t="s">
        <v>9055</v>
      </c>
      <c r="K2920">
        <v>11354</v>
      </c>
      <c r="L2920" t="s">
        <v>9094</v>
      </c>
      <c r="M2920" t="s">
        <v>9095</v>
      </c>
      <c r="N2920" t="s">
        <v>10231</v>
      </c>
      <c r="O2920" t="s">
        <v>11128</v>
      </c>
      <c r="P2920" t="s">
        <v>11165</v>
      </c>
      <c r="R2920" t="s">
        <v>11180</v>
      </c>
      <c r="S2920" t="s">
        <v>9096</v>
      </c>
      <c r="T2920" t="s">
        <v>11183</v>
      </c>
      <c r="U2920" t="s">
        <v>11201</v>
      </c>
      <c r="W2920">
        <v>1525</v>
      </c>
      <c r="X2920" t="s">
        <v>11331</v>
      </c>
      <c r="Y2920" t="s">
        <v>11340</v>
      </c>
      <c r="Z2920" t="s">
        <v>13337</v>
      </c>
      <c r="AB2920" t="s">
        <v>17678</v>
      </c>
      <c r="AC2920">
        <v>12</v>
      </c>
      <c r="AD2920" t="s">
        <v>19566</v>
      </c>
      <c r="AF2920">
        <v>2</v>
      </c>
      <c r="AG2920">
        <v>2</v>
      </c>
      <c r="AH2920">
        <v>1</v>
      </c>
      <c r="AI2920">
        <v>97.52</v>
      </c>
      <c r="AL2920" t="s">
        <v>19616</v>
      </c>
      <c r="AM2920">
        <v>20800</v>
      </c>
      <c r="AS2920">
        <v>0.11</v>
      </c>
      <c r="AT2920" t="s">
        <v>612</v>
      </c>
      <c r="AU2920" t="s">
        <v>55</v>
      </c>
    </row>
    <row r="2921" spans="1:48">
      <c r="A2921" s="1">
        <f>HYPERLINK("https://lsnyc.legalserver.org/matter/dynamic-profile/view/1897193","19-1897193")</f>
        <v>0</v>
      </c>
      <c r="B2921" t="s">
        <v>55</v>
      </c>
      <c r="C2921" t="s">
        <v>256</v>
      </c>
      <c r="D2921" t="s">
        <v>317</v>
      </c>
      <c r="F2921" t="s">
        <v>2373</v>
      </c>
      <c r="G2921" t="s">
        <v>4605</v>
      </c>
      <c r="H2921" t="s">
        <v>7138</v>
      </c>
      <c r="I2921" t="s">
        <v>8674</v>
      </c>
      <c r="J2921" t="s">
        <v>9055</v>
      </c>
      <c r="K2921">
        <v>11354</v>
      </c>
      <c r="L2921" t="s">
        <v>9094</v>
      </c>
      <c r="M2921" t="s">
        <v>9094</v>
      </c>
      <c r="N2921" t="s">
        <v>10232</v>
      </c>
      <c r="O2921" t="s">
        <v>11129</v>
      </c>
      <c r="P2921" t="s">
        <v>11165</v>
      </c>
      <c r="R2921" t="s">
        <v>11180</v>
      </c>
      <c r="S2921" t="s">
        <v>9096</v>
      </c>
      <c r="T2921" t="s">
        <v>11183</v>
      </c>
      <c r="U2921" t="s">
        <v>11200</v>
      </c>
      <c r="V2921" t="s">
        <v>317</v>
      </c>
      <c r="W2921">
        <v>1525</v>
      </c>
      <c r="X2921" t="s">
        <v>11331</v>
      </c>
      <c r="Y2921" t="s">
        <v>11336</v>
      </c>
      <c r="Z2921" t="s">
        <v>13337</v>
      </c>
      <c r="AB2921" t="s">
        <v>17678</v>
      </c>
      <c r="AC2921">
        <v>12</v>
      </c>
      <c r="AD2921" t="s">
        <v>15441</v>
      </c>
      <c r="AE2921" t="s">
        <v>9144</v>
      </c>
      <c r="AF2921">
        <v>2</v>
      </c>
      <c r="AG2921">
        <v>2</v>
      </c>
      <c r="AH2921">
        <v>1</v>
      </c>
      <c r="AI2921">
        <v>97.52</v>
      </c>
      <c r="AL2921" t="s">
        <v>19616</v>
      </c>
      <c r="AM2921">
        <v>20800</v>
      </c>
      <c r="AS2921">
        <v>36.47</v>
      </c>
      <c r="AT2921" t="s">
        <v>1130</v>
      </c>
      <c r="AU2921" t="s">
        <v>20620</v>
      </c>
      <c r="AV2921" t="s">
        <v>20733</v>
      </c>
    </row>
    <row r="2922" spans="1:48">
      <c r="A2922" s="1">
        <f>HYPERLINK("https://lsnyc.legalserver.org/matter/dynamic-profile/view/1891604","19-1891604")</f>
        <v>0</v>
      </c>
      <c r="B2922" t="s">
        <v>70</v>
      </c>
      <c r="C2922" t="s">
        <v>256</v>
      </c>
      <c r="D2922" t="s">
        <v>788</v>
      </c>
      <c r="F2922" t="s">
        <v>2335</v>
      </c>
      <c r="G2922" t="s">
        <v>4606</v>
      </c>
      <c r="H2922" t="s">
        <v>5748</v>
      </c>
      <c r="I2922" t="s">
        <v>8175</v>
      </c>
      <c r="J2922" t="s">
        <v>9059</v>
      </c>
      <c r="K2922">
        <v>11233</v>
      </c>
      <c r="L2922" t="s">
        <v>9094</v>
      </c>
      <c r="M2922" t="s">
        <v>9096</v>
      </c>
      <c r="N2922" t="s">
        <v>9145</v>
      </c>
      <c r="O2922" t="s">
        <v>11134</v>
      </c>
      <c r="P2922" t="s">
        <v>11168</v>
      </c>
      <c r="R2922" t="s">
        <v>11180</v>
      </c>
      <c r="S2922" t="s">
        <v>9094</v>
      </c>
      <c r="T2922" t="s">
        <v>11183</v>
      </c>
      <c r="U2922" t="s">
        <v>11201</v>
      </c>
      <c r="V2922" t="s">
        <v>482</v>
      </c>
      <c r="W2922">
        <v>820</v>
      </c>
      <c r="X2922" t="s">
        <v>11332</v>
      </c>
      <c r="Z2922" t="s">
        <v>13338</v>
      </c>
      <c r="AC2922">
        <v>359</v>
      </c>
      <c r="AD2922" t="s">
        <v>19566</v>
      </c>
      <c r="AF2922">
        <v>6</v>
      </c>
      <c r="AG2922">
        <v>1</v>
      </c>
      <c r="AH2922">
        <v>2</v>
      </c>
      <c r="AI2922">
        <v>97.52</v>
      </c>
      <c r="AL2922" t="s">
        <v>19614</v>
      </c>
      <c r="AM2922">
        <v>20800</v>
      </c>
      <c r="AN2922" t="s">
        <v>19641</v>
      </c>
      <c r="AS2922">
        <v>0</v>
      </c>
      <c r="AU2922" t="s">
        <v>95</v>
      </c>
    </row>
    <row r="2923" spans="1:48">
      <c r="A2923" s="1">
        <f>HYPERLINK("https://lsnyc.legalserver.org/matter/dynamic-profile/view/1891606","19-1891606")</f>
        <v>0</v>
      </c>
      <c r="B2923" t="s">
        <v>70</v>
      </c>
      <c r="C2923" t="s">
        <v>256</v>
      </c>
      <c r="D2923" t="s">
        <v>788</v>
      </c>
      <c r="F2923" t="s">
        <v>2335</v>
      </c>
      <c r="G2923" t="s">
        <v>4606</v>
      </c>
      <c r="H2923" t="s">
        <v>5748</v>
      </c>
      <c r="I2923" t="s">
        <v>8175</v>
      </c>
      <c r="J2923" t="s">
        <v>9059</v>
      </c>
      <c r="K2923">
        <v>11233</v>
      </c>
      <c r="L2923" t="s">
        <v>9094</v>
      </c>
      <c r="M2923" t="s">
        <v>9096</v>
      </c>
      <c r="N2923" t="s">
        <v>9144</v>
      </c>
      <c r="O2923" t="s">
        <v>11137</v>
      </c>
      <c r="P2923" t="s">
        <v>11167</v>
      </c>
      <c r="R2923" t="s">
        <v>11180</v>
      </c>
      <c r="S2923" t="s">
        <v>9094</v>
      </c>
      <c r="T2923" t="s">
        <v>11183</v>
      </c>
      <c r="U2923" t="s">
        <v>11201</v>
      </c>
      <c r="V2923" t="s">
        <v>749</v>
      </c>
      <c r="W2923">
        <v>820</v>
      </c>
      <c r="X2923" t="s">
        <v>11332</v>
      </c>
      <c r="Z2923" t="s">
        <v>13338</v>
      </c>
      <c r="AC2923">
        <v>359</v>
      </c>
      <c r="AD2923" t="s">
        <v>19566</v>
      </c>
      <c r="AF2923">
        <v>6</v>
      </c>
      <c r="AG2923">
        <v>1</v>
      </c>
      <c r="AH2923">
        <v>2</v>
      </c>
      <c r="AI2923">
        <v>97.52</v>
      </c>
      <c r="AL2923" t="s">
        <v>19614</v>
      </c>
      <c r="AM2923">
        <v>20800</v>
      </c>
      <c r="AN2923" t="s">
        <v>19917</v>
      </c>
      <c r="AS2923">
        <v>0</v>
      </c>
      <c r="AU2923" t="s">
        <v>95</v>
      </c>
    </row>
    <row r="2924" spans="1:48">
      <c r="A2924" s="1">
        <f>HYPERLINK("https://lsnyc.legalserver.org/matter/dynamic-profile/view/1904575","19-1904575")</f>
        <v>0</v>
      </c>
      <c r="B2924" t="s">
        <v>114</v>
      </c>
      <c r="C2924" t="s">
        <v>257</v>
      </c>
      <c r="D2924" t="s">
        <v>700</v>
      </c>
      <c r="E2924" t="s">
        <v>476</v>
      </c>
      <c r="F2924" t="s">
        <v>2374</v>
      </c>
      <c r="G2924" t="s">
        <v>3016</v>
      </c>
      <c r="H2924" t="s">
        <v>7139</v>
      </c>
      <c r="I2924" t="s">
        <v>8270</v>
      </c>
      <c r="J2924" t="s">
        <v>9065</v>
      </c>
      <c r="K2924">
        <v>10470</v>
      </c>
      <c r="L2924" t="s">
        <v>9094</v>
      </c>
      <c r="M2924" t="s">
        <v>9095</v>
      </c>
      <c r="N2924" t="s">
        <v>9426</v>
      </c>
      <c r="O2924" t="s">
        <v>11130</v>
      </c>
      <c r="P2924" t="s">
        <v>11165</v>
      </c>
      <c r="Q2924" t="s">
        <v>11174</v>
      </c>
      <c r="R2924" t="s">
        <v>11180</v>
      </c>
      <c r="S2924" t="s">
        <v>9094</v>
      </c>
      <c r="T2924" t="s">
        <v>11183</v>
      </c>
      <c r="W2924">
        <v>1276</v>
      </c>
      <c r="X2924" t="s">
        <v>11333</v>
      </c>
      <c r="Y2924" t="s">
        <v>11346</v>
      </c>
      <c r="Z2924" t="s">
        <v>12809</v>
      </c>
      <c r="AC2924">
        <v>63</v>
      </c>
      <c r="AD2924" t="s">
        <v>19566</v>
      </c>
      <c r="AE2924" t="s">
        <v>9144</v>
      </c>
      <c r="AF2924">
        <v>8</v>
      </c>
      <c r="AG2924">
        <v>2</v>
      </c>
      <c r="AH2924">
        <v>1</v>
      </c>
      <c r="AI2924">
        <v>97.52</v>
      </c>
      <c r="AL2924" t="s">
        <v>19614</v>
      </c>
      <c r="AM2924">
        <v>20800</v>
      </c>
      <c r="AN2924" t="s">
        <v>19918</v>
      </c>
      <c r="AS2924">
        <v>0.5</v>
      </c>
      <c r="AT2924" t="s">
        <v>476</v>
      </c>
      <c r="AU2924" t="s">
        <v>163</v>
      </c>
      <c r="AV2924" t="s">
        <v>20733</v>
      </c>
    </row>
    <row r="2925" spans="1:48">
      <c r="A2925" s="1">
        <f>HYPERLINK("https://lsnyc.legalserver.org/matter/dynamic-profile/view/1893460","19-1893460")</f>
        <v>0</v>
      </c>
      <c r="B2925" t="s">
        <v>147</v>
      </c>
      <c r="C2925" t="s">
        <v>257</v>
      </c>
      <c r="D2925" t="s">
        <v>791</v>
      </c>
      <c r="E2925" t="s">
        <v>429</v>
      </c>
      <c r="F2925" t="s">
        <v>1416</v>
      </c>
      <c r="G2925" t="s">
        <v>4607</v>
      </c>
      <c r="H2925" t="s">
        <v>7140</v>
      </c>
      <c r="I2925" t="s">
        <v>8209</v>
      </c>
      <c r="J2925" t="s">
        <v>9066</v>
      </c>
      <c r="K2925">
        <v>10301</v>
      </c>
      <c r="L2925" t="s">
        <v>9094</v>
      </c>
      <c r="M2925" t="s">
        <v>9094</v>
      </c>
      <c r="N2925" t="s">
        <v>10233</v>
      </c>
      <c r="O2925" t="s">
        <v>11128</v>
      </c>
      <c r="P2925" t="s">
        <v>11165</v>
      </c>
      <c r="Q2925" t="s">
        <v>11174</v>
      </c>
      <c r="R2925" t="s">
        <v>11180</v>
      </c>
      <c r="S2925" t="s">
        <v>9096</v>
      </c>
      <c r="T2925" t="s">
        <v>11183</v>
      </c>
      <c r="U2925" t="s">
        <v>11201</v>
      </c>
      <c r="V2925" t="s">
        <v>791</v>
      </c>
      <c r="W2925">
        <v>1575</v>
      </c>
      <c r="X2925" t="s">
        <v>11334</v>
      </c>
      <c r="Y2925" t="s">
        <v>11346</v>
      </c>
      <c r="Z2925" t="s">
        <v>13339</v>
      </c>
      <c r="AA2925" t="s">
        <v>15746</v>
      </c>
      <c r="AB2925" t="s">
        <v>17679</v>
      </c>
      <c r="AC2925">
        <v>4</v>
      </c>
      <c r="AD2925" t="s">
        <v>19565</v>
      </c>
      <c r="AE2925" t="s">
        <v>9144</v>
      </c>
      <c r="AF2925">
        <v>1</v>
      </c>
      <c r="AG2925">
        <v>2</v>
      </c>
      <c r="AH2925">
        <v>1</v>
      </c>
      <c r="AI2925">
        <v>97.52</v>
      </c>
      <c r="AL2925" t="s">
        <v>19614</v>
      </c>
      <c r="AM2925">
        <v>20800</v>
      </c>
      <c r="AS2925">
        <v>22.35</v>
      </c>
      <c r="AT2925" t="s">
        <v>474</v>
      </c>
      <c r="AU2925" t="s">
        <v>20652</v>
      </c>
      <c r="AV2925" t="s">
        <v>20733</v>
      </c>
    </row>
    <row r="2926" spans="1:48">
      <c r="A2926" s="1">
        <f>HYPERLINK("https://lsnyc.legalserver.org/matter/dynamic-profile/view/1914579","19-1914579")</f>
        <v>0</v>
      </c>
      <c r="B2926" t="s">
        <v>135</v>
      </c>
      <c r="C2926" t="s">
        <v>256</v>
      </c>
      <c r="D2926" t="s">
        <v>476</v>
      </c>
      <c r="F2926" t="s">
        <v>2375</v>
      </c>
      <c r="G2926" t="s">
        <v>4608</v>
      </c>
      <c r="H2926" t="s">
        <v>7141</v>
      </c>
      <c r="I2926" t="s">
        <v>8218</v>
      </c>
      <c r="J2926" t="s">
        <v>9067</v>
      </c>
      <c r="K2926">
        <v>10035</v>
      </c>
      <c r="L2926" t="s">
        <v>9094</v>
      </c>
      <c r="M2926" t="s">
        <v>9095</v>
      </c>
      <c r="O2926" t="s">
        <v>9121</v>
      </c>
      <c r="P2926" t="s">
        <v>11167</v>
      </c>
      <c r="R2926" t="s">
        <v>11180</v>
      </c>
      <c r="S2926" t="s">
        <v>9094</v>
      </c>
      <c r="T2926" t="s">
        <v>11183</v>
      </c>
      <c r="U2926" t="s">
        <v>11201</v>
      </c>
      <c r="V2926" t="s">
        <v>612</v>
      </c>
      <c r="W2926">
        <v>2675</v>
      </c>
      <c r="X2926" t="s">
        <v>11335</v>
      </c>
      <c r="Y2926" t="s">
        <v>11339</v>
      </c>
      <c r="Z2926" t="s">
        <v>13340</v>
      </c>
      <c r="AB2926" t="s">
        <v>17680</v>
      </c>
      <c r="AC2926">
        <v>33</v>
      </c>
      <c r="AD2926" t="s">
        <v>19566</v>
      </c>
      <c r="AE2926" t="s">
        <v>19580</v>
      </c>
      <c r="AF2926">
        <v>2</v>
      </c>
      <c r="AG2926">
        <v>3</v>
      </c>
      <c r="AH2926">
        <v>0</v>
      </c>
      <c r="AI2926">
        <v>97.52</v>
      </c>
      <c r="AL2926" t="s">
        <v>19614</v>
      </c>
      <c r="AM2926">
        <v>20800</v>
      </c>
      <c r="AS2926">
        <v>5.5</v>
      </c>
      <c r="AT2926" t="s">
        <v>487</v>
      </c>
      <c r="AU2926" t="s">
        <v>20657</v>
      </c>
      <c r="AV2926" t="s">
        <v>20733</v>
      </c>
    </row>
    <row r="2927" spans="1:48">
      <c r="A2927" s="1">
        <f>HYPERLINK("https://lsnyc.legalserver.org/matter/dynamic-profile/view/1859446","18-1859446")</f>
        <v>0</v>
      </c>
      <c r="B2927" t="s">
        <v>120</v>
      </c>
      <c r="C2927" t="s">
        <v>256</v>
      </c>
      <c r="D2927" t="s">
        <v>607</v>
      </c>
      <c r="F2927" t="s">
        <v>2254</v>
      </c>
      <c r="G2927" t="s">
        <v>3734</v>
      </c>
      <c r="H2927" t="s">
        <v>6356</v>
      </c>
      <c r="I2927">
        <v>308</v>
      </c>
      <c r="J2927" t="s">
        <v>9065</v>
      </c>
      <c r="K2927">
        <v>10453</v>
      </c>
      <c r="L2927" t="s">
        <v>9094</v>
      </c>
      <c r="M2927" t="s">
        <v>9095</v>
      </c>
      <c r="O2927" t="s">
        <v>11135</v>
      </c>
      <c r="P2927" t="s">
        <v>11168</v>
      </c>
      <c r="R2927" t="s">
        <v>11180</v>
      </c>
      <c r="S2927" t="s">
        <v>9094</v>
      </c>
      <c r="T2927" t="s">
        <v>11183</v>
      </c>
      <c r="V2927" t="s">
        <v>595</v>
      </c>
      <c r="W2927">
        <v>896</v>
      </c>
      <c r="X2927" t="s">
        <v>11333</v>
      </c>
      <c r="Y2927" t="s">
        <v>11339</v>
      </c>
      <c r="Z2927" t="s">
        <v>13341</v>
      </c>
      <c r="AB2927" t="s">
        <v>17681</v>
      </c>
      <c r="AC2927">
        <v>146</v>
      </c>
      <c r="AD2927" t="s">
        <v>19566</v>
      </c>
      <c r="AE2927" t="s">
        <v>9144</v>
      </c>
      <c r="AF2927">
        <v>12</v>
      </c>
      <c r="AG2927">
        <v>2</v>
      </c>
      <c r="AH2927">
        <v>2</v>
      </c>
      <c r="AI2927">
        <v>97.56</v>
      </c>
      <c r="AL2927" t="s">
        <v>19615</v>
      </c>
      <c r="AM2927">
        <v>39600</v>
      </c>
      <c r="AS2927">
        <v>1.1</v>
      </c>
      <c r="AT2927" t="s">
        <v>592</v>
      </c>
      <c r="AU2927" t="s">
        <v>20647</v>
      </c>
    </row>
    <row r="2928" spans="1:48">
      <c r="A2928" s="1">
        <f>HYPERLINK("https://lsnyc.legalserver.org/matter/dynamic-profile/view/1856855","18-1856855")</f>
        <v>0</v>
      </c>
      <c r="B2928" t="s">
        <v>132</v>
      </c>
      <c r="C2928" t="s">
        <v>256</v>
      </c>
      <c r="D2928" t="s">
        <v>844</v>
      </c>
      <c r="F2928" t="s">
        <v>2376</v>
      </c>
      <c r="G2928" t="s">
        <v>4609</v>
      </c>
      <c r="H2928" t="s">
        <v>5936</v>
      </c>
      <c r="I2928" t="s">
        <v>8264</v>
      </c>
      <c r="J2928" t="s">
        <v>9067</v>
      </c>
      <c r="K2928">
        <v>10040</v>
      </c>
      <c r="L2928" t="s">
        <v>9094</v>
      </c>
      <c r="M2928" t="s">
        <v>9095</v>
      </c>
      <c r="O2928" t="s">
        <v>11130</v>
      </c>
      <c r="P2928" t="s">
        <v>11166</v>
      </c>
      <c r="R2928" t="s">
        <v>11180</v>
      </c>
      <c r="S2928" t="s">
        <v>9094</v>
      </c>
      <c r="T2928" t="s">
        <v>11183</v>
      </c>
      <c r="V2928" t="s">
        <v>844</v>
      </c>
      <c r="W2928">
        <v>1094.37</v>
      </c>
      <c r="X2928" t="s">
        <v>11335</v>
      </c>
      <c r="Y2928" t="s">
        <v>11340</v>
      </c>
      <c r="Z2928" t="s">
        <v>13342</v>
      </c>
      <c r="AB2928" t="s">
        <v>17682</v>
      </c>
      <c r="AC2928">
        <v>42</v>
      </c>
      <c r="AD2928" t="s">
        <v>19566</v>
      </c>
      <c r="AE2928" t="s">
        <v>9144</v>
      </c>
      <c r="AF2928">
        <v>16</v>
      </c>
      <c r="AG2928">
        <v>1</v>
      </c>
      <c r="AH2928">
        <v>1</v>
      </c>
      <c r="AI2928">
        <v>97.65000000000001</v>
      </c>
      <c r="AJ2928" t="s">
        <v>527</v>
      </c>
      <c r="AL2928" t="s">
        <v>19615</v>
      </c>
      <c r="AM2928">
        <v>15858</v>
      </c>
      <c r="AS2928">
        <v>51</v>
      </c>
      <c r="AT2928" t="s">
        <v>594</v>
      </c>
      <c r="AU2928" t="s">
        <v>130</v>
      </c>
    </row>
    <row r="2929" spans="1:48">
      <c r="A2929" s="1">
        <f>HYPERLINK("https://lsnyc.legalserver.org/matter/dynamic-profile/view/1889837","19-1889837")</f>
        <v>0</v>
      </c>
      <c r="B2929" t="s">
        <v>69</v>
      </c>
      <c r="C2929" t="s">
        <v>257</v>
      </c>
      <c r="D2929" t="s">
        <v>391</v>
      </c>
      <c r="E2929" t="s">
        <v>265</v>
      </c>
      <c r="F2929" t="s">
        <v>2324</v>
      </c>
      <c r="G2929" t="s">
        <v>4546</v>
      </c>
      <c r="H2929" t="s">
        <v>7073</v>
      </c>
      <c r="I2929" t="s">
        <v>8140</v>
      </c>
      <c r="J2929" t="s">
        <v>9059</v>
      </c>
      <c r="K2929">
        <v>11208</v>
      </c>
      <c r="L2929" t="s">
        <v>9094</v>
      </c>
      <c r="M2929" t="s">
        <v>9094</v>
      </c>
      <c r="N2929" t="s">
        <v>9121</v>
      </c>
      <c r="O2929" t="s">
        <v>11139</v>
      </c>
      <c r="P2929" t="s">
        <v>11166</v>
      </c>
      <c r="Q2929" t="s">
        <v>11177</v>
      </c>
      <c r="R2929" t="s">
        <v>11180</v>
      </c>
      <c r="S2929" t="s">
        <v>9096</v>
      </c>
      <c r="T2929" t="s">
        <v>11184</v>
      </c>
      <c r="V2929" t="s">
        <v>635</v>
      </c>
      <c r="W2929">
        <v>1303</v>
      </c>
      <c r="X2929" t="s">
        <v>11332</v>
      </c>
      <c r="Y2929" t="s">
        <v>11340</v>
      </c>
      <c r="Z2929" t="s">
        <v>13231</v>
      </c>
      <c r="AA2929" t="s">
        <v>15738</v>
      </c>
      <c r="AB2929" t="s">
        <v>17584</v>
      </c>
      <c r="AC2929">
        <v>12</v>
      </c>
      <c r="AD2929" t="s">
        <v>15441</v>
      </c>
      <c r="AE2929" t="s">
        <v>19582</v>
      </c>
      <c r="AF2929">
        <v>2</v>
      </c>
      <c r="AG2929">
        <v>1</v>
      </c>
      <c r="AH2929">
        <v>1</v>
      </c>
      <c r="AI2929">
        <v>97.70999999999999</v>
      </c>
      <c r="AL2929" t="s">
        <v>19615</v>
      </c>
      <c r="AM2929">
        <v>16523</v>
      </c>
      <c r="AS2929">
        <v>65.5</v>
      </c>
      <c r="AT2929" t="s">
        <v>265</v>
      </c>
      <c r="AU2929" t="s">
        <v>95</v>
      </c>
    </row>
    <row r="2930" spans="1:48">
      <c r="A2930" s="1">
        <f>HYPERLINK("https://lsnyc.legalserver.org/matter/dynamic-profile/view/1910547","19-1910547")</f>
        <v>0</v>
      </c>
      <c r="B2930" t="s">
        <v>82</v>
      </c>
      <c r="C2930" t="s">
        <v>256</v>
      </c>
      <c r="D2930" t="s">
        <v>320</v>
      </c>
      <c r="F2930" t="s">
        <v>1226</v>
      </c>
      <c r="G2930" t="s">
        <v>3419</v>
      </c>
      <c r="H2930" t="s">
        <v>5769</v>
      </c>
      <c r="I2930" t="s">
        <v>8164</v>
      </c>
      <c r="J2930" t="s">
        <v>9059</v>
      </c>
      <c r="K2930">
        <v>11231</v>
      </c>
      <c r="L2930" t="s">
        <v>9094</v>
      </c>
      <c r="M2930" t="s">
        <v>9095</v>
      </c>
      <c r="N2930" t="s">
        <v>10234</v>
      </c>
      <c r="O2930" t="s">
        <v>11129</v>
      </c>
      <c r="P2930" t="s">
        <v>11165</v>
      </c>
      <c r="R2930" t="s">
        <v>11180</v>
      </c>
      <c r="S2930" t="s">
        <v>9096</v>
      </c>
      <c r="T2930" t="s">
        <v>11183</v>
      </c>
      <c r="U2930" t="s">
        <v>11201</v>
      </c>
      <c r="V2930" t="s">
        <v>320</v>
      </c>
      <c r="W2930">
        <v>787.48</v>
      </c>
      <c r="X2930" t="s">
        <v>11332</v>
      </c>
      <c r="Y2930" t="s">
        <v>11340</v>
      </c>
      <c r="Z2930" t="s">
        <v>11453</v>
      </c>
      <c r="AB2930" t="s">
        <v>15972</v>
      </c>
      <c r="AC2930">
        <v>9</v>
      </c>
      <c r="AD2930" t="s">
        <v>19566</v>
      </c>
      <c r="AE2930" t="s">
        <v>11157</v>
      </c>
      <c r="AF2930">
        <v>21</v>
      </c>
      <c r="AG2930">
        <v>2</v>
      </c>
      <c r="AH2930">
        <v>0</v>
      </c>
      <c r="AI2930">
        <v>97.76000000000001</v>
      </c>
      <c r="AL2930" t="s">
        <v>19614</v>
      </c>
      <c r="AM2930">
        <v>16532</v>
      </c>
      <c r="AS2930">
        <v>23.4</v>
      </c>
      <c r="AT2930" t="s">
        <v>1130</v>
      </c>
      <c r="AU2930" t="s">
        <v>82</v>
      </c>
      <c r="AV2930" t="s">
        <v>20733</v>
      </c>
    </row>
    <row r="2931" spans="1:48">
      <c r="A2931" s="1">
        <f>HYPERLINK("https://lsnyc.legalserver.org/matter/dynamic-profile/view/1898667","19-1898667")</f>
        <v>0</v>
      </c>
      <c r="B2931" t="s">
        <v>82</v>
      </c>
      <c r="C2931" t="s">
        <v>256</v>
      </c>
      <c r="D2931" t="s">
        <v>361</v>
      </c>
      <c r="F2931" t="s">
        <v>1226</v>
      </c>
      <c r="G2931" t="s">
        <v>3419</v>
      </c>
      <c r="H2931" t="s">
        <v>5769</v>
      </c>
      <c r="J2931" t="s">
        <v>9059</v>
      </c>
      <c r="K2931">
        <v>11231</v>
      </c>
      <c r="L2931" t="s">
        <v>9094</v>
      </c>
      <c r="M2931" t="s">
        <v>9094</v>
      </c>
      <c r="P2931" t="s">
        <v>11168</v>
      </c>
      <c r="R2931" t="s">
        <v>11180</v>
      </c>
      <c r="T2931" t="s">
        <v>11183</v>
      </c>
      <c r="V2931" t="s">
        <v>361</v>
      </c>
      <c r="W2931">
        <v>0</v>
      </c>
      <c r="X2931" t="s">
        <v>11332</v>
      </c>
      <c r="Z2931" t="s">
        <v>11453</v>
      </c>
      <c r="AB2931" t="s">
        <v>15972</v>
      </c>
      <c r="AC2931">
        <v>0</v>
      </c>
      <c r="AF2931">
        <v>0</v>
      </c>
      <c r="AG2931">
        <v>2</v>
      </c>
      <c r="AH2931">
        <v>0</v>
      </c>
      <c r="AI2931">
        <v>97.76000000000001</v>
      </c>
      <c r="AL2931" t="s">
        <v>19614</v>
      </c>
      <c r="AM2931">
        <v>16532</v>
      </c>
      <c r="AS2931">
        <v>2.3</v>
      </c>
      <c r="AT2931" t="s">
        <v>377</v>
      </c>
      <c r="AU2931" t="s">
        <v>215</v>
      </c>
    </row>
    <row r="2932" spans="1:48">
      <c r="A2932" s="1">
        <f>HYPERLINK("https://lsnyc.legalserver.org/matter/dynamic-profile/view/1856547","18-1856547")</f>
        <v>0</v>
      </c>
      <c r="B2932" t="s">
        <v>114</v>
      </c>
      <c r="C2932" t="s">
        <v>256</v>
      </c>
      <c r="D2932" t="s">
        <v>974</v>
      </c>
      <c r="F2932" t="s">
        <v>1354</v>
      </c>
      <c r="G2932" t="s">
        <v>3536</v>
      </c>
      <c r="H2932" t="s">
        <v>5893</v>
      </c>
      <c r="I2932" t="s">
        <v>8187</v>
      </c>
      <c r="J2932" t="s">
        <v>9065</v>
      </c>
      <c r="K2932">
        <v>10453</v>
      </c>
      <c r="L2932" t="s">
        <v>9094</v>
      </c>
      <c r="M2932" t="s">
        <v>9095</v>
      </c>
      <c r="N2932" t="s">
        <v>10235</v>
      </c>
      <c r="O2932" t="s">
        <v>11129</v>
      </c>
      <c r="P2932" t="s">
        <v>11165</v>
      </c>
      <c r="R2932" t="s">
        <v>11180</v>
      </c>
      <c r="S2932" t="s">
        <v>9096</v>
      </c>
      <c r="T2932" t="s">
        <v>11183</v>
      </c>
      <c r="V2932" t="s">
        <v>836</v>
      </c>
      <c r="W2932">
        <v>1086.1</v>
      </c>
      <c r="X2932" t="s">
        <v>11333</v>
      </c>
      <c r="Z2932" t="s">
        <v>11603</v>
      </c>
      <c r="AA2932" t="s">
        <v>15747</v>
      </c>
      <c r="AB2932" t="s">
        <v>16087</v>
      </c>
      <c r="AC2932">
        <v>20</v>
      </c>
      <c r="AD2932" t="s">
        <v>19569</v>
      </c>
      <c r="AF2932">
        <v>18</v>
      </c>
      <c r="AG2932">
        <v>2</v>
      </c>
      <c r="AH2932">
        <v>1</v>
      </c>
      <c r="AI2932">
        <v>97.84999999999999</v>
      </c>
      <c r="AL2932" t="s">
        <v>19615</v>
      </c>
      <c r="AM2932">
        <v>20334</v>
      </c>
      <c r="AS2932">
        <v>37.2</v>
      </c>
      <c r="AT2932" t="s">
        <v>806</v>
      </c>
      <c r="AU2932" t="s">
        <v>114</v>
      </c>
    </row>
    <row r="2933" spans="1:48">
      <c r="A2933" s="1">
        <f>HYPERLINK("https://lsnyc.legalserver.org/matter/dynamic-profile/view/0822142","16-0822142")</f>
        <v>0</v>
      </c>
      <c r="B2933" t="s">
        <v>108</v>
      </c>
      <c r="C2933" t="s">
        <v>256</v>
      </c>
      <c r="D2933" t="s">
        <v>720</v>
      </c>
      <c r="F2933" t="s">
        <v>2267</v>
      </c>
      <c r="G2933" t="s">
        <v>3630</v>
      </c>
      <c r="H2933" t="s">
        <v>5897</v>
      </c>
      <c r="I2933" t="s">
        <v>8668</v>
      </c>
      <c r="J2933" t="s">
        <v>9065</v>
      </c>
      <c r="K2933">
        <v>10452</v>
      </c>
      <c r="L2933" t="s">
        <v>9094</v>
      </c>
      <c r="M2933" t="s">
        <v>9095</v>
      </c>
      <c r="N2933" t="s">
        <v>9252</v>
      </c>
      <c r="O2933" t="s">
        <v>11135</v>
      </c>
      <c r="P2933" t="s">
        <v>11168</v>
      </c>
      <c r="R2933" t="s">
        <v>11180</v>
      </c>
      <c r="S2933" t="s">
        <v>9094</v>
      </c>
      <c r="T2933" t="s">
        <v>11183</v>
      </c>
      <c r="V2933" t="s">
        <v>720</v>
      </c>
      <c r="W2933">
        <v>683.12</v>
      </c>
      <c r="X2933" t="s">
        <v>11333</v>
      </c>
      <c r="Z2933" t="s">
        <v>13323</v>
      </c>
      <c r="AB2933" t="s">
        <v>17666</v>
      </c>
      <c r="AC2933">
        <v>122</v>
      </c>
      <c r="AD2933" t="s">
        <v>19566</v>
      </c>
      <c r="AF2933">
        <v>0</v>
      </c>
      <c r="AG2933">
        <v>1</v>
      </c>
      <c r="AH2933">
        <v>0</v>
      </c>
      <c r="AI2933">
        <v>97.88</v>
      </c>
      <c r="AL2933" t="s">
        <v>19615</v>
      </c>
      <c r="AM2933">
        <v>11628</v>
      </c>
      <c r="AS2933">
        <v>0.1</v>
      </c>
      <c r="AT2933" t="s">
        <v>965</v>
      </c>
      <c r="AU2933" t="s">
        <v>20647</v>
      </c>
    </row>
    <row r="2934" spans="1:48">
      <c r="A2934" s="1">
        <f>HYPERLINK("https://lsnyc.legalserver.org/matter/dynamic-profile/view/1865543","18-1865543")</f>
        <v>0</v>
      </c>
      <c r="B2934" t="s">
        <v>56</v>
      </c>
      <c r="C2934" t="s">
        <v>256</v>
      </c>
      <c r="D2934" t="s">
        <v>975</v>
      </c>
      <c r="F2934" t="s">
        <v>1677</v>
      </c>
      <c r="G2934" t="s">
        <v>4610</v>
      </c>
      <c r="H2934" t="s">
        <v>7142</v>
      </c>
      <c r="I2934" t="s">
        <v>8669</v>
      </c>
      <c r="J2934" t="s">
        <v>9039</v>
      </c>
      <c r="K2934">
        <v>11434</v>
      </c>
      <c r="L2934" t="s">
        <v>9094</v>
      </c>
      <c r="M2934" t="s">
        <v>9095</v>
      </c>
      <c r="N2934" t="s">
        <v>10236</v>
      </c>
      <c r="O2934" t="s">
        <v>11129</v>
      </c>
      <c r="P2934" t="s">
        <v>11165</v>
      </c>
      <c r="R2934" t="s">
        <v>11181</v>
      </c>
      <c r="S2934" t="s">
        <v>9096</v>
      </c>
      <c r="T2934" t="s">
        <v>11183</v>
      </c>
      <c r="V2934" t="s">
        <v>975</v>
      </c>
      <c r="W2934">
        <v>0</v>
      </c>
      <c r="X2934" t="s">
        <v>11331</v>
      </c>
      <c r="Y2934" t="s">
        <v>11337</v>
      </c>
      <c r="Z2934" t="s">
        <v>12186</v>
      </c>
      <c r="AA2934" t="s">
        <v>9171</v>
      </c>
      <c r="AB2934" t="s">
        <v>17683</v>
      </c>
      <c r="AC2934">
        <v>2</v>
      </c>
      <c r="AD2934" t="s">
        <v>19565</v>
      </c>
      <c r="AE2934" t="s">
        <v>9144</v>
      </c>
      <c r="AF2934">
        <v>8</v>
      </c>
      <c r="AG2934">
        <v>1</v>
      </c>
      <c r="AH2934">
        <v>4</v>
      </c>
      <c r="AI2934">
        <v>97.89</v>
      </c>
      <c r="AJ2934" t="s">
        <v>19591</v>
      </c>
      <c r="AK2934" t="s">
        <v>19608</v>
      </c>
      <c r="AL2934" t="s">
        <v>19614</v>
      </c>
      <c r="AM2934">
        <v>28800</v>
      </c>
      <c r="AO2934" t="s">
        <v>20293</v>
      </c>
      <c r="AP2934" t="s">
        <v>20309</v>
      </c>
      <c r="AQ2934" t="s">
        <v>20369</v>
      </c>
      <c r="AR2934" t="s">
        <v>20511</v>
      </c>
      <c r="AS2934">
        <v>3.88</v>
      </c>
      <c r="AT2934" t="s">
        <v>11211</v>
      </c>
      <c r="AU2934" t="s">
        <v>61</v>
      </c>
    </row>
    <row r="2935" spans="1:48">
      <c r="A2935" s="1">
        <f>HYPERLINK("https://lsnyc.legalserver.org/matter/dynamic-profile/view/0795538","16-0795538")</f>
        <v>0</v>
      </c>
      <c r="B2935" t="s">
        <v>141</v>
      </c>
      <c r="C2935" t="s">
        <v>257</v>
      </c>
      <c r="D2935" t="s">
        <v>976</v>
      </c>
      <c r="E2935" t="s">
        <v>377</v>
      </c>
      <c r="F2935" t="s">
        <v>2377</v>
      </c>
      <c r="G2935" t="s">
        <v>4611</v>
      </c>
      <c r="H2935" t="s">
        <v>7143</v>
      </c>
      <c r="I2935" t="s">
        <v>8675</v>
      </c>
      <c r="J2935" t="s">
        <v>9067</v>
      </c>
      <c r="K2935">
        <v>10034</v>
      </c>
      <c r="L2935" t="s">
        <v>9095</v>
      </c>
      <c r="M2935" t="s">
        <v>9095</v>
      </c>
      <c r="O2935" t="s">
        <v>9121</v>
      </c>
      <c r="P2935" t="s">
        <v>11164</v>
      </c>
      <c r="Q2935" t="s">
        <v>11172</v>
      </c>
      <c r="R2935" t="s">
        <v>11180</v>
      </c>
      <c r="T2935" t="s">
        <v>11183</v>
      </c>
      <c r="V2935" t="s">
        <v>916</v>
      </c>
      <c r="W2935">
        <v>0</v>
      </c>
      <c r="X2935" t="s">
        <v>11335</v>
      </c>
      <c r="Y2935" t="s">
        <v>11354</v>
      </c>
      <c r="Z2935" t="s">
        <v>13343</v>
      </c>
      <c r="AB2935" t="s">
        <v>17684</v>
      </c>
      <c r="AC2935">
        <v>0</v>
      </c>
      <c r="AD2935" t="s">
        <v>19565</v>
      </c>
      <c r="AF2935">
        <v>17</v>
      </c>
      <c r="AG2935">
        <v>2</v>
      </c>
      <c r="AH2935">
        <v>0</v>
      </c>
      <c r="AI2935">
        <v>97.93000000000001</v>
      </c>
      <c r="AL2935" t="s">
        <v>19615</v>
      </c>
      <c r="AM2935">
        <v>15600</v>
      </c>
      <c r="AS2935">
        <v>4.75</v>
      </c>
      <c r="AT2935" t="s">
        <v>20598</v>
      </c>
      <c r="AU2935" t="s">
        <v>69</v>
      </c>
    </row>
    <row r="2936" spans="1:48">
      <c r="A2936" s="1">
        <f>HYPERLINK("https://lsnyc.legalserver.org/matter/dynamic-profile/view/1908599","19-1908599")</f>
        <v>0</v>
      </c>
      <c r="B2936" t="s">
        <v>71</v>
      </c>
      <c r="C2936" t="s">
        <v>257</v>
      </c>
      <c r="D2936" t="s">
        <v>574</v>
      </c>
      <c r="E2936" t="s">
        <v>320</v>
      </c>
      <c r="F2936" t="s">
        <v>2378</v>
      </c>
      <c r="G2936" t="s">
        <v>2117</v>
      </c>
      <c r="H2936" t="s">
        <v>5748</v>
      </c>
      <c r="I2936" t="s">
        <v>8133</v>
      </c>
      <c r="J2936" t="s">
        <v>9059</v>
      </c>
      <c r="K2936">
        <v>11233</v>
      </c>
      <c r="L2936" t="s">
        <v>9094</v>
      </c>
      <c r="M2936" t="s">
        <v>9095</v>
      </c>
      <c r="N2936" t="s">
        <v>10237</v>
      </c>
      <c r="O2936" t="s">
        <v>11129</v>
      </c>
      <c r="P2936" t="s">
        <v>11164</v>
      </c>
      <c r="Q2936" t="s">
        <v>11172</v>
      </c>
      <c r="R2936" t="s">
        <v>11180</v>
      </c>
      <c r="S2936" t="s">
        <v>9096</v>
      </c>
      <c r="T2936" t="s">
        <v>11183</v>
      </c>
      <c r="U2936" t="s">
        <v>11201</v>
      </c>
      <c r="V2936" t="s">
        <v>574</v>
      </c>
      <c r="W2936">
        <v>827.8200000000001</v>
      </c>
      <c r="X2936" t="s">
        <v>11332</v>
      </c>
      <c r="Y2936" t="s">
        <v>11340</v>
      </c>
      <c r="Z2936" t="s">
        <v>13344</v>
      </c>
      <c r="AA2936">
        <v>32751364</v>
      </c>
      <c r="AB2936" t="s">
        <v>17685</v>
      </c>
      <c r="AC2936">
        <v>359</v>
      </c>
      <c r="AD2936" t="s">
        <v>19566</v>
      </c>
      <c r="AE2936" t="s">
        <v>19584</v>
      </c>
      <c r="AF2936">
        <v>24</v>
      </c>
      <c r="AG2936">
        <v>2</v>
      </c>
      <c r="AH2936">
        <v>0</v>
      </c>
      <c r="AI2936">
        <v>97.98</v>
      </c>
      <c r="AL2936" t="s">
        <v>19614</v>
      </c>
      <c r="AM2936">
        <v>16568.3</v>
      </c>
      <c r="AS2936">
        <v>1.4</v>
      </c>
      <c r="AT2936" t="s">
        <v>297</v>
      </c>
      <c r="AU2936" t="s">
        <v>95</v>
      </c>
      <c r="AV2936" t="s">
        <v>20733</v>
      </c>
    </row>
    <row r="2937" spans="1:48">
      <c r="A2937" s="1">
        <f>HYPERLINK("https://lsnyc.legalserver.org/matter/dynamic-profile/view/1899885","19-1899885")</f>
        <v>0</v>
      </c>
      <c r="B2937" t="s">
        <v>113</v>
      </c>
      <c r="C2937" t="s">
        <v>256</v>
      </c>
      <c r="D2937" t="s">
        <v>411</v>
      </c>
      <c r="F2937" t="s">
        <v>1294</v>
      </c>
      <c r="G2937" t="s">
        <v>4018</v>
      </c>
      <c r="H2937" t="s">
        <v>5864</v>
      </c>
      <c r="I2937" t="s">
        <v>8676</v>
      </c>
      <c r="J2937" t="s">
        <v>9065</v>
      </c>
      <c r="K2937">
        <v>10460</v>
      </c>
      <c r="L2937" t="s">
        <v>9094</v>
      </c>
      <c r="M2937" t="s">
        <v>9095</v>
      </c>
      <c r="N2937" t="s">
        <v>9171</v>
      </c>
      <c r="O2937" t="s">
        <v>9121</v>
      </c>
      <c r="P2937" t="s">
        <v>11166</v>
      </c>
      <c r="R2937" t="s">
        <v>11180</v>
      </c>
      <c r="S2937" t="s">
        <v>9094</v>
      </c>
      <c r="T2937" t="s">
        <v>11183</v>
      </c>
      <c r="V2937" t="s">
        <v>11218</v>
      </c>
      <c r="W2937">
        <v>397</v>
      </c>
      <c r="X2937" t="s">
        <v>11333</v>
      </c>
      <c r="Y2937" t="s">
        <v>11346</v>
      </c>
      <c r="Z2937" t="s">
        <v>13345</v>
      </c>
      <c r="AB2937" t="s">
        <v>17686</v>
      </c>
      <c r="AC2937">
        <v>168</v>
      </c>
      <c r="AD2937" t="s">
        <v>19566</v>
      </c>
      <c r="AE2937" t="s">
        <v>19580</v>
      </c>
      <c r="AF2937">
        <v>5</v>
      </c>
      <c r="AG2937">
        <v>1</v>
      </c>
      <c r="AH2937">
        <v>0</v>
      </c>
      <c r="AI2937">
        <v>98.19</v>
      </c>
      <c r="AL2937" t="s">
        <v>19615</v>
      </c>
      <c r="AM2937">
        <v>12264</v>
      </c>
      <c r="AS2937">
        <v>0</v>
      </c>
      <c r="AU2937" t="s">
        <v>20647</v>
      </c>
      <c r="AV2937" t="s">
        <v>20733</v>
      </c>
    </row>
    <row r="2938" spans="1:48">
      <c r="A2938" s="1">
        <f>HYPERLINK("https://lsnyc.legalserver.org/matter/dynamic-profile/view/1910604","19-1910604")</f>
        <v>0</v>
      </c>
      <c r="B2938" t="s">
        <v>82</v>
      </c>
      <c r="C2938" t="s">
        <v>256</v>
      </c>
      <c r="D2938" t="s">
        <v>259</v>
      </c>
      <c r="F2938" t="s">
        <v>2379</v>
      </c>
      <c r="G2938" t="s">
        <v>3366</v>
      </c>
      <c r="H2938" t="s">
        <v>5776</v>
      </c>
      <c r="I2938" t="s">
        <v>8168</v>
      </c>
      <c r="J2938" t="s">
        <v>9059</v>
      </c>
      <c r="K2938">
        <v>11226</v>
      </c>
      <c r="L2938" t="s">
        <v>9094</v>
      </c>
      <c r="M2938" t="s">
        <v>9095</v>
      </c>
      <c r="O2938" t="s">
        <v>11130</v>
      </c>
      <c r="P2938" t="s">
        <v>11165</v>
      </c>
      <c r="R2938" t="s">
        <v>11180</v>
      </c>
      <c r="S2938" t="s">
        <v>9094</v>
      </c>
      <c r="T2938" t="s">
        <v>11183</v>
      </c>
      <c r="U2938" t="s">
        <v>11201</v>
      </c>
      <c r="V2938" t="s">
        <v>259</v>
      </c>
      <c r="W2938">
        <v>2100</v>
      </c>
      <c r="X2938" t="s">
        <v>11332</v>
      </c>
      <c r="Y2938" t="s">
        <v>11346</v>
      </c>
      <c r="Z2938" t="s">
        <v>13346</v>
      </c>
      <c r="AC2938">
        <v>16</v>
      </c>
      <c r="AD2938" t="s">
        <v>19566</v>
      </c>
      <c r="AE2938" t="s">
        <v>11157</v>
      </c>
      <c r="AF2938">
        <v>-1</v>
      </c>
      <c r="AG2938">
        <v>3</v>
      </c>
      <c r="AH2938">
        <v>3</v>
      </c>
      <c r="AI2938">
        <v>98.38</v>
      </c>
      <c r="AL2938" t="s">
        <v>19614</v>
      </c>
      <c r="AM2938">
        <v>34028</v>
      </c>
      <c r="AS2938">
        <v>0.7</v>
      </c>
      <c r="AT2938" t="s">
        <v>404</v>
      </c>
      <c r="AU2938" t="s">
        <v>82</v>
      </c>
      <c r="AV2938" t="s">
        <v>20733</v>
      </c>
    </row>
    <row r="2939" spans="1:48">
      <c r="A2939" s="1">
        <f>HYPERLINK("https://lsnyc.legalserver.org/matter/dynamic-profile/view/1910617","19-1910617")</f>
        <v>0</v>
      </c>
      <c r="B2939" t="s">
        <v>82</v>
      </c>
      <c r="C2939" t="s">
        <v>256</v>
      </c>
      <c r="D2939" t="s">
        <v>259</v>
      </c>
      <c r="F2939" t="s">
        <v>2379</v>
      </c>
      <c r="G2939" t="s">
        <v>3366</v>
      </c>
      <c r="H2939" t="s">
        <v>5776</v>
      </c>
      <c r="I2939" t="s">
        <v>8168</v>
      </c>
      <c r="J2939" t="s">
        <v>9059</v>
      </c>
      <c r="K2939">
        <v>11226</v>
      </c>
      <c r="L2939" t="s">
        <v>9094</v>
      </c>
      <c r="M2939" t="s">
        <v>9095</v>
      </c>
      <c r="O2939" t="s">
        <v>11130</v>
      </c>
      <c r="P2939" t="s">
        <v>11165</v>
      </c>
      <c r="R2939" t="s">
        <v>11180</v>
      </c>
      <c r="S2939" t="s">
        <v>9094</v>
      </c>
      <c r="T2939" t="s">
        <v>11183</v>
      </c>
      <c r="U2939" t="s">
        <v>11201</v>
      </c>
      <c r="V2939" t="s">
        <v>259</v>
      </c>
      <c r="W2939">
        <v>2100</v>
      </c>
      <c r="X2939" t="s">
        <v>11332</v>
      </c>
      <c r="Y2939" t="s">
        <v>11346</v>
      </c>
      <c r="Z2939" t="s">
        <v>13346</v>
      </c>
      <c r="AC2939">
        <v>16</v>
      </c>
      <c r="AD2939" t="s">
        <v>19566</v>
      </c>
      <c r="AE2939" t="s">
        <v>11157</v>
      </c>
      <c r="AF2939">
        <v>-1</v>
      </c>
      <c r="AG2939">
        <v>3</v>
      </c>
      <c r="AH2939">
        <v>3</v>
      </c>
      <c r="AI2939">
        <v>98.38</v>
      </c>
      <c r="AL2939" t="s">
        <v>19614</v>
      </c>
      <c r="AM2939">
        <v>34028</v>
      </c>
      <c r="AS2939">
        <v>0</v>
      </c>
      <c r="AU2939" t="s">
        <v>82</v>
      </c>
      <c r="AV2939" t="s">
        <v>20733</v>
      </c>
    </row>
    <row r="2940" spans="1:48">
      <c r="A2940" s="1">
        <f>HYPERLINK("https://lsnyc.legalserver.org/matter/dynamic-profile/view/1906143","19-1906143")</f>
        <v>0</v>
      </c>
      <c r="B2940" t="s">
        <v>57</v>
      </c>
      <c r="C2940" t="s">
        <v>256</v>
      </c>
      <c r="D2940" t="s">
        <v>329</v>
      </c>
      <c r="F2940" t="s">
        <v>2380</v>
      </c>
      <c r="G2940" t="s">
        <v>4612</v>
      </c>
      <c r="H2940" t="s">
        <v>7144</v>
      </c>
      <c r="I2940" t="s">
        <v>8677</v>
      </c>
      <c r="J2940" t="s">
        <v>9043</v>
      </c>
      <c r="K2940">
        <v>11420</v>
      </c>
      <c r="L2940" t="s">
        <v>9094</v>
      </c>
      <c r="M2940" t="s">
        <v>9095</v>
      </c>
      <c r="N2940" t="s">
        <v>10238</v>
      </c>
      <c r="O2940" t="s">
        <v>11128</v>
      </c>
      <c r="P2940" t="s">
        <v>11164</v>
      </c>
      <c r="R2940" t="s">
        <v>11181</v>
      </c>
      <c r="S2940" t="s">
        <v>9096</v>
      </c>
      <c r="T2940" t="s">
        <v>11183</v>
      </c>
      <c r="U2940" t="s">
        <v>11201</v>
      </c>
      <c r="V2940" t="s">
        <v>329</v>
      </c>
      <c r="W2940">
        <v>0.01</v>
      </c>
      <c r="X2940" t="s">
        <v>11331</v>
      </c>
      <c r="Y2940" t="s">
        <v>11337</v>
      </c>
      <c r="Z2940" t="s">
        <v>13347</v>
      </c>
      <c r="AB2940" t="s">
        <v>17687</v>
      </c>
      <c r="AC2940">
        <v>2</v>
      </c>
      <c r="AD2940" t="s">
        <v>19565</v>
      </c>
      <c r="AE2940" t="s">
        <v>9144</v>
      </c>
      <c r="AF2940">
        <v>2</v>
      </c>
      <c r="AG2940">
        <v>2</v>
      </c>
      <c r="AH2940">
        <v>0</v>
      </c>
      <c r="AI2940">
        <v>98.40000000000001</v>
      </c>
      <c r="AJ2940" t="s">
        <v>19591</v>
      </c>
      <c r="AK2940" t="s">
        <v>19608</v>
      </c>
      <c r="AL2940" t="s">
        <v>19615</v>
      </c>
      <c r="AM2940">
        <v>16640</v>
      </c>
      <c r="AS2940">
        <v>4.56</v>
      </c>
      <c r="AT2940" t="s">
        <v>270</v>
      </c>
      <c r="AU2940" t="s">
        <v>57</v>
      </c>
      <c r="AV2940" t="s">
        <v>20733</v>
      </c>
    </row>
    <row r="2941" spans="1:48">
      <c r="A2941" s="1">
        <f>HYPERLINK("https://lsnyc.legalserver.org/matter/dynamic-profile/view/0810651","16-0810651")</f>
        <v>0</v>
      </c>
      <c r="B2941" t="s">
        <v>102</v>
      </c>
      <c r="C2941" t="s">
        <v>256</v>
      </c>
      <c r="D2941" t="s">
        <v>865</v>
      </c>
      <c r="F2941" t="s">
        <v>1404</v>
      </c>
      <c r="G2941" t="s">
        <v>4613</v>
      </c>
      <c r="H2941" t="s">
        <v>7145</v>
      </c>
      <c r="I2941" t="s">
        <v>8168</v>
      </c>
      <c r="J2941" t="s">
        <v>9065</v>
      </c>
      <c r="K2941">
        <v>10453</v>
      </c>
      <c r="L2941" t="s">
        <v>9094</v>
      </c>
      <c r="M2941" t="s">
        <v>9095</v>
      </c>
      <c r="N2941" t="s">
        <v>10239</v>
      </c>
      <c r="O2941" t="s">
        <v>11129</v>
      </c>
      <c r="P2941" t="s">
        <v>11165</v>
      </c>
      <c r="R2941" t="s">
        <v>11180</v>
      </c>
      <c r="T2941" t="s">
        <v>11183</v>
      </c>
      <c r="V2941" t="s">
        <v>865</v>
      </c>
      <c r="W2941">
        <v>964.97</v>
      </c>
      <c r="X2941" t="s">
        <v>11333</v>
      </c>
      <c r="Y2941" t="s">
        <v>11346</v>
      </c>
      <c r="Z2941" t="s">
        <v>12082</v>
      </c>
      <c r="AB2941" t="s">
        <v>17688</v>
      </c>
      <c r="AC2941">
        <v>71</v>
      </c>
      <c r="AD2941" t="s">
        <v>19566</v>
      </c>
      <c r="AE2941" t="s">
        <v>19587</v>
      </c>
      <c r="AF2941">
        <v>12</v>
      </c>
      <c r="AG2941">
        <v>1</v>
      </c>
      <c r="AH2941">
        <v>0</v>
      </c>
      <c r="AI2941">
        <v>98.43000000000001</v>
      </c>
      <c r="AL2941" t="s">
        <v>19615</v>
      </c>
      <c r="AM2941">
        <v>11693.76</v>
      </c>
      <c r="AS2941">
        <v>129.7</v>
      </c>
      <c r="AT2941" t="s">
        <v>421</v>
      </c>
      <c r="AU2941" t="s">
        <v>225</v>
      </c>
    </row>
    <row r="2942" spans="1:48">
      <c r="A2942" s="1">
        <f>HYPERLINK("https://lsnyc.legalserver.org/matter/dynamic-profile/view/0821446","16-0821446")</f>
        <v>0</v>
      </c>
      <c r="B2942" t="s">
        <v>173</v>
      </c>
      <c r="C2942" t="s">
        <v>256</v>
      </c>
      <c r="D2942" t="s">
        <v>571</v>
      </c>
      <c r="F2942" t="s">
        <v>2381</v>
      </c>
      <c r="G2942" t="s">
        <v>2993</v>
      </c>
      <c r="H2942" t="s">
        <v>7146</v>
      </c>
      <c r="I2942" t="s">
        <v>8446</v>
      </c>
      <c r="J2942" t="s">
        <v>9039</v>
      </c>
      <c r="K2942">
        <v>11432</v>
      </c>
      <c r="L2942" t="s">
        <v>9094</v>
      </c>
      <c r="M2942" t="s">
        <v>9095</v>
      </c>
      <c r="N2942" t="s">
        <v>9112</v>
      </c>
      <c r="O2942" t="s">
        <v>11132</v>
      </c>
      <c r="P2942" t="s">
        <v>11165</v>
      </c>
      <c r="R2942" t="s">
        <v>11180</v>
      </c>
      <c r="S2942" t="s">
        <v>9094</v>
      </c>
      <c r="T2942" t="s">
        <v>11183</v>
      </c>
      <c r="V2942" t="s">
        <v>878</v>
      </c>
      <c r="W2942">
        <v>1450</v>
      </c>
      <c r="X2942" t="s">
        <v>11331</v>
      </c>
      <c r="Y2942" t="s">
        <v>11340</v>
      </c>
      <c r="Z2942" t="s">
        <v>13348</v>
      </c>
      <c r="AA2942" t="s">
        <v>9675</v>
      </c>
      <c r="AB2942" t="s">
        <v>17689</v>
      </c>
      <c r="AC2942">
        <v>190</v>
      </c>
      <c r="AD2942" t="s">
        <v>19566</v>
      </c>
      <c r="AE2942" t="s">
        <v>9144</v>
      </c>
      <c r="AF2942">
        <v>10</v>
      </c>
      <c r="AG2942">
        <v>4</v>
      </c>
      <c r="AH2942">
        <v>1</v>
      </c>
      <c r="AI2942">
        <v>98.45</v>
      </c>
      <c r="AJ2942" t="s">
        <v>19592</v>
      </c>
      <c r="AL2942" t="s">
        <v>19616</v>
      </c>
      <c r="AM2942">
        <v>28000</v>
      </c>
      <c r="AS2942">
        <v>1.5</v>
      </c>
      <c r="AT2942" t="s">
        <v>448</v>
      </c>
      <c r="AU2942" t="s">
        <v>242</v>
      </c>
    </row>
    <row r="2943" spans="1:48">
      <c r="A2943" s="1">
        <f>HYPERLINK("https://lsnyc.legalserver.org/matter/dynamic-profile/view/1895933","19-1895933")</f>
        <v>0</v>
      </c>
      <c r="B2943" t="s">
        <v>52</v>
      </c>
      <c r="C2943" t="s">
        <v>256</v>
      </c>
      <c r="D2943" t="s">
        <v>300</v>
      </c>
      <c r="F2943" t="s">
        <v>1200</v>
      </c>
      <c r="G2943" t="s">
        <v>1553</v>
      </c>
      <c r="H2943" t="s">
        <v>7147</v>
      </c>
      <c r="I2943" t="s">
        <v>8112</v>
      </c>
      <c r="J2943" t="s">
        <v>9056</v>
      </c>
      <c r="K2943">
        <v>11365</v>
      </c>
      <c r="L2943" t="s">
        <v>9094</v>
      </c>
      <c r="M2943" t="s">
        <v>9094</v>
      </c>
      <c r="N2943" t="s">
        <v>10240</v>
      </c>
      <c r="O2943" t="s">
        <v>11128</v>
      </c>
      <c r="P2943" t="s">
        <v>11165</v>
      </c>
      <c r="R2943" t="s">
        <v>11180</v>
      </c>
      <c r="S2943" t="s">
        <v>9096</v>
      </c>
      <c r="T2943" t="s">
        <v>11183</v>
      </c>
      <c r="U2943" t="s">
        <v>11201</v>
      </c>
      <c r="V2943" t="s">
        <v>300</v>
      </c>
      <c r="W2943">
        <v>1350</v>
      </c>
      <c r="X2943" t="s">
        <v>11331</v>
      </c>
      <c r="Y2943" t="s">
        <v>11336</v>
      </c>
      <c r="Z2943" t="s">
        <v>11874</v>
      </c>
      <c r="AB2943" t="s">
        <v>17690</v>
      </c>
      <c r="AC2943">
        <v>18</v>
      </c>
      <c r="AD2943" t="s">
        <v>15441</v>
      </c>
      <c r="AE2943" t="s">
        <v>9144</v>
      </c>
      <c r="AF2943">
        <v>23</v>
      </c>
      <c r="AG2943">
        <v>3</v>
      </c>
      <c r="AH2943">
        <v>0</v>
      </c>
      <c r="AI2943">
        <v>98.45</v>
      </c>
      <c r="AL2943" t="s">
        <v>19614</v>
      </c>
      <c r="AM2943">
        <v>21000</v>
      </c>
      <c r="AS2943">
        <v>19.7</v>
      </c>
      <c r="AT2943" t="s">
        <v>20599</v>
      </c>
      <c r="AU2943" t="s">
        <v>20620</v>
      </c>
      <c r="AV2943" t="s">
        <v>20733</v>
      </c>
    </row>
    <row r="2944" spans="1:48">
      <c r="A2944" s="1">
        <f>HYPERLINK("https://lsnyc.legalserver.org/matter/dynamic-profile/view/0826185","17-0826185")</f>
        <v>0</v>
      </c>
      <c r="B2944" t="s">
        <v>136</v>
      </c>
      <c r="C2944" t="s">
        <v>256</v>
      </c>
      <c r="D2944" t="s">
        <v>876</v>
      </c>
      <c r="F2944" t="s">
        <v>1146</v>
      </c>
      <c r="G2944" t="s">
        <v>4085</v>
      </c>
      <c r="H2944" t="s">
        <v>7148</v>
      </c>
      <c r="I2944" t="s">
        <v>8169</v>
      </c>
      <c r="J2944" t="s">
        <v>9067</v>
      </c>
      <c r="K2944">
        <v>10034</v>
      </c>
      <c r="L2944" t="s">
        <v>9094</v>
      </c>
      <c r="M2944" t="s">
        <v>9095</v>
      </c>
      <c r="O2944" t="s">
        <v>11135</v>
      </c>
      <c r="P2944" t="s">
        <v>11168</v>
      </c>
      <c r="R2944" t="s">
        <v>11180</v>
      </c>
      <c r="S2944" t="s">
        <v>9094</v>
      </c>
      <c r="T2944" t="s">
        <v>11183</v>
      </c>
      <c r="V2944" t="s">
        <v>438</v>
      </c>
      <c r="W2944">
        <v>787.8099999999999</v>
      </c>
      <c r="X2944" t="s">
        <v>11335</v>
      </c>
      <c r="Y2944" t="s">
        <v>11339</v>
      </c>
      <c r="Z2944" t="s">
        <v>13146</v>
      </c>
      <c r="AB2944" t="s">
        <v>17691</v>
      </c>
      <c r="AC2944">
        <v>22</v>
      </c>
      <c r="AD2944" t="s">
        <v>19566</v>
      </c>
      <c r="AE2944" t="s">
        <v>9144</v>
      </c>
      <c r="AF2944">
        <v>38</v>
      </c>
      <c r="AG2944">
        <v>2</v>
      </c>
      <c r="AH2944">
        <v>0</v>
      </c>
      <c r="AI2944">
        <v>98.45999999999999</v>
      </c>
      <c r="AL2944" t="s">
        <v>19615</v>
      </c>
      <c r="AM2944">
        <v>17406</v>
      </c>
      <c r="AS2944">
        <v>0.9</v>
      </c>
      <c r="AT2944" t="s">
        <v>594</v>
      </c>
      <c r="AU2944" t="s">
        <v>20657</v>
      </c>
    </row>
    <row r="2945" spans="1:48">
      <c r="A2945" s="1">
        <f>HYPERLINK("https://lsnyc.legalserver.org/matter/dynamic-profile/view/1855754","18-1855754")</f>
        <v>0</v>
      </c>
      <c r="B2945" t="s">
        <v>108</v>
      </c>
      <c r="C2945" t="s">
        <v>256</v>
      </c>
      <c r="D2945" t="s">
        <v>977</v>
      </c>
      <c r="F2945" t="s">
        <v>1227</v>
      </c>
      <c r="G2945" t="s">
        <v>4614</v>
      </c>
      <c r="H2945" t="s">
        <v>7149</v>
      </c>
      <c r="I2945" t="s">
        <v>8678</v>
      </c>
      <c r="J2945" t="s">
        <v>9065</v>
      </c>
      <c r="K2945">
        <v>10472</v>
      </c>
      <c r="L2945" t="s">
        <v>9094</v>
      </c>
      <c r="M2945" t="s">
        <v>9095</v>
      </c>
      <c r="N2945" t="s">
        <v>10241</v>
      </c>
      <c r="O2945" t="s">
        <v>11154</v>
      </c>
      <c r="P2945" t="s">
        <v>11170</v>
      </c>
      <c r="R2945" t="s">
        <v>11180</v>
      </c>
      <c r="S2945" t="s">
        <v>9096</v>
      </c>
      <c r="T2945" t="s">
        <v>11192</v>
      </c>
      <c r="V2945" t="s">
        <v>468</v>
      </c>
      <c r="W2945">
        <v>990</v>
      </c>
      <c r="X2945" t="s">
        <v>11333</v>
      </c>
      <c r="Y2945" t="s">
        <v>11336</v>
      </c>
      <c r="Z2945" t="s">
        <v>13349</v>
      </c>
      <c r="AB2945" t="s">
        <v>17692</v>
      </c>
      <c r="AC2945">
        <v>78</v>
      </c>
      <c r="AD2945" t="s">
        <v>19566</v>
      </c>
      <c r="AE2945" t="s">
        <v>19588</v>
      </c>
      <c r="AF2945">
        <v>6</v>
      </c>
      <c r="AG2945">
        <v>1</v>
      </c>
      <c r="AH2945">
        <v>0</v>
      </c>
      <c r="AI2945">
        <v>98.51000000000001</v>
      </c>
      <c r="AL2945" t="s">
        <v>19614</v>
      </c>
      <c r="AM2945">
        <v>11880</v>
      </c>
      <c r="AS2945">
        <v>158.15</v>
      </c>
      <c r="AT2945" t="s">
        <v>289</v>
      </c>
      <c r="AU2945" t="s">
        <v>20690</v>
      </c>
    </row>
    <row r="2946" spans="1:48">
      <c r="A2946" s="1">
        <f>HYPERLINK("https://lsnyc.legalserver.org/matter/dynamic-profile/view/1853275","17-1853275")</f>
        <v>0</v>
      </c>
      <c r="B2946" t="s">
        <v>108</v>
      </c>
      <c r="C2946" t="s">
        <v>256</v>
      </c>
      <c r="D2946" t="s">
        <v>449</v>
      </c>
      <c r="F2946" t="s">
        <v>1227</v>
      </c>
      <c r="G2946" t="s">
        <v>4614</v>
      </c>
      <c r="H2946" t="s">
        <v>7149</v>
      </c>
      <c r="I2946" t="s">
        <v>8678</v>
      </c>
      <c r="J2946" t="s">
        <v>9065</v>
      </c>
      <c r="K2946">
        <v>10472</v>
      </c>
      <c r="L2946" t="s">
        <v>9094</v>
      </c>
      <c r="M2946" t="s">
        <v>9095</v>
      </c>
      <c r="N2946" t="s">
        <v>10242</v>
      </c>
      <c r="O2946" t="s">
        <v>11130</v>
      </c>
      <c r="P2946" t="s">
        <v>11165</v>
      </c>
      <c r="R2946" t="s">
        <v>11180</v>
      </c>
      <c r="S2946" t="s">
        <v>9096</v>
      </c>
      <c r="T2946" t="s">
        <v>11183</v>
      </c>
      <c r="V2946" t="s">
        <v>467</v>
      </c>
      <c r="W2946">
        <v>990</v>
      </c>
      <c r="X2946" t="s">
        <v>11333</v>
      </c>
      <c r="Y2946" t="s">
        <v>11336</v>
      </c>
      <c r="Z2946" t="s">
        <v>13349</v>
      </c>
      <c r="AB2946" t="s">
        <v>17692</v>
      </c>
      <c r="AC2946">
        <v>78</v>
      </c>
      <c r="AD2946" t="s">
        <v>19566</v>
      </c>
      <c r="AE2946" t="s">
        <v>19588</v>
      </c>
      <c r="AF2946">
        <v>6</v>
      </c>
      <c r="AG2946">
        <v>1</v>
      </c>
      <c r="AH2946">
        <v>0</v>
      </c>
      <c r="AI2946">
        <v>98.51000000000001</v>
      </c>
      <c r="AL2946" t="s">
        <v>19614</v>
      </c>
      <c r="AM2946">
        <v>11880</v>
      </c>
      <c r="AS2946">
        <v>25.3</v>
      </c>
      <c r="AT2946" t="s">
        <v>585</v>
      </c>
      <c r="AU2946" t="s">
        <v>20645</v>
      </c>
    </row>
    <row r="2947" spans="1:48">
      <c r="A2947" s="1">
        <f>HYPERLINK("https://lsnyc.legalserver.org/matter/dynamic-profile/view/1855758","18-1855758")</f>
        <v>0</v>
      </c>
      <c r="B2947" t="s">
        <v>108</v>
      </c>
      <c r="C2947" t="s">
        <v>256</v>
      </c>
      <c r="D2947" t="s">
        <v>977</v>
      </c>
      <c r="F2947" t="s">
        <v>1227</v>
      </c>
      <c r="G2947" t="s">
        <v>4614</v>
      </c>
      <c r="H2947" t="s">
        <v>7149</v>
      </c>
      <c r="I2947" t="s">
        <v>8678</v>
      </c>
      <c r="J2947" t="s">
        <v>9065</v>
      </c>
      <c r="K2947">
        <v>10472</v>
      </c>
      <c r="L2947" t="s">
        <v>9094</v>
      </c>
      <c r="M2947" t="s">
        <v>9095</v>
      </c>
      <c r="N2947" t="s">
        <v>10243</v>
      </c>
      <c r="O2947" t="s">
        <v>11136</v>
      </c>
      <c r="P2947" t="s">
        <v>11166</v>
      </c>
      <c r="R2947" t="s">
        <v>11180</v>
      </c>
      <c r="S2947" t="s">
        <v>9096</v>
      </c>
      <c r="T2947" t="s">
        <v>11192</v>
      </c>
      <c r="V2947" t="s">
        <v>468</v>
      </c>
      <c r="W2947">
        <v>990</v>
      </c>
      <c r="X2947" t="s">
        <v>11333</v>
      </c>
      <c r="Y2947" t="s">
        <v>11336</v>
      </c>
      <c r="Z2947" t="s">
        <v>13349</v>
      </c>
      <c r="AB2947" t="s">
        <v>17692</v>
      </c>
      <c r="AC2947">
        <v>78</v>
      </c>
      <c r="AD2947" t="s">
        <v>19566</v>
      </c>
      <c r="AE2947" t="s">
        <v>19588</v>
      </c>
      <c r="AF2947">
        <v>6</v>
      </c>
      <c r="AG2947">
        <v>1</v>
      </c>
      <c r="AH2947">
        <v>0</v>
      </c>
      <c r="AI2947">
        <v>98.51000000000001</v>
      </c>
      <c r="AL2947" t="s">
        <v>19614</v>
      </c>
      <c r="AM2947">
        <v>11880</v>
      </c>
      <c r="AS2947">
        <v>15.45</v>
      </c>
      <c r="AT2947" t="s">
        <v>289</v>
      </c>
      <c r="AU2947" t="s">
        <v>20690</v>
      </c>
    </row>
    <row r="2948" spans="1:48">
      <c r="A2948" s="1">
        <f>HYPERLINK("https://lsnyc.legalserver.org/matter/dynamic-profile/view/1864743","18-1864743")</f>
        <v>0</v>
      </c>
      <c r="B2948" t="s">
        <v>86</v>
      </c>
      <c r="C2948" t="s">
        <v>256</v>
      </c>
      <c r="D2948" t="s">
        <v>518</v>
      </c>
      <c r="F2948" t="s">
        <v>2382</v>
      </c>
      <c r="G2948" t="s">
        <v>4615</v>
      </c>
      <c r="H2948" t="s">
        <v>5786</v>
      </c>
      <c r="I2948" t="s">
        <v>8304</v>
      </c>
      <c r="J2948" t="s">
        <v>9059</v>
      </c>
      <c r="K2948">
        <v>11225</v>
      </c>
      <c r="L2948" t="s">
        <v>9094</v>
      </c>
      <c r="M2948" t="s">
        <v>9094</v>
      </c>
      <c r="N2948" t="s">
        <v>10244</v>
      </c>
      <c r="O2948" t="s">
        <v>11130</v>
      </c>
      <c r="P2948" t="s">
        <v>11165</v>
      </c>
      <c r="R2948" t="s">
        <v>11180</v>
      </c>
      <c r="S2948" t="s">
        <v>9094</v>
      </c>
      <c r="T2948" t="s">
        <v>11183</v>
      </c>
      <c r="V2948" t="s">
        <v>945</v>
      </c>
      <c r="W2948">
        <v>1322.21</v>
      </c>
      <c r="X2948" t="s">
        <v>11332</v>
      </c>
      <c r="Y2948" t="s">
        <v>11346</v>
      </c>
      <c r="Z2948" t="s">
        <v>13350</v>
      </c>
      <c r="AC2948">
        <v>47</v>
      </c>
      <c r="AD2948" t="s">
        <v>19566</v>
      </c>
      <c r="AE2948" t="s">
        <v>9144</v>
      </c>
      <c r="AF2948">
        <v>15</v>
      </c>
      <c r="AG2948">
        <v>2</v>
      </c>
      <c r="AH2948">
        <v>3</v>
      </c>
      <c r="AI2948">
        <v>98.56999999999999</v>
      </c>
      <c r="AL2948" t="s">
        <v>19614</v>
      </c>
      <c r="AM2948">
        <v>29000</v>
      </c>
      <c r="AS2948">
        <v>59.25</v>
      </c>
      <c r="AT2948" t="s">
        <v>719</v>
      </c>
      <c r="AU2948" t="s">
        <v>20630</v>
      </c>
    </row>
    <row r="2949" spans="1:48">
      <c r="A2949" s="1">
        <f>HYPERLINK("https://lsnyc.legalserver.org/matter/dynamic-profile/view/1875260","18-1875260")</f>
        <v>0</v>
      </c>
      <c r="B2949" t="s">
        <v>138</v>
      </c>
      <c r="C2949" t="s">
        <v>256</v>
      </c>
      <c r="D2949" t="s">
        <v>547</v>
      </c>
      <c r="F2949" t="s">
        <v>2383</v>
      </c>
      <c r="G2949" t="s">
        <v>3656</v>
      </c>
      <c r="H2949" t="s">
        <v>7150</v>
      </c>
      <c r="I2949" t="s">
        <v>8221</v>
      </c>
      <c r="J2949" t="s">
        <v>9067</v>
      </c>
      <c r="K2949">
        <v>10034</v>
      </c>
      <c r="L2949" t="s">
        <v>9094</v>
      </c>
      <c r="M2949" t="s">
        <v>9094</v>
      </c>
      <c r="O2949" t="s">
        <v>9121</v>
      </c>
      <c r="P2949" t="s">
        <v>11167</v>
      </c>
      <c r="R2949" t="s">
        <v>11180</v>
      </c>
      <c r="S2949" t="s">
        <v>9096</v>
      </c>
      <c r="T2949" t="s">
        <v>11183</v>
      </c>
      <c r="V2949" t="s">
        <v>547</v>
      </c>
      <c r="W2949">
        <v>1044.25</v>
      </c>
      <c r="X2949" t="s">
        <v>11335</v>
      </c>
      <c r="Y2949" t="s">
        <v>11340</v>
      </c>
      <c r="Z2949" t="s">
        <v>13351</v>
      </c>
      <c r="AB2949" t="s">
        <v>17693</v>
      </c>
      <c r="AC2949">
        <v>73</v>
      </c>
      <c r="AD2949" t="s">
        <v>19566</v>
      </c>
      <c r="AE2949" t="s">
        <v>9144</v>
      </c>
      <c r="AF2949">
        <v>43</v>
      </c>
      <c r="AG2949">
        <v>2</v>
      </c>
      <c r="AH2949">
        <v>0</v>
      </c>
      <c r="AI2949">
        <v>98.56999999999999</v>
      </c>
      <c r="AL2949" t="s">
        <v>19615</v>
      </c>
      <c r="AM2949">
        <v>16224</v>
      </c>
      <c r="AS2949">
        <v>1.6</v>
      </c>
      <c r="AT2949" t="s">
        <v>817</v>
      </c>
      <c r="AU2949" t="s">
        <v>130</v>
      </c>
      <c r="AV2949" t="s">
        <v>20733</v>
      </c>
    </row>
    <row r="2950" spans="1:48">
      <c r="A2950" s="1">
        <f>HYPERLINK("https://lsnyc.legalserver.org/matter/dynamic-profile/view/0820941","16-0820941")</f>
        <v>0</v>
      </c>
      <c r="B2950" t="s">
        <v>193</v>
      </c>
      <c r="C2950" t="s">
        <v>256</v>
      </c>
      <c r="D2950" t="s">
        <v>978</v>
      </c>
      <c r="F2950" t="s">
        <v>2384</v>
      </c>
      <c r="G2950" t="s">
        <v>4616</v>
      </c>
      <c r="H2950" t="s">
        <v>6711</v>
      </c>
      <c r="I2950" t="s">
        <v>8679</v>
      </c>
      <c r="J2950" t="s">
        <v>9039</v>
      </c>
      <c r="K2950">
        <v>11432</v>
      </c>
      <c r="L2950" t="s">
        <v>9096</v>
      </c>
      <c r="M2950" t="s">
        <v>9095</v>
      </c>
      <c r="N2950" t="s">
        <v>10245</v>
      </c>
      <c r="O2950" t="s">
        <v>11132</v>
      </c>
      <c r="P2950" t="s">
        <v>11165</v>
      </c>
      <c r="R2950" t="s">
        <v>11180</v>
      </c>
      <c r="S2950" t="s">
        <v>9094</v>
      </c>
      <c r="T2950" t="s">
        <v>11183</v>
      </c>
      <c r="W2950">
        <v>1535</v>
      </c>
      <c r="X2950" t="s">
        <v>11331</v>
      </c>
      <c r="Y2950" t="s">
        <v>11157</v>
      </c>
      <c r="Z2950" t="s">
        <v>13352</v>
      </c>
      <c r="AA2950" t="s">
        <v>9675</v>
      </c>
      <c r="AB2950" t="s">
        <v>17694</v>
      </c>
      <c r="AC2950">
        <v>61</v>
      </c>
      <c r="AD2950" t="s">
        <v>19566</v>
      </c>
      <c r="AE2950" t="s">
        <v>9144</v>
      </c>
      <c r="AF2950">
        <v>10</v>
      </c>
      <c r="AG2950">
        <v>2</v>
      </c>
      <c r="AH2950">
        <v>2</v>
      </c>
      <c r="AI2950">
        <v>98.77</v>
      </c>
      <c r="AJ2950" t="s">
        <v>19592</v>
      </c>
      <c r="AL2950" t="s">
        <v>19615</v>
      </c>
      <c r="AM2950">
        <v>24000</v>
      </c>
      <c r="AS2950">
        <v>82.59999999999999</v>
      </c>
      <c r="AT2950" t="s">
        <v>297</v>
      </c>
      <c r="AU2950" t="s">
        <v>20716</v>
      </c>
    </row>
    <row r="2951" spans="1:48">
      <c r="A2951" s="1">
        <f>HYPERLINK("https://lsnyc.legalserver.org/matter/dynamic-profile/view/0821749","16-0821749")</f>
        <v>0</v>
      </c>
      <c r="B2951" t="s">
        <v>165</v>
      </c>
      <c r="C2951" t="s">
        <v>257</v>
      </c>
      <c r="D2951" t="s">
        <v>892</v>
      </c>
      <c r="E2951" t="s">
        <v>328</v>
      </c>
      <c r="F2951" t="s">
        <v>1221</v>
      </c>
      <c r="G2951" t="s">
        <v>4617</v>
      </c>
      <c r="H2951" t="s">
        <v>7151</v>
      </c>
      <c r="I2951" t="s">
        <v>8119</v>
      </c>
      <c r="J2951" t="s">
        <v>9059</v>
      </c>
      <c r="K2951">
        <v>11212</v>
      </c>
      <c r="L2951" t="s">
        <v>9094</v>
      </c>
      <c r="M2951" t="s">
        <v>9095</v>
      </c>
      <c r="N2951">
        <v>3158</v>
      </c>
      <c r="O2951" t="s">
        <v>11130</v>
      </c>
      <c r="P2951" t="s">
        <v>11165</v>
      </c>
      <c r="Q2951" t="s">
        <v>11176</v>
      </c>
      <c r="R2951" t="s">
        <v>11180</v>
      </c>
      <c r="S2951" t="s">
        <v>9094</v>
      </c>
      <c r="T2951" t="s">
        <v>11183</v>
      </c>
      <c r="V2951" t="s">
        <v>720</v>
      </c>
      <c r="W2951">
        <v>1350</v>
      </c>
      <c r="X2951" t="s">
        <v>11332</v>
      </c>
      <c r="Z2951" t="s">
        <v>13353</v>
      </c>
      <c r="AB2951" t="s">
        <v>17695</v>
      </c>
      <c r="AC2951">
        <v>4</v>
      </c>
      <c r="AD2951" t="s">
        <v>19565</v>
      </c>
      <c r="AE2951" t="s">
        <v>9144</v>
      </c>
      <c r="AF2951">
        <v>3</v>
      </c>
      <c r="AG2951">
        <v>1</v>
      </c>
      <c r="AH2951">
        <v>3</v>
      </c>
      <c r="AI2951">
        <v>98.77</v>
      </c>
      <c r="AL2951" t="s">
        <v>19614</v>
      </c>
      <c r="AM2951">
        <v>24000</v>
      </c>
      <c r="AS2951">
        <v>52.1</v>
      </c>
      <c r="AT2951" t="s">
        <v>328</v>
      </c>
      <c r="AU2951" t="s">
        <v>20636</v>
      </c>
    </row>
    <row r="2952" spans="1:48">
      <c r="A2952" s="1">
        <f>HYPERLINK("https://lsnyc.legalserver.org/matter/dynamic-profile/view/1913619","19-1913619")</f>
        <v>0</v>
      </c>
      <c r="B2952" t="s">
        <v>95</v>
      </c>
      <c r="C2952" t="s">
        <v>256</v>
      </c>
      <c r="D2952" t="s">
        <v>521</v>
      </c>
      <c r="F2952" t="s">
        <v>2385</v>
      </c>
      <c r="G2952" t="s">
        <v>4618</v>
      </c>
      <c r="H2952" t="s">
        <v>7152</v>
      </c>
      <c r="I2952" t="s">
        <v>8197</v>
      </c>
      <c r="J2952" t="s">
        <v>9059</v>
      </c>
      <c r="K2952">
        <v>11208</v>
      </c>
      <c r="L2952" t="s">
        <v>9096</v>
      </c>
      <c r="M2952" t="s">
        <v>9095</v>
      </c>
      <c r="N2952" t="s">
        <v>9144</v>
      </c>
      <c r="O2952" t="s">
        <v>9121</v>
      </c>
      <c r="P2952" t="s">
        <v>11164</v>
      </c>
      <c r="R2952" t="s">
        <v>11180</v>
      </c>
      <c r="S2952" t="s">
        <v>9096</v>
      </c>
      <c r="T2952" t="s">
        <v>11183</v>
      </c>
      <c r="U2952" t="s">
        <v>11201</v>
      </c>
      <c r="V2952" t="s">
        <v>11277</v>
      </c>
      <c r="W2952">
        <v>319</v>
      </c>
      <c r="X2952" t="s">
        <v>11332</v>
      </c>
      <c r="Y2952" t="s">
        <v>11157</v>
      </c>
      <c r="Z2952" t="s">
        <v>13354</v>
      </c>
      <c r="AA2952" t="s">
        <v>15285</v>
      </c>
      <c r="AB2952" t="s">
        <v>17696</v>
      </c>
      <c r="AC2952">
        <v>23</v>
      </c>
      <c r="AD2952" t="s">
        <v>19567</v>
      </c>
      <c r="AE2952" t="s">
        <v>19580</v>
      </c>
      <c r="AF2952">
        <v>6</v>
      </c>
      <c r="AG2952">
        <v>1</v>
      </c>
      <c r="AH2952">
        <v>0</v>
      </c>
      <c r="AI2952">
        <v>98.77</v>
      </c>
      <c r="AL2952" t="s">
        <v>19614</v>
      </c>
      <c r="AM2952">
        <v>12336</v>
      </c>
      <c r="AN2952" t="s">
        <v>19919</v>
      </c>
      <c r="AS2952">
        <v>0.75</v>
      </c>
      <c r="AT2952" t="s">
        <v>521</v>
      </c>
      <c r="AU2952" t="s">
        <v>20668</v>
      </c>
      <c r="AV2952" t="s">
        <v>9144</v>
      </c>
    </row>
    <row r="2953" spans="1:48">
      <c r="A2953" s="1">
        <f>HYPERLINK("https://lsnyc.legalserver.org/matter/dynamic-profile/view/1906165","19-1906165")</f>
        <v>0</v>
      </c>
      <c r="B2953" t="s">
        <v>71</v>
      </c>
      <c r="C2953" t="s">
        <v>256</v>
      </c>
      <c r="D2953" t="s">
        <v>282</v>
      </c>
      <c r="F2953" t="s">
        <v>2386</v>
      </c>
      <c r="G2953" t="s">
        <v>2968</v>
      </c>
      <c r="H2953" t="s">
        <v>7153</v>
      </c>
      <c r="I2953" t="s">
        <v>8680</v>
      </c>
      <c r="J2953" t="s">
        <v>9059</v>
      </c>
      <c r="K2953">
        <v>11233</v>
      </c>
      <c r="L2953" t="s">
        <v>9094</v>
      </c>
      <c r="M2953" t="s">
        <v>9095</v>
      </c>
      <c r="N2953" t="s">
        <v>10246</v>
      </c>
      <c r="O2953" t="s">
        <v>11129</v>
      </c>
      <c r="P2953" t="s">
        <v>11165</v>
      </c>
      <c r="R2953" t="s">
        <v>11180</v>
      </c>
      <c r="S2953" t="s">
        <v>9096</v>
      </c>
      <c r="T2953" t="s">
        <v>11183</v>
      </c>
      <c r="U2953" t="s">
        <v>11199</v>
      </c>
      <c r="V2953" t="s">
        <v>416</v>
      </c>
      <c r="W2953">
        <v>2100</v>
      </c>
      <c r="X2953" t="s">
        <v>11332</v>
      </c>
      <c r="Y2953" t="s">
        <v>11157</v>
      </c>
      <c r="Z2953" t="s">
        <v>13355</v>
      </c>
      <c r="AA2953">
        <v>6659617</v>
      </c>
      <c r="AB2953" t="s">
        <v>17697</v>
      </c>
      <c r="AC2953">
        <v>287</v>
      </c>
      <c r="AD2953" t="s">
        <v>19566</v>
      </c>
      <c r="AE2953" t="s">
        <v>19580</v>
      </c>
      <c r="AF2953">
        <v>3</v>
      </c>
      <c r="AG2953">
        <v>1</v>
      </c>
      <c r="AH2953">
        <v>0</v>
      </c>
      <c r="AI2953">
        <v>98.8</v>
      </c>
      <c r="AL2953" t="s">
        <v>19614</v>
      </c>
      <c r="AM2953">
        <v>12340</v>
      </c>
      <c r="AS2953">
        <v>12.1</v>
      </c>
      <c r="AT2953" t="s">
        <v>612</v>
      </c>
      <c r="AU2953" t="s">
        <v>20627</v>
      </c>
      <c r="AV2953" t="s">
        <v>20733</v>
      </c>
    </row>
    <row r="2954" spans="1:48">
      <c r="A2954" s="1">
        <f>HYPERLINK("https://lsnyc.legalserver.org/matter/dynamic-profile/view/1883248","18-1883248")</f>
        <v>0</v>
      </c>
      <c r="B2954" t="s">
        <v>49</v>
      </c>
      <c r="C2954" t="s">
        <v>256</v>
      </c>
      <c r="D2954" t="s">
        <v>691</v>
      </c>
      <c r="F2954" t="s">
        <v>1245</v>
      </c>
      <c r="G2954" t="s">
        <v>4619</v>
      </c>
      <c r="H2954" t="s">
        <v>7154</v>
      </c>
      <c r="I2954" t="s">
        <v>8302</v>
      </c>
      <c r="J2954" t="s">
        <v>9055</v>
      </c>
      <c r="K2954">
        <v>11355</v>
      </c>
      <c r="L2954" t="s">
        <v>9094</v>
      </c>
      <c r="M2954" t="s">
        <v>9094</v>
      </c>
      <c r="N2954" t="s">
        <v>10247</v>
      </c>
      <c r="O2954" t="s">
        <v>11128</v>
      </c>
      <c r="P2954" t="s">
        <v>11165</v>
      </c>
      <c r="R2954" t="s">
        <v>11180</v>
      </c>
      <c r="S2954" t="s">
        <v>9096</v>
      </c>
      <c r="T2954" t="s">
        <v>11183</v>
      </c>
      <c r="U2954" t="s">
        <v>11201</v>
      </c>
      <c r="V2954" t="s">
        <v>691</v>
      </c>
      <c r="W2954">
        <v>1227.86</v>
      </c>
      <c r="X2954" t="s">
        <v>11331</v>
      </c>
      <c r="Y2954" t="s">
        <v>11336</v>
      </c>
      <c r="Z2954" t="s">
        <v>13356</v>
      </c>
      <c r="AA2954" t="s">
        <v>15748</v>
      </c>
      <c r="AB2954" t="s">
        <v>17698</v>
      </c>
      <c r="AC2954">
        <v>86</v>
      </c>
      <c r="AD2954" t="s">
        <v>19566</v>
      </c>
      <c r="AE2954" t="s">
        <v>9144</v>
      </c>
      <c r="AF2954">
        <v>21</v>
      </c>
      <c r="AG2954">
        <v>1</v>
      </c>
      <c r="AH2954">
        <v>0</v>
      </c>
      <c r="AI2954">
        <v>98.84999999999999</v>
      </c>
      <c r="AL2954" t="s">
        <v>19615</v>
      </c>
      <c r="AM2954">
        <v>12000</v>
      </c>
      <c r="AO2954" t="s">
        <v>20297</v>
      </c>
      <c r="AP2954" t="s">
        <v>20334</v>
      </c>
      <c r="AQ2954" t="s">
        <v>20368</v>
      </c>
      <c r="AR2954" t="s">
        <v>20512</v>
      </c>
      <c r="AS2954">
        <v>58.2</v>
      </c>
      <c r="AT2954" t="s">
        <v>703</v>
      </c>
      <c r="AU2954" t="s">
        <v>81</v>
      </c>
      <c r="AV2954" t="s">
        <v>20733</v>
      </c>
    </row>
    <row r="2955" spans="1:48">
      <c r="A2955" s="1">
        <f>HYPERLINK("https://lsnyc.legalserver.org/matter/dynamic-profile/view/1863476","18-1863476")</f>
        <v>0</v>
      </c>
      <c r="B2955" t="s">
        <v>64</v>
      </c>
      <c r="C2955" t="s">
        <v>257</v>
      </c>
      <c r="D2955" t="s">
        <v>356</v>
      </c>
      <c r="E2955" t="s">
        <v>549</v>
      </c>
      <c r="F2955" t="s">
        <v>1540</v>
      </c>
      <c r="G2955" t="s">
        <v>1145</v>
      </c>
      <c r="H2955" t="s">
        <v>5803</v>
      </c>
      <c r="I2955" t="s">
        <v>8193</v>
      </c>
      <c r="J2955" t="s">
        <v>9059</v>
      </c>
      <c r="K2955">
        <v>11213</v>
      </c>
      <c r="L2955" t="s">
        <v>9096</v>
      </c>
      <c r="M2955" t="s">
        <v>9095</v>
      </c>
      <c r="P2955" t="s">
        <v>11164</v>
      </c>
      <c r="Q2955" t="s">
        <v>11172</v>
      </c>
      <c r="R2955" t="s">
        <v>11180</v>
      </c>
      <c r="T2955" t="s">
        <v>11183</v>
      </c>
      <c r="W2955">
        <v>900</v>
      </c>
      <c r="X2955" t="s">
        <v>11332</v>
      </c>
      <c r="Y2955" t="s">
        <v>11342</v>
      </c>
      <c r="Z2955" t="s">
        <v>11502</v>
      </c>
      <c r="AC2955">
        <v>23</v>
      </c>
      <c r="AF2955">
        <v>10</v>
      </c>
      <c r="AG2955">
        <v>1</v>
      </c>
      <c r="AH2955">
        <v>0</v>
      </c>
      <c r="AI2955">
        <v>98.84999999999999</v>
      </c>
      <c r="AL2955" t="s">
        <v>19614</v>
      </c>
      <c r="AM2955">
        <v>12000</v>
      </c>
      <c r="AS2955">
        <v>1.7</v>
      </c>
      <c r="AT2955" t="s">
        <v>273</v>
      </c>
      <c r="AU2955" t="s">
        <v>20627</v>
      </c>
    </row>
    <row r="2956" spans="1:48">
      <c r="A2956" s="1">
        <f>HYPERLINK("https://lsnyc.legalserver.org/matter/dynamic-profile/view/1877280","18-1877280")</f>
        <v>0</v>
      </c>
      <c r="B2956" t="s">
        <v>76</v>
      </c>
      <c r="C2956" t="s">
        <v>257</v>
      </c>
      <c r="D2956" t="s">
        <v>304</v>
      </c>
      <c r="E2956" t="s">
        <v>329</v>
      </c>
      <c r="F2956" t="s">
        <v>2282</v>
      </c>
      <c r="G2956" t="s">
        <v>1532</v>
      </c>
      <c r="H2956" t="s">
        <v>7155</v>
      </c>
      <c r="I2956" t="s">
        <v>8139</v>
      </c>
      <c r="J2956" t="s">
        <v>9059</v>
      </c>
      <c r="K2956">
        <v>11207</v>
      </c>
      <c r="L2956" t="s">
        <v>9094</v>
      </c>
      <c r="M2956" t="s">
        <v>9095</v>
      </c>
      <c r="O2956" t="s">
        <v>9121</v>
      </c>
      <c r="P2956" t="s">
        <v>11164</v>
      </c>
      <c r="Q2956" t="s">
        <v>11172</v>
      </c>
      <c r="R2956" t="s">
        <v>11180</v>
      </c>
      <c r="S2956" t="s">
        <v>9096</v>
      </c>
      <c r="T2956" t="s">
        <v>11183</v>
      </c>
      <c r="V2956" t="s">
        <v>304</v>
      </c>
      <c r="W2956">
        <v>1050.19</v>
      </c>
      <c r="X2956" t="s">
        <v>11332</v>
      </c>
      <c r="Y2956" t="s">
        <v>11338</v>
      </c>
      <c r="Z2956" t="s">
        <v>13357</v>
      </c>
      <c r="AB2956" t="s">
        <v>17699</v>
      </c>
      <c r="AC2956">
        <v>66</v>
      </c>
      <c r="AD2956" t="s">
        <v>19566</v>
      </c>
      <c r="AE2956" t="s">
        <v>19580</v>
      </c>
      <c r="AF2956">
        <v>14</v>
      </c>
      <c r="AG2956">
        <v>1</v>
      </c>
      <c r="AH2956">
        <v>0</v>
      </c>
      <c r="AI2956">
        <v>98.84999999999999</v>
      </c>
      <c r="AL2956" t="s">
        <v>19614</v>
      </c>
      <c r="AM2956">
        <v>12000</v>
      </c>
      <c r="AN2956" t="s">
        <v>19920</v>
      </c>
      <c r="AS2956">
        <v>1.7</v>
      </c>
      <c r="AT2956" t="s">
        <v>511</v>
      </c>
      <c r="AU2956" t="s">
        <v>95</v>
      </c>
      <c r="AV2956" t="s">
        <v>9144</v>
      </c>
    </row>
    <row r="2957" spans="1:48">
      <c r="A2957" s="1">
        <f>HYPERLINK("https://lsnyc.legalserver.org/matter/dynamic-profile/view/1897745","19-1897745")</f>
        <v>0</v>
      </c>
      <c r="B2957" t="s">
        <v>136</v>
      </c>
      <c r="C2957" t="s">
        <v>256</v>
      </c>
      <c r="D2957" t="s">
        <v>291</v>
      </c>
      <c r="F2957" t="s">
        <v>1949</v>
      </c>
      <c r="G2957" t="s">
        <v>4126</v>
      </c>
      <c r="H2957" t="s">
        <v>6596</v>
      </c>
      <c r="I2957" t="s">
        <v>8176</v>
      </c>
      <c r="J2957" t="s">
        <v>9067</v>
      </c>
      <c r="K2957">
        <v>10035</v>
      </c>
      <c r="L2957" t="s">
        <v>9094</v>
      </c>
      <c r="M2957" t="s">
        <v>9094</v>
      </c>
      <c r="O2957" t="s">
        <v>9121</v>
      </c>
      <c r="P2957" t="s">
        <v>11167</v>
      </c>
      <c r="R2957" t="s">
        <v>11180</v>
      </c>
      <c r="S2957" t="s">
        <v>9094</v>
      </c>
      <c r="T2957" t="s">
        <v>11183</v>
      </c>
      <c r="U2957" t="s">
        <v>11201</v>
      </c>
      <c r="V2957" t="s">
        <v>317</v>
      </c>
      <c r="W2957">
        <v>1350</v>
      </c>
      <c r="X2957" t="s">
        <v>11335</v>
      </c>
      <c r="Y2957" t="s">
        <v>11350</v>
      </c>
      <c r="Z2957" t="s">
        <v>12492</v>
      </c>
      <c r="AB2957" t="s">
        <v>16892</v>
      </c>
      <c r="AC2957">
        <v>60</v>
      </c>
      <c r="AD2957" t="s">
        <v>19566</v>
      </c>
      <c r="AE2957" t="s">
        <v>9144</v>
      </c>
      <c r="AF2957">
        <v>7</v>
      </c>
      <c r="AG2957">
        <v>2</v>
      </c>
      <c r="AH2957">
        <v>4</v>
      </c>
      <c r="AI2957">
        <v>98.87</v>
      </c>
      <c r="AL2957" t="s">
        <v>19614</v>
      </c>
      <c r="AM2957">
        <v>34200</v>
      </c>
      <c r="AS2957">
        <v>0</v>
      </c>
      <c r="AU2957" t="s">
        <v>20657</v>
      </c>
    </row>
    <row r="2958" spans="1:48">
      <c r="A2958" s="1">
        <f>HYPERLINK("https://lsnyc.legalserver.org/matter/dynamic-profile/view/1907582","19-1907582")</f>
        <v>0</v>
      </c>
      <c r="B2958" t="s">
        <v>132</v>
      </c>
      <c r="C2958" t="s">
        <v>256</v>
      </c>
      <c r="D2958" t="s">
        <v>416</v>
      </c>
      <c r="F2958" t="s">
        <v>1152</v>
      </c>
      <c r="G2958" t="s">
        <v>4620</v>
      </c>
      <c r="H2958" t="s">
        <v>7156</v>
      </c>
      <c r="I2958" t="s">
        <v>8168</v>
      </c>
      <c r="J2958" t="s">
        <v>9067</v>
      </c>
      <c r="K2958">
        <v>10034</v>
      </c>
      <c r="L2958" t="s">
        <v>9094</v>
      </c>
      <c r="M2958" t="s">
        <v>9095</v>
      </c>
      <c r="O2958" t="s">
        <v>11136</v>
      </c>
      <c r="P2958" t="s">
        <v>11164</v>
      </c>
      <c r="R2958" t="s">
        <v>11180</v>
      </c>
      <c r="S2958" t="s">
        <v>9096</v>
      </c>
      <c r="T2958" t="s">
        <v>11183</v>
      </c>
      <c r="V2958" t="s">
        <v>416</v>
      </c>
      <c r="W2958">
        <v>857.51</v>
      </c>
      <c r="X2958" t="s">
        <v>11335</v>
      </c>
      <c r="Y2958" t="s">
        <v>11351</v>
      </c>
      <c r="Z2958" t="s">
        <v>13358</v>
      </c>
      <c r="AB2958" t="s">
        <v>17700</v>
      </c>
      <c r="AC2958">
        <v>22</v>
      </c>
      <c r="AD2958" t="s">
        <v>19566</v>
      </c>
      <c r="AE2958" t="s">
        <v>9144</v>
      </c>
      <c r="AF2958">
        <v>41</v>
      </c>
      <c r="AG2958">
        <v>1</v>
      </c>
      <c r="AH2958">
        <v>0</v>
      </c>
      <c r="AI2958">
        <v>98.95999999999999</v>
      </c>
      <c r="AL2958" t="s">
        <v>19615</v>
      </c>
      <c r="AM2958">
        <v>12360</v>
      </c>
      <c r="AS2958">
        <v>10.2</v>
      </c>
      <c r="AT2958" t="s">
        <v>594</v>
      </c>
      <c r="AU2958" t="s">
        <v>130</v>
      </c>
      <c r="AV2958" t="s">
        <v>20733</v>
      </c>
    </row>
    <row r="2959" spans="1:48">
      <c r="A2959" s="1">
        <f>HYPERLINK("https://lsnyc.legalserver.org/matter/dynamic-profile/view/1878687","18-1878687")</f>
        <v>0</v>
      </c>
      <c r="B2959" t="s">
        <v>83</v>
      </c>
      <c r="C2959" t="s">
        <v>256</v>
      </c>
      <c r="D2959" t="s">
        <v>346</v>
      </c>
      <c r="F2959" t="s">
        <v>1616</v>
      </c>
      <c r="G2959" t="s">
        <v>4621</v>
      </c>
      <c r="H2959" t="s">
        <v>7157</v>
      </c>
      <c r="I2959" t="s">
        <v>8209</v>
      </c>
      <c r="J2959" t="s">
        <v>9059</v>
      </c>
      <c r="K2959">
        <v>11226</v>
      </c>
      <c r="L2959" t="s">
        <v>9094</v>
      </c>
      <c r="M2959" t="s">
        <v>9094</v>
      </c>
      <c r="O2959" t="s">
        <v>11130</v>
      </c>
      <c r="P2959" t="s">
        <v>11165</v>
      </c>
      <c r="R2959" t="s">
        <v>11180</v>
      </c>
      <c r="T2959" t="s">
        <v>11183</v>
      </c>
      <c r="V2959" t="s">
        <v>697</v>
      </c>
      <c r="W2959">
        <v>0</v>
      </c>
      <c r="X2959" t="s">
        <v>11332</v>
      </c>
      <c r="Z2959" t="s">
        <v>13359</v>
      </c>
      <c r="AC2959">
        <v>48</v>
      </c>
      <c r="AD2959" t="s">
        <v>19566</v>
      </c>
      <c r="AF2959">
        <v>0</v>
      </c>
      <c r="AG2959">
        <v>3</v>
      </c>
      <c r="AH2959">
        <v>0</v>
      </c>
      <c r="AI2959">
        <v>99.13</v>
      </c>
      <c r="AL2959" t="s">
        <v>19620</v>
      </c>
      <c r="AM2959">
        <v>20600</v>
      </c>
      <c r="AS2959">
        <v>26.6</v>
      </c>
      <c r="AT2959" t="s">
        <v>274</v>
      </c>
      <c r="AU2959" t="s">
        <v>67</v>
      </c>
    </row>
    <row r="2960" spans="1:48">
      <c r="A2960" s="1">
        <f>HYPERLINK("https://lsnyc.legalserver.org/matter/dynamic-profile/view/0804116","16-0804116")</f>
        <v>0</v>
      </c>
      <c r="B2960" t="s">
        <v>58</v>
      </c>
      <c r="C2960" t="s">
        <v>256</v>
      </c>
      <c r="D2960" t="s">
        <v>979</v>
      </c>
      <c r="F2960" t="s">
        <v>2387</v>
      </c>
      <c r="G2960" t="s">
        <v>3650</v>
      </c>
      <c r="H2960" t="s">
        <v>7158</v>
      </c>
      <c r="I2960" t="s">
        <v>8681</v>
      </c>
      <c r="J2960" t="s">
        <v>9059</v>
      </c>
      <c r="K2960">
        <v>11225</v>
      </c>
      <c r="L2960" t="s">
        <v>9094</v>
      </c>
      <c r="M2960" t="s">
        <v>9095</v>
      </c>
      <c r="N2960" t="s">
        <v>9493</v>
      </c>
      <c r="O2960" t="s">
        <v>11132</v>
      </c>
      <c r="P2960" t="s">
        <v>11165</v>
      </c>
      <c r="R2960" t="s">
        <v>11180</v>
      </c>
      <c r="S2960" t="s">
        <v>9094</v>
      </c>
      <c r="T2960" t="s">
        <v>11183</v>
      </c>
      <c r="V2960" t="s">
        <v>837</v>
      </c>
      <c r="W2960">
        <v>1129</v>
      </c>
      <c r="X2960" t="s">
        <v>11332</v>
      </c>
      <c r="Y2960" t="s">
        <v>11346</v>
      </c>
      <c r="Z2960" t="s">
        <v>13360</v>
      </c>
      <c r="AC2960">
        <v>8</v>
      </c>
      <c r="AD2960" t="s">
        <v>19566</v>
      </c>
      <c r="AF2960">
        <v>34</v>
      </c>
      <c r="AG2960">
        <v>2</v>
      </c>
      <c r="AH2960">
        <v>0</v>
      </c>
      <c r="AI2960">
        <v>99.33</v>
      </c>
      <c r="AL2960" t="s">
        <v>19614</v>
      </c>
      <c r="AM2960">
        <v>15912</v>
      </c>
      <c r="AS2960">
        <v>0.9</v>
      </c>
      <c r="AT2960" t="s">
        <v>953</v>
      </c>
      <c r="AU2960" t="s">
        <v>20626</v>
      </c>
    </row>
    <row r="2961" spans="1:48">
      <c r="A2961" s="1">
        <f>HYPERLINK("https://lsnyc.legalserver.org/matter/dynamic-profile/view/0823855","17-0823855")</f>
        <v>0</v>
      </c>
      <c r="B2961" t="s">
        <v>155</v>
      </c>
      <c r="C2961" t="s">
        <v>256</v>
      </c>
      <c r="D2961" t="s">
        <v>980</v>
      </c>
      <c r="F2961" t="s">
        <v>2387</v>
      </c>
      <c r="G2961" t="s">
        <v>3650</v>
      </c>
      <c r="H2961" t="s">
        <v>7158</v>
      </c>
      <c r="I2961" t="s">
        <v>8681</v>
      </c>
      <c r="J2961" t="s">
        <v>9059</v>
      </c>
      <c r="K2961">
        <v>11225</v>
      </c>
      <c r="L2961" t="s">
        <v>9095</v>
      </c>
      <c r="M2961" t="s">
        <v>9095</v>
      </c>
      <c r="P2961" t="s">
        <v>11166</v>
      </c>
      <c r="R2961" t="s">
        <v>11180</v>
      </c>
      <c r="S2961" t="s">
        <v>9096</v>
      </c>
      <c r="T2961" t="s">
        <v>11183</v>
      </c>
      <c r="V2961" t="s">
        <v>979</v>
      </c>
      <c r="W2961">
        <v>1129</v>
      </c>
      <c r="X2961" t="s">
        <v>11332</v>
      </c>
      <c r="Y2961" t="s">
        <v>11346</v>
      </c>
      <c r="Z2961" t="s">
        <v>13360</v>
      </c>
      <c r="AC2961">
        <v>8</v>
      </c>
      <c r="AD2961" t="s">
        <v>19566</v>
      </c>
      <c r="AF2961">
        <v>34</v>
      </c>
      <c r="AG2961">
        <v>2</v>
      </c>
      <c r="AH2961">
        <v>0</v>
      </c>
      <c r="AI2961">
        <v>99.33</v>
      </c>
      <c r="AL2961" t="s">
        <v>19614</v>
      </c>
      <c r="AM2961">
        <v>15912</v>
      </c>
      <c r="AS2961">
        <v>0</v>
      </c>
      <c r="AU2961" t="s">
        <v>20636</v>
      </c>
    </row>
    <row r="2962" spans="1:48">
      <c r="A2962" s="1">
        <f>HYPERLINK("https://lsnyc.legalserver.org/matter/dynamic-profile/view/1896785","19-1896785")</f>
        <v>0</v>
      </c>
      <c r="B2962" t="s">
        <v>72</v>
      </c>
      <c r="C2962" t="s">
        <v>256</v>
      </c>
      <c r="D2962" t="s">
        <v>546</v>
      </c>
      <c r="F2962" t="s">
        <v>2088</v>
      </c>
      <c r="G2962" t="s">
        <v>3427</v>
      </c>
      <c r="H2962" t="s">
        <v>7159</v>
      </c>
      <c r="I2962" t="s">
        <v>8212</v>
      </c>
      <c r="J2962" t="s">
        <v>9059</v>
      </c>
      <c r="K2962">
        <v>11212</v>
      </c>
      <c r="L2962" t="s">
        <v>9094</v>
      </c>
      <c r="M2962" t="s">
        <v>9095</v>
      </c>
      <c r="N2962" t="s">
        <v>10248</v>
      </c>
      <c r="O2962" t="s">
        <v>11129</v>
      </c>
      <c r="P2962" t="s">
        <v>11165</v>
      </c>
      <c r="R2962" t="s">
        <v>11180</v>
      </c>
      <c r="S2962" t="s">
        <v>9096</v>
      </c>
      <c r="T2962" t="s">
        <v>11183</v>
      </c>
      <c r="V2962" t="s">
        <v>614</v>
      </c>
      <c r="W2962">
        <v>1135.26</v>
      </c>
      <c r="X2962" t="s">
        <v>11332</v>
      </c>
      <c r="Y2962" t="s">
        <v>11346</v>
      </c>
      <c r="Z2962" t="s">
        <v>13361</v>
      </c>
      <c r="AB2962" t="s">
        <v>17701</v>
      </c>
      <c r="AC2962">
        <v>44</v>
      </c>
      <c r="AD2962" t="s">
        <v>15441</v>
      </c>
      <c r="AE2962" t="s">
        <v>19588</v>
      </c>
      <c r="AF2962">
        <v>2</v>
      </c>
      <c r="AG2962">
        <v>1</v>
      </c>
      <c r="AH2962">
        <v>0</v>
      </c>
      <c r="AI2962">
        <v>99.34</v>
      </c>
      <c r="AL2962" t="s">
        <v>19614</v>
      </c>
      <c r="AM2962">
        <v>12408</v>
      </c>
      <c r="AS2962">
        <v>10.55</v>
      </c>
      <c r="AT2962" t="s">
        <v>293</v>
      </c>
      <c r="AU2962" t="s">
        <v>20632</v>
      </c>
      <c r="AV2962" t="s">
        <v>20733</v>
      </c>
    </row>
    <row r="2963" spans="1:48">
      <c r="A2963" s="1">
        <f>HYPERLINK("https://lsnyc.legalserver.org/matter/dynamic-profile/view/1909957","19-1909957")</f>
        <v>0</v>
      </c>
      <c r="B2963" t="s">
        <v>117</v>
      </c>
      <c r="C2963" t="s">
        <v>256</v>
      </c>
      <c r="D2963" t="s">
        <v>472</v>
      </c>
      <c r="F2963" t="s">
        <v>1227</v>
      </c>
      <c r="G2963" t="s">
        <v>4622</v>
      </c>
      <c r="H2963" t="s">
        <v>7160</v>
      </c>
      <c r="I2963">
        <v>7</v>
      </c>
      <c r="J2963" t="s">
        <v>9065</v>
      </c>
      <c r="K2963">
        <v>10454</v>
      </c>
      <c r="L2963" t="s">
        <v>9094</v>
      </c>
      <c r="M2963" t="s">
        <v>9095</v>
      </c>
      <c r="P2963" t="s">
        <v>11164</v>
      </c>
      <c r="R2963" t="s">
        <v>11180</v>
      </c>
      <c r="S2963" t="s">
        <v>9096</v>
      </c>
      <c r="T2963" t="s">
        <v>11183</v>
      </c>
      <c r="W2963">
        <v>500</v>
      </c>
      <c r="X2963" t="s">
        <v>11333</v>
      </c>
      <c r="Y2963" t="s">
        <v>11346</v>
      </c>
      <c r="Z2963" t="s">
        <v>13362</v>
      </c>
      <c r="AB2963" t="s">
        <v>17702</v>
      </c>
      <c r="AC2963">
        <v>1</v>
      </c>
      <c r="AD2963" t="s">
        <v>19579</v>
      </c>
      <c r="AE2963" t="s">
        <v>9144</v>
      </c>
      <c r="AF2963">
        <v>14</v>
      </c>
      <c r="AG2963">
        <v>1</v>
      </c>
      <c r="AH2963">
        <v>0</v>
      </c>
      <c r="AI2963">
        <v>99.34</v>
      </c>
      <c r="AL2963" t="s">
        <v>19614</v>
      </c>
      <c r="AM2963">
        <v>12408</v>
      </c>
      <c r="AS2963">
        <v>1.5</v>
      </c>
      <c r="AT2963" t="s">
        <v>292</v>
      </c>
      <c r="AU2963" t="s">
        <v>163</v>
      </c>
      <c r="AV2963" t="s">
        <v>20733</v>
      </c>
    </row>
    <row r="2964" spans="1:48">
      <c r="A2964" s="1">
        <f>HYPERLINK("https://lsnyc.legalserver.org/matter/dynamic-profile/view/1903749","19-1903749")</f>
        <v>0</v>
      </c>
      <c r="B2964" t="s">
        <v>86</v>
      </c>
      <c r="C2964" t="s">
        <v>256</v>
      </c>
      <c r="D2964" t="s">
        <v>706</v>
      </c>
      <c r="F2964" t="s">
        <v>1227</v>
      </c>
      <c r="G2964" t="s">
        <v>3905</v>
      </c>
      <c r="H2964" t="s">
        <v>7032</v>
      </c>
      <c r="I2964" t="s">
        <v>8267</v>
      </c>
      <c r="J2964" t="s">
        <v>9059</v>
      </c>
      <c r="K2964">
        <v>11220</v>
      </c>
      <c r="L2964" t="s">
        <v>9094</v>
      </c>
      <c r="M2964" t="s">
        <v>9095</v>
      </c>
      <c r="O2964" t="s">
        <v>11130</v>
      </c>
      <c r="P2964" t="s">
        <v>11165</v>
      </c>
      <c r="R2964" t="s">
        <v>11180</v>
      </c>
      <c r="S2964" t="s">
        <v>9094</v>
      </c>
      <c r="T2964" t="s">
        <v>11183</v>
      </c>
      <c r="V2964" t="s">
        <v>706</v>
      </c>
      <c r="W2964">
        <v>1375</v>
      </c>
      <c r="X2964" t="s">
        <v>11332</v>
      </c>
      <c r="Z2964" t="s">
        <v>13363</v>
      </c>
      <c r="AB2964" t="s">
        <v>17703</v>
      </c>
      <c r="AC2964">
        <v>54</v>
      </c>
      <c r="AF2964">
        <v>16</v>
      </c>
      <c r="AG2964">
        <v>2</v>
      </c>
      <c r="AH2964">
        <v>0</v>
      </c>
      <c r="AI2964">
        <v>99.34999999999999</v>
      </c>
      <c r="AL2964" t="s">
        <v>19614</v>
      </c>
      <c r="AM2964">
        <v>16800</v>
      </c>
      <c r="AS2964">
        <v>0.7</v>
      </c>
      <c r="AT2964" t="s">
        <v>312</v>
      </c>
      <c r="AU2964" t="s">
        <v>215</v>
      </c>
      <c r="AV2964" t="s">
        <v>20733</v>
      </c>
    </row>
    <row r="2965" spans="1:48">
      <c r="A2965" s="1">
        <f>HYPERLINK("https://lsnyc.legalserver.org/matter/dynamic-profile/view/1891393","19-1891393")</f>
        <v>0</v>
      </c>
      <c r="B2965" t="s">
        <v>103</v>
      </c>
      <c r="C2965" t="s">
        <v>256</v>
      </c>
      <c r="D2965" t="s">
        <v>543</v>
      </c>
      <c r="F2965" t="s">
        <v>2388</v>
      </c>
      <c r="G2965" t="s">
        <v>3448</v>
      </c>
      <c r="H2965" t="s">
        <v>5887</v>
      </c>
      <c r="I2965" t="s">
        <v>8575</v>
      </c>
      <c r="J2965" t="s">
        <v>9065</v>
      </c>
      <c r="K2965">
        <v>10453</v>
      </c>
      <c r="L2965" t="s">
        <v>9094</v>
      </c>
      <c r="M2965" t="s">
        <v>9094</v>
      </c>
      <c r="O2965" t="s">
        <v>11134</v>
      </c>
      <c r="P2965" t="s">
        <v>11168</v>
      </c>
      <c r="R2965" t="s">
        <v>11180</v>
      </c>
      <c r="S2965" t="s">
        <v>9094</v>
      </c>
      <c r="T2965" t="s">
        <v>11183</v>
      </c>
      <c r="V2965" t="s">
        <v>512</v>
      </c>
      <c r="W2965">
        <v>900</v>
      </c>
      <c r="X2965" t="s">
        <v>11333</v>
      </c>
      <c r="Y2965" t="s">
        <v>11346</v>
      </c>
      <c r="Z2965" t="s">
        <v>13364</v>
      </c>
      <c r="AB2965" t="s">
        <v>17704</v>
      </c>
      <c r="AC2965">
        <v>170</v>
      </c>
      <c r="AD2965" t="s">
        <v>19566</v>
      </c>
      <c r="AE2965" t="s">
        <v>9144</v>
      </c>
      <c r="AF2965">
        <v>12</v>
      </c>
      <c r="AG2965">
        <v>2</v>
      </c>
      <c r="AH2965">
        <v>0</v>
      </c>
      <c r="AI2965">
        <v>99.34999999999999</v>
      </c>
      <c r="AL2965" t="s">
        <v>19614</v>
      </c>
      <c r="AM2965">
        <v>16800</v>
      </c>
      <c r="AS2965">
        <v>0</v>
      </c>
      <c r="AU2965" t="s">
        <v>163</v>
      </c>
    </row>
    <row r="2966" spans="1:48">
      <c r="A2966" s="1">
        <f>HYPERLINK("https://lsnyc.legalserver.org/matter/dynamic-profile/view/1904965","19-1904965")</f>
        <v>0</v>
      </c>
      <c r="B2966" t="s">
        <v>103</v>
      </c>
      <c r="C2966" t="s">
        <v>256</v>
      </c>
      <c r="D2966" t="s">
        <v>660</v>
      </c>
      <c r="F2966" t="s">
        <v>2388</v>
      </c>
      <c r="G2966" t="s">
        <v>3448</v>
      </c>
      <c r="H2966" t="s">
        <v>5887</v>
      </c>
      <c r="I2966" t="s">
        <v>8575</v>
      </c>
      <c r="J2966" t="s">
        <v>9065</v>
      </c>
      <c r="K2966">
        <v>10453</v>
      </c>
      <c r="L2966" t="s">
        <v>9094</v>
      </c>
      <c r="M2966" t="s">
        <v>9095</v>
      </c>
      <c r="N2966" t="s">
        <v>9239</v>
      </c>
      <c r="O2966" t="s">
        <v>11134</v>
      </c>
      <c r="P2966" t="s">
        <v>11168</v>
      </c>
      <c r="R2966" t="s">
        <v>11180</v>
      </c>
      <c r="S2966" t="s">
        <v>9094</v>
      </c>
      <c r="T2966" t="s">
        <v>11183</v>
      </c>
      <c r="V2966" t="s">
        <v>1061</v>
      </c>
      <c r="W2966">
        <v>900</v>
      </c>
      <c r="X2966" t="s">
        <v>11333</v>
      </c>
      <c r="Y2966" t="s">
        <v>11346</v>
      </c>
      <c r="Z2966" t="s">
        <v>13364</v>
      </c>
      <c r="AB2966" t="s">
        <v>17704</v>
      </c>
      <c r="AC2966">
        <v>170</v>
      </c>
      <c r="AD2966" t="s">
        <v>19566</v>
      </c>
      <c r="AE2966" t="s">
        <v>9144</v>
      </c>
      <c r="AF2966">
        <v>12</v>
      </c>
      <c r="AG2966">
        <v>2</v>
      </c>
      <c r="AH2966">
        <v>0</v>
      </c>
      <c r="AI2966">
        <v>99.34999999999999</v>
      </c>
      <c r="AL2966" t="s">
        <v>19614</v>
      </c>
      <c r="AM2966">
        <v>16800</v>
      </c>
      <c r="AS2966">
        <v>0</v>
      </c>
      <c r="AU2966" t="s">
        <v>220</v>
      </c>
      <c r="AV2966" t="s">
        <v>20733</v>
      </c>
    </row>
    <row r="2967" spans="1:48">
      <c r="A2967" s="1">
        <f>HYPERLINK("https://lsnyc.legalserver.org/matter/dynamic-profile/view/1904966","19-1904966")</f>
        <v>0</v>
      </c>
      <c r="B2967" t="s">
        <v>103</v>
      </c>
      <c r="C2967" t="s">
        <v>256</v>
      </c>
      <c r="D2967" t="s">
        <v>660</v>
      </c>
      <c r="F2967" t="s">
        <v>2388</v>
      </c>
      <c r="G2967" t="s">
        <v>3448</v>
      </c>
      <c r="H2967" t="s">
        <v>5887</v>
      </c>
      <c r="I2967" t="s">
        <v>8575</v>
      </c>
      <c r="J2967" t="s">
        <v>9065</v>
      </c>
      <c r="K2967">
        <v>10453</v>
      </c>
      <c r="L2967" t="s">
        <v>9094</v>
      </c>
      <c r="M2967" t="s">
        <v>9095</v>
      </c>
      <c r="N2967" t="s">
        <v>9240</v>
      </c>
      <c r="O2967" t="s">
        <v>11134</v>
      </c>
      <c r="P2967" t="s">
        <v>11168</v>
      </c>
      <c r="R2967" t="s">
        <v>11180</v>
      </c>
      <c r="S2967" t="s">
        <v>9094</v>
      </c>
      <c r="T2967" t="s">
        <v>11183</v>
      </c>
      <c r="V2967" t="s">
        <v>422</v>
      </c>
      <c r="W2967">
        <v>900</v>
      </c>
      <c r="X2967" t="s">
        <v>11333</v>
      </c>
      <c r="Y2967" t="s">
        <v>11346</v>
      </c>
      <c r="Z2967" t="s">
        <v>13364</v>
      </c>
      <c r="AB2967" t="s">
        <v>17704</v>
      </c>
      <c r="AC2967">
        <v>170</v>
      </c>
      <c r="AD2967" t="s">
        <v>19566</v>
      </c>
      <c r="AE2967" t="s">
        <v>9144</v>
      </c>
      <c r="AF2967">
        <v>12</v>
      </c>
      <c r="AG2967">
        <v>2</v>
      </c>
      <c r="AH2967">
        <v>0</v>
      </c>
      <c r="AI2967">
        <v>99.34999999999999</v>
      </c>
      <c r="AL2967" t="s">
        <v>19614</v>
      </c>
      <c r="AM2967">
        <v>16800</v>
      </c>
      <c r="AS2967">
        <v>0</v>
      </c>
      <c r="AU2967" t="s">
        <v>220</v>
      </c>
      <c r="AV2967" t="s">
        <v>20733</v>
      </c>
    </row>
    <row r="2968" spans="1:48">
      <c r="A2968" s="1">
        <f>HYPERLINK("https://lsnyc.legalserver.org/matter/dynamic-profile/view/1891395","19-1891395")</f>
        <v>0</v>
      </c>
      <c r="B2968" t="s">
        <v>103</v>
      </c>
      <c r="C2968" t="s">
        <v>256</v>
      </c>
      <c r="D2968" t="s">
        <v>543</v>
      </c>
      <c r="F2968" t="s">
        <v>2388</v>
      </c>
      <c r="G2968" t="s">
        <v>3448</v>
      </c>
      <c r="H2968" t="s">
        <v>5887</v>
      </c>
      <c r="I2968" t="s">
        <v>8575</v>
      </c>
      <c r="J2968" t="s">
        <v>9065</v>
      </c>
      <c r="K2968">
        <v>10453</v>
      </c>
      <c r="L2968" t="s">
        <v>9094</v>
      </c>
      <c r="M2968" t="s">
        <v>9094</v>
      </c>
      <c r="N2968" t="s">
        <v>9352</v>
      </c>
      <c r="O2968" t="s">
        <v>11130</v>
      </c>
      <c r="P2968" t="s">
        <v>11165</v>
      </c>
      <c r="R2968" t="s">
        <v>11180</v>
      </c>
      <c r="S2968" t="s">
        <v>9094</v>
      </c>
      <c r="T2968" t="s">
        <v>11183</v>
      </c>
      <c r="V2968" t="s">
        <v>512</v>
      </c>
      <c r="W2968">
        <v>900</v>
      </c>
      <c r="X2968" t="s">
        <v>11333</v>
      </c>
      <c r="Y2968" t="s">
        <v>11346</v>
      </c>
      <c r="Z2968" t="s">
        <v>13364</v>
      </c>
      <c r="AB2968" t="s">
        <v>17704</v>
      </c>
      <c r="AC2968">
        <v>170</v>
      </c>
      <c r="AD2968" t="s">
        <v>19566</v>
      </c>
      <c r="AE2968" t="s">
        <v>9144</v>
      </c>
      <c r="AF2968">
        <v>12</v>
      </c>
      <c r="AG2968">
        <v>2</v>
      </c>
      <c r="AH2968">
        <v>0</v>
      </c>
      <c r="AI2968">
        <v>99.34999999999999</v>
      </c>
      <c r="AL2968" t="s">
        <v>19614</v>
      </c>
      <c r="AM2968">
        <v>16800</v>
      </c>
      <c r="AS2968">
        <v>0</v>
      </c>
      <c r="AU2968" t="s">
        <v>163</v>
      </c>
    </row>
    <row r="2969" spans="1:48">
      <c r="A2969" s="1">
        <f>HYPERLINK("https://lsnyc.legalserver.org/matter/dynamic-profile/view/0812483","16-0812483")</f>
        <v>0</v>
      </c>
      <c r="B2969" t="s">
        <v>97</v>
      </c>
      <c r="C2969" t="s">
        <v>256</v>
      </c>
      <c r="D2969" t="s">
        <v>883</v>
      </c>
      <c r="F2969" t="s">
        <v>2389</v>
      </c>
      <c r="G2969" t="s">
        <v>3551</v>
      </c>
      <c r="H2969" t="s">
        <v>7161</v>
      </c>
      <c r="I2969" t="s">
        <v>8117</v>
      </c>
      <c r="J2969" t="s">
        <v>9059</v>
      </c>
      <c r="K2969">
        <v>11233</v>
      </c>
      <c r="L2969" t="s">
        <v>9096</v>
      </c>
      <c r="M2969" t="s">
        <v>9095</v>
      </c>
      <c r="N2969" t="s">
        <v>10249</v>
      </c>
      <c r="O2969" t="s">
        <v>11128</v>
      </c>
      <c r="P2969" t="s">
        <v>11165</v>
      </c>
      <c r="R2969" t="s">
        <v>11180</v>
      </c>
      <c r="S2969" t="s">
        <v>9094</v>
      </c>
      <c r="T2969" t="s">
        <v>11183</v>
      </c>
      <c r="V2969" t="s">
        <v>643</v>
      </c>
      <c r="W2969">
        <v>484</v>
      </c>
      <c r="X2969" t="s">
        <v>11332</v>
      </c>
      <c r="Y2969" t="s">
        <v>11343</v>
      </c>
      <c r="Z2969" t="s">
        <v>13365</v>
      </c>
      <c r="AB2969" t="s">
        <v>17705</v>
      </c>
      <c r="AC2969">
        <v>6</v>
      </c>
      <c r="AD2969" t="s">
        <v>19566</v>
      </c>
      <c r="AE2969" t="s">
        <v>9144</v>
      </c>
      <c r="AF2969">
        <v>1</v>
      </c>
      <c r="AG2969">
        <v>3</v>
      </c>
      <c r="AH2969">
        <v>0</v>
      </c>
      <c r="AI2969">
        <v>99.37</v>
      </c>
      <c r="AL2969" t="s">
        <v>19614</v>
      </c>
      <c r="AM2969">
        <v>20032</v>
      </c>
      <c r="AN2969" t="s">
        <v>19921</v>
      </c>
      <c r="AS2969">
        <v>313.26</v>
      </c>
      <c r="AT2969" t="s">
        <v>767</v>
      </c>
      <c r="AU2969" t="s">
        <v>95</v>
      </c>
    </row>
    <row r="2970" spans="1:48">
      <c r="A2970" s="1">
        <f>HYPERLINK("https://lsnyc.legalserver.org/matter/dynamic-profile/view/1863635","18-1863635")</f>
        <v>0</v>
      </c>
      <c r="B2970" t="s">
        <v>176</v>
      </c>
      <c r="C2970" t="s">
        <v>256</v>
      </c>
      <c r="D2970" t="s">
        <v>651</v>
      </c>
      <c r="F2970" t="s">
        <v>1323</v>
      </c>
      <c r="G2970" t="s">
        <v>4623</v>
      </c>
      <c r="H2970" t="s">
        <v>7162</v>
      </c>
      <c r="I2970" t="s">
        <v>8229</v>
      </c>
      <c r="J2970" t="s">
        <v>9065</v>
      </c>
      <c r="K2970">
        <v>10472</v>
      </c>
      <c r="L2970" t="s">
        <v>9094</v>
      </c>
      <c r="M2970" t="s">
        <v>9095</v>
      </c>
      <c r="O2970" t="s">
        <v>11161</v>
      </c>
      <c r="P2970" t="s">
        <v>11166</v>
      </c>
      <c r="R2970" t="s">
        <v>11180</v>
      </c>
      <c r="T2970" t="s">
        <v>11190</v>
      </c>
      <c r="V2970" t="s">
        <v>675</v>
      </c>
      <c r="W2970">
        <v>1108.87</v>
      </c>
      <c r="X2970" t="s">
        <v>11333</v>
      </c>
      <c r="Y2970" t="s">
        <v>11347</v>
      </c>
      <c r="Z2970" t="s">
        <v>13366</v>
      </c>
      <c r="AA2970" t="s">
        <v>15749</v>
      </c>
      <c r="AB2970" t="s">
        <v>17706</v>
      </c>
      <c r="AC2970">
        <v>0</v>
      </c>
      <c r="AD2970" t="s">
        <v>19566</v>
      </c>
      <c r="AE2970" t="s">
        <v>19580</v>
      </c>
      <c r="AF2970">
        <v>7</v>
      </c>
      <c r="AG2970">
        <v>1</v>
      </c>
      <c r="AH2970">
        <v>4</v>
      </c>
      <c r="AI2970">
        <v>99.42</v>
      </c>
      <c r="AL2970" t="s">
        <v>19614</v>
      </c>
      <c r="AM2970">
        <v>29249.76</v>
      </c>
      <c r="AS2970">
        <v>11.6</v>
      </c>
      <c r="AT2970" t="s">
        <v>570</v>
      </c>
      <c r="AU2970" t="s">
        <v>20647</v>
      </c>
    </row>
    <row r="2971" spans="1:48">
      <c r="A2971" s="1">
        <f>HYPERLINK("https://lsnyc.legalserver.org/matter/dynamic-profile/view/1905091","19-1905091")</f>
        <v>0</v>
      </c>
      <c r="B2971" t="s">
        <v>103</v>
      </c>
      <c r="C2971" t="s">
        <v>256</v>
      </c>
      <c r="D2971" t="s">
        <v>367</v>
      </c>
      <c r="F2971" t="s">
        <v>1290</v>
      </c>
      <c r="G2971" t="s">
        <v>3644</v>
      </c>
      <c r="H2971" t="s">
        <v>5887</v>
      </c>
      <c r="I2971" t="s">
        <v>8682</v>
      </c>
      <c r="J2971" t="s">
        <v>9065</v>
      </c>
      <c r="K2971">
        <v>10453</v>
      </c>
      <c r="L2971" t="s">
        <v>9094</v>
      </c>
      <c r="M2971" t="s">
        <v>9095</v>
      </c>
      <c r="N2971" t="s">
        <v>9239</v>
      </c>
      <c r="O2971" t="s">
        <v>11134</v>
      </c>
      <c r="P2971" t="s">
        <v>11168</v>
      </c>
      <c r="R2971" t="s">
        <v>11180</v>
      </c>
      <c r="S2971" t="s">
        <v>9094</v>
      </c>
      <c r="T2971" t="s">
        <v>11183</v>
      </c>
      <c r="V2971" t="s">
        <v>1061</v>
      </c>
      <c r="W2971">
        <v>1233</v>
      </c>
      <c r="X2971" t="s">
        <v>11333</v>
      </c>
      <c r="Y2971" t="s">
        <v>11346</v>
      </c>
      <c r="Z2971" t="s">
        <v>13367</v>
      </c>
      <c r="AB2971" t="s">
        <v>17707</v>
      </c>
      <c r="AC2971">
        <v>170</v>
      </c>
      <c r="AD2971" t="s">
        <v>19566</v>
      </c>
      <c r="AE2971" t="s">
        <v>9144</v>
      </c>
      <c r="AF2971">
        <v>4</v>
      </c>
      <c r="AG2971">
        <v>4</v>
      </c>
      <c r="AH2971">
        <v>0</v>
      </c>
      <c r="AI2971">
        <v>99.42</v>
      </c>
      <c r="AL2971" t="s">
        <v>19615</v>
      </c>
      <c r="AM2971">
        <v>25600</v>
      </c>
      <c r="AS2971">
        <v>0</v>
      </c>
      <c r="AU2971" t="s">
        <v>220</v>
      </c>
      <c r="AV2971" t="s">
        <v>20733</v>
      </c>
    </row>
    <row r="2972" spans="1:48">
      <c r="A2972" s="1">
        <f>HYPERLINK("https://lsnyc.legalserver.org/matter/dynamic-profile/view/1905093","19-1905093")</f>
        <v>0</v>
      </c>
      <c r="B2972" t="s">
        <v>103</v>
      </c>
      <c r="C2972" t="s">
        <v>256</v>
      </c>
      <c r="D2972" t="s">
        <v>367</v>
      </c>
      <c r="F2972" t="s">
        <v>1290</v>
      </c>
      <c r="G2972" t="s">
        <v>3644</v>
      </c>
      <c r="H2972" t="s">
        <v>5887</v>
      </c>
      <c r="I2972" t="s">
        <v>8682</v>
      </c>
      <c r="J2972" t="s">
        <v>9065</v>
      </c>
      <c r="K2972">
        <v>10453</v>
      </c>
      <c r="L2972" t="s">
        <v>9094</v>
      </c>
      <c r="M2972" t="s">
        <v>9095</v>
      </c>
      <c r="N2972" t="s">
        <v>9240</v>
      </c>
      <c r="O2972" t="s">
        <v>11134</v>
      </c>
      <c r="P2972" t="s">
        <v>11168</v>
      </c>
      <c r="R2972" t="s">
        <v>11180</v>
      </c>
      <c r="S2972" t="s">
        <v>9094</v>
      </c>
      <c r="T2972" t="s">
        <v>11183</v>
      </c>
      <c r="V2972" t="s">
        <v>422</v>
      </c>
      <c r="W2972">
        <v>1233</v>
      </c>
      <c r="X2972" t="s">
        <v>11333</v>
      </c>
      <c r="Y2972" t="s">
        <v>11346</v>
      </c>
      <c r="Z2972" t="s">
        <v>13367</v>
      </c>
      <c r="AB2972" t="s">
        <v>17707</v>
      </c>
      <c r="AC2972">
        <v>170</v>
      </c>
      <c r="AD2972" t="s">
        <v>19566</v>
      </c>
      <c r="AE2972" t="s">
        <v>9144</v>
      </c>
      <c r="AF2972">
        <v>4</v>
      </c>
      <c r="AG2972">
        <v>4</v>
      </c>
      <c r="AH2972">
        <v>0</v>
      </c>
      <c r="AI2972">
        <v>99.42</v>
      </c>
      <c r="AL2972" t="s">
        <v>19615</v>
      </c>
      <c r="AM2972">
        <v>25600</v>
      </c>
      <c r="AS2972">
        <v>0</v>
      </c>
      <c r="AU2972" t="s">
        <v>220</v>
      </c>
      <c r="AV2972" t="s">
        <v>20733</v>
      </c>
    </row>
    <row r="2973" spans="1:48">
      <c r="A2973" s="1">
        <f>HYPERLINK("https://lsnyc.legalserver.org/matter/dynamic-profile/view/1905201","19-1905201")</f>
        <v>0</v>
      </c>
      <c r="B2973" t="s">
        <v>103</v>
      </c>
      <c r="C2973" t="s">
        <v>256</v>
      </c>
      <c r="D2973" t="s">
        <v>414</v>
      </c>
      <c r="F2973" t="s">
        <v>1173</v>
      </c>
      <c r="G2973" t="s">
        <v>2246</v>
      </c>
      <c r="H2973" t="s">
        <v>5887</v>
      </c>
      <c r="I2973" t="s">
        <v>8153</v>
      </c>
      <c r="J2973" t="s">
        <v>9065</v>
      </c>
      <c r="K2973">
        <v>10453</v>
      </c>
      <c r="L2973" t="s">
        <v>9094</v>
      </c>
      <c r="M2973" t="s">
        <v>9095</v>
      </c>
      <c r="N2973" t="s">
        <v>9239</v>
      </c>
      <c r="O2973" t="s">
        <v>11134</v>
      </c>
      <c r="P2973" t="s">
        <v>11168</v>
      </c>
      <c r="R2973" t="s">
        <v>11180</v>
      </c>
      <c r="S2973" t="s">
        <v>9094</v>
      </c>
      <c r="T2973" t="s">
        <v>11183</v>
      </c>
      <c r="V2973" t="s">
        <v>11244</v>
      </c>
      <c r="W2973">
        <v>880.27</v>
      </c>
      <c r="X2973" t="s">
        <v>11333</v>
      </c>
      <c r="Y2973" t="s">
        <v>11346</v>
      </c>
      <c r="Z2973" t="s">
        <v>13368</v>
      </c>
      <c r="AB2973" t="s">
        <v>17708</v>
      </c>
      <c r="AC2973">
        <v>170</v>
      </c>
      <c r="AD2973" t="s">
        <v>19566</v>
      </c>
      <c r="AE2973" t="s">
        <v>9144</v>
      </c>
      <c r="AF2973">
        <v>20</v>
      </c>
      <c r="AG2973">
        <v>2</v>
      </c>
      <c r="AH2973">
        <v>4</v>
      </c>
      <c r="AI2973">
        <v>99.43000000000001</v>
      </c>
      <c r="AL2973" t="s">
        <v>19614</v>
      </c>
      <c r="AM2973">
        <v>34392</v>
      </c>
      <c r="AS2973">
        <v>0</v>
      </c>
      <c r="AU2973" t="s">
        <v>20642</v>
      </c>
      <c r="AV2973" t="s">
        <v>20733</v>
      </c>
    </row>
    <row r="2974" spans="1:48">
      <c r="A2974" s="1">
        <f>HYPERLINK("https://lsnyc.legalserver.org/matter/dynamic-profile/view/1905205","19-1905205")</f>
        <v>0</v>
      </c>
      <c r="B2974" t="s">
        <v>103</v>
      </c>
      <c r="C2974" t="s">
        <v>256</v>
      </c>
      <c r="D2974" t="s">
        <v>414</v>
      </c>
      <c r="F2974" t="s">
        <v>1173</v>
      </c>
      <c r="G2974" t="s">
        <v>2246</v>
      </c>
      <c r="H2974" t="s">
        <v>5887</v>
      </c>
      <c r="I2974" t="s">
        <v>8153</v>
      </c>
      <c r="J2974" t="s">
        <v>9065</v>
      </c>
      <c r="K2974">
        <v>10453</v>
      </c>
      <c r="L2974" t="s">
        <v>9094</v>
      </c>
      <c r="M2974" t="s">
        <v>9095</v>
      </c>
      <c r="N2974" t="s">
        <v>9240</v>
      </c>
      <c r="O2974" t="s">
        <v>11134</v>
      </c>
      <c r="P2974" t="s">
        <v>11168</v>
      </c>
      <c r="R2974" t="s">
        <v>11180</v>
      </c>
      <c r="S2974" t="s">
        <v>9094</v>
      </c>
      <c r="T2974" t="s">
        <v>11183</v>
      </c>
      <c r="V2974" t="s">
        <v>422</v>
      </c>
      <c r="W2974">
        <v>880.27</v>
      </c>
      <c r="X2974" t="s">
        <v>11333</v>
      </c>
      <c r="Y2974" t="s">
        <v>11346</v>
      </c>
      <c r="Z2974" t="s">
        <v>13368</v>
      </c>
      <c r="AB2974" t="s">
        <v>17708</v>
      </c>
      <c r="AC2974">
        <v>170</v>
      </c>
      <c r="AD2974" t="s">
        <v>19566</v>
      </c>
      <c r="AE2974" t="s">
        <v>9144</v>
      </c>
      <c r="AF2974">
        <v>20</v>
      </c>
      <c r="AG2974">
        <v>2</v>
      </c>
      <c r="AH2974">
        <v>4</v>
      </c>
      <c r="AI2974">
        <v>99.43000000000001</v>
      </c>
      <c r="AL2974" t="s">
        <v>19614</v>
      </c>
      <c r="AM2974">
        <v>34392</v>
      </c>
      <c r="AS2974">
        <v>0.1</v>
      </c>
      <c r="AT2974" t="s">
        <v>330</v>
      </c>
      <c r="AU2974" t="s">
        <v>20642</v>
      </c>
      <c r="AV2974" t="s">
        <v>20733</v>
      </c>
    </row>
    <row r="2975" spans="1:48">
      <c r="A2975" s="1">
        <f>HYPERLINK("https://lsnyc.legalserver.org/matter/dynamic-profile/view/1905991","19-1905991")</f>
        <v>0</v>
      </c>
      <c r="B2975" t="s">
        <v>76</v>
      </c>
      <c r="C2975" t="s">
        <v>256</v>
      </c>
      <c r="D2975" t="s">
        <v>329</v>
      </c>
      <c r="F2975" t="s">
        <v>1164</v>
      </c>
      <c r="G2975" t="s">
        <v>1884</v>
      </c>
      <c r="H2975" t="s">
        <v>5749</v>
      </c>
      <c r="I2975" t="s">
        <v>8683</v>
      </c>
      <c r="J2975" t="s">
        <v>9059</v>
      </c>
      <c r="K2975">
        <v>11233</v>
      </c>
      <c r="L2975" t="s">
        <v>9094</v>
      </c>
      <c r="M2975" t="s">
        <v>9095</v>
      </c>
      <c r="N2975" t="s">
        <v>9171</v>
      </c>
      <c r="O2975" t="s">
        <v>11137</v>
      </c>
      <c r="P2975" t="s">
        <v>11167</v>
      </c>
      <c r="R2975" t="s">
        <v>11180</v>
      </c>
      <c r="S2975" t="s">
        <v>9096</v>
      </c>
      <c r="T2975" t="s">
        <v>11183</v>
      </c>
      <c r="U2975" t="s">
        <v>11201</v>
      </c>
      <c r="V2975" t="s">
        <v>706</v>
      </c>
      <c r="W2975">
        <v>1200</v>
      </c>
      <c r="X2975" t="s">
        <v>11332</v>
      </c>
      <c r="Z2975" t="s">
        <v>13369</v>
      </c>
      <c r="AA2975" t="s">
        <v>9171</v>
      </c>
      <c r="AC2975">
        <v>359</v>
      </c>
      <c r="AD2975" t="s">
        <v>19566</v>
      </c>
      <c r="AE2975" t="s">
        <v>9144</v>
      </c>
      <c r="AF2975">
        <v>26</v>
      </c>
      <c r="AG2975">
        <v>4</v>
      </c>
      <c r="AH2975">
        <v>1</v>
      </c>
      <c r="AI2975">
        <v>99.44</v>
      </c>
      <c r="AL2975" t="s">
        <v>19614</v>
      </c>
      <c r="AM2975">
        <v>30000</v>
      </c>
      <c r="AN2975" t="s">
        <v>19745</v>
      </c>
      <c r="AS2975">
        <v>0</v>
      </c>
      <c r="AU2975" t="s">
        <v>95</v>
      </c>
      <c r="AV2975" t="s">
        <v>20733</v>
      </c>
    </row>
    <row r="2976" spans="1:48">
      <c r="A2976" s="1">
        <f>HYPERLINK("https://lsnyc.legalserver.org/matter/dynamic-profile/view/0830048","17-0830048")</f>
        <v>0</v>
      </c>
      <c r="B2976" t="s">
        <v>101</v>
      </c>
      <c r="C2976" t="s">
        <v>256</v>
      </c>
      <c r="D2976" t="s">
        <v>981</v>
      </c>
      <c r="F2976" t="s">
        <v>2188</v>
      </c>
      <c r="G2976" t="s">
        <v>3448</v>
      </c>
      <c r="H2976" t="s">
        <v>5898</v>
      </c>
      <c r="I2976" t="s">
        <v>8153</v>
      </c>
      <c r="J2976" t="s">
        <v>9065</v>
      </c>
      <c r="K2976">
        <v>10452</v>
      </c>
      <c r="L2976" t="s">
        <v>9094</v>
      </c>
      <c r="M2976" t="s">
        <v>9095</v>
      </c>
      <c r="O2976" t="s">
        <v>9121</v>
      </c>
      <c r="P2976" t="s">
        <v>11166</v>
      </c>
      <c r="R2976" t="s">
        <v>11180</v>
      </c>
      <c r="S2976" t="s">
        <v>9094</v>
      </c>
      <c r="T2976" t="s">
        <v>11183</v>
      </c>
      <c r="V2976" t="s">
        <v>1070</v>
      </c>
      <c r="W2976">
        <v>1123</v>
      </c>
      <c r="X2976" t="s">
        <v>11333</v>
      </c>
      <c r="Y2976" t="s">
        <v>11346</v>
      </c>
      <c r="Z2976" t="s">
        <v>13370</v>
      </c>
      <c r="AA2976" t="s">
        <v>15750</v>
      </c>
      <c r="AB2976" t="s">
        <v>17709</v>
      </c>
      <c r="AC2976">
        <v>130</v>
      </c>
      <c r="AD2976" t="s">
        <v>19566</v>
      </c>
      <c r="AE2976" t="s">
        <v>9144</v>
      </c>
      <c r="AF2976">
        <v>1</v>
      </c>
      <c r="AG2976">
        <v>1</v>
      </c>
      <c r="AH2976">
        <v>0</v>
      </c>
      <c r="AI2976">
        <v>99.5</v>
      </c>
      <c r="AL2976" t="s">
        <v>19615</v>
      </c>
      <c r="AM2976">
        <v>12000</v>
      </c>
      <c r="AS2976">
        <v>0</v>
      </c>
      <c r="AU2976" t="s">
        <v>20643</v>
      </c>
    </row>
    <row r="2977" spans="1:48">
      <c r="A2977" s="1">
        <f>HYPERLINK("https://lsnyc.legalserver.org/matter/dynamic-profile/view/1843148","17-1843148")</f>
        <v>0</v>
      </c>
      <c r="B2977" t="s">
        <v>122</v>
      </c>
      <c r="C2977" t="s">
        <v>257</v>
      </c>
      <c r="D2977" t="s">
        <v>712</v>
      </c>
      <c r="E2977" t="s">
        <v>414</v>
      </c>
      <c r="F2977" t="s">
        <v>2390</v>
      </c>
      <c r="G2977" t="s">
        <v>4624</v>
      </c>
      <c r="H2977" t="s">
        <v>5911</v>
      </c>
      <c r="I2977" t="s">
        <v>8684</v>
      </c>
      <c r="J2977" t="s">
        <v>9066</v>
      </c>
      <c r="K2977">
        <v>10314</v>
      </c>
      <c r="L2977" t="s">
        <v>9094</v>
      </c>
      <c r="M2977" t="s">
        <v>9095</v>
      </c>
      <c r="N2977" t="s">
        <v>9260</v>
      </c>
      <c r="O2977" t="s">
        <v>11135</v>
      </c>
      <c r="P2977" t="s">
        <v>11168</v>
      </c>
      <c r="Q2977" t="s">
        <v>11177</v>
      </c>
      <c r="R2977" t="s">
        <v>11180</v>
      </c>
      <c r="S2977" t="s">
        <v>9094</v>
      </c>
      <c r="T2977" t="s">
        <v>11183</v>
      </c>
      <c r="U2977" t="s">
        <v>11201</v>
      </c>
      <c r="V2977" t="s">
        <v>712</v>
      </c>
      <c r="W2977">
        <v>864</v>
      </c>
      <c r="X2977" t="s">
        <v>11334</v>
      </c>
      <c r="Y2977" t="s">
        <v>11339</v>
      </c>
      <c r="Z2977" t="s">
        <v>13371</v>
      </c>
      <c r="AB2977" t="s">
        <v>17710</v>
      </c>
      <c r="AC2977">
        <v>96</v>
      </c>
      <c r="AD2977" t="s">
        <v>19566</v>
      </c>
      <c r="AE2977" t="s">
        <v>19587</v>
      </c>
      <c r="AF2977">
        <v>8</v>
      </c>
      <c r="AG2977">
        <v>1</v>
      </c>
      <c r="AH2977">
        <v>0</v>
      </c>
      <c r="AI2977">
        <v>99.5</v>
      </c>
      <c r="AJ2977" t="s">
        <v>19594</v>
      </c>
      <c r="AL2977" t="s">
        <v>19614</v>
      </c>
      <c r="AM2977">
        <v>12000</v>
      </c>
      <c r="AO2977" t="s">
        <v>20293</v>
      </c>
      <c r="AP2977" t="s">
        <v>20316</v>
      </c>
      <c r="AQ2977" t="s">
        <v>20369</v>
      </c>
      <c r="AR2977" t="s">
        <v>20385</v>
      </c>
      <c r="AS2977">
        <v>0.82</v>
      </c>
      <c r="AT2977" t="s">
        <v>414</v>
      </c>
      <c r="AU2977" t="s">
        <v>128</v>
      </c>
      <c r="AV2977" t="s">
        <v>20733</v>
      </c>
    </row>
    <row r="2978" spans="1:48">
      <c r="A2978" s="1">
        <f>HYPERLINK("https://lsnyc.legalserver.org/matter/dynamic-profile/view/1834512","17-1834512")</f>
        <v>0</v>
      </c>
      <c r="B2978" t="s">
        <v>141</v>
      </c>
      <c r="C2978" t="s">
        <v>256</v>
      </c>
      <c r="D2978" t="s">
        <v>982</v>
      </c>
      <c r="F2978" t="s">
        <v>1370</v>
      </c>
      <c r="G2978" t="s">
        <v>4625</v>
      </c>
      <c r="H2978" t="s">
        <v>7163</v>
      </c>
      <c r="I2978" t="s">
        <v>8119</v>
      </c>
      <c r="J2978" t="s">
        <v>9067</v>
      </c>
      <c r="K2978">
        <v>10034</v>
      </c>
      <c r="L2978" t="s">
        <v>9094</v>
      </c>
      <c r="M2978" t="s">
        <v>9095</v>
      </c>
      <c r="N2978" t="s">
        <v>10250</v>
      </c>
      <c r="O2978" t="s">
        <v>11128</v>
      </c>
      <c r="P2978" t="s">
        <v>11165</v>
      </c>
      <c r="R2978" t="s">
        <v>11180</v>
      </c>
      <c r="S2978" t="s">
        <v>9096</v>
      </c>
      <c r="T2978" t="s">
        <v>11183</v>
      </c>
      <c r="U2978" t="s">
        <v>11201</v>
      </c>
      <c r="V2978" t="s">
        <v>878</v>
      </c>
      <c r="W2978">
        <v>900</v>
      </c>
      <c r="X2978" t="s">
        <v>11335</v>
      </c>
      <c r="Y2978" t="s">
        <v>11340</v>
      </c>
      <c r="Z2978" t="s">
        <v>12626</v>
      </c>
      <c r="AB2978" t="s">
        <v>17711</v>
      </c>
      <c r="AC2978">
        <v>48</v>
      </c>
      <c r="AD2978" t="s">
        <v>19566</v>
      </c>
      <c r="AE2978" t="s">
        <v>19587</v>
      </c>
      <c r="AF2978">
        <v>0</v>
      </c>
      <c r="AG2978">
        <v>1</v>
      </c>
      <c r="AH2978">
        <v>0</v>
      </c>
      <c r="AI2978">
        <v>99.5</v>
      </c>
      <c r="AL2978" t="s">
        <v>19614</v>
      </c>
      <c r="AM2978">
        <v>12000</v>
      </c>
      <c r="AS2978">
        <v>81.5</v>
      </c>
      <c r="AT2978" t="s">
        <v>408</v>
      </c>
      <c r="AU2978" t="s">
        <v>20657</v>
      </c>
      <c r="AV2978" t="s">
        <v>20733</v>
      </c>
    </row>
    <row r="2979" spans="1:48">
      <c r="A2979" s="1">
        <f>HYPERLINK("https://lsnyc.legalserver.org/matter/dynamic-profile/view/1841984","17-1841984")</f>
        <v>0</v>
      </c>
      <c r="B2979" t="s">
        <v>136</v>
      </c>
      <c r="C2979" t="s">
        <v>257</v>
      </c>
      <c r="D2979" t="s">
        <v>769</v>
      </c>
      <c r="E2979" t="s">
        <v>331</v>
      </c>
      <c r="F2979" t="s">
        <v>1264</v>
      </c>
      <c r="G2979" t="s">
        <v>4022</v>
      </c>
      <c r="H2979" t="s">
        <v>6146</v>
      </c>
      <c r="I2979" t="s">
        <v>8504</v>
      </c>
      <c r="J2979" t="s">
        <v>9067</v>
      </c>
      <c r="K2979">
        <v>10029</v>
      </c>
      <c r="L2979" t="s">
        <v>9094</v>
      </c>
      <c r="M2979" t="s">
        <v>9095</v>
      </c>
      <c r="O2979" t="s">
        <v>9121</v>
      </c>
      <c r="P2979" t="s">
        <v>11167</v>
      </c>
      <c r="Q2979" t="s">
        <v>11173</v>
      </c>
      <c r="R2979" t="s">
        <v>11180</v>
      </c>
      <c r="S2979" t="s">
        <v>9094</v>
      </c>
      <c r="T2979" t="s">
        <v>11183</v>
      </c>
      <c r="U2979" t="s">
        <v>11201</v>
      </c>
      <c r="V2979" t="s">
        <v>837</v>
      </c>
      <c r="W2979">
        <v>1097</v>
      </c>
      <c r="X2979" t="s">
        <v>11335</v>
      </c>
      <c r="Y2979" t="s">
        <v>11338</v>
      </c>
      <c r="Z2979" t="s">
        <v>13372</v>
      </c>
      <c r="AB2979" t="s">
        <v>17712</v>
      </c>
      <c r="AC2979">
        <v>13</v>
      </c>
      <c r="AD2979" t="s">
        <v>19566</v>
      </c>
      <c r="AE2979" t="s">
        <v>9144</v>
      </c>
      <c r="AF2979">
        <v>27</v>
      </c>
      <c r="AG2979">
        <v>1</v>
      </c>
      <c r="AH2979">
        <v>0</v>
      </c>
      <c r="AI2979">
        <v>99.5</v>
      </c>
      <c r="AL2979" t="s">
        <v>19614</v>
      </c>
      <c r="AM2979">
        <v>12000</v>
      </c>
      <c r="AS2979">
        <v>20.3</v>
      </c>
      <c r="AT2979" t="s">
        <v>1042</v>
      </c>
      <c r="AU2979" t="s">
        <v>20657</v>
      </c>
      <c r="AV2979" t="s">
        <v>20733</v>
      </c>
    </row>
    <row r="2980" spans="1:48">
      <c r="A2980" s="1">
        <f>HYPERLINK("https://lsnyc.legalserver.org/matter/dynamic-profile/view/1904489","19-1904489")</f>
        <v>0</v>
      </c>
      <c r="B2980" t="s">
        <v>114</v>
      </c>
      <c r="C2980" t="s">
        <v>257</v>
      </c>
      <c r="D2980" t="s">
        <v>615</v>
      </c>
      <c r="E2980" t="s">
        <v>476</v>
      </c>
      <c r="F2980" t="s">
        <v>1494</v>
      </c>
      <c r="G2980" t="s">
        <v>4626</v>
      </c>
      <c r="H2980" t="s">
        <v>6132</v>
      </c>
      <c r="I2980" t="s">
        <v>8149</v>
      </c>
      <c r="J2980" t="s">
        <v>9065</v>
      </c>
      <c r="K2980">
        <v>10470</v>
      </c>
      <c r="L2980" t="s">
        <v>9094</v>
      </c>
      <c r="M2980" t="s">
        <v>9095</v>
      </c>
      <c r="N2980" t="s">
        <v>9426</v>
      </c>
      <c r="O2980" t="s">
        <v>11130</v>
      </c>
      <c r="P2980" t="s">
        <v>11165</v>
      </c>
      <c r="Q2980" t="s">
        <v>11174</v>
      </c>
      <c r="R2980" t="s">
        <v>11180</v>
      </c>
      <c r="S2980" t="s">
        <v>9094</v>
      </c>
      <c r="T2980" t="s">
        <v>11183</v>
      </c>
      <c r="W2980">
        <v>806.16</v>
      </c>
      <c r="X2980" t="s">
        <v>11333</v>
      </c>
      <c r="Y2980" t="s">
        <v>11346</v>
      </c>
      <c r="Z2980" t="s">
        <v>13373</v>
      </c>
      <c r="AB2980" t="s">
        <v>17713</v>
      </c>
      <c r="AC2980">
        <v>63</v>
      </c>
      <c r="AD2980" t="s">
        <v>19566</v>
      </c>
      <c r="AE2980" t="s">
        <v>9144</v>
      </c>
      <c r="AF2980">
        <v>44</v>
      </c>
      <c r="AG2980">
        <v>2</v>
      </c>
      <c r="AH2980">
        <v>0</v>
      </c>
      <c r="AI2980">
        <v>99.51000000000001</v>
      </c>
      <c r="AL2980" t="s">
        <v>19614</v>
      </c>
      <c r="AM2980">
        <v>16826.4</v>
      </c>
      <c r="AS2980">
        <v>0.25</v>
      </c>
      <c r="AT2980" t="s">
        <v>476</v>
      </c>
      <c r="AU2980" t="s">
        <v>20642</v>
      </c>
      <c r="AV2980" t="s">
        <v>20733</v>
      </c>
    </row>
    <row r="2981" spans="1:48">
      <c r="A2981" s="1">
        <f>HYPERLINK("https://lsnyc.legalserver.org/matter/dynamic-profile/view/1862289","18-1862289")</f>
        <v>0</v>
      </c>
      <c r="B2981" t="s">
        <v>140</v>
      </c>
      <c r="C2981" t="s">
        <v>256</v>
      </c>
      <c r="D2981" t="s">
        <v>575</v>
      </c>
      <c r="F2981" t="s">
        <v>1917</v>
      </c>
      <c r="G2981" t="s">
        <v>4627</v>
      </c>
      <c r="H2981" t="s">
        <v>5942</v>
      </c>
      <c r="I2981" t="s">
        <v>8164</v>
      </c>
      <c r="J2981" t="s">
        <v>9067</v>
      </c>
      <c r="K2981">
        <v>10034</v>
      </c>
      <c r="L2981" t="s">
        <v>9094</v>
      </c>
      <c r="M2981" t="s">
        <v>9095</v>
      </c>
      <c r="N2981" t="s">
        <v>9862</v>
      </c>
      <c r="O2981" t="s">
        <v>11130</v>
      </c>
      <c r="P2981" t="s">
        <v>11165</v>
      </c>
      <c r="R2981" t="s">
        <v>11180</v>
      </c>
      <c r="S2981" t="s">
        <v>9094</v>
      </c>
      <c r="T2981" t="s">
        <v>11183</v>
      </c>
      <c r="V2981" t="s">
        <v>575</v>
      </c>
      <c r="W2981">
        <v>758</v>
      </c>
      <c r="X2981" t="s">
        <v>11335</v>
      </c>
      <c r="Y2981" t="s">
        <v>11338</v>
      </c>
      <c r="Z2981" t="s">
        <v>13374</v>
      </c>
      <c r="AB2981" t="s">
        <v>17714</v>
      </c>
      <c r="AC2981">
        <v>60</v>
      </c>
      <c r="AD2981" t="s">
        <v>19566</v>
      </c>
      <c r="AE2981" t="s">
        <v>9144</v>
      </c>
      <c r="AF2981">
        <v>25</v>
      </c>
      <c r="AG2981">
        <v>3</v>
      </c>
      <c r="AH2981">
        <v>1</v>
      </c>
      <c r="AI2981">
        <v>99.59999999999999</v>
      </c>
      <c r="AL2981" t="s">
        <v>19615</v>
      </c>
      <c r="AM2981">
        <v>25000</v>
      </c>
      <c r="AS2981">
        <v>7.5</v>
      </c>
      <c r="AT2981" t="s">
        <v>901</v>
      </c>
      <c r="AU2981" t="s">
        <v>130</v>
      </c>
    </row>
    <row r="2982" spans="1:48">
      <c r="A2982" s="1">
        <f>HYPERLINK("https://lsnyc.legalserver.org/matter/dynamic-profile/view/1862256","18-1862256")</f>
        <v>0</v>
      </c>
      <c r="B2982" t="s">
        <v>138</v>
      </c>
      <c r="C2982" t="s">
        <v>256</v>
      </c>
      <c r="D2982" t="s">
        <v>662</v>
      </c>
      <c r="F2982" t="s">
        <v>1889</v>
      </c>
      <c r="G2982" t="s">
        <v>4628</v>
      </c>
      <c r="H2982" t="s">
        <v>6004</v>
      </c>
      <c r="I2982">
        <v>42</v>
      </c>
      <c r="J2982" t="s">
        <v>9067</v>
      </c>
      <c r="K2982">
        <v>10034</v>
      </c>
      <c r="L2982" t="s">
        <v>9094</v>
      </c>
      <c r="M2982" t="s">
        <v>9095</v>
      </c>
      <c r="N2982" t="s">
        <v>10251</v>
      </c>
      <c r="O2982" t="s">
        <v>11129</v>
      </c>
      <c r="P2982" t="s">
        <v>11165</v>
      </c>
      <c r="R2982" t="s">
        <v>11180</v>
      </c>
      <c r="S2982" t="s">
        <v>9096</v>
      </c>
      <c r="T2982" t="s">
        <v>11183</v>
      </c>
      <c r="V2982" t="s">
        <v>518</v>
      </c>
      <c r="W2982">
        <v>1400</v>
      </c>
      <c r="X2982" t="s">
        <v>11335</v>
      </c>
      <c r="Y2982" t="s">
        <v>11352</v>
      </c>
      <c r="Z2982" t="s">
        <v>13375</v>
      </c>
      <c r="AB2982" t="s">
        <v>17715</v>
      </c>
      <c r="AC2982">
        <v>130</v>
      </c>
      <c r="AD2982" t="s">
        <v>19566</v>
      </c>
      <c r="AE2982" t="s">
        <v>9144</v>
      </c>
      <c r="AF2982">
        <v>10</v>
      </c>
      <c r="AG2982">
        <v>3</v>
      </c>
      <c r="AH2982">
        <v>1</v>
      </c>
      <c r="AI2982">
        <v>99.59999999999999</v>
      </c>
      <c r="AL2982" t="s">
        <v>19615</v>
      </c>
      <c r="AM2982">
        <v>25000</v>
      </c>
      <c r="AS2982">
        <v>115.9</v>
      </c>
      <c r="AT2982" t="s">
        <v>330</v>
      </c>
      <c r="AU2982" t="s">
        <v>20640</v>
      </c>
    </row>
    <row r="2983" spans="1:48">
      <c r="A2983" s="1">
        <f>HYPERLINK("https://lsnyc.legalserver.org/matter/dynamic-profile/view/1882906","18-1882906")</f>
        <v>0</v>
      </c>
      <c r="B2983" t="s">
        <v>78</v>
      </c>
      <c r="C2983" t="s">
        <v>256</v>
      </c>
      <c r="D2983" t="s">
        <v>375</v>
      </c>
      <c r="F2983" t="s">
        <v>1227</v>
      </c>
      <c r="G2983" t="s">
        <v>4598</v>
      </c>
      <c r="H2983" t="s">
        <v>5805</v>
      </c>
      <c r="I2983" t="s">
        <v>8153</v>
      </c>
      <c r="J2983" t="s">
        <v>9059</v>
      </c>
      <c r="K2983">
        <v>11213</v>
      </c>
      <c r="L2983" t="s">
        <v>9094</v>
      </c>
      <c r="M2983" t="s">
        <v>9094</v>
      </c>
      <c r="N2983" t="s">
        <v>9575</v>
      </c>
      <c r="O2983" t="s">
        <v>11130</v>
      </c>
      <c r="P2983" t="s">
        <v>11165</v>
      </c>
      <c r="R2983" t="s">
        <v>11180</v>
      </c>
      <c r="S2983" t="s">
        <v>9094</v>
      </c>
      <c r="T2983" t="s">
        <v>11183</v>
      </c>
      <c r="V2983" t="s">
        <v>725</v>
      </c>
      <c r="W2983">
        <v>1268</v>
      </c>
      <c r="X2983" t="s">
        <v>11332</v>
      </c>
      <c r="Y2983" t="s">
        <v>11348</v>
      </c>
      <c r="Z2983" t="s">
        <v>13327</v>
      </c>
      <c r="AB2983" t="s">
        <v>17671</v>
      </c>
      <c r="AC2983">
        <v>19</v>
      </c>
      <c r="AD2983" t="s">
        <v>19566</v>
      </c>
      <c r="AE2983" t="s">
        <v>19588</v>
      </c>
      <c r="AF2983">
        <v>2</v>
      </c>
      <c r="AG2983">
        <v>2</v>
      </c>
      <c r="AH2983">
        <v>0</v>
      </c>
      <c r="AI2983">
        <v>99.62</v>
      </c>
      <c r="AL2983" t="s">
        <v>19614</v>
      </c>
      <c r="AM2983">
        <v>16398</v>
      </c>
      <c r="AS2983">
        <v>0</v>
      </c>
      <c r="AU2983" t="s">
        <v>151</v>
      </c>
    </row>
    <row r="2984" spans="1:48">
      <c r="A2984" s="1">
        <f>HYPERLINK("https://lsnyc.legalserver.org/matter/dynamic-profile/view/1882380","18-1882380")</f>
        <v>0</v>
      </c>
      <c r="B2984" t="s">
        <v>113</v>
      </c>
      <c r="C2984" t="s">
        <v>256</v>
      </c>
      <c r="D2984" t="s">
        <v>697</v>
      </c>
      <c r="F2984" t="s">
        <v>1209</v>
      </c>
      <c r="G2984" t="s">
        <v>3644</v>
      </c>
      <c r="H2984" t="s">
        <v>5892</v>
      </c>
      <c r="I2984" t="s">
        <v>8685</v>
      </c>
      <c r="J2984" t="s">
        <v>9065</v>
      </c>
      <c r="K2984">
        <v>10453</v>
      </c>
      <c r="L2984" t="s">
        <v>9094</v>
      </c>
      <c r="M2984" t="s">
        <v>9094</v>
      </c>
      <c r="O2984" t="s">
        <v>9121</v>
      </c>
      <c r="P2984" t="s">
        <v>11167</v>
      </c>
      <c r="R2984" t="s">
        <v>11180</v>
      </c>
      <c r="T2984" t="s">
        <v>11183</v>
      </c>
      <c r="V2984" t="s">
        <v>11218</v>
      </c>
      <c r="W2984">
        <v>1060</v>
      </c>
      <c r="X2984" t="s">
        <v>11333</v>
      </c>
      <c r="Y2984" t="s">
        <v>11346</v>
      </c>
      <c r="Z2984" t="s">
        <v>13376</v>
      </c>
      <c r="AC2984">
        <v>99</v>
      </c>
      <c r="AD2984" t="s">
        <v>19566</v>
      </c>
      <c r="AE2984" t="s">
        <v>19580</v>
      </c>
      <c r="AF2984">
        <v>10</v>
      </c>
      <c r="AG2984">
        <v>2</v>
      </c>
      <c r="AH2984">
        <v>0</v>
      </c>
      <c r="AI2984">
        <v>99.64</v>
      </c>
      <c r="AL2984" t="s">
        <v>19614</v>
      </c>
      <c r="AM2984">
        <v>16400</v>
      </c>
      <c r="AN2984" t="s">
        <v>19802</v>
      </c>
      <c r="AS2984">
        <v>0</v>
      </c>
      <c r="AU2984" t="s">
        <v>163</v>
      </c>
      <c r="AV2984" t="s">
        <v>20733</v>
      </c>
    </row>
    <row r="2985" spans="1:48">
      <c r="A2985" s="1">
        <f>HYPERLINK("https://lsnyc.legalserver.org/matter/dynamic-profile/view/1887087","19-1887087")</f>
        <v>0</v>
      </c>
      <c r="B2985" t="s">
        <v>113</v>
      </c>
      <c r="C2985" t="s">
        <v>257</v>
      </c>
      <c r="D2985" t="s">
        <v>324</v>
      </c>
      <c r="E2985" t="s">
        <v>326</v>
      </c>
      <c r="F2985" t="s">
        <v>1209</v>
      </c>
      <c r="G2985" t="s">
        <v>3644</v>
      </c>
      <c r="H2985" t="s">
        <v>5892</v>
      </c>
      <c r="I2985" t="s">
        <v>8685</v>
      </c>
      <c r="J2985" t="s">
        <v>9065</v>
      </c>
      <c r="K2985">
        <v>10453</v>
      </c>
      <c r="L2985" t="s">
        <v>9094</v>
      </c>
      <c r="M2985" t="s">
        <v>9095</v>
      </c>
      <c r="O2985" t="s">
        <v>9121</v>
      </c>
      <c r="P2985" t="s">
        <v>11166</v>
      </c>
      <c r="Q2985" t="s">
        <v>11173</v>
      </c>
      <c r="R2985" t="s">
        <v>11180</v>
      </c>
      <c r="S2985" t="s">
        <v>9094</v>
      </c>
      <c r="T2985" t="s">
        <v>11183</v>
      </c>
      <c r="V2985" t="s">
        <v>441</v>
      </c>
      <c r="W2985">
        <v>1060</v>
      </c>
      <c r="X2985" t="s">
        <v>11333</v>
      </c>
      <c r="Y2985" t="s">
        <v>11346</v>
      </c>
      <c r="Z2985" t="s">
        <v>13376</v>
      </c>
      <c r="AC2985">
        <v>99</v>
      </c>
      <c r="AD2985" t="s">
        <v>19566</v>
      </c>
      <c r="AE2985" t="s">
        <v>19580</v>
      </c>
      <c r="AF2985">
        <v>10</v>
      </c>
      <c r="AG2985">
        <v>2</v>
      </c>
      <c r="AH2985">
        <v>0</v>
      </c>
      <c r="AI2985">
        <v>99.64</v>
      </c>
      <c r="AL2985" t="s">
        <v>19614</v>
      </c>
      <c r="AM2985">
        <v>16400</v>
      </c>
      <c r="AN2985" t="s">
        <v>19922</v>
      </c>
      <c r="AS2985">
        <v>0.5</v>
      </c>
      <c r="AT2985" t="s">
        <v>326</v>
      </c>
      <c r="AU2985" t="s">
        <v>20647</v>
      </c>
      <c r="AV2985" t="s">
        <v>20733</v>
      </c>
    </row>
    <row r="2986" spans="1:48">
      <c r="A2986" s="1">
        <f>HYPERLINK("https://lsnyc.legalserver.org/matter/dynamic-profile/view/1901495","19-1901495")</f>
        <v>0</v>
      </c>
      <c r="B2986" t="s">
        <v>137</v>
      </c>
      <c r="C2986" t="s">
        <v>256</v>
      </c>
      <c r="D2986" t="s">
        <v>559</v>
      </c>
      <c r="F2986" t="s">
        <v>2391</v>
      </c>
      <c r="G2986" t="s">
        <v>3374</v>
      </c>
      <c r="H2986" t="s">
        <v>6449</v>
      </c>
      <c r="I2986">
        <v>31</v>
      </c>
      <c r="J2986" t="s">
        <v>9067</v>
      </c>
      <c r="K2986">
        <v>10033</v>
      </c>
      <c r="L2986" t="s">
        <v>9094</v>
      </c>
      <c r="M2986" t="s">
        <v>9095</v>
      </c>
      <c r="O2986" t="s">
        <v>11130</v>
      </c>
      <c r="P2986" t="s">
        <v>11165</v>
      </c>
      <c r="R2986" t="s">
        <v>11180</v>
      </c>
      <c r="S2986" t="s">
        <v>9096</v>
      </c>
      <c r="T2986" t="s">
        <v>11183</v>
      </c>
      <c r="V2986" t="s">
        <v>559</v>
      </c>
      <c r="W2986">
        <v>1251.22</v>
      </c>
      <c r="X2986" t="s">
        <v>11335</v>
      </c>
      <c r="Y2986" t="s">
        <v>11338</v>
      </c>
      <c r="Z2986" t="s">
        <v>13377</v>
      </c>
      <c r="AB2986" t="s">
        <v>17716</v>
      </c>
      <c r="AC2986">
        <v>20</v>
      </c>
      <c r="AD2986" t="s">
        <v>19566</v>
      </c>
      <c r="AE2986" t="s">
        <v>19587</v>
      </c>
      <c r="AF2986">
        <v>19</v>
      </c>
      <c r="AG2986">
        <v>1</v>
      </c>
      <c r="AH2986">
        <v>0</v>
      </c>
      <c r="AI2986">
        <v>99.70999999999999</v>
      </c>
      <c r="AL2986" t="s">
        <v>19615</v>
      </c>
      <c r="AM2986">
        <v>12454</v>
      </c>
      <c r="AS2986">
        <v>2.3</v>
      </c>
      <c r="AT2986" t="s">
        <v>279</v>
      </c>
      <c r="AU2986" t="s">
        <v>130</v>
      </c>
      <c r="AV2986" t="s">
        <v>20733</v>
      </c>
    </row>
    <row r="2987" spans="1:48">
      <c r="A2987" s="1">
        <f>HYPERLINK("https://lsnyc.legalserver.org/matter/dynamic-profile/view/1868674","18-1868674")</f>
        <v>0</v>
      </c>
      <c r="B2987" t="s">
        <v>136</v>
      </c>
      <c r="C2987" t="s">
        <v>256</v>
      </c>
      <c r="D2987" t="s">
        <v>678</v>
      </c>
      <c r="F2987" t="s">
        <v>2392</v>
      </c>
      <c r="G2987" t="s">
        <v>4629</v>
      </c>
      <c r="H2987" t="s">
        <v>7164</v>
      </c>
      <c r="I2987" t="s">
        <v>8686</v>
      </c>
      <c r="J2987" t="s">
        <v>9067</v>
      </c>
      <c r="K2987">
        <v>10029</v>
      </c>
      <c r="L2987" t="s">
        <v>9094</v>
      </c>
      <c r="M2987" t="s">
        <v>9095</v>
      </c>
      <c r="O2987" t="s">
        <v>9121</v>
      </c>
      <c r="P2987" t="s">
        <v>11168</v>
      </c>
      <c r="R2987" t="s">
        <v>11180</v>
      </c>
      <c r="S2987" t="s">
        <v>9096</v>
      </c>
      <c r="T2987" t="s">
        <v>11183</v>
      </c>
      <c r="V2987" t="s">
        <v>678</v>
      </c>
      <c r="W2987">
        <v>1127</v>
      </c>
      <c r="X2987" t="s">
        <v>11335</v>
      </c>
      <c r="Y2987" t="s">
        <v>11338</v>
      </c>
      <c r="Z2987" t="s">
        <v>13378</v>
      </c>
      <c r="AB2987" t="s">
        <v>17717</v>
      </c>
      <c r="AC2987">
        <v>115</v>
      </c>
      <c r="AD2987" t="s">
        <v>19568</v>
      </c>
      <c r="AE2987" t="s">
        <v>19580</v>
      </c>
      <c r="AF2987">
        <v>48</v>
      </c>
      <c r="AG2987">
        <v>2</v>
      </c>
      <c r="AH2987">
        <v>0</v>
      </c>
      <c r="AI2987">
        <v>99.73</v>
      </c>
      <c r="AL2987" t="s">
        <v>19615</v>
      </c>
      <c r="AM2987">
        <v>16416</v>
      </c>
      <c r="AS2987">
        <v>27.55</v>
      </c>
      <c r="AT2987" t="s">
        <v>334</v>
      </c>
      <c r="AU2987" t="s">
        <v>20657</v>
      </c>
    </row>
    <row r="2988" spans="1:48">
      <c r="A2988" s="1">
        <f>HYPERLINK("https://lsnyc.legalserver.org/matter/dynamic-profile/view/1896825","19-1896825")</f>
        <v>0</v>
      </c>
      <c r="B2988" t="s">
        <v>151</v>
      </c>
      <c r="C2988" t="s">
        <v>257</v>
      </c>
      <c r="D2988" t="s">
        <v>546</v>
      </c>
      <c r="E2988" t="s">
        <v>551</v>
      </c>
      <c r="F2988" t="s">
        <v>1404</v>
      </c>
      <c r="G2988" t="s">
        <v>3720</v>
      </c>
      <c r="H2988" t="s">
        <v>7165</v>
      </c>
      <c r="I2988">
        <v>1</v>
      </c>
      <c r="J2988" t="s">
        <v>9059</v>
      </c>
      <c r="K2988">
        <v>11208</v>
      </c>
      <c r="L2988" t="s">
        <v>9094</v>
      </c>
      <c r="M2988" t="s">
        <v>9096</v>
      </c>
      <c r="N2988" t="s">
        <v>10252</v>
      </c>
      <c r="O2988" t="s">
        <v>11128</v>
      </c>
      <c r="P2988" t="s">
        <v>11167</v>
      </c>
      <c r="Q2988" t="s">
        <v>11173</v>
      </c>
      <c r="R2988" t="s">
        <v>11180</v>
      </c>
      <c r="S2988" t="s">
        <v>9096</v>
      </c>
      <c r="T2988" t="s">
        <v>11183</v>
      </c>
      <c r="U2988" t="s">
        <v>11201</v>
      </c>
      <c r="V2988" t="s">
        <v>750</v>
      </c>
      <c r="W2988">
        <v>1550</v>
      </c>
      <c r="X2988" t="s">
        <v>11332</v>
      </c>
      <c r="Y2988" t="s">
        <v>11342</v>
      </c>
      <c r="Z2988" t="s">
        <v>13379</v>
      </c>
      <c r="AA2988" t="s">
        <v>15487</v>
      </c>
      <c r="AB2988" t="s">
        <v>17718</v>
      </c>
      <c r="AC2988">
        <v>2</v>
      </c>
      <c r="AD2988" t="s">
        <v>19565</v>
      </c>
      <c r="AE2988" t="s">
        <v>9144</v>
      </c>
      <c r="AF2988">
        <v>5</v>
      </c>
      <c r="AG2988">
        <v>5</v>
      </c>
      <c r="AH2988">
        <v>1</v>
      </c>
      <c r="AI2988">
        <v>99.73999999999999</v>
      </c>
      <c r="AL2988" t="s">
        <v>19614</v>
      </c>
      <c r="AM2988">
        <v>34500</v>
      </c>
      <c r="AS2988">
        <v>2.5</v>
      </c>
      <c r="AT2988" t="s">
        <v>750</v>
      </c>
      <c r="AU2988" t="s">
        <v>95</v>
      </c>
      <c r="AV2988" t="s">
        <v>20733</v>
      </c>
    </row>
    <row r="2989" spans="1:48">
      <c r="A2989" s="1">
        <f>HYPERLINK("https://lsnyc.legalserver.org/matter/dynamic-profile/view/1890235","19-1890235")</f>
        <v>0</v>
      </c>
      <c r="B2989" t="s">
        <v>122</v>
      </c>
      <c r="C2989" t="s">
        <v>257</v>
      </c>
      <c r="D2989" t="s">
        <v>491</v>
      </c>
      <c r="E2989" t="s">
        <v>414</v>
      </c>
      <c r="F2989" t="s">
        <v>2206</v>
      </c>
      <c r="G2989" t="s">
        <v>3412</v>
      </c>
      <c r="H2989" t="s">
        <v>7166</v>
      </c>
      <c r="I2989" t="s">
        <v>8170</v>
      </c>
      <c r="J2989" t="s">
        <v>9066</v>
      </c>
      <c r="K2989">
        <v>10304</v>
      </c>
      <c r="L2989" t="s">
        <v>9094</v>
      </c>
      <c r="M2989" t="s">
        <v>9094</v>
      </c>
      <c r="N2989" t="s">
        <v>10253</v>
      </c>
      <c r="O2989" t="s">
        <v>11128</v>
      </c>
      <c r="P2989" t="s">
        <v>11165</v>
      </c>
      <c r="Q2989" t="s">
        <v>11174</v>
      </c>
      <c r="R2989" t="s">
        <v>11180</v>
      </c>
      <c r="S2989" t="s">
        <v>9096</v>
      </c>
      <c r="T2989" t="s">
        <v>11183</v>
      </c>
      <c r="U2989" t="s">
        <v>11201</v>
      </c>
      <c r="V2989" t="s">
        <v>633</v>
      </c>
      <c r="W2989">
        <v>1100</v>
      </c>
      <c r="X2989" t="s">
        <v>11334</v>
      </c>
      <c r="Y2989" t="s">
        <v>11348</v>
      </c>
      <c r="Z2989" t="s">
        <v>12275</v>
      </c>
      <c r="AB2989" t="s">
        <v>17719</v>
      </c>
      <c r="AC2989">
        <v>5</v>
      </c>
      <c r="AD2989" t="s">
        <v>19565</v>
      </c>
      <c r="AE2989" t="s">
        <v>9144</v>
      </c>
      <c r="AF2989">
        <v>5</v>
      </c>
      <c r="AG2989">
        <v>1</v>
      </c>
      <c r="AH2989">
        <v>0</v>
      </c>
      <c r="AI2989">
        <v>99.81999999999999</v>
      </c>
      <c r="AL2989" t="s">
        <v>19614</v>
      </c>
      <c r="AM2989">
        <v>12468</v>
      </c>
      <c r="AO2989" t="s">
        <v>20290</v>
      </c>
      <c r="AP2989" t="s">
        <v>20309</v>
      </c>
      <c r="AQ2989" t="s">
        <v>20369</v>
      </c>
      <c r="AR2989" t="s">
        <v>20432</v>
      </c>
      <c r="AS2989">
        <v>13</v>
      </c>
      <c r="AT2989" t="s">
        <v>367</v>
      </c>
      <c r="AU2989" t="s">
        <v>128</v>
      </c>
      <c r="AV2989" t="s">
        <v>20733</v>
      </c>
    </row>
    <row r="2990" spans="1:48">
      <c r="A2990" s="1">
        <f>HYPERLINK("https://lsnyc.legalserver.org/matter/dynamic-profile/view/1891269","19-1891269")</f>
        <v>0</v>
      </c>
      <c r="B2990" t="s">
        <v>117</v>
      </c>
      <c r="C2990" t="s">
        <v>256</v>
      </c>
      <c r="D2990" t="s">
        <v>491</v>
      </c>
      <c r="F2990" t="s">
        <v>1367</v>
      </c>
      <c r="G2990" t="s">
        <v>3811</v>
      </c>
      <c r="H2990" t="s">
        <v>5887</v>
      </c>
      <c r="I2990" t="s">
        <v>8348</v>
      </c>
      <c r="J2990" t="s">
        <v>9065</v>
      </c>
      <c r="K2990">
        <v>10453</v>
      </c>
      <c r="L2990" t="s">
        <v>9094</v>
      </c>
      <c r="M2990" t="s">
        <v>9096</v>
      </c>
      <c r="N2990" t="s">
        <v>10254</v>
      </c>
      <c r="O2990" t="s">
        <v>11129</v>
      </c>
      <c r="P2990" t="s">
        <v>11165</v>
      </c>
      <c r="R2990" t="s">
        <v>11180</v>
      </c>
      <c r="S2990" t="s">
        <v>9096</v>
      </c>
      <c r="T2990" t="s">
        <v>11183</v>
      </c>
      <c r="U2990" t="s">
        <v>11201</v>
      </c>
      <c r="V2990" t="s">
        <v>993</v>
      </c>
      <c r="W2990">
        <v>856.46</v>
      </c>
      <c r="X2990" t="s">
        <v>11333</v>
      </c>
      <c r="Y2990" t="s">
        <v>11340</v>
      </c>
      <c r="Z2990" t="s">
        <v>11975</v>
      </c>
      <c r="AB2990" t="s">
        <v>16427</v>
      </c>
      <c r="AC2990">
        <v>167</v>
      </c>
      <c r="AD2990" t="s">
        <v>19566</v>
      </c>
      <c r="AE2990" t="s">
        <v>19582</v>
      </c>
      <c r="AF2990">
        <v>18</v>
      </c>
      <c r="AG2990">
        <v>2</v>
      </c>
      <c r="AH2990">
        <v>2</v>
      </c>
      <c r="AI2990">
        <v>99.91</v>
      </c>
      <c r="AL2990" t="s">
        <v>19615</v>
      </c>
      <c r="AM2990">
        <v>25727</v>
      </c>
      <c r="AN2990" t="s">
        <v>19923</v>
      </c>
      <c r="AS2990">
        <v>11.55</v>
      </c>
      <c r="AT2990" t="s">
        <v>318</v>
      </c>
      <c r="AU2990" t="s">
        <v>20642</v>
      </c>
      <c r="AV2990" t="s">
        <v>20733</v>
      </c>
    </row>
    <row r="2991" spans="1:48">
      <c r="A2991" s="1">
        <f>HYPERLINK("https://lsnyc.legalserver.org/matter/dynamic-profile/view/1899796","19-1899796")</f>
        <v>0</v>
      </c>
      <c r="B2991" t="s">
        <v>204</v>
      </c>
      <c r="C2991" t="s">
        <v>257</v>
      </c>
      <c r="D2991" t="s">
        <v>411</v>
      </c>
      <c r="E2991" t="s">
        <v>425</v>
      </c>
      <c r="F2991" t="s">
        <v>2213</v>
      </c>
      <c r="G2991" t="s">
        <v>4630</v>
      </c>
      <c r="H2991" t="s">
        <v>7167</v>
      </c>
      <c r="I2991" t="s">
        <v>8132</v>
      </c>
      <c r="J2991" t="s">
        <v>9059</v>
      </c>
      <c r="K2991">
        <v>11212</v>
      </c>
      <c r="L2991" t="s">
        <v>9096</v>
      </c>
      <c r="M2991" t="s">
        <v>9095</v>
      </c>
      <c r="N2991" t="s">
        <v>10255</v>
      </c>
      <c r="O2991" t="s">
        <v>11129</v>
      </c>
      <c r="P2991" t="s">
        <v>11167</v>
      </c>
      <c r="Q2991" t="s">
        <v>11173</v>
      </c>
      <c r="R2991" t="s">
        <v>11180</v>
      </c>
      <c r="T2991" t="s">
        <v>11183</v>
      </c>
      <c r="W2991">
        <v>1025</v>
      </c>
      <c r="X2991" t="s">
        <v>11332</v>
      </c>
      <c r="Y2991" t="s">
        <v>11338</v>
      </c>
      <c r="Z2991" t="s">
        <v>11918</v>
      </c>
      <c r="AB2991" t="s">
        <v>17720</v>
      </c>
      <c r="AC2991">
        <v>0</v>
      </c>
      <c r="AD2991" t="s">
        <v>19566</v>
      </c>
      <c r="AE2991" t="s">
        <v>19585</v>
      </c>
      <c r="AF2991">
        <v>6</v>
      </c>
      <c r="AG2991">
        <v>1</v>
      </c>
      <c r="AH2991">
        <v>0</v>
      </c>
      <c r="AI2991">
        <v>99.92</v>
      </c>
      <c r="AL2991" t="s">
        <v>19614</v>
      </c>
      <c r="AM2991">
        <v>12480</v>
      </c>
      <c r="AS2991">
        <v>4.75</v>
      </c>
      <c r="AT2991" t="s">
        <v>425</v>
      </c>
      <c r="AU2991" t="s">
        <v>20629</v>
      </c>
    </row>
    <row r="2992" spans="1:48">
      <c r="A2992" s="1">
        <f>HYPERLINK("https://lsnyc.legalserver.org/matter/dynamic-profile/view/1910526","19-1910526")</f>
        <v>0</v>
      </c>
      <c r="B2992" t="s">
        <v>114</v>
      </c>
      <c r="C2992" t="s">
        <v>256</v>
      </c>
      <c r="D2992" t="s">
        <v>320</v>
      </c>
      <c r="F2992" t="s">
        <v>2393</v>
      </c>
      <c r="G2992" t="s">
        <v>3448</v>
      </c>
      <c r="H2992" t="s">
        <v>7168</v>
      </c>
      <c r="I2992">
        <v>26</v>
      </c>
      <c r="J2992" t="s">
        <v>9065</v>
      </c>
      <c r="K2992">
        <v>10458</v>
      </c>
      <c r="L2992" t="s">
        <v>9094</v>
      </c>
      <c r="M2992" t="s">
        <v>9095</v>
      </c>
      <c r="N2992" t="s">
        <v>10256</v>
      </c>
      <c r="O2992" t="s">
        <v>11128</v>
      </c>
      <c r="R2992" t="s">
        <v>11180</v>
      </c>
      <c r="S2992" t="s">
        <v>9096</v>
      </c>
      <c r="T2992" t="s">
        <v>11183</v>
      </c>
      <c r="W2992">
        <v>986.4</v>
      </c>
      <c r="X2992" t="s">
        <v>11333</v>
      </c>
      <c r="Y2992" t="s">
        <v>11346</v>
      </c>
      <c r="Z2992" t="s">
        <v>13380</v>
      </c>
      <c r="AA2992" t="s">
        <v>15751</v>
      </c>
      <c r="AB2992" t="s">
        <v>17721</v>
      </c>
      <c r="AC2992">
        <v>30</v>
      </c>
      <c r="AD2992" t="s">
        <v>19566</v>
      </c>
      <c r="AE2992" t="s">
        <v>19581</v>
      </c>
      <c r="AF2992">
        <v>5</v>
      </c>
      <c r="AG2992">
        <v>1</v>
      </c>
      <c r="AH2992">
        <v>0</v>
      </c>
      <c r="AI2992">
        <v>99.92</v>
      </c>
      <c r="AL2992" t="s">
        <v>19615</v>
      </c>
      <c r="AM2992">
        <v>12480</v>
      </c>
      <c r="AS2992">
        <v>7.72</v>
      </c>
      <c r="AT2992" t="s">
        <v>594</v>
      </c>
      <c r="AU2992" t="s">
        <v>20642</v>
      </c>
      <c r="AV2992" t="s">
        <v>20733</v>
      </c>
    </row>
    <row r="2993" spans="1:48">
      <c r="A2993" s="1">
        <f>HYPERLINK("https://lsnyc.legalserver.org/matter/dynamic-profile/view/1908894","19-1908894")</f>
        <v>0</v>
      </c>
      <c r="B2993" t="s">
        <v>117</v>
      </c>
      <c r="C2993" t="s">
        <v>256</v>
      </c>
      <c r="D2993" t="s">
        <v>806</v>
      </c>
      <c r="F2993" t="s">
        <v>2393</v>
      </c>
      <c r="G2993" t="s">
        <v>3448</v>
      </c>
      <c r="H2993" t="s">
        <v>7168</v>
      </c>
      <c r="I2993">
        <v>26</v>
      </c>
      <c r="J2993" t="s">
        <v>9065</v>
      </c>
      <c r="K2993">
        <v>10458</v>
      </c>
      <c r="L2993" t="s">
        <v>9094</v>
      </c>
      <c r="M2993" t="s">
        <v>9095</v>
      </c>
      <c r="R2993" t="s">
        <v>11180</v>
      </c>
      <c r="S2993" t="s">
        <v>9096</v>
      </c>
      <c r="T2993" t="s">
        <v>11183</v>
      </c>
      <c r="W2993">
        <v>986.4</v>
      </c>
      <c r="X2993" t="s">
        <v>11333</v>
      </c>
      <c r="Y2993" t="s">
        <v>11346</v>
      </c>
      <c r="Z2993" t="s">
        <v>13380</v>
      </c>
      <c r="AA2993" t="s">
        <v>15751</v>
      </c>
      <c r="AB2993" t="s">
        <v>17721</v>
      </c>
      <c r="AC2993">
        <v>30</v>
      </c>
      <c r="AD2993" t="s">
        <v>19566</v>
      </c>
      <c r="AE2993" t="s">
        <v>19581</v>
      </c>
      <c r="AF2993">
        <v>5</v>
      </c>
      <c r="AG2993">
        <v>1</v>
      </c>
      <c r="AH2993">
        <v>0</v>
      </c>
      <c r="AI2993">
        <v>99.92</v>
      </c>
      <c r="AL2993" t="s">
        <v>19615</v>
      </c>
      <c r="AM2993">
        <v>12480</v>
      </c>
      <c r="AS2993">
        <v>0</v>
      </c>
      <c r="AU2993" t="s">
        <v>220</v>
      </c>
    </row>
    <row r="2994" spans="1:48">
      <c r="A2994" s="1">
        <f>HYPERLINK("https://lsnyc.legalserver.org/matter/dynamic-profile/view/1915154","19-1915154")</f>
        <v>0</v>
      </c>
      <c r="B2994" t="s">
        <v>79</v>
      </c>
      <c r="C2994" t="s">
        <v>256</v>
      </c>
      <c r="D2994" t="s">
        <v>270</v>
      </c>
      <c r="F2994" t="s">
        <v>2394</v>
      </c>
      <c r="G2994" t="s">
        <v>4631</v>
      </c>
      <c r="H2994" t="s">
        <v>7169</v>
      </c>
      <c r="I2994" t="s">
        <v>8270</v>
      </c>
      <c r="J2994" t="s">
        <v>9059</v>
      </c>
      <c r="K2994">
        <v>11208</v>
      </c>
      <c r="L2994" t="s">
        <v>9095</v>
      </c>
      <c r="M2994" t="s">
        <v>9095</v>
      </c>
      <c r="N2994" t="s">
        <v>9121</v>
      </c>
      <c r="O2994" t="s">
        <v>9121</v>
      </c>
      <c r="P2994" t="s">
        <v>11169</v>
      </c>
      <c r="R2994" t="s">
        <v>11180</v>
      </c>
      <c r="S2994" t="s">
        <v>9096</v>
      </c>
      <c r="T2994" t="s">
        <v>11183</v>
      </c>
      <c r="W2994">
        <v>1774.55</v>
      </c>
      <c r="X2994" t="s">
        <v>11332</v>
      </c>
      <c r="Y2994" t="s">
        <v>11157</v>
      </c>
      <c r="Z2994" t="s">
        <v>13381</v>
      </c>
      <c r="AA2994" t="s">
        <v>9144</v>
      </c>
      <c r="AB2994" t="s">
        <v>17722</v>
      </c>
      <c r="AC2994">
        <v>24</v>
      </c>
      <c r="AD2994" t="s">
        <v>19566</v>
      </c>
      <c r="AE2994" t="s">
        <v>19580</v>
      </c>
      <c r="AF2994">
        <v>14</v>
      </c>
      <c r="AG2994">
        <v>1</v>
      </c>
      <c r="AH2994">
        <v>1</v>
      </c>
      <c r="AI2994">
        <v>99.94</v>
      </c>
      <c r="AL2994" t="s">
        <v>19614</v>
      </c>
      <c r="AM2994">
        <v>16900</v>
      </c>
      <c r="AS2994">
        <v>0</v>
      </c>
      <c r="AU2994" t="s">
        <v>79</v>
      </c>
    </row>
    <row r="2995" spans="1:48">
      <c r="A2995" s="1">
        <f>HYPERLINK("https://lsnyc.legalserver.org/matter/dynamic-profile/view/1884240","18-1884240")</f>
        <v>0</v>
      </c>
      <c r="B2995" t="s">
        <v>114</v>
      </c>
      <c r="C2995" t="s">
        <v>256</v>
      </c>
      <c r="D2995" t="s">
        <v>343</v>
      </c>
      <c r="F2995" t="s">
        <v>2395</v>
      </c>
      <c r="G2995" t="s">
        <v>4632</v>
      </c>
      <c r="H2995" t="s">
        <v>7170</v>
      </c>
      <c r="I2995" t="s">
        <v>8178</v>
      </c>
      <c r="J2995" t="s">
        <v>9065</v>
      </c>
      <c r="K2995">
        <v>10456</v>
      </c>
      <c r="L2995" t="s">
        <v>9094</v>
      </c>
      <c r="M2995" t="s">
        <v>9094</v>
      </c>
      <c r="N2995" t="s">
        <v>10257</v>
      </c>
      <c r="O2995" t="s">
        <v>11129</v>
      </c>
      <c r="P2995" t="s">
        <v>11165</v>
      </c>
      <c r="R2995" t="s">
        <v>11180</v>
      </c>
      <c r="T2995" t="s">
        <v>11183</v>
      </c>
      <c r="U2995" t="s">
        <v>11198</v>
      </c>
      <c r="V2995" t="s">
        <v>343</v>
      </c>
      <c r="W2995">
        <v>1358</v>
      </c>
      <c r="X2995" t="s">
        <v>11333</v>
      </c>
      <c r="Y2995" t="s">
        <v>11336</v>
      </c>
      <c r="Z2995" t="s">
        <v>13382</v>
      </c>
      <c r="AB2995" t="s">
        <v>17723</v>
      </c>
      <c r="AC2995">
        <v>0</v>
      </c>
      <c r="AD2995" t="s">
        <v>19565</v>
      </c>
      <c r="AE2995" t="s">
        <v>9144</v>
      </c>
      <c r="AF2995">
        <v>8</v>
      </c>
      <c r="AG2995">
        <v>2</v>
      </c>
      <c r="AH2995">
        <v>1</v>
      </c>
      <c r="AI2995">
        <v>100.09</v>
      </c>
      <c r="AL2995" t="s">
        <v>19614</v>
      </c>
      <c r="AM2995">
        <v>20798.4</v>
      </c>
      <c r="AN2995" t="s">
        <v>19696</v>
      </c>
      <c r="AS2995">
        <v>9.300000000000001</v>
      </c>
      <c r="AT2995" t="s">
        <v>750</v>
      </c>
      <c r="AU2995" t="s">
        <v>247</v>
      </c>
    </row>
    <row r="2996" spans="1:48">
      <c r="A2996" s="1">
        <f>HYPERLINK("https://lsnyc.legalserver.org/matter/dynamic-profile/view/1871625","18-1871625")</f>
        <v>0</v>
      </c>
      <c r="B2996" t="s">
        <v>78</v>
      </c>
      <c r="C2996" t="s">
        <v>256</v>
      </c>
      <c r="D2996" t="s">
        <v>609</v>
      </c>
      <c r="F2996" t="s">
        <v>1199</v>
      </c>
      <c r="G2996" t="s">
        <v>3359</v>
      </c>
      <c r="H2996" t="s">
        <v>5809</v>
      </c>
      <c r="I2996" t="s">
        <v>8132</v>
      </c>
      <c r="J2996" t="s">
        <v>9059</v>
      </c>
      <c r="K2996">
        <v>11212</v>
      </c>
      <c r="L2996" t="s">
        <v>9094</v>
      </c>
      <c r="M2996" t="s">
        <v>9095</v>
      </c>
      <c r="O2996" t="s">
        <v>9121</v>
      </c>
      <c r="P2996" t="s">
        <v>11167</v>
      </c>
      <c r="R2996" t="s">
        <v>11180</v>
      </c>
      <c r="S2996" t="s">
        <v>9094</v>
      </c>
      <c r="T2996" t="s">
        <v>11183</v>
      </c>
      <c r="V2996" t="s">
        <v>11214</v>
      </c>
      <c r="W2996">
        <v>862.52</v>
      </c>
      <c r="X2996" t="s">
        <v>11332</v>
      </c>
      <c r="Y2996" t="s">
        <v>11157</v>
      </c>
      <c r="Z2996" t="s">
        <v>13383</v>
      </c>
      <c r="AB2996" t="s">
        <v>17724</v>
      </c>
      <c r="AC2996">
        <v>32</v>
      </c>
      <c r="AD2996" t="s">
        <v>19566</v>
      </c>
      <c r="AE2996" t="s">
        <v>9144</v>
      </c>
      <c r="AF2996">
        <v>6</v>
      </c>
      <c r="AG2996">
        <v>3</v>
      </c>
      <c r="AH2996">
        <v>0</v>
      </c>
      <c r="AI2996">
        <v>100.1</v>
      </c>
      <c r="AL2996" t="s">
        <v>19614</v>
      </c>
      <c r="AM2996">
        <v>20800</v>
      </c>
      <c r="AS2996">
        <v>0</v>
      </c>
      <c r="AU2996" t="s">
        <v>20637</v>
      </c>
    </row>
    <row r="2997" spans="1:48">
      <c r="A2997" s="1">
        <f>HYPERLINK("https://lsnyc.legalserver.org/matter/dynamic-profile/view/1867294","18-1867294")</f>
        <v>0</v>
      </c>
      <c r="B2997" t="s">
        <v>78</v>
      </c>
      <c r="C2997" t="s">
        <v>256</v>
      </c>
      <c r="D2997" t="s">
        <v>983</v>
      </c>
      <c r="F2997" t="s">
        <v>1199</v>
      </c>
      <c r="G2997" t="s">
        <v>3359</v>
      </c>
      <c r="H2997" t="s">
        <v>5809</v>
      </c>
      <c r="I2997" t="s">
        <v>8132</v>
      </c>
      <c r="J2997" t="s">
        <v>9059</v>
      </c>
      <c r="K2997">
        <v>11212</v>
      </c>
      <c r="L2997" t="s">
        <v>9094</v>
      </c>
      <c r="M2997" t="s">
        <v>9095</v>
      </c>
      <c r="O2997" t="s">
        <v>11137</v>
      </c>
      <c r="P2997" t="s">
        <v>11166</v>
      </c>
      <c r="R2997" t="s">
        <v>11180</v>
      </c>
      <c r="S2997" t="s">
        <v>9094</v>
      </c>
      <c r="T2997" t="s">
        <v>11183</v>
      </c>
      <c r="V2997" t="s">
        <v>673</v>
      </c>
      <c r="W2997">
        <v>862.52</v>
      </c>
      <c r="X2997" t="s">
        <v>11332</v>
      </c>
      <c r="Y2997" t="s">
        <v>11157</v>
      </c>
      <c r="Z2997" t="s">
        <v>13383</v>
      </c>
      <c r="AB2997" t="s">
        <v>17724</v>
      </c>
      <c r="AC2997">
        <v>32</v>
      </c>
      <c r="AD2997" t="s">
        <v>19566</v>
      </c>
      <c r="AF2997">
        <v>6</v>
      </c>
      <c r="AG2997">
        <v>3</v>
      </c>
      <c r="AH2997">
        <v>0</v>
      </c>
      <c r="AI2997">
        <v>100.1</v>
      </c>
      <c r="AL2997" t="s">
        <v>19614</v>
      </c>
      <c r="AM2997">
        <v>20800</v>
      </c>
      <c r="AS2997">
        <v>0</v>
      </c>
      <c r="AU2997" t="s">
        <v>95</v>
      </c>
    </row>
    <row r="2998" spans="1:48">
      <c r="A2998" s="1">
        <f>HYPERLINK("https://lsnyc.legalserver.org/matter/dynamic-profile/view/1860743","18-1860743")</f>
        <v>0</v>
      </c>
      <c r="B2998" t="s">
        <v>138</v>
      </c>
      <c r="C2998" t="s">
        <v>256</v>
      </c>
      <c r="D2998" t="s">
        <v>737</v>
      </c>
      <c r="F2998" t="s">
        <v>2091</v>
      </c>
      <c r="G2998" t="s">
        <v>3677</v>
      </c>
      <c r="H2998" t="s">
        <v>7171</v>
      </c>
      <c r="I2998" t="s">
        <v>8191</v>
      </c>
      <c r="J2998" t="s">
        <v>9067</v>
      </c>
      <c r="K2998">
        <v>10040</v>
      </c>
      <c r="L2998" t="s">
        <v>9094</v>
      </c>
      <c r="M2998" t="s">
        <v>9095</v>
      </c>
      <c r="O2998" t="s">
        <v>11129</v>
      </c>
      <c r="P2998" t="s">
        <v>11169</v>
      </c>
      <c r="R2998" t="s">
        <v>11180</v>
      </c>
      <c r="S2998" t="s">
        <v>9096</v>
      </c>
      <c r="T2998" t="s">
        <v>11183</v>
      </c>
      <c r="V2998" t="s">
        <v>737</v>
      </c>
      <c r="W2998">
        <v>1198.55</v>
      </c>
      <c r="X2998" t="s">
        <v>11335</v>
      </c>
      <c r="Y2998" t="s">
        <v>11338</v>
      </c>
      <c r="Z2998" t="s">
        <v>13384</v>
      </c>
      <c r="AB2998" t="s">
        <v>17725</v>
      </c>
      <c r="AC2998">
        <v>53</v>
      </c>
      <c r="AD2998" t="s">
        <v>19566</v>
      </c>
      <c r="AE2998" t="s">
        <v>9144</v>
      </c>
      <c r="AF2998">
        <v>9</v>
      </c>
      <c r="AG2998">
        <v>2</v>
      </c>
      <c r="AH2998">
        <v>1</v>
      </c>
      <c r="AI2998">
        <v>100.1</v>
      </c>
      <c r="AL2998" t="s">
        <v>19615</v>
      </c>
      <c r="AM2998">
        <v>20800</v>
      </c>
      <c r="AS2998">
        <v>80.34999999999999</v>
      </c>
      <c r="AT2998" t="s">
        <v>269</v>
      </c>
      <c r="AU2998" t="s">
        <v>130</v>
      </c>
    </row>
    <row r="2999" spans="1:48">
      <c r="A2999" s="1">
        <f>HYPERLINK("https://lsnyc.legalserver.org/matter/dynamic-profile/view/1895189","19-1895189")</f>
        <v>0</v>
      </c>
      <c r="B2999" t="s">
        <v>142</v>
      </c>
      <c r="C2999" t="s">
        <v>256</v>
      </c>
      <c r="D2999" t="s">
        <v>278</v>
      </c>
      <c r="F2999" t="s">
        <v>2024</v>
      </c>
      <c r="G2999" t="s">
        <v>4633</v>
      </c>
      <c r="H2999" t="s">
        <v>7172</v>
      </c>
      <c r="I2999" t="s">
        <v>8213</v>
      </c>
      <c r="J2999" t="s">
        <v>9067</v>
      </c>
      <c r="K2999">
        <v>10028</v>
      </c>
      <c r="L2999" t="s">
        <v>9094</v>
      </c>
      <c r="M2999" t="s">
        <v>9094</v>
      </c>
      <c r="N2999" t="s">
        <v>10258</v>
      </c>
      <c r="O2999" t="s">
        <v>11129</v>
      </c>
      <c r="P2999" t="s">
        <v>11165</v>
      </c>
      <c r="R2999" t="s">
        <v>11180</v>
      </c>
      <c r="S2999" t="s">
        <v>9096</v>
      </c>
      <c r="T2999" t="s">
        <v>11183</v>
      </c>
      <c r="U2999" t="s">
        <v>11201</v>
      </c>
      <c r="V2999" t="s">
        <v>278</v>
      </c>
      <c r="W2999">
        <v>1849.37</v>
      </c>
      <c r="X2999" t="s">
        <v>11335</v>
      </c>
      <c r="Y2999" t="s">
        <v>11336</v>
      </c>
      <c r="Z2999" t="s">
        <v>13385</v>
      </c>
      <c r="AB2999" t="s">
        <v>17726</v>
      </c>
      <c r="AC2999">
        <v>60</v>
      </c>
      <c r="AD2999" t="s">
        <v>19569</v>
      </c>
      <c r="AE2999" t="s">
        <v>19587</v>
      </c>
      <c r="AF2999">
        <v>50</v>
      </c>
      <c r="AG2999">
        <v>2</v>
      </c>
      <c r="AH2999">
        <v>0</v>
      </c>
      <c r="AI2999">
        <v>100.13</v>
      </c>
      <c r="AL2999" t="s">
        <v>19614</v>
      </c>
      <c r="AM2999">
        <v>16932</v>
      </c>
      <c r="AS2999">
        <v>28.9</v>
      </c>
      <c r="AT2999" t="s">
        <v>309</v>
      </c>
      <c r="AU2999" t="s">
        <v>20657</v>
      </c>
    </row>
    <row r="3000" spans="1:48">
      <c r="A3000" s="1">
        <f>HYPERLINK("https://lsnyc.legalserver.org/matter/dynamic-profile/view/1876753","18-1876753")</f>
        <v>0</v>
      </c>
      <c r="B3000" t="s">
        <v>71</v>
      </c>
      <c r="C3000" t="s">
        <v>257</v>
      </c>
      <c r="D3000" t="s">
        <v>500</v>
      </c>
      <c r="E3000" t="s">
        <v>457</v>
      </c>
      <c r="F3000" t="s">
        <v>2396</v>
      </c>
      <c r="G3000" t="s">
        <v>4634</v>
      </c>
      <c r="H3000" t="s">
        <v>7173</v>
      </c>
      <c r="I3000">
        <v>2</v>
      </c>
      <c r="J3000" t="s">
        <v>9059</v>
      </c>
      <c r="K3000">
        <v>11208</v>
      </c>
      <c r="L3000" t="s">
        <v>9094</v>
      </c>
      <c r="M3000" t="s">
        <v>9094</v>
      </c>
      <c r="N3000" t="s">
        <v>10259</v>
      </c>
      <c r="O3000" t="s">
        <v>11129</v>
      </c>
      <c r="P3000" t="s">
        <v>11165</v>
      </c>
      <c r="Q3000" t="s">
        <v>11178</v>
      </c>
      <c r="R3000" t="s">
        <v>11180</v>
      </c>
      <c r="S3000" t="s">
        <v>9096</v>
      </c>
      <c r="T3000" t="s">
        <v>11183</v>
      </c>
      <c r="U3000" t="s">
        <v>11202</v>
      </c>
      <c r="V3000" t="s">
        <v>846</v>
      </c>
      <c r="W3000">
        <v>1975</v>
      </c>
      <c r="X3000" t="s">
        <v>11332</v>
      </c>
      <c r="Y3000" t="s">
        <v>11336</v>
      </c>
      <c r="Z3000" t="s">
        <v>13386</v>
      </c>
      <c r="AA3000" t="s">
        <v>15752</v>
      </c>
      <c r="AB3000" t="s">
        <v>17727</v>
      </c>
      <c r="AC3000">
        <v>4</v>
      </c>
      <c r="AD3000" t="s">
        <v>19565</v>
      </c>
      <c r="AE3000" t="s">
        <v>19586</v>
      </c>
      <c r="AF3000">
        <v>3</v>
      </c>
      <c r="AG3000">
        <v>2</v>
      </c>
      <c r="AH3000">
        <v>4</v>
      </c>
      <c r="AI3000">
        <v>100.18</v>
      </c>
      <c r="AL3000" t="s">
        <v>19614</v>
      </c>
      <c r="AM3000">
        <v>33800</v>
      </c>
      <c r="AS3000">
        <v>31.95</v>
      </c>
      <c r="AT3000" t="s">
        <v>739</v>
      </c>
      <c r="AU3000" t="s">
        <v>95</v>
      </c>
    </row>
    <row r="3001" spans="1:48">
      <c r="A3001" s="1">
        <f>HYPERLINK("https://lsnyc.legalserver.org/matter/dynamic-profile/view/1901398","19-1901398")</f>
        <v>0</v>
      </c>
      <c r="B3001" t="s">
        <v>134</v>
      </c>
      <c r="C3001" t="s">
        <v>256</v>
      </c>
      <c r="D3001" t="s">
        <v>471</v>
      </c>
      <c r="F3001" t="s">
        <v>1417</v>
      </c>
      <c r="G3001" t="s">
        <v>3595</v>
      </c>
      <c r="H3001" t="s">
        <v>5957</v>
      </c>
      <c r="I3001" t="s">
        <v>8265</v>
      </c>
      <c r="J3001" t="s">
        <v>9067</v>
      </c>
      <c r="K3001">
        <v>10032</v>
      </c>
      <c r="L3001" t="s">
        <v>9094</v>
      </c>
      <c r="M3001" t="s">
        <v>9095</v>
      </c>
      <c r="P3001" t="s">
        <v>11165</v>
      </c>
      <c r="R3001" t="s">
        <v>11180</v>
      </c>
      <c r="S3001" t="s">
        <v>9096</v>
      </c>
      <c r="T3001" t="s">
        <v>11183</v>
      </c>
      <c r="V3001" t="s">
        <v>471</v>
      </c>
      <c r="W3001">
        <v>858.16</v>
      </c>
      <c r="X3001" t="s">
        <v>11335</v>
      </c>
      <c r="Z3001" t="s">
        <v>11670</v>
      </c>
      <c r="AB3001" t="s">
        <v>16144</v>
      </c>
      <c r="AC3001">
        <v>42</v>
      </c>
      <c r="AD3001" t="s">
        <v>19566</v>
      </c>
      <c r="AE3001" t="s">
        <v>9144</v>
      </c>
      <c r="AF3001">
        <v>35</v>
      </c>
      <c r="AG3001">
        <v>1</v>
      </c>
      <c r="AH3001">
        <v>1</v>
      </c>
      <c r="AI3001">
        <v>100.25</v>
      </c>
      <c r="AL3001" t="s">
        <v>19615</v>
      </c>
      <c r="AM3001">
        <v>16952</v>
      </c>
      <c r="AS3001">
        <v>25.95</v>
      </c>
      <c r="AT3001" t="s">
        <v>335</v>
      </c>
      <c r="AU3001" t="s">
        <v>130</v>
      </c>
      <c r="AV3001" t="s">
        <v>20733</v>
      </c>
    </row>
    <row r="3002" spans="1:48">
      <c r="A3002" s="1">
        <f>HYPERLINK("https://lsnyc.legalserver.org/matter/dynamic-profile/view/1898305","19-1898305")</f>
        <v>0</v>
      </c>
      <c r="B3002" t="s">
        <v>101</v>
      </c>
      <c r="C3002" t="s">
        <v>256</v>
      </c>
      <c r="D3002" t="s">
        <v>596</v>
      </c>
      <c r="F3002" t="s">
        <v>1616</v>
      </c>
      <c r="G3002" t="s">
        <v>4635</v>
      </c>
      <c r="H3002" t="s">
        <v>6383</v>
      </c>
      <c r="I3002" t="s">
        <v>8250</v>
      </c>
      <c r="J3002" t="s">
        <v>9065</v>
      </c>
      <c r="K3002">
        <v>10467</v>
      </c>
      <c r="L3002" t="s">
        <v>9094</v>
      </c>
      <c r="M3002" t="s">
        <v>9094</v>
      </c>
      <c r="O3002" t="s">
        <v>11134</v>
      </c>
      <c r="P3002" t="s">
        <v>11168</v>
      </c>
      <c r="R3002" t="s">
        <v>11180</v>
      </c>
      <c r="S3002" t="s">
        <v>9094</v>
      </c>
      <c r="T3002" t="s">
        <v>11183</v>
      </c>
      <c r="V3002" t="s">
        <v>11218</v>
      </c>
      <c r="W3002">
        <v>685.67</v>
      </c>
      <c r="X3002" t="s">
        <v>11333</v>
      </c>
      <c r="Y3002" t="s">
        <v>11346</v>
      </c>
      <c r="Z3002" t="s">
        <v>13387</v>
      </c>
      <c r="AB3002" t="s">
        <v>17019</v>
      </c>
      <c r="AC3002">
        <v>60</v>
      </c>
      <c r="AD3002" t="s">
        <v>15441</v>
      </c>
      <c r="AE3002" t="s">
        <v>9144</v>
      </c>
      <c r="AF3002">
        <v>37</v>
      </c>
      <c r="AG3002">
        <v>1</v>
      </c>
      <c r="AH3002">
        <v>0</v>
      </c>
      <c r="AI3002">
        <v>100.28</v>
      </c>
      <c r="AL3002" t="s">
        <v>19614</v>
      </c>
      <c r="AM3002">
        <v>12525</v>
      </c>
      <c r="AS3002">
        <v>0</v>
      </c>
      <c r="AU3002" t="s">
        <v>20642</v>
      </c>
    </row>
    <row r="3003" spans="1:48">
      <c r="A3003" s="1">
        <f>HYPERLINK("https://lsnyc.legalserver.org/matter/dynamic-profile/view/1898233","19-1898233")</f>
        <v>0</v>
      </c>
      <c r="B3003" t="s">
        <v>101</v>
      </c>
      <c r="C3003" t="s">
        <v>256</v>
      </c>
      <c r="D3003" t="s">
        <v>596</v>
      </c>
      <c r="F3003" t="s">
        <v>1616</v>
      </c>
      <c r="G3003" t="s">
        <v>4635</v>
      </c>
      <c r="H3003" t="s">
        <v>6383</v>
      </c>
      <c r="I3003" t="s">
        <v>8250</v>
      </c>
      <c r="J3003" t="s">
        <v>9065</v>
      </c>
      <c r="K3003">
        <v>10467</v>
      </c>
      <c r="L3003" t="s">
        <v>9094</v>
      </c>
      <c r="M3003" t="s">
        <v>9094</v>
      </c>
      <c r="O3003" t="s">
        <v>11137</v>
      </c>
      <c r="P3003" t="s">
        <v>11166</v>
      </c>
      <c r="R3003" t="s">
        <v>11180</v>
      </c>
      <c r="S3003" t="s">
        <v>9094</v>
      </c>
      <c r="T3003" t="s">
        <v>11183</v>
      </c>
      <c r="V3003" t="s">
        <v>11218</v>
      </c>
      <c r="W3003">
        <v>0</v>
      </c>
      <c r="X3003" t="s">
        <v>11333</v>
      </c>
      <c r="Y3003" t="s">
        <v>11346</v>
      </c>
      <c r="Z3003" t="s">
        <v>13387</v>
      </c>
      <c r="AB3003" t="s">
        <v>17019</v>
      </c>
      <c r="AC3003">
        <v>37</v>
      </c>
      <c r="AD3003" t="s">
        <v>15441</v>
      </c>
      <c r="AE3003" t="s">
        <v>9144</v>
      </c>
      <c r="AF3003">
        <v>37</v>
      </c>
      <c r="AG3003">
        <v>1</v>
      </c>
      <c r="AH3003">
        <v>0</v>
      </c>
      <c r="AI3003">
        <v>100.28</v>
      </c>
      <c r="AL3003" t="s">
        <v>19614</v>
      </c>
      <c r="AM3003">
        <v>12525</v>
      </c>
      <c r="AS3003">
        <v>0</v>
      </c>
      <c r="AU3003" t="s">
        <v>20642</v>
      </c>
      <c r="AV3003" t="s">
        <v>20733</v>
      </c>
    </row>
    <row r="3004" spans="1:48">
      <c r="A3004" s="1">
        <f>HYPERLINK("https://lsnyc.legalserver.org/matter/dynamic-profile/view/1897794","19-1897794")</f>
        <v>0</v>
      </c>
      <c r="B3004" t="s">
        <v>86</v>
      </c>
      <c r="C3004" t="s">
        <v>256</v>
      </c>
      <c r="D3004" t="s">
        <v>291</v>
      </c>
      <c r="F3004" t="s">
        <v>1524</v>
      </c>
      <c r="G3004" t="s">
        <v>2196</v>
      </c>
      <c r="H3004" t="s">
        <v>5778</v>
      </c>
      <c r="I3004" t="s">
        <v>8687</v>
      </c>
      <c r="J3004" t="s">
        <v>9059</v>
      </c>
      <c r="K3004">
        <v>11226</v>
      </c>
      <c r="L3004" t="s">
        <v>9094</v>
      </c>
      <c r="M3004" t="s">
        <v>9094</v>
      </c>
      <c r="O3004" t="s">
        <v>11150</v>
      </c>
      <c r="P3004" t="s">
        <v>11165</v>
      </c>
      <c r="R3004" t="s">
        <v>11180</v>
      </c>
      <c r="T3004" t="s">
        <v>11183</v>
      </c>
      <c r="V3004" t="s">
        <v>291</v>
      </c>
      <c r="W3004">
        <v>261</v>
      </c>
      <c r="X3004" t="s">
        <v>11332</v>
      </c>
      <c r="Z3004" t="s">
        <v>13388</v>
      </c>
      <c r="AB3004" t="s">
        <v>17728</v>
      </c>
      <c r="AC3004">
        <v>0</v>
      </c>
      <c r="AF3004">
        <v>15</v>
      </c>
      <c r="AG3004">
        <v>1</v>
      </c>
      <c r="AH3004">
        <v>0</v>
      </c>
      <c r="AI3004">
        <v>100.3</v>
      </c>
      <c r="AL3004" t="s">
        <v>19614</v>
      </c>
      <c r="AM3004">
        <v>12528</v>
      </c>
      <c r="AS3004">
        <v>3.25</v>
      </c>
      <c r="AT3004" t="s">
        <v>261</v>
      </c>
      <c r="AU3004" t="s">
        <v>215</v>
      </c>
    </row>
    <row r="3005" spans="1:48">
      <c r="A3005" s="1">
        <f>HYPERLINK("https://lsnyc.legalserver.org/matter/dynamic-profile/view/1904727","19-1904727")</f>
        <v>0</v>
      </c>
      <c r="B3005" t="s">
        <v>119</v>
      </c>
      <c r="C3005" t="s">
        <v>256</v>
      </c>
      <c r="D3005" t="s">
        <v>497</v>
      </c>
      <c r="F3005" t="s">
        <v>1413</v>
      </c>
      <c r="G3005" t="s">
        <v>3531</v>
      </c>
      <c r="H3005" t="s">
        <v>6095</v>
      </c>
      <c r="I3005" t="s">
        <v>8475</v>
      </c>
      <c r="J3005" t="s">
        <v>9065</v>
      </c>
      <c r="K3005">
        <v>10456</v>
      </c>
      <c r="L3005" t="s">
        <v>9094</v>
      </c>
      <c r="M3005" t="s">
        <v>9095</v>
      </c>
      <c r="N3005" t="s">
        <v>9401</v>
      </c>
      <c r="O3005" t="s">
        <v>11134</v>
      </c>
      <c r="P3005" t="s">
        <v>11168</v>
      </c>
      <c r="R3005" t="s">
        <v>11180</v>
      </c>
      <c r="S3005" t="s">
        <v>9094</v>
      </c>
      <c r="T3005" t="s">
        <v>11183</v>
      </c>
      <c r="V3005" t="s">
        <v>11218</v>
      </c>
      <c r="W3005">
        <v>1200.58</v>
      </c>
      <c r="X3005" t="s">
        <v>11333</v>
      </c>
      <c r="Y3005" t="s">
        <v>11346</v>
      </c>
      <c r="Z3005" t="s">
        <v>13389</v>
      </c>
      <c r="AB3005" t="s">
        <v>17729</v>
      </c>
      <c r="AC3005">
        <v>131</v>
      </c>
      <c r="AD3005" t="s">
        <v>19566</v>
      </c>
      <c r="AE3005" t="s">
        <v>9144</v>
      </c>
      <c r="AF3005">
        <v>7</v>
      </c>
      <c r="AG3005">
        <v>3</v>
      </c>
      <c r="AH3005">
        <v>1</v>
      </c>
      <c r="AI3005">
        <v>100.37</v>
      </c>
      <c r="AL3005" t="s">
        <v>19615</v>
      </c>
      <c r="AM3005">
        <v>25844</v>
      </c>
      <c r="AS3005">
        <v>0</v>
      </c>
      <c r="AU3005" t="s">
        <v>163</v>
      </c>
      <c r="AV3005" t="s">
        <v>20733</v>
      </c>
    </row>
    <row r="3006" spans="1:48">
      <c r="A3006" s="1">
        <f>HYPERLINK("https://lsnyc.legalserver.org/matter/dynamic-profile/view/1911553","19-1911553")</f>
        <v>0</v>
      </c>
      <c r="B3006" t="s">
        <v>141</v>
      </c>
      <c r="C3006" t="s">
        <v>256</v>
      </c>
      <c r="D3006" t="s">
        <v>362</v>
      </c>
      <c r="F3006" t="s">
        <v>2397</v>
      </c>
      <c r="G3006" t="s">
        <v>4453</v>
      </c>
      <c r="H3006" t="s">
        <v>5999</v>
      </c>
      <c r="I3006" t="s">
        <v>8265</v>
      </c>
      <c r="J3006" t="s">
        <v>9067</v>
      </c>
      <c r="K3006">
        <v>10040</v>
      </c>
      <c r="L3006" t="s">
        <v>9094</v>
      </c>
      <c r="M3006" t="s">
        <v>9095</v>
      </c>
      <c r="O3006" t="s">
        <v>11132</v>
      </c>
      <c r="P3006" t="s">
        <v>11165</v>
      </c>
      <c r="R3006" t="s">
        <v>11180</v>
      </c>
      <c r="S3006" t="s">
        <v>9094</v>
      </c>
      <c r="T3006" t="s">
        <v>11183</v>
      </c>
      <c r="V3006" t="s">
        <v>362</v>
      </c>
      <c r="W3006">
        <v>211</v>
      </c>
      <c r="X3006" t="s">
        <v>11335</v>
      </c>
      <c r="Y3006" t="s">
        <v>11340</v>
      </c>
      <c r="Z3006" t="s">
        <v>13275</v>
      </c>
      <c r="AB3006" t="s">
        <v>17730</v>
      </c>
      <c r="AC3006">
        <v>44</v>
      </c>
      <c r="AD3006" t="s">
        <v>19566</v>
      </c>
      <c r="AE3006" t="s">
        <v>19580</v>
      </c>
      <c r="AF3006">
        <v>24</v>
      </c>
      <c r="AG3006">
        <v>1</v>
      </c>
      <c r="AH3006">
        <v>0</v>
      </c>
      <c r="AI3006">
        <v>100.39</v>
      </c>
      <c r="AL3006" t="s">
        <v>19615</v>
      </c>
      <c r="AM3006">
        <v>12539</v>
      </c>
      <c r="AS3006">
        <v>0.1</v>
      </c>
      <c r="AT3006" t="s">
        <v>292</v>
      </c>
      <c r="AU3006" t="s">
        <v>130</v>
      </c>
      <c r="AV3006" t="s">
        <v>20733</v>
      </c>
    </row>
    <row r="3007" spans="1:48">
      <c r="A3007" s="1">
        <f>HYPERLINK("https://lsnyc.legalserver.org/matter/dynamic-profile/view/1912405","19-1912405")</f>
        <v>0</v>
      </c>
      <c r="B3007" t="s">
        <v>141</v>
      </c>
      <c r="C3007" t="s">
        <v>256</v>
      </c>
      <c r="D3007" t="s">
        <v>744</v>
      </c>
      <c r="F3007" t="s">
        <v>2397</v>
      </c>
      <c r="G3007" t="s">
        <v>4453</v>
      </c>
      <c r="H3007" t="s">
        <v>5999</v>
      </c>
      <c r="I3007" t="s">
        <v>8265</v>
      </c>
      <c r="J3007" t="s">
        <v>9067</v>
      </c>
      <c r="K3007">
        <v>10040</v>
      </c>
      <c r="L3007" t="s">
        <v>9094</v>
      </c>
      <c r="M3007" t="s">
        <v>9095</v>
      </c>
      <c r="O3007" t="s">
        <v>11134</v>
      </c>
      <c r="P3007" t="s">
        <v>11165</v>
      </c>
      <c r="R3007" t="s">
        <v>11180</v>
      </c>
      <c r="S3007" t="s">
        <v>9094</v>
      </c>
      <c r="T3007" t="s">
        <v>11183</v>
      </c>
      <c r="V3007" t="s">
        <v>744</v>
      </c>
      <c r="W3007">
        <v>211</v>
      </c>
      <c r="X3007" t="s">
        <v>11335</v>
      </c>
      <c r="Y3007" t="s">
        <v>11340</v>
      </c>
      <c r="Z3007" t="s">
        <v>13275</v>
      </c>
      <c r="AB3007" t="s">
        <v>17730</v>
      </c>
      <c r="AC3007">
        <v>44</v>
      </c>
      <c r="AD3007" t="s">
        <v>19566</v>
      </c>
      <c r="AE3007" t="s">
        <v>19580</v>
      </c>
      <c r="AF3007">
        <v>24</v>
      </c>
      <c r="AG3007">
        <v>1</v>
      </c>
      <c r="AH3007">
        <v>0</v>
      </c>
      <c r="AI3007">
        <v>100.39</v>
      </c>
      <c r="AL3007" t="s">
        <v>19615</v>
      </c>
      <c r="AM3007">
        <v>12539</v>
      </c>
      <c r="AS3007">
        <v>0</v>
      </c>
      <c r="AU3007" t="s">
        <v>130</v>
      </c>
      <c r="AV3007" t="s">
        <v>20733</v>
      </c>
    </row>
    <row r="3008" spans="1:48">
      <c r="A3008" s="1">
        <f>HYPERLINK("https://lsnyc.legalserver.org/matter/dynamic-profile/view/1912938","19-1912938")</f>
        <v>0</v>
      </c>
      <c r="B3008" t="s">
        <v>141</v>
      </c>
      <c r="C3008" t="s">
        <v>257</v>
      </c>
      <c r="D3008" t="s">
        <v>294</v>
      </c>
      <c r="E3008" t="s">
        <v>594</v>
      </c>
      <c r="F3008" t="s">
        <v>2397</v>
      </c>
      <c r="G3008" t="s">
        <v>4453</v>
      </c>
      <c r="H3008" t="s">
        <v>5999</v>
      </c>
      <c r="I3008" t="s">
        <v>8265</v>
      </c>
      <c r="J3008" t="s">
        <v>9067</v>
      </c>
      <c r="K3008">
        <v>10040</v>
      </c>
      <c r="L3008" t="s">
        <v>9094</v>
      </c>
      <c r="M3008" t="s">
        <v>9095</v>
      </c>
      <c r="N3008" t="s">
        <v>9753</v>
      </c>
      <c r="O3008" t="s">
        <v>11134</v>
      </c>
      <c r="P3008" t="s">
        <v>11168</v>
      </c>
      <c r="Q3008" t="s">
        <v>11177</v>
      </c>
      <c r="R3008" t="s">
        <v>11180</v>
      </c>
      <c r="S3008" t="s">
        <v>9094</v>
      </c>
      <c r="T3008" t="s">
        <v>11183</v>
      </c>
      <c r="V3008" t="s">
        <v>294</v>
      </c>
      <c r="W3008">
        <v>211</v>
      </c>
      <c r="X3008" t="s">
        <v>11335</v>
      </c>
      <c r="Y3008" t="s">
        <v>11340</v>
      </c>
      <c r="Z3008" t="s">
        <v>13275</v>
      </c>
      <c r="AB3008" t="s">
        <v>17730</v>
      </c>
      <c r="AC3008">
        <v>44</v>
      </c>
      <c r="AD3008" t="s">
        <v>19566</v>
      </c>
      <c r="AE3008" t="s">
        <v>19580</v>
      </c>
      <c r="AF3008">
        <v>24</v>
      </c>
      <c r="AG3008">
        <v>1</v>
      </c>
      <c r="AH3008">
        <v>0</v>
      </c>
      <c r="AI3008">
        <v>100.39</v>
      </c>
      <c r="AL3008" t="s">
        <v>19615</v>
      </c>
      <c r="AM3008">
        <v>12539</v>
      </c>
      <c r="AS3008">
        <v>0.1</v>
      </c>
      <c r="AT3008" t="s">
        <v>594</v>
      </c>
      <c r="AU3008" t="s">
        <v>130</v>
      </c>
      <c r="AV3008" t="s">
        <v>20733</v>
      </c>
    </row>
    <row r="3009" spans="1:48">
      <c r="A3009" s="1">
        <f>HYPERLINK("https://lsnyc.legalserver.org/matter/dynamic-profile/view/1901147","19-1901147")</f>
        <v>0</v>
      </c>
      <c r="B3009" t="s">
        <v>66</v>
      </c>
      <c r="C3009" t="s">
        <v>256</v>
      </c>
      <c r="D3009" t="s">
        <v>394</v>
      </c>
      <c r="F3009" t="s">
        <v>1707</v>
      </c>
      <c r="G3009" t="s">
        <v>4602</v>
      </c>
      <c r="H3009" t="s">
        <v>7174</v>
      </c>
      <c r="I3009" t="s">
        <v>8141</v>
      </c>
      <c r="J3009" t="s">
        <v>9059</v>
      </c>
      <c r="K3009">
        <v>11215</v>
      </c>
      <c r="L3009" t="s">
        <v>9094</v>
      </c>
      <c r="M3009" t="s">
        <v>9095</v>
      </c>
      <c r="O3009" t="s">
        <v>11137</v>
      </c>
      <c r="P3009" t="s">
        <v>11166</v>
      </c>
      <c r="R3009" t="s">
        <v>11180</v>
      </c>
      <c r="S3009" t="s">
        <v>9096</v>
      </c>
      <c r="T3009" t="s">
        <v>11183</v>
      </c>
      <c r="V3009" t="s">
        <v>493</v>
      </c>
      <c r="W3009">
        <v>985</v>
      </c>
      <c r="X3009" t="s">
        <v>11332</v>
      </c>
      <c r="Y3009" t="s">
        <v>11350</v>
      </c>
      <c r="Z3009" t="s">
        <v>13390</v>
      </c>
      <c r="AB3009" t="s">
        <v>17731</v>
      </c>
      <c r="AC3009">
        <v>8</v>
      </c>
      <c r="AD3009" t="s">
        <v>19566</v>
      </c>
      <c r="AE3009" t="s">
        <v>19587</v>
      </c>
      <c r="AF3009">
        <v>39</v>
      </c>
      <c r="AG3009">
        <v>1</v>
      </c>
      <c r="AH3009">
        <v>0</v>
      </c>
      <c r="AI3009">
        <v>100.4</v>
      </c>
      <c r="AL3009" t="s">
        <v>19614</v>
      </c>
      <c r="AM3009">
        <v>12540</v>
      </c>
      <c r="AS3009">
        <v>14.6</v>
      </c>
      <c r="AT3009" t="s">
        <v>415</v>
      </c>
      <c r="AU3009" t="s">
        <v>20639</v>
      </c>
      <c r="AV3009" t="s">
        <v>20733</v>
      </c>
    </row>
    <row r="3010" spans="1:48">
      <c r="A3010" s="1">
        <f>HYPERLINK("https://lsnyc.legalserver.org/matter/dynamic-profile/view/1888423","19-1888423")</f>
        <v>0</v>
      </c>
      <c r="B3010" t="s">
        <v>82</v>
      </c>
      <c r="C3010" t="s">
        <v>256</v>
      </c>
      <c r="D3010" t="s">
        <v>354</v>
      </c>
      <c r="F3010" t="s">
        <v>1226</v>
      </c>
      <c r="G3010" t="s">
        <v>3419</v>
      </c>
      <c r="H3010" t="s">
        <v>5769</v>
      </c>
      <c r="J3010" t="s">
        <v>9059</v>
      </c>
      <c r="K3010">
        <v>11231</v>
      </c>
      <c r="L3010" t="s">
        <v>9094</v>
      </c>
      <c r="M3010" t="s">
        <v>9094</v>
      </c>
      <c r="N3010" t="s">
        <v>10260</v>
      </c>
      <c r="O3010" t="s">
        <v>11129</v>
      </c>
      <c r="P3010" t="s">
        <v>11165</v>
      </c>
      <c r="R3010" t="s">
        <v>11180</v>
      </c>
      <c r="S3010" t="s">
        <v>9096</v>
      </c>
      <c r="T3010" t="s">
        <v>11183</v>
      </c>
      <c r="U3010" t="s">
        <v>11201</v>
      </c>
      <c r="V3010" t="s">
        <v>756</v>
      </c>
      <c r="W3010">
        <v>787</v>
      </c>
      <c r="X3010" t="s">
        <v>11332</v>
      </c>
      <c r="Z3010" t="s">
        <v>11453</v>
      </c>
      <c r="AB3010" t="s">
        <v>15972</v>
      </c>
      <c r="AC3010">
        <v>9</v>
      </c>
      <c r="AD3010" t="s">
        <v>19566</v>
      </c>
      <c r="AF3010">
        <v>20</v>
      </c>
      <c r="AG3010">
        <v>2</v>
      </c>
      <c r="AH3010">
        <v>0</v>
      </c>
      <c r="AI3010">
        <v>100.44</v>
      </c>
      <c r="AL3010" t="s">
        <v>19614</v>
      </c>
      <c r="AM3010">
        <v>16532</v>
      </c>
      <c r="AS3010">
        <v>83.40000000000001</v>
      </c>
      <c r="AT3010" t="s">
        <v>476</v>
      </c>
      <c r="AU3010" t="s">
        <v>215</v>
      </c>
    </row>
    <row r="3011" spans="1:48">
      <c r="A3011" s="1">
        <f>HYPERLINK("https://lsnyc.legalserver.org/matter/dynamic-profile/view/1893554","19-1893554")</f>
        <v>0</v>
      </c>
      <c r="B3011" t="s">
        <v>50</v>
      </c>
      <c r="C3011" t="s">
        <v>257</v>
      </c>
      <c r="D3011" t="s">
        <v>573</v>
      </c>
      <c r="E3011" t="s">
        <v>1129</v>
      </c>
      <c r="F3011" t="s">
        <v>1341</v>
      </c>
      <c r="G3011" t="s">
        <v>3765</v>
      </c>
      <c r="H3011" t="s">
        <v>7175</v>
      </c>
      <c r="J3011" t="s">
        <v>9054</v>
      </c>
      <c r="K3011">
        <v>11368</v>
      </c>
      <c r="L3011" t="s">
        <v>9094</v>
      </c>
      <c r="M3011" t="s">
        <v>9095</v>
      </c>
      <c r="N3011" t="s">
        <v>9325</v>
      </c>
      <c r="O3011" t="s">
        <v>11134</v>
      </c>
      <c r="P3011" t="s">
        <v>11168</v>
      </c>
      <c r="Q3011" t="s">
        <v>11176</v>
      </c>
      <c r="R3011" t="s">
        <v>11180</v>
      </c>
      <c r="S3011" t="s">
        <v>9096</v>
      </c>
      <c r="T3011" t="s">
        <v>11183</v>
      </c>
      <c r="U3011" t="s">
        <v>11201</v>
      </c>
      <c r="V3011" t="s">
        <v>573</v>
      </c>
      <c r="W3011">
        <v>1300</v>
      </c>
      <c r="X3011" t="s">
        <v>11331</v>
      </c>
      <c r="Y3011" t="s">
        <v>11340</v>
      </c>
      <c r="Z3011" t="s">
        <v>13391</v>
      </c>
      <c r="AB3011" t="s">
        <v>17732</v>
      </c>
      <c r="AC3011">
        <v>8</v>
      </c>
      <c r="AD3011" t="s">
        <v>19566</v>
      </c>
      <c r="AE3011" t="s">
        <v>9144</v>
      </c>
      <c r="AF3011">
        <v>4</v>
      </c>
      <c r="AG3011">
        <v>1</v>
      </c>
      <c r="AH3011">
        <v>1</v>
      </c>
      <c r="AI3011">
        <v>100.53</v>
      </c>
      <c r="AL3011" t="s">
        <v>19615</v>
      </c>
      <c r="AM3011">
        <v>17000</v>
      </c>
      <c r="AS3011">
        <v>1</v>
      </c>
      <c r="AT3011" t="s">
        <v>1129</v>
      </c>
      <c r="AU3011" t="s">
        <v>50</v>
      </c>
      <c r="AV3011" t="s">
        <v>20733</v>
      </c>
    </row>
    <row r="3012" spans="1:48">
      <c r="A3012" s="1">
        <f>HYPERLINK("https://lsnyc.legalserver.org/matter/dynamic-profile/view/1903490","19-1903490")</f>
        <v>0</v>
      </c>
      <c r="B3012" t="s">
        <v>59</v>
      </c>
      <c r="C3012" t="s">
        <v>256</v>
      </c>
      <c r="D3012" t="s">
        <v>302</v>
      </c>
      <c r="F3012" t="s">
        <v>1404</v>
      </c>
      <c r="G3012" t="s">
        <v>4264</v>
      </c>
      <c r="H3012" t="s">
        <v>5735</v>
      </c>
      <c r="I3012" t="s">
        <v>8688</v>
      </c>
      <c r="J3012" t="s">
        <v>9055</v>
      </c>
      <c r="K3012">
        <v>11354</v>
      </c>
      <c r="L3012" t="s">
        <v>9094</v>
      </c>
      <c r="M3012" t="s">
        <v>9095</v>
      </c>
      <c r="N3012" t="s">
        <v>9135</v>
      </c>
      <c r="O3012" t="s">
        <v>11134</v>
      </c>
      <c r="P3012" t="s">
        <v>11168</v>
      </c>
      <c r="R3012" t="s">
        <v>11180</v>
      </c>
      <c r="S3012" t="s">
        <v>9094</v>
      </c>
      <c r="T3012" t="s">
        <v>11183</v>
      </c>
      <c r="U3012" t="s">
        <v>11201</v>
      </c>
      <c r="V3012" t="s">
        <v>302</v>
      </c>
      <c r="W3012">
        <v>1044.47</v>
      </c>
      <c r="X3012" t="s">
        <v>11331</v>
      </c>
      <c r="Y3012" t="s">
        <v>11339</v>
      </c>
      <c r="Z3012" t="s">
        <v>12329</v>
      </c>
      <c r="AA3012" t="s">
        <v>15274</v>
      </c>
      <c r="AB3012" t="s">
        <v>15274</v>
      </c>
      <c r="AC3012">
        <v>91</v>
      </c>
      <c r="AD3012" t="s">
        <v>19566</v>
      </c>
      <c r="AE3012" t="s">
        <v>9144</v>
      </c>
      <c r="AF3012">
        <v>17</v>
      </c>
      <c r="AG3012">
        <v>2</v>
      </c>
      <c r="AH3012">
        <v>0</v>
      </c>
      <c r="AI3012">
        <v>100.53</v>
      </c>
      <c r="AL3012" t="s">
        <v>19615</v>
      </c>
      <c r="AM3012">
        <v>17000</v>
      </c>
      <c r="AS3012">
        <v>0.15</v>
      </c>
      <c r="AT3012" t="s">
        <v>302</v>
      </c>
      <c r="AU3012" t="s">
        <v>59</v>
      </c>
      <c r="AV3012" t="s">
        <v>20733</v>
      </c>
    </row>
    <row r="3013" spans="1:48">
      <c r="A3013" s="1">
        <f>HYPERLINK("https://lsnyc.legalserver.org/matter/dynamic-profile/view/1900608","19-1900608")</f>
        <v>0</v>
      </c>
      <c r="B3013" t="s">
        <v>113</v>
      </c>
      <c r="C3013" t="s">
        <v>256</v>
      </c>
      <c r="D3013" t="s">
        <v>283</v>
      </c>
      <c r="F3013" t="s">
        <v>1460</v>
      </c>
      <c r="G3013" t="s">
        <v>4636</v>
      </c>
      <c r="H3013" t="s">
        <v>5864</v>
      </c>
      <c r="I3013" t="s">
        <v>8346</v>
      </c>
      <c r="J3013" t="s">
        <v>9065</v>
      </c>
      <c r="K3013">
        <v>10460</v>
      </c>
      <c r="L3013" t="s">
        <v>9094</v>
      </c>
      <c r="M3013" t="s">
        <v>9095</v>
      </c>
      <c r="N3013" t="s">
        <v>9171</v>
      </c>
      <c r="O3013" t="s">
        <v>9121</v>
      </c>
      <c r="P3013" t="s">
        <v>11166</v>
      </c>
      <c r="R3013" t="s">
        <v>11180</v>
      </c>
      <c r="S3013" t="s">
        <v>9094</v>
      </c>
      <c r="T3013" t="s">
        <v>11183</v>
      </c>
      <c r="V3013" t="s">
        <v>11218</v>
      </c>
      <c r="W3013">
        <v>517</v>
      </c>
      <c r="X3013" t="s">
        <v>11333</v>
      </c>
      <c r="Y3013" t="s">
        <v>11340</v>
      </c>
      <c r="Z3013" t="s">
        <v>13392</v>
      </c>
      <c r="AC3013">
        <v>168</v>
      </c>
      <c r="AD3013" t="s">
        <v>15441</v>
      </c>
      <c r="AE3013" t="s">
        <v>19580</v>
      </c>
      <c r="AF3013">
        <v>24</v>
      </c>
      <c r="AG3013">
        <v>2</v>
      </c>
      <c r="AH3013">
        <v>0</v>
      </c>
      <c r="AI3013">
        <v>100.53</v>
      </c>
      <c r="AL3013" t="s">
        <v>19614</v>
      </c>
      <c r="AM3013">
        <v>17000</v>
      </c>
      <c r="AS3013">
        <v>0.3</v>
      </c>
      <c r="AT3013" t="s">
        <v>779</v>
      </c>
      <c r="AU3013" t="s">
        <v>20642</v>
      </c>
      <c r="AV3013" t="s">
        <v>20733</v>
      </c>
    </row>
    <row r="3014" spans="1:48">
      <c r="A3014" s="1">
        <f>HYPERLINK("https://lsnyc.legalserver.org/matter/dynamic-profile/view/1910459","19-1910459")</f>
        <v>0</v>
      </c>
      <c r="B3014" t="s">
        <v>142</v>
      </c>
      <c r="C3014" t="s">
        <v>256</v>
      </c>
      <c r="D3014" t="s">
        <v>341</v>
      </c>
      <c r="F3014" t="s">
        <v>1140</v>
      </c>
      <c r="G3014" t="s">
        <v>4637</v>
      </c>
      <c r="H3014" t="s">
        <v>7176</v>
      </c>
      <c r="I3014" t="s">
        <v>8134</v>
      </c>
      <c r="J3014" t="s">
        <v>9067</v>
      </c>
      <c r="K3014">
        <v>10035</v>
      </c>
      <c r="L3014" t="s">
        <v>9094</v>
      </c>
      <c r="M3014" t="s">
        <v>9095</v>
      </c>
      <c r="N3014" t="s">
        <v>10261</v>
      </c>
      <c r="O3014" t="s">
        <v>11128</v>
      </c>
      <c r="P3014" t="s">
        <v>11165</v>
      </c>
      <c r="R3014" t="s">
        <v>11180</v>
      </c>
      <c r="S3014" t="s">
        <v>9096</v>
      </c>
      <c r="T3014" t="s">
        <v>11183</v>
      </c>
      <c r="U3014" t="s">
        <v>11201</v>
      </c>
      <c r="V3014" t="s">
        <v>425</v>
      </c>
      <c r="W3014">
        <v>650</v>
      </c>
      <c r="X3014" t="s">
        <v>11335</v>
      </c>
      <c r="Y3014" t="s">
        <v>11340</v>
      </c>
      <c r="Z3014" t="s">
        <v>13393</v>
      </c>
      <c r="AB3014" t="s">
        <v>17733</v>
      </c>
      <c r="AC3014">
        <v>30</v>
      </c>
      <c r="AD3014" t="s">
        <v>15441</v>
      </c>
      <c r="AE3014" t="s">
        <v>9144</v>
      </c>
      <c r="AF3014">
        <v>22</v>
      </c>
      <c r="AG3014">
        <v>2</v>
      </c>
      <c r="AH3014">
        <v>2</v>
      </c>
      <c r="AI3014">
        <v>100.58</v>
      </c>
      <c r="AL3014" t="s">
        <v>19614</v>
      </c>
      <c r="AM3014">
        <v>25900</v>
      </c>
      <c r="AS3014">
        <v>0.75</v>
      </c>
      <c r="AT3014" t="s">
        <v>992</v>
      </c>
      <c r="AU3014" t="s">
        <v>20657</v>
      </c>
      <c r="AV3014" t="s">
        <v>20733</v>
      </c>
    </row>
    <row r="3015" spans="1:48">
      <c r="A3015" s="1">
        <f>HYPERLINK("https://lsnyc.legalserver.org/matter/dynamic-profile/view/1869873","18-1869873")</f>
        <v>0</v>
      </c>
      <c r="B3015" t="s">
        <v>136</v>
      </c>
      <c r="C3015" t="s">
        <v>257</v>
      </c>
      <c r="D3015" t="s">
        <v>743</v>
      </c>
      <c r="E3015" t="s">
        <v>1130</v>
      </c>
      <c r="F3015" t="s">
        <v>2398</v>
      </c>
      <c r="G3015" t="s">
        <v>4638</v>
      </c>
      <c r="H3015" t="s">
        <v>6146</v>
      </c>
      <c r="I3015" t="s">
        <v>8178</v>
      </c>
      <c r="J3015" t="s">
        <v>9067</v>
      </c>
      <c r="K3015">
        <v>10029</v>
      </c>
      <c r="L3015" t="s">
        <v>9094</v>
      </c>
      <c r="M3015" t="s">
        <v>9095</v>
      </c>
      <c r="O3015" t="s">
        <v>11135</v>
      </c>
      <c r="P3015" t="s">
        <v>11167</v>
      </c>
      <c r="Q3015" t="s">
        <v>11172</v>
      </c>
      <c r="R3015" t="s">
        <v>11180</v>
      </c>
      <c r="S3015" t="s">
        <v>9096</v>
      </c>
      <c r="T3015" t="s">
        <v>11183</v>
      </c>
      <c r="V3015" t="s">
        <v>743</v>
      </c>
      <c r="W3015">
        <v>868</v>
      </c>
      <c r="X3015" t="s">
        <v>11335</v>
      </c>
      <c r="Y3015" t="s">
        <v>11340</v>
      </c>
      <c r="Z3015" t="s">
        <v>13394</v>
      </c>
      <c r="AB3015" t="s">
        <v>17734</v>
      </c>
      <c r="AC3015">
        <v>13</v>
      </c>
      <c r="AD3015" t="s">
        <v>19566</v>
      </c>
      <c r="AE3015" t="s">
        <v>19580</v>
      </c>
      <c r="AF3015">
        <v>31</v>
      </c>
      <c r="AG3015">
        <v>2</v>
      </c>
      <c r="AH3015">
        <v>0</v>
      </c>
      <c r="AI3015">
        <v>100.61</v>
      </c>
      <c r="AL3015" t="s">
        <v>19615</v>
      </c>
      <c r="AM3015">
        <v>16560</v>
      </c>
      <c r="AS3015">
        <v>1.5</v>
      </c>
      <c r="AT3015" t="s">
        <v>588</v>
      </c>
      <c r="AU3015" t="s">
        <v>20657</v>
      </c>
    </row>
    <row r="3016" spans="1:48">
      <c r="A3016" s="1">
        <f>HYPERLINK("https://lsnyc.legalserver.org/matter/dynamic-profile/view/1869881","18-1869881")</f>
        <v>0</v>
      </c>
      <c r="B3016" t="s">
        <v>136</v>
      </c>
      <c r="C3016" t="s">
        <v>257</v>
      </c>
      <c r="D3016" t="s">
        <v>743</v>
      </c>
      <c r="E3016" t="s">
        <v>1130</v>
      </c>
      <c r="F3016" t="s">
        <v>2398</v>
      </c>
      <c r="G3016" t="s">
        <v>4638</v>
      </c>
      <c r="H3016" t="s">
        <v>6146</v>
      </c>
      <c r="I3016" t="s">
        <v>8178</v>
      </c>
      <c r="J3016" t="s">
        <v>9067</v>
      </c>
      <c r="K3016">
        <v>10029</v>
      </c>
      <c r="L3016" t="s">
        <v>9094</v>
      </c>
      <c r="M3016" t="s">
        <v>9095</v>
      </c>
      <c r="O3016" t="s">
        <v>9121</v>
      </c>
      <c r="P3016" t="s">
        <v>11167</v>
      </c>
      <c r="Q3016" t="s">
        <v>11172</v>
      </c>
      <c r="R3016" t="s">
        <v>11180</v>
      </c>
      <c r="T3016" t="s">
        <v>11183</v>
      </c>
      <c r="V3016" t="s">
        <v>592</v>
      </c>
      <c r="W3016">
        <v>868</v>
      </c>
      <c r="X3016" t="s">
        <v>11335</v>
      </c>
      <c r="Y3016" t="s">
        <v>11340</v>
      </c>
      <c r="Z3016" t="s">
        <v>13394</v>
      </c>
      <c r="AB3016" t="s">
        <v>17734</v>
      </c>
      <c r="AC3016">
        <v>13</v>
      </c>
      <c r="AD3016" t="s">
        <v>19566</v>
      </c>
      <c r="AE3016" t="s">
        <v>19580</v>
      </c>
      <c r="AF3016">
        <v>31</v>
      </c>
      <c r="AG3016">
        <v>2</v>
      </c>
      <c r="AH3016">
        <v>0</v>
      </c>
      <c r="AI3016">
        <v>100.61</v>
      </c>
      <c r="AL3016" t="s">
        <v>19615</v>
      </c>
      <c r="AM3016">
        <v>16560</v>
      </c>
      <c r="AS3016">
        <v>0.1</v>
      </c>
      <c r="AT3016" t="s">
        <v>479</v>
      </c>
      <c r="AU3016" t="s">
        <v>20657</v>
      </c>
    </row>
    <row r="3017" spans="1:48">
      <c r="A3017" s="1">
        <f>HYPERLINK("https://lsnyc.legalserver.org/matter/dynamic-profile/view/1914727","19-1914727")</f>
        <v>0</v>
      </c>
      <c r="B3017" t="s">
        <v>73</v>
      </c>
      <c r="C3017" t="s">
        <v>257</v>
      </c>
      <c r="D3017" t="s">
        <v>632</v>
      </c>
      <c r="E3017" t="s">
        <v>487</v>
      </c>
      <c r="F3017" t="s">
        <v>2399</v>
      </c>
      <c r="G3017" t="s">
        <v>1305</v>
      </c>
      <c r="H3017" t="s">
        <v>7177</v>
      </c>
      <c r="I3017" t="s">
        <v>8209</v>
      </c>
      <c r="J3017" t="s">
        <v>9059</v>
      </c>
      <c r="K3017">
        <v>11207</v>
      </c>
      <c r="L3017" t="s">
        <v>9095</v>
      </c>
      <c r="M3017" t="s">
        <v>9095</v>
      </c>
      <c r="N3017" t="s">
        <v>10262</v>
      </c>
      <c r="O3017" t="s">
        <v>11128</v>
      </c>
      <c r="Q3017" t="s">
        <v>11172</v>
      </c>
      <c r="R3017" t="s">
        <v>11180</v>
      </c>
      <c r="T3017" t="s">
        <v>11183</v>
      </c>
      <c r="W3017">
        <v>1560</v>
      </c>
      <c r="X3017" t="s">
        <v>11332</v>
      </c>
      <c r="Y3017" t="s">
        <v>11340</v>
      </c>
      <c r="Z3017" t="s">
        <v>13395</v>
      </c>
      <c r="AB3017" t="s">
        <v>17735</v>
      </c>
      <c r="AC3017">
        <v>4</v>
      </c>
      <c r="AD3017" t="s">
        <v>15441</v>
      </c>
      <c r="AE3017" t="s">
        <v>19580</v>
      </c>
      <c r="AF3017">
        <v>1</v>
      </c>
      <c r="AG3017">
        <v>1</v>
      </c>
      <c r="AH3017">
        <v>0</v>
      </c>
      <c r="AI3017">
        <v>100.88</v>
      </c>
      <c r="AL3017" t="s">
        <v>19614</v>
      </c>
      <c r="AM3017">
        <v>12600</v>
      </c>
      <c r="AS3017">
        <v>0.5</v>
      </c>
      <c r="AT3017" t="s">
        <v>632</v>
      </c>
      <c r="AU3017" t="s">
        <v>20632</v>
      </c>
    </row>
    <row r="3018" spans="1:48">
      <c r="A3018" s="1">
        <f>HYPERLINK("https://lsnyc.legalserver.org/matter/dynamic-profile/view/1899842","19-1899842")</f>
        <v>0</v>
      </c>
      <c r="B3018" t="s">
        <v>113</v>
      </c>
      <c r="C3018" t="s">
        <v>256</v>
      </c>
      <c r="D3018" t="s">
        <v>411</v>
      </c>
      <c r="F3018" t="s">
        <v>1150</v>
      </c>
      <c r="G3018" t="s">
        <v>4639</v>
      </c>
      <c r="H3018" t="s">
        <v>5864</v>
      </c>
      <c r="I3018" t="s">
        <v>8270</v>
      </c>
      <c r="J3018" t="s">
        <v>9065</v>
      </c>
      <c r="K3018">
        <v>10460</v>
      </c>
      <c r="L3018" t="s">
        <v>9094</v>
      </c>
      <c r="M3018" t="s">
        <v>9095</v>
      </c>
      <c r="N3018" t="s">
        <v>9171</v>
      </c>
      <c r="O3018" t="s">
        <v>9121</v>
      </c>
      <c r="P3018" t="s">
        <v>11166</v>
      </c>
      <c r="R3018" t="s">
        <v>11180</v>
      </c>
      <c r="S3018" t="s">
        <v>9094</v>
      </c>
      <c r="T3018" t="s">
        <v>11183</v>
      </c>
      <c r="V3018" t="s">
        <v>11218</v>
      </c>
      <c r="W3018">
        <v>304</v>
      </c>
      <c r="X3018" t="s">
        <v>11333</v>
      </c>
      <c r="Y3018" t="s">
        <v>11346</v>
      </c>
      <c r="Z3018" t="s">
        <v>13396</v>
      </c>
      <c r="AB3018" t="s">
        <v>17736</v>
      </c>
      <c r="AC3018">
        <v>168</v>
      </c>
      <c r="AD3018" t="s">
        <v>19566</v>
      </c>
      <c r="AE3018" t="s">
        <v>19580</v>
      </c>
      <c r="AF3018">
        <v>1</v>
      </c>
      <c r="AG3018">
        <v>1</v>
      </c>
      <c r="AH3018">
        <v>0</v>
      </c>
      <c r="AI3018">
        <v>100.88</v>
      </c>
      <c r="AL3018" t="s">
        <v>19614</v>
      </c>
      <c r="AM3018">
        <v>12600</v>
      </c>
      <c r="AS3018">
        <v>0</v>
      </c>
      <c r="AU3018" t="s">
        <v>20647</v>
      </c>
      <c r="AV3018" t="s">
        <v>20733</v>
      </c>
    </row>
    <row r="3019" spans="1:48">
      <c r="A3019" s="1">
        <f>HYPERLINK("https://lsnyc.legalserver.org/matter/dynamic-profile/view/1901822","19-1901822")</f>
        <v>0</v>
      </c>
      <c r="B3019" t="s">
        <v>183</v>
      </c>
      <c r="C3019" t="s">
        <v>256</v>
      </c>
      <c r="D3019" t="s">
        <v>610</v>
      </c>
      <c r="F3019" t="s">
        <v>2400</v>
      </c>
      <c r="G3019" t="s">
        <v>4640</v>
      </c>
      <c r="H3019" t="s">
        <v>7178</v>
      </c>
      <c r="I3019" t="s">
        <v>8689</v>
      </c>
      <c r="J3019" t="s">
        <v>9067</v>
      </c>
      <c r="K3019">
        <v>10025</v>
      </c>
      <c r="L3019" t="s">
        <v>9094</v>
      </c>
      <c r="M3019" t="s">
        <v>9095</v>
      </c>
      <c r="P3019" t="s">
        <v>11165</v>
      </c>
      <c r="R3019" t="s">
        <v>11180</v>
      </c>
      <c r="T3019" t="s">
        <v>11193</v>
      </c>
      <c r="V3019" t="s">
        <v>584</v>
      </c>
      <c r="W3019">
        <v>0</v>
      </c>
      <c r="X3019" t="s">
        <v>11335</v>
      </c>
      <c r="Z3019" t="s">
        <v>13397</v>
      </c>
      <c r="AB3019" t="s">
        <v>17737</v>
      </c>
      <c r="AC3019">
        <v>0</v>
      </c>
      <c r="AF3019">
        <v>0</v>
      </c>
      <c r="AG3019">
        <v>1</v>
      </c>
      <c r="AH3019">
        <v>0</v>
      </c>
      <c r="AI3019">
        <v>100.88</v>
      </c>
      <c r="AL3019" t="s">
        <v>19614</v>
      </c>
      <c r="AM3019">
        <v>12600</v>
      </c>
      <c r="AS3019">
        <v>10.1</v>
      </c>
      <c r="AT3019" t="s">
        <v>442</v>
      </c>
      <c r="AU3019" t="s">
        <v>20658</v>
      </c>
      <c r="AV3019" t="s">
        <v>20733</v>
      </c>
    </row>
    <row r="3020" spans="1:48">
      <c r="A3020" s="1">
        <f>HYPERLINK("https://lsnyc.legalserver.org/matter/dynamic-profile/view/1908666","19-1908666")</f>
        <v>0</v>
      </c>
      <c r="B3020" t="s">
        <v>55</v>
      </c>
      <c r="C3020" t="s">
        <v>256</v>
      </c>
      <c r="D3020" t="s">
        <v>326</v>
      </c>
      <c r="F3020" t="s">
        <v>2401</v>
      </c>
      <c r="G3020" t="s">
        <v>4641</v>
      </c>
      <c r="H3020" t="s">
        <v>6954</v>
      </c>
      <c r="I3020" t="s">
        <v>8302</v>
      </c>
      <c r="J3020" t="s">
        <v>9050</v>
      </c>
      <c r="K3020">
        <v>11377</v>
      </c>
      <c r="L3020" t="s">
        <v>9094</v>
      </c>
      <c r="M3020" t="s">
        <v>9095</v>
      </c>
      <c r="N3020" t="s">
        <v>10067</v>
      </c>
      <c r="O3020" t="s">
        <v>11134</v>
      </c>
      <c r="P3020" t="s">
        <v>11168</v>
      </c>
      <c r="R3020" t="s">
        <v>11180</v>
      </c>
      <c r="S3020" t="s">
        <v>9094</v>
      </c>
      <c r="T3020" t="s">
        <v>11183</v>
      </c>
      <c r="U3020" t="s">
        <v>11201</v>
      </c>
      <c r="V3020" t="s">
        <v>326</v>
      </c>
      <c r="W3020">
        <v>1541.52</v>
      </c>
      <c r="X3020" t="s">
        <v>11331</v>
      </c>
      <c r="Y3020" t="s">
        <v>11346</v>
      </c>
      <c r="Z3020" t="s">
        <v>13398</v>
      </c>
      <c r="AA3020" t="s">
        <v>15274</v>
      </c>
      <c r="AB3020" t="s">
        <v>15274</v>
      </c>
      <c r="AC3020">
        <v>67</v>
      </c>
      <c r="AD3020" t="s">
        <v>19566</v>
      </c>
      <c r="AE3020" t="s">
        <v>9144</v>
      </c>
      <c r="AF3020">
        <v>14</v>
      </c>
      <c r="AG3020">
        <v>3</v>
      </c>
      <c r="AH3020">
        <v>1</v>
      </c>
      <c r="AI3020">
        <v>100.97</v>
      </c>
      <c r="AL3020" t="s">
        <v>19615</v>
      </c>
      <c r="AM3020">
        <v>26000</v>
      </c>
      <c r="AP3020" t="s">
        <v>11157</v>
      </c>
      <c r="AS3020">
        <v>0.3</v>
      </c>
      <c r="AT3020" t="s">
        <v>326</v>
      </c>
      <c r="AU3020" t="s">
        <v>20620</v>
      </c>
      <c r="AV3020" t="s">
        <v>20733</v>
      </c>
    </row>
    <row r="3021" spans="1:48">
      <c r="A3021" s="1">
        <f>HYPERLINK("https://lsnyc.legalserver.org/matter/dynamic-profile/view/1908752","19-1908752")</f>
        <v>0</v>
      </c>
      <c r="B3021" t="s">
        <v>55</v>
      </c>
      <c r="C3021" t="s">
        <v>256</v>
      </c>
      <c r="D3021" t="s">
        <v>481</v>
      </c>
      <c r="F3021" t="s">
        <v>2401</v>
      </c>
      <c r="G3021" t="s">
        <v>4641</v>
      </c>
      <c r="H3021" t="s">
        <v>6954</v>
      </c>
      <c r="I3021" t="s">
        <v>8302</v>
      </c>
      <c r="J3021" t="s">
        <v>9050</v>
      </c>
      <c r="K3021">
        <v>11377</v>
      </c>
      <c r="L3021" t="s">
        <v>9094</v>
      </c>
      <c r="M3021" t="s">
        <v>9095</v>
      </c>
      <c r="N3021" t="s">
        <v>10068</v>
      </c>
      <c r="O3021" t="s">
        <v>11134</v>
      </c>
      <c r="P3021" t="s">
        <v>11168</v>
      </c>
      <c r="R3021" t="s">
        <v>11180</v>
      </c>
      <c r="S3021" t="s">
        <v>9094</v>
      </c>
      <c r="T3021" t="s">
        <v>11183</v>
      </c>
      <c r="V3021" t="s">
        <v>11267</v>
      </c>
      <c r="W3021">
        <v>1541.52</v>
      </c>
      <c r="X3021" t="s">
        <v>11331</v>
      </c>
      <c r="Y3021" t="s">
        <v>11346</v>
      </c>
      <c r="Z3021" t="s">
        <v>13398</v>
      </c>
      <c r="AB3021" t="s">
        <v>15274</v>
      </c>
      <c r="AC3021">
        <v>66</v>
      </c>
      <c r="AD3021" t="s">
        <v>19566</v>
      </c>
      <c r="AE3021" t="s">
        <v>9144</v>
      </c>
      <c r="AF3021">
        <v>14</v>
      </c>
      <c r="AG3021">
        <v>3</v>
      </c>
      <c r="AH3021">
        <v>1</v>
      </c>
      <c r="AI3021">
        <v>100.97</v>
      </c>
      <c r="AL3021" t="s">
        <v>19615</v>
      </c>
      <c r="AM3021">
        <v>26000</v>
      </c>
      <c r="AS3021">
        <v>0.2</v>
      </c>
      <c r="AT3021" t="s">
        <v>481</v>
      </c>
      <c r="AU3021" t="s">
        <v>20620</v>
      </c>
      <c r="AV3021" t="s">
        <v>20733</v>
      </c>
    </row>
    <row r="3022" spans="1:48">
      <c r="A3022" s="1">
        <f>HYPERLINK("https://lsnyc.legalserver.org/matter/dynamic-profile/view/1905681","19-1905681")</f>
        <v>0</v>
      </c>
      <c r="B3022" t="s">
        <v>82</v>
      </c>
      <c r="C3022" t="s">
        <v>256</v>
      </c>
      <c r="D3022" t="s">
        <v>328</v>
      </c>
      <c r="F3022" t="s">
        <v>1904</v>
      </c>
      <c r="G3022" t="s">
        <v>3586</v>
      </c>
      <c r="H3022" t="s">
        <v>6393</v>
      </c>
      <c r="I3022" t="s">
        <v>8216</v>
      </c>
      <c r="J3022" t="s">
        <v>9059</v>
      </c>
      <c r="K3022">
        <v>11226</v>
      </c>
      <c r="L3022" t="s">
        <v>9094</v>
      </c>
      <c r="M3022" t="s">
        <v>9095</v>
      </c>
      <c r="O3022" t="s">
        <v>11134</v>
      </c>
      <c r="P3022" t="s">
        <v>11168</v>
      </c>
      <c r="R3022" t="s">
        <v>11180</v>
      </c>
      <c r="S3022" t="s">
        <v>9094</v>
      </c>
      <c r="T3022" t="s">
        <v>11183</v>
      </c>
      <c r="V3022" t="s">
        <v>328</v>
      </c>
      <c r="W3022">
        <v>0</v>
      </c>
      <c r="X3022" t="s">
        <v>11332</v>
      </c>
      <c r="Z3022" t="s">
        <v>13399</v>
      </c>
      <c r="AB3022" t="s">
        <v>17738</v>
      </c>
      <c r="AC3022">
        <v>36</v>
      </c>
      <c r="AD3022" t="s">
        <v>19566</v>
      </c>
      <c r="AF3022">
        <v>0</v>
      </c>
      <c r="AG3022">
        <v>4</v>
      </c>
      <c r="AH3022">
        <v>0</v>
      </c>
      <c r="AI3022">
        <v>100.97</v>
      </c>
      <c r="AL3022" t="s">
        <v>19615</v>
      </c>
      <c r="AM3022">
        <v>26000</v>
      </c>
      <c r="AS3022">
        <v>0.2</v>
      </c>
      <c r="AT3022" t="s">
        <v>328</v>
      </c>
      <c r="AU3022" t="s">
        <v>67</v>
      </c>
    </row>
    <row r="3023" spans="1:48">
      <c r="A3023" s="1">
        <f>HYPERLINK("https://lsnyc.legalserver.org/matter/dynamic-profile/view/1914921","19-1914921")</f>
        <v>0</v>
      </c>
      <c r="B3023" t="s">
        <v>202</v>
      </c>
      <c r="C3023" t="s">
        <v>256</v>
      </c>
      <c r="D3023" t="s">
        <v>331</v>
      </c>
      <c r="F3023" t="s">
        <v>2402</v>
      </c>
      <c r="G3023" t="s">
        <v>4642</v>
      </c>
      <c r="H3023" t="s">
        <v>6621</v>
      </c>
      <c r="I3023">
        <v>42</v>
      </c>
      <c r="J3023" t="s">
        <v>9059</v>
      </c>
      <c r="K3023">
        <v>11213</v>
      </c>
      <c r="L3023" t="s">
        <v>9094</v>
      </c>
      <c r="M3023" t="s">
        <v>9095</v>
      </c>
      <c r="N3023" t="s">
        <v>10263</v>
      </c>
      <c r="O3023" t="s">
        <v>11132</v>
      </c>
      <c r="P3023" t="s">
        <v>11165</v>
      </c>
      <c r="R3023" t="s">
        <v>11180</v>
      </c>
      <c r="S3023" t="s">
        <v>9094</v>
      </c>
      <c r="T3023" t="s">
        <v>11183</v>
      </c>
      <c r="U3023" t="s">
        <v>11201</v>
      </c>
      <c r="V3023" t="s">
        <v>11243</v>
      </c>
      <c r="W3023">
        <v>950</v>
      </c>
      <c r="X3023" t="s">
        <v>11332</v>
      </c>
      <c r="Y3023" t="s">
        <v>11346</v>
      </c>
      <c r="Z3023" t="s">
        <v>13400</v>
      </c>
      <c r="AA3023" t="s">
        <v>9144</v>
      </c>
      <c r="AB3023" t="s">
        <v>17739</v>
      </c>
      <c r="AC3023">
        <v>31</v>
      </c>
      <c r="AD3023" t="s">
        <v>19566</v>
      </c>
      <c r="AE3023" t="s">
        <v>9144</v>
      </c>
      <c r="AF3023">
        <v>18</v>
      </c>
      <c r="AG3023">
        <v>3</v>
      </c>
      <c r="AH3023">
        <v>1</v>
      </c>
      <c r="AI3023">
        <v>100.97</v>
      </c>
      <c r="AL3023" t="s">
        <v>19614</v>
      </c>
      <c r="AM3023">
        <v>26000</v>
      </c>
      <c r="AS3023">
        <v>0</v>
      </c>
      <c r="AU3023" t="s">
        <v>95</v>
      </c>
      <c r="AV3023" t="s">
        <v>20733</v>
      </c>
    </row>
    <row r="3024" spans="1:48">
      <c r="A3024" s="1">
        <f>HYPERLINK("https://lsnyc.legalserver.org/matter/dynamic-profile/view/1913476","19-1913476")</f>
        <v>0</v>
      </c>
      <c r="B3024" t="s">
        <v>91</v>
      </c>
      <c r="C3024" t="s">
        <v>256</v>
      </c>
      <c r="D3024" t="s">
        <v>483</v>
      </c>
      <c r="F3024" t="s">
        <v>2402</v>
      </c>
      <c r="G3024" t="s">
        <v>4642</v>
      </c>
      <c r="H3024" t="s">
        <v>6621</v>
      </c>
      <c r="I3024">
        <v>42</v>
      </c>
      <c r="J3024" t="s">
        <v>9059</v>
      </c>
      <c r="K3024">
        <v>11213</v>
      </c>
      <c r="L3024" t="s">
        <v>9094</v>
      </c>
      <c r="M3024" t="s">
        <v>9095</v>
      </c>
      <c r="N3024" t="s">
        <v>9144</v>
      </c>
      <c r="O3024" t="s">
        <v>9121</v>
      </c>
      <c r="P3024" t="s">
        <v>11167</v>
      </c>
      <c r="R3024" t="s">
        <v>11180</v>
      </c>
      <c r="S3024" t="s">
        <v>9096</v>
      </c>
      <c r="T3024" t="s">
        <v>11183</v>
      </c>
      <c r="U3024" t="s">
        <v>11201</v>
      </c>
      <c r="V3024" t="s">
        <v>483</v>
      </c>
      <c r="W3024">
        <v>950</v>
      </c>
      <c r="X3024" t="s">
        <v>11332</v>
      </c>
      <c r="Y3024" t="s">
        <v>11346</v>
      </c>
      <c r="Z3024" t="s">
        <v>13400</v>
      </c>
      <c r="AA3024" t="s">
        <v>9144</v>
      </c>
      <c r="AB3024" t="s">
        <v>17739</v>
      </c>
      <c r="AC3024">
        <v>31</v>
      </c>
      <c r="AD3024" t="s">
        <v>19566</v>
      </c>
      <c r="AE3024" t="s">
        <v>9144</v>
      </c>
      <c r="AF3024">
        <v>18</v>
      </c>
      <c r="AG3024">
        <v>3</v>
      </c>
      <c r="AH3024">
        <v>1</v>
      </c>
      <c r="AI3024">
        <v>100.97</v>
      </c>
      <c r="AL3024" t="s">
        <v>19614</v>
      </c>
      <c r="AM3024">
        <v>26000</v>
      </c>
      <c r="AS3024">
        <v>1.5</v>
      </c>
      <c r="AT3024" t="s">
        <v>483</v>
      </c>
      <c r="AU3024" t="s">
        <v>95</v>
      </c>
      <c r="AV3024" t="s">
        <v>20733</v>
      </c>
    </row>
    <row r="3025" spans="1:48">
      <c r="A3025" s="1">
        <f>HYPERLINK("https://lsnyc.legalserver.org/matter/dynamic-profile/view/1908216","19-1908216")</f>
        <v>0</v>
      </c>
      <c r="B3025" t="s">
        <v>64</v>
      </c>
      <c r="C3025" t="s">
        <v>257</v>
      </c>
      <c r="D3025" t="s">
        <v>899</v>
      </c>
      <c r="E3025" t="s">
        <v>297</v>
      </c>
      <c r="F3025" t="s">
        <v>2403</v>
      </c>
      <c r="G3025" t="s">
        <v>4605</v>
      </c>
      <c r="H3025" t="s">
        <v>7179</v>
      </c>
      <c r="I3025" t="s">
        <v>8655</v>
      </c>
      <c r="J3025" t="s">
        <v>9059</v>
      </c>
      <c r="K3025">
        <v>11208</v>
      </c>
      <c r="L3025" t="s">
        <v>9096</v>
      </c>
      <c r="M3025" t="s">
        <v>9095</v>
      </c>
      <c r="O3025" t="s">
        <v>11130</v>
      </c>
      <c r="P3025" t="s">
        <v>11164</v>
      </c>
      <c r="Q3025" t="s">
        <v>11172</v>
      </c>
      <c r="R3025" t="s">
        <v>11180</v>
      </c>
      <c r="S3025" t="s">
        <v>9096</v>
      </c>
      <c r="T3025" t="s">
        <v>11183</v>
      </c>
      <c r="U3025" t="s">
        <v>11201</v>
      </c>
      <c r="W3025">
        <v>0</v>
      </c>
      <c r="X3025" t="s">
        <v>11332</v>
      </c>
      <c r="Y3025" t="s">
        <v>11347</v>
      </c>
      <c r="Z3025" t="s">
        <v>13401</v>
      </c>
      <c r="AA3025" t="s">
        <v>9171</v>
      </c>
      <c r="AB3025" t="s">
        <v>17740</v>
      </c>
      <c r="AC3025">
        <v>1444</v>
      </c>
      <c r="AE3025" t="s">
        <v>9144</v>
      </c>
      <c r="AF3025">
        <v>0</v>
      </c>
      <c r="AG3025">
        <v>2</v>
      </c>
      <c r="AH3025">
        <v>2</v>
      </c>
      <c r="AI3025">
        <v>100.97</v>
      </c>
      <c r="AL3025" t="s">
        <v>19616</v>
      </c>
      <c r="AM3025">
        <v>26000</v>
      </c>
      <c r="AS3025">
        <v>1</v>
      </c>
      <c r="AT3025" t="s">
        <v>472</v>
      </c>
      <c r="AU3025" t="s">
        <v>20628</v>
      </c>
      <c r="AV3025" t="s">
        <v>20733</v>
      </c>
    </row>
    <row r="3026" spans="1:48">
      <c r="A3026" s="1">
        <f>HYPERLINK("https://lsnyc.legalserver.org/matter/dynamic-profile/view/1908088","19-1908088")</f>
        <v>0</v>
      </c>
      <c r="B3026" t="s">
        <v>227</v>
      </c>
      <c r="C3026" t="s">
        <v>257</v>
      </c>
      <c r="D3026" t="s">
        <v>551</v>
      </c>
      <c r="E3026" t="s">
        <v>806</v>
      </c>
      <c r="F3026" t="s">
        <v>2403</v>
      </c>
      <c r="G3026" t="s">
        <v>4605</v>
      </c>
      <c r="H3026" t="s">
        <v>7179</v>
      </c>
      <c r="I3026" t="s">
        <v>8655</v>
      </c>
      <c r="J3026" t="s">
        <v>9059</v>
      </c>
      <c r="K3026">
        <v>11208</v>
      </c>
      <c r="L3026" t="s">
        <v>9094</v>
      </c>
      <c r="M3026" t="s">
        <v>9095</v>
      </c>
      <c r="O3026" t="s">
        <v>11129</v>
      </c>
      <c r="P3026" t="s">
        <v>11164</v>
      </c>
      <c r="Q3026" t="s">
        <v>11172</v>
      </c>
      <c r="R3026" t="s">
        <v>11180</v>
      </c>
      <c r="S3026" t="s">
        <v>9096</v>
      </c>
      <c r="T3026" t="s">
        <v>11183</v>
      </c>
      <c r="V3026" t="s">
        <v>288</v>
      </c>
      <c r="W3026">
        <v>0</v>
      </c>
      <c r="X3026" t="s">
        <v>11332</v>
      </c>
      <c r="Y3026" t="s">
        <v>11336</v>
      </c>
      <c r="Z3026" t="s">
        <v>13401</v>
      </c>
      <c r="AB3026" t="s">
        <v>17740</v>
      </c>
      <c r="AC3026">
        <v>1444</v>
      </c>
      <c r="AF3026">
        <v>0</v>
      </c>
      <c r="AG3026">
        <v>2</v>
      </c>
      <c r="AH3026">
        <v>2</v>
      </c>
      <c r="AI3026">
        <v>100.97</v>
      </c>
      <c r="AL3026" t="s">
        <v>19616</v>
      </c>
      <c r="AM3026">
        <v>26000</v>
      </c>
      <c r="AS3026">
        <v>0.2</v>
      </c>
      <c r="AT3026" t="s">
        <v>899</v>
      </c>
      <c r="AU3026" t="s">
        <v>20666</v>
      </c>
      <c r="AV3026" t="s">
        <v>20733</v>
      </c>
    </row>
    <row r="3027" spans="1:48">
      <c r="A3027" s="1">
        <f>HYPERLINK("https://lsnyc.legalserver.org/matter/dynamic-profile/view/1895944","19-1895944")</f>
        <v>0</v>
      </c>
      <c r="B3027" t="s">
        <v>106</v>
      </c>
      <c r="C3027" t="s">
        <v>256</v>
      </c>
      <c r="D3027" t="s">
        <v>300</v>
      </c>
      <c r="F3027" t="s">
        <v>2404</v>
      </c>
      <c r="G3027" t="s">
        <v>3220</v>
      </c>
      <c r="H3027" t="s">
        <v>6624</v>
      </c>
      <c r="I3027" t="s">
        <v>8690</v>
      </c>
      <c r="J3027" t="s">
        <v>9065</v>
      </c>
      <c r="K3027">
        <v>10458</v>
      </c>
      <c r="L3027" t="s">
        <v>9094</v>
      </c>
      <c r="M3027" t="s">
        <v>9094</v>
      </c>
      <c r="N3027" t="s">
        <v>9819</v>
      </c>
      <c r="O3027" t="s">
        <v>11134</v>
      </c>
      <c r="P3027" t="s">
        <v>11168</v>
      </c>
      <c r="R3027" t="s">
        <v>11180</v>
      </c>
      <c r="S3027" t="s">
        <v>9094</v>
      </c>
      <c r="T3027" t="s">
        <v>11183</v>
      </c>
      <c r="V3027" t="s">
        <v>11212</v>
      </c>
      <c r="W3027">
        <v>1122.95</v>
      </c>
      <c r="X3027" t="s">
        <v>11333</v>
      </c>
      <c r="Y3027" t="s">
        <v>11346</v>
      </c>
      <c r="Z3027" t="s">
        <v>13402</v>
      </c>
      <c r="AB3027" t="s">
        <v>17741</v>
      </c>
      <c r="AC3027">
        <v>142</v>
      </c>
      <c r="AD3027" t="s">
        <v>19566</v>
      </c>
      <c r="AE3027" t="s">
        <v>9144</v>
      </c>
      <c r="AF3027">
        <v>6</v>
      </c>
      <c r="AG3027">
        <v>2</v>
      </c>
      <c r="AH3027">
        <v>2</v>
      </c>
      <c r="AI3027">
        <v>100.97</v>
      </c>
      <c r="AL3027" t="s">
        <v>19615</v>
      </c>
      <c r="AM3027">
        <v>26000</v>
      </c>
      <c r="AS3027">
        <v>0.1</v>
      </c>
      <c r="AT3027" t="s">
        <v>271</v>
      </c>
      <c r="AU3027" t="s">
        <v>220</v>
      </c>
      <c r="AV3027" t="s">
        <v>20733</v>
      </c>
    </row>
    <row r="3028" spans="1:48">
      <c r="A3028" s="1">
        <f>HYPERLINK("https://lsnyc.legalserver.org/matter/dynamic-profile/view/1889261","19-1889261")</f>
        <v>0</v>
      </c>
      <c r="B3028" t="s">
        <v>106</v>
      </c>
      <c r="C3028" t="s">
        <v>257</v>
      </c>
      <c r="D3028" t="s">
        <v>602</v>
      </c>
      <c r="E3028" t="s">
        <v>429</v>
      </c>
      <c r="F3028" t="s">
        <v>2404</v>
      </c>
      <c r="G3028" t="s">
        <v>3220</v>
      </c>
      <c r="H3028" t="s">
        <v>6624</v>
      </c>
      <c r="I3028" t="s">
        <v>8690</v>
      </c>
      <c r="J3028" t="s">
        <v>9065</v>
      </c>
      <c r="K3028">
        <v>10458</v>
      </c>
      <c r="L3028" t="s">
        <v>9094</v>
      </c>
      <c r="M3028" t="s">
        <v>9094</v>
      </c>
      <c r="N3028" t="s">
        <v>9825</v>
      </c>
      <c r="O3028" t="s">
        <v>11130</v>
      </c>
      <c r="P3028" t="s">
        <v>11165</v>
      </c>
      <c r="Q3028" t="s">
        <v>11179</v>
      </c>
      <c r="R3028" t="s">
        <v>11180</v>
      </c>
      <c r="S3028" t="s">
        <v>9094</v>
      </c>
      <c r="T3028" t="s">
        <v>11183</v>
      </c>
      <c r="V3028" t="s">
        <v>635</v>
      </c>
      <c r="W3028">
        <v>1122.95</v>
      </c>
      <c r="X3028" t="s">
        <v>11333</v>
      </c>
      <c r="Y3028" t="s">
        <v>11346</v>
      </c>
      <c r="Z3028" t="s">
        <v>13402</v>
      </c>
      <c r="AB3028" t="s">
        <v>17741</v>
      </c>
      <c r="AC3028">
        <v>142</v>
      </c>
      <c r="AD3028" t="s">
        <v>19566</v>
      </c>
      <c r="AE3028" t="s">
        <v>9144</v>
      </c>
      <c r="AF3028">
        <v>6</v>
      </c>
      <c r="AG3028">
        <v>2</v>
      </c>
      <c r="AH3028">
        <v>2</v>
      </c>
      <c r="AI3028">
        <v>100.97</v>
      </c>
      <c r="AL3028" t="s">
        <v>19615</v>
      </c>
      <c r="AM3028">
        <v>26000</v>
      </c>
      <c r="AS3028">
        <v>2.75</v>
      </c>
      <c r="AT3028" t="s">
        <v>429</v>
      </c>
      <c r="AU3028" t="s">
        <v>178</v>
      </c>
    </row>
    <row r="3029" spans="1:48">
      <c r="A3029" s="1">
        <f>HYPERLINK("https://lsnyc.legalserver.org/matter/dynamic-profile/view/1892367","19-1892367")</f>
        <v>0</v>
      </c>
      <c r="B3029" t="s">
        <v>103</v>
      </c>
      <c r="C3029" t="s">
        <v>256</v>
      </c>
      <c r="D3029" t="s">
        <v>635</v>
      </c>
      <c r="F3029" t="s">
        <v>2405</v>
      </c>
      <c r="G3029" t="s">
        <v>3765</v>
      </c>
      <c r="H3029" t="s">
        <v>6785</v>
      </c>
      <c r="I3029" t="s">
        <v>8213</v>
      </c>
      <c r="J3029" t="s">
        <v>9065</v>
      </c>
      <c r="K3029">
        <v>10453</v>
      </c>
      <c r="L3029" t="s">
        <v>9094</v>
      </c>
      <c r="M3029" t="s">
        <v>9094</v>
      </c>
      <c r="O3029" t="s">
        <v>11134</v>
      </c>
      <c r="P3029" t="s">
        <v>11168</v>
      </c>
      <c r="R3029" t="s">
        <v>11180</v>
      </c>
      <c r="S3029" t="s">
        <v>9094</v>
      </c>
      <c r="T3029" t="s">
        <v>11183</v>
      </c>
      <c r="V3029" t="s">
        <v>993</v>
      </c>
      <c r="W3029">
        <v>1026.68</v>
      </c>
      <c r="X3029" t="s">
        <v>11333</v>
      </c>
      <c r="Y3029" t="s">
        <v>11339</v>
      </c>
      <c r="Z3029" t="s">
        <v>13403</v>
      </c>
      <c r="AC3029">
        <v>170</v>
      </c>
      <c r="AD3029" t="s">
        <v>19566</v>
      </c>
      <c r="AE3029" t="s">
        <v>9144</v>
      </c>
      <c r="AF3029">
        <v>9</v>
      </c>
      <c r="AG3029">
        <v>2</v>
      </c>
      <c r="AH3029">
        <v>2</v>
      </c>
      <c r="AI3029">
        <v>100.97</v>
      </c>
      <c r="AL3029" t="s">
        <v>19615</v>
      </c>
      <c r="AM3029">
        <v>26000</v>
      </c>
      <c r="AS3029">
        <v>0</v>
      </c>
      <c r="AU3029" t="s">
        <v>220</v>
      </c>
      <c r="AV3029" t="s">
        <v>20733</v>
      </c>
    </row>
    <row r="3030" spans="1:48">
      <c r="A3030" s="1">
        <f>HYPERLINK("https://lsnyc.legalserver.org/matter/dynamic-profile/view/1904812","19-1904812")</f>
        <v>0</v>
      </c>
      <c r="B3030" t="s">
        <v>111</v>
      </c>
      <c r="C3030" t="s">
        <v>257</v>
      </c>
      <c r="D3030" t="s">
        <v>748</v>
      </c>
      <c r="E3030" t="s">
        <v>551</v>
      </c>
      <c r="F3030" t="s">
        <v>1312</v>
      </c>
      <c r="G3030" t="s">
        <v>4643</v>
      </c>
      <c r="H3030" t="s">
        <v>7180</v>
      </c>
      <c r="I3030">
        <v>602</v>
      </c>
      <c r="J3030" t="s">
        <v>9065</v>
      </c>
      <c r="K3030">
        <v>10452</v>
      </c>
      <c r="L3030" t="s">
        <v>9094</v>
      </c>
      <c r="M3030" t="s">
        <v>9095</v>
      </c>
      <c r="N3030" t="s">
        <v>9171</v>
      </c>
      <c r="O3030" t="s">
        <v>11136</v>
      </c>
      <c r="P3030" t="s">
        <v>11164</v>
      </c>
      <c r="Q3030" t="s">
        <v>11172</v>
      </c>
      <c r="R3030" t="s">
        <v>11180</v>
      </c>
      <c r="S3030" t="s">
        <v>9096</v>
      </c>
      <c r="T3030" t="s">
        <v>11183</v>
      </c>
      <c r="V3030" t="s">
        <v>396</v>
      </c>
      <c r="W3030">
        <v>557</v>
      </c>
      <c r="X3030" t="s">
        <v>11333</v>
      </c>
      <c r="Y3030" t="s">
        <v>11346</v>
      </c>
      <c r="Z3030" t="s">
        <v>13404</v>
      </c>
      <c r="AB3030" t="s">
        <v>17742</v>
      </c>
      <c r="AC3030">
        <v>82</v>
      </c>
      <c r="AD3030" t="s">
        <v>15441</v>
      </c>
      <c r="AE3030" t="s">
        <v>9144</v>
      </c>
      <c r="AF3030">
        <v>5</v>
      </c>
      <c r="AG3030">
        <v>2</v>
      </c>
      <c r="AH3030">
        <v>2</v>
      </c>
      <c r="AI3030">
        <v>100.97</v>
      </c>
      <c r="AM3030">
        <v>26000</v>
      </c>
      <c r="AS3030">
        <v>1.5</v>
      </c>
      <c r="AT3030" t="s">
        <v>615</v>
      </c>
      <c r="AU3030" t="s">
        <v>20642</v>
      </c>
      <c r="AV3030" t="s">
        <v>20733</v>
      </c>
    </row>
    <row r="3031" spans="1:48">
      <c r="A3031" s="1">
        <f>HYPERLINK("https://lsnyc.legalserver.org/matter/dynamic-profile/view/1912671","19-1912671")</f>
        <v>0</v>
      </c>
      <c r="B3031" t="s">
        <v>228</v>
      </c>
      <c r="C3031" t="s">
        <v>257</v>
      </c>
      <c r="D3031" t="s">
        <v>290</v>
      </c>
      <c r="E3031" t="s">
        <v>286</v>
      </c>
      <c r="F3031" t="s">
        <v>2406</v>
      </c>
      <c r="G3031" t="s">
        <v>4644</v>
      </c>
      <c r="H3031" t="s">
        <v>7181</v>
      </c>
      <c r="I3031">
        <v>3</v>
      </c>
      <c r="J3031" t="s">
        <v>9065</v>
      </c>
      <c r="K3031">
        <v>10451</v>
      </c>
      <c r="L3031" t="s">
        <v>9094</v>
      </c>
      <c r="M3031" t="s">
        <v>9095</v>
      </c>
      <c r="N3031" t="s">
        <v>9171</v>
      </c>
      <c r="O3031" t="s">
        <v>9121</v>
      </c>
      <c r="P3031" t="s">
        <v>11164</v>
      </c>
      <c r="Q3031" t="s">
        <v>11172</v>
      </c>
      <c r="R3031" t="s">
        <v>11180</v>
      </c>
      <c r="S3031" t="s">
        <v>9096</v>
      </c>
      <c r="T3031" t="s">
        <v>11183</v>
      </c>
      <c r="V3031" t="s">
        <v>483</v>
      </c>
      <c r="W3031">
        <v>1950</v>
      </c>
      <c r="X3031" t="s">
        <v>11333</v>
      </c>
      <c r="Y3031" t="s">
        <v>11346</v>
      </c>
      <c r="Z3031" t="s">
        <v>13405</v>
      </c>
      <c r="AC3031">
        <v>3</v>
      </c>
      <c r="AE3031" t="s">
        <v>9144</v>
      </c>
      <c r="AF3031">
        <v>1</v>
      </c>
      <c r="AG3031">
        <v>2</v>
      </c>
      <c r="AH3031">
        <v>2</v>
      </c>
      <c r="AI3031">
        <v>100.97</v>
      </c>
      <c r="AL3031" t="s">
        <v>19615</v>
      </c>
      <c r="AM3031">
        <v>26000</v>
      </c>
      <c r="AS3031">
        <v>2</v>
      </c>
      <c r="AT3031" t="s">
        <v>286</v>
      </c>
      <c r="AU3031" t="s">
        <v>163</v>
      </c>
      <c r="AV3031" t="s">
        <v>20733</v>
      </c>
    </row>
    <row r="3032" spans="1:48">
      <c r="A3032" s="1">
        <f>HYPERLINK("https://lsnyc.legalserver.org/matter/dynamic-profile/view/0802856","16-0802856")</f>
        <v>0</v>
      </c>
      <c r="B3032" t="s">
        <v>167</v>
      </c>
      <c r="C3032" t="s">
        <v>256</v>
      </c>
      <c r="D3032" t="s">
        <v>984</v>
      </c>
      <c r="F3032" t="s">
        <v>2407</v>
      </c>
      <c r="G3032" t="s">
        <v>4645</v>
      </c>
      <c r="H3032" t="s">
        <v>7131</v>
      </c>
      <c r="I3032" t="s">
        <v>8691</v>
      </c>
      <c r="J3032" t="s">
        <v>9059</v>
      </c>
      <c r="K3032">
        <v>11213</v>
      </c>
      <c r="L3032" t="s">
        <v>9094</v>
      </c>
      <c r="M3032" t="s">
        <v>9095</v>
      </c>
      <c r="N3032" t="s">
        <v>10264</v>
      </c>
      <c r="O3032" t="s">
        <v>11128</v>
      </c>
      <c r="P3032" t="s">
        <v>11165</v>
      </c>
      <c r="R3032" t="s">
        <v>11180</v>
      </c>
      <c r="S3032" t="s">
        <v>9094</v>
      </c>
      <c r="T3032" t="s">
        <v>11183</v>
      </c>
      <c r="V3032" t="s">
        <v>856</v>
      </c>
      <c r="W3032">
        <v>1068</v>
      </c>
      <c r="X3032" t="s">
        <v>11332</v>
      </c>
      <c r="Y3032" t="s">
        <v>11342</v>
      </c>
      <c r="Z3032" t="s">
        <v>13406</v>
      </c>
      <c r="AB3032" t="s">
        <v>17743</v>
      </c>
      <c r="AC3032">
        <v>20</v>
      </c>
      <c r="AD3032" t="s">
        <v>19566</v>
      </c>
      <c r="AF3032">
        <v>19</v>
      </c>
      <c r="AG3032">
        <v>1</v>
      </c>
      <c r="AH3032">
        <v>0</v>
      </c>
      <c r="AI3032">
        <v>101.01</v>
      </c>
      <c r="AL3032" t="s">
        <v>19614</v>
      </c>
      <c r="AM3032">
        <v>12000</v>
      </c>
      <c r="AS3032">
        <v>165.82</v>
      </c>
      <c r="AT3032" t="s">
        <v>286</v>
      </c>
      <c r="AU3032" t="s">
        <v>20626</v>
      </c>
    </row>
    <row r="3033" spans="1:48">
      <c r="A3033" s="1">
        <f>HYPERLINK("https://lsnyc.legalserver.org/matter/dynamic-profile/view/1886679","18-1886679")</f>
        <v>0</v>
      </c>
      <c r="B3033" t="s">
        <v>113</v>
      </c>
      <c r="C3033" t="s">
        <v>256</v>
      </c>
      <c r="D3033" t="s">
        <v>629</v>
      </c>
      <c r="F3033" t="s">
        <v>1294</v>
      </c>
      <c r="G3033" t="s">
        <v>4018</v>
      </c>
      <c r="H3033" t="s">
        <v>5864</v>
      </c>
      <c r="I3033" t="s">
        <v>8676</v>
      </c>
      <c r="J3033" t="s">
        <v>9065</v>
      </c>
      <c r="K3033">
        <v>10460</v>
      </c>
      <c r="L3033" t="s">
        <v>9094</v>
      </c>
      <c r="M3033" t="s">
        <v>9094</v>
      </c>
      <c r="N3033" t="s">
        <v>9222</v>
      </c>
      <c r="O3033" t="s">
        <v>11130</v>
      </c>
      <c r="P3033" t="s">
        <v>11165</v>
      </c>
      <c r="R3033" t="s">
        <v>11180</v>
      </c>
      <c r="S3033" t="s">
        <v>9094</v>
      </c>
      <c r="T3033" t="s">
        <v>11183</v>
      </c>
      <c r="V3033" t="s">
        <v>512</v>
      </c>
      <c r="W3033">
        <v>397</v>
      </c>
      <c r="X3033" t="s">
        <v>11333</v>
      </c>
      <c r="Y3033" t="s">
        <v>11346</v>
      </c>
      <c r="Z3033" t="s">
        <v>13345</v>
      </c>
      <c r="AB3033" t="s">
        <v>17686</v>
      </c>
      <c r="AC3033">
        <v>168</v>
      </c>
      <c r="AD3033" t="s">
        <v>19566</v>
      </c>
      <c r="AE3033" t="s">
        <v>19580</v>
      </c>
      <c r="AF3033">
        <v>5</v>
      </c>
      <c r="AG3033">
        <v>1</v>
      </c>
      <c r="AH3033">
        <v>0</v>
      </c>
      <c r="AI3033">
        <v>101.02</v>
      </c>
      <c r="AL3033" t="s">
        <v>19615</v>
      </c>
      <c r="AM3033">
        <v>12264</v>
      </c>
      <c r="AS3033">
        <v>0</v>
      </c>
      <c r="AU3033" t="s">
        <v>158</v>
      </c>
    </row>
    <row r="3034" spans="1:48">
      <c r="A3034" s="1">
        <f>HYPERLINK("https://lsnyc.legalserver.org/matter/dynamic-profile/view/1914052","19-1914052")</f>
        <v>0</v>
      </c>
      <c r="B3034" t="s">
        <v>138</v>
      </c>
      <c r="C3034" t="s">
        <v>256</v>
      </c>
      <c r="D3034" t="s">
        <v>395</v>
      </c>
      <c r="F3034" t="s">
        <v>2408</v>
      </c>
      <c r="G3034" t="s">
        <v>4646</v>
      </c>
      <c r="H3034" t="s">
        <v>7182</v>
      </c>
      <c r="I3034">
        <v>48</v>
      </c>
      <c r="J3034" t="s">
        <v>9067</v>
      </c>
      <c r="K3034">
        <v>10034</v>
      </c>
      <c r="L3034" t="s">
        <v>9094</v>
      </c>
      <c r="M3034" t="s">
        <v>9095</v>
      </c>
      <c r="P3034" t="s">
        <v>11169</v>
      </c>
      <c r="R3034" t="s">
        <v>11180</v>
      </c>
      <c r="T3034" t="s">
        <v>11183</v>
      </c>
      <c r="V3034" t="s">
        <v>395</v>
      </c>
      <c r="W3034">
        <v>1265.8</v>
      </c>
      <c r="X3034" t="s">
        <v>11335</v>
      </c>
      <c r="Y3034" t="s">
        <v>11340</v>
      </c>
      <c r="Z3034" t="s">
        <v>13407</v>
      </c>
      <c r="AB3034" t="s">
        <v>17744</v>
      </c>
      <c r="AC3034">
        <v>41</v>
      </c>
      <c r="AD3034" t="s">
        <v>19566</v>
      </c>
      <c r="AE3034" t="s">
        <v>19587</v>
      </c>
      <c r="AF3034">
        <v>27</v>
      </c>
      <c r="AG3034">
        <v>1</v>
      </c>
      <c r="AH3034">
        <v>0</v>
      </c>
      <c r="AI3034">
        <v>101.07</v>
      </c>
      <c r="AL3034" t="s">
        <v>19614</v>
      </c>
      <c r="AM3034">
        <v>12624</v>
      </c>
      <c r="AS3034">
        <v>3</v>
      </c>
      <c r="AT3034" t="s">
        <v>496</v>
      </c>
      <c r="AU3034" t="s">
        <v>130</v>
      </c>
      <c r="AV3034" t="s">
        <v>20733</v>
      </c>
    </row>
    <row r="3035" spans="1:48">
      <c r="A3035" s="1">
        <f>HYPERLINK("https://lsnyc.legalserver.org/matter/dynamic-profile/view/1908569","19-1908569")</f>
        <v>0</v>
      </c>
      <c r="B3035" t="s">
        <v>134</v>
      </c>
      <c r="C3035" t="s">
        <v>257</v>
      </c>
      <c r="D3035" t="s">
        <v>410</v>
      </c>
      <c r="E3035" t="s">
        <v>292</v>
      </c>
      <c r="F3035" t="s">
        <v>1527</v>
      </c>
      <c r="G3035" t="s">
        <v>4647</v>
      </c>
      <c r="H3035" t="s">
        <v>7183</v>
      </c>
      <c r="I3035" t="s">
        <v>8109</v>
      </c>
      <c r="J3035" t="s">
        <v>9067</v>
      </c>
      <c r="K3035">
        <v>10032</v>
      </c>
      <c r="L3035" t="s">
        <v>9094</v>
      </c>
      <c r="M3035" t="s">
        <v>9095</v>
      </c>
      <c r="O3035" t="s">
        <v>9121</v>
      </c>
      <c r="P3035" t="s">
        <v>11164</v>
      </c>
      <c r="Q3035" t="s">
        <v>11172</v>
      </c>
      <c r="R3035" t="s">
        <v>11180</v>
      </c>
      <c r="S3035" t="s">
        <v>9096</v>
      </c>
      <c r="T3035" t="s">
        <v>11183</v>
      </c>
      <c r="V3035" t="s">
        <v>410</v>
      </c>
      <c r="W3035">
        <v>606.5599999999999</v>
      </c>
      <c r="X3035" t="s">
        <v>11335</v>
      </c>
      <c r="Y3035" t="s">
        <v>11339</v>
      </c>
      <c r="Z3035" t="s">
        <v>13408</v>
      </c>
      <c r="AB3035" t="s">
        <v>17745</v>
      </c>
      <c r="AC3035">
        <v>202</v>
      </c>
      <c r="AD3035" t="s">
        <v>19566</v>
      </c>
      <c r="AE3035" t="s">
        <v>19587</v>
      </c>
      <c r="AF3035">
        <v>7</v>
      </c>
      <c r="AG3035">
        <v>1</v>
      </c>
      <c r="AH3035">
        <v>0</v>
      </c>
      <c r="AI3035">
        <v>101.07</v>
      </c>
      <c r="AL3035" t="s">
        <v>19614</v>
      </c>
      <c r="AM3035">
        <v>12624</v>
      </c>
      <c r="AS3035">
        <v>2.52</v>
      </c>
      <c r="AT3035" t="s">
        <v>290</v>
      </c>
      <c r="AU3035" t="s">
        <v>20659</v>
      </c>
      <c r="AV3035" t="s">
        <v>20733</v>
      </c>
    </row>
    <row r="3036" spans="1:48">
      <c r="A3036" s="1">
        <f>HYPERLINK("https://lsnyc.legalserver.org/matter/dynamic-profile/view/0768580","14-0768580")</f>
        <v>0</v>
      </c>
      <c r="B3036" t="s">
        <v>167</v>
      </c>
      <c r="C3036" t="s">
        <v>256</v>
      </c>
      <c r="D3036" t="s">
        <v>985</v>
      </c>
      <c r="F3036" t="s">
        <v>1806</v>
      </c>
      <c r="G3036" t="s">
        <v>4648</v>
      </c>
      <c r="H3036" t="s">
        <v>7184</v>
      </c>
      <c r="I3036" t="s">
        <v>8128</v>
      </c>
      <c r="J3036" t="s">
        <v>9059</v>
      </c>
      <c r="K3036">
        <v>11206</v>
      </c>
      <c r="L3036" t="s">
        <v>9096</v>
      </c>
      <c r="M3036" t="s">
        <v>9095</v>
      </c>
      <c r="N3036" t="s">
        <v>10265</v>
      </c>
      <c r="O3036" t="s">
        <v>11143</v>
      </c>
      <c r="P3036" t="s">
        <v>11165</v>
      </c>
      <c r="R3036" t="s">
        <v>11180</v>
      </c>
      <c r="T3036" t="s">
        <v>11183</v>
      </c>
      <c r="V3036" t="s">
        <v>985</v>
      </c>
      <c r="W3036">
        <v>0</v>
      </c>
      <c r="X3036" t="s">
        <v>11332</v>
      </c>
      <c r="Z3036" t="s">
        <v>13409</v>
      </c>
      <c r="AB3036" t="s">
        <v>17746</v>
      </c>
      <c r="AC3036">
        <v>0</v>
      </c>
      <c r="AF3036">
        <v>0</v>
      </c>
      <c r="AG3036">
        <v>4</v>
      </c>
      <c r="AH3036">
        <v>0</v>
      </c>
      <c r="AI3036">
        <v>101.38</v>
      </c>
      <c r="AL3036" t="s">
        <v>19615</v>
      </c>
      <c r="AM3036">
        <v>24180</v>
      </c>
      <c r="AS3036">
        <v>603.4</v>
      </c>
      <c r="AT3036" t="s">
        <v>20600</v>
      </c>
      <c r="AU3036" t="s">
        <v>20628</v>
      </c>
    </row>
    <row r="3037" spans="1:48">
      <c r="A3037" s="1">
        <f>HYPERLINK("https://lsnyc.legalserver.org/matter/dynamic-profile/view/1909953","19-1909953")</f>
        <v>0</v>
      </c>
      <c r="B3037" t="s">
        <v>117</v>
      </c>
      <c r="C3037" t="s">
        <v>256</v>
      </c>
      <c r="D3037" t="s">
        <v>806</v>
      </c>
      <c r="F3037" t="s">
        <v>1231</v>
      </c>
      <c r="G3037" t="s">
        <v>4649</v>
      </c>
      <c r="H3037" t="s">
        <v>6258</v>
      </c>
      <c r="I3037" t="s">
        <v>8229</v>
      </c>
      <c r="J3037" t="s">
        <v>9065</v>
      </c>
      <c r="K3037">
        <v>10453</v>
      </c>
      <c r="L3037" t="s">
        <v>9094</v>
      </c>
      <c r="M3037" t="s">
        <v>9095</v>
      </c>
      <c r="P3037" t="s">
        <v>11164</v>
      </c>
      <c r="R3037" t="s">
        <v>11180</v>
      </c>
      <c r="S3037" t="s">
        <v>9096</v>
      </c>
      <c r="T3037" t="s">
        <v>11183</v>
      </c>
      <c r="W3037">
        <v>0</v>
      </c>
      <c r="X3037" t="s">
        <v>11333</v>
      </c>
      <c r="Y3037" t="s">
        <v>11346</v>
      </c>
      <c r="Z3037" t="s">
        <v>13410</v>
      </c>
      <c r="AB3037" t="s">
        <v>17747</v>
      </c>
      <c r="AC3037">
        <v>101</v>
      </c>
      <c r="AE3037" t="s">
        <v>9144</v>
      </c>
      <c r="AF3037">
        <v>11</v>
      </c>
      <c r="AG3037">
        <v>1</v>
      </c>
      <c r="AH3037">
        <v>0</v>
      </c>
      <c r="AI3037">
        <v>101.59</v>
      </c>
      <c r="AL3037" t="s">
        <v>19614</v>
      </c>
      <c r="AM3037">
        <v>12688</v>
      </c>
      <c r="AS3037">
        <v>0.5</v>
      </c>
      <c r="AT3037" t="s">
        <v>308</v>
      </c>
      <c r="AU3037" t="s">
        <v>163</v>
      </c>
      <c r="AV3037" t="s">
        <v>20733</v>
      </c>
    </row>
    <row r="3038" spans="1:48">
      <c r="A3038" s="1">
        <f>HYPERLINK("https://lsnyc.legalserver.org/matter/dynamic-profile/view/1877995","18-1877995")</f>
        <v>0</v>
      </c>
      <c r="B3038" t="s">
        <v>82</v>
      </c>
      <c r="C3038" t="s">
        <v>256</v>
      </c>
      <c r="D3038" t="s">
        <v>846</v>
      </c>
      <c r="F3038" t="s">
        <v>2409</v>
      </c>
      <c r="G3038" t="s">
        <v>4650</v>
      </c>
      <c r="H3038" t="s">
        <v>7157</v>
      </c>
      <c r="I3038" t="s">
        <v>8279</v>
      </c>
      <c r="J3038" t="s">
        <v>9059</v>
      </c>
      <c r="K3038">
        <v>11226</v>
      </c>
      <c r="L3038" t="s">
        <v>9094</v>
      </c>
      <c r="M3038" t="s">
        <v>9094</v>
      </c>
      <c r="O3038" t="s">
        <v>11136</v>
      </c>
      <c r="P3038" t="s">
        <v>11166</v>
      </c>
      <c r="R3038" t="s">
        <v>11180</v>
      </c>
      <c r="S3038" t="s">
        <v>9094</v>
      </c>
      <c r="T3038" t="s">
        <v>11183</v>
      </c>
      <c r="U3038" t="s">
        <v>11201</v>
      </c>
      <c r="V3038" t="s">
        <v>855</v>
      </c>
      <c r="W3038">
        <v>923</v>
      </c>
      <c r="X3038" t="s">
        <v>11332</v>
      </c>
      <c r="Y3038" t="s">
        <v>11346</v>
      </c>
      <c r="Z3038" t="s">
        <v>13411</v>
      </c>
      <c r="AA3038" t="s">
        <v>15753</v>
      </c>
      <c r="AB3038" t="s">
        <v>17748</v>
      </c>
      <c r="AC3038">
        <v>48</v>
      </c>
      <c r="AD3038" t="s">
        <v>19566</v>
      </c>
      <c r="AE3038" t="s">
        <v>9144</v>
      </c>
      <c r="AF3038">
        <v>19</v>
      </c>
      <c r="AG3038">
        <v>2</v>
      </c>
      <c r="AH3038">
        <v>2</v>
      </c>
      <c r="AI3038">
        <v>101.71</v>
      </c>
      <c r="AL3038" t="s">
        <v>19614</v>
      </c>
      <c r="AM3038">
        <v>25528</v>
      </c>
      <c r="AS3038">
        <v>11</v>
      </c>
      <c r="AT3038" t="s">
        <v>396</v>
      </c>
      <c r="AU3038" t="s">
        <v>67</v>
      </c>
    </row>
    <row r="3039" spans="1:48">
      <c r="A3039" s="1">
        <f>HYPERLINK("https://lsnyc.legalserver.org/matter/dynamic-profile/view/1890017","19-1890017")</f>
        <v>0</v>
      </c>
      <c r="B3039" t="s">
        <v>102</v>
      </c>
      <c r="C3039" t="s">
        <v>256</v>
      </c>
      <c r="D3039" t="s">
        <v>447</v>
      </c>
      <c r="F3039" t="s">
        <v>2359</v>
      </c>
      <c r="G3039" t="s">
        <v>4589</v>
      </c>
      <c r="H3039" t="s">
        <v>7122</v>
      </c>
      <c r="I3039">
        <v>3</v>
      </c>
      <c r="J3039" t="s">
        <v>9065</v>
      </c>
      <c r="K3039">
        <v>10462</v>
      </c>
      <c r="L3039" t="s">
        <v>9094</v>
      </c>
      <c r="M3039" t="s">
        <v>9094</v>
      </c>
      <c r="N3039" t="s">
        <v>10266</v>
      </c>
      <c r="O3039" t="s">
        <v>11132</v>
      </c>
      <c r="P3039" t="s">
        <v>11167</v>
      </c>
      <c r="R3039" t="s">
        <v>11180</v>
      </c>
      <c r="T3039" t="s">
        <v>11183</v>
      </c>
      <c r="V3039" t="s">
        <v>447</v>
      </c>
      <c r="W3039">
        <v>800</v>
      </c>
      <c r="X3039" t="s">
        <v>11333</v>
      </c>
      <c r="Z3039" t="s">
        <v>13311</v>
      </c>
      <c r="AB3039" t="s">
        <v>17655</v>
      </c>
      <c r="AC3039">
        <v>0</v>
      </c>
      <c r="AE3039" t="s">
        <v>19586</v>
      </c>
      <c r="AF3039">
        <v>1</v>
      </c>
      <c r="AG3039">
        <v>1</v>
      </c>
      <c r="AH3039">
        <v>0</v>
      </c>
      <c r="AI3039">
        <v>101.75</v>
      </c>
      <c r="AL3039" t="s">
        <v>19614</v>
      </c>
      <c r="AM3039">
        <v>12708</v>
      </c>
      <c r="AN3039" t="s">
        <v>19924</v>
      </c>
      <c r="AS3039">
        <v>2</v>
      </c>
      <c r="AT3039" t="s">
        <v>336</v>
      </c>
      <c r="AU3039" t="s">
        <v>20646</v>
      </c>
      <c r="AV3039" t="s">
        <v>20733</v>
      </c>
    </row>
    <row r="3040" spans="1:48">
      <c r="A3040" s="1">
        <f>HYPERLINK("https://lsnyc.legalserver.org/matter/dynamic-profile/view/1861206","18-1861206")</f>
        <v>0</v>
      </c>
      <c r="B3040" t="s">
        <v>172</v>
      </c>
      <c r="C3040" t="s">
        <v>257</v>
      </c>
      <c r="D3040" t="s">
        <v>835</v>
      </c>
      <c r="E3040" t="s">
        <v>706</v>
      </c>
      <c r="F3040" t="s">
        <v>1206</v>
      </c>
      <c r="G3040" t="s">
        <v>3473</v>
      </c>
      <c r="H3040" t="s">
        <v>7185</v>
      </c>
      <c r="I3040" t="s">
        <v>8392</v>
      </c>
      <c r="J3040" t="s">
        <v>9067</v>
      </c>
      <c r="K3040">
        <v>10026</v>
      </c>
      <c r="L3040" t="s">
        <v>9094</v>
      </c>
      <c r="M3040" t="s">
        <v>9094</v>
      </c>
      <c r="O3040" t="s">
        <v>11130</v>
      </c>
      <c r="P3040" t="s">
        <v>11164</v>
      </c>
      <c r="Q3040" t="s">
        <v>11172</v>
      </c>
      <c r="R3040" t="s">
        <v>11180</v>
      </c>
      <c r="S3040" t="s">
        <v>9096</v>
      </c>
      <c r="T3040" t="s">
        <v>11183</v>
      </c>
      <c r="V3040" t="s">
        <v>945</v>
      </c>
      <c r="W3040">
        <v>0</v>
      </c>
      <c r="X3040" t="s">
        <v>11335</v>
      </c>
      <c r="Y3040" t="s">
        <v>11340</v>
      </c>
      <c r="Z3040" t="s">
        <v>13412</v>
      </c>
      <c r="AB3040" t="s">
        <v>17749</v>
      </c>
      <c r="AC3040">
        <v>0</v>
      </c>
      <c r="AE3040" t="s">
        <v>9144</v>
      </c>
      <c r="AF3040">
        <v>0</v>
      </c>
      <c r="AG3040">
        <v>1</v>
      </c>
      <c r="AH3040">
        <v>0</v>
      </c>
      <c r="AI3040">
        <v>101.81</v>
      </c>
      <c r="AM3040">
        <v>12360</v>
      </c>
      <c r="AS3040">
        <v>0.1</v>
      </c>
      <c r="AT3040" t="s">
        <v>706</v>
      </c>
      <c r="AU3040" t="s">
        <v>20680</v>
      </c>
    </row>
    <row r="3041" spans="1:48">
      <c r="A3041" s="1">
        <f>HYPERLINK("https://lsnyc.legalserver.org/matter/dynamic-profile/view/1903881","19-1903881")</f>
        <v>0</v>
      </c>
      <c r="B3041" t="s">
        <v>229</v>
      </c>
      <c r="C3041" t="s">
        <v>257</v>
      </c>
      <c r="D3041" t="s">
        <v>597</v>
      </c>
      <c r="E3041" t="s">
        <v>597</v>
      </c>
      <c r="F3041" t="s">
        <v>1976</v>
      </c>
      <c r="G3041" t="s">
        <v>4472</v>
      </c>
      <c r="H3041" t="s">
        <v>7186</v>
      </c>
      <c r="I3041" t="s">
        <v>8215</v>
      </c>
      <c r="J3041" t="s">
        <v>9059</v>
      </c>
      <c r="K3041">
        <v>11209</v>
      </c>
      <c r="L3041" t="s">
        <v>9094</v>
      </c>
      <c r="M3041" t="s">
        <v>9095</v>
      </c>
      <c r="N3041" t="s">
        <v>10267</v>
      </c>
      <c r="O3041" t="s">
        <v>11129</v>
      </c>
      <c r="P3041" t="s">
        <v>11165</v>
      </c>
      <c r="Q3041" t="s">
        <v>11175</v>
      </c>
      <c r="R3041" t="s">
        <v>11180</v>
      </c>
      <c r="S3041" t="s">
        <v>9096</v>
      </c>
      <c r="T3041" t="s">
        <v>11183</v>
      </c>
      <c r="U3041" t="s">
        <v>11201</v>
      </c>
      <c r="V3041" t="s">
        <v>324</v>
      </c>
      <c r="W3041">
        <v>1194</v>
      </c>
      <c r="X3041" t="s">
        <v>11332</v>
      </c>
      <c r="Y3041" t="s">
        <v>11336</v>
      </c>
      <c r="Z3041" t="s">
        <v>13413</v>
      </c>
      <c r="AB3041" t="s">
        <v>17750</v>
      </c>
      <c r="AC3041">
        <v>34</v>
      </c>
      <c r="AD3041" t="s">
        <v>19566</v>
      </c>
      <c r="AF3041">
        <v>0</v>
      </c>
      <c r="AG3041">
        <v>4</v>
      </c>
      <c r="AH3041">
        <v>0</v>
      </c>
      <c r="AI3041">
        <v>101.83</v>
      </c>
      <c r="AM3041">
        <v>26220</v>
      </c>
      <c r="AN3041" t="s">
        <v>19925</v>
      </c>
      <c r="AQ3041" t="s">
        <v>20369</v>
      </c>
      <c r="AR3041" t="s">
        <v>20513</v>
      </c>
      <c r="AS3041">
        <v>6</v>
      </c>
      <c r="AT3041" t="s">
        <v>597</v>
      </c>
      <c r="AU3041" t="s">
        <v>229</v>
      </c>
      <c r="AV3041" t="s">
        <v>20733</v>
      </c>
    </row>
    <row r="3042" spans="1:48">
      <c r="A3042" s="1">
        <f>HYPERLINK("https://lsnyc.legalserver.org/matter/dynamic-profile/view/1836150","17-1836150")</f>
        <v>0</v>
      </c>
      <c r="B3042" t="s">
        <v>93</v>
      </c>
      <c r="C3042" t="s">
        <v>256</v>
      </c>
      <c r="D3042" t="s">
        <v>973</v>
      </c>
      <c r="F3042" t="s">
        <v>1199</v>
      </c>
      <c r="G3042" t="s">
        <v>3359</v>
      </c>
      <c r="H3042" t="s">
        <v>5809</v>
      </c>
      <c r="I3042" t="s">
        <v>8132</v>
      </c>
      <c r="J3042" t="s">
        <v>9059</v>
      </c>
      <c r="K3042">
        <v>11212</v>
      </c>
      <c r="L3042" t="s">
        <v>9094</v>
      </c>
      <c r="M3042" t="s">
        <v>9095</v>
      </c>
      <c r="O3042" t="s">
        <v>11135</v>
      </c>
      <c r="P3042" t="s">
        <v>11168</v>
      </c>
      <c r="R3042" t="s">
        <v>11180</v>
      </c>
      <c r="S3042" t="s">
        <v>9094</v>
      </c>
      <c r="T3042" t="s">
        <v>11183</v>
      </c>
      <c r="V3042" t="s">
        <v>973</v>
      </c>
      <c r="W3042">
        <v>862.52</v>
      </c>
      <c r="X3042" t="s">
        <v>11332</v>
      </c>
      <c r="Y3042" t="s">
        <v>11340</v>
      </c>
      <c r="Z3042" t="s">
        <v>13383</v>
      </c>
      <c r="AB3042" t="s">
        <v>17724</v>
      </c>
      <c r="AC3042">
        <v>31</v>
      </c>
      <c r="AD3042" t="s">
        <v>19566</v>
      </c>
      <c r="AF3042">
        <v>6</v>
      </c>
      <c r="AG3042">
        <v>3</v>
      </c>
      <c r="AH3042">
        <v>0</v>
      </c>
      <c r="AI3042">
        <v>101.86</v>
      </c>
      <c r="AL3042" t="s">
        <v>19614</v>
      </c>
      <c r="AM3042">
        <v>20800</v>
      </c>
      <c r="AS3042">
        <v>0.6</v>
      </c>
      <c r="AT3042" t="s">
        <v>733</v>
      </c>
      <c r="AU3042" t="s">
        <v>59</v>
      </c>
    </row>
    <row r="3043" spans="1:48">
      <c r="A3043" s="1">
        <f>HYPERLINK("https://lsnyc.legalserver.org/matter/dynamic-profile/view/1890039","19-1890039")</f>
        <v>0</v>
      </c>
      <c r="B3043" t="s">
        <v>103</v>
      </c>
      <c r="C3043" t="s">
        <v>256</v>
      </c>
      <c r="D3043" t="s">
        <v>447</v>
      </c>
      <c r="F3043" t="s">
        <v>1173</v>
      </c>
      <c r="G3043" t="s">
        <v>2246</v>
      </c>
      <c r="H3043" t="s">
        <v>5887</v>
      </c>
      <c r="I3043" t="s">
        <v>8153</v>
      </c>
      <c r="J3043" t="s">
        <v>9065</v>
      </c>
      <c r="K3043">
        <v>10453</v>
      </c>
      <c r="L3043" t="s">
        <v>9094</v>
      </c>
      <c r="M3043" t="s">
        <v>9094</v>
      </c>
      <c r="O3043" t="s">
        <v>11134</v>
      </c>
      <c r="P3043" t="s">
        <v>11168</v>
      </c>
      <c r="R3043" t="s">
        <v>11180</v>
      </c>
      <c r="S3043" t="s">
        <v>9094</v>
      </c>
      <c r="T3043" t="s">
        <v>11183</v>
      </c>
      <c r="V3043" t="s">
        <v>993</v>
      </c>
      <c r="W3043">
        <v>880.27</v>
      </c>
      <c r="X3043" t="s">
        <v>11333</v>
      </c>
      <c r="Y3043" t="s">
        <v>11346</v>
      </c>
      <c r="Z3043" t="s">
        <v>13368</v>
      </c>
      <c r="AB3043" t="s">
        <v>17708</v>
      </c>
      <c r="AC3043">
        <v>170</v>
      </c>
      <c r="AD3043" t="s">
        <v>19566</v>
      </c>
      <c r="AE3043" t="s">
        <v>9144</v>
      </c>
      <c r="AF3043">
        <v>20</v>
      </c>
      <c r="AG3043">
        <v>2</v>
      </c>
      <c r="AH3043">
        <v>4</v>
      </c>
      <c r="AI3043">
        <v>101.93</v>
      </c>
      <c r="AL3043" t="s">
        <v>19614</v>
      </c>
      <c r="AM3043">
        <v>34392</v>
      </c>
      <c r="AS3043">
        <v>0</v>
      </c>
      <c r="AU3043" t="s">
        <v>220</v>
      </c>
      <c r="AV3043" t="s">
        <v>20733</v>
      </c>
    </row>
    <row r="3044" spans="1:48">
      <c r="A3044" s="1">
        <f>HYPERLINK("https://lsnyc.legalserver.org/matter/dynamic-profile/view/1890024","19-1890024")</f>
        <v>0</v>
      </c>
      <c r="B3044" t="s">
        <v>103</v>
      </c>
      <c r="C3044" t="s">
        <v>256</v>
      </c>
      <c r="D3044" t="s">
        <v>447</v>
      </c>
      <c r="F3044" t="s">
        <v>1173</v>
      </c>
      <c r="G3044" t="s">
        <v>2246</v>
      </c>
      <c r="H3044" t="s">
        <v>5887</v>
      </c>
      <c r="I3044" t="s">
        <v>8153</v>
      </c>
      <c r="J3044" t="s">
        <v>9065</v>
      </c>
      <c r="K3044">
        <v>10453</v>
      </c>
      <c r="L3044" t="s">
        <v>9094</v>
      </c>
      <c r="M3044" t="s">
        <v>9094</v>
      </c>
      <c r="N3044" t="s">
        <v>9352</v>
      </c>
      <c r="O3044" t="s">
        <v>11130</v>
      </c>
      <c r="P3044" t="s">
        <v>11165</v>
      </c>
      <c r="R3044" t="s">
        <v>11180</v>
      </c>
      <c r="S3044" t="s">
        <v>9094</v>
      </c>
      <c r="T3044" t="s">
        <v>11183</v>
      </c>
      <c r="V3044" t="s">
        <v>512</v>
      </c>
      <c r="W3044">
        <v>880.27</v>
      </c>
      <c r="X3044" t="s">
        <v>11333</v>
      </c>
      <c r="Y3044" t="s">
        <v>11339</v>
      </c>
      <c r="Z3044" t="s">
        <v>13368</v>
      </c>
      <c r="AB3044" t="s">
        <v>17708</v>
      </c>
      <c r="AC3044">
        <v>170</v>
      </c>
      <c r="AD3044" t="s">
        <v>19566</v>
      </c>
      <c r="AE3044" t="s">
        <v>9144</v>
      </c>
      <c r="AF3044">
        <v>20</v>
      </c>
      <c r="AG3044">
        <v>2</v>
      </c>
      <c r="AH3044">
        <v>4</v>
      </c>
      <c r="AI3044">
        <v>101.93</v>
      </c>
      <c r="AL3044" t="s">
        <v>19614</v>
      </c>
      <c r="AM3044">
        <v>34392</v>
      </c>
      <c r="AS3044">
        <v>0</v>
      </c>
      <c r="AU3044" t="s">
        <v>220</v>
      </c>
    </row>
    <row r="3045" spans="1:48">
      <c r="A3045" s="1">
        <f>HYPERLINK("https://lsnyc.legalserver.org/matter/dynamic-profile/view/0803477","16-0803477")</f>
        <v>0</v>
      </c>
      <c r="B3045" t="s">
        <v>56</v>
      </c>
      <c r="C3045" t="s">
        <v>256</v>
      </c>
      <c r="D3045" t="s">
        <v>914</v>
      </c>
      <c r="F3045" t="s">
        <v>2410</v>
      </c>
      <c r="G3045" t="s">
        <v>4605</v>
      </c>
      <c r="H3045" t="s">
        <v>7187</v>
      </c>
      <c r="I3045" t="s">
        <v>8692</v>
      </c>
      <c r="J3045" t="s">
        <v>9055</v>
      </c>
      <c r="K3045">
        <v>11355</v>
      </c>
      <c r="L3045" t="s">
        <v>9094</v>
      </c>
      <c r="M3045" t="s">
        <v>9095</v>
      </c>
      <c r="N3045" t="s">
        <v>9171</v>
      </c>
      <c r="O3045" t="s">
        <v>11137</v>
      </c>
      <c r="P3045" t="s">
        <v>11166</v>
      </c>
      <c r="R3045" t="s">
        <v>11180</v>
      </c>
      <c r="S3045" t="s">
        <v>9096</v>
      </c>
      <c r="T3045" t="s">
        <v>11183</v>
      </c>
      <c r="V3045" t="s">
        <v>914</v>
      </c>
      <c r="W3045">
        <v>1400</v>
      </c>
      <c r="X3045" t="s">
        <v>11331</v>
      </c>
      <c r="Y3045" t="s">
        <v>11347</v>
      </c>
      <c r="AA3045" t="s">
        <v>15754</v>
      </c>
      <c r="AB3045" t="s">
        <v>17751</v>
      </c>
      <c r="AC3045">
        <v>48</v>
      </c>
      <c r="AD3045" t="s">
        <v>19566</v>
      </c>
      <c r="AE3045" t="s">
        <v>9144</v>
      </c>
      <c r="AF3045">
        <v>4</v>
      </c>
      <c r="AG3045">
        <v>2</v>
      </c>
      <c r="AH3045">
        <v>3</v>
      </c>
      <c r="AI3045">
        <v>101.97</v>
      </c>
      <c r="AJ3045" t="s">
        <v>849</v>
      </c>
      <c r="AL3045" t="s">
        <v>19616</v>
      </c>
      <c r="AM3045">
        <v>58000</v>
      </c>
      <c r="AS3045">
        <v>4.7</v>
      </c>
      <c r="AT3045" t="s">
        <v>1038</v>
      </c>
      <c r="AU3045" t="s">
        <v>56</v>
      </c>
    </row>
    <row r="3046" spans="1:48">
      <c r="A3046" s="1">
        <f>HYPERLINK("https://lsnyc.legalserver.org/matter/dynamic-profile/view/1842388","17-1842388")</f>
        <v>0</v>
      </c>
      <c r="B3046" t="s">
        <v>136</v>
      </c>
      <c r="C3046" t="s">
        <v>256</v>
      </c>
      <c r="D3046" t="s">
        <v>712</v>
      </c>
      <c r="F3046" t="s">
        <v>2398</v>
      </c>
      <c r="G3046" t="s">
        <v>4638</v>
      </c>
      <c r="H3046" t="s">
        <v>6146</v>
      </c>
      <c r="I3046" t="s">
        <v>8178</v>
      </c>
      <c r="J3046" t="s">
        <v>9067</v>
      </c>
      <c r="K3046">
        <v>10029</v>
      </c>
      <c r="L3046" t="s">
        <v>9094</v>
      </c>
      <c r="M3046" t="s">
        <v>9095</v>
      </c>
      <c r="O3046" t="s">
        <v>9121</v>
      </c>
      <c r="P3046" t="s">
        <v>11167</v>
      </c>
      <c r="R3046" t="s">
        <v>11180</v>
      </c>
      <c r="S3046" t="s">
        <v>9094</v>
      </c>
      <c r="T3046" t="s">
        <v>11183</v>
      </c>
      <c r="V3046" t="s">
        <v>712</v>
      </c>
      <c r="W3046">
        <v>868</v>
      </c>
      <c r="X3046" t="s">
        <v>11335</v>
      </c>
      <c r="Y3046" t="s">
        <v>11339</v>
      </c>
      <c r="Z3046" t="s">
        <v>13394</v>
      </c>
      <c r="AB3046" t="s">
        <v>17734</v>
      </c>
      <c r="AC3046">
        <v>13</v>
      </c>
      <c r="AD3046" t="s">
        <v>19566</v>
      </c>
      <c r="AE3046" t="s">
        <v>19580</v>
      </c>
      <c r="AF3046">
        <v>30</v>
      </c>
      <c r="AG3046">
        <v>2</v>
      </c>
      <c r="AH3046">
        <v>0</v>
      </c>
      <c r="AI3046">
        <v>101.97</v>
      </c>
      <c r="AL3046" t="s">
        <v>19615</v>
      </c>
      <c r="AM3046">
        <v>16560</v>
      </c>
      <c r="AS3046">
        <v>1.7</v>
      </c>
      <c r="AT3046" t="s">
        <v>456</v>
      </c>
      <c r="AU3046" t="s">
        <v>20657</v>
      </c>
    </row>
    <row r="3047" spans="1:48">
      <c r="A3047" s="1">
        <f>HYPERLINK("https://lsnyc.legalserver.org/matter/dynamic-profile/view/1887018","19-1887018")</f>
        <v>0</v>
      </c>
      <c r="B3047" t="s">
        <v>115</v>
      </c>
      <c r="C3047" t="s">
        <v>257</v>
      </c>
      <c r="D3047" t="s">
        <v>582</v>
      </c>
      <c r="E3047" t="s">
        <v>410</v>
      </c>
      <c r="F3047" t="s">
        <v>1266</v>
      </c>
      <c r="G3047" t="s">
        <v>4651</v>
      </c>
      <c r="H3047" t="s">
        <v>6092</v>
      </c>
      <c r="I3047" t="s">
        <v>8176</v>
      </c>
      <c r="J3047" t="s">
        <v>9065</v>
      </c>
      <c r="K3047">
        <v>10459</v>
      </c>
      <c r="L3047" t="s">
        <v>9094</v>
      </c>
      <c r="M3047" t="s">
        <v>9094</v>
      </c>
      <c r="O3047" t="s">
        <v>11130</v>
      </c>
      <c r="P3047" t="s">
        <v>11165</v>
      </c>
      <c r="Q3047" t="s">
        <v>11174</v>
      </c>
      <c r="R3047" t="s">
        <v>11180</v>
      </c>
      <c r="S3047" t="s">
        <v>9094</v>
      </c>
      <c r="T3047" t="s">
        <v>11183</v>
      </c>
      <c r="V3047" t="s">
        <v>402</v>
      </c>
      <c r="W3047">
        <v>900</v>
      </c>
      <c r="X3047" t="s">
        <v>11333</v>
      </c>
      <c r="Y3047" t="s">
        <v>11339</v>
      </c>
      <c r="Z3047" t="s">
        <v>13414</v>
      </c>
      <c r="AB3047" t="s">
        <v>17752</v>
      </c>
      <c r="AC3047">
        <v>48</v>
      </c>
      <c r="AD3047" t="s">
        <v>19567</v>
      </c>
      <c r="AF3047">
        <v>18</v>
      </c>
      <c r="AG3047">
        <v>2</v>
      </c>
      <c r="AH3047">
        <v>0</v>
      </c>
      <c r="AI3047">
        <v>102.07</v>
      </c>
      <c r="AL3047" t="s">
        <v>19614</v>
      </c>
      <c r="AM3047">
        <v>16800</v>
      </c>
      <c r="AS3047">
        <v>3.9</v>
      </c>
      <c r="AT3047" t="s">
        <v>410</v>
      </c>
      <c r="AU3047" t="s">
        <v>163</v>
      </c>
    </row>
    <row r="3048" spans="1:48">
      <c r="A3048" s="1">
        <f>HYPERLINK("https://lsnyc.legalserver.org/matter/dynamic-profile/view/1906128","19-1906128")</f>
        <v>0</v>
      </c>
      <c r="B3048" t="s">
        <v>59</v>
      </c>
      <c r="C3048" t="s">
        <v>257</v>
      </c>
      <c r="D3048" t="s">
        <v>330</v>
      </c>
      <c r="E3048" t="s">
        <v>474</v>
      </c>
      <c r="F3048" t="s">
        <v>1197</v>
      </c>
      <c r="G3048" t="s">
        <v>4017</v>
      </c>
      <c r="H3048" t="s">
        <v>7188</v>
      </c>
      <c r="I3048" t="s">
        <v>8334</v>
      </c>
      <c r="J3048" t="s">
        <v>9055</v>
      </c>
      <c r="K3048">
        <v>11354</v>
      </c>
      <c r="L3048" t="s">
        <v>9094</v>
      </c>
      <c r="M3048" t="s">
        <v>9095</v>
      </c>
      <c r="N3048" t="s">
        <v>9102</v>
      </c>
      <c r="O3048" t="s">
        <v>11136</v>
      </c>
      <c r="P3048" t="s">
        <v>11164</v>
      </c>
      <c r="Q3048" t="s">
        <v>11172</v>
      </c>
      <c r="R3048" t="s">
        <v>11180</v>
      </c>
      <c r="S3048" t="s">
        <v>9096</v>
      </c>
      <c r="T3048" t="s">
        <v>11183</v>
      </c>
      <c r="U3048" t="s">
        <v>11201</v>
      </c>
      <c r="V3048" t="s">
        <v>474</v>
      </c>
      <c r="W3048">
        <v>1050</v>
      </c>
      <c r="X3048" t="s">
        <v>11331</v>
      </c>
      <c r="Y3048" t="s">
        <v>11338</v>
      </c>
      <c r="Z3048" t="s">
        <v>13415</v>
      </c>
      <c r="AA3048" t="s">
        <v>15274</v>
      </c>
      <c r="AB3048" t="s">
        <v>17753</v>
      </c>
      <c r="AC3048">
        <v>10</v>
      </c>
      <c r="AD3048" t="s">
        <v>19566</v>
      </c>
      <c r="AE3048" t="s">
        <v>9144</v>
      </c>
      <c r="AF3048">
        <v>1</v>
      </c>
      <c r="AG3048">
        <v>2</v>
      </c>
      <c r="AH3048">
        <v>0</v>
      </c>
      <c r="AI3048">
        <v>102.11</v>
      </c>
      <c r="AL3048" t="s">
        <v>19614</v>
      </c>
      <c r="AM3048">
        <v>17267.52</v>
      </c>
      <c r="AS3048">
        <v>2.4</v>
      </c>
      <c r="AT3048" t="s">
        <v>474</v>
      </c>
      <c r="AU3048" t="s">
        <v>20639</v>
      </c>
      <c r="AV3048" t="s">
        <v>20733</v>
      </c>
    </row>
    <row r="3049" spans="1:48">
      <c r="A3049" s="1">
        <f>HYPERLINK("https://lsnyc.legalserver.org/matter/dynamic-profile/view/1885003","18-1885003")</f>
        <v>0</v>
      </c>
      <c r="B3049" t="s">
        <v>108</v>
      </c>
      <c r="C3049" t="s">
        <v>256</v>
      </c>
      <c r="D3049" t="s">
        <v>359</v>
      </c>
      <c r="F3049" t="s">
        <v>2411</v>
      </c>
      <c r="G3049" t="s">
        <v>4652</v>
      </c>
      <c r="H3049" t="s">
        <v>7189</v>
      </c>
      <c r="I3049" t="s">
        <v>8142</v>
      </c>
      <c r="J3049" t="s">
        <v>9065</v>
      </c>
      <c r="K3049">
        <v>10456</v>
      </c>
      <c r="L3049" t="s">
        <v>9094</v>
      </c>
      <c r="M3049" t="s">
        <v>9094</v>
      </c>
      <c r="N3049" t="s">
        <v>10268</v>
      </c>
      <c r="O3049" t="s">
        <v>11134</v>
      </c>
      <c r="P3049" t="s">
        <v>11167</v>
      </c>
      <c r="R3049" t="s">
        <v>11180</v>
      </c>
      <c r="S3049" t="s">
        <v>9096</v>
      </c>
      <c r="T3049" t="s">
        <v>11183</v>
      </c>
      <c r="U3049" t="s">
        <v>11201</v>
      </c>
      <c r="V3049" t="s">
        <v>397</v>
      </c>
      <c r="W3049">
        <v>515.24</v>
      </c>
      <c r="X3049" t="s">
        <v>11333</v>
      </c>
      <c r="Z3049" t="s">
        <v>13416</v>
      </c>
      <c r="AB3049" t="s">
        <v>17754</v>
      </c>
      <c r="AC3049">
        <v>0</v>
      </c>
      <c r="AD3049" t="s">
        <v>19569</v>
      </c>
      <c r="AE3049" t="s">
        <v>9144</v>
      </c>
      <c r="AF3049">
        <v>40</v>
      </c>
      <c r="AG3049">
        <v>1</v>
      </c>
      <c r="AH3049">
        <v>1</v>
      </c>
      <c r="AI3049">
        <v>102.11</v>
      </c>
      <c r="AL3049" t="s">
        <v>19614</v>
      </c>
      <c r="AM3049">
        <v>16807.92</v>
      </c>
      <c r="AS3049">
        <v>0.5</v>
      </c>
      <c r="AT3049" t="s">
        <v>359</v>
      </c>
      <c r="AU3049" t="s">
        <v>108</v>
      </c>
    </row>
    <row r="3050" spans="1:48">
      <c r="A3050" s="1">
        <f>HYPERLINK("https://lsnyc.legalserver.org/matter/dynamic-profile/view/0817301","16-0817301")</f>
        <v>0</v>
      </c>
      <c r="B3050" t="s">
        <v>193</v>
      </c>
      <c r="C3050" t="s">
        <v>256</v>
      </c>
      <c r="D3050" t="s">
        <v>986</v>
      </c>
      <c r="F3050" t="s">
        <v>2345</v>
      </c>
      <c r="G3050" t="s">
        <v>4653</v>
      </c>
      <c r="H3050" t="s">
        <v>6711</v>
      </c>
      <c r="I3050" t="s">
        <v>8693</v>
      </c>
      <c r="J3050" t="s">
        <v>9039</v>
      </c>
      <c r="K3050">
        <v>11432</v>
      </c>
      <c r="L3050" t="s">
        <v>9094</v>
      </c>
      <c r="M3050" t="s">
        <v>9095</v>
      </c>
      <c r="N3050" t="s">
        <v>9625</v>
      </c>
      <c r="O3050" t="s">
        <v>11130</v>
      </c>
      <c r="P3050" t="s">
        <v>11165</v>
      </c>
      <c r="R3050" t="s">
        <v>11180</v>
      </c>
      <c r="S3050" t="s">
        <v>9094</v>
      </c>
      <c r="T3050" t="s">
        <v>11183</v>
      </c>
      <c r="V3050" t="s">
        <v>11278</v>
      </c>
      <c r="W3050">
        <v>1637.08</v>
      </c>
      <c r="X3050" t="s">
        <v>11331</v>
      </c>
      <c r="Y3050" t="s">
        <v>11342</v>
      </c>
      <c r="Z3050" t="s">
        <v>13417</v>
      </c>
      <c r="AA3050" t="s">
        <v>9171</v>
      </c>
      <c r="AB3050" t="s">
        <v>15274</v>
      </c>
      <c r="AC3050">
        <v>60</v>
      </c>
      <c r="AD3050" t="s">
        <v>19566</v>
      </c>
      <c r="AE3050" t="s">
        <v>9144</v>
      </c>
      <c r="AF3050">
        <v>17</v>
      </c>
      <c r="AG3050">
        <v>2</v>
      </c>
      <c r="AH3050">
        <v>3</v>
      </c>
      <c r="AI3050">
        <v>102.12</v>
      </c>
      <c r="AJ3050" t="s">
        <v>19592</v>
      </c>
      <c r="AL3050" t="s">
        <v>19615</v>
      </c>
      <c r="AM3050">
        <v>29044</v>
      </c>
      <c r="AS3050">
        <v>3.45</v>
      </c>
      <c r="AT3050" t="s">
        <v>756</v>
      </c>
      <c r="AU3050" t="s">
        <v>153</v>
      </c>
    </row>
    <row r="3051" spans="1:48">
      <c r="A3051" s="1">
        <f>HYPERLINK("https://lsnyc.legalserver.org/matter/dynamic-profile/view/1852468","17-1852468")</f>
        <v>0</v>
      </c>
      <c r="B3051" t="s">
        <v>138</v>
      </c>
      <c r="C3051" t="s">
        <v>256</v>
      </c>
      <c r="D3051" t="s">
        <v>734</v>
      </c>
      <c r="F3051" t="s">
        <v>2334</v>
      </c>
      <c r="G3051" t="s">
        <v>4032</v>
      </c>
      <c r="H3051" t="s">
        <v>7190</v>
      </c>
      <c r="I3051" t="s">
        <v>8694</v>
      </c>
      <c r="J3051" t="s">
        <v>9067</v>
      </c>
      <c r="K3051">
        <v>10034</v>
      </c>
      <c r="L3051" t="s">
        <v>9094</v>
      </c>
      <c r="M3051" t="s">
        <v>9095</v>
      </c>
      <c r="O3051" t="s">
        <v>11133</v>
      </c>
      <c r="P3051" t="s">
        <v>11166</v>
      </c>
      <c r="R3051" t="s">
        <v>11180</v>
      </c>
      <c r="S3051" t="s">
        <v>9096</v>
      </c>
      <c r="T3051" t="s">
        <v>11183</v>
      </c>
      <c r="V3051" t="s">
        <v>734</v>
      </c>
      <c r="W3051">
        <v>719.53</v>
      </c>
      <c r="X3051" t="s">
        <v>11335</v>
      </c>
      <c r="Y3051" t="s">
        <v>11340</v>
      </c>
      <c r="Z3051" t="s">
        <v>13245</v>
      </c>
      <c r="AB3051" t="s">
        <v>17596</v>
      </c>
      <c r="AC3051">
        <v>31</v>
      </c>
      <c r="AD3051" t="s">
        <v>19566</v>
      </c>
      <c r="AE3051" t="s">
        <v>19587</v>
      </c>
      <c r="AF3051">
        <v>27</v>
      </c>
      <c r="AG3051">
        <v>3</v>
      </c>
      <c r="AH3051">
        <v>0</v>
      </c>
      <c r="AI3051">
        <v>102.37</v>
      </c>
      <c r="AL3051" t="s">
        <v>19615</v>
      </c>
      <c r="AM3051">
        <v>20904</v>
      </c>
      <c r="AS3051">
        <v>5.1</v>
      </c>
      <c r="AT3051" t="s">
        <v>970</v>
      </c>
      <c r="AU3051" t="s">
        <v>130</v>
      </c>
    </row>
    <row r="3052" spans="1:48">
      <c r="A3052" s="1">
        <f>HYPERLINK("https://lsnyc.legalserver.org/matter/dynamic-profile/view/1914737","19-1914737")</f>
        <v>0</v>
      </c>
      <c r="B3052" t="s">
        <v>95</v>
      </c>
      <c r="C3052" t="s">
        <v>257</v>
      </c>
      <c r="D3052" t="s">
        <v>632</v>
      </c>
      <c r="E3052" t="s">
        <v>331</v>
      </c>
      <c r="F3052" t="s">
        <v>2412</v>
      </c>
      <c r="G3052" t="s">
        <v>4654</v>
      </c>
      <c r="H3052" t="s">
        <v>7191</v>
      </c>
      <c r="I3052" t="s">
        <v>8132</v>
      </c>
      <c r="J3052" t="s">
        <v>9059</v>
      </c>
      <c r="K3052">
        <v>11207</v>
      </c>
      <c r="L3052" t="s">
        <v>9096</v>
      </c>
      <c r="M3052" t="s">
        <v>9095</v>
      </c>
      <c r="N3052" t="s">
        <v>9154</v>
      </c>
      <c r="O3052" t="s">
        <v>9121</v>
      </c>
      <c r="P3052" t="s">
        <v>11164</v>
      </c>
      <c r="Q3052" t="s">
        <v>11172</v>
      </c>
      <c r="R3052" t="s">
        <v>11180</v>
      </c>
      <c r="S3052" t="s">
        <v>9096</v>
      </c>
      <c r="T3052" t="s">
        <v>11183</v>
      </c>
      <c r="U3052" t="s">
        <v>11201</v>
      </c>
      <c r="W3052">
        <v>1500</v>
      </c>
      <c r="X3052" t="s">
        <v>11332</v>
      </c>
      <c r="Y3052" t="s">
        <v>11157</v>
      </c>
      <c r="Z3052" t="s">
        <v>13418</v>
      </c>
      <c r="AA3052" t="s">
        <v>9171</v>
      </c>
      <c r="AB3052" t="s">
        <v>17755</v>
      </c>
      <c r="AC3052">
        <v>4</v>
      </c>
      <c r="AD3052" t="s">
        <v>15441</v>
      </c>
      <c r="AE3052" t="s">
        <v>9144</v>
      </c>
      <c r="AF3052">
        <v>1</v>
      </c>
      <c r="AG3052">
        <v>1</v>
      </c>
      <c r="AH3052">
        <v>2</v>
      </c>
      <c r="AI3052">
        <v>102.39</v>
      </c>
      <c r="AL3052" t="s">
        <v>19614</v>
      </c>
      <c r="AM3052">
        <v>21840</v>
      </c>
      <c r="AN3052" t="s">
        <v>19926</v>
      </c>
      <c r="AS3052">
        <v>0.5</v>
      </c>
      <c r="AT3052" t="s">
        <v>632</v>
      </c>
      <c r="AU3052" t="s">
        <v>20632</v>
      </c>
      <c r="AV3052" t="s">
        <v>9144</v>
      </c>
    </row>
    <row r="3053" spans="1:48">
      <c r="A3053" s="1">
        <f>HYPERLINK("https://lsnyc.legalserver.org/matter/dynamic-profile/view/0804634","16-0804634")</f>
        <v>0</v>
      </c>
      <c r="B3053" t="s">
        <v>111</v>
      </c>
      <c r="C3053" t="s">
        <v>256</v>
      </c>
      <c r="D3053" t="s">
        <v>987</v>
      </c>
      <c r="F3053" t="s">
        <v>2413</v>
      </c>
      <c r="G3053" t="s">
        <v>3765</v>
      </c>
      <c r="H3053" t="s">
        <v>6104</v>
      </c>
      <c r="I3053" t="s">
        <v>8695</v>
      </c>
      <c r="J3053" t="s">
        <v>9065</v>
      </c>
      <c r="K3053">
        <v>10452</v>
      </c>
      <c r="L3053" t="s">
        <v>9094</v>
      </c>
      <c r="M3053" t="s">
        <v>9095</v>
      </c>
      <c r="O3053" t="s">
        <v>11132</v>
      </c>
      <c r="P3053" t="s">
        <v>11165</v>
      </c>
      <c r="R3053" t="s">
        <v>11180</v>
      </c>
      <c r="S3053" t="s">
        <v>9094</v>
      </c>
      <c r="T3053" t="s">
        <v>11183</v>
      </c>
      <c r="V3053" t="s">
        <v>1005</v>
      </c>
      <c r="W3053">
        <v>1923</v>
      </c>
      <c r="X3053" t="s">
        <v>11333</v>
      </c>
      <c r="Y3053" t="s">
        <v>11346</v>
      </c>
      <c r="Z3053" t="s">
        <v>13419</v>
      </c>
      <c r="AB3053" t="s">
        <v>17756</v>
      </c>
      <c r="AC3053">
        <v>0</v>
      </c>
      <c r="AD3053" t="s">
        <v>19566</v>
      </c>
      <c r="AF3053">
        <v>-1</v>
      </c>
      <c r="AG3053">
        <v>4</v>
      </c>
      <c r="AH3053">
        <v>1</v>
      </c>
      <c r="AI3053">
        <v>102.39</v>
      </c>
      <c r="AL3053" t="s">
        <v>19615</v>
      </c>
      <c r="AM3053">
        <v>29120</v>
      </c>
      <c r="AS3053">
        <v>0.6</v>
      </c>
      <c r="AT3053" t="s">
        <v>369</v>
      </c>
      <c r="AU3053" t="s">
        <v>109</v>
      </c>
    </row>
    <row r="3054" spans="1:48">
      <c r="A3054" s="1">
        <f>HYPERLINK("https://lsnyc.legalserver.org/matter/dynamic-profile/view/1911337","19-1911337")</f>
        <v>0</v>
      </c>
      <c r="B3054" t="s">
        <v>122</v>
      </c>
      <c r="C3054" t="s">
        <v>256</v>
      </c>
      <c r="D3054" t="s">
        <v>832</v>
      </c>
      <c r="F3054" t="s">
        <v>1186</v>
      </c>
      <c r="G3054" t="s">
        <v>4655</v>
      </c>
      <c r="H3054" t="s">
        <v>7192</v>
      </c>
      <c r="I3054" t="s">
        <v>8320</v>
      </c>
      <c r="J3054" t="s">
        <v>9066</v>
      </c>
      <c r="K3054">
        <v>10304</v>
      </c>
      <c r="L3054" t="s">
        <v>9094</v>
      </c>
      <c r="M3054" t="s">
        <v>9095</v>
      </c>
      <c r="N3054" t="s">
        <v>10269</v>
      </c>
      <c r="O3054" t="s">
        <v>11129</v>
      </c>
      <c r="P3054" t="s">
        <v>11167</v>
      </c>
      <c r="R3054" t="s">
        <v>11180</v>
      </c>
      <c r="S3054" t="s">
        <v>9096</v>
      </c>
      <c r="T3054" t="s">
        <v>11183</v>
      </c>
      <c r="V3054" t="s">
        <v>832</v>
      </c>
      <c r="W3054">
        <v>0</v>
      </c>
      <c r="X3054" t="s">
        <v>11334</v>
      </c>
      <c r="Y3054" t="s">
        <v>11340</v>
      </c>
      <c r="Z3054" t="s">
        <v>13420</v>
      </c>
      <c r="AB3054" t="s">
        <v>17757</v>
      </c>
      <c r="AC3054">
        <v>2</v>
      </c>
      <c r="AD3054" t="s">
        <v>19565</v>
      </c>
      <c r="AE3054" t="s">
        <v>9144</v>
      </c>
      <c r="AF3054">
        <v>-1</v>
      </c>
      <c r="AG3054">
        <v>2</v>
      </c>
      <c r="AH3054">
        <v>1</v>
      </c>
      <c r="AI3054">
        <v>102.39</v>
      </c>
      <c r="AL3054" t="s">
        <v>19614</v>
      </c>
      <c r="AM3054">
        <v>21840</v>
      </c>
      <c r="AS3054">
        <v>1.6</v>
      </c>
      <c r="AT3054" t="s">
        <v>1130</v>
      </c>
      <c r="AU3054" t="s">
        <v>122</v>
      </c>
      <c r="AV3054" t="s">
        <v>20733</v>
      </c>
    </row>
    <row r="3055" spans="1:48">
      <c r="A3055" s="1">
        <f>HYPERLINK("https://lsnyc.legalserver.org/matter/dynamic-profile/view/1857410","18-1857410")</f>
        <v>0</v>
      </c>
      <c r="B3055" t="s">
        <v>108</v>
      </c>
      <c r="C3055" t="s">
        <v>256</v>
      </c>
      <c r="D3055" t="s">
        <v>467</v>
      </c>
      <c r="F3055" t="s">
        <v>1552</v>
      </c>
      <c r="G3055" t="s">
        <v>4580</v>
      </c>
      <c r="H3055" t="s">
        <v>5897</v>
      </c>
      <c r="I3055" t="s">
        <v>8515</v>
      </c>
      <c r="J3055" t="s">
        <v>9065</v>
      </c>
      <c r="K3055">
        <v>10452</v>
      </c>
      <c r="L3055" t="s">
        <v>9094</v>
      </c>
      <c r="M3055" t="s">
        <v>9095</v>
      </c>
      <c r="O3055" t="s">
        <v>11135</v>
      </c>
      <c r="P3055" t="s">
        <v>11168</v>
      </c>
      <c r="R3055" t="s">
        <v>11180</v>
      </c>
      <c r="S3055" t="s">
        <v>9094</v>
      </c>
      <c r="T3055" t="s">
        <v>11183</v>
      </c>
      <c r="V3055" t="s">
        <v>364</v>
      </c>
      <c r="W3055">
        <v>1088.6</v>
      </c>
      <c r="X3055" t="s">
        <v>11333</v>
      </c>
      <c r="Y3055" t="s">
        <v>11346</v>
      </c>
      <c r="Z3055" t="s">
        <v>13299</v>
      </c>
      <c r="AA3055" t="s">
        <v>15755</v>
      </c>
      <c r="AB3055" t="s">
        <v>17646</v>
      </c>
      <c r="AC3055">
        <v>122</v>
      </c>
      <c r="AD3055" t="s">
        <v>19566</v>
      </c>
      <c r="AF3055">
        <v>4</v>
      </c>
      <c r="AG3055">
        <v>2</v>
      </c>
      <c r="AH3055">
        <v>4</v>
      </c>
      <c r="AI3055">
        <v>102.43</v>
      </c>
      <c r="AL3055" t="s">
        <v>19614</v>
      </c>
      <c r="AM3055">
        <v>34560</v>
      </c>
      <c r="AN3055" t="s">
        <v>19927</v>
      </c>
      <c r="AS3055">
        <v>2.9</v>
      </c>
      <c r="AT3055" t="s">
        <v>510</v>
      </c>
      <c r="AU3055" t="s">
        <v>20647</v>
      </c>
    </row>
    <row r="3056" spans="1:48">
      <c r="A3056" s="1">
        <f>HYPERLINK("https://lsnyc.legalserver.org/matter/dynamic-profile/view/1878072","18-1878072")</f>
        <v>0</v>
      </c>
      <c r="B3056" t="s">
        <v>108</v>
      </c>
      <c r="C3056" t="s">
        <v>256</v>
      </c>
      <c r="D3056" t="s">
        <v>671</v>
      </c>
      <c r="F3056" t="s">
        <v>2414</v>
      </c>
      <c r="G3056" t="s">
        <v>4555</v>
      </c>
      <c r="H3056" t="s">
        <v>7193</v>
      </c>
      <c r="I3056" t="s">
        <v>8446</v>
      </c>
      <c r="J3056" t="s">
        <v>9065</v>
      </c>
      <c r="K3056">
        <v>10453</v>
      </c>
      <c r="L3056" t="s">
        <v>9094</v>
      </c>
      <c r="M3056" t="s">
        <v>9094</v>
      </c>
      <c r="N3056" t="s">
        <v>10270</v>
      </c>
      <c r="O3056" t="s">
        <v>11130</v>
      </c>
      <c r="P3056" t="s">
        <v>11165</v>
      </c>
      <c r="R3056" t="s">
        <v>11180</v>
      </c>
      <c r="S3056" t="s">
        <v>9096</v>
      </c>
      <c r="T3056" t="s">
        <v>11183</v>
      </c>
      <c r="V3056" t="s">
        <v>11279</v>
      </c>
      <c r="W3056">
        <v>1437</v>
      </c>
      <c r="X3056" t="s">
        <v>11333</v>
      </c>
      <c r="Y3056" t="s">
        <v>11340</v>
      </c>
      <c r="Z3056" t="s">
        <v>13421</v>
      </c>
      <c r="AB3056" t="s">
        <v>17758</v>
      </c>
      <c r="AC3056">
        <v>53</v>
      </c>
      <c r="AD3056" t="s">
        <v>19566</v>
      </c>
      <c r="AE3056" t="s">
        <v>19580</v>
      </c>
      <c r="AF3056">
        <v>25</v>
      </c>
      <c r="AG3056">
        <v>1</v>
      </c>
      <c r="AH3056">
        <v>0</v>
      </c>
      <c r="AI3056">
        <v>102.5</v>
      </c>
      <c r="AL3056" t="s">
        <v>19615</v>
      </c>
      <c r="AM3056">
        <v>12444</v>
      </c>
      <c r="AS3056">
        <v>15.35</v>
      </c>
      <c r="AT3056" t="s">
        <v>377</v>
      </c>
      <c r="AU3056" t="s">
        <v>163</v>
      </c>
    </row>
    <row r="3057" spans="1:48">
      <c r="A3057" s="1">
        <f>HYPERLINK("https://lsnyc.legalserver.org/matter/dynamic-profile/view/1901630","19-1901630")</f>
        <v>0</v>
      </c>
      <c r="B3057" t="s">
        <v>55</v>
      </c>
      <c r="C3057" t="s">
        <v>256</v>
      </c>
      <c r="D3057" t="s">
        <v>988</v>
      </c>
      <c r="F3057" t="s">
        <v>2415</v>
      </c>
      <c r="G3057" t="s">
        <v>4656</v>
      </c>
      <c r="H3057" t="s">
        <v>7194</v>
      </c>
      <c r="I3057" t="s">
        <v>8696</v>
      </c>
      <c r="J3057" t="s">
        <v>9054</v>
      </c>
      <c r="K3057">
        <v>11368</v>
      </c>
      <c r="L3057" t="s">
        <v>9094</v>
      </c>
      <c r="M3057" t="s">
        <v>9095</v>
      </c>
      <c r="N3057" t="s">
        <v>10271</v>
      </c>
      <c r="O3057" t="s">
        <v>11128</v>
      </c>
      <c r="P3057" t="s">
        <v>11164</v>
      </c>
      <c r="R3057" t="s">
        <v>11180</v>
      </c>
      <c r="S3057" t="s">
        <v>9096</v>
      </c>
      <c r="T3057" t="s">
        <v>11183</v>
      </c>
      <c r="U3057" t="s">
        <v>11201</v>
      </c>
      <c r="V3057" t="s">
        <v>663</v>
      </c>
      <c r="W3057">
        <v>1800</v>
      </c>
      <c r="X3057" t="s">
        <v>11331</v>
      </c>
      <c r="Y3057" t="s">
        <v>11336</v>
      </c>
      <c r="Z3057" t="s">
        <v>13422</v>
      </c>
      <c r="AA3057" t="s">
        <v>15756</v>
      </c>
      <c r="AB3057" t="s">
        <v>17759</v>
      </c>
      <c r="AC3057">
        <v>3</v>
      </c>
      <c r="AD3057" t="s">
        <v>15441</v>
      </c>
      <c r="AE3057" t="s">
        <v>9144</v>
      </c>
      <c r="AF3057">
        <v>21</v>
      </c>
      <c r="AG3057">
        <v>2</v>
      </c>
      <c r="AH3057">
        <v>2</v>
      </c>
      <c r="AI3057">
        <v>102.52</v>
      </c>
      <c r="AL3057" t="s">
        <v>19615</v>
      </c>
      <c r="AM3057">
        <v>26400</v>
      </c>
      <c r="AS3057">
        <v>0.52</v>
      </c>
      <c r="AT3057" t="s">
        <v>1136</v>
      </c>
      <c r="AU3057" t="s">
        <v>20619</v>
      </c>
      <c r="AV3057" t="s">
        <v>20733</v>
      </c>
    </row>
    <row r="3058" spans="1:48">
      <c r="A3058" s="1">
        <f>HYPERLINK("https://lsnyc.legalserver.org/matter/dynamic-profile/view/1911963","19-1911963")</f>
        <v>0</v>
      </c>
      <c r="B3058" t="s">
        <v>178</v>
      </c>
      <c r="C3058" t="s">
        <v>257</v>
      </c>
      <c r="D3058" t="s">
        <v>292</v>
      </c>
      <c r="E3058" t="s">
        <v>292</v>
      </c>
      <c r="F3058" t="s">
        <v>1650</v>
      </c>
      <c r="G3058" t="s">
        <v>3776</v>
      </c>
      <c r="H3058" t="s">
        <v>7195</v>
      </c>
      <c r="I3058" t="s">
        <v>8697</v>
      </c>
      <c r="J3058" t="s">
        <v>9065</v>
      </c>
      <c r="K3058">
        <v>10462</v>
      </c>
      <c r="L3058" t="s">
        <v>9094</v>
      </c>
      <c r="M3058" t="s">
        <v>9095</v>
      </c>
      <c r="O3058" t="s">
        <v>9121</v>
      </c>
      <c r="P3058" t="s">
        <v>11167</v>
      </c>
      <c r="Q3058" t="s">
        <v>11173</v>
      </c>
      <c r="R3058" t="s">
        <v>11180</v>
      </c>
      <c r="T3058" t="s">
        <v>11183</v>
      </c>
      <c r="W3058">
        <v>0</v>
      </c>
      <c r="X3058" t="s">
        <v>11333</v>
      </c>
      <c r="Z3058" t="s">
        <v>13423</v>
      </c>
      <c r="AB3058" t="s">
        <v>17760</v>
      </c>
      <c r="AC3058">
        <v>0</v>
      </c>
      <c r="AF3058">
        <v>0</v>
      </c>
      <c r="AG3058">
        <v>1</v>
      </c>
      <c r="AH3058">
        <v>3</v>
      </c>
      <c r="AI3058">
        <v>102.52</v>
      </c>
      <c r="AK3058" t="s">
        <v>19612</v>
      </c>
      <c r="AL3058" t="s">
        <v>19614</v>
      </c>
      <c r="AM3058">
        <v>26400</v>
      </c>
      <c r="AS3058">
        <v>0.75</v>
      </c>
      <c r="AT3058" t="s">
        <v>292</v>
      </c>
      <c r="AU3058" t="s">
        <v>178</v>
      </c>
      <c r="AV3058" t="s">
        <v>20733</v>
      </c>
    </row>
    <row r="3059" spans="1:48">
      <c r="A3059" s="1">
        <f>HYPERLINK("https://lsnyc.legalserver.org/matter/dynamic-profile/view/1864121","18-1864121")</f>
        <v>0</v>
      </c>
      <c r="B3059" t="s">
        <v>140</v>
      </c>
      <c r="C3059" t="s">
        <v>256</v>
      </c>
      <c r="D3059" t="s">
        <v>505</v>
      </c>
      <c r="F3059" t="s">
        <v>2416</v>
      </c>
      <c r="G3059" t="s">
        <v>4657</v>
      </c>
      <c r="H3059" t="s">
        <v>5999</v>
      </c>
      <c r="I3059" t="s">
        <v>8153</v>
      </c>
      <c r="J3059" t="s">
        <v>9067</v>
      </c>
      <c r="K3059">
        <v>10040</v>
      </c>
      <c r="L3059" t="s">
        <v>9094</v>
      </c>
      <c r="M3059" t="s">
        <v>9095</v>
      </c>
      <c r="N3059" t="s">
        <v>9314</v>
      </c>
      <c r="O3059" t="s">
        <v>11130</v>
      </c>
      <c r="P3059" t="s">
        <v>11165</v>
      </c>
      <c r="R3059" t="s">
        <v>11180</v>
      </c>
      <c r="S3059" t="s">
        <v>9094</v>
      </c>
      <c r="T3059" t="s">
        <v>11183</v>
      </c>
      <c r="V3059" t="s">
        <v>505</v>
      </c>
      <c r="W3059">
        <v>892.52</v>
      </c>
      <c r="X3059" t="s">
        <v>11335</v>
      </c>
      <c r="Y3059" t="s">
        <v>11340</v>
      </c>
      <c r="Z3059" t="s">
        <v>13424</v>
      </c>
      <c r="AB3059" t="s">
        <v>17761</v>
      </c>
      <c r="AC3059">
        <v>44</v>
      </c>
      <c r="AD3059" t="s">
        <v>19566</v>
      </c>
      <c r="AE3059" t="s">
        <v>9144</v>
      </c>
      <c r="AF3059">
        <v>13</v>
      </c>
      <c r="AG3059">
        <v>2</v>
      </c>
      <c r="AH3059">
        <v>1</v>
      </c>
      <c r="AI3059">
        <v>102.6</v>
      </c>
      <c r="AJ3059" t="s">
        <v>982</v>
      </c>
      <c r="AL3059" t="s">
        <v>19615</v>
      </c>
      <c r="AM3059">
        <v>26520</v>
      </c>
      <c r="AS3059">
        <v>0.11</v>
      </c>
      <c r="AT3059" t="s">
        <v>1135</v>
      </c>
      <c r="AU3059" t="s">
        <v>130</v>
      </c>
    </row>
    <row r="3060" spans="1:48">
      <c r="A3060" s="1">
        <f>HYPERLINK("https://lsnyc.legalserver.org/matter/dynamic-profile/view/1856862","18-1856862")</f>
        <v>0</v>
      </c>
      <c r="B3060" t="s">
        <v>132</v>
      </c>
      <c r="C3060" t="s">
        <v>256</v>
      </c>
      <c r="D3060" t="s">
        <v>844</v>
      </c>
      <c r="F3060" t="s">
        <v>1397</v>
      </c>
      <c r="G3060" t="s">
        <v>3577</v>
      </c>
      <c r="H3060" t="s">
        <v>5936</v>
      </c>
      <c r="I3060" t="s">
        <v>8209</v>
      </c>
      <c r="J3060" t="s">
        <v>9067</v>
      </c>
      <c r="K3060">
        <v>10040</v>
      </c>
      <c r="L3060" t="s">
        <v>9094</v>
      </c>
      <c r="M3060" t="s">
        <v>9095</v>
      </c>
      <c r="O3060" t="s">
        <v>11130</v>
      </c>
      <c r="P3060" t="s">
        <v>11165</v>
      </c>
      <c r="R3060" t="s">
        <v>11180</v>
      </c>
      <c r="S3060" t="s">
        <v>9096</v>
      </c>
      <c r="T3060" t="s">
        <v>11183</v>
      </c>
      <c r="V3060" t="s">
        <v>844</v>
      </c>
      <c r="W3060">
        <v>843.6</v>
      </c>
      <c r="X3060" t="s">
        <v>11335</v>
      </c>
      <c r="Y3060" t="s">
        <v>11340</v>
      </c>
      <c r="Z3060" t="s">
        <v>11648</v>
      </c>
      <c r="AB3060" t="s">
        <v>16125</v>
      </c>
      <c r="AC3060">
        <v>42</v>
      </c>
      <c r="AD3060" t="s">
        <v>19566</v>
      </c>
      <c r="AE3060" t="s">
        <v>19587</v>
      </c>
      <c r="AF3060">
        <v>23</v>
      </c>
      <c r="AG3060">
        <v>1</v>
      </c>
      <c r="AH3060">
        <v>0</v>
      </c>
      <c r="AI3060">
        <v>102.79</v>
      </c>
      <c r="AJ3060" t="s">
        <v>527</v>
      </c>
      <c r="AL3060" t="s">
        <v>19615</v>
      </c>
      <c r="AM3060">
        <v>12396</v>
      </c>
      <c r="AS3060">
        <v>29.15</v>
      </c>
      <c r="AT3060" t="s">
        <v>833</v>
      </c>
      <c r="AU3060" t="s">
        <v>130</v>
      </c>
      <c r="AV3060" t="s">
        <v>20733</v>
      </c>
    </row>
    <row r="3061" spans="1:48">
      <c r="A3061" s="1">
        <f>HYPERLINK("https://lsnyc.legalserver.org/matter/dynamic-profile/view/1908353","19-1908353")</f>
        <v>0</v>
      </c>
      <c r="B3061" t="s">
        <v>142</v>
      </c>
      <c r="C3061" t="s">
        <v>256</v>
      </c>
      <c r="D3061" t="s">
        <v>314</v>
      </c>
      <c r="F3061" t="s">
        <v>2417</v>
      </c>
      <c r="G3061" t="s">
        <v>4132</v>
      </c>
      <c r="H3061" t="s">
        <v>7103</v>
      </c>
      <c r="I3061" t="s">
        <v>8665</v>
      </c>
      <c r="J3061" t="s">
        <v>9067</v>
      </c>
      <c r="K3061">
        <v>10029</v>
      </c>
      <c r="L3061" t="s">
        <v>9094</v>
      </c>
      <c r="M3061" t="s">
        <v>9095</v>
      </c>
      <c r="O3061" t="s">
        <v>9121</v>
      </c>
      <c r="P3061" t="s">
        <v>11167</v>
      </c>
      <c r="R3061" t="s">
        <v>11180</v>
      </c>
      <c r="S3061" t="s">
        <v>9096</v>
      </c>
      <c r="T3061" t="s">
        <v>11183</v>
      </c>
      <c r="U3061" t="s">
        <v>11201</v>
      </c>
      <c r="V3061" t="s">
        <v>493</v>
      </c>
      <c r="W3061">
        <v>4169</v>
      </c>
      <c r="X3061" t="s">
        <v>11335</v>
      </c>
      <c r="Y3061" t="s">
        <v>11340</v>
      </c>
      <c r="Z3061" t="s">
        <v>13278</v>
      </c>
      <c r="AA3061">
        <v>43832149</v>
      </c>
      <c r="AB3061" t="s">
        <v>17625</v>
      </c>
      <c r="AC3061">
        <v>323</v>
      </c>
      <c r="AD3061" t="s">
        <v>15441</v>
      </c>
      <c r="AE3061" t="s">
        <v>19580</v>
      </c>
      <c r="AF3061">
        <v>36</v>
      </c>
      <c r="AG3061">
        <v>3</v>
      </c>
      <c r="AH3061">
        <v>1</v>
      </c>
      <c r="AI3061">
        <v>102.9</v>
      </c>
      <c r="AL3061" t="s">
        <v>19614</v>
      </c>
      <c r="AM3061">
        <v>26496</v>
      </c>
      <c r="AS3061">
        <v>0.1</v>
      </c>
      <c r="AT3061" t="s">
        <v>396</v>
      </c>
      <c r="AU3061" t="s">
        <v>20657</v>
      </c>
      <c r="AV3061" t="s">
        <v>20733</v>
      </c>
    </row>
    <row r="3062" spans="1:48">
      <c r="A3062" s="1">
        <f>HYPERLINK("https://lsnyc.legalserver.org/matter/dynamic-profile/view/1886871","19-1886871")</f>
        <v>0</v>
      </c>
      <c r="B3062" t="s">
        <v>119</v>
      </c>
      <c r="C3062" t="s">
        <v>256</v>
      </c>
      <c r="D3062" t="s">
        <v>611</v>
      </c>
      <c r="F3062" t="s">
        <v>1413</v>
      </c>
      <c r="G3062" t="s">
        <v>3531</v>
      </c>
      <c r="H3062" t="s">
        <v>6095</v>
      </c>
      <c r="I3062" t="s">
        <v>8475</v>
      </c>
      <c r="J3062" t="s">
        <v>9065</v>
      </c>
      <c r="K3062">
        <v>10456</v>
      </c>
      <c r="L3062" t="s">
        <v>9094</v>
      </c>
      <c r="M3062" t="s">
        <v>9094</v>
      </c>
      <c r="N3062" t="s">
        <v>9419</v>
      </c>
      <c r="O3062" t="s">
        <v>11134</v>
      </c>
      <c r="P3062" t="s">
        <v>11168</v>
      </c>
      <c r="R3062" t="s">
        <v>11180</v>
      </c>
      <c r="S3062" t="s">
        <v>9094</v>
      </c>
      <c r="T3062" t="s">
        <v>11183</v>
      </c>
      <c r="V3062" t="s">
        <v>512</v>
      </c>
      <c r="W3062">
        <v>1200.58</v>
      </c>
      <c r="X3062" t="s">
        <v>11333</v>
      </c>
      <c r="Y3062" t="s">
        <v>11346</v>
      </c>
      <c r="Z3062" t="s">
        <v>13389</v>
      </c>
      <c r="AB3062" t="s">
        <v>17729</v>
      </c>
      <c r="AC3062">
        <v>131</v>
      </c>
      <c r="AD3062" t="s">
        <v>19566</v>
      </c>
      <c r="AE3062" t="s">
        <v>9144</v>
      </c>
      <c r="AF3062">
        <v>7</v>
      </c>
      <c r="AG3062">
        <v>3</v>
      </c>
      <c r="AH3062">
        <v>1</v>
      </c>
      <c r="AI3062">
        <v>102.96</v>
      </c>
      <c r="AL3062" t="s">
        <v>19615</v>
      </c>
      <c r="AM3062">
        <v>25844</v>
      </c>
      <c r="AS3062">
        <v>0</v>
      </c>
      <c r="AU3062" t="s">
        <v>163</v>
      </c>
    </row>
    <row r="3063" spans="1:48">
      <c r="A3063" s="1">
        <f>HYPERLINK("https://lsnyc.legalserver.org/matter/dynamic-profile/view/1864271","18-1864271")</f>
        <v>0</v>
      </c>
      <c r="B3063" t="s">
        <v>86</v>
      </c>
      <c r="C3063" t="s">
        <v>256</v>
      </c>
      <c r="D3063" t="s">
        <v>989</v>
      </c>
      <c r="F3063" t="s">
        <v>2018</v>
      </c>
      <c r="G3063" t="s">
        <v>1362</v>
      </c>
      <c r="H3063" t="s">
        <v>6787</v>
      </c>
      <c r="I3063" t="s">
        <v>8555</v>
      </c>
      <c r="J3063" t="s">
        <v>9059</v>
      </c>
      <c r="K3063">
        <v>11226</v>
      </c>
      <c r="L3063" t="s">
        <v>9094</v>
      </c>
      <c r="M3063" t="s">
        <v>9094</v>
      </c>
      <c r="O3063" t="s">
        <v>11130</v>
      </c>
      <c r="P3063" t="s">
        <v>11165</v>
      </c>
      <c r="R3063" t="s">
        <v>11180</v>
      </c>
      <c r="S3063" t="s">
        <v>9094</v>
      </c>
      <c r="T3063" t="s">
        <v>11183</v>
      </c>
      <c r="V3063" t="s">
        <v>945</v>
      </c>
      <c r="W3063">
        <v>915</v>
      </c>
      <c r="X3063" t="s">
        <v>11332</v>
      </c>
      <c r="Y3063" t="s">
        <v>11346</v>
      </c>
      <c r="Z3063" t="s">
        <v>12805</v>
      </c>
      <c r="AB3063" t="s">
        <v>17187</v>
      </c>
      <c r="AC3063">
        <v>6</v>
      </c>
      <c r="AD3063" t="s">
        <v>19566</v>
      </c>
      <c r="AE3063" t="s">
        <v>9144</v>
      </c>
      <c r="AF3063">
        <v>9</v>
      </c>
      <c r="AG3063">
        <v>1</v>
      </c>
      <c r="AH3063">
        <v>0</v>
      </c>
      <c r="AI3063">
        <v>102.97</v>
      </c>
      <c r="AL3063" t="s">
        <v>19614</v>
      </c>
      <c r="AM3063">
        <v>12500</v>
      </c>
      <c r="AS3063">
        <v>1</v>
      </c>
      <c r="AT3063" t="s">
        <v>578</v>
      </c>
      <c r="AU3063" t="s">
        <v>20630</v>
      </c>
    </row>
    <row r="3064" spans="1:48">
      <c r="A3064" s="1">
        <f>HYPERLINK("https://lsnyc.legalserver.org/matter/dynamic-profile/view/1888044","19-1888044")</f>
        <v>0</v>
      </c>
      <c r="B3064" t="s">
        <v>134</v>
      </c>
      <c r="C3064" t="s">
        <v>256</v>
      </c>
      <c r="D3064" t="s">
        <v>756</v>
      </c>
      <c r="F3064" t="s">
        <v>1417</v>
      </c>
      <c r="G3064" t="s">
        <v>3595</v>
      </c>
      <c r="H3064" t="s">
        <v>5957</v>
      </c>
      <c r="I3064" t="s">
        <v>8265</v>
      </c>
      <c r="J3064" t="s">
        <v>9067</v>
      </c>
      <c r="K3064">
        <v>10032</v>
      </c>
      <c r="L3064" t="s">
        <v>9094</v>
      </c>
      <c r="M3064" t="s">
        <v>9094</v>
      </c>
      <c r="P3064" t="s">
        <v>11165</v>
      </c>
      <c r="R3064" t="s">
        <v>11180</v>
      </c>
      <c r="S3064" t="s">
        <v>9094</v>
      </c>
      <c r="T3064" t="s">
        <v>11183</v>
      </c>
      <c r="V3064" t="s">
        <v>756</v>
      </c>
      <c r="W3064">
        <v>858.16</v>
      </c>
      <c r="X3064" t="s">
        <v>11335</v>
      </c>
      <c r="Y3064" t="s">
        <v>11338</v>
      </c>
      <c r="Z3064" t="s">
        <v>11670</v>
      </c>
      <c r="AB3064" t="s">
        <v>16144</v>
      </c>
      <c r="AC3064">
        <v>42</v>
      </c>
      <c r="AD3064" t="s">
        <v>19566</v>
      </c>
      <c r="AE3064" t="s">
        <v>9144</v>
      </c>
      <c r="AF3064">
        <v>35</v>
      </c>
      <c r="AG3064">
        <v>1</v>
      </c>
      <c r="AH3064">
        <v>1</v>
      </c>
      <c r="AI3064">
        <v>102.99</v>
      </c>
      <c r="AL3064" t="s">
        <v>19615</v>
      </c>
      <c r="AM3064">
        <v>16952</v>
      </c>
      <c r="AS3064">
        <v>1.6</v>
      </c>
      <c r="AT3064" t="s">
        <v>326</v>
      </c>
      <c r="AU3064" t="s">
        <v>130</v>
      </c>
    </row>
    <row r="3065" spans="1:48">
      <c r="A3065" s="1">
        <f>HYPERLINK("https://lsnyc.legalserver.org/matter/dynamic-profile/view/1899824","19-1899824")</f>
        <v>0</v>
      </c>
      <c r="B3065" t="s">
        <v>90</v>
      </c>
      <c r="C3065" t="s">
        <v>256</v>
      </c>
      <c r="D3065" t="s">
        <v>411</v>
      </c>
      <c r="F3065" t="s">
        <v>1639</v>
      </c>
      <c r="G3065" t="s">
        <v>3797</v>
      </c>
      <c r="H3065" t="s">
        <v>6002</v>
      </c>
      <c r="I3065" t="s">
        <v>8170</v>
      </c>
      <c r="J3065" t="s">
        <v>9059</v>
      </c>
      <c r="K3065">
        <v>11233</v>
      </c>
      <c r="L3065" t="s">
        <v>9094</v>
      </c>
      <c r="M3065" t="s">
        <v>9095</v>
      </c>
      <c r="N3065" t="s">
        <v>10272</v>
      </c>
      <c r="O3065" t="s">
        <v>11129</v>
      </c>
      <c r="P3065" t="s">
        <v>11165</v>
      </c>
      <c r="R3065" t="s">
        <v>11180</v>
      </c>
      <c r="S3065" t="s">
        <v>9096</v>
      </c>
      <c r="T3065" t="s">
        <v>11183</v>
      </c>
      <c r="U3065" t="s">
        <v>11201</v>
      </c>
      <c r="V3065" t="s">
        <v>411</v>
      </c>
      <c r="W3065">
        <v>1275.64</v>
      </c>
      <c r="X3065" t="s">
        <v>11332</v>
      </c>
      <c r="Y3065" t="s">
        <v>11340</v>
      </c>
      <c r="Z3065" t="s">
        <v>11956</v>
      </c>
      <c r="AA3065" t="s">
        <v>9144</v>
      </c>
      <c r="AB3065" t="s">
        <v>16410</v>
      </c>
      <c r="AC3065">
        <v>6</v>
      </c>
      <c r="AD3065" t="s">
        <v>19566</v>
      </c>
      <c r="AE3065" t="s">
        <v>9144</v>
      </c>
      <c r="AF3065">
        <v>16</v>
      </c>
      <c r="AG3065">
        <v>3</v>
      </c>
      <c r="AH3065">
        <v>0</v>
      </c>
      <c r="AI3065">
        <v>103.14</v>
      </c>
      <c r="AL3065" t="s">
        <v>19614</v>
      </c>
      <c r="AM3065">
        <v>22000</v>
      </c>
      <c r="AN3065" t="s">
        <v>19928</v>
      </c>
      <c r="AS3065">
        <v>76</v>
      </c>
      <c r="AT3065" t="s">
        <v>549</v>
      </c>
      <c r="AU3065" t="s">
        <v>202</v>
      </c>
      <c r="AV3065" t="s">
        <v>20733</v>
      </c>
    </row>
    <row r="3066" spans="1:48">
      <c r="A3066" s="1">
        <f>HYPERLINK("https://lsnyc.legalserver.org/matter/dynamic-profile/view/1915024","19-1915024")</f>
        <v>0</v>
      </c>
      <c r="B3066" t="s">
        <v>100</v>
      </c>
      <c r="C3066" t="s">
        <v>256</v>
      </c>
      <c r="D3066" t="s">
        <v>377</v>
      </c>
      <c r="F3066" t="s">
        <v>1450</v>
      </c>
      <c r="G3066" t="s">
        <v>3728</v>
      </c>
      <c r="H3066" t="s">
        <v>7196</v>
      </c>
      <c r="I3066" t="s">
        <v>8229</v>
      </c>
      <c r="J3066" t="s">
        <v>9065</v>
      </c>
      <c r="K3066">
        <v>10454</v>
      </c>
      <c r="L3066" t="s">
        <v>9094</v>
      </c>
      <c r="M3066" t="s">
        <v>9095</v>
      </c>
      <c r="O3066" t="s">
        <v>11137</v>
      </c>
      <c r="P3066" t="s">
        <v>11164</v>
      </c>
      <c r="R3066" t="s">
        <v>11181</v>
      </c>
      <c r="T3066" t="s">
        <v>11188</v>
      </c>
      <c r="U3066" t="s">
        <v>11201</v>
      </c>
      <c r="W3066">
        <v>1500</v>
      </c>
      <c r="X3066" t="s">
        <v>11333</v>
      </c>
      <c r="Y3066" t="s">
        <v>11342</v>
      </c>
      <c r="Z3066" t="s">
        <v>13425</v>
      </c>
      <c r="AB3066" t="s">
        <v>17762</v>
      </c>
      <c r="AC3066">
        <v>24</v>
      </c>
      <c r="AD3066" t="s">
        <v>19573</v>
      </c>
      <c r="AE3066" t="s">
        <v>19580</v>
      </c>
      <c r="AF3066">
        <v>-1</v>
      </c>
      <c r="AG3066">
        <v>3</v>
      </c>
      <c r="AH3066">
        <v>0</v>
      </c>
      <c r="AI3066">
        <v>103.14</v>
      </c>
      <c r="AL3066" t="s">
        <v>19614</v>
      </c>
      <c r="AM3066">
        <v>22000</v>
      </c>
      <c r="AS3066">
        <v>1</v>
      </c>
      <c r="AT3066" t="s">
        <v>377</v>
      </c>
      <c r="AU3066" t="s">
        <v>100</v>
      </c>
    </row>
    <row r="3067" spans="1:48">
      <c r="A3067" s="1">
        <f>HYPERLINK("https://lsnyc.legalserver.org/matter/dynamic-profile/view/1886938","19-1886938")</f>
        <v>0</v>
      </c>
      <c r="B3067" t="s">
        <v>101</v>
      </c>
      <c r="C3067" t="s">
        <v>256</v>
      </c>
      <c r="D3067" t="s">
        <v>582</v>
      </c>
      <c r="F3067" t="s">
        <v>1616</v>
      </c>
      <c r="G3067" t="s">
        <v>4635</v>
      </c>
      <c r="H3067" t="s">
        <v>6383</v>
      </c>
      <c r="I3067" t="s">
        <v>8250</v>
      </c>
      <c r="J3067" t="s">
        <v>9065</v>
      </c>
      <c r="K3067">
        <v>10467</v>
      </c>
      <c r="L3067" t="s">
        <v>9094</v>
      </c>
      <c r="M3067" t="s">
        <v>9094</v>
      </c>
      <c r="N3067" t="s">
        <v>9642</v>
      </c>
      <c r="O3067" t="s">
        <v>11130</v>
      </c>
      <c r="P3067" t="s">
        <v>11165</v>
      </c>
      <c r="R3067" t="s">
        <v>11180</v>
      </c>
      <c r="S3067" t="s">
        <v>9094</v>
      </c>
      <c r="T3067" t="s">
        <v>11183</v>
      </c>
      <c r="V3067" t="s">
        <v>11212</v>
      </c>
      <c r="W3067">
        <v>685.67</v>
      </c>
      <c r="X3067" t="s">
        <v>11333</v>
      </c>
      <c r="Y3067" t="s">
        <v>11346</v>
      </c>
      <c r="Z3067" t="s">
        <v>13387</v>
      </c>
      <c r="AB3067" t="s">
        <v>17763</v>
      </c>
      <c r="AC3067">
        <v>59</v>
      </c>
      <c r="AD3067" t="s">
        <v>15441</v>
      </c>
      <c r="AE3067" t="s">
        <v>9144</v>
      </c>
      <c r="AF3067">
        <v>37</v>
      </c>
      <c r="AG3067">
        <v>1</v>
      </c>
      <c r="AH3067">
        <v>0</v>
      </c>
      <c r="AI3067">
        <v>103.17</v>
      </c>
      <c r="AL3067" t="s">
        <v>19614</v>
      </c>
      <c r="AM3067">
        <v>12525</v>
      </c>
      <c r="AS3067">
        <v>0</v>
      </c>
      <c r="AU3067" t="s">
        <v>20647</v>
      </c>
      <c r="AV3067" t="s">
        <v>20733</v>
      </c>
    </row>
    <row r="3068" spans="1:48">
      <c r="A3068" s="1">
        <f>HYPERLINK("https://lsnyc.legalserver.org/matter/dynamic-profile/view/1866458","18-1866458")</f>
        <v>0</v>
      </c>
      <c r="B3068" t="s">
        <v>86</v>
      </c>
      <c r="C3068" t="s">
        <v>256</v>
      </c>
      <c r="D3068" t="s">
        <v>727</v>
      </c>
      <c r="F3068" t="s">
        <v>1524</v>
      </c>
      <c r="G3068" t="s">
        <v>2196</v>
      </c>
      <c r="H3068" t="s">
        <v>5778</v>
      </c>
      <c r="I3068" t="s">
        <v>8687</v>
      </c>
      <c r="J3068" t="s">
        <v>9059</v>
      </c>
      <c r="K3068">
        <v>11226</v>
      </c>
      <c r="L3068" t="s">
        <v>9094</v>
      </c>
      <c r="M3068" t="s">
        <v>9094</v>
      </c>
      <c r="O3068" t="s">
        <v>11128</v>
      </c>
      <c r="P3068" t="s">
        <v>11165</v>
      </c>
      <c r="R3068" t="s">
        <v>11180</v>
      </c>
      <c r="S3068" t="s">
        <v>9094</v>
      </c>
      <c r="T3068" t="s">
        <v>11183</v>
      </c>
      <c r="V3068" t="s">
        <v>697</v>
      </c>
      <c r="W3068">
        <v>1091.17</v>
      </c>
      <c r="X3068" t="s">
        <v>11332</v>
      </c>
      <c r="Y3068" t="s">
        <v>11346</v>
      </c>
      <c r="Z3068" t="s">
        <v>13388</v>
      </c>
      <c r="AB3068" t="s">
        <v>17728</v>
      </c>
      <c r="AC3068">
        <v>61</v>
      </c>
      <c r="AD3068" t="s">
        <v>19566</v>
      </c>
      <c r="AE3068" t="s">
        <v>19580</v>
      </c>
      <c r="AF3068">
        <v>15</v>
      </c>
      <c r="AG3068">
        <v>1</v>
      </c>
      <c r="AH3068">
        <v>0</v>
      </c>
      <c r="AI3068">
        <v>103.2</v>
      </c>
      <c r="AL3068" t="s">
        <v>19614</v>
      </c>
      <c r="AM3068">
        <v>12528</v>
      </c>
      <c r="AS3068">
        <v>31.7</v>
      </c>
      <c r="AT3068" t="s">
        <v>279</v>
      </c>
      <c r="AU3068" t="s">
        <v>20630</v>
      </c>
    </row>
    <row r="3069" spans="1:48">
      <c r="A3069" s="1">
        <f>HYPERLINK("https://lsnyc.legalserver.org/matter/dynamic-profile/view/1885977","18-1885977")</f>
        <v>0</v>
      </c>
      <c r="B3069" t="s">
        <v>65</v>
      </c>
      <c r="C3069" t="s">
        <v>257</v>
      </c>
      <c r="D3069" t="s">
        <v>746</v>
      </c>
      <c r="E3069" t="s">
        <v>474</v>
      </c>
      <c r="F3069" t="s">
        <v>1303</v>
      </c>
      <c r="G3069" t="s">
        <v>3488</v>
      </c>
      <c r="H3069" t="s">
        <v>5843</v>
      </c>
      <c r="I3069" t="s">
        <v>8206</v>
      </c>
      <c r="J3069" t="s">
        <v>9059</v>
      </c>
      <c r="K3069">
        <v>11203</v>
      </c>
      <c r="L3069" t="s">
        <v>9094</v>
      </c>
      <c r="M3069" t="s">
        <v>9094</v>
      </c>
      <c r="N3069" t="s">
        <v>10273</v>
      </c>
      <c r="O3069" t="s">
        <v>11129</v>
      </c>
      <c r="P3069" t="s">
        <v>11165</v>
      </c>
      <c r="Q3069" t="s">
        <v>11174</v>
      </c>
      <c r="R3069" t="s">
        <v>11180</v>
      </c>
      <c r="S3069" t="s">
        <v>9096</v>
      </c>
      <c r="T3069" t="s">
        <v>11183</v>
      </c>
      <c r="U3069" t="s">
        <v>11201</v>
      </c>
      <c r="V3069" t="s">
        <v>746</v>
      </c>
      <c r="W3069">
        <v>166</v>
      </c>
      <c r="X3069" t="s">
        <v>11332</v>
      </c>
      <c r="Y3069" t="s">
        <v>11340</v>
      </c>
      <c r="Z3069" t="s">
        <v>11542</v>
      </c>
      <c r="AB3069" t="s">
        <v>16037</v>
      </c>
      <c r="AC3069">
        <v>114</v>
      </c>
      <c r="AD3069" t="s">
        <v>19575</v>
      </c>
      <c r="AF3069">
        <v>4</v>
      </c>
      <c r="AG3069">
        <v>1</v>
      </c>
      <c r="AH3069">
        <v>0</v>
      </c>
      <c r="AI3069">
        <v>103.2</v>
      </c>
      <c r="AL3069" t="s">
        <v>19614</v>
      </c>
      <c r="AM3069">
        <v>12528</v>
      </c>
      <c r="AO3069" t="s">
        <v>20290</v>
      </c>
      <c r="AP3069" t="s">
        <v>20317</v>
      </c>
      <c r="AQ3069" t="s">
        <v>20369</v>
      </c>
      <c r="AS3069">
        <v>31.15</v>
      </c>
      <c r="AT3069" t="s">
        <v>474</v>
      </c>
      <c r="AU3069" t="s">
        <v>215</v>
      </c>
      <c r="AV3069" t="s">
        <v>20733</v>
      </c>
    </row>
    <row r="3070" spans="1:48">
      <c r="A3070" s="1">
        <f>HYPERLINK("https://lsnyc.legalserver.org/matter/dynamic-profile/view/1879651","18-1879651")</f>
        <v>0</v>
      </c>
      <c r="B3070" t="s">
        <v>86</v>
      </c>
      <c r="C3070" t="s">
        <v>256</v>
      </c>
      <c r="D3070" t="s">
        <v>313</v>
      </c>
      <c r="F3070" t="s">
        <v>1963</v>
      </c>
      <c r="G3070" t="s">
        <v>4658</v>
      </c>
      <c r="H3070" t="s">
        <v>6097</v>
      </c>
      <c r="I3070" t="s">
        <v>8135</v>
      </c>
      <c r="J3070" t="s">
        <v>9059</v>
      </c>
      <c r="K3070">
        <v>11226</v>
      </c>
      <c r="L3070" t="s">
        <v>9094</v>
      </c>
      <c r="M3070" t="s">
        <v>9094</v>
      </c>
      <c r="N3070" t="s">
        <v>10274</v>
      </c>
      <c r="O3070" t="s">
        <v>11130</v>
      </c>
      <c r="P3070" t="s">
        <v>11169</v>
      </c>
      <c r="R3070" t="s">
        <v>11180</v>
      </c>
      <c r="S3070" t="s">
        <v>9094</v>
      </c>
      <c r="T3070" t="s">
        <v>11183</v>
      </c>
      <c r="V3070" t="s">
        <v>906</v>
      </c>
      <c r="W3070">
        <v>1529.97</v>
      </c>
      <c r="X3070" t="s">
        <v>11332</v>
      </c>
      <c r="Y3070" t="s">
        <v>11340</v>
      </c>
      <c r="Z3070" t="s">
        <v>13426</v>
      </c>
      <c r="AC3070">
        <v>6</v>
      </c>
      <c r="AD3070" t="s">
        <v>19566</v>
      </c>
      <c r="AE3070" t="s">
        <v>9144</v>
      </c>
      <c r="AF3070">
        <v>6</v>
      </c>
      <c r="AG3070">
        <v>2</v>
      </c>
      <c r="AH3070">
        <v>0</v>
      </c>
      <c r="AI3070">
        <v>103.28</v>
      </c>
      <c r="AL3070" t="s">
        <v>19614</v>
      </c>
      <c r="AM3070">
        <v>17000</v>
      </c>
      <c r="AS3070">
        <v>48.15</v>
      </c>
      <c r="AT3070" t="s">
        <v>292</v>
      </c>
      <c r="AU3070" t="s">
        <v>20625</v>
      </c>
    </row>
    <row r="3071" spans="1:48">
      <c r="A3071" s="1">
        <f>HYPERLINK("https://lsnyc.legalserver.org/matter/dynamic-profile/view/1867522","18-1867522")</f>
        <v>0</v>
      </c>
      <c r="B3071" t="s">
        <v>86</v>
      </c>
      <c r="C3071" t="s">
        <v>256</v>
      </c>
      <c r="D3071" t="s">
        <v>894</v>
      </c>
      <c r="F3071" t="s">
        <v>1963</v>
      </c>
      <c r="G3071" t="s">
        <v>4658</v>
      </c>
      <c r="H3071" t="s">
        <v>6097</v>
      </c>
      <c r="I3071" t="s">
        <v>8135</v>
      </c>
      <c r="J3071" t="s">
        <v>9059</v>
      </c>
      <c r="K3071">
        <v>11226</v>
      </c>
      <c r="L3071" t="s">
        <v>9094</v>
      </c>
      <c r="M3071" t="s">
        <v>9094</v>
      </c>
      <c r="N3071" t="s">
        <v>10274</v>
      </c>
      <c r="P3071" t="s">
        <v>11165</v>
      </c>
      <c r="R3071" t="s">
        <v>11180</v>
      </c>
      <c r="S3071" t="s">
        <v>9094</v>
      </c>
      <c r="T3071" t="s">
        <v>11183</v>
      </c>
      <c r="V3071" t="s">
        <v>675</v>
      </c>
      <c r="W3071">
        <v>1529.97</v>
      </c>
      <c r="X3071" t="s">
        <v>11332</v>
      </c>
      <c r="Y3071" t="s">
        <v>11342</v>
      </c>
      <c r="Z3071" t="s">
        <v>13426</v>
      </c>
      <c r="AC3071">
        <v>6</v>
      </c>
      <c r="AD3071" t="s">
        <v>19566</v>
      </c>
      <c r="AE3071" t="s">
        <v>9144</v>
      </c>
      <c r="AF3071">
        <v>6</v>
      </c>
      <c r="AG3071">
        <v>2</v>
      </c>
      <c r="AH3071">
        <v>0</v>
      </c>
      <c r="AI3071">
        <v>103.28</v>
      </c>
      <c r="AM3071">
        <v>17000</v>
      </c>
      <c r="AS3071">
        <v>108.75</v>
      </c>
      <c r="AT3071" t="s">
        <v>487</v>
      </c>
      <c r="AU3071" t="s">
        <v>20630</v>
      </c>
    </row>
    <row r="3072" spans="1:48">
      <c r="A3072" s="1">
        <f>HYPERLINK("https://lsnyc.legalserver.org/matter/dynamic-profile/view/1885751","18-1885751")</f>
        <v>0</v>
      </c>
      <c r="B3072" t="s">
        <v>113</v>
      </c>
      <c r="C3072" t="s">
        <v>257</v>
      </c>
      <c r="D3072" t="s">
        <v>424</v>
      </c>
      <c r="E3072" t="s">
        <v>377</v>
      </c>
      <c r="F3072" t="s">
        <v>1460</v>
      </c>
      <c r="G3072" t="s">
        <v>4636</v>
      </c>
      <c r="H3072" t="s">
        <v>5864</v>
      </c>
      <c r="I3072" t="s">
        <v>8346</v>
      </c>
      <c r="J3072" t="s">
        <v>9065</v>
      </c>
      <c r="K3072">
        <v>10460</v>
      </c>
      <c r="L3072" t="s">
        <v>9094</v>
      </c>
      <c r="M3072" t="s">
        <v>9094</v>
      </c>
      <c r="N3072" t="s">
        <v>9222</v>
      </c>
      <c r="O3072" t="s">
        <v>11130</v>
      </c>
      <c r="P3072" t="s">
        <v>11165</v>
      </c>
      <c r="Q3072" t="s">
        <v>11174</v>
      </c>
      <c r="R3072" t="s">
        <v>11180</v>
      </c>
      <c r="S3072" t="s">
        <v>9094</v>
      </c>
      <c r="T3072" t="s">
        <v>11183</v>
      </c>
      <c r="V3072" t="s">
        <v>512</v>
      </c>
      <c r="W3072">
        <v>517</v>
      </c>
      <c r="X3072" t="s">
        <v>11333</v>
      </c>
      <c r="Y3072" t="s">
        <v>11346</v>
      </c>
      <c r="Z3072" t="s">
        <v>13392</v>
      </c>
      <c r="AC3072">
        <v>168</v>
      </c>
      <c r="AD3072" t="s">
        <v>15441</v>
      </c>
      <c r="AE3072" t="s">
        <v>19580</v>
      </c>
      <c r="AF3072">
        <v>24</v>
      </c>
      <c r="AG3072">
        <v>2</v>
      </c>
      <c r="AH3072">
        <v>0</v>
      </c>
      <c r="AI3072">
        <v>103.28</v>
      </c>
      <c r="AL3072" t="s">
        <v>19614</v>
      </c>
      <c r="AM3072">
        <v>17000</v>
      </c>
      <c r="AS3072">
        <v>1.25</v>
      </c>
      <c r="AT3072" t="s">
        <v>377</v>
      </c>
      <c r="AU3072" t="s">
        <v>20642</v>
      </c>
    </row>
    <row r="3073" spans="1:48">
      <c r="A3073" s="1">
        <f>HYPERLINK("https://lsnyc.legalserver.org/matter/dynamic-profile/view/1884607","18-1884607")</f>
        <v>0</v>
      </c>
      <c r="B3073" t="s">
        <v>114</v>
      </c>
      <c r="C3073" t="s">
        <v>257</v>
      </c>
      <c r="D3073" t="s">
        <v>963</v>
      </c>
      <c r="E3073" t="s">
        <v>263</v>
      </c>
      <c r="F3073" t="s">
        <v>1785</v>
      </c>
      <c r="G3073" t="s">
        <v>3736</v>
      </c>
      <c r="H3073" t="s">
        <v>5907</v>
      </c>
      <c r="I3073" t="s">
        <v>8698</v>
      </c>
      <c r="J3073" t="s">
        <v>9065</v>
      </c>
      <c r="K3073">
        <v>10451</v>
      </c>
      <c r="L3073" t="s">
        <v>9094</v>
      </c>
      <c r="M3073" t="s">
        <v>9094</v>
      </c>
      <c r="N3073" t="s">
        <v>9259</v>
      </c>
      <c r="O3073" t="s">
        <v>11130</v>
      </c>
      <c r="P3073" t="s">
        <v>11165</v>
      </c>
      <c r="Q3073" t="s">
        <v>11174</v>
      </c>
      <c r="R3073" t="s">
        <v>11180</v>
      </c>
      <c r="S3073" t="s">
        <v>9094</v>
      </c>
      <c r="T3073" t="s">
        <v>11183</v>
      </c>
      <c r="V3073" t="s">
        <v>738</v>
      </c>
      <c r="W3073">
        <v>1012</v>
      </c>
      <c r="X3073" t="s">
        <v>11333</v>
      </c>
      <c r="Y3073" t="s">
        <v>11346</v>
      </c>
      <c r="Z3073" t="s">
        <v>13427</v>
      </c>
      <c r="AB3073" t="s">
        <v>17764</v>
      </c>
      <c r="AC3073">
        <v>100</v>
      </c>
      <c r="AD3073" t="s">
        <v>19566</v>
      </c>
      <c r="AE3073" t="s">
        <v>9144</v>
      </c>
      <c r="AF3073">
        <v>21</v>
      </c>
      <c r="AG3073">
        <v>2</v>
      </c>
      <c r="AH3073">
        <v>0</v>
      </c>
      <c r="AI3073">
        <v>103.28</v>
      </c>
      <c r="AL3073" t="s">
        <v>19615</v>
      </c>
      <c r="AM3073">
        <v>17000</v>
      </c>
      <c r="AS3073">
        <v>0.25</v>
      </c>
      <c r="AT3073" t="s">
        <v>263</v>
      </c>
      <c r="AU3073" t="s">
        <v>163</v>
      </c>
    </row>
    <row r="3074" spans="1:48">
      <c r="A3074" s="1">
        <f>HYPERLINK("https://lsnyc.legalserver.org/matter/dynamic-profile/view/1864083","18-1864083")</f>
        <v>0</v>
      </c>
      <c r="B3074" t="s">
        <v>140</v>
      </c>
      <c r="C3074" t="s">
        <v>256</v>
      </c>
      <c r="D3074" t="s">
        <v>505</v>
      </c>
      <c r="F3074" t="s">
        <v>2397</v>
      </c>
      <c r="G3074" t="s">
        <v>4453</v>
      </c>
      <c r="H3074" t="s">
        <v>5999</v>
      </c>
      <c r="I3074" t="s">
        <v>8265</v>
      </c>
      <c r="J3074" t="s">
        <v>9067</v>
      </c>
      <c r="K3074">
        <v>10040</v>
      </c>
      <c r="L3074" t="s">
        <v>9094</v>
      </c>
      <c r="M3074" t="s">
        <v>9095</v>
      </c>
      <c r="N3074" t="s">
        <v>9314</v>
      </c>
      <c r="O3074" t="s">
        <v>11130</v>
      </c>
      <c r="P3074" t="s">
        <v>11165</v>
      </c>
      <c r="R3074" t="s">
        <v>11180</v>
      </c>
      <c r="S3074" t="s">
        <v>9094</v>
      </c>
      <c r="T3074" t="s">
        <v>11183</v>
      </c>
      <c r="V3074" t="s">
        <v>505</v>
      </c>
      <c r="W3074">
        <v>340</v>
      </c>
      <c r="X3074" t="s">
        <v>11335</v>
      </c>
      <c r="Y3074" t="s">
        <v>11340</v>
      </c>
      <c r="Z3074" t="s">
        <v>13275</v>
      </c>
      <c r="AB3074" t="s">
        <v>17730</v>
      </c>
      <c r="AC3074">
        <v>44</v>
      </c>
      <c r="AD3074" t="s">
        <v>19566</v>
      </c>
      <c r="AE3074" t="s">
        <v>19580</v>
      </c>
      <c r="AF3074">
        <v>22</v>
      </c>
      <c r="AG3074">
        <v>2</v>
      </c>
      <c r="AH3074">
        <v>0</v>
      </c>
      <c r="AI3074">
        <v>103.28</v>
      </c>
      <c r="AJ3074" t="s">
        <v>982</v>
      </c>
      <c r="AL3074" t="s">
        <v>19615</v>
      </c>
      <c r="AM3074">
        <v>17000</v>
      </c>
      <c r="AS3074">
        <v>0.21</v>
      </c>
      <c r="AT3074" t="s">
        <v>1135</v>
      </c>
      <c r="AU3074" t="s">
        <v>130</v>
      </c>
    </row>
    <row r="3075" spans="1:48">
      <c r="A3075" s="1">
        <f>HYPERLINK("https://lsnyc.legalserver.org/matter/dynamic-profile/view/1893391","19-1893391")</f>
        <v>0</v>
      </c>
      <c r="B3075" t="s">
        <v>135</v>
      </c>
      <c r="C3075" t="s">
        <v>257</v>
      </c>
      <c r="D3075" t="s">
        <v>373</v>
      </c>
      <c r="E3075" t="s">
        <v>334</v>
      </c>
      <c r="F3075" t="s">
        <v>1616</v>
      </c>
      <c r="G3075" t="s">
        <v>4245</v>
      </c>
      <c r="H3075" t="s">
        <v>5991</v>
      </c>
      <c r="I3075" t="s">
        <v>8119</v>
      </c>
      <c r="J3075" t="s">
        <v>9067</v>
      </c>
      <c r="K3075">
        <v>10035</v>
      </c>
      <c r="L3075" t="s">
        <v>9094</v>
      </c>
      <c r="M3075" t="s">
        <v>9095</v>
      </c>
      <c r="N3075" t="s">
        <v>9308</v>
      </c>
      <c r="O3075" t="s">
        <v>11133</v>
      </c>
      <c r="P3075" t="s">
        <v>11165</v>
      </c>
      <c r="Q3075" t="s">
        <v>11178</v>
      </c>
      <c r="R3075" t="s">
        <v>11180</v>
      </c>
      <c r="S3075" t="s">
        <v>9094</v>
      </c>
      <c r="T3075" t="s">
        <v>11183</v>
      </c>
      <c r="U3075" t="s">
        <v>11201</v>
      </c>
      <c r="V3075" t="s">
        <v>373</v>
      </c>
      <c r="W3075">
        <v>831</v>
      </c>
      <c r="X3075" t="s">
        <v>11335</v>
      </c>
      <c r="Y3075" t="s">
        <v>11340</v>
      </c>
      <c r="Z3075" t="s">
        <v>13428</v>
      </c>
      <c r="AB3075" t="s">
        <v>17765</v>
      </c>
      <c r="AC3075">
        <v>35</v>
      </c>
      <c r="AD3075" t="s">
        <v>19566</v>
      </c>
      <c r="AE3075" t="s">
        <v>19587</v>
      </c>
      <c r="AF3075">
        <v>32</v>
      </c>
      <c r="AG3075">
        <v>1</v>
      </c>
      <c r="AH3075">
        <v>0</v>
      </c>
      <c r="AI3075">
        <v>103.28</v>
      </c>
      <c r="AL3075" t="s">
        <v>19614</v>
      </c>
      <c r="AM3075">
        <v>12900</v>
      </c>
      <c r="AP3075" t="s">
        <v>20342</v>
      </c>
      <c r="AQ3075" t="s">
        <v>20369</v>
      </c>
      <c r="AR3075" t="s">
        <v>20422</v>
      </c>
      <c r="AS3075">
        <v>9.5</v>
      </c>
      <c r="AT3075" t="s">
        <v>308</v>
      </c>
      <c r="AU3075" t="s">
        <v>20657</v>
      </c>
      <c r="AV3075" t="s">
        <v>20733</v>
      </c>
    </row>
    <row r="3076" spans="1:48">
      <c r="A3076" s="1">
        <f>HYPERLINK("https://lsnyc.legalserver.org/matter/dynamic-profile/view/1854582","17-1854582")</f>
        <v>0</v>
      </c>
      <c r="B3076" t="s">
        <v>113</v>
      </c>
      <c r="C3076" t="s">
        <v>257</v>
      </c>
      <c r="D3076" t="s">
        <v>990</v>
      </c>
      <c r="E3076" t="s">
        <v>474</v>
      </c>
      <c r="F3076" t="s">
        <v>1231</v>
      </c>
      <c r="G3076" t="s">
        <v>3366</v>
      </c>
      <c r="H3076" t="s">
        <v>5890</v>
      </c>
      <c r="I3076" t="s">
        <v>8176</v>
      </c>
      <c r="J3076" t="s">
        <v>9065</v>
      </c>
      <c r="K3076">
        <v>10453</v>
      </c>
      <c r="L3076" t="s">
        <v>9094</v>
      </c>
      <c r="M3076" t="s">
        <v>9095</v>
      </c>
      <c r="N3076" t="s">
        <v>10275</v>
      </c>
      <c r="O3076" t="s">
        <v>11128</v>
      </c>
      <c r="P3076" t="s">
        <v>11165</v>
      </c>
      <c r="Q3076" t="s">
        <v>11174</v>
      </c>
      <c r="R3076" t="s">
        <v>11180</v>
      </c>
      <c r="S3076" t="s">
        <v>9096</v>
      </c>
      <c r="T3076" t="s">
        <v>11183</v>
      </c>
      <c r="V3076" t="s">
        <v>520</v>
      </c>
      <c r="W3076">
        <v>1172.21</v>
      </c>
      <c r="X3076" t="s">
        <v>11333</v>
      </c>
      <c r="Y3076" t="s">
        <v>11340</v>
      </c>
      <c r="Z3076" t="s">
        <v>13429</v>
      </c>
      <c r="AA3076" t="s">
        <v>15757</v>
      </c>
      <c r="AB3076" t="s">
        <v>17326</v>
      </c>
      <c r="AC3076">
        <v>46</v>
      </c>
      <c r="AD3076" t="s">
        <v>19566</v>
      </c>
      <c r="AE3076" t="s">
        <v>19582</v>
      </c>
      <c r="AF3076">
        <v>10</v>
      </c>
      <c r="AG3076">
        <v>2</v>
      </c>
      <c r="AH3076">
        <v>3</v>
      </c>
      <c r="AI3076">
        <v>103.36</v>
      </c>
      <c r="AL3076" t="s">
        <v>19614</v>
      </c>
      <c r="AM3076">
        <v>29748</v>
      </c>
      <c r="AN3076" t="s">
        <v>19699</v>
      </c>
      <c r="AS3076">
        <v>8.1</v>
      </c>
      <c r="AT3076" t="s">
        <v>1103</v>
      </c>
      <c r="AU3076" t="s">
        <v>20643</v>
      </c>
    </row>
    <row r="3077" spans="1:48">
      <c r="A3077" s="1">
        <f>HYPERLINK("https://lsnyc.legalserver.org/matter/dynamic-profile/view/1837947","17-1837947")</f>
        <v>0</v>
      </c>
      <c r="B3077" t="s">
        <v>138</v>
      </c>
      <c r="C3077" t="s">
        <v>256</v>
      </c>
      <c r="D3077" t="s">
        <v>776</v>
      </c>
      <c r="F3077" t="s">
        <v>1457</v>
      </c>
      <c r="G3077" t="s">
        <v>3405</v>
      </c>
      <c r="H3077" t="s">
        <v>7197</v>
      </c>
      <c r="I3077" t="s">
        <v>8171</v>
      </c>
      <c r="J3077" t="s">
        <v>9067</v>
      </c>
      <c r="K3077">
        <v>10040</v>
      </c>
      <c r="L3077" t="s">
        <v>9094</v>
      </c>
      <c r="M3077" t="s">
        <v>9095</v>
      </c>
      <c r="N3077" t="s">
        <v>10276</v>
      </c>
      <c r="O3077" t="s">
        <v>11128</v>
      </c>
      <c r="P3077" t="s">
        <v>11167</v>
      </c>
      <c r="R3077" t="s">
        <v>11180</v>
      </c>
      <c r="S3077" t="s">
        <v>9096</v>
      </c>
      <c r="T3077" t="s">
        <v>11183</v>
      </c>
      <c r="V3077" t="s">
        <v>878</v>
      </c>
      <c r="W3077">
        <v>802</v>
      </c>
      <c r="X3077" t="s">
        <v>11335</v>
      </c>
      <c r="Y3077" t="s">
        <v>11338</v>
      </c>
      <c r="Z3077" t="s">
        <v>13430</v>
      </c>
      <c r="AB3077" t="s">
        <v>17766</v>
      </c>
      <c r="AC3077">
        <v>92</v>
      </c>
      <c r="AD3077" t="s">
        <v>19566</v>
      </c>
      <c r="AE3077" t="s">
        <v>9144</v>
      </c>
      <c r="AF3077">
        <v>28</v>
      </c>
      <c r="AG3077">
        <v>2</v>
      </c>
      <c r="AH3077">
        <v>0</v>
      </c>
      <c r="AI3077">
        <v>103.37</v>
      </c>
      <c r="AJ3077" t="s">
        <v>11269</v>
      </c>
      <c r="AL3077" t="s">
        <v>19615</v>
      </c>
      <c r="AM3077">
        <v>16788</v>
      </c>
      <c r="AS3077">
        <v>9.300000000000001</v>
      </c>
      <c r="AT3077" t="s">
        <v>19603</v>
      </c>
      <c r="AU3077" t="s">
        <v>20657</v>
      </c>
    </row>
    <row r="3078" spans="1:48">
      <c r="A3078" s="1">
        <f>HYPERLINK("https://lsnyc.legalserver.org/matter/dynamic-profile/view/1837977","17-1837977")</f>
        <v>0</v>
      </c>
      <c r="B3078" t="s">
        <v>138</v>
      </c>
      <c r="C3078" t="s">
        <v>256</v>
      </c>
      <c r="D3078" t="s">
        <v>776</v>
      </c>
      <c r="F3078" t="s">
        <v>1457</v>
      </c>
      <c r="G3078" t="s">
        <v>3405</v>
      </c>
      <c r="H3078" t="s">
        <v>7197</v>
      </c>
      <c r="I3078" t="s">
        <v>8171</v>
      </c>
      <c r="J3078" t="s">
        <v>9067</v>
      </c>
      <c r="K3078">
        <v>10040</v>
      </c>
      <c r="L3078" t="s">
        <v>9094</v>
      </c>
      <c r="M3078" t="s">
        <v>9095</v>
      </c>
      <c r="O3078" t="s">
        <v>9121</v>
      </c>
      <c r="P3078" t="s">
        <v>11166</v>
      </c>
      <c r="R3078" t="s">
        <v>11180</v>
      </c>
      <c r="S3078" t="s">
        <v>9096</v>
      </c>
      <c r="T3078" t="s">
        <v>11183</v>
      </c>
      <c r="V3078" t="s">
        <v>820</v>
      </c>
      <c r="W3078">
        <v>802</v>
      </c>
      <c r="X3078" t="s">
        <v>11335</v>
      </c>
      <c r="Y3078" t="s">
        <v>11338</v>
      </c>
      <c r="Z3078" t="s">
        <v>13430</v>
      </c>
      <c r="AB3078" t="s">
        <v>17766</v>
      </c>
      <c r="AC3078">
        <v>92</v>
      </c>
      <c r="AD3078" t="s">
        <v>19566</v>
      </c>
      <c r="AE3078" t="s">
        <v>9144</v>
      </c>
      <c r="AF3078">
        <v>28</v>
      </c>
      <c r="AG3078">
        <v>2</v>
      </c>
      <c r="AH3078">
        <v>0</v>
      </c>
      <c r="AI3078">
        <v>103.37</v>
      </c>
      <c r="AJ3078" t="s">
        <v>19601</v>
      </c>
      <c r="AL3078" t="s">
        <v>19615</v>
      </c>
      <c r="AM3078">
        <v>25584</v>
      </c>
      <c r="AS3078">
        <v>0.6</v>
      </c>
      <c r="AT3078" t="s">
        <v>609</v>
      </c>
      <c r="AU3078" t="s">
        <v>20657</v>
      </c>
    </row>
    <row r="3079" spans="1:48">
      <c r="A3079" s="1">
        <f>HYPERLINK("https://lsnyc.legalserver.org/matter/dynamic-profile/view/1897566","19-1897566")</f>
        <v>0</v>
      </c>
      <c r="B3079" t="s">
        <v>147</v>
      </c>
      <c r="C3079" t="s">
        <v>257</v>
      </c>
      <c r="D3079" t="s">
        <v>596</v>
      </c>
      <c r="E3079" t="s">
        <v>563</v>
      </c>
      <c r="F3079" t="s">
        <v>1148</v>
      </c>
      <c r="G3079" t="s">
        <v>3692</v>
      </c>
      <c r="H3079" t="s">
        <v>5918</v>
      </c>
      <c r="I3079" t="s">
        <v>8134</v>
      </c>
      <c r="J3079" t="s">
        <v>9066</v>
      </c>
      <c r="K3079">
        <v>10304</v>
      </c>
      <c r="L3079" t="s">
        <v>9094</v>
      </c>
      <c r="M3079" t="s">
        <v>9095</v>
      </c>
      <c r="N3079" t="s">
        <v>10277</v>
      </c>
      <c r="O3079" t="s">
        <v>11129</v>
      </c>
      <c r="P3079" t="s">
        <v>11165</v>
      </c>
      <c r="Q3079" t="s">
        <v>11174</v>
      </c>
      <c r="R3079" t="s">
        <v>11180</v>
      </c>
      <c r="S3079" t="s">
        <v>9096</v>
      </c>
      <c r="T3079" t="s">
        <v>11183</v>
      </c>
      <c r="U3079" t="s">
        <v>11202</v>
      </c>
      <c r="V3079" t="s">
        <v>596</v>
      </c>
      <c r="W3079">
        <v>610</v>
      </c>
      <c r="X3079" t="s">
        <v>11334</v>
      </c>
      <c r="Y3079" t="s">
        <v>11345</v>
      </c>
      <c r="Z3079" t="s">
        <v>13431</v>
      </c>
      <c r="AB3079" t="s">
        <v>17767</v>
      </c>
      <c r="AC3079">
        <v>364</v>
      </c>
      <c r="AD3079" t="s">
        <v>19567</v>
      </c>
      <c r="AE3079" t="s">
        <v>9144</v>
      </c>
      <c r="AF3079">
        <v>11</v>
      </c>
      <c r="AG3079">
        <v>1</v>
      </c>
      <c r="AH3079">
        <v>4</v>
      </c>
      <c r="AI3079">
        <v>103.41</v>
      </c>
      <c r="AL3079" t="s">
        <v>19614</v>
      </c>
      <c r="AM3079">
        <v>31200</v>
      </c>
      <c r="AO3079" t="s">
        <v>20299</v>
      </c>
      <c r="AP3079" t="s">
        <v>20309</v>
      </c>
      <c r="AQ3079" t="s">
        <v>20369</v>
      </c>
      <c r="AR3079" t="s">
        <v>20433</v>
      </c>
      <c r="AS3079">
        <v>21.45</v>
      </c>
      <c r="AT3079" t="s">
        <v>294</v>
      </c>
      <c r="AU3079" t="s">
        <v>20653</v>
      </c>
      <c r="AV3079" t="s">
        <v>20733</v>
      </c>
    </row>
    <row r="3080" spans="1:48">
      <c r="A3080" s="1">
        <f>HYPERLINK("https://lsnyc.legalserver.org/matter/dynamic-profile/view/1857526","18-1857526")</f>
        <v>0</v>
      </c>
      <c r="B3080" t="s">
        <v>108</v>
      </c>
      <c r="C3080" t="s">
        <v>256</v>
      </c>
      <c r="D3080" t="s">
        <v>468</v>
      </c>
      <c r="F3080" t="s">
        <v>1806</v>
      </c>
      <c r="G3080" t="s">
        <v>3366</v>
      </c>
      <c r="H3080" t="s">
        <v>5897</v>
      </c>
      <c r="I3080" t="s">
        <v>8408</v>
      </c>
      <c r="J3080" t="s">
        <v>9065</v>
      </c>
      <c r="K3080">
        <v>10452</v>
      </c>
      <c r="L3080" t="s">
        <v>9094</v>
      </c>
      <c r="M3080" t="s">
        <v>9095</v>
      </c>
      <c r="N3080" t="s">
        <v>9253</v>
      </c>
      <c r="O3080" t="s">
        <v>11135</v>
      </c>
      <c r="P3080" t="s">
        <v>11168</v>
      </c>
      <c r="R3080" t="s">
        <v>11180</v>
      </c>
      <c r="S3080" t="s">
        <v>9094</v>
      </c>
      <c r="T3080" t="s">
        <v>11183</v>
      </c>
      <c r="V3080" t="s">
        <v>673</v>
      </c>
      <c r="W3080">
        <v>993</v>
      </c>
      <c r="X3080" t="s">
        <v>11333</v>
      </c>
      <c r="Y3080" t="s">
        <v>11346</v>
      </c>
      <c r="Z3080" t="s">
        <v>12243</v>
      </c>
      <c r="AA3080" t="s">
        <v>15520</v>
      </c>
      <c r="AB3080" t="s">
        <v>16667</v>
      </c>
      <c r="AC3080">
        <v>122</v>
      </c>
      <c r="AD3080" t="s">
        <v>19566</v>
      </c>
      <c r="AF3080">
        <v>25</v>
      </c>
      <c r="AG3080">
        <v>2</v>
      </c>
      <c r="AH3080">
        <v>0</v>
      </c>
      <c r="AI3080">
        <v>103.45</v>
      </c>
      <c r="AL3080" t="s">
        <v>19615</v>
      </c>
      <c r="AM3080">
        <v>25428</v>
      </c>
      <c r="AN3080" t="s">
        <v>19808</v>
      </c>
      <c r="AS3080">
        <v>0</v>
      </c>
      <c r="AU3080" t="s">
        <v>20647</v>
      </c>
    </row>
    <row r="3081" spans="1:48">
      <c r="A3081" s="1">
        <f>HYPERLINK("https://lsnyc.legalserver.org/matter/dynamic-profile/view/1912456","19-1912456")</f>
        <v>0</v>
      </c>
      <c r="B3081" t="s">
        <v>141</v>
      </c>
      <c r="C3081" t="s">
        <v>257</v>
      </c>
      <c r="D3081" t="s">
        <v>744</v>
      </c>
      <c r="E3081" t="s">
        <v>594</v>
      </c>
      <c r="F3081" t="s">
        <v>1928</v>
      </c>
      <c r="G3081" t="s">
        <v>3545</v>
      </c>
      <c r="H3081" t="s">
        <v>5999</v>
      </c>
      <c r="I3081" t="s">
        <v>8302</v>
      </c>
      <c r="J3081" t="s">
        <v>9067</v>
      </c>
      <c r="K3081">
        <v>10040</v>
      </c>
      <c r="L3081" t="s">
        <v>9094</v>
      </c>
      <c r="M3081" t="s">
        <v>9095</v>
      </c>
      <c r="N3081" t="s">
        <v>9652</v>
      </c>
      <c r="O3081" t="s">
        <v>11134</v>
      </c>
      <c r="P3081" t="s">
        <v>11168</v>
      </c>
      <c r="Q3081" t="s">
        <v>11177</v>
      </c>
      <c r="R3081" t="s">
        <v>11180</v>
      </c>
      <c r="S3081" t="s">
        <v>9094</v>
      </c>
      <c r="T3081" t="s">
        <v>11183</v>
      </c>
      <c r="V3081" t="s">
        <v>744</v>
      </c>
      <c r="W3081">
        <v>1231.45</v>
      </c>
      <c r="X3081" t="s">
        <v>11335</v>
      </c>
      <c r="Y3081" t="s">
        <v>11340</v>
      </c>
      <c r="Z3081" t="s">
        <v>13432</v>
      </c>
      <c r="AB3081" t="s">
        <v>17768</v>
      </c>
      <c r="AC3081">
        <v>44</v>
      </c>
      <c r="AD3081" t="s">
        <v>19566</v>
      </c>
      <c r="AE3081" t="s">
        <v>9144</v>
      </c>
      <c r="AF3081">
        <v>13</v>
      </c>
      <c r="AG3081">
        <v>2</v>
      </c>
      <c r="AH3081">
        <v>0</v>
      </c>
      <c r="AI3081">
        <v>103.63</v>
      </c>
      <c r="AL3081" t="s">
        <v>19615</v>
      </c>
      <c r="AM3081">
        <v>17524</v>
      </c>
      <c r="AQ3081" t="s">
        <v>20369</v>
      </c>
      <c r="AS3081">
        <v>1.6</v>
      </c>
      <c r="AT3081" t="s">
        <v>594</v>
      </c>
      <c r="AU3081" t="s">
        <v>130</v>
      </c>
      <c r="AV3081" t="s">
        <v>20733</v>
      </c>
    </row>
    <row r="3082" spans="1:48">
      <c r="A3082" s="1">
        <f>HYPERLINK("https://lsnyc.legalserver.org/matter/dynamic-profile/view/1868067","18-1868067")</f>
        <v>0</v>
      </c>
      <c r="B3082" t="s">
        <v>229</v>
      </c>
      <c r="C3082" t="s">
        <v>257</v>
      </c>
      <c r="D3082" t="s">
        <v>774</v>
      </c>
      <c r="E3082" t="s">
        <v>597</v>
      </c>
      <c r="F3082" t="s">
        <v>1976</v>
      </c>
      <c r="G3082" t="s">
        <v>4472</v>
      </c>
      <c r="H3082" t="s">
        <v>7186</v>
      </c>
      <c r="I3082" t="s">
        <v>8215</v>
      </c>
      <c r="J3082" t="s">
        <v>9059</v>
      </c>
      <c r="K3082">
        <v>11209</v>
      </c>
      <c r="L3082" t="s">
        <v>9094</v>
      </c>
      <c r="M3082" t="s">
        <v>9095</v>
      </c>
      <c r="N3082" t="s">
        <v>10278</v>
      </c>
      <c r="O3082" t="s">
        <v>11129</v>
      </c>
      <c r="P3082" t="s">
        <v>11165</v>
      </c>
      <c r="Q3082" t="s">
        <v>11174</v>
      </c>
      <c r="R3082" t="s">
        <v>11180</v>
      </c>
      <c r="T3082" t="s">
        <v>11183</v>
      </c>
      <c r="V3082" t="s">
        <v>708</v>
      </c>
      <c r="W3082">
        <v>0</v>
      </c>
      <c r="X3082" t="s">
        <v>11332</v>
      </c>
      <c r="Z3082" t="s">
        <v>13413</v>
      </c>
      <c r="AB3082" t="s">
        <v>17750</v>
      </c>
      <c r="AC3082">
        <v>0</v>
      </c>
      <c r="AF3082">
        <v>33</v>
      </c>
      <c r="AG3082">
        <v>4</v>
      </c>
      <c r="AH3082">
        <v>0</v>
      </c>
      <c r="AI3082">
        <v>103.65</v>
      </c>
      <c r="AJ3082" t="s">
        <v>708</v>
      </c>
      <c r="AM3082">
        <v>26016</v>
      </c>
      <c r="AS3082">
        <v>15</v>
      </c>
      <c r="AT3082" t="s">
        <v>324</v>
      </c>
      <c r="AU3082" t="s">
        <v>20628</v>
      </c>
    </row>
    <row r="3083" spans="1:48">
      <c r="A3083" s="1">
        <f>HYPERLINK("https://lsnyc.legalserver.org/matter/dynamic-profile/view/1881294","18-1881294")</f>
        <v>0</v>
      </c>
      <c r="B3083" t="s">
        <v>136</v>
      </c>
      <c r="C3083" t="s">
        <v>256</v>
      </c>
      <c r="D3083" t="s">
        <v>639</v>
      </c>
      <c r="F3083" t="s">
        <v>1212</v>
      </c>
      <c r="G3083" t="s">
        <v>4659</v>
      </c>
      <c r="H3083" t="s">
        <v>6670</v>
      </c>
      <c r="I3083">
        <v>52</v>
      </c>
      <c r="J3083" t="s">
        <v>9067</v>
      </c>
      <c r="K3083">
        <v>10039</v>
      </c>
      <c r="L3083" t="s">
        <v>9094</v>
      </c>
      <c r="M3083" t="s">
        <v>9094</v>
      </c>
      <c r="N3083" t="s">
        <v>9851</v>
      </c>
      <c r="O3083" t="s">
        <v>11130</v>
      </c>
      <c r="P3083" t="s">
        <v>11165</v>
      </c>
      <c r="R3083" t="s">
        <v>11180</v>
      </c>
      <c r="S3083" t="s">
        <v>9094</v>
      </c>
      <c r="T3083" t="s">
        <v>11183</v>
      </c>
      <c r="U3083" t="s">
        <v>11201</v>
      </c>
      <c r="V3083" t="s">
        <v>906</v>
      </c>
      <c r="W3083">
        <v>196.5</v>
      </c>
      <c r="X3083" t="s">
        <v>11335</v>
      </c>
      <c r="Y3083" t="s">
        <v>11338</v>
      </c>
      <c r="Z3083" t="s">
        <v>13433</v>
      </c>
      <c r="AB3083" t="s">
        <v>17769</v>
      </c>
      <c r="AC3083">
        <v>24</v>
      </c>
      <c r="AD3083" t="s">
        <v>19569</v>
      </c>
      <c r="AE3083" t="s">
        <v>9144</v>
      </c>
      <c r="AF3083">
        <v>50</v>
      </c>
      <c r="AG3083">
        <v>2</v>
      </c>
      <c r="AH3083">
        <v>0</v>
      </c>
      <c r="AI3083">
        <v>103.74</v>
      </c>
      <c r="AL3083" t="s">
        <v>19614</v>
      </c>
      <c r="AM3083">
        <v>17076</v>
      </c>
      <c r="AO3083" t="s">
        <v>20293</v>
      </c>
      <c r="AP3083" t="s">
        <v>20323</v>
      </c>
      <c r="AQ3083" t="s">
        <v>20369</v>
      </c>
      <c r="AR3083" t="s">
        <v>20457</v>
      </c>
      <c r="AS3083">
        <v>0</v>
      </c>
      <c r="AU3083" t="s">
        <v>20657</v>
      </c>
      <c r="AV3083" t="s">
        <v>20733</v>
      </c>
    </row>
    <row r="3084" spans="1:48">
      <c r="A3084" s="1">
        <f>HYPERLINK("https://lsnyc.legalserver.org/matter/dynamic-profile/view/1886508","18-1886508")</f>
        <v>0</v>
      </c>
      <c r="B3084" t="s">
        <v>113</v>
      </c>
      <c r="C3084" t="s">
        <v>256</v>
      </c>
      <c r="D3084" t="s">
        <v>347</v>
      </c>
      <c r="F3084" t="s">
        <v>1150</v>
      </c>
      <c r="G3084" t="s">
        <v>4639</v>
      </c>
      <c r="H3084" t="s">
        <v>5864</v>
      </c>
      <c r="I3084" t="s">
        <v>8270</v>
      </c>
      <c r="J3084" t="s">
        <v>9065</v>
      </c>
      <c r="K3084">
        <v>10460</v>
      </c>
      <c r="L3084" t="s">
        <v>9094</v>
      </c>
      <c r="M3084" t="s">
        <v>9094</v>
      </c>
      <c r="N3084" t="s">
        <v>9222</v>
      </c>
      <c r="O3084" t="s">
        <v>11130</v>
      </c>
      <c r="P3084" t="s">
        <v>11165</v>
      </c>
      <c r="R3084" t="s">
        <v>11180</v>
      </c>
      <c r="S3084" t="s">
        <v>9094</v>
      </c>
      <c r="T3084" t="s">
        <v>11183</v>
      </c>
      <c r="V3084" t="s">
        <v>512</v>
      </c>
      <c r="W3084">
        <v>304</v>
      </c>
      <c r="X3084" t="s">
        <v>11333</v>
      </c>
      <c r="Y3084" t="s">
        <v>11346</v>
      </c>
      <c r="Z3084" t="s">
        <v>13396</v>
      </c>
      <c r="AB3084" t="s">
        <v>17736</v>
      </c>
      <c r="AC3084">
        <v>168</v>
      </c>
      <c r="AD3084" t="s">
        <v>19566</v>
      </c>
      <c r="AE3084" t="s">
        <v>19580</v>
      </c>
      <c r="AF3084">
        <v>1</v>
      </c>
      <c r="AG3084">
        <v>1</v>
      </c>
      <c r="AH3084">
        <v>0</v>
      </c>
      <c r="AI3084">
        <v>103.79</v>
      </c>
      <c r="AL3084" t="s">
        <v>19614</v>
      </c>
      <c r="AM3084">
        <v>12600</v>
      </c>
      <c r="AS3084">
        <v>0</v>
      </c>
      <c r="AU3084" t="s">
        <v>20642</v>
      </c>
    </row>
    <row r="3085" spans="1:48">
      <c r="A3085" s="1">
        <f>HYPERLINK("https://lsnyc.legalserver.org/matter/dynamic-profile/view/1868474","18-1868474")</f>
        <v>0</v>
      </c>
      <c r="B3085" t="s">
        <v>172</v>
      </c>
      <c r="C3085" t="s">
        <v>256</v>
      </c>
      <c r="D3085" t="s">
        <v>991</v>
      </c>
      <c r="F3085" t="s">
        <v>1450</v>
      </c>
      <c r="G3085" t="s">
        <v>4660</v>
      </c>
      <c r="H3085" t="s">
        <v>7198</v>
      </c>
      <c r="I3085">
        <v>57</v>
      </c>
      <c r="J3085" t="s">
        <v>9067</v>
      </c>
      <c r="K3085">
        <v>10031</v>
      </c>
      <c r="L3085" t="s">
        <v>9096</v>
      </c>
      <c r="M3085" t="s">
        <v>9095</v>
      </c>
      <c r="O3085" t="s">
        <v>9121</v>
      </c>
      <c r="P3085" t="s">
        <v>11167</v>
      </c>
      <c r="R3085" t="s">
        <v>11180</v>
      </c>
      <c r="S3085" t="s">
        <v>9094</v>
      </c>
      <c r="T3085" t="s">
        <v>11183</v>
      </c>
      <c r="U3085" t="s">
        <v>11201</v>
      </c>
      <c r="V3085" t="s">
        <v>991</v>
      </c>
      <c r="W3085">
        <v>834.46</v>
      </c>
      <c r="X3085" t="s">
        <v>11335</v>
      </c>
      <c r="Z3085" t="s">
        <v>13434</v>
      </c>
      <c r="AB3085" t="s">
        <v>17770</v>
      </c>
      <c r="AC3085">
        <v>0</v>
      </c>
      <c r="AF3085">
        <v>41</v>
      </c>
      <c r="AG3085">
        <v>1</v>
      </c>
      <c r="AH3085">
        <v>0</v>
      </c>
      <c r="AI3085">
        <v>103.79</v>
      </c>
      <c r="AL3085" t="s">
        <v>19614</v>
      </c>
      <c r="AM3085">
        <v>12600</v>
      </c>
      <c r="AS3085">
        <v>0</v>
      </c>
      <c r="AU3085" t="s">
        <v>20717</v>
      </c>
    </row>
    <row r="3086" spans="1:48">
      <c r="A3086" s="1">
        <f>HYPERLINK("https://lsnyc.legalserver.org/matter/dynamic-profile/view/1862824","18-1862824")</f>
        <v>0</v>
      </c>
      <c r="B3086" t="s">
        <v>103</v>
      </c>
      <c r="C3086" t="s">
        <v>256</v>
      </c>
      <c r="D3086" t="s">
        <v>439</v>
      </c>
      <c r="F3086" t="s">
        <v>1406</v>
      </c>
      <c r="G3086" t="s">
        <v>1721</v>
      </c>
      <c r="H3086" t="s">
        <v>5873</v>
      </c>
      <c r="I3086" t="s">
        <v>8199</v>
      </c>
      <c r="J3086" t="s">
        <v>9065</v>
      </c>
      <c r="K3086">
        <v>10457</v>
      </c>
      <c r="L3086" t="s">
        <v>9094</v>
      </c>
      <c r="M3086" t="s">
        <v>9095</v>
      </c>
      <c r="N3086" t="s">
        <v>9233</v>
      </c>
      <c r="O3086" t="s">
        <v>11135</v>
      </c>
      <c r="P3086" t="s">
        <v>11168</v>
      </c>
      <c r="R3086" t="s">
        <v>11180</v>
      </c>
      <c r="S3086" t="s">
        <v>9094</v>
      </c>
      <c r="T3086" t="s">
        <v>11183</v>
      </c>
      <c r="W3086">
        <v>800</v>
      </c>
      <c r="X3086" t="s">
        <v>11333</v>
      </c>
      <c r="Y3086" t="s">
        <v>11340</v>
      </c>
      <c r="Z3086" t="s">
        <v>13209</v>
      </c>
      <c r="AB3086" t="s">
        <v>17771</v>
      </c>
      <c r="AC3086">
        <v>100</v>
      </c>
      <c r="AD3086" t="s">
        <v>19566</v>
      </c>
      <c r="AE3086" t="s">
        <v>19587</v>
      </c>
      <c r="AF3086">
        <v>30</v>
      </c>
      <c r="AG3086">
        <v>2</v>
      </c>
      <c r="AH3086">
        <v>1</v>
      </c>
      <c r="AI3086">
        <v>103.95</v>
      </c>
      <c r="AL3086" t="s">
        <v>19615</v>
      </c>
      <c r="AM3086">
        <v>28800</v>
      </c>
      <c r="AS3086">
        <v>0.4</v>
      </c>
      <c r="AT3086" t="s">
        <v>439</v>
      </c>
      <c r="AU3086" t="s">
        <v>20642</v>
      </c>
    </row>
    <row r="3087" spans="1:48">
      <c r="A3087" s="1">
        <f>HYPERLINK("https://lsnyc.legalserver.org/matter/dynamic-profile/view/1894727","19-1894727")</f>
        <v>0</v>
      </c>
      <c r="B3087" t="s">
        <v>65</v>
      </c>
      <c r="C3087" t="s">
        <v>256</v>
      </c>
      <c r="D3087" t="s">
        <v>502</v>
      </c>
      <c r="F3087" t="s">
        <v>2418</v>
      </c>
      <c r="G3087" t="s">
        <v>4661</v>
      </c>
      <c r="H3087" t="s">
        <v>7199</v>
      </c>
      <c r="I3087" t="s">
        <v>8699</v>
      </c>
      <c r="J3087" t="s">
        <v>9059</v>
      </c>
      <c r="K3087">
        <v>11213</v>
      </c>
      <c r="L3087" t="s">
        <v>9094</v>
      </c>
      <c r="M3087" t="s">
        <v>9094</v>
      </c>
      <c r="N3087" t="s">
        <v>10279</v>
      </c>
      <c r="O3087" t="s">
        <v>11128</v>
      </c>
      <c r="P3087" t="s">
        <v>11165</v>
      </c>
      <c r="R3087" t="s">
        <v>11180</v>
      </c>
      <c r="S3087" t="s">
        <v>9096</v>
      </c>
      <c r="T3087" t="s">
        <v>11183</v>
      </c>
      <c r="U3087" t="s">
        <v>11201</v>
      </c>
      <c r="V3087" t="s">
        <v>502</v>
      </c>
      <c r="W3087">
        <v>777.39</v>
      </c>
      <c r="X3087" t="s">
        <v>11332</v>
      </c>
      <c r="Y3087" t="s">
        <v>11340</v>
      </c>
      <c r="Z3087" t="s">
        <v>13435</v>
      </c>
      <c r="AA3087" t="s">
        <v>15758</v>
      </c>
      <c r="AB3087" t="s">
        <v>17772</v>
      </c>
      <c r="AC3087">
        <v>53</v>
      </c>
      <c r="AD3087" t="s">
        <v>19566</v>
      </c>
      <c r="AE3087" t="s">
        <v>9144</v>
      </c>
      <c r="AF3087">
        <v>37</v>
      </c>
      <c r="AG3087">
        <v>1</v>
      </c>
      <c r="AH3087">
        <v>0</v>
      </c>
      <c r="AI3087">
        <v>103.96</v>
      </c>
      <c r="AL3087" t="s">
        <v>19614</v>
      </c>
      <c r="AM3087">
        <v>12984</v>
      </c>
      <c r="AO3087" t="s">
        <v>20292</v>
      </c>
      <c r="AP3087" t="s">
        <v>20344</v>
      </c>
      <c r="AQ3087" t="s">
        <v>20369</v>
      </c>
      <c r="AS3087">
        <v>35.4</v>
      </c>
      <c r="AT3087" t="s">
        <v>632</v>
      </c>
      <c r="AU3087" t="s">
        <v>65</v>
      </c>
      <c r="AV3087" t="s">
        <v>20733</v>
      </c>
    </row>
    <row r="3088" spans="1:48">
      <c r="A3088" s="1">
        <f>HYPERLINK("https://lsnyc.legalserver.org/matter/dynamic-profile/view/1913711","19-1913711")</f>
        <v>0</v>
      </c>
      <c r="B3088" t="s">
        <v>67</v>
      </c>
      <c r="C3088" t="s">
        <v>256</v>
      </c>
      <c r="D3088" t="s">
        <v>484</v>
      </c>
      <c r="F3088" t="s">
        <v>2418</v>
      </c>
      <c r="G3088" t="s">
        <v>4661</v>
      </c>
      <c r="H3088" t="s">
        <v>7199</v>
      </c>
      <c r="I3088" t="s">
        <v>8699</v>
      </c>
      <c r="J3088" t="s">
        <v>9059</v>
      </c>
      <c r="K3088">
        <v>11213</v>
      </c>
      <c r="L3088" t="s">
        <v>9095</v>
      </c>
      <c r="M3088" t="s">
        <v>9095</v>
      </c>
      <c r="P3088" t="s">
        <v>11166</v>
      </c>
      <c r="R3088" t="s">
        <v>11180</v>
      </c>
      <c r="T3088" t="s">
        <v>11183</v>
      </c>
      <c r="W3088">
        <v>0</v>
      </c>
      <c r="X3088" t="s">
        <v>11332</v>
      </c>
      <c r="Z3088" t="s">
        <v>13435</v>
      </c>
      <c r="AB3088" t="s">
        <v>17772</v>
      </c>
      <c r="AC3088">
        <v>0</v>
      </c>
      <c r="AF3088">
        <v>0</v>
      </c>
      <c r="AG3088">
        <v>1</v>
      </c>
      <c r="AH3088">
        <v>0</v>
      </c>
      <c r="AI3088">
        <v>103.96</v>
      </c>
      <c r="AL3088" t="s">
        <v>19614</v>
      </c>
      <c r="AM3088">
        <v>12984</v>
      </c>
      <c r="AS3088">
        <v>3.7</v>
      </c>
      <c r="AT3088" t="s">
        <v>632</v>
      </c>
      <c r="AU3088" t="s">
        <v>67</v>
      </c>
    </row>
    <row r="3089" spans="1:48">
      <c r="A3089" s="1">
        <f>HYPERLINK("https://lsnyc.legalserver.org/matter/dynamic-profile/view/1910016","19-1910016")</f>
        <v>0</v>
      </c>
      <c r="B3089" t="s">
        <v>181</v>
      </c>
      <c r="C3089" t="s">
        <v>256</v>
      </c>
      <c r="D3089" t="s">
        <v>992</v>
      </c>
      <c r="F3089" t="s">
        <v>2419</v>
      </c>
      <c r="G3089" t="s">
        <v>4662</v>
      </c>
      <c r="H3089" t="s">
        <v>7200</v>
      </c>
      <c r="I3089" t="s">
        <v>8532</v>
      </c>
      <c r="J3089" t="s">
        <v>9065</v>
      </c>
      <c r="K3089">
        <v>10451</v>
      </c>
      <c r="L3089" t="s">
        <v>9095</v>
      </c>
      <c r="M3089" t="s">
        <v>9095</v>
      </c>
      <c r="R3089" t="s">
        <v>11180</v>
      </c>
      <c r="T3089" t="s">
        <v>11189</v>
      </c>
      <c r="W3089">
        <v>0</v>
      </c>
      <c r="X3089" t="s">
        <v>11333</v>
      </c>
      <c r="Z3089" t="s">
        <v>13436</v>
      </c>
      <c r="AB3089" t="s">
        <v>17773</v>
      </c>
      <c r="AC3089">
        <v>0</v>
      </c>
      <c r="AF3089">
        <v>0</v>
      </c>
      <c r="AG3089">
        <v>1</v>
      </c>
      <c r="AH3089">
        <v>0</v>
      </c>
      <c r="AI3089">
        <v>104.01</v>
      </c>
      <c r="AL3089" t="s">
        <v>19614</v>
      </c>
      <c r="AM3089">
        <v>12991.2</v>
      </c>
      <c r="AS3089">
        <v>2.75</v>
      </c>
      <c r="AT3089" t="s">
        <v>377</v>
      </c>
      <c r="AU3089" t="s">
        <v>20684</v>
      </c>
    </row>
    <row r="3090" spans="1:48">
      <c r="A3090" s="1">
        <f>HYPERLINK("https://lsnyc.legalserver.org/matter/dynamic-profile/view/1908313","19-1908313")</f>
        <v>0</v>
      </c>
      <c r="B3090" t="s">
        <v>64</v>
      </c>
      <c r="C3090" t="s">
        <v>257</v>
      </c>
      <c r="D3090" t="s">
        <v>335</v>
      </c>
      <c r="E3090" t="s">
        <v>331</v>
      </c>
      <c r="F3090" t="s">
        <v>1145</v>
      </c>
      <c r="G3090" t="s">
        <v>4406</v>
      </c>
      <c r="H3090" t="s">
        <v>5748</v>
      </c>
      <c r="I3090" t="s">
        <v>8597</v>
      </c>
      <c r="J3090" t="s">
        <v>9059</v>
      </c>
      <c r="K3090">
        <v>11233</v>
      </c>
      <c r="L3090" t="s">
        <v>9094</v>
      </c>
      <c r="M3090" t="s">
        <v>9095</v>
      </c>
      <c r="N3090" t="s">
        <v>10280</v>
      </c>
      <c r="O3090" t="s">
        <v>11129</v>
      </c>
      <c r="P3090" t="s">
        <v>11165</v>
      </c>
      <c r="Q3090" t="s">
        <v>11174</v>
      </c>
      <c r="R3090" t="s">
        <v>11180</v>
      </c>
      <c r="S3090" t="s">
        <v>9096</v>
      </c>
      <c r="T3090" t="s">
        <v>11183</v>
      </c>
      <c r="U3090" t="s">
        <v>11201</v>
      </c>
      <c r="V3090" t="s">
        <v>335</v>
      </c>
      <c r="W3090">
        <v>955.08</v>
      </c>
      <c r="X3090" t="s">
        <v>11332</v>
      </c>
      <c r="Y3090" t="s">
        <v>11340</v>
      </c>
      <c r="Z3090" t="s">
        <v>12950</v>
      </c>
      <c r="AA3090">
        <v>6004868123</v>
      </c>
      <c r="AB3090" t="s">
        <v>17314</v>
      </c>
      <c r="AC3090">
        <v>359</v>
      </c>
      <c r="AD3090" t="s">
        <v>19566</v>
      </c>
      <c r="AE3090" t="s">
        <v>9144</v>
      </c>
      <c r="AF3090">
        <v>16</v>
      </c>
      <c r="AG3090">
        <v>1</v>
      </c>
      <c r="AH3090">
        <v>0</v>
      </c>
      <c r="AI3090">
        <v>104.08</v>
      </c>
      <c r="AL3090" t="s">
        <v>19614</v>
      </c>
      <c r="AM3090">
        <v>13000</v>
      </c>
      <c r="AS3090">
        <v>10.6</v>
      </c>
      <c r="AT3090" t="s">
        <v>632</v>
      </c>
      <c r="AU3090" t="s">
        <v>95</v>
      </c>
      <c r="AV3090" t="s">
        <v>20733</v>
      </c>
    </row>
    <row r="3091" spans="1:48">
      <c r="A3091" s="1">
        <f>HYPERLINK("https://lsnyc.legalserver.org/matter/dynamic-profile/view/1889882","19-1889882")</f>
        <v>0</v>
      </c>
      <c r="B3091" t="s">
        <v>103</v>
      </c>
      <c r="C3091" t="s">
        <v>256</v>
      </c>
      <c r="D3091" t="s">
        <v>447</v>
      </c>
      <c r="F3091" t="s">
        <v>1735</v>
      </c>
      <c r="G3091" t="s">
        <v>3332</v>
      </c>
      <c r="H3091" t="s">
        <v>5887</v>
      </c>
      <c r="I3091" t="s">
        <v>8207</v>
      </c>
      <c r="J3091" t="s">
        <v>9065</v>
      </c>
      <c r="K3091">
        <v>10453</v>
      </c>
      <c r="L3091" t="s">
        <v>9094</v>
      </c>
      <c r="M3091" t="s">
        <v>9094</v>
      </c>
      <c r="N3091" t="s">
        <v>9352</v>
      </c>
      <c r="O3091" t="s">
        <v>11130</v>
      </c>
      <c r="P3091" t="s">
        <v>11165</v>
      </c>
      <c r="R3091" t="s">
        <v>11180</v>
      </c>
      <c r="S3091" t="s">
        <v>9094</v>
      </c>
      <c r="T3091" t="s">
        <v>11183</v>
      </c>
      <c r="V3091" t="s">
        <v>512</v>
      </c>
      <c r="W3091">
        <v>1152.67</v>
      </c>
      <c r="X3091" t="s">
        <v>11333</v>
      </c>
      <c r="Y3091" t="s">
        <v>11346</v>
      </c>
      <c r="Z3091" t="s">
        <v>13437</v>
      </c>
      <c r="AB3091" t="s">
        <v>17774</v>
      </c>
      <c r="AC3091">
        <v>167</v>
      </c>
      <c r="AD3091" t="s">
        <v>19566</v>
      </c>
      <c r="AE3091" t="s">
        <v>11157</v>
      </c>
      <c r="AF3091">
        <v>14</v>
      </c>
      <c r="AG3091">
        <v>1</v>
      </c>
      <c r="AH3091">
        <v>0</v>
      </c>
      <c r="AI3091">
        <v>104.08</v>
      </c>
      <c r="AL3091" t="s">
        <v>19614</v>
      </c>
      <c r="AM3091">
        <v>13000</v>
      </c>
      <c r="AS3091">
        <v>0.3</v>
      </c>
      <c r="AT3091" t="s">
        <v>315</v>
      </c>
      <c r="AU3091" t="s">
        <v>20642</v>
      </c>
    </row>
    <row r="3092" spans="1:48">
      <c r="A3092" s="1">
        <f>HYPERLINK("https://lsnyc.legalserver.org/matter/dynamic-profile/view/1905665","19-1905665")</f>
        <v>0</v>
      </c>
      <c r="B3092" t="s">
        <v>114</v>
      </c>
      <c r="C3092" t="s">
        <v>256</v>
      </c>
      <c r="D3092" t="s">
        <v>328</v>
      </c>
      <c r="F3092" t="s">
        <v>2245</v>
      </c>
      <c r="G3092" t="s">
        <v>4663</v>
      </c>
      <c r="H3092" t="s">
        <v>7201</v>
      </c>
      <c r="I3092" t="s">
        <v>8285</v>
      </c>
      <c r="J3092" t="s">
        <v>9065</v>
      </c>
      <c r="K3092">
        <v>10453</v>
      </c>
      <c r="L3092" t="s">
        <v>9095</v>
      </c>
      <c r="M3092" t="s">
        <v>9095</v>
      </c>
      <c r="R3092" t="s">
        <v>11180</v>
      </c>
      <c r="T3092" t="s">
        <v>11183</v>
      </c>
      <c r="W3092">
        <v>877</v>
      </c>
      <c r="X3092" t="s">
        <v>11333</v>
      </c>
      <c r="Y3092" t="s">
        <v>11340</v>
      </c>
      <c r="Z3092" t="s">
        <v>13438</v>
      </c>
      <c r="AB3092" t="s">
        <v>17775</v>
      </c>
      <c r="AC3092">
        <v>65</v>
      </c>
      <c r="AD3092" t="s">
        <v>19566</v>
      </c>
      <c r="AE3092" t="s">
        <v>9144</v>
      </c>
      <c r="AF3092">
        <v>5</v>
      </c>
      <c r="AG3092">
        <v>1</v>
      </c>
      <c r="AH3092">
        <v>0</v>
      </c>
      <c r="AI3092">
        <v>104.08</v>
      </c>
      <c r="AL3092" t="s">
        <v>19614</v>
      </c>
      <c r="AM3092">
        <v>13000</v>
      </c>
      <c r="AS3092">
        <v>1.66</v>
      </c>
      <c r="AT3092" t="s">
        <v>806</v>
      </c>
      <c r="AU3092" t="s">
        <v>20639</v>
      </c>
    </row>
    <row r="3093" spans="1:48">
      <c r="A3093" s="1">
        <f>HYPERLINK("https://lsnyc.legalserver.org/matter/dynamic-profile/view/1911886","19-1911886")</f>
        <v>0</v>
      </c>
      <c r="B3093" t="s">
        <v>98</v>
      </c>
      <c r="C3093" t="s">
        <v>256</v>
      </c>
      <c r="D3093" t="s">
        <v>284</v>
      </c>
      <c r="F3093" t="s">
        <v>1837</v>
      </c>
      <c r="G3093" t="s">
        <v>3811</v>
      </c>
      <c r="H3093" t="s">
        <v>6216</v>
      </c>
      <c r="I3093" t="s">
        <v>8119</v>
      </c>
      <c r="J3093" t="s">
        <v>9065</v>
      </c>
      <c r="K3093">
        <v>10452</v>
      </c>
      <c r="L3093" t="s">
        <v>9094</v>
      </c>
      <c r="M3093" t="s">
        <v>9095</v>
      </c>
      <c r="N3093" t="s">
        <v>9497</v>
      </c>
      <c r="O3093" t="s">
        <v>11134</v>
      </c>
      <c r="P3093" t="s">
        <v>11168</v>
      </c>
      <c r="R3093" t="s">
        <v>11180</v>
      </c>
      <c r="S3093" t="s">
        <v>9094</v>
      </c>
      <c r="T3093" t="s">
        <v>11183</v>
      </c>
      <c r="W3093">
        <v>1384</v>
      </c>
      <c r="X3093" t="s">
        <v>11333</v>
      </c>
      <c r="Y3093" t="s">
        <v>11346</v>
      </c>
      <c r="Z3093" t="s">
        <v>13439</v>
      </c>
      <c r="AB3093" t="s">
        <v>17776</v>
      </c>
      <c r="AC3093">
        <v>67</v>
      </c>
      <c r="AD3093" t="s">
        <v>19566</v>
      </c>
      <c r="AE3093" t="s">
        <v>19580</v>
      </c>
      <c r="AF3093">
        <v>11</v>
      </c>
      <c r="AG3093">
        <v>1</v>
      </c>
      <c r="AH3093">
        <v>0</v>
      </c>
      <c r="AI3093">
        <v>104.08</v>
      </c>
      <c r="AL3093" t="s">
        <v>19615</v>
      </c>
      <c r="AM3093">
        <v>13000</v>
      </c>
      <c r="AS3093">
        <v>0</v>
      </c>
      <c r="AU3093" t="s">
        <v>20647</v>
      </c>
      <c r="AV3093" t="s">
        <v>20733</v>
      </c>
    </row>
    <row r="3094" spans="1:48">
      <c r="A3094" s="1">
        <f>HYPERLINK("https://lsnyc.legalserver.org/matter/dynamic-profile/view/1909752","19-1909752")</f>
        <v>0</v>
      </c>
      <c r="B3094" t="s">
        <v>134</v>
      </c>
      <c r="C3094" t="s">
        <v>257</v>
      </c>
      <c r="D3094" t="s">
        <v>425</v>
      </c>
      <c r="E3094" t="s">
        <v>292</v>
      </c>
      <c r="F3094" t="s">
        <v>2420</v>
      </c>
      <c r="G3094" t="s">
        <v>4664</v>
      </c>
      <c r="H3094" t="s">
        <v>6000</v>
      </c>
      <c r="I3094">
        <v>33</v>
      </c>
      <c r="J3094" t="s">
        <v>9067</v>
      </c>
      <c r="K3094">
        <v>10034</v>
      </c>
      <c r="L3094" t="s">
        <v>9094</v>
      </c>
      <c r="M3094" t="s">
        <v>9095</v>
      </c>
      <c r="P3094" t="s">
        <v>11164</v>
      </c>
      <c r="Q3094" t="s">
        <v>11172</v>
      </c>
      <c r="R3094" t="s">
        <v>11180</v>
      </c>
      <c r="S3094" t="s">
        <v>9096</v>
      </c>
      <c r="T3094" t="s">
        <v>11183</v>
      </c>
      <c r="V3094" t="s">
        <v>308</v>
      </c>
      <c r="W3094">
        <v>1600</v>
      </c>
      <c r="X3094" t="s">
        <v>11335</v>
      </c>
      <c r="Y3094" t="s">
        <v>11342</v>
      </c>
      <c r="Z3094" t="s">
        <v>13440</v>
      </c>
      <c r="AB3094" t="s">
        <v>17777</v>
      </c>
      <c r="AC3094">
        <v>60</v>
      </c>
      <c r="AD3094" t="s">
        <v>19566</v>
      </c>
      <c r="AE3094" t="s">
        <v>9144</v>
      </c>
      <c r="AF3094">
        <v>7</v>
      </c>
      <c r="AG3094">
        <v>1</v>
      </c>
      <c r="AH3094">
        <v>0</v>
      </c>
      <c r="AI3094">
        <v>104.08</v>
      </c>
      <c r="AL3094" t="s">
        <v>19614</v>
      </c>
      <c r="AM3094">
        <v>13000</v>
      </c>
      <c r="AS3094">
        <v>0.9399999999999999</v>
      </c>
      <c r="AT3094" t="s">
        <v>664</v>
      </c>
      <c r="AU3094" t="s">
        <v>20656</v>
      </c>
      <c r="AV3094" t="s">
        <v>20733</v>
      </c>
    </row>
    <row r="3095" spans="1:48">
      <c r="A3095" s="1">
        <f>HYPERLINK("https://lsnyc.legalserver.org/matter/dynamic-profile/view/1895947","19-1895947")</f>
        <v>0</v>
      </c>
      <c r="B3095" t="s">
        <v>106</v>
      </c>
      <c r="C3095" t="s">
        <v>256</v>
      </c>
      <c r="D3095" t="s">
        <v>300</v>
      </c>
      <c r="F3095" t="s">
        <v>1146</v>
      </c>
      <c r="G3095" t="s">
        <v>3448</v>
      </c>
      <c r="H3095" t="s">
        <v>6624</v>
      </c>
      <c r="I3095" t="s">
        <v>8700</v>
      </c>
      <c r="J3095" t="s">
        <v>9065</v>
      </c>
      <c r="K3095">
        <v>10458</v>
      </c>
      <c r="L3095" t="s">
        <v>9094</v>
      </c>
      <c r="M3095" t="s">
        <v>9094</v>
      </c>
      <c r="N3095" t="s">
        <v>9819</v>
      </c>
      <c r="O3095" t="s">
        <v>11134</v>
      </c>
      <c r="P3095" t="s">
        <v>11168</v>
      </c>
      <c r="R3095" t="s">
        <v>11180</v>
      </c>
      <c r="S3095" t="s">
        <v>9094</v>
      </c>
      <c r="T3095" t="s">
        <v>11183</v>
      </c>
      <c r="U3095" t="s">
        <v>11201</v>
      </c>
      <c r="V3095" t="s">
        <v>11212</v>
      </c>
      <c r="W3095">
        <v>1209.23</v>
      </c>
      <c r="X3095" t="s">
        <v>11333</v>
      </c>
      <c r="Y3095" t="s">
        <v>11346</v>
      </c>
      <c r="Z3095" t="s">
        <v>12019</v>
      </c>
      <c r="AB3095" t="s">
        <v>17778</v>
      </c>
      <c r="AC3095">
        <v>142</v>
      </c>
      <c r="AD3095" t="s">
        <v>19566</v>
      </c>
      <c r="AE3095" t="s">
        <v>19587</v>
      </c>
      <c r="AF3095">
        <v>16</v>
      </c>
      <c r="AG3095">
        <v>3</v>
      </c>
      <c r="AH3095">
        <v>0</v>
      </c>
      <c r="AI3095">
        <v>104.19</v>
      </c>
      <c r="AL3095" t="s">
        <v>19615</v>
      </c>
      <c r="AM3095">
        <v>22224</v>
      </c>
      <c r="AS3095">
        <v>0</v>
      </c>
      <c r="AU3095" t="s">
        <v>220</v>
      </c>
      <c r="AV3095" t="s">
        <v>20733</v>
      </c>
    </row>
    <row r="3096" spans="1:48">
      <c r="A3096" s="1">
        <f>HYPERLINK("https://lsnyc.legalserver.org/matter/dynamic-profile/view/1907945","19-1907945")</f>
        <v>0</v>
      </c>
      <c r="B3096" t="s">
        <v>106</v>
      </c>
      <c r="C3096" t="s">
        <v>257</v>
      </c>
      <c r="D3096" t="s">
        <v>288</v>
      </c>
      <c r="E3096" t="s">
        <v>632</v>
      </c>
      <c r="F3096" t="s">
        <v>1146</v>
      </c>
      <c r="G3096" t="s">
        <v>3448</v>
      </c>
      <c r="H3096" t="s">
        <v>7202</v>
      </c>
      <c r="I3096" t="s">
        <v>8700</v>
      </c>
      <c r="J3096" t="s">
        <v>9065</v>
      </c>
      <c r="K3096">
        <v>10458</v>
      </c>
      <c r="L3096" t="s">
        <v>9094</v>
      </c>
      <c r="M3096" t="s">
        <v>9095</v>
      </c>
      <c r="N3096" t="s">
        <v>9825</v>
      </c>
      <c r="O3096" t="s">
        <v>11134</v>
      </c>
      <c r="P3096" t="s">
        <v>11167</v>
      </c>
      <c r="Q3096" t="s">
        <v>11173</v>
      </c>
      <c r="R3096" t="s">
        <v>11180</v>
      </c>
      <c r="S3096" t="s">
        <v>9094</v>
      </c>
      <c r="T3096" t="s">
        <v>11183</v>
      </c>
      <c r="W3096">
        <v>1209.23</v>
      </c>
      <c r="X3096" t="s">
        <v>11333</v>
      </c>
      <c r="Y3096" t="s">
        <v>11346</v>
      </c>
      <c r="Z3096" t="s">
        <v>12019</v>
      </c>
      <c r="AB3096" t="s">
        <v>17778</v>
      </c>
      <c r="AC3096">
        <v>136</v>
      </c>
      <c r="AD3096" t="s">
        <v>19566</v>
      </c>
      <c r="AE3096" t="s">
        <v>19587</v>
      </c>
      <c r="AF3096">
        <v>16</v>
      </c>
      <c r="AG3096">
        <v>3</v>
      </c>
      <c r="AH3096">
        <v>0</v>
      </c>
      <c r="AI3096">
        <v>104.19</v>
      </c>
      <c r="AL3096" t="s">
        <v>19614</v>
      </c>
      <c r="AM3096">
        <v>22224</v>
      </c>
      <c r="AS3096">
        <v>1</v>
      </c>
      <c r="AT3096" t="s">
        <v>779</v>
      </c>
      <c r="AU3096" t="s">
        <v>220</v>
      </c>
    </row>
    <row r="3097" spans="1:48">
      <c r="A3097" s="1">
        <f>HYPERLINK("https://lsnyc.legalserver.org/matter/dynamic-profile/view/1904486","19-1904486")</f>
        <v>0</v>
      </c>
      <c r="B3097" t="s">
        <v>114</v>
      </c>
      <c r="C3097" t="s">
        <v>257</v>
      </c>
      <c r="D3097" t="s">
        <v>615</v>
      </c>
      <c r="E3097" t="s">
        <v>476</v>
      </c>
      <c r="F3097" t="s">
        <v>1249</v>
      </c>
      <c r="G3097" t="s">
        <v>4665</v>
      </c>
      <c r="H3097" t="s">
        <v>6132</v>
      </c>
      <c r="I3097" t="s">
        <v>8119</v>
      </c>
      <c r="J3097" t="s">
        <v>9065</v>
      </c>
      <c r="K3097">
        <v>10470</v>
      </c>
      <c r="L3097" t="s">
        <v>9094</v>
      </c>
      <c r="M3097" t="s">
        <v>9095</v>
      </c>
      <c r="N3097" t="s">
        <v>9426</v>
      </c>
      <c r="O3097" t="s">
        <v>11130</v>
      </c>
      <c r="P3097" t="s">
        <v>11165</v>
      </c>
      <c r="Q3097" t="s">
        <v>11174</v>
      </c>
      <c r="R3097" t="s">
        <v>11180</v>
      </c>
      <c r="S3097" t="s">
        <v>9094</v>
      </c>
      <c r="T3097" t="s">
        <v>11183</v>
      </c>
      <c r="W3097">
        <v>1450</v>
      </c>
      <c r="X3097" t="s">
        <v>11333</v>
      </c>
      <c r="Y3097" t="s">
        <v>11346</v>
      </c>
      <c r="Z3097" t="s">
        <v>13441</v>
      </c>
      <c r="AB3097" t="s">
        <v>17779</v>
      </c>
      <c r="AC3097">
        <v>63</v>
      </c>
      <c r="AD3097" t="s">
        <v>19567</v>
      </c>
      <c r="AE3097" t="s">
        <v>19580</v>
      </c>
      <c r="AF3097">
        <v>16</v>
      </c>
      <c r="AG3097">
        <v>1</v>
      </c>
      <c r="AH3097">
        <v>0</v>
      </c>
      <c r="AI3097">
        <v>104.22</v>
      </c>
      <c r="AL3097" t="s">
        <v>19614</v>
      </c>
      <c r="AM3097">
        <v>13017.6</v>
      </c>
      <c r="AS3097">
        <v>3.75</v>
      </c>
      <c r="AT3097" t="s">
        <v>476</v>
      </c>
      <c r="AU3097" t="s">
        <v>20642</v>
      </c>
      <c r="AV3097" t="s">
        <v>20733</v>
      </c>
    </row>
    <row r="3098" spans="1:48">
      <c r="A3098" s="1">
        <f>HYPERLINK("https://lsnyc.legalserver.org/matter/dynamic-profile/view/1859459","18-1859459")</f>
        <v>0</v>
      </c>
      <c r="B3098" t="s">
        <v>114</v>
      </c>
      <c r="C3098" t="s">
        <v>256</v>
      </c>
      <c r="D3098" t="s">
        <v>626</v>
      </c>
      <c r="F3098" t="s">
        <v>2421</v>
      </c>
      <c r="G3098" t="s">
        <v>4666</v>
      </c>
      <c r="H3098" t="s">
        <v>7203</v>
      </c>
      <c r="I3098" t="s">
        <v>8132</v>
      </c>
      <c r="J3098" t="s">
        <v>9065</v>
      </c>
      <c r="K3098">
        <v>10453</v>
      </c>
      <c r="L3098" t="s">
        <v>9094</v>
      </c>
      <c r="M3098" t="s">
        <v>9095</v>
      </c>
      <c r="N3098" t="s">
        <v>10281</v>
      </c>
      <c r="O3098" t="s">
        <v>11128</v>
      </c>
      <c r="P3098" t="s">
        <v>11165</v>
      </c>
      <c r="R3098" t="s">
        <v>11180</v>
      </c>
      <c r="S3098" t="s">
        <v>9096</v>
      </c>
      <c r="T3098" t="s">
        <v>11183</v>
      </c>
      <c r="V3098" t="s">
        <v>637</v>
      </c>
      <c r="W3098">
        <v>896</v>
      </c>
      <c r="X3098" t="s">
        <v>11333</v>
      </c>
      <c r="Y3098" t="s">
        <v>11340</v>
      </c>
      <c r="Z3098" t="s">
        <v>13442</v>
      </c>
      <c r="AA3098" t="s">
        <v>15759</v>
      </c>
      <c r="AB3098" t="s">
        <v>17780</v>
      </c>
      <c r="AC3098">
        <v>20</v>
      </c>
      <c r="AD3098" t="s">
        <v>19571</v>
      </c>
      <c r="AE3098" t="s">
        <v>19581</v>
      </c>
      <c r="AF3098">
        <v>18</v>
      </c>
      <c r="AG3098">
        <v>2</v>
      </c>
      <c r="AH3098">
        <v>3</v>
      </c>
      <c r="AI3098">
        <v>104.24</v>
      </c>
      <c r="AL3098" t="s">
        <v>19614</v>
      </c>
      <c r="AM3098">
        <v>38796</v>
      </c>
      <c r="AS3098">
        <v>6</v>
      </c>
      <c r="AT3098" t="s">
        <v>306</v>
      </c>
      <c r="AU3098" t="s">
        <v>114</v>
      </c>
    </row>
    <row r="3099" spans="1:48">
      <c r="A3099" s="1">
        <f>HYPERLINK("https://lsnyc.legalserver.org/matter/dynamic-profile/view/1836415","17-1836415")</f>
        <v>0</v>
      </c>
      <c r="B3099" t="s">
        <v>140</v>
      </c>
      <c r="C3099" t="s">
        <v>256</v>
      </c>
      <c r="D3099" t="s">
        <v>913</v>
      </c>
      <c r="F3099" t="s">
        <v>2416</v>
      </c>
      <c r="G3099" t="s">
        <v>4657</v>
      </c>
      <c r="H3099" t="s">
        <v>5999</v>
      </c>
      <c r="I3099" t="s">
        <v>8153</v>
      </c>
      <c r="J3099" t="s">
        <v>9067</v>
      </c>
      <c r="K3099">
        <v>10040</v>
      </c>
      <c r="L3099" t="s">
        <v>9094</v>
      </c>
      <c r="M3099" t="s">
        <v>9095</v>
      </c>
      <c r="N3099" t="s">
        <v>9314</v>
      </c>
      <c r="O3099" t="s">
        <v>11130</v>
      </c>
      <c r="P3099" t="s">
        <v>11168</v>
      </c>
      <c r="R3099" t="s">
        <v>11180</v>
      </c>
      <c r="S3099" t="s">
        <v>9094</v>
      </c>
      <c r="T3099" t="s">
        <v>11183</v>
      </c>
      <c r="V3099" t="s">
        <v>11249</v>
      </c>
      <c r="W3099">
        <v>892.52</v>
      </c>
      <c r="X3099" t="s">
        <v>11335</v>
      </c>
      <c r="Y3099" t="s">
        <v>11339</v>
      </c>
      <c r="Z3099" t="s">
        <v>13424</v>
      </c>
      <c r="AB3099" t="s">
        <v>17761</v>
      </c>
      <c r="AC3099">
        <v>45</v>
      </c>
      <c r="AD3099" t="s">
        <v>19566</v>
      </c>
      <c r="AE3099" t="s">
        <v>9144</v>
      </c>
      <c r="AF3099">
        <v>13</v>
      </c>
      <c r="AG3099">
        <v>2</v>
      </c>
      <c r="AH3099">
        <v>1</v>
      </c>
      <c r="AI3099">
        <v>104.41</v>
      </c>
      <c r="AJ3099" t="s">
        <v>982</v>
      </c>
      <c r="AL3099" t="s">
        <v>19615</v>
      </c>
      <c r="AM3099">
        <v>21320</v>
      </c>
      <c r="AS3099">
        <v>2.01</v>
      </c>
      <c r="AT3099" t="s">
        <v>279</v>
      </c>
      <c r="AU3099" t="s">
        <v>20657</v>
      </c>
    </row>
    <row r="3100" spans="1:48">
      <c r="A3100" s="1">
        <f>HYPERLINK("https://lsnyc.legalserver.org/matter/dynamic-profile/view/1902959","19-1902959")</f>
        <v>0</v>
      </c>
      <c r="B3100" t="s">
        <v>111</v>
      </c>
      <c r="C3100" t="s">
        <v>256</v>
      </c>
      <c r="D3100" t="s">
        <v>403</v>
      </c>
      <c r="F3100" t="s">
        <v>2422</v>
      </c>
      <c r="G3100" t="s">
        <v>1898</v>
      </c>
      <c r="H3100" t="s">
        <v>7093</v>
      </c>
      <c r="I3100" t="s">
        <v>8492</v>
      </c>
      <c r="J3100" t="s">
        <v>9065</v>
      </c>
      <c r="K3100">
        <v>10459</v>
      </c>
      <c r="L3100" t="s">
        <v>9094</v>
      </c>
      <c r="M3100" t="s">
        <v>9095</v>
      </c>
      <c r="N3100" t="s">
        <v>10282</v>
      </c>
      <c r="O3100" t="s">
        <v>11129</v>
      </c>
      <c r="P3100" t="s">
        <v>11165</v>
      </c>
      <c r="R3100" t="s">
        <v>11180</v>
      </c>
      <c r="S3100" t="s">
        <v>9096</v>
      </c>
      <c r="T3100" t="s">
        <v>11183</v>
      </c>
      <c r="U3100" t="s">
        <v>11201</v>
      </c>
      <c r="V3100" t="s">
        <v>11218</v>
      </c>
      <c r="W3100">
        <v>1166</v>
      </c>
      <c r="X3100" t="s">
        <v>11333</v>
      </c>
      <c r="Y3100" t="s">
        <v>11336</v>
      </c>
      <c r="Z3100" t="s">
        <v>13443</v>
      </c>
      <c r="AA3100" t="s">
        <v>15760</v>
      </c>
      <c r="AB3100" t="s">
        <v>17781</v>
      </c>
      <c r="AC3100">
        <v>56</v>
      </c>
      <c r="AD3100" t="s">
        <v>19566</v>
      </c>
      <c r="AE3100" t="s">
        <v>19581</v>
      </c>
      <c r="AF3100">
        <v>1</v>
      </c>
      <c r="AG3100">
        <v>1</v>
      </c>
      <c r="AH3100">
        <v>2</v>
      </c>
      <c r="AI3100">
        <v>104.59</v>
      </c>
      <c r="AL3100" t="s">
        <v>19614</v>
      </c>
      <c r="AM3100">
        <v>22308</v>
      </c>
      <c r="AS3100">
        <v>41.65</v>
      </c>
      <c r="AT3100" t="s">
        <v>294</v>
      </c>
      <c r="AU3100" t="s">
        <v>20642</v>
      </c>
      <c r="AV3100" t="s">
        <v>20733</v>
      </c>
    </row>
    <row r="3101" spans="1:48">
      <c r="A3101" s="1">
        <f>HYPERLINK("https://lsnyc.legalserver.org/matter/dynamic-profile/view/1836401","17-1836401")</f>
        <v>0</v>
      </c>
      <c r="B3101" t="s">
        <v>140</v>
      </c>
      <c r="C3101" t="s">
        <v>256</v>
      </c>
      <c r="D3101" t="s">
        <v>913</v>
      </c>
      <c r="F3101" t="s">
        <v>2397</v>
      </c>
      <c r="G3101" t="s">
        <v>4453</v>
      </c>
      <c r="H3101" t="s">
        <v>5999</v>
      </c>
      <c r="I3101" t="s">
        <v>8265</v>
      </c>
      <c r="J3101" t="s">
        <v>9067</v>
      </c>
      <c r="K3101">
        <v>10040</v>
      </c>
      <c r="L3101" t="s">
        <v>9095</v>
      </c>
      <c r="M3101" t="s">
        <v>9095</v>
      </c>
      <c r="O3101" t="s">
        <v>11130</v>
      </c>
      <c r="P3101" t="s">
        <v>11168</v>
      </c>
      <c r="R3101" t="s">
        <v>11180</v>
      </c>
      <c r="S3101" t="s">
        <v>9094</v>
      </c>
      <c r="T3101" t="s">
        <v>11183</v>
      </c>
      <c r="V3101" t="s">
        <v>878</v>
      </c>
      <c r="W3101">
        <v>0</v>
      </c>
      <c r="X3101" t="s">
        <v>11335</v>
      </c>
      <c r="Y3101" t="s">
        <v>11339</v>
      </c>
      <c r="Z3101" t="s">
        <v>13275</v>
      </c>
      <c r="AB3101" t="s">
        <v>17730</v>
      </c>
      <c r="AC3101">
        <v>45</v>
      </c>
      <c r="AD3101" t="s">
        <v>19566</v>
      </c>
      <c r="AE3101" t="s">
        <v>9144</v>
      </c>
      <c r="AF3101">
        <v>22</v>
      </c>
      <c r="AG3101">
        <v>2</v>
      </c>
      <c r="AH3101">
        <v>0</v>
      </c>
      <c r="AI3101">
        <v>104.68</v>
      </c>
      <c r="AL3101" t="s">
        <v>19615</v>
      </c>
      <c r="AM3101">
        <v>17000</v>
      </c>
      <c r="AS3101">
        <v>6.01</v>
      </c>
      <c r="AT3101" t="s">
        <v>779</v>
      </c>
      <c r="AU3101" t="s">
        <v>20657</v>
      </c>
    </row>
    <row r="3102" spans="1:48">
      <c r="A3102" s="1">
        <f>HYPERLINK("https://lsnyc.legalserver.org/matter/dynamic-profile/view/1856641","18-1856641")</f>
        <v>0</v>
      </c>
      <c r="B3102" t="s">
        <v>198</v>
      </c>
      <c r="C3102" t="s">
        <v>256</v>
      </c>
      <c r="D3102" t="s">
        <v>630</v>
      </c>
      <c r="F3102" t="s">
        <v>2423</v>
      </c>
      <c r="G3102" t="s">
        <v>4667</v>
      </c>
      <c r="H3102" t="s">
        <v>7204</v>
      </c>
      <c r="I3102" t="s">
        <v>8132</v>
      </c>
      <c r="J3102" t="s">
        <v>9067</v>
      </c>
      <c r="K3102">
        <v>10029</v>
      </c>
      <c r="L3102" t="s">
        <v>9094</v>
      </c>
      <c r="M3102" t="s">
        <v>9095</v>
      </c>
      <c r="N3102" t="s">
        <v>10283</v>
      </c>
      <c r="O3102" t="s">
        <v>11128</v>
      </c>
      <c r="P3102" t="s">
        <v>11165</v>
      </c>
      <c r="R3102" t="s">
        <v>11180</v>
      </c>
      <c r="S3102" t="s">
        <v>9096</v>
      </c>
      <c r="T3102" t="s">
        <v>11183</v>
      </c>
      <c r="V3102" t="s">
        <v>466</v>
      </c>
      <c r="W3102">
        <v>771</v>
      </c>
      <c r="X3102" t="s">
        <v>11335</v>
      </c>
      <c r="Y3102" t="s">
        <v>11338</v>
      </c>
      <c r="Z3102" t="s">
        <v>13444</v>
      </c>
      <c r="AB3102" t="s">
        <v>17782</v>
      </c>
      <c r="AC3102">
        <v>23</v>
      </c>
      <c r="AD3102" t="s">
        <v>19566</v>
      </c>
      <c r="AE3102" t="s">
        <v>9144</v>
      </c>
      <c r="AF3102">
        <v>20</v>
      </c>
      <c r="AG3102">
        <v>5</v>
      </c>
      <c r="AH3102">
        <v>2</v>
      </c>
      <c r="AI3102">
        <v>105.01</v>
      </c>
      <c r="AL3102" t="s">
        <v>19614</v>
      </c>
      <c r="AM3102">
        <v>39000</v>
      </c>
      <c r="AS3102">
        <v>36.25</v>
      </c>
      <c r="AT3102" t="s">
        <v>377</v>
      </c>
      <c r="AU3102" t="s">
        <v>20655</v>
      </c>
    </row>
    <row r="3103" spans="1:48">
      <c r="A3103" s="1">
        <f>HYPERLINK("https://lsnyc.legalserver.org/matter/dynamic-profile/view/1863534","18-1863534")</f>
        <v>0</v>
      </c>
      <c r="B3103" t="s">
        <v>138</v>
      </c>
      <c r="C3103" t="s">
        <v>256</v>
      </c>
      <c r="D3103" t="s">
        <v>595</v>
      </c>
      <c r="F3103" t="s">
        <v>2362</v>
      </c>
      <c r="G3103" t="s">
        <v>3338</v>
      </c>
      <c r="H3103" t="s">
        <v>6647</v>
      </c>
      <c r="I3103">
        <v>53</v>
      </c>
      <c r="J3103" t="s">
        <v>9067</v>
      </c>
      <c r="K3103">
        <v>10031</v>
      </c>
      <c r="L3103" t="s">
        <v>9094</v>
      </c>
      <c r="M3103" t="s">
        <v>9095</v>
      </c>
      <c r="O3103" t="s">
        <v>11132</v>
      </c>
      <c r="P3103" t="s">
        <v>11167</v>
      </c>
      <c r="R3103" t="s">
        <v>11180</v>
      </c>
      <c r="S3103" t="s">
        <v>9096</v>
      </c>
      <c r="T3103" t="s">
        <v>11183</v>
      </c>
      <c r="V3103" t="s">
        <v>595</v>
      </c>
      <c r="W3103">
        <v>566.6799999999999</v>
      </c>
      <c r="X3103" t="s">
        <v>11335</v>
      </c>
      <c r="Y3103" t="s">
        <v>11338</v>
      </c>
      <c r="Z3103" t="s">
        <v>13445</v>
      </c>
      <c r="AB3103" t="s">
        <v>17783</v>
      </c>
      <c r="AC3103">
        <v>30</v>
      </c>
      <c r="AD3103" t="s">
        <v>19566</v>
      </c>
      <c r="AE3103" t="s">
        <v>9144</v>
      </c>
      <c r="AF3103">
        <v>26</v>
      </c>
      <c r="AG3103">
        <v>2</v>
      </c>
      <c r="AH3103">
        <v>0</v>
      </c>
      <c r="AI3103">
        <v>105.24</v>
      </c>
      <c r="AJ3103" t="s">
        <v>670</v>
      </c>
      <c r="AL3103" t="s">
        <v>19614</v>
      </c>
      <c r="AM3103">
        <v>34555</v>
      </c>
      <c r="AS3103">
        <v>20.6</v>
      </c>
      <c r="AT3103" t="s">
        <v>286</v>
      </c>
      <c r="AU3103" t="s">
        <v>130</v>
      </c>
    </row>
    <row r="3104" spans="1:48">
      <c r="A3104" s="1">
        <f>HYPERLINK("https://lsnyc.legalserver.org/matter/dynamic-profile/view/1860466","18-1860466")</f>
        <v>0</v>
      </c>
      <c r="B3104" t="s">
        <v>52</v>
      </c>
      <c r="C3104" t="s">
        <v>256</v>
      </c>
      <c r="D3104" t="s">
        <v>836</v>
      </c>
      <c r="F3104" t="s">
        <v>1829</v>
      </c>
      <c r="G3104" t="s">
        <v>4668</v>
      </c>
      <c r="H3104" t="s">
        <v>6711</v>
      </c>
      <c r="I3104" t="s">
        <v>8285</v>
      </c>
      <c r="J3104" t="s">
        <v>9039</v>
      </c>
      <c r="K3104">
        <v>11432</v>
      </c>
      <c r="L3104" t="s">
        <v>9094</v>
      </c>
      <c r="M3104" t="s">
        <v>9095</v>
      </c>
      <c r="N3104" t="s">
        <v>9703</v>
      </c>
      <c r="O3104" t="s">
        <v>11135</v>
      </c>
      <c r="P3104" t="s">
        <v>11168</v>
      </c>
      <c r="R3104" t="s">
        <v>11180</v>
      </c>
      <c r="S3104" t="s">
        <v>9094</v>
      </c>
      <c r="T3104" t="s">
        <v>11189</v>
      </c>
      <c r="V3104" t="s">
        <v>11249</v>
      </c>
      <c r="W3104">
        <v>1673.53</v>
      </c>
      <c r="X3104" t="s">
        <v>11331</v>
      </c>
      <c r="Y3104" t="s">
        <v>11340</v>
      </c>
      <c r="Z3104" t="s">
        <v>11461</v>
      </c>
      <c r="AA3104" t="s">
        <v>9171</v>
      </c>
      <c r="AB3104" t="s">
        <v>17784</v>
      </c>
      <c r="AC3104">
        <v>60</v>
      </c>
      <c r="AD3104" t="s">
        <v>19566</v>
      </c>
      <c r="AE3104" t="s">
        <v>9144</v>
      </c>
      <c r="AF3104">
        <v>20</v>
      </c>
      <c r="AG3104">
        <v>2</v>
      </c>
      <c r="AH3104">
        <v>3</v>
      </c>
      <c r="AI3104">
        <v>105.37</v>
      </c>
      <c r="AJ3104" t="s">
        <v>19592</v>
      </c>
      <c r="AL3104" t="s">
        <v>19615</v>
      </c>
      <c r="AM3104">
        <v>31000</v>
      </c>
      <c r="AS3104">
        <v>0.2</v>
      </c>
      <c r="AT3104" t="s">
        <v>848</v>
      </c>
      <c r="AU3104" t="s">
        <v>153</v>
      </c>
    </row>
    <row r="3105" spans="1:48">
      <c r="A3105" s="1">
        <f>HYPERLINK("https://lsnyc.legalserver.org/matter/dynamic-profile/view/1904523","19-1904523")</f>
        <v>0</v>
      </c>
      <c r="B3105" t="s">
        <v>138</v>
      </c>
      <c r="C3105" t="s">
        <v>256</v>
      </c>
      <c r="D3105" t="s">
        <v>615</v>
      </c>
      <c r="F3105" t="s">
        <v>2424</v>
      </c>
      <c r="G3105" t="s">
        <v>3644</v>
      </c>
      <c r="H3105" t="s">
        <v>6093</v>
      </c>
      <c r="I3105">
        <v>31</v>
      </c>
      <c r="J3105" t="s">
        <v>9067</v>
      </c>
      <c r="K3105">
        <v>10034</v>
      </c>
      <c r="L3105" t="s">
        <v>9094</v>
      </c>
      <c r="M3105" t="s">
        <v>9095</v>
      </c>
      <c r="O3105" t="s">
        <v>11151</v>
      </c>
      <c r="P3105" t="s">
        <v>11166</v>
      </c>
      <c r="R3105" t="s">
        <v>11180</v>
      </c>
      <c r="S3105" t="s">
        <v>9096</v>
      </c>
      <c r="T3105" t="s">
        <v>11183</v>
      </c>
      <c r="V3105" t="s">
        <v>615</v>
      </c>
      <c r="W3105">
        <v>1013.58</v>
      </c>
      <c r="X3105" t="s">
        <v>11335</v>
      </c>
      <c r="Y3105" t="s">
        <v>11340</v>
      </c>
      <c r="Z3105" t="s">
        <v>13446</v>
      </c>
      <c r="AB3105" t="s">
        <v>17785</v>
      </c>
      <c r="AC3105">
        <v>25</v>
      </c>
      <c r="AD3105" t="s">
        <v>19566</v>
      </c>
      <c r="AE3105" t="s">
        <v>19580</v>
      </c>
      <c r="AF3105">
        <v>50</v>
      </c>
      <c r="AG3105">
        <v>2</v>
      </c>
      <c r="AH3105">
        <v>0</v>
      </c>
      <c r="AI3105">
        <v>105.38</v>
      </c>
      <c r="AK3105" t="s">
        <v>19613</v>
      </c>
      <c r="AL3105" t="s">
        <v>19615</v>
      </c>
      <c r="AM3105">
        <v>17820</v>
      </c>
      <c r="AS3105">
        <v>7.9</v>
      </c>
      <c r="AT3105" t="s">
        <v>1135</v>
      </c>
      <c r="AU3105" t="s">
        <v>130</v>
      </c>
      <c r="AV3105" t="s">
        <v>20733</v>
      </c>
    </row>
    <row r="3106" spans="1:48">
      <c r="A3106" s="1">
        <f>HYPERLINK("https://lsnyc.legalserver.org/matter/dynamic-profile/view/1864195","18-1864195")</f>
        <v>0</v>
      </c>
      <c r="B3106" t="s">
        <v>86</v>
      </c>
      <c r="C3106" t="s">
        <v>256</v>
      </c>
      <c r="D3106" t="s">
        <v>505</v>
      </c>
      <c r="F3106" t="s">
        <v>1375</v>
      </c>
      <c r="G3106" t="s">
        <v>4481</v>
      </c>
      <c r="H3106" t="s">
        <v>7040</v>
      </c>
      <c r="I3106" t="s">
        <v>8287</v>
      </c>
      <c r="J3106" t="s">
        <v>9059</v>
      </c>
      <c r="K3106">
        <v>11226</v>
      </c>
      <c r="L3106" t="s">
        <v>9094</v>
      </c>
      <c r="M3106" t="s">
        <v>9095</v>
      </c>
      <c r="N3106" t="s">
        <v>10284</v>
      </c>
      <c r="O3106" t="s">
        <v>11135</v>
      </c>
      <c r="P3106" t="s">
        <v>11168</v>
      </c>
      <c r="R3106" t="s">
        <v>11180</v>
      </c>
      <c r="S3106" t="s">
        <v>9094</v>
      </c>
      <c r="T3106" t="s">
        <v>11183</v>
      </c>
      <c r="V3106" t="s">
        <v>675</v>
      </c>
      <c r="W3106">
        <v>1053.67</v>
      </c>
      <c r="X3106" t="s">
        <v>11332</v>
      </c>
      <c r="Y3106" t="s">
        <v>11346</v>
      </c>
      <c r="Z3106" t="s">
        <v>13447</v>
      </c>
      <c r="AB3106" t="s">
        <v>17786</v>
      </c>
      <c r="AC3106">
        <v>61</v>
      </c>
      <c r="AD3106" t="s">
        <v>19566</v>
      </c>
      <c r="AF3106">
        <v>38</v>
      </c>
      <c r="AG3106">
        <v>3</v>
      </c>
      <c r="AH3106">
        <v>0</v>
      </c>
      <c r="AI3106">
        <v>105.39</v>
      </c>
      <c r="AL3106" t="s">
        <v>19614</v>
      </c>
      <c r="AM3106">
        <v>21900</v>
      </c>
      <c r="AS3106">
        <v>22.5</v>
      </c>
      <c r="AT3106" t="s">
        <v>273</v>
      </c>
      <c r="AU3106" t="s">
        <v>20630</v>
      </c>
    </row>
    <row r="3107" spans="1:48">
      <c r="A3107" s="1">
        <f>HYPERLINK("https://lsnyc.legalserver.org/matter/dynamic-profile/view/1871508","18-1871508")</f>
        <v>0</v>
      </c>
      <c r="B3107" t="s">
        <v>56</v>
      </c>
      <c r="C3107" t="s">
        <v>256</v>
      </c>
      <c r="D3107" t="s">
        <v>389</v>
      </c>
      <c r="F3107" t="s">
        <v>1231</v>
      </c>
      <c r="G3107" t="s">
        <v>3418</v>
      </c>
      <c r="H3107" t="s">
        <v>5695</v>
      </c>
      <c r="I3107" t="s">
        <v>8701</v>
      </c>
      <c r="J3107" t="s">
        <v>9038</v>
      </c>
      <c r="K3107">
        <v>11691</v>
      </c>
      <c r="L3107" t="s">
        <v>9094</v>
      </c>
      <c r="M3107" t="s">
        <v>9094</v>
      </c>
      <c r="N3107" t="s">
        <v>10285</v>
      </c>
      <c r="O3107" t="s">
        <v>11129</v>
      </c>
      <c r="P3107" t="s">
        <v>11165</v>
      </c>
      <c r="R3107" t="s">
        <v>11180</v>
      </c>
      <c r="S3107" t="s">
        <v>9096</v>
      </c>
      <c r="T3107" t="s">
        <v>11183</v>
      </c>
      <c r="U3107" t="s">
        <v>11201</v>
      </c>
      <c r="V3107" t="s">
        <v>389</v>
      </c>
      <c r="W3107">
        <v>443</v>
      </c>
      <c r="X3107" t="s">
        <v>11331</v>
      </c>
      <c r="Y3107" t="s">
        <v>11336</v>
      </c>
      <c r="Z3107" t="s">
        <v>13448</v>
      </c>
      <c r="AB3107" t="s">
        <v>17787</v>
      </c>
      <c r="AC3107">
        <v>144</v>
      </c>
      <c r="AD3107" t="s">
        <v>19567</v>
      </c>
      <c r="AE3107" t="s">
        <v>11157</v>
      </c>
      <c r="AF3107">
        <v>10</v>
      </c>
      <c r="AG3107">
        <v>2</v>
      </c>
      <c r="AH3107">
        <v>1</v>
      </c>
      <c r="AI3107">
        <v>105.4</v>
      </c>
      <c r="AL3107" t="s">
        <v>19614</v>
      </c>
      <c r="AM3107">
        <v>21902.4</v>
      </c>
      <c r="AO3107" t="s">
        <v>20294</v>
      </c>
      <c r="AP3107" t="s">
        <v>11157</v>
      </c>
      <c r="AQ3107" t="s">
        <v>20369</v>
      </c>
      <c r="AR3107" t="s">
        <v>20514</v>
      </c>
      <c r="AS3107">
        <v>5.8</v>
      </c>
      <c r="AT3107" t="s">
        <v>306</v>
      </c>
      <c r="AU3107" t="s">
        <v>20620</v>
      </c>
    </row>
    <row r="3108" spans="1:48">
      <c r="A3108" s="1">
        <f>HYPERLINK("https://lsnyc.legalserver.org/matter/dynamic-profile/view/1895962","19-1895962")</f>
        <v>0</v>
      </c>
      <c r="B3108" t="s">
        <v>108</v>
      </c>
      <c r="C3108" t="s">
        <v>257</v>
      </c>
      <c r="D3108" t="s">
        <v>300</v>
      </c>
      <c r="E3108" t="s">
        <v>832</v>
      </c>
      <c r="F3108" t="s">
        <v>1749</v>
      </c>
      <c r="G3108" t="s">
        <v>4669</v>
      </c>
      <c r="H3108" t="s">
        <v>6616</v>
      </c>
      <c r="I3108" t="s">
        <v>8702</v>
      </c>
      <c r="J3108" t="s">
        <v>9065</v>
      </c>
      <c r="K3108">
        <v>10452</v>
      </c>
      <c r="L3108" t="s">
        <v>9094</v>
      </c>
      <c r="M3108" t="s">
        <v>9094</v>
      </c>
      <c r="N3108" t="s">
        <v>9171</v>
      </c>
      <c r="O3108" t="s">
        <v>9121</v>
      </c>
      <c r="P3108" t="s">
        <v>11164</v>
      </c>
      <c r="Q3108" t="s">
        <v>11172</v>
      </c>
      <c r="R3108" t="s">
        <v>11180</v>
      </c>
      <c r="S3108" t="s">
        <v>9096</v>
      </c>
      <c r="T3108" t="s">
        <v>11190</v>
      </c>
      <c r="V3108" t="s">
        <v>11218</v>
      </c>
      <c r="W3108">
        <v>390</v>
      </c>
      <c r="X3108" t="s">
        <v>11333</v>
      </c>
      <c r="Y3108" t="s">
        <v>11338</v>
      </c>
      <c r="Z3108" t="s">
        <v>13449</v>
      </c>
      <c r="AB3108" t="s">
        <v>17788</v>
      </c>
      <c r="AC3108">
        <v>0</v>
      </c>
      <c r="AD3108" t="s">
        <v>19567</v>
      </c>
      <c r="AE3108" t="s">
        <v>19580</v>
      </c>
      <c r="AF3108">
        <v>27</v>
      </c>
      <c r="AG3108">
        <v>2</v>
      </c>
      <c r="AH3108">
        <v>0</v>
      </c>
      <c r="AI3108">
        <v>105.42</v>
      </c>
      <c r="AL3108" t="s">
        <v>19614</v>
      </c>
      <c r="AM3108">
        <v>17826</v>
      </c>
      <c r="AS3108">
        <v>0.1</v>
      </c>
      <c r="AT3108" t="s">
        <v>750</v>
      </c>
      <c r="AU3108" t="s">
        <v>108</v>
      </c>
      <c r="AV3108" t="s">
        <v>20733</v>
      </c>
    </row>
    <row r="3109" spans="1:48">
      <c r="A3109" s="1">
        <f>HYPERLINK("https://lsnyc.legalserver.org/matter/dynamic-profile/view/0812102","16-0812102")</f>
        <v>0</v>
      </c>
      <c r="B3109" t="s">
        <v>230</v>
      </c>
      <c r="C3109" t="s">
        <v>256</v>
      </c>
      <c r="D3109" t="s">
        <v>960</v>
      </c>
      <c r="F3109" t="s">
        <v>2425</v>
      </c>
      <c r="G3109" t="s">
        <v>3344</v>
      </c>
      <c r="H3109" t="s">
        <v>7205</v>
      </c>
      <c r="I3109">
        <v>513</v>
      </c>
      <c r="J3109" t="s">
        <v>9059</v>
      </c>
      <c r="K3109">
        <v>11212</v>
      </c>
      <c r="L3109" t="s">
        <v>9094</v>
      </c>
      <c r="M3109" t="s">
        <v>9095</v>
      </c>
      <c r="N3109" t="s">
        <v>10286</v>
      </c>
      <c r="O3109" t="s">
        <v>11129</v>
      </c>
      <c r="P3109" t="s">
        <v>11165</v>
      </c>
      <c r="R3109" t="s">
        <v>11180</v>
      </c>
      <c r="S3109" t="s">
        <v>9096</v>
      </c>
      <c r="T3109" t="s">
        <v>11183</v>
      </c>
      <c r="V3109" t="s">
        <v>11280</v>
      </c>
      <c r="W3109">
        <v>1470</v>
      </c>
      <c r="X3109" t="s">
        <v>11332</v>
      </c>
      <c r="Y3109" t="s">
        <v>11352</v>
      </c>
      <c r="Z3109" t="s">
        <v>13450</v>
      </c>
      <c r="AA3109" t="s">
        <v>9171</v>
      </c>
      <c r="AB3109" t="s">
        <v>17789</v>
      </c>
      <c r="AC3109">
        <v>110</v>
      </c>
      <c r="AD3109" t="s">
        <v>19567</v>
      </c>
      <c r="AE3109" t="s">
        <v>19580</v>
      </c>
      <c r="AF3109">
        <v>37</v>
      </c>
      <c r="AG3109">
        <v>4</v>
      </c>
      <c r="AH3109">
        <v>0</v>
      </c>
      <c r="AI3109">
        <v>105.43</v>
      </c>
      <c r="AL3109" t="s">
        <v>19614</v>
      </c>
      <c r="AM3109">
        <v>25620</v>
      </c>
      <c r="AN3109" t="s">
        <v>19921</v>
      </c>
      <c r="AS3109">
        <v>131.25</v>
      </c>
      <c r="AT3109" t="s">
        <v>1130</v>
      </c>
      <c r="AU3109" t="s">
        <v>20629</v>
      </c>
    </row>
    <row r="3110" spans="1:48">
      <c r="A3110" s="1">
        <f>HYPERLINK("https://lsnyc.legalserver.org/matter/dynamic-profile/view/0789364","15-0789364")</f>
        <v>0</v>
      </c>
      <c r="B3110" t="s">
        <v>108</v>
      </c>
      <c r="C3110" t="s">
        <v>256</v>
      </c>
      <c r="D3110" t="s">
        <v>580</v>
      </c>
      <c r="F3110" t="s">
        <v>1806</v>
      </c>
      <c r="G3110" t="s">
        <v>3366</v>
      </c>
      <c r="H3110" t="s">
        <v>5897</v>
      </c>
      <c r="I3110" t="s">
        <v>8408</v>
      </c>
      <c r="J3110" t="s">
        <v>9065</v>
      </c>
      <c r="K3110">
        <v>10452</v>
      </c>
      <c r="L3110" t="s">
        <v>9094</v>
      </c>
      <c r="M3110" t="s">
        <v>9095</v>
      </c>
      <c r="N3110" t="s">
        <v>9250</v>
      </c>
      <c r="O3110" t="s">
        <v>11132</v>
      </c>
      <c r="P3110" t="s">
        <v>11165</v>
      </c>
      <c r="R3110" t="s">
        <v>11180</v>
      </c>
      <c r="S3110" t="s">
        <v>9094</v>
      </c>
      <c r="T3110" t="s">
        <v>11183</v>
      </c>
      <c r="V3110" t="s">
        <v>580</v>
      </c>
      <c r="W3110">
        <v>993</v>
      </c>
      <c r="X3110" t="s">
        <v>11333</v>
      </c>
      <c r="Y3110" t="s">
        <v>11347</v>
      </c>
      <c r="Z3110" t="s">
        <v>12243</v>
      </c>
      <c r="AB3110" t="s">
        <v>16667</v>
      </c>
      <c r="AC3110">
        <v>0</v>
      </c>
      <c r="AF3110">
        <v>23</v>
      </c>
      <c r="AG3110">
        <v>2</v>
      </c>
      <c r="AH3110">
        <v>0</v>
      </c>
      <c r="AI3110">
        <v>105.46</v>
      </c>
      <c r="AL3110" t="s">
        <v>19615</v>
      </c>
      <c r="AM3110">
        <v>16800</v>
      </c>
      <c r="AS3110">
        <v>0.1</v>
      </c>
      <c r="AT3110" t="s">
        <v>20585</v>
      </c>
      <c r="AU3110" t="s">
        <v>109</v>
      </c>
    </row>
    <row r="3111" spans="1:48">
      <c r="A3111" s="1">
        <f>HYPERLINK("https://lsnyc.legalserver.org/matter/dynamic-profile/view/1903639","19-1903639")</f>
        <v>0</v>
      </c>
      <c r="B3111" t="s">
        <v>69</v>
      </c>
      <c r="C3111" t="s">
        <v>257</v>
      </c>
      <c r="D3111" t="s">
        <v>700</v>
      </c>
      <c r="E3111" t="s">
        <v>312</v>
      </c>
      <c r="F3111" t="s">
        <v>2075</v>
      </c>
      <c r="G3111" t="s">
        <v>3331</v>
      </c>
      <c r="H3111" t="s">
        <v>7206</v>
      </c>
      <c r="I3111" t="s">
        <v>8171</v>
      </c>
      <c r="J3111" t="s">
        <v>9059</v>
      </c>
      <c r="K3111">
        <v>11212</v>
      </c>
      <c r="L3111" t="s">
        <v>9094</v>
      </c>
      <c r="M3111" t="s">
        <v>9095</v>
      </c>
      <c r="O3111" t="s">
        <v>9121</v>
      </c>
      <c r="P3111" t="s">
        <v>11164</v>
      </c>
      <c r="Q3111" t="s">
        <v>11172</v>
      </c>
      <c r="R3111" t="s">
        <v>11180</v>
      </c>
      <c r="S3111" t="s">
        <v>9096</v>
      </c>
      <c r="T3111" t="s">
        <v>11183</v>
      </c>
      <c r="U3111" t="s">
        <v>11201</v>
      </c>
      <c r="V3111" t="s">
        <v>700</v>
      </c>
      <c r="W3111">
        <v>1008</v>
      </c>
      <c r="X3111" t="s">
        <v>11332</v>
      </c>
      <c r="Y3111" t="s">
        <v>11341</v>
      </c>
      <c r="Z3111" t="s">
        <v>13451</v>
      </c>
      <c r="AA3111" t="s">
        <v>10392</v>
      </c>
      <c r="AB3111" t="s">
        <v>17790</v>
      </c>
      <c r="AC3111">
        <v>24</v>
      </c>
      <c r="AD3111" t="s">
        <v>19566</v>
      </c>
      <c r="AE3111" t="s">
        <v>19580</v>
      </c>
      <c r="AF3111">
        <v>5</v>
      </c>
      <c r="AG3111">
        <v>2</v>
      </c>
      <c r="AH3111">
        <v>0</v>
      </c>
      <c r="AI3111">
        <v>105.59</v>
      </c>
      <c r="AL3111" t="s">
        <v>19614</v>
      </c>
      <c r="AM3111">
        <v>17856</v>
      </c>
      <c r="AS3111">
        <v>2.66</v>
      </c>
      <c r="AT3111" t="s">
        <v>312</v>
      </c>
      <c r="AU3111" t="s">
        <v>20672</v>
      </c>
      <c r="AV3111" t="s">
        <v>20733</v>
      </c>
    </row>
    <row r="3112" spans="1:48">
      <c r="A3112" s="1">
        <f>HYPERLINK("https://lsnyc.legalserver.org/matter/dynamic-profile/view/1888681","19-1888681")</f>
        <v>0</v>
      </c>
      <c r="B3112" t="s">
        <v>138</v>
      </c>
      <c r="C3112" t="s">
        <v>256</v>
      </c>
      <c r="D3112" t="s">
        <v>494</v>
      </c>
      <c r="F3112" t="s">
        <v>1806</v>
      </c>
      <c r="G3112" t="s">
        <v>4219</v>
      </c>
      <c r="H3112" t="s">
        <v>6093</v>
      </c>
      <c r="I3112">
        <v>24</v>
      </c>
      <c r="J3112" t="s">
        <v>9067</v>
      </c>
      <c r="K3112">
        <v>10034</v>
      </c>
      <c r="L3112" t="s">
        <v>9094</v>
      </c>
      <c r="M3112" t="s">
        <v>9094</v>
      </c>
      <c r="N3112" t="s">
        <v>9999</v>
      </c>
      <c r="O3112" t="s">
        <v>11130</v>
      </c>
      <c r="P3112" t="s">
        <v>11165</v>
      </c>
      <c r="R3112" t="s">
        <v>11180</v>
      </c>
      <c r="S3112" t="s">
        <v>9094</v>
      </c>
      <c r="T3112" t="s">
        <v>11183</v>
      </c>
      <c r="V3112" t="s">
        <v>494</v>
      </c>
      <c r="W3112">
        <v>947.89</v>
      </c>
      <c r="X3112" t="s">
        <v>11335</v>
      </c>
      <c r="Y3112" t="s">
        <v>11340</v>
      </c>
      <c r="Z3112" t="s">
        <v>13452</v>
      </c>
      <c r="AB3112" t="s">
        <v>17791</v>
      </c>
      <c r="AC3112">
        <v>25</v>
      </c>
      <c r="AD3112" t="s">
        <v>19566</v>
      </c>
      <c r="AE3112" t="s">
        <v>19587</v>
      </c>
      <c r="AF3112">
        <v>20</v>
      </c>
      <c r="AG3112">
        <v>3</v>
      </c>
      <c r="AH3112">
        <v>0</v>
      </c>
      <c r="AI3112">
        <v>105.65</v>
      </c>
      <c r="AL3112" t="s">
        <v>19615</v>
      </c>
      <c r="AM3112">
        <v>22536</v>
      </c>
      <c r="AS3112">
        <v>0.8</v>
      </c>
      <c r="AT3112" t="s">
        <v>1135</v>
      </c>
      <c r="AU3112" t="s">
        <v>130</v>
      </c>
    </row>
    <row r="3113" spans="1:48">
      <c r="A3113" s="1">
        <f>HYPERLINK("https://lsnyc.legalserver.org/matter/dynamic-profile/view/1897145","19-1897145")</f>
        <v>0</v>
      </c>
      <c r="B3113" t="s">
        <v>103</v>
      </c>
      <c r="C3113" t="s">
        <v>257</v>
      </c>
      <c r="D3113" t="s">
        <v>317</v>
      </c>
      <c r="E3113" t="s">
        <v>370</v>
      </c>
      <c r="F3113" t="s">
        <v>1281</v>
      </c>
      <c r="G3113" t="s">
        <v>3675</v>
      </c>
      <c r="H3113" t="s">
        <v>7207</v>
      </c>
      <c r="I3113" t="s">
        <v>8288</v>
      </c>
      <c r="J3113" t="s">
        <v>9065</v>
      </c>
      <c r="K3113">
        <v>10460</v>
      </c>
      <c r="L3113" t="s">
        <v>9094</v>
      </c>
      <c r="M3113" t="s">
        <v>9094</v>
      </c>
      <c r="O3113" t="s">
        <v>9121</v>
      </c>
      <c r="P3113" t="s">
        <v>11167</v>
      </c>
      <c r="Q3113" t="s">
        <v>11172</v>
      </c>
      <c r="R3113" t="s">
        <v>11180</v>
      </c>
      <c r="S3113" t="s">
        <v>9096</v>
      </c>
      <c r="T3113" t="s">
        <v>11183</v>
      </c>
      <c r="V3113" t="s">
        <v>598</v>
      </c>
      <c r="W3113">
        <v>1285.31</v>
      </c>
      <c r="X3113" t="s">
        <v>11333</v>
      </c>
      <c r="Y3113" t="s">
        <v>11342</v>
      </c>
      <c r="Z3113" t="s">
        <v>13453</v>
      </c>
      <c r="AB3113" t="s">
        <v>17792</v>
      </c>
      <c r="AC3113">
        <v>96</v>
      </c>
      <c r="AD3113" t="s">
        <v>19566</v>
      </c>
      <c r="AE3113" t="s">
        <v>19580</v>
      </c>
      <c r="AF3113">
        <v>10</v>
      </c>
      <c r="AG3113">
        <v>1</v>
      </c>
      <c r="AH3113">
        <v>0</v>
      </c>
      <c r="AI3113">
        <v>105.68</v>
      </c>
      <c r="AL3113" t="s">
        <v>19614</v>
      </c>
      <c r="AM3113">
        <v>13200</v>
      </c>
      <c r="AS3113">
        <v>4.6</v>
      </c>
      <c r="AT3113" t="s">
        <v>370</v>
      </c>
      <c r="AU3113" t="s">
        <v>20674</v>
      </c>
      <c r="AV3113" t="s">
        <v>20733</v>
      </c>
    </row>
    <row r="3114" spans="1:48">
      <c r="A3114" s="1">
        <f>HYPERLINK("https://lsnyc.legalserver.org/matter/dynamic-profile/view/1897591","19-1897591")</f>
        <v>0</v>
      </c>
      <c r="B3114" t="s">
        <v>106</v>
      </c>
      <c r="C3114" t="s">
        <v>256</v>
      </c>
      <c r="D3114" t="s">
        <v>617</v>
      </c>
      <c r="F3114" t="s">
        <v>2147</v>
      </c>
      <c r="G3114" t="s">
        <v>4365</v>
      </c>
      <c r="H3114" t="s">
        <v>6860</v>
      </c>
      <c r="I3114" t="s">
        <v>8175</v>
      </c>
      <c r="J3114" t="s">
        <v>9065</v>
      </c>
      <c r="K3114">
        <v>10453</v>
      </c>
      <c r="L3114" t="s">
        <v>9094</v>
      </c>
      <c r="M3114" t="s">
        <v>9094</v>
      </c>
      <c r="N3114" t="s">
        <v>10287</v>
      </c>
      <c r="O3114" t="s">
        <v>11129</v>
      </c>
      <c r="P3114" t="s">
        <v>11165</v>
      </c>
      <c r="R3114" t="s">
        <v>11180</v>
      </c>
      <c r="S3114" t="s">
        <v>9096</v>
      </c>
      <c r="T3114" t="s">
        <v>11183</v>
      </c>
      <c r="U3114" t="s">
        <v>11201</v>
      </c>
      <c r="V3114" t="s">
        <v>617</v>
      </c>
      <c r="W3114">
        <v>1019</v>
      </c>
      <c r="X3114" t="s">
        <v>11333</v>
      </c>
      <c r="Y3114" t="s">
        <v>11340</v>
      </c>
      <c r="Z3114" t="s">
        <v>12884</v>
      </c>
      <c r="AB3114" t="s">
        <v>17258</v>
      </c>
      <c r="AC3114">
        <v>69</v>
      </c>
      <c r="AD3114" t="s">
        <v>19566</v>
      </c>
      <c r="AE3114" t="s">
        <v>9144</v>
      </c>
      <c r="AF3114">
        <v>15</v>
      </c>
      <c r="AG3114">
        <v>1</v>
      </c>
      <c r="AH3114">
        <v>0</v>
      </c>
      <c r="AI3114">
        <v>105.68</v>
      </c>
      <c r="AL3114" t="s">
        <v>5133</v>
      </c>
      <c r="AM3114">
        <v>13200</v>
      </c>
      <c r="AS3114">
        <v>42.9</v>
      </c>
      <c r="AT3114" t="s">
        <v>321</v>
      </c>
      <c r="AU3114" t="s">
        <v>220</v>
      </c>
      <c r="AV3114" t="s">
        <v>20733</v>
      </c>
    </row>
    <row r="3115" spans="1:48">
      <c r="A3115" s="1">
        <f>HYPERLINK("https://lsnyc.legalserver.org/matter/dynamic-profile/view/1909950","19-1909950")</f>
        <v>0</v>
      </c>
      <c r="B3115" t="s">
        <v>117</v>
      </c>
      <c r="C3115" t="s">
        <v>257</v>
      </c>
      <c r="D3115" t="s">
        <v>806</v>
      </c>
      <c r="E3115" t="s">
        <v>341</v>
      </c>
      <c r="F3115" t="s">
        <v>2426</v>
      </c>
      <c r="G3115" t="s">
        <v>1186</v>
      </c>
      <c r="H3115" t="s">
        <v>5908</v>
      </c>
      <c r="I3115" t="s">
        <v>8264</v>
      </c>
      <c r="J3115" t="s">
        <v>9065</v>
      </c>
      <c r="K3115">
        <v>10451</v>
      </c>
      <c r="L3115" t="s">
        <v>9094</v>
      </c>
      <c r="M3115" t="s">
        <v>9095</v>
      </c>
      <c r="P3115" t="s">
        <v>11164</v>
      </c>
      <c r="Q3115" t="s">
        <v>11172</v>
      </c>
      <c r="R3115" t="s">
        <v>11180</v>
      </c>
      <c r="T3115" t="s">
        <v>11183</v>
      </c>
      <c r="W3115">
        <v>1284.38</v>
      </c>
      <c r="X3115" t="s">
        <v>11333</v>
      </c>
      <c r="Y3115" t="s">
        <v>11346</v>
      </c>
      <c r="Z3115" t="s">
        <v>13454</v>
      </c>
      <c r="AC3115">
        <v>81</v>
      </c>
      <c r="AD3115" t="s">
        <v>19566</v>
      </c>
      <c r="AE3115" t="s">
        <v>19587</v>
      </c>
      <c r="AF3115">
        <v>10</v>
      </c>
      <c r="AG3115">
        <v>1</v>
      </c>
      <c r="AH3115">
        <v>0</v>
      </c>
      <c r="AI3115">
        <v>105.68</v>
      </c>
      <c r="AM3115">
        <v>13200</v>
      </c>
      <c r="AS3115">
        <v>0.5</v>
      </c>
      <c r="AT3115" t="s">
        <v>425</v>
      </c>
      <c r="AU3115" t="s">
        <v>163</v>
      </c>
      <c r="AV3115" t="s">
        <v>20733</v>
      </c>
    </row>
    <row r="3116" spans="1:48">
      <c r="A3116" s="1">
        <f>HYPERLINK("https://lsnyc.legalserver.org/matter/dynamic-profile/view/1897829","19-1897829")</f>
        <v>0</v>
      </c>
      <c r="B3116" t="s">
        <v>126</v>
      </c>
      <c r="C3116" t="s">
        <v>257</v>
      </c>
      <c r="D3116" t="s">
        <v>418</v>
      </c>
      <c r="E3116" t="s">
        <v>669</v>
      </c>
      <c r="F3116" t="s">
        <v>2427</v>
      </c>
      <c r="G3116" t="s">
        <v>3498</v>
      </c>
      <c r="H3116" t="s">
        <v>7208</v>
      </c>
      <c r="I3116" t="s">
        <v>8107</v>
      </c>
      <c r="J3116" t="s">
        <v>9066</v>
      </c>
      <c r="K3116">
        <v>10306</v>
      </c>
      <c r="L3116" t="s">
        <v>9095</v>
      </c>
      <c r="M3116" t="s">
        <v>9095</v>
      </c>
      <c r="N3116" t="s">
        <v>10288</v>
      </c>
      <c r="O3116" t="s">
        <v>11128</v>
      </c>
      <c r="P3116" t="s">
        <v>11171</v>
      </c>
      <c r="Q3116" t="s">
        <v>11174</v>
      </c>
      <c r="R3116" t="s">
        <v>11180</v>
      </c>
      <c r="S3116" t="s">
        <v>9096</v>
      </c>
      <c r="T3116" t="s">
        <v>11183</v>
      </c>
      <c r="W3116">
        <v>0</v>
      </c>
      <c r="X3116" t="s">
        <v>11334</v>
      </c>
      <c r="Z3116" t="s">
        <v>13455</v>
      </c>
      <c r="AB3116" t="s">
        <v>17793</v>
      </c>
      <c r="AC3116">
        <v>0</v>
      </c>
      <c r="AF3116">
        <v>2</v>
      </c>
      <c r="AG3116">
        <v>1</v>
      </c>
      <c r="AH3116">
        <v>0</v>
      </c>
      <c r="AI3116">
        <v>105.68</v>
      </c>
      <c r="AL3116" t="s">
        <v>19614</v>
      </c>
      <c r="AM3116">
        <v>13200</v>
      </c>
      <c r="AS3116">
        <v>13.85</v>
      </c>
      <c r="AT3116" t="s">
        <v>806</v>
      </c>
      <c r="AU3116" t="s">
        <v>20652</v>
      </c>
    </row>
    <row r="3117" spans="1:48">
      <c r="A3117" s="1">
        <f>HYPERLINK("https://lsnyc.legalserver.org/matter/dynamic-profile/view/1908439","19-1908439")</f>
        <v>0</v>
      </c>
      <c r="B3117" t="s">
        <v>126</v>
      </c>
      <c r="C3117" t="s">
        <v>256</v>
      </c>
      <c r="D3117" t="s">
        <v>806</v>
      </c>
      <c r="F3117" t="s">
        <v>1173</v>
      </c>
      <c r="G3117" t="s">
        <v>4670</v>
      </c>
      <c r="H3117" t="s">
        <v>7209</v>
      </c>
      <c r="I3117" t="s">
        <v>8703</v>
      </c>
      <c r="J3117" t="s">
        <v>9066</v>
      </c>
      <c r="K3117">
        <v>10305</v>
      </c>
      <c r="L3117" t="s">
        <v>9094</v>
      </c>
      <c r="M3117" t="s">
        <v>9095</v>
      </c>
      <c r="N3117" t="s">
        <v>9154</v>
      </c>
      <c r="O3117" t="s">
        <v>11129</v>
      </c>
      <c r="P3117" t="s">
        <v>11166</v>
      </c>
      <c r="R3117" t="s">
        <v>11180</v>
      </c>
      <c r="S3117" t="s">
        <v>9096</v>
      </c>
      <c r="T3117" t="s">
        <v>11183</v>
      </c>
      <c r="U3117" t="s">
        <v>11201</v>
      </c>
      <c r="W3117">
        <v>1800</v>
      </c>
      <c r="X3117" t="s">
        <v>11334</v>
      </c>
      <c r="Y3117" t="s">
        <v>11350</v>
      </c>
      <c r="Z3117" t="s">
        <v>13456</v>
      </c>
      <c r="AB3117" t="s">
        <v>17794</v>
      </c>
      <c r="AC3117">
        <v>3</v>
      </c>
      <c r="AD3117" t="s">
        <v>19565</v>
      </c>
      <c r="AE3117" t="s">
        <v>9144</v>
      </c>
      <c r="AF3117">
        <v>7</v>
      </c>
      <c r="AG3117">
        <v>1</v>
      </c>
      <c r="AH3117">
        <v>0</v>
      </c>
      <c r="AI3117">
        <v>105.68</v>
      </c>
      <c r="AL3117" t="s">
        <v>19614</v>
      </c>
      <c r="AM3117">
        <v>13200</v>
      </c>
      <c r="AS3117">
        <v>6.15</v>
      </c>
      <c r="AT3117" t="s">
        <v>632</v>
      </c>
      <c r="AU3117" t="s">
        <v>20653</v>
      </c>
    </row>
    <row r="3118" spans="1:48">
      <c r="A3118" s="1">
        <f>HYPERLINK("https://lsnyc.legalserver.org/matter/dynamic-profile/view/1905128","19-1905128")</f>
        <v>0</v>
      </c>
      <c r="B3118" t="s">
        <v>147</v>
      </c>
      <c r="C3118" t="s">
        <v>257</v>
      </c>
      <c r="D3118" t="s">
        <v>367</v>
      </c>
      <c r="E3118" t="s">
        <v>282</v>
      </c>
      <c r="F3118" t="s">
        <v>2428</v>
      </c>
      <c r="G3118" t="s">
        <v>3362</v>
      </c>
      <c r="H3118" t="s">
        <v>7210</v>
      </c>
      <c r="J3118" t="s">
        <v>9066</v>
      </c>
      <c r="K3118">
        <v>10304</v>
      </c>
      <c r="L3118" t="s">
        <v>9094</v>
      </c>
      <c r="M3118" t="s">
        <v>9095</v>
      </c>
      <c r="O3118" t="s">
        <v>9121</v>
      </c>
      <c r="P3118" t="s">
        <v>11164</v>
      </c>
      <c r="Q3118" t="s">
        <v>11172</v>
      </c>
      <c r="R3118" t="s">
        <v>11181</v>
      </c>
      <c r="S3118" t="s">
        <v>9096</v>
      </c>
      <c r="T3118" t="s">
        <v>11183</v>
      </c>
      <c r="U3118" t="s">
        <v>11201</v>
      </c>
      <c r="V3118" t="s">
        <v>367</v>
      </c>
      <c r="W3118">
        <v>1831</v>
      </c>
      <c r="X3118" t="s">
        <v>11334</v>
      </c>
      <c r="Y3118" t="s">
        <v>11337</v>
      </c>
      <c r="Z3118" t="s">
        <v>13457</v>
      </c>
      <c r="AB3118" t="s">
        <v>17795</v>
      </c>
      <c r="AC3118">
        <v>2</v>
      </c>
      <c r="AD3118" t="s">
        <v>19565</v>
      </c>
      <c r="AE3118" t="s">
        <v>9144</v>
      </c>
      <c r="AF3118">
        <v>1</v>
      </c>
      <c r="AG3118">
        <v>1</v>
      </c>
      <c r="AH3118">
        <v>0</v>
      </c>
      <c r="AI3118">
        <v>105.68</v>
      </c>
      <c r="AJ3118" t="s">
        <v>19591</v>
      </c>
      <c r="AK3118" t="s">
        <v>19608</v>
      </c>
      <c r="AL3118" t="s">
        <v>19614</v>
      </c>
      <c r="AM3118">
        <v>13200</v>
      </c>
      <c r="AS3118">
        <v>1.5</v>
      </c>
      <c r="AT3118" t="s">
        <v>367</v>
      </c>
      <c r="AU3118" t="s">
        <v>147</v>
      </c>
      <c r="AV3118" t="s">
        <v>20733</v>
      </c>
    </row>
    <row r="3119" spans="1:48">
      <c r="A3119" s="1">
        <f>HYPERLINK("https://lsnyc.legalserver.org/matter/dynamic-profile/view/1903619","19-1903619")</f>
        <v>0</v>
      </c>
      <c r="B3119" t="s">
        <v>124</v>
      </c>
      <c r="C3119" t="s">
        <v>256</v>
      </c>
      <c r="D3119" t="s">
        <v>328</v>
      </c>
      <c r="F3119" t="s">
        <v>1318</v>
      </c>
      <c r="G3119" t="s">
        <v>3448</v>
      </c>
      <c r="H3119" t="s">
        <v>7211</v>
      </c>
      <c r="I3119" t="s">
        <v>8132</v>
      </c>
      <c r="J3119" t="s">
        <v>9066</v>
      </c>
      <c r="K3119">
        <v>10301</v>
      </c>
      <c r="L3119" t="s">
        <v>9095</v>
      </c>
      <c r="M3119" t="s">
        <v>9095</v>
      </c>
      <c r="R3119" t="s">
        <v>11180</v>
      </c>
      <c r="S3119" t="s">
        <v>9096</v>
      </c>
      <c r="T3119" t="s">
        <v>11183</v>
      </c>
      <c r="W3119">
        <v>807</v>
      </c>
      <c r="X3119" t="s">
        <v>11334</v>
      </c>
      <c r="Z3119" t="s">
        <v>13458</v>
      </c>
      <c r="AB3119" t="s">
        <v>17796</v>
      </c>
      <c r="AC3119">
        <v>27</v>
      </c>
      <c r="AD3119" t="s">
        <v>15441</v>
      </c>
      <c r="AE3119" t="s">
        <v>19587</v>
      </c>
      <c r="AF3119">
        <v>26</v>
      </c>
      <c r="AG3119">
        <v>1</v>
      </c>
      <c r="AH3119">
        <v>0</v>
      </c>
      <c r="AI3119">
        <v>105.68</v>
      </c>
      <c r="AL3119" t="s">
        <v>19614</v>
      </c>
      <c r="AM3119">
        <v>13200</v>
      </c>
      <c r="AS3119">
        <v>19.5</v>
      </c>
      <c r="AT3119" t="s">
        <v>1135</v>
      </c>
      <c r="AU3119" t="s">
        <v>20653</v>
      </c>
    </row>
    <row r="3120" spans="1:48">
      <c r="A3120" s="1">
        <f>HYPERLINK("https://lsnyc.legalserver.org/matter/dynamic-profile/view/1895534","19-1895534")</f>
        <v>0</v>
      </c>
      <c r="B3120" t="s">
        <v>138</v>
      </c>
      <c r="C3120" t="s">
        <v>256</v>
      </c>
      <c r="D3120" t="s">
        <v>512</v>
      </c>
      <c r="F3120" t="s">
        <v>1264</v>
      </c>
      <c r="G3120" t="s">
        <v>4005</v>
      </c>
      <c r="H3120" t="s">
        <v>7212</v>
      </c>
      <c r="I3120" t="s">
        <v>8153</v>
      </c>
      <c r="J3120" t="s">
        <v>9067</v>
      </c>
      <c r="K3120">
        <v>10034</v>
      </c>
      <c r="L3120" t="s">
        <v>9094</v>
      </c>
      <c r="M3120" t="s">
        <v>9094</v>
      </c>
      <c r="N3120" t="s">
        <v>10289</v>
      </c>
      <c r="O3120" t="s">
        <v>11160</v>
      </c>
      <c r="P3120" t="s">
        <v>11168</v>
      </c>
      <c r="R3120" t="s">
        <v>11180</v>
      </c>
      <c r="S3120" t="s">
        <v>9096</v>
      </c>
      <c r="T3120" t="s">
        <v>11183</v>
      </c>
      <c r="U3120" t="s">
        <v>11201</v>
      </c>
      <c r="V3120" t="s">
        <v>512</v>
      </c>
      <c r="W3120">
        <v>450.25</v>
      </c>
      <c r="X3120" t="s">
        <v>11335</v>
      </c>
      <c r="Y3120" t="s">
        <v>11157</v>
      </c>
      <c r="Z3120" t="s">
        <v>13459</v>
      </c>
      <c r="AB3120" t="s">
        <v>17797</v>
      </c>
      <c r="AC3120">
        <v>49</v>
      </c>
      <c r="AD3120" t="s">
        <v>19566</v>
      </c>
      <c r="AE3120" t="s">
        <v>9144</v>
      </c>
      <c r="AF3120">
        <v>50</v>
      </c>
      <c r="AG3120">
        <v>1</v>
      </c>
      <c r="AH3120">
        <v>0</v>
      </c>
      <c r="AI3120">
        <v>105.68</v>
      </c>
      <c r="AL3120" t="s">
        <v>19614</v>
      </c>
      <c r="AM3120">
        <v>13200</v>
      </c>
      <c r="AS3120">
        <v>10.3</v>
      </c>
      <c r="AT3120" t="s">
        <v>777</v>
      </c>
      <c r="AU3120" t="s">
        <v>20657</v>
      </c>
      <c r="AV3120" t="s">
        <v>20733</v>
      </c>
    </row>
    <row r="3121" spans="1:48">
      <c r="A3121" s="1">
        <f>HYPERLINK("https://lsnyc.legalserver.org/matter/dynamic-profile/view/1914386","19-1914386")</f>
        <v>0</v>
      </c>
      <c r="B3121" t="s">
        <v>145</v>
      </c>
      <c r="C3121" t="s">
        <v>256</v>
      </c>
      <c r="D3121" t="s">
        <v>703</v>
      </c>
      <c r="F3121" t="s">
        <v>1199</v>
      </c>
      <c r="G3121" t="s">
        <v>4671</v>
      </c>
      <c r="H3121" t="s">
        <v>7213</v>
      </c>
      <c r="I3121">
        <v>64</v>
      </c>
      <c r="J3121" t="s">
        <v>9067</v>
      </c>
      <c r="K3121">
        <v>10031</v>
      </c>
      <c r="L3121" t="s">
        <v>9095</v>
      </c>
      <c r="M3121" t="s">
        <v>9095</v>
      </c>
      <c r="O3121" t="s">
        <v>9121</v>
      </c>
      <c r="P3121" t="s">
        <v>11169</v>
      </c>
      <c r="R3121" t="s">
        <v>11180</v>
      </c>
      <c r="S3121" t="s">
        <v>9096</v>
      </c>
      <c r="T3121" t="s">
        <v>11183</v>
      </c>
      <c r="W3121">
        <v>977</v>
      </c>
      <c r="X3121" t="s">
        <v>11335</v>
      </c>
      <c r="Y3121" t="s">
        <v>11347</v>
      </c>
      <c r="Z3121" t="s">
        <v>13460</v>
      </c>
      <c r="AB3121" t="s">
        <v>17798</v>
      </c>
      <c r="AC3121">
        <v>30</v>
      </c>
      <c r="AD3121" t="s">
        <v>19566</v>
      </c>
      <c r="AE3121" t="s">
        <v>19587</v>
      </c>
      <c r="AF3121">
        <v>48</v>
      </c>
      <c r="AG3121">
        <v>1</v>
      </c>
      <c r="AH3121">
        <v>0</v>
      </c>
      <c r="AI3121">
        <v>105.68</v>
      </c>
      <c r="AL3121" t="s">
        <v>19614</v>
      </c>
      <c r="AM3121">
        <v>13200</v>
      </c>
      <c r="AS3121">
        <v>1</v>
      </c>
      <c r="AT3121" t="s">
        <v>377</v>
      </c>
      <c r="AU3121" t="s">
        <v>20659</v>
      </c>
    </row>
    <row r="3122" spans="1:48">
      <c r="A3122" s="1">
        <f>HYPERLINK("https://lsnyc.legalserver.org/matter/dynamic-profile/view/0829854","17-0829854")</f>
        <v>0</v>
      </c>
      <c r="B3122" t="s">
        <v>114</v>
      </c>
      <c r="C3122" t="s">
        <v>256</v>
      </c>
      <c r="D3122" t="s">
        <v>926</v>
      </c>
      <c r="F3122" t="s">
        <v>2003</v>
      </c>
      <c r="G3122" t="s">
        <v>4672</v>
      </c>
      <c r="H3122" t="s">
        <v>7056</v>
      </c>
      <c r="I3122">
        <v>2</v>
      </c>
      <c r="J3122" t="s">
        <v>9065</v>
      </c>
      <c r="K3122">
        <v>10456</v>
      </c>
      <c r="L3122" t="s">
        <v>9094</v>
      </c>
      <c r="M3122" t="s">
        <v>9095</v>
      </c>
      <c r="N3122" t="s">
        <v>10290</v>
      </c>
      <c r="O3122" t="s">
        <v>11132</v>
      </c>
      <c r="P3122" t="s">
        <v>11165</v>
      </c>
      <c r="R3122" t="s">
        <v>11180</v>
      </c>
      <c r="S3122" t="s">
        <v>9094</v>
      </c>
      <c r="T3122" t="s">
        <v>11183</v>
      </c>
      <c r="V3122" t="s">
        <v>926</v>
      </c>
      <c r="W3122">
        <v>1200</v>
      </c>
      <c r="X3122" t="s">
        <v>11333</v>
      </c>
      <c r="Y3122" t="s">
        <v>11157</v>
      </c>
      <c r="Z3122" t="s">
        <v>13461</v>
      </c>
      <c r="AB3122" t="s">
        <v>17799</v>
      </c>
      <c r="AC3122">
        <v>9</v>
      </c>
      <c r="AD3122" t="s">
        <v>19566</v>
      </c>
      <c r="AF3122">
        <v>3</v>
      </c>
      <c r="AG3122">
        <v>2</v>
      </c>
      <c r="AH3122">
        <v>2</v>
      </c>
      <c r="AI3122">
        <v>105.69</v>
      </c>
      <c r="AJ3122" t="s">
        <v>19600</v>
      </c>
      <c r="AL3122" t="s">
        <v>19614</v>
      </c>
      <c r="AM3122">
        <v>26000</v>
      </c>
      <c r="AS3122">
        <v>46.5</v>
      </c>
      <c r="AT3122" t="s">
        <v>1085</v>
      </c>
      <c r="AU3122" t="s">
        <v>20650</v>
      </c>
    </row>
    <row r="3123" spans="1:48">
      <c r="A3123" s="1">
        <f>HYPERLINK("https://lsnyc.legalserver.org/matter/dynamic-profile/view/1885042","18-1885042")</f>
        <v>0</v>
      </c>
      <c r="B3123" t="s">
        <v>111</v>
      </c>
      <c r="C3123" t="s">
        <v>256</v>
      </c>
      <c r="D3123" t="s">
        <v>375</v>
      </c>
      <c r="F3123" t="s">
        <v>1143</v>
      </c>
      <c r="G3123" t="s">
        <v>4673</v>
      </c>
      <c r="H3123" t="s">
        <v>6260</v>
      </c>
      <c r="I3123" t="s">
        <v>8695</v>
      </c>
      <c r="J3123" t="s">
        <v>9065</v>
      </c>
      <c r="K3123">
        <v>10452</v>
      </c>
      <c r="L3123" t="s">
        <v>9094</v>
      </c>
      <c r="M3123" t="s">
        <v>9094</v>
      </c>
      <c r="N3123" t="s">
        <v>10291</v>
      </c>
      <c r="O3123" t="s">
        <v>11132</v>
      </c>
      <c r="P3123" t="s">
        <v>11165</v>
      </c>
      <c r="R3123" t="s">
        <v>11180</v>
      </c>
      <c r="S3123" t="s">
        <v>9094</v>
      </c>
      <c r="T3123" t="s">
        <v>11183</v>
      </c>
      <c r="V3123" t="s">
        <v>738</v>
      </c>
      <c r="W3123">
        <v>996</v>
      </c>
      <c r="X3123" t="s">
        <v>11333</v>
      </c>
      <c r="Y3123" t="s">
        <v>11346</v>
      </c>
      <c r="Z3123" t="s">
        <v>13462</v>
      </c>
      <c r="AB3123" t="s">
        <v>17800</v>
      </c>
      <c r="AC3123">
        <v>71</v>
      </c>
      <c r="AD3123" t="s">
        <v>19566</v>
      </c>
      <c r="AE3123" t="s">
        <v>9144</v>
      </c>
      <c r="AF3123">
        <v>5</v>
      </c>
      <c r="AG3123">
        <v>2</v>
      </c>
      <c r="AH3123">
        <v>0</v>
      </c>
      <c r="AI3123">
        <v>105.71</v>
      </c>
      <c r="AL3123" t="s">
        <v>19614</v>
      </c>
      <c r="AM3123">
        <v>17400</v>
      </c>
      <c r="AS3123">
        <v>0</v>
      </c>
      <c r="AU3123" t="s">
        <v>20642</v>
      </c>
    </row>
    <row r="3124" spans="1:48">
      <c r="A3124" s="1">
        <f>HYPERLINK("https://lsnyc.legalserver.org/matter/dynamic-profile/view/1885045","18-1885045")</f>
        <v>0</v>
      </c>
      <c r="B3124" t="s">
        <v>111</v>
      </c>
      <c r="C3124" t="s">
        <v>256</v>
      </c>
      <c r="D3124" t="s">
        <v>375</v>
      </c>
      <c r="F3124" t="s">
        <v>1143</v>
      </c>
      <c r="G3124" t="s">
        <v>4673</v>
      </c>
      <c r="H3124" t="s">
        <v>6260</v>
      </c>
      <c r="I3124" t="s">
        <v>8695</v>
      </c>
      <c r="J3124" t="s">
        <v>9065</v>
      </c>
      <c r="K3124">
        <v>10452</v>
      </c>
      <c r="L3124" t="s">
        <v>9094</v>
      </c>
      <c r="M3124" t="s">
        <v>9094</v>
      </c>
      <c r="N3124" t="s">
        <v>10292</v>
      </c>
      <c r="O3124" t="s">
        <v>11129</v>
      </c>
      <c r="P3124" t="s">
        <v>11165</v>
      </c>
      <c r="R3124" t="s">
        <v>11180</v>
      </c>
      <c r="S3124" t="s">
        <v>9096</v>
      </c>
      <c r="T3124" t="s">
        <v>11183</v>
      </c>
      <c r="V3124" t="s">
        <v>11281</v>
      </c>
      <c r="W3124">
        <v>996</v>
      </c>
      <c r="X3124" t="s">
        <v>11333</v>
      </c>
      <c r="Y3124" t="s">
        <v>11340</v>
      </c>
      <c r="Z3124" t="s">
        <v>13462</v>
      </c>
      <c r="AB3124" t="s">
        <v>17800</v>
      </c>
      <c r="AC3124">
        <v>71</v>
      </c>
      <c r="AD3124" t="s">
        <v>19566</v>
      </c>
      <c r="AE3124" t="s">
        <v>9144</v>
      </c>
      <c r="AF3124">
        <v>5</v>
      </c>
      <c r="AG3124">
        <v>2</v>
      </c>
      <c r="AH3124">
        <v>0</v>
      </c>
      <c r="AI3124">
        <v>105.71</v>
      </c>
      <c r="AL3124" t="s">
        <v>19614</v>
      </c>
      <c r="AM3124">
        <v>17400</v>
      </c>
      <c r="AS3124">
        <v>12.8</v>
      </c>
      <c r="AT3124" t="s">
        <v>347</v>
      </c>
      <c r="AU3124" t="s">
        <v>20642</v>
      </c>
    </row>
    <row r="3125" spans="1:48">
      <c r="A3125" s="1">
        <f>HYPERLINK("https://lsnyc.legalserver.org/matter/dynamic-profile/view/1906385","19-1906385")</f>
        <v>0</v>
      </c>
      <c r="B3125" t="s">
        <v>55</v>
      </c>
      <c r="C3125" t="s">
        <v>256</v>
      </c>
      <c r="D3125" t="s">
        <v>493</v>
      </c>
      <c r="F3125" t="s">
        <v>2267</v>
      </c>
      <c r="G3125" t="s">
        <v>4032</v>
      </c>
      <c r="H3125" t="s">
        <v>7214</v>
      </c>
      <c r="I3125" t="s">
        <v>8279</v>
      </c>
      <c r="J3125" t="s">
        <v>9050</v>
      </c>
      <c r="K3125">
        <v>11377</v>
      </c>
      <c r="L3125" t="s">
        <v>9094</v>
      </c>
      <c r="M3125" t="s">
        <v>9095</v>
      </c>
      <c r="N3125" t="s">
        <v>10293</v>
      </c>
      <c r="O3125" t="s">
        <v>11128</v>
      </c>
      <c r="P3125" t="s">
        <v>11165</v>
      </c>
      <c r="R3125" t="s">
        <v>11180</v>
      </c>
      <c r="S3125" t="s">
        <v>9096</v>
      </c>
      <c r="T3125" t="s">
        <v>11183</v>
      </c>
      <c r="U3125" t="s">
        <v>11201</v>
      </c>
      <c r="V3125" t="s">
        <v>493</v>
      </c>
      <c r="W3125">
        <v>1024</v>
      </c>
      <c r="X3125" t="s">
        <v>11331</v>
      </c>
      <c r="Y3125" t="s">
        <v>11336</v>
      </c>
      <c r="Z3125" t="s">
        <v>13463</v>
      </c>
      <c r="AB3125" t="s">
        <v>17801</v>
      </c>
      <c r="AC3125">
        <v>60</v>
      </c>
      <c r="AD3125" t="s">
        <v>19566</v>
      </c>
      <c r="AE3125" t="s">
        <v>9144</v>
      </c>
      <c r="AF3125">
        <v>26</v>
      </c>
      <c r="AG3125">
        <v>5</v>
      </c>
      <c r="AH3125">
        <v>1</v>
      </c>
      <c r="AI3125">
        <v>105.81</v>
      </c>
      <c r="AL3125" t="s">
        <v>19615</v>
      </c>
      <c r="AM3125">
        <v>36600</v>
      </c>
      <c r="AP3125" t="s">
        <v>11157</v>
      </c>
      <c r="AS3125">
        <v>13.05</v>
      </c>
      <c r="AT3125" t="s">
        <v>612</v>
      </c>
      <c r="AU3125" t="s">
        <v>20620</v>
      </c>
      <c r="AV3125" t="s">
        <v>20733</v>
      </c>
    </row>
    <row r="3126" spans="1:48">
      <c r="A3126" s="1">
        <f>HYPERLINK("https://lsnyc.legalserver.org/matter/dynamic-profile/view/1867904","18-1867904")</f>
        <v>0</v>
      </c>
      <c r="B3126" t="s">
        <v>136</v>
      </c>
      <c r="C3126" t="s">
        <v>256</v>
      </c>
      <c r="D3126" t="s">
        <v>894</v>
      </c>
      <c r="F3126" t="s">
        <v>2429</v>
      </c>
      <c r="G3126" t="s">
        <v>4674</v>
      </c>
      <c r="H3126" t="s">
        <v>6379</v>
      </c>
      <c r="I3126" t="s">
        <v>8265</v>
      </c>
      <c r="J3126" t="s">
        <v>9067</v>
      </c>
      <c r="K3126">
        <v>10031</v>
      </c>
      <c r="L3126" t="s">
        <v>9094</v>
      </c>
      <c r="M3126" t="s">
        <v>9095</v>
      </c>
      <c r="O3126" t="s">
        <v>11130</v>
      </c>
      <c r="P3126" t="s">
        <v>11167</v>
      </c>
      <c r="R3126" t="s">
        <v>11180</v>
      </c>
      <c r="S3126" t="s">
        <v>9094</v>
      </c>
      <c r="T3126" t="s">
        <v>11183</v>
      </c>
      <c r="V3126" t="s">
        <v>894</v>
      </c>
      <c r="W3126">
        <v>1712</v>
      </c>
      <c r="X3126" t="s">
        <v>11335</v>
      </c>
      <c r="Y3126" t="s">
        <v>11339</v>
      </c>
      <c r="Z3126" t="s">
        <v>13464</v>
      </c>
      <c r="AB3126" t="s">
        <v>17802</v>
      </c>
      <c r="AC3126">
        <v>42</v>
      </c>
      <c r="AD3126" t="s">
        <v>19567</v>
      </c>
      <c r="AE3126" t="s">
        <v>19580</v>
      </c>
      <c r="AF3126">
        <v>35</v>
      </c>
      <c r="AG3126">
        <v>1</v>
      </c>
      <c r="AH3126">
        <v>0</v>
      </c>
      <c r="AI3126">
        <v>105.86</v>
      </c>
      <c r="AL3126" t="s">
        <v>19614</v>
      </c>
      <c r="AM3126">
        <v>12852</v>
      </c>
      <c r="AS3126">
        <v>0.25</v>
      </c>
      <c r="AT3126" t="s">
        <v>360</v>
      </c>
      <c r="AU3126" t="s">
        <v>20657</v>
      </c>
      <c r="AV3126" t="s">
        <v>20733</v>
      </c>
    </row>
    <row r="3127" spans="1:48">
      <c r="A3127" s="1">
        <f>HYPERLINK("https://lsnyc.legalserver.org/matter/dynamic-profile/view/1884960","18-1884960")</f>
        <v>0</v>
      </c>
      <c r="B3127" t="s">
        <v>115</v>
      </c>
      <c r="C3127" t="s">
        <v>257</v>
      </c>
      <c r="D3127" t="s">
        <v>359</v>
      </c>
      <c r="E3127" t="s">
        <v>1134</v>
      </c>
      <c r="F3127" t="s">
        <v>2430</v>
      </c>
      <c r="G3127" t="s">
        <v>4675</v>
      </c>
      <c r="H3127" t="s">
        <v>5908</v>
      </c>
      <c r="I3127" t="s">
        <v>8446</v>
      </c>
      <c r="J3127" t="s">
        <v>9065</v>
      </c>
      <c r="K3127">
        <v>10451</v>
      </c>
      <c r="L3127" t="s">
        <v>9094</v>
      </c>
      <c r="M3127" t="s">
        <v>9094</v>
      </c>
      <c r="N3127" t="s">
        <v>10294</v>
      </c>
      <c r="O3127" t="s">
        <v>11129</v>
      </c>
      <c r="P3127" t="s">
        <v>11165</v>
      </c>
      <c r="Q3127" t="s">
        <v>11174</v>
      </c>
      <c r="R3127" t="s">
        <v>11180</v>
      </c>
      <c r="S3127" t="s">
        <v>9094</v>
      </c>
      <c r="T3127" t="s">
        <v>11183</v>
      </c>
      <c r="U3127" t="s">
        <v>11201</v>
      </c>
      <c r="V3127" t="s">
        <v>543</v>
      </c>
      <c r="W3127">
        <v>737.34</v>
      </c>
      <c r="X3127" t="s">
        <v>11333</v>
      </c>
      <c r="Y3127" t="s">
        <v>11346</v>
      </c>
      <c r="Z3127" t="s">
        <v>13465</v>
      </c>
      <c r="AB3127" t="s">
        <v>17803</v>
      </c>
      <c r="AC3127">
        <v>81</v>
      </c>
      <c r="AD3127" t="s">
        <v>19566</v>
      </c>
      <c r="AE3127" t="s">
        <v>9144</v>
      </c>
      <c r="AF3127">
        <v>26</v>
      </c>
      <c r="AG3127">
        <v>2</v>
      </c>
      <c r="AH3127">
        <v>1</v>
      </c>
      <c r="AI3127">
        <v>105.87</v>
      </c>
      <c r="AL3127" t="s">
        <v>19614</v>
      </c>
      <c r="AM3127">
        <v>22000</v>
      </c>
      <c r="AS3127">
        <v>14.6</v>
      </c>
      <c r="AT3127" t="s">
        <v>1134</v>
      </c>
      <c r="AU3127" t="s">
        <v>163</v>
      </c>
      <c r="AV3127" t="s">
        <v>20733</v>
      </c>
    </row>
    <row r="3128" spans="1:48">
      <c r="A3128" s="1">
        <f>HYPERLINK("https://lsnyc.legalserver.org/matter/dynamic-profile/view/1893985","19-1893985")</f>
        <v>0</v>
      </c>
      <c r="B3128" t="s">
        <v>126</v>
      </c>
      <c r="C3128" t="s">
        <v>256</v>
      </c>
      <c r="D3128" t="s">
        <v>278</v>
      </c>
      <c r="F3128" t="s">
        <v>2431</v>
      </c>
      <c r="G3128" t="s">
        <v>3409</v>
      </c>
      <c r="H3128" t="s">
        <v>7215</v>
      </c>
      <c r="I3128" t="s">
        <v>8704</v>
      </c>
      <c r="J3128" t="s">
        <v>9066</v>
      </c>
      <c r="K3128">
        <v>10304</v>
      </c>
      <c r="L3128" t="s">
        <v>9095</v>
      </c>
      <c r="M3128" t="s">
        <v>9095</v>
      </c>
      <c r="N3128" t="s">
        <v>10295</v>
      </c>
      <c r="O3128" t="s">
        <v>11129</v>
      </c>
      <c r="R3128" t="s">
        <v>11180</v>
      </c>
      <c r="S3128" t="s">
        <v>9096</v>
      </c>
      <c r="T3128" t="s">
        <v>11183</v>
      </c>
      <c r="U3128" t="s">
        <v>11201</v>
      </c>
      <c r="W3128">
        <v>959</v>
      </c>
      <c r="X3128" t="s">
        <v>11334</v>
      </c>
      <c r="Y3128" t="s">
        <v>11340</v>
      </c>
      <c r="Z3128" t="s">
        <v>12659</v>
      </c>
      <c r="AB3128" t="s">
        <v>17804</v>
      </c>
      <c r="AC3128">
        <v>0</v>
      </c>
      <c r="AD3128" t="s">
        <v>19566</v>
      </c>
      <c r="AF3128">
        <v>11</v>
      </c>
      <c r="AG3128">
        <v>2</v>
      </c>
      <c r="AH3128">
        <v>0</v>
      </c>
      <c r="AI3128">
        <v>105.88</v>
      </c>
      <c r="AL3128" t="s">
        <v>19614</v>
      </c>
      <c r="AM3128">
        <v>17904</v>
      </c>
      <c r="AS3128">
        <v>10.15</v>
      </c>
      <c r="AT3128" t="s">
        <v>496</v>
      </c>
      <c r="AU3128" t="s">
        <v>20653</v>
      </c>
      <c r="AV3128" t="s">
        <v>20733</v>
      </c>
    </row>
    <row r="3129" spans="1:48">
      <c r="A3129" s="1">
        <f>HYPERLINK("https://lsnyc.legalserver.org/matter/dynamic-profile/view/0830874","17-0830874")</f>
        <v>0</v>
      </c>
      <c r="B3129" t="s">
        <v>139</v>
      </c>
      <c r="C3129" t="s">
        <v>256</v>
      </c>
      <c r="D3129" t="s">
        <v>652</v>
      </c>
      <c r="F3129" t="s">
        <v>2432</v>
      </c>
      <c r="G3129" t="s">
        <v>3448</v>
      </c>
      <c r="H3129" t="s">
        <v>5959</v>
      </c>
      <c r="I3129">
        <v>51</v>
      </c>
      <c r="J3129" t="s">
        <v>9067</v>
      </c>
      <c r="K3129">
        <v>10032</v>
      </c>
      <c r="L3129" t="s">
        <v>9095</v>
      </c>
      <c r="M3129" t="s">
        <v>9095</v>
      </c>
      <c r="N3129" t="s">
        <v>10088</v>
      </c>
      <c r="O3129" t="s">
        <v>11130</v>
      </c>
      <c r="P3129" t="s">
        <v>11165</v>
      </c>
      <c r="R3129" t="s">
        <v>11180</v>
      </c>
      <c r="S3129" t="s">
        <v>9094</v>
      </c>
      <c r="T3129" t="s">
        <v>11183</v>
      </c>
      <c r="V3129" t="s">
        <v>1021</v>
      </c>
      <c r="W3129">
        <v>1198.29</v>
      </c>
      <c r="X3129" t="s">
        <v>11335</v>
      </c>
      <c r="Z3129" t="s">
        <v>13466</v>
      </c>
      <c r="AB3129" t="s">
        <v>17805</v>
      </c>
      <c r="AC3129">
        <v>35</v>
      </c>
      <c r="AD3129" t="s">
        <v>19566</v>
      </c>
      <c r="AE3129" t="s">
        <v>9144</v>
      </c>
      <c r="AF3129">
        <v>35</v>
      </c>
      <c r="AG3129">
        <v>2</v>
      </c>
      <c r="AH3129">
        <v>0</v>
      </c>
      <c r="AI3129">
        <v>105.91</v>
      </c>
      <c r="AJ3129" t="s">
        <v>704</v>
      </c>
      <c r="AL3129" t="s">
        <v>19614</v>
      </c>
      <c r="AM3129">
        <v>17199</v>
      </c>
      <c r="AS3129">
        <v>1.55</v>
      </c>
      <c r="AT3129" t="s">
        <v>421</v>
      </c>
      <c r="AU3129" t="s">
        <v>20657</v>
      </c>
    </row>
    <row r="3130" spans="1:48">
      <c r="A3130" s="1">
        <f>HYPERLINK("https://lsnyc.legalserver.org/matter/dynamic-profile/view/1863899","18-1863899")</f>
        <v>0</v>
      </c>
      <c r="B3130" t="s">
        <v>122</v>
      </c>
      <c r="C3130" t="s">
        <v>256</v>
      </c>
      <c r="D3130" t="s">
        <v>272</v>
      </c>
      <c r="F3130" t="s">
        <v>2433</v>
      </c>
      <c r="G3130" t="s">
        <v>4499</v>
      </c>
      <c r="H3130" t="s">
        <v>6669</v>
      </c>
      <c r="I3130" t="s">
        <v>8213</v>
      </c>
      <c r="J3130" t="s">
        <v>9066</v>
      </c>
      <c r="K3130">
        <v>10301</v>
      </c>
      <c r="L3130" t="s">
        <v>9094</v>
      </c>
      <c r="M3130" t="s">
        <v>9095</v>
      </c>
      <c r="N3130" t="s">
        <v>10296</v>
      </c>
      <c r="O3130" t="s">
        <v>11129</v>
      </c>
      <c r="P3130" t="s">
        <v>11165</v>
      </c>
      <c r="R3130" t="s">
        <v>11180</v>
      </c>
      <c r="S3130" t="s">
        <v>9096</v>
      </c>
      <c r="T3130" t="s">
        <v>11183</v>
      </c>
      <c r="U3130" t="s">
        <v>11201</v>
      </c>
      <c r="V3130" t="s">
        <v>504</v>
      </c>
      <c r="W3130">
        <v>409</v>
      </c>
      <c r="X3130" t="s">
        <v>11334</v>
      </c>
      <c r="Y3130" t="s">
        <v>11336</v>
      </c>
      <c r="Z3130" t="s">
        <v>13467</v>
      </c>
      <c r="AA3130" t="s">
        <v>15761</v>
      </c>
      <c r="AB3130" t="s">
        <v>17806</v>
      </c>
      <c r="AC3130">
        <v>454</v>
      </c>
      <c r="AD3130" t="s">
        <v>19570</v>
      </c>
      <c r="AE3130" t="s">
        <v>19580</v>
      </c>
      <c r="AF3130">
        <v>2</v>
      </c>
      <c r="AG3130">
        <v>1</v>
      </c>
      <c r="AH3130">
        <v>0</v>
      </c>
      <c r="AI3130">
        <v>105.96</v>
      </c>
      <c r="AL3130" t="s">
        <v>19614</v>
      </c>
      <c r="AM3130">
        <v>12864</v>
      </c>
      <c r="AS3130">
        <v>90.40000000000001</v>
      </c>
      <c r="AT3130" t="s">
        <v>487</v>
      </c>
      <c r="AU3130" t="s">
        <v>20718</v>
      </c>
      <c r="AV3130" t="s">
        <v>20733</v>
      </c>
    </row>
    <row r="3131" spans="1:48">
      <c r="A3131" s="1">
        <f>HYPERLINK("https://lsnyc.legalserver.org/matter/dynamic-profile/view/1899822","19-1899822")</f>
        <v>0</v>
      </c>
      <c r="B3131" t="s">
        <v>138</v>
      </c>
      <c r="C3131" t="s">
        <v>256</v>
      </c>
      <c r="D3131" t="s">
        <v>411</v>
      </c>
      <c r="F3131" t="s">
        <v>2048</v>
      </c>
      <c r="G3131" t="s">
        <v>3448</v>
      </c>
      <c r="H3131" t="s">
        <v>6723</v>
      </c>
      <c r="I3131" t="s">
        <v>8705</v>
      </c>
      <c r="J3131" t="s">
        <v>9067</v>
      </c>
      <c r="K3131">
        <v>10034</v>
      </c>
      <c r="L3131" t="s">
        <v>9094</v>
      </c>
      <c r="M3131" t="s">
        <v>9095</v>
      </c>
      <c r="P3131" t="s">
        <v>11166</v>
      </c>
      <c r="R3131" t="s">
        <v>11180</v>
      </c>
      <c r="S3131" t="s">
        <v>9096</v>
      </c>
      <c r="T3131" t="s">
        <v>11183</v>
      </c>
      <c r="V3131" t="s">
        <v>262</v>
      </c>
      <c r="W3131">
        <v>1287</v>
      </c>
      <c r="X3131" t="s">
        <v>11335</v>
      </c>
      <c r="Y3131" t="s">
        <v>11340</v>
      </c>
      <c r="Z3131" t="s">
        <v>12690</v>
      </c>
      <c r="AA3131" t="s">
        <v>15630</v>
      </c>
      <c r="AB3131" t="s">
        <v>17069</v>
      </c>
      <c r="AC3131">
        <v>57</v>
      </c>
      <c r="AD3131" t="s">
        <v>19566</v>
      </c>
      <c r="AE3131" t="s">
        <v>9144</v>
      </c>
      <c r="AF3131">
        <v>5</v>
      </c>
      <c r="AG3131">
        <v>2</v>
      </c>
      <c r="AH3131">
        <v>2</v>
      </c>
      <c r="AI3131">
        <v>106.02</v>
      </c>
      <c r="AL3131" t="s">
        <v>19615</v>
      </c>
      <c r="AM3131">
        <v>27300</v>
      </c>
      <c r="AS3131">
        <v>17.2</v>
      </c>
      <c r="AT3131" t="s">
        <v>832</v>
      </c>
      <c r="AU3131" t="s">
        <v>20631</v>
      </c>
      <c r="AV3131" t="s">
        <v>20733</v>
      </c>
    </row>
    <row r="3132" spans="1:48">
      <c r="A3132" s="1">
        <f>HYPERLINK("https://lsnyc.legalserver.org/matter/dynamic-profile/view/1904488","19-1904488")</f>
        <v>0</v>
      </c>
      <c r="B3132" t="s">
        <v>79</v>
      </c>
      <c r="C3132" t="s">
        <v>257</v>
      </c>
      <c r="D3132" t="s">
        <v>615</v>
      </c>
      <c r="E3132" t="s">
        <v>615</v>
      </c>
      <c r="F3132" t="s">
        <v>2434</v>
      </c>
      <c r="G3132" t="s">
        <v>4676</v>
      </c>
      <c r="H3132" t="s">
        <v>7216</v>
      </c>
      <c r="I3132" t="s">
        <v>8267</v>
      </c>
      <c r="J3132" t="s">
        <v>9059</v>
      </c>
      <c r="K3132">
        <v>11233</v>
      </c>
      <c r="L3132" t="s">
        <v>9096</v>
      </c>
      <c r="M3132" t="s">
        <v>9095</v>
      </c>
      <c r="N3132" t="s">
        <v>9154</v>
      </c>
      <c r="O3132" t="s">
        <v>9121</v>
      </c>
      <c r="P3132" t="s">
        <v>11164</v>
      </c>
      <c r="Q3132" t="s">
        <v>11172</v>
      </c>
      <c r="R3132" t="s">
        <v>11180</v>
      </c>
      <c r="S3132" t="s">
        <v>9096</v>
      </c>
      <c r="T3132" t="s">
        <v>11183</v>
      </c>
      <c r="W3132">
        <v>783</v>
      </c>
      <c r="X3132" t="s">
        <v>11332</v>
      </c>
      <c r="Z3132" t="s">
        <v>13468</v>
      </c>
      <c r="AC3132">
        <v>42</v>
      </c>
      <c r="AD3132" t="s">
        <v>19569</v>
      </c>
      <c r="AE3132" t="s">
        <v>9144</v>
      </c>
      <c r="AF3132">
        <v>7</v>
      </c>
      <c r="AG3132">
        <v>1</v>
      </c>
      <c r="AH3132">
        <v>4</v>
      </c>
      <c r="AI3132">
        <v>106.07</v>
      </c>
      <c r="AL3132" t="s">
        <v>19614</v>
      </c>
      <c r="AM3132">
        <v>32000</v>
      </c>
      <c r="AN3132" t="s">
        <v>19681</v>
      </c>
      <c r="AS3132">
        <v>0.5</v>
      </c>
      <c r="AT3132" t="s">
        <v>615</v>
      </c>
      <c r="AU3132" t="s">
        <v>20635</v>
      </c>
      <c r="AV3132" t="s">
        <v>9144</v>
      </c>
    </row>
    <row r="3133" spans="1:48">
      <c r="A3133" s="1">
        <f>HYPERLINK("https://lsnyc.legalserver.org/matter/dynamic-profile/view/1909640","19-1909640")</f>
        <v>0</v>
      </c>
      <c r="B3133" t="s">
        <v>65</v>
      </c>
      <c r="C3133" t="s">
        <v>256</v>
      </c>
      <c r="D3133" t="s">
        <v>444</v>
      </c>
      <c r="F3133" t="s">
        <v>1616</v>
      </c>
      <c r="G3133" t="s">
        <v>1969</v>
      </c>
      <c r="H3133" t="s">
        <v>7217</v>
      </c>
      <c r="I3133" t="s">
        <v>8129</v>
      </c>
      <c r="J3133" t="s">
        <v>9059</v>
      </c>
      <c r="K3133">
        <v>11210</v>
      </c>
      <c r="L3133" t="s">
        <v>9094</v>
      </c>
      <c r="M3133" t="s">
        <v>9095</v>
      </c>
      <c r="N3133" t="s">
        <v>10297</v>
      </c>
      <c r="O3133" t="s">
        <v>11128</v>
      </c>
      <c r="P3133" t="s">
        <v>11167</v>
      </c>
      <c r="R3133" t="s">
        <v>11180</v>
      </c>
      <c r="S3133" t="s">
        <v>9096</v>
      </c>
      <c r="T3133" t="s">
        <v>11183</v>
      </c>
      <c r="U3133" t="s">
        <v>11201</v>
      </c>
      <c r="V3133" t="s">
        <v>444</v>
      </c>
      <c r="W3133">
        <v>1004.5</v>
      </c>
      <c r="X3133" t="s">
        <v>11332</v>
      </c>
      <c r="Y3133" t="s">
        <v>11342</v>
      </c>
      <c r="Z3133" t="s">
        <v>13469</v>
      </c>
      <c r="AC3133">
        <v>4</v>
      </c>
      <c r="AD3133" t="s">
        <v>19565</v>
      </c>
      <c r="AE3133" t="s">
        <v>9144</v>
      </c>
      <c r="AF3133">
        <v>5</v>
      </c>
      <c r="AG3133">
        <v>2</v>
      </c>
      <c r="AH3133">
        <v>3</v>
      </c>
      <c r="AI3133">
        <v>106.07</v>
      </c>
      <c r="AL3133" t="s">
        <v>19620</v>
      </c>
      <c r="AM3133">
        <v>32000</v>
      </c>
      <c r="AO3133" t="s">
        <v>20290</v>
      </c>
      <c r="AS3133">
        <v>5</v>
      </c>
      <c r="AT3133" t="s">
        <v>444</v>
      </c>
      <c r="AU3133" t="s">
        <v>65</v>
      </c>
      <c r="AV3133" t="s">
        <v>20733</v>
      </c>
    </row>
    <row r="3134" spans="1:48">
      <c r="A3134" s="1">
        <f>HYPERLINK("https://lsnyc.legalserver.org/matter/dynamic-profile/view/1860216","18-1860216")</f>
        <v>0</v>
      </c>
      <c r="B3134" t="s">
        <v>52</v>
      </c>
      <c r="C3134" t="s">
        <v>256</v>
      </c>
      <c r="D3134" t="s">
        <v>828</v>
      </c>
      <c r="F3134" t="s">
        <v>2435</v>
      </c>
      <c r="G3134" t="s">
        <v>3630</v>
      </c>
      <c r="H3134" t="s">
        <v>6711</v>
      </c>
      <c r="I3134" t="s">
        <v>8429</v>
      </c>
      <c r="J3134" t="s">
        <v>9039</v>
      </c>
      <c r="K3134">
        <v>11432</v>
      </c>
      <c r="L3134" t="s">
        <v>9094</v>
      </c>
      <c r="M3134" t="s">
        <v>9095</v>
      </c>
      <c r="N3134" t="s">
        <v>9703</v>
      </c>
      <c r="O3134" t="s">
        <v>11135</v>
      </c>
      <c r="P3134" t="s">
        <v>11168</v>
      </c>
      <c r="R3134" t="s">
        <v>11180</v>
      </c>
      <c r="S3134" t="s">
        <v>9094</v>
      </c>
      <c r="T3134" t="s">
        <v>11189</v>
      </c>
      <c r="V3134" t="s">
        <v>11249</v>
      </c>
      <c r="W3134">
        <v>0</v>
      </c>
      <c r="X3134" t="s">
        <v>11331</v>
      </c>
      <c r="Y3134" t="s">
        <v>11341</v>
      </c>
      <c r="Z3134" t="s">
        <v>13470</v>
      </c>
      <c r="AA3134" t="s">
        <v>9171</v>
      </c>
      <c r="AB3134" t="s">
        <v>17807</v>
      </c>
      <c r="AC3134">
        <v>60</v>
      </c>
      <c r="AD3134" t="s">
        <v>19566</v>
      </c>
      <c r="AE3134" t="s">
        <v>9144</v>
      </c>
      <c r="AF3134">
        <v>0</v>
      </c>
      <c r="AG3134">
        <v>2</v>
      </c>
      <c r="AH3134">
        <v>4</v>
      </c>
      <c r="AI3134">
        <v>106.19</v>
      </c>
      <c r="AJ3134" t="s">
        <v>19592</v>
      </c>
      <c r="AL3134" t="s">
        <v>19615</v>
      </c>
      <c r="AM3134">
        <v>35000</v>
      </c>
      <c r="AS3134">
        <v>0.2</v>
      </c>
      <c r="AT3134" t="s">
        <v>848</v>
      </c>
      <c r="AU3134" t="s">
        <v>153</v>
      </c>
    </row>
    <row r="3135" spans="1:48">
      <c r="A3135" s="1">
        <f>HYPERLINK("https://lsnyc.legalserver.org/matter/dynamic-profile/view/1860305","18-1860305")</f>
        <v>0</v>
      </c>
      <c r="B3135" t="s">
        <v>52</v>
      </c>
      <c r="C3135" t="s">
        <v>256</v>
      </c>
      <c r="D3135" t="s">
        <v>364</v>
      </c>
      <c r="F3135" t="s">
        <v>2435</v>
      </c>
      <c r="G3135" t="s">
        <v>3630</v>
      </c>
      <c r="H3135" t="s">
        <v>6711</v>
      </c>
      <c r="I3135" t="s">
        <v>8429</v>
      </c>
      <c r="J3135" t="s">
        <v>9039</v>
      </c>
      <c r="K3135">
        <v>11432</v>
      </c>
      <c r="L3135" t="s">
        <v>9094</v>
      </c>
      <c r="M3135" t="s">
        <v>9095</v>
      </c>
      <c r="N3135" t="s">
        <v>9698</v>
      </c>
      <c r="O3135" t="s">
        <v>11135</v>
      </c>
      <c r="P3135" t="s">
        <v>11168</v>
      </c>
      <c r="R3135" t="s">
        <v>11180</v>
      </c>
      <c r="S3135" t="s">
        <v>9094</v>
      </c>
      <c r="T3135" t="s">
        <v>11189</v>
      </c>
      <c r="V3135" t="s">
        <v>11249</v>
      </c>
      <c r="W3135">
        <v>0</v>
      </c>
      <c r="X3135" t="s">
        <v>11331</v>
      </c>
      <c r="Y3135" t="s">
        <v>11341</v>
      </c>
      <c r="Z3135" t="s">
        <v>13470</v>
      </c>
      <c r="AA3135" t="s">
        <v>9171</v>
      </c>
      <c r="AB3135" t="s">
        <v>17807</v>
      </c>
      <c r="AC3135">
        <v>60</v>
      </c>
      <c r="AD3135" t="s">
        <v>19566</v>
      </c>
      <c r="AE3135" t="s">
        <v>9144</v>
      </c>
      <c r="AF3135">
        <v>0</v>
      </c>
      <c r="AG3135">
        <v>2</v>
      </c>
      <c r="AH3135">
        <v>4</v>
      </c>
      <c r="AI3135">
        <v>106.19</v>
      </c>
      <c r="AJ3135" t="s">
        <v>19592</v>
      </c>
      <c r="AL3135" t="s">
        <v>19615</v>
      </c>
      <c r="AM3135">
        <v>35000</v>
      </c>
      <c r="AS3135">
        <v>0.2</v>
      </c>
      <c r="AT3135" t="s">
        <v>848</v>
      </c>
      <c r="AU3135" t="s">
        <v>153</v>
      </c>
    </row>
    <row r="3136" spans="1:48">
      <c r="A3136" s="1">
        <f>HYPERLINK("https://lsnyc.legalserver.org/matter/dynamic-profile/view/1838024","17-1838024")</f>
        <v>0</v>
      </c>
      <c r="B3136" t="s">
        <v>103</v>
      </c>
      <c r="C3136" t="s">
        <v>256</v>
      </c>
      <c r="D3136" t="s">
        <v>776</v>
      </c>
      <c r="F3136" t="s">
        <v>1748</v>
      </c>
      <c r="G3136" t="s">
        <v>1404</v>
      </c>
      <c r="H3136" t="s">
        <v>6927</v>
      </c>
      <c r="I3136" t="s">
        <v>8266</v>
      </c>
      <c r="J3136" t="s">
        <v>9065</v>
      </c>
      <c r="K3136">
        <v>10473</v>
      </c>
      <c r="L3136" t="s">
        <v>9094</v>
      </c>
      <c r="M3136" t="s">
        <v>9095</v>
      </c>
      <c r="N3136" t="s">
        <v>10045</v>
      </c>
      <c r="O3136" t="s">
        <v>11135</v>
      </c>
      <c r="P3136" t="s">
        <v>11168</v>
      </c>
      <c r="R3136" t="s">
        <v>11180</v>
      </c>
      <c r="S3136" t="s">
        <v>9094</v>
      </c>
      <c r="T3136" t="s">
        <v>11183</v>
      </c>
      <c r="V3136" t="s">
        <v>11223</v>
      </c>
      <c r="W3136">
        <v>1449.4</v>
      </c>
      <c r="X3136" t="s">
        <v>11333</v>
      </c>
      <c r="Y3136" t="s">
        <v>11351</v>
      </c>
      <c r="Z3136" t="s">
        <v>13471</v>
      </c>
      <c r="AB3136" t="s">
        <v>17808</v>
      </c>
      <c r="AC3136">
        <v>976</v>
      </c>
      <c r="AD3136" t="s">
        <v>19566</v>
      </c>
      <c r="AE3136" t="s">
        <v>9144</v>
      </c>
      <c r="AF3136">
        <v>10</v>
      </c>
      <c r="AG3136">
        <v>4</v>
      </c>
      <c r="AH3136">
        <v>0</v>
      </c>
      <c r="AI3136">
        <v>106.34</v>
      </c>
      <c r="AJ3136" t="s">
        <v>936</v>
      </c>
      <c r="AL3136" t="s">
        <v>19614</v>
      </c>
      <c r="AM3136">
        <v>26160</v>
      </c>
      <c r="AS3136">
        <v>0</v>
      </c>
      <c r="AU3136" t="s">
        <v>20643</v>
      </c>
    </row>
    <row r="3137" spans="1:48">
      <c r="A3137" s="1">
        <f>HYPERLINK("https://lsnyc.legalserver.org/matter/dynamic-profile/view/1904483","19-1904483")</f>
        <v>0</v>
      </c>
      <c r="B3137" t="s">
        <v>114</v>
      </c>
      <c r="C3137" t="s">
        <v>257</v>
      </c>
      <c r="D3137" t="s">
        <v>615</v>
      </c>
      <c r="E3137" t="s">
        <v>476</v>
      </c>
      <c r="F3137" t="s">
        <v>1634</v>
      </c>
      <c r="G3137" t="s">
        <v>3690</v>
      </c>
      <c r="H3137" t="s">
        <v>6132</v>
      </c>
      <c r="I3137" t="s">
        <v>8168</v>
      </c>
      <c r="J3137" t="s">
        <v>9065</v>
      </c>
      <c r="K3137">
        <v>10470</v>
      </c>
      <c r="L3137" t="s">
        <v>9094</v>
      </c>
      <c r="M3137" t="s">
        <v>9095</v>
      </c>
      <c r="N3137" t="s">
        <v>9426</v>
      </c>
      <c r="O3137" t="s">
        <v>11130</v>
      </c>
      <c r="P3137" t="s">
        <v>11165</v>
      </c>
      <c r="Q3137" t="s">
        <v>11174</v>
      </c>
      <c r="R3137" t="s">
        <v>11180</v>
      </c>
      <c r="S3137" t="s">
        <v>9094</v>
      </c>
      <c r="T3137" t="s">
        <v>11183</v>
      </c>
      <c r="W3137">
        <v>1107.88</v>
      </c>
      <c r="X3137" t="s">
        <v>11333</v>
      </c>
      <c r="Y3137" t="s">
        <v>11346</v>
      </c>
      <c r="Z3137" t="s">
        <v>13472</v>
      </c>
      <c r="AB3137" t="s">
        <v>17809</v>
      </c>
      <c r="AC3137">
        <v>63</v>
      </c>
      <c r="AD3137" t="s">
        <v>15441</v>
      </c>
      <c r="AE3137" t="s">
        <v>19587</v>
      </c>
      <c r="AF3137">
        <v>20</v>
      </c>
      <c r="AG3137">
        <v>1</v>
      </c>
      <c r="AH3137">
        <v>0</v>
      </c>
      <c r="AI3137">
        <v>106.44</v>
      </c>
      <c r="AM3137">
        <v>13294.56</v>
      </c>
      <c r="AS3137">
        <v>0.75</v>
      </c>
      <c r="AT3137" t="s">
        <v>476</v>
      </c>
      <c r="AU3137" t="s">
        <v>20642</v>
      </c>
      <c r="AV3137" t="s">
        <v>20733</v>
      </c>
    </row>
    <row r="3138" spans="1:48">
      <c r="A3138" s="1">
        <f>HYPERLINK("https://lsnyc.legalserver.org/matter/dynamic-profile/view/1913348","19-1913348")</f>
        <v>0</v>
      </c>
      <c r="B3138" t="s">
        <v>57</v>
      </c>
      <c r="C3138" t="s">
        <v>256</v>
      </c>
      <c r="D3138" t="s">
        <v>286</v>
      </c>
      <c r="F3138" t="s">
        <v>2436</v>
      </c>
      <c r="G3138" t="s">
        <v>4677</v>
      </c>
      <c r="H3138" t="s">
        <v>7218</v>
      </c>
      <c r="I3138" t="s">
        <v>8140</v>
      </c>
      <c r="J3138" t="s">
        <v>9054</v>
      </c>
      <c r="K3138">
        <v>11368</v>
      </c>
      <c r="L3138" t="s">
        <v>9094</v>
      </c>
      <c r="M3138" t="s">
        <v>9095</v>
      </c>
      <c r="N3138" t="s">
        <v>10298</v>
      </c>
      <c r="O3138" t="s">
        <v>11128</v>
      </c>
      <c r="P3138" t="s">
        <v>11167</v>
      </c>
      <c r="R3138" t="s">
        <v>11180</v>
      </c>
      <c r="S3138" t="s">
        <v>9096</v>
      </c>
      <c r="T3138" t="s">
        <v>11183</v>
      </c>
      <c r="U3138" t="s">
        <v>11201</v>
      </c>
      <c r="V3138" t="s">
        <v>476</v>
      </c>
      <c r="W3138">
        <v>1155</v>
      </c>
      <c r="X3138" t="s">
        <v>11331</v>
      </c>
      <c r="Y3138" t="s">
        <v>11336</v>
      </c>
      <c r="Z3138" t="s">
        <v>13473</v>
      </c>
      <c r="AB3138" t="s">
        <v>17810</v>
      </c>
      <c r="AC3138">
        <v>8</v>
      </c>
      <c r="AD3138" t="s">
        <v>19566</v>
      </c>
      <c r="AE3138" t="s">
        <v>9144</v>
      </c>
      <c r="AF3138">
        <v>5</v>
      </c>
      <c r="AG3138">
        <v>2</v>
      </c>
      <c r="AH3138">
        <v>0</v>
      </c>
      <c r="AI3138">
        <v>106.45</v>
      </c>
      <c r="AL3138" t="s">
        <v>19614</v>
      </c>
      <c r="AM3138">
        <v>18000</v>
      </c>
      <c r="AS3138">
        <v>1.28</v>
      </c>
      <c r="AT3138" t="s">
        <v>476</v>
      </c>
      <c r="AU3138" t="s">
        <v>20619</v>
      </c>
      <c r="AV3138" t="s">
        <v>20733</v>
      </c>
    </row>
    <row r="3139" spans="1:48">
      <c r="A3139" s="1">
        <f>HYPERLINK("https://lsnyc.legalserver.org/matter/dynamic-profile/view/1912236","19-1912236")</f>
        <v>0</v>
      </c>
      <c r="B3139" t="s">
        <v>63</v>
      </c>
      <c r="C3139" t="s">
        <v>256</v>
      </c>
      <c r="D3139" t="s">
        <v>570</v>
      </c>
      <c r="F3139" t="s">
        <v>2437</v>
      </c>
      <c r="G3139" t="s">
        <v>4388</v>
      </c>
      <c r="H3139" t="s">
        <v>7219</v>
      </c>
      <c r="I3139" t="s">
        <v>8108</v>
      </c>
      <c r="J3139" t="s">
        <v>9055</v>
      </c>
      <c r="K3139">
        <v>11358</v>
      </c>
      <c r="L3139" t="s">
        <v>9094</v>
      </c>
      <c r="M3139" t="s">
        <v>9095</v>
      </c>
      <c r="N3139" t="s">
        <v>10299</v>
      </c>
      <c r="O3139" t="s">
        <v>11128</v>
      </c>
      <c r="P3139" t="s">
        <v>11169</v>
      </c>
      <c r="R3139" t="s">
        <v>11180</v>
      </c>
      <c r="S3139" t="s">
        <v>9096</v>
      </c>
      <c r="T3139" t="s">
        <v>11183</v>
      </c>
      <c r="W3139">
        <v>1500</v>
      </c>
      <c r="X3139" t="s">
        <v>11331</v>
      </c>
      <c r="Y3139" t="s">
        <v>11336</v>
      </c>
      <c r="Z3139" t="s">
        <v>13474</v>
      </c>
      <c r="AB3139" t="s">
        <v>17811</v>
      </c>
      <c r="AC3139">
        <v>3</v>
      </c>
      <c r="AE3139" t="s">
        <v>9144</v>
      </c>
      <c r="AF3139">
        <v>1</v>
      </c>
      <c r="AG3139">
        <v>2</v>
      </c>
      <c r="AH3139">
        <v>0</v>
      </c>
      <c r="AI3139">
        <v>106.45</v>
      </c>
      <c r="AL3139" t="s">
        <v>19623</v>
      </c>
      <c r="AM3139">
        <v>18000</v>
      </c>
      <c r="AS3139">
        <v>0.33</v>
      </c>
      <c r="AT3139" t="s">
        <v>570</v>
      </c>
      <c r="AU3139" t="s">
        <v>20619</v>
      </c>
      <c r="AV3139" t="s">
        <v>20733</v>
      </c>
    </row>
    <row r="3140" spans="1:48">
      <c r="A3140" s="1">
        <f>HYPERLINK("https://lsnyc.legalserver.org/matter/dynamic-profile/view/1895467","19-1895467")</f>
        <v>0</v>
      </c>
      <c r="B3140" t="s">
        <v>94</v>
      </c>
      <c r="C3140" t="s">
        <v>257</v>
      </c>
      <c r="D3140" t="s">
        <v>512</v>
      </c>
      <c r="E3140" t="s">
        <v>367</v>
      </c>
      <c r="F3140" t="s">
        <v>1430</v>
      </c>
      <c r="G3140" t="s">
        <v>3448</v>
      </c>
      <c r="H3140" t="s">
        <v>5973</v>
      </c>
      <c r="I3140" t="s">
        <v>8119</v>
      </c>
      <c r="J3140" t="s">
        <v>9059</v>
      </c>
      <c r="K3140">
        <v>11206</v>
      </c>
      <c r="L3140" t="s">
        <v>9094</v>
      </c>
      <c r="M3140" t="s">
        <v>9094</v>
      </c>
      <c r="N3140" t="s">
        <v>10300</v>
      </c>
      <c r="O3140" t="s">
        <v>11134</v>
      </c>
      <c r="P3140" t="s">
        <v>11166</v>
      </c>
      <c r="Q3140" t="s">
        <v>11172</v>
      </c>
      <c r="R3140" t="s">
        <v>11180</v>
      </c>
      <c r="S3140" t="s">
        <v>9094</v>
      </c>
      <c r="T3140" t="s">
        <v>11183</v>
      </c>
      <c r="V3140" t="s">
        <v>428</v>
      </c>
      <c r="W3140">
        <v>1245</v>
      </c>
      <c r="X3140" t="s">
        <v>11332</v>
      </c>
      <c r="Y3140" t="s">
        <v>11339</v>
      </c>
      <c r="Z3140" t="s">
        <v>11691</v>
      </c>
      <c r="AA3140" t="s">
        <v>15324</v>
      </c>
      <c r="AC3140">
        <v>8</v>
      </c>
      <c r="AD3140" t="s">
        <v>19566</v>
      </c>
      <c r="AE3140" t="s">
        <v>19588</v>
      </c>
      <c r="AF3140">
        <v>1</v>
      </c>
      <c r="AG3140">
        <v>2</v>
      </c>
      <c r="AH3140">
        <v>0</v>
      </c>
      <c r="AI3140">
        <v>106.45</v>
      </c>
      <c r="AL3140" t="s">
        <v>19614</v>
      </c>
      <c r="AM3140">
        <v>18000</v>
      </c>
      <c r="AN3140" t="s">
        <v>19929</v>
      </c>
      <c r="AS3140">
        <v>0.1</v>
      </c>
      <c r="AT3140" t="s">
        <v>445</v>
      </c>
      <c r="AU3140" t="s">
        <v>79</v>
      </c>
      <c r="AV3140" t="s">
        <v>20733</v>
      </c>
    </row>
    <row r="3141" spans="1:48">
      <c r="A3141" s="1">
        <f>HYPERLINK("https://lsnyc.legalserver.org/matter/dynamic-profile/view/1913423","19-1913423")</f>
        <v>0</v>
      </c>
      <c r="B3141" t="s">
        <v>115</v>
      </c>
      <c r="C3141" t="s">
        <v>256</v>
      </c>
      <c r="D3141" t="s">
        <v>286</v>
      </c>
      <c r="F3141" t="s">
        <v>2438</v>
      </c>
      <c r="G3141" t="s">
        <v>4678</v>
      </c>
      <c r="H3141" t="s">
        <v>7220</v>
      </c>
      <c r="I3141" t="s">
        <v>8302</v>
      </c>
      <c r="J3141" t="s">
        <v>9065</v>
      </c>
      <c r="K3141">
        <v>10460</v>
      </c>
      <c r="L3141" t="s">
        <v>9094</v>
      </c>
      <c r="M3141" t="s">
        <v>9095</v>
      </c>
      <c r="O3141" t="s">
        <v>11128</v>
      </c>
      <c r="P3141" t="s">
        <v>11164</v>
      </c>
      <c r="R3141" t="s">
        <v>11180</v>
      </c>
      <c r="T3141" t="s">
        <v>11183</v>
      </c>
      <c r="U3141" t="s">
        <v>11201</v>
      </c>
      <c r="W3141">
        <v>938</v>
      </c>
      <c r="X3141" t="s">
        <v>11333</v>
      </c>
      <c r="Y3141" t="s">
        <v>11341</v>
      </c>
      <c r="Z3141" t="s">
        <v>13475</v>
      </c>
      <c r="AB3141" t="s">
        <v>17812</v>
      </c>
      <c r="AC3141">
        <v>0</v>
      </c>
      <c r="AD3141" t="s">
        <v>19566</v>
      </c>
      <c r="AF3141">
        <v>19</v>
      </c>
      <c r="AG3141">
        <v>2</v>
      </c>
      <c r="AH3141">
        <v>0</v>
      </c>
      <c r="AI3141">
        <v>106.45</v>
      </c>
      <c r="AL3141" t="s">
        <v>19614</v>
      </c>
      <c r="AM3141">
        <v>18000</v>
      </c>
      <c r="AS3141">
        <v>0.1</v>
      </c>
      <c r="AT3141" t="s">
        <v>484</v>
      </c>
      <c r="AU3141" t="s">
        <v>115</v>
      </c>
      <c r="AV3141" t="s">
        <v>20733</v>
      </c>
    </row>
    <row r="3142" spans="1:48">
      <c r="A3142" s="1">
        <f>HYPERLINK("https://lsnyc.legalserver.org/matter/dynamic-profile/view/1904655","19-1904655")</f>
        <v>0</v>
      </c>
      <c r="B3142" t="s">
        <v>119</v>
      </c>
      <c r="C3142" t="s">
        <v>256</v>
      </c>
      <c r="D3142" t="s">
        <v>497</v>
      </c>
      <c r="F3142" t="s">
        <v>1222</v>
      </c>
      <c r="G3142" t="s">
        <v>4679</v>
      </c>
      <c r="H3142" t="s">
        <v>6095</v>
      </c>
      <c r="I3142" t="s">
        <v>8178</v>
      </c>
      <c r="J3142" t="s">
        <v>9065</v>
      </c>
      <c r="K3142">
        <v>10456</v>
      </c>
      <c r="L3142" t="s">
        <v>9094</v>
      </c>
      <c r="M3142" t="s">
        <v>9095</v>
      </c>
      <c r="N3142" t="s">
        <v>9401</v>
      </c>
      <c r="O3142" t="s">
        <v>11134</v>
      </c>
      <c r="P3142" t="s">
        <v>11168</v>
      </c>
      <c r="R3142" t="s">
        <v>11180</v>
      </c>
      <c r="S3142" t="s">
        <v>9094</v>
      </c>
      <c r="T3142" t="s">
        <v>11183</v>
      </c>
      <c r="V3142" t="s">
        <v>11218</v>
      </c>
      <c r="W3142">
        <v>947.5</v>
      </c>
      <c r="X3142" t="s">
        <v>11333</v>
      </c>
      <c r="Y3142" t="s">
        <v>11346</v>
      </c>
      <c r="Z3142" t="s">
        <v>13476</v>
      </c>
      <c r="AB3142" t="s">
        <v>17813</v>
      </c>
      <c r="AC3142">
        <v>131</v>
      </c>
      <c r="AD3142" t="s">
        <v>19566</v>
      </c>
      <c r="AE3142" t="s">
        <v>9144</v>
      </c>
      <c r="AF3142">
        <v>25</v>
      </c>
      <c r="AG3142">
        <v>2</v>
      </c>
      <c r="AH3142">
        <v>0</v>
      </c>
      <c r="AI3142">
        <v>106.45</v>
      </c>
      <c r="AL3142" t="s">
        <v>19614</v>
      </c>
      <c r="AM3142">
        <v>18000</v>
      </c>
      <c r="AS3142">
        <v>0</v>
      </c>
      <c r="AU3142" t="s">
        <v>163</v>
      </c>
      <c r="AV3142" t="s">
        <v>20733</v>
      </c>
    </row>
    <row r="3143" spans="1:48">
      <c r="A3143" s="1">
        <f>HYPERLINK("https://lsnyc.legalserver.org/matter/dynamic-profile/view/1902565","19-1902565")</f>
        <v>0</v>
      </c>
      <c r="B3143" t="s">
        <v>132</v>
      </c>
      <c r="C3143" t="s">
        <v>257</v>
      </c>
      <c r="D3143" t="s">
        <v>993</v>
      </c>
      <c r="E3143" t="s">
        <v>377</v>
      </c>
      <c r="F3143" t="s">
        <v>1898</v>
      </c>
      <c r="G3143" t="s">
        <v>4680</v>
      </c>
      <c r="H3143" t="s">
        <v>7221</v>
      </c>
      <c r="I3143" t="s">
        <v>8178</v>
      </c>
      <c r="J3143" t="s">
        <v>9067</v>
      </c>
      <c r="K3143">
        <v>10034</v>
      </c>
      <c r="L3143" t="s">
        <v>9094</v>
      </c>
      <c r="M3143" t="s">
        <v>9095</v>
      </c>
      <c r="O3143" t="s">
        <v>9121</v>
      </c>
      <c r="P3143" t="s">
        <v>11164</v>
      </c>
      <c r="Q3143" t="s">
        <v>11172</v>
      </c>
      <c r="R3143" t="s">
        <v>11180</v>
      </c>
      <c r="S3143" t="s">
        <v>9096</v>
      </c>
      <c r="T3143" t="s">
        <v>11183</v>
      </c>
      <c r="V3143" t="s">
        <v>549</v>
      </c>
      <c r="W3143">
        <v>1061</v>
      </c>
      <c r="X3143" t="s">
        <v>11335</v>
      </c>
      <c r="Y3143" t="s">
        <v>11338</v>
      </c>
      <c r="Z3143" t="s">
        <v>13477</v>
      </c>
      <c r="AB3143" t="s">
        <v>17814</v>
      </c>
      <c r="AC3143">
        <v>30</v>
      </c>
      <c r="AD3143" t="s">
        <v>15441</v>
      </c>
      <c r="AE3143" t="s">
        <v>9144</v>
      </c>
      <c r="AF3143">
        <v>4</v>
      </c>
      <c r="AG3143">
        <v>2</v>
      </c>
      <c r="AH3143">
        <v>0</v>
      </c>
      <c r="AI3143">
        <v>106.45</v>
      </c>
      <c r="AL3143" t="s">
        <v>19615</v>
      </c>
      <c r="AM3143">
        <v>18000</v>
      </c>
      <c r="AQ3143" t="s">
        <v>20369</v>
      </c>
      <c r="AS3143">
        <v>2</v>
      </c>
      <c r="AT3143" t="s">
        <v>549</v>
      </c>
      <c r="AU3143" t="s">
        <v>20635</v>
      </c>
      <c r="AV3143" t="s">
        <v>20733</v>
      </c>
    </row>
    <row r="3144" spans="1:48">
      <c r="A3144" s="1">
        <f>HYPERLINK("https://lsnyc.legalserver.org/matter/dynamic-profile/view/1848555","17-1848555")</f>
        <v>0</v>
      </c>
      <c r="B3144" t="s">
        <v>113</v>
      </c>
      <c r="C3144" t="s">
        <v>257</v>
      </c>
      <c r="D3144" t="s">
        <v>994</v>
      </c>
      <c r="E3144" t="s">
        <v>551</v>
      </c>
      <c r="F3144" t="s">
        <v>1238</v>
      </c>
      <c r="G3144" t="s">
        <v>3448</v>
      </c>
      <c r="H3144" t="s">
        <v>7222</v>
      </c>
      <c r="I3144" t="s">
        <v>8168</v>
      </c>
      <c r="J3144" t="s">
        <v>9065</v>
      </c>
      <c r="K3144">
        <v>10452</v>
      </c>
      <c r="L3144" t="s">
        <v>9094</v>
      </c>
      <c r="M3144" t="s">
        <v>9095</v>
      </c>
      <c r="N3144" t="s">
        <v>10301</v>
      </c>
      <c r="O3144" t="s">
        <v>11130</v>
      </c>
      <c r="P3144" t="s">
        <v>11165</v>
      </c>
      <c r="Q3144" t="s">
        <v>11174</v>
      </c>
      <c r="R3144" t="s">
        <v>11180</v>
      </c>
      <c r="S3144" t="s">
        <v>9096</v>
      </c>
      <c r="T3144" t="s">
        <v>11183</v>
      </c>
      <c r="V3144" t="s">
        <v>877</v>
      </c>
      <c r="W3144">
        <v>1029.33</v>
      </c>
      <c r="X3144" t="s">
        <v>11333</v>
      </c>
      <c r="Y3144" t="s">
        <v>11341</v>
      </c>
      <c r="Z3144" t="s">
        <v>13478</v>
      </c>
      <c r="AA3144" t="s">
        <v>15762</v>
      </c>
      <c r="AB3144" t="s">
        <v>17815</v>
      </c>
      <c r="AC3144">
        <v>102</v>
      </c>
      <c r="AD3144" t="s">
        <v>15441</v>
      </c>
      <c r="AE3144" t="s">
        <v>9144</v>
      </c>
      <c r="AF3144">
        <v>19</v>
      </c>
      <c r="AG3144">
        <v>4</v>
      </c>
      <c r="AH3144">
        <v>1</v>
      </c>
      <c r="AI3144">
        <v>106.48</v>
      </c>
      <c r="AL3144" t="s">
        <v>19614</v>
      </c>
      <c r="AM3144">
        <v>30644</v>
      </c>
      <c r="AS3144">
        <v>223.18</v>
      </c>
      <c r="AT3144" t="s">
        <v>329</v>
      </c>
      <c r="AU3144" t="s">
        <v>20619</v>
      </c>
    </row>
    <row r="3145" spans="1:48">
      <c r="A3145" s="1">
        <f>HYPERLINK("https://lsnyc.legalserver.org/matter/dynamic-profile/view/1863649","18-1863649")</f>
        <v>0</v>
      </c>
      <c r="B3145" t="s">
        <v>122</v>
      </c>
      <c r="C3145" t="s">
        <v>256</v>
      </c>
      <c r="D3145" t="s">
        <v>943</v>
      </c>
      <c r="F3145" t="s">
        <v>1884</v>
      </c>
      <c r="G3145" t="s">
        <v>4681</v>
      </c>
      <c r="H3145" t="s">
        <v>7223</v>
      </c>
      <c r="I3145" t="s">
        <v>8132</v>
      </c>
      <c r="J3145" t="s">
        <v>9066</v>
      </c>
      <c r="K3145">
        <v>10301</v>
      </c>
      <c r="L3145" t="s">
        <v>9094</v>
      </c>
      <c r="M3145" t="s">
        <v>9095</v>
      </c>
      <c r="N3145" t="s">
        <v>9144</v>
      </c>
      <c r="O3145" t="s">
        <v>9121</v>
      </c>
      <c r="P3145" t="s">
        <v>11169</v>
      </c>
      <c r="R3145" t="s">
        <v>11180</v>
      </c>
      <c r="S3145" t="s">
        <v>9096</v>
      </c>
      <c r="T3145" t="s">
        <v>11183</v>
      </c>
      <c r="U3145" t="s">
        <v>11201</v>
      </c>
      <c r="V3145" t="s">
        <v>1034</v>
      </c>
      <c r="W3145">
        <v>1170</v>
      </c>
      <c r="X3145" t="s">
        <v>11334</v>
      </c>
      <c r="Y3145" t="s">
        <v>11339</v>
      </c>
      <c r="Z3145" t="s">
        <v>13479</v>
      </c>
      <c r="AA3145" t="s">
        <v>9144</v>
      </c>
      <c r="AB3145" t="s">
        <v>17816</v>
      </c>
      <c r="AC3145">
        <v>21</v>
      </c>
      <c r="AD3145" t="s">
        <v>15441</v>
      </c>
      <c r="AE3145" t="s">
        <v>9144</v>
      </c>
      <c r="AF3145">
        <v>10</v>
      </c>
      <c r="AG3145">
        <v>4</v>
      </c>
      <c r="AH3145">
        <v>3</v>
      </c>
      <c r="AI3145">
        <v>106.51</v>
      </c>
      <c r="AL3145" t="s">
        <v>19614</v>
      </c>
      <c r="AM3145">
        <v>40537.32</v>
      </c>
      <c r="AS3145">
        <v>6.5</v>
      </c>
      <c r="AT3145" t="s">
        <v>294</v>
      </c>
      <c r="AU3145" t="s">
        <v>20652</v>
      </c>
      <c r="AV3145" t="s">
        <v>20733</v>
      </c>
    </row>
    <row r="3146" spans="1:48">
      <c r="A3146" s="1">
        <f>HYPERLINK("https://lsnyc.legalserver.org/matter/dynamic-profile/view/1906127","19-1906127")</f>
        <v>0</v>
      </c>
      <c r="B3146" t="s">
        <v>95</v>
      </c>
      <c r="C3146" t="s">
        <v>257</v>
      </c>
      <c r="D3146" t="s">
        <v>330</v>
      </c>
      <c r="E3146" t="s">
        <v>372</v>
      </c>
      <c r="F3146" t="s">
        <v>2439</v>
      </c>
      <c r="G3146" t="s">
        <v>4682</v>
      </c>
      <c r="H3146" t="s">
        <v>7224</v>
      </c>
      <c r="I3146">
        <v>1</v>
      </c>
      <c r="J3146" t="s">
        <v>9059</v>
      </c>
      <c r="K3146">
        <v>11233</v>
      </c>
      <c r="L3146" t="s">
        <v>9096</v>
      </c>
      <c r="M3146" t="s">
        <v>9095</v>
      </c>
      <c r="N3146" t="s">
        <v>9102</v>
      </c>
      <c r="O3146" t="s">
        <v>9121</v>
      </c>
      <c r="P3146" t="s">
        <v>11164</v>
      </c>
      <c r="Q3146" t="s">
        <v>11172</v>
      </c>
      <c r="R3146" t="s">
        <v>11180</v>
      </c>
      <c r="S3146" t="s">
        <v>9096</v>
      </c>
      <c r="T3146" t="s">
        <v>11183</v>
      </c>
      <c r="U3146" t="s">
        <v>11201</v>
      </c>
      <c r="W3146">
        <v>1284</v>
      </c>
      <c r="X3146" t="s">
        <v>11332</v>
      </c>
      <c r="Y3146" t="s">
        <v>11157</v>
      </c>
      <c r="Z3146" t="s">
        <v>13480</v>
      </c>
      <c r="AA3146" t="s">
        <v>15763</v>
      </c>
      <c r="AC3146">
        <v>3</v>
      </c>
      <c r="AD3146" t="s">
        <v>19565</v>
      </c>
      <c r="AE3146" t="s">
        <v>19582</v>
      </c>
      <c r="AF3146">
        <v>1</v>
      </c>
      <c r="AG3146">
        <v>1</v>
      </c>
      <c r="AH3146">
        <v>1</v>
      </c>
      <c r="AI3146">
        <v>106.52</v>
      </c>
      <c r="AL3146" t="s">
        <v>19614</v>
      </c>
      <c r="AM3146">
        <v>18012</v>
      </c>
      <c r="AS3146">
        <v>0.5</v>
      </c>
      <c r="AT3146" t="s">
        <v>330</v>
      </c>
      <c r="AU3146" t="s">
        <v>20632</v>
      </c>
      <c r="AV3146" t="s">
        <v>9144</v>
      </c>
    </row>
    <row r="3147" spans="1:48">
      <c r="A3147" s="1">
        <f>HYPERLINK("https://lsnyc.legalserver.org/matter/dynamic-profile/view/1912781","19-1912781")</f>
        <v>0</v>
      </c>
      <c r="B3147" t="s">
        <v>72</v>
      </c>
      <c r="C3147" t="s">
        <v>256</v>
      </c>
      <c r="D3147" t="s">
        <v>563</v>
      </c>
      <c r="F3147" t="s">
        <v>2440</v>
      </c>
      <c r="G3147" t="s">
        <v>4683</v>
      </c>
      <c r="H3147" t="s">
        <v>5836</v>
      </c>
      <c r="I3147" t="s">
        <v>8244</v>
      </c>
      <c r="J3147" t="s">
        <v>9059</v>
      </c>
      <c r="K3147">
        <v>11207</v>
      </c>
      <c r="L3147" t="s">
        <v>9095</v>
      </c>
      <c r="M3147" t="s">
        <v>9095</v>
      </c>
      <c r="N3147" t="s">
        <v>10302</v>
      </c>
      <c r="O3147" t="s">
        <v>11129</v>
      </c>
      <c r="P3147" t="s">
        <v>11169</v>
      </c>
      <c r="R3147" t="s">
        <v>11180</v>
      </c>
      <c r="S3147" t="s">
        <v>9096</v>
      </c>
      <c r="T3147" t="s">
        <v>11183</v>
      </c>
      <c r="U3147" t="s">
        <v>11202</v>
      </c>
      <c r="W3147">
        <v>873</v>
      </c>
      <c r="X3147" t="s">
        <v>11332</v>
      </c>
      <c r="Y3147" t="s">
        <v>11341</v>
      </c>
      <c r="Z3147" t="s">
        <v>13481</v>
      </c>
      <c r="AB3147" t="s">
        <v>17817</v>
      </c>
      <c r="AC3147">
        <v>168</v>
      </c>
      <c r="AD3147" t="s">
        <v>19566</v>
      </c>
      <c r="AE3147" t="s">
        <v>19580</v>
      </c>
      <c r="AF3147">
        <v>4</v>
      </c>
      <c r="AG3147">
        <v>1</v>
      </c>
      <c r="AH3147">
        <v>3</v>
      </c>
      <c r="AI3147">
        <v>106.53</v>
      </c>
      <c r="AL3147" t="s">
        <v>19614</v>
      </c>
      <c r="AM3147">
        <v>27432</v>
      </c>
      <c r="AS3147">
        <v>0.85</v>
      </c>
      <c r="AT3147" t="s">
        <v>484</v>
      </c>
      <c r="AU3147" t="s">
        <v>20632</v>
      </c>
    </row>
    <row r="3148" spans="1:48">
      <c r="A3148" s="1">
        <f>HYPERLINK("https://lsnyc.legalserver.org/matter/dynamic-profile/view/1902483","19-1902483")</f>
        <v>0</v>
      </c>
      <c r="B3148" t="s">
        <v>217</v>
      </c>
      <c r="C3148" t="s">
        <v>257</v>
      </c>
      <c r="D3148" t="s">
        <v>798</v>
      </c>
      <c r="E3148" t="s">
        <v>498</v>
      </c>
      <c r="F3148" t="s">
        <v>1578</v>
      </c>
      <c r="G3148" t="s">
        <v>4684</v>
      </c>
      <c r="H3148" t="s">
        <v>7225</v>
      </c>
      <c r="I3148">
        <v>6</v>
      </c>
      <c r="J3148" t="s">
        <v>9067</v>
      </c>
      <c r="K3148">
        <v>10012</v>
      </c>
      <c r="L3148" t="s">
        <v>9094</v>
      </c>
      <c r="M3148" t="s">
        <v>9095</v>
      </c>
      <c r="N3148" t="s">
        <v>10303</v>
      </c>
      <c r="O3148" t="s">
        <v>11129</v>
      </c>
      <c r="P3148" t="s">
        <v>11167</v>
      </c>
      <c r="Q3148" t="s">
        <v>11173</v>
      </c>
      <c r="R3148" t="s">
        <v>11180</v>
      </c>
      <c r="S3148" t="s">
        <v>9096</v>
      </c>
      <c r="T3148" t="s">
        <v>11183</v>
      </c>
      <c r="V3148" t="s">
        <v>798</v>
      </c>
      <c r="W3148">
        <v>207.16</v>
      </c>
      <c r="X3148" t="s">
        <v>11335</v>
      </c>
      <c r="Z3148" t="s">
        <v>13482</v>
      </c>
      <c r="AB3148" t="s">
        <v>17818</v>
      </c>
      <c r="AC3148">
        <v>0</v>
      </c>
      <c r="AD3148" t="s">
        <v>19566</v>
      </c>
      <c r="AE3148" t="s">
        <v>19587</v>
      </c>
      <c r="AF3148">
        <v>37</v>
      </c>
      <c r="AG3148">
        <v>1</v>
      </c>
      <c r="AH3148">
        <v>0</v>
      </c>
      <c r="AI3148">
        <v>106.65</v>
      </c>
      <c r="AM3148">
        <v>13320</v>
      </c>
      <c r="AS3148">
        <v>2</v>
      </c>
      <c r="AT3148" t="s">
        <v>736</v>
      </c>
      <c r="AU3148" t="s">
        <v>20655</v>
      </c>
      <c r="AV3148" t="s">
        <v>20733</v>
      </c>
    </row>
    <row r="3149" spans="1:48">
      <c r="A3149" s="1">
        <f>HYPERLINK("https://lsnyc.legalserver.org/matter/dynamic-profile/view/1883440","18-1883440")</f>
        <v>0</v>
      </c>
      <c r="B3149" t="s">
        <v>67</v>
      </c>
      <c r="C3149" t="s">
        <v>257</v>
      </c>
      <c r="D3149" t="s">
        <v>583</v>
      </c>
      <c r="E3149" t="s">
        <v>414</v>
      </c>
      <c r="F3149" t="s">
        <v>2441</v>
      </c>
      <c r="G3149" t="s">
        <v>1362</v>
      </c>
      <c r="H3149" t="s">
        <v>7226</v>
      </c>
      <c r="I3149">
        <v>1</v>
      </c>
      <c r="J3149" t="s">
        <v>9059</v>
      </c>
      <c r="K3149">
        <v>11203</v>
      </c>
      <c r="L3149" t="s">
        <v>9095</v>
      </c>
      <c r="M3149" t="s">
        <v>9095</v>
      </c>
      <c r="Q3149" t="s">
        <v>11172</v>
      </c>
      <c r="R3149" t="s">
        <v>11180</v>
      </c>
      <c r="T3149" t="s">
        <v>11183</v>
      </c>
      <c r="W3149">
        <v>0</v>
      </c>
      <c r="X3149" t="s">
        <v>11332</v>
      </c>
      <c r="Z3149" t="s">
        <v>13483</v>
      </c>
      <c r="AC3149">
        <v>0</v>
      </c>
      <c r="AF3149">
        <v>0</v>
      </c>
      <c r="AG3149">
        <v>5</v>
      </c>
      <c r="AH3149">
        <v>1</v>
      </c>
      <c r="AI3149">
        <v>106.7</v>
      </c>
      <c r="AL3149" t="s">
        <v>19637</v>
      </c>
      <c r="AM3149">
        <v>36000</v>
      </c>
      <c r="AS3149">
        <v>0.9</v>
      </c>
      <c r="AT3149" t="s">
        <v>414</v>
      </c>
      <c r="AU3149" t="s">
        <v>67</v>
      </c>
    </row>
    <row r="3150" spans="1:48">
      <c r="A3150" s="1">
        <f>HYPERLINK("https://lsnyc.legalserver.org/matter/dynamic-profile/view/1874579","18-1874579")</f>
        <v>0</v>
      </c>
      <c r="B3150" t="s">
        <v>140</v>
      </c>
      <c r="C3150" t="s">
        <v>256</v>
      </c>
      <c r="D3150" t="s">
        <v>568</v>
      </c>
      <c r="F3150" t="s">
        <v>2442</v>
      </c>
      <c r="G3150" t="s">
        <v>4685</v>
      </c>
      <c r="H3150" t="s">
        <v>6749</v>
      </c>
      <c r="I3150" t="s">
        <v>8112</v>
      </c>
      <c r="J3150" t="s">
        <v>9067</v>
      </c>
      <c r="K3150">
        <v>10034</v>
      </c>
      <c r="L3150" t="s">
        <v>9094</v>
      </c>
      <c r="M3150" t="s">
        <v>9094</v>
      </c>
      <c r="O3150" t="s">
        <v>11130</v>
      </c>
      <c r="P3150" t="s">
        <v>11165</v>
      </c>
      <c r="R3150" t="s">
        <v>11180</v>
      </c>
      <c r="S3150" t="s">
        <v>9094</v>
      </c>
      <c r="T3150" t="s">
        <v>11183</v>
      </c>
      <c r="V3150" t="s">
        <v>568</v>
      </c>
      <c r="W3150">
        <v>257</v>
      </c>
      <c r="X3150" t="s">
        <v>11335</v>
      </c>
      <c r="Y3150" t="s">
        <v>11338</v>
      </c>
      <c r="Z3150" t="s">
        <v>13149</v>
      </c>
      <c r="AB3150" t="s">
        <v>17819</v>
      </c>
      <c r="AC3150">
        <v>63</v>
      </c>
      <c r="AD3150" t="s">
        <v>19566</v>
      </c>
      <c r="AE3150" t="s">
        <v>9144</v>
      </c>
      <c r="AF3150">
        <v>18</v>
      </c>
      <c r="AG3150">
        <v>1</v>
      </c>
      <c r="AH3150">
        <v>0</v>
      </c>
      <c r="AI3150">
        <v>106.75</v>
      </c>
      <c r="AL3150" t="s">
        <v>19614</v>
      </c>
      <c r="AM3150">
        <v>12960</v>
      </c>
      <c r="AS3150">
        <v>4.05</v>
      </c>
      <c r="AT3150" t="s">
        <v>744</v>
      </c>
      <c r="AU3150" t="s">
        <v>130</v>
      </c>
    </row>
    <row r="3151" spans="1:48">
      <c r="A3151" s="1">
        <f>HYPERLINK("https://lsnyc.legalserver.org/matter/dynamic-profile/view/1912552","19-1912552")</f>
        <v>0</v>
      </c>
      <c r="B3151" t="s">
        <v>231</v>
      </c>
      <c r="C3151" t="s">
        <v>256</v>
      </c>
      <c r="D3151" t="s">
        <v>263</v>
      </c>
      <c r="F3151" t="s">
        <v>2443</v>
      </c>
      <c r="G3151" t="s">
        <v>3374</v>
      </c>
      <c r="H3151" t="s">
        <v>6004</v>
      </c>
      <c r="I3151">
        <v>6</v>
      </c>
      <c r="J3151" t="s">
        <v>9067</v>
      </c>
      <c r="K3151">
        <v>10034</v>
      </c>
      <c r="L3151" t="s">
        <v>9094</v>
      </c>
      <c r="M3151" t="s">
        <v>9095</v>
      </c>
      <c r="O3151" t="s">
        <v>11134</v>
      </c>
      <c r="P3151" t="s">
        <v>11169</v>
      </c>
      <c r="R3151" t="s">
        <v>11180</v>
      </c>
      <c r="S3151" t="s">
        <v>9096</v>
      </c>
      <c r="T3151" t="s">
        <v>11183</v>
      </c>
      <c r="V3151" t="s">
        <v>263</v>
      </c>
      <c r="W3151">
        <v>902.13</v>
      </c>
      <c r="X3151" t="s">
        <v>11335</v>
      </c>
      <c r="Y3151" t="s">
        <v>11338</v>
      </c>
      <c r="Z3151" t="s">
        <v>13484</v>
      </c>
      <c r="AB3151" t="s">
        <v>17820</v>
      </c>
      <c r="AC3151">
        <v>34</v>
      </c>
      <c r="AD3151" t="s">
        <v>19566</v>
      </c>
      <c r="AE3151" t="s">
        <v>19587</v>
      </c>
      <c r="AF3151">
        <v>24</v>
      </c>
      <c r="AG3151">
        <v>1</v>
      </c>
      <c r="AH3151">
        <v>0</v>
      </c>
      <c r="AI3151">
        <v>106.84</v>
      </c>
      <c r="AL3151" t="s">
        <v>19615</v>
      </c>
      <c r="AM3151">
        <v>13344</v>
      </c>
      <c r="AS3151">
        <v>1.4</v>
      </c>
      <c r="AT3151" t="s">
        <v>563</v>
      </c>
      <c r="AU3151" t="s">
        <v>130</v>
      </c>
      <c r="AV3151" t="s">
        <v>20733</v>
      </c>
    </row>
    <row r="3152" spans="1:48">
      <c r="A3152" s="1">
        <f>HYPERLINK("https://lsnyc.legalserver.org/matter/dynamic-profile/view/1902882","19-1902882")</f>
        <v>0</v>
      </c>
      <c r="B3152" t="s">
        <v>138</v>
      </c>
      <c r="C3152" t="s">
        <v>256</v>
      </c>
      <c r="D3152" t="s">
        <v>760</v>
      </c>
      <c r="F3152" t="s">
        <v>1358</v>
      </c>
      <c r="G3152" t="s">
        <v>3621</v>
      </c>
      <c r="H3152" t="s">
        <v>7227</v>
      </c>
      <c r="I3152" t="s">
        <v>8682</v>
      </c>
      <c r="J3152" t="s">
        <v>9067</v>
      </c>
      <c r="K3152">
        <v>10034</v>
      </c>
      <c r="L3152" t="s">
        <v>9094</v>
      </c>
      <c r="M3152" t="s">
        <v>9095</v>
      </c>
      <c r="P3152" t="s">
        <v>11167</v>
      </c>
      <c r="R3152" t="s">
        <v>11180</v>
      </c>
      <c r="S3152" t="s">
        <v>9096</v>
      </c>
      <c r="T3152" t="s">
        <v>11183</v>
      </c>
      <c r="V3152" t="s">
        <v>760</v>
      </c>
      <c r="W3152">
        <v>179</v>
      </c>
      <c r="X3152" t="s">
        <v>11335</v>
      </c>
      <c r="Y3152" t="s">
        <v>11157</v>
      </c>
      <c r="Z3152" t="s">
        <v>13485</v>
      </c>
      <c r="AB3152" t="s">
        <v>17821</v>
      </c>
      <c r="AC3152">
        <v>135</v>
      </c>
      <c r="AD3152" t="s">
        <v>15441</v>
      </c>
      <c r="AE3152" t="s">
        <v>19584</v>
      </c>
      <c r="AF3152">
        <v>38</v>
      </c>
      <c r="AG3152">
        <v>1</v>
      </c>
      <c r="AH3152">
        <v>0</v>
      </c>
      <c r="AI3152">
        <v>106.84</v>
      </c>
      <c r="AL3152" t="s">
        <v>19614</v>
      </c>
      <c r="AM3152">
        <v>13344</v>
      </c>
      <c r="AS3152">
        <v>19</v>
      </c>
      <c r="AT3152" t="s">
        <v>1130</v>
      </c>
      <c r="AU3152" t="s">
        <v>20632</v>
      </c>
      <c r="AV3152" t="s">
        <v>20733</v>
      </c>
    </row>
    <row r="3153" spans="1:48">
      <c r="A3153" s="1">
        <f>HYPERLINK("https://lsnyc.legalserver.org/matter/dynamic-profile/view/1882857","18-1882857")</f>
        <v>0</v>
      </c>
      <c r="B3153" t="s">
        <v>106</v>
      </c>
      <c r="C3153" t="s">
        <v>257</v>
      </c>
      <c r="D3153" t="s">
        <v>831</v>
      </c>
      <c r="E3153" t="s">
        <v>396</v>
      </c>
      <c r="F3153" t="s">
        <v>1146</v>
      </c>
      <c r="G3153" t="s">
        <v>3448</v>
      </c>
      <c r="H3153" t="s">
        <v>6624</v>
      </c>
      <c r="I3153" t="s">
        <v>8700</v>
      </c>
      <c r="J3153" t="s">
        <v>9065</v>
      </c>
      <c r="K3153">
        <v>10458</v>
      </c>
      <c r="L3153" t="s">
        <v>9094</v>
      </c>
      <c r="M3153" t="s">
        <v>9094</v>
      </c>
      <c r="N3153" t="s">
        <v>9825</v>
      </c>
      <c r="O3153" t="s">
        <v>11130</v>
      </c>
      <c r="P3153" t="s">
        <v>11165</v>
      </c>
      <c r="Q3153" t="s">
        <v>11179</v>
      </c>
      <c r="R3153" t="s">
        <v>11180</v>
      </c>
      <c r="S3153" t="s">
        <v>9094</v>
      </c>
      <c r="T3153" t="s">
        <v>11183</v>
      </c>
      <c r="V3153" t="s">
        <v>11212</v>
      </c>
      <c r="W3153">
        <v>0</v>
      </c>
      <c r="X3153" t="s">
        <v>11333</v>
      </c>
      <c r="Y3153" t="s">
        <v>11346</v>
      </c>
      <c r="Z3153" t="s">
        <v>12019</v>
      </c>
      <c r="AB3153" t="s">
        <v>17778</v>
      </c>
      <c r="AC3153">
        <v>0</v>
      </c>
      <c r="AD3153" t="s">
        <v>19566</v>
      </c>
      <c r="AE3153" t="s">
        <v>19587</v>
      </c>
      <c r="AF3153">
        <v>0</v>
      </c>
      <c r="AG3153">
        <v>3</v>
      </c>
      <c r="AH3153">
        <v>0</v>
      </c>
      <c r="AI3153">
        <v>106.95</v>
      </c>
      <c r="AL3153" t="s">
        <v>19615</v>
      </c>
      <c r="AM3153">
        <v>22224</v>
      </c>
      <c r="AS3153">
        <v>0.8</v>
      </c>
      <c r="AT3153" t="s">
        <v>396</v>
      </c>
      <c r="AU3153" t="s">
        <v>163</v>
      </c>
    </row>
    <row r="3154" spans="1:48">
      <c r="A3154" s="1">
        <f>HYPERLINK("https://lsnyc.legalserver.org/matter/dynamic-profile/view/0802576","16-0802576")</f>
        <v>0</v>
      </c>
      <c r="B3154" t="s">
        <v>111</v>
      </c>
      <c r="C3154" t="s">
        <v>256</v>
      </c>
      <c r="D3154" t="s">
        <v>995</v>
      </c>
      <c r="F3154" t="s">
        <v>2432</v>
      </c>
      <c r="G3154" t="s">
        <v>3593</v>
      </c>
      <c r="H3154" t="s">
        <v>6104</v>
      </c>
      <c r="I3154" t="s">
        <v>8618</v>
      </c>
      <c r="J3154" t="s">
        <v>9065</v>
      </c>
      <c r="K3154">
        <v>10452</v>
      </c>
      <c r="L3154" t="s">
        <v>9094</v>
      </c>
      <c r="M3154" t="s">
        <v>9095</v>
      </c>
      <c r="O3154" t="s">
        <v>11147</v>
      </c>
      <c r="P3154" t="s">
        <v>11165</v>
      </c>
      <c r="R3154" t="s">
        <v>11180</v>
      </c>
      <c r="S3154" t="s">
        <v>9094</v>
      </c>
      <c r="T3154" t="s">
        <v>11183</v>
      </c>
      <c r="V3154" t="s">
        <v>1005</v>
      </c>
      <c r="W3154">
        <v>1025</v>
      </c>
      <c r="X3154" t="s">
        <v>11333</v>
      </c>
      <c r="Y3154" t="s">
        <v>11346</v>
      </c>
      <c r="Z3154" t="s">
        <v>13486</v>
      </c>
      <c r="AB3154" t="s">
        <v>17822</v>
      </c>
      <c r="AC3154">
        <v>0</v>
      </c>
      <c r="AD3154" t="s">
        <v>19566</v>
      </c>
      <c r="AF3154">
        <v>5</v>
      </c>
      <c r="AG3154">
        <v>2</v>
      </c>
      <c r="AH3154">
        <v>2</v>
      </c>
      <c r="AI3154">
        <v>107</v>
      </c>
      <c r="AL3154" t="s">
        <v>19615</v>
      </c>
      <c r="AM3154">
        <v>26000</v>
      </c>
      <c r="AS3154">
        <v>0.2</v>
      </c>
      <c r="AT3154" t="s">
        <v>805</v>
      </c>
      <c r="AU3154" t="s">
        <v>109</v>
      </c>
    </row>
    <row r="3155" spans="1:48">
      <c r="A3155" s="1">
        <f>HYPERLINK("https://lsnyc.legalserver.org/matter/dynamic-profile/view/0812516","16-0812516")</f>
        <v>0</v>
      </c>
      <c r="B3155" t="s">
        <v>118</v>
      </c>
      <c r="C3155" t="s">
        <v>256</v>
      </c>
      <c r="D3155" t="s">
        <v>460</v>
      </c>
      <c r="F3155" t="s">
        <v>1404</v>
      </c>
      <c r="G3155" t="s">
        <v>3768</v>
      </c>
      <c r="H3155" t="s">
        <v>6942</v>
      </c>
      <c r="I3155" t="s">
        <v>8706</v>
      </c>
      <c r="J3155" t="s">
        <v>9065</v>
      </c>
      <c r="K3155">
        <v>10453</v>
      </c>
      <c r="L3155" t="s">
        <v>9094</v>
      </c>
      <c r="M3155" t="s">
        <v>9095</v>
      </c>
      <c r="O3155" t="s">
        <v>11132</v>
      </c>
      <c r="P3155" t="s">
        <v>11165</v>
      </c>
      <c r="R3155" t="s">
        <v>11180</v>
      </c>
      <c r="S3155" t="s">
        <v>9096</v>
      </c>
      <c r="T3155" t="s">
        <v>11183</v>
      </c>
      <c r="V3155" t="s">
        <v>1070</v>
      </c>
      <c r="W3155">
        <v>1127</v>
      </c>
      <c r="X3155" t="s">
        <v>11333</v>
      </c>
      <c r="Y3155" t="s">
        <v>11340</v>
      </c>
      <c r="Z3155" t="s">
        <v>13487</v>
      </c>
      <c r="AA3155" t="s">
        <v>15764</v>
      </c>
      <c r="AB3155" t="s">
        <v>17823</v>
      </c>
      <c r="AC3155">
        <v>41</v>
      </c>
      <c r="AD3155" t="s">
        <v>19566</v>
      </c>
      <c r="AF3155">
        <v>13</v>
      </c>
      <c r="AG3155">
        <v>2</v>
      </c>
      <c r="AH3155">
        <v>1</v>
      </c>
      <c r="AI3155">
        <v>107.04</v>
      </c>
      <c r="AL3155" t="s">
        <v>19615</v>
      </c>
      <c r="AM3155">
        <v>28080</v>
      </c>
      <c r="AS3155">
        <v>79.90000000000001</v>
      </c>
      <c r="AT3155" t="s">
        <v>489</v>
      </c>
      <c r="AU3155" t="s">
        <v>20648</v>
      </c>
    </row>
    <row r="3156" spans="1:48">
      <c r="A3156" s="1">
        <f>HYPERLINK("https://lsnyc.legalserver.org/matter/dynamic-profile/view/0821614","16-0821614")</f>
        <v>0</v>
      </c>
      <c r="B3156" t="s">
        <v>103</v>
      </c>
      <c r="C3156" t="s">
        <v>256</v>
      </c>
      <c r="D3156" t="s">
        <v>927</v>
      </c>
      <c r="F3156" t="s">
        <v>2444</v>
      </c>
      <c r="G3156" t="s">
        <v>4686</v>
      </c>
      <c r="H3156" t="s">
        <v>5899</v>
      </c>
      <c r="I3156" t="s">
        <v>8169</v>
      </c>
      <c r="J3156" t="s">
        <v>9065</v>
      </c>
      <c r="K3156">
        <v>10452</v>
      </c>
      <c r="L3156" t="s">
        <v>9094</v>
      </c>
      <c r="M3156" t="s">
        <v>9095</v>
      </c>
      <c r="O3156" t="s">
        <v>11135</v>
      </c>
      <c r="P3156" t="s">
        <v>11168</v>
      </c>
      <c r="R3156" t="s">
        <v>11180</v>
      </c>
      <c r="S3156" t="s">
        <v>9094</v>
      </c>
      <c r="T3156" t="s">
        <v>11183</v>
      </c>
      <c r="V3156" t="s">
        <v>927</v>
      </c>
      <c r="W3156">
        <v>810.17</v>
      </c>
      <c r="X3156" t="s">
        <v>11333</v>
      </c>
      <c r="Y3156" t="s">
        <v>11346</v>
      </c>
      <c r="Z3156" t="s">
        <v>13488</v>
      </c>
      <c r="AB3156" t="s">
        <v>17824</v>
      </c>
      <c r="AC3156">
        <v>63</v>
      </c>
      <c r="AD3156" t="s">
        <v>19566</v>
      </c>
      <c r="AF3156">
        <v>39</v>
      </c>
      <c r="AG3156">
        <v>2</v>
      </c>
      <c r="AH3156">
        <v>0</v>
      </c>
      <c r="AI3156">
        <v>107.05</v>
      </c>
      <c r="AL3156" t="s">
        <v>19614</v>
      </c>
      <c r="AM3156">
        <v>17149</v>
      </c>
      <c r="AS3156">
        <v>0</v>
      </c>
      <c r="AU3156" t="s">
        <v>20643</v>
      </c>
    </row>
    <row r="3157" spans="1:48">
      <c r="A3157" s="1">
        <f>HYPERLINK("https://lsnyc.legalserver.org/matter/dynamic-profile/view/0821616","16-0821616")</f>
        <v>0</v>
      </c>
      <c r="B3157" t="s">
        <v>103</v>
      </c>
      <c r="C3157" t="s">
        <v>256</v>
      </c>
      <c r="D3157" t="s">
        <v>519</v>
      </c>
      <c r="F3157" t="s">
        <v>2444</v>
      </c>
      <c r="G3157" t="s">
        <v>4686</v>
      </c>
      <c r="H3157" t="s">
        <v>5899</v>
      </c>
      <c r="I3157" t="s">
        <v>8169</v>
      </c>
      <c r="J3157" t="s">
        <v>9065</v>
      </c>
      <c r="K3157">
        <v>10452</v>
      </c>
      <c r="L3157" t="s">
        <v>9094</v>
      </c>
      <c r="M3157" t="s">
        <v>9095</v>
      </c>
      <c r="O3157" t="s">
        <v>11135</v>
      </c>
      <c r="P3157" t="s">
        <v>11168</v>
      </c>
      <c r="R3157" t="s">
        <v>11180</v>
      </c>
      <c r="S3157" t="s">
        <v>9094</v>
      </c>
      <c r="T3157" t="s">
        <v>11183</v>
      </c>
      <c r="V3157" t="s">
        <v>519</v>
      </c>
      <c r="W3157">
        <v>810.17</v>
      </c>
      <c r="X3157" t="s">
        <v>11333</v>
      </c>
      <c r="Y3157" t="s">
        <v>11346</v>
      </c>
      <c r="Z3157" t="s">
        <v>13488</v>
      </c>
      <c r="AB3157" t="s">
        <v>17824</v>
      </c>
      <c r="AC3157">
        <v>63</v>
      </c>
      <c r="AD3157" t="s">
        <v>19566</v>
      </c>
      <c r="AF3157">
        <v>39</v>
      </c>
      <c r="AG3157">
        <v>2</v>
      </c>
      <c r="AH3157">
        <v>0</v>
      </c>
      <c r="AI3157">
        <v>107.05</v>
      </c>
      <c r="AL3157" t="s">
        <v>19614</v>
      </c>
      <c r="AM3157">
        <v>33971</v>
      </c>
      <c r="AS3157">
        <v>0</v>
      </c>
      <c r="AU3157" t="s">
        <v>20643</v>
      </c>
    </row>
    <row r="3158" spans="1:48">
      <c r="A3158" s="1">
        <f>HYPERLINK("https://lsnyc.legalserver.org/matter/dynamic-profile/view/1888138","19-1888138")</f>
        <v>0</v>
      </c>
      <c r="B3158" t="s">
        <v>84</v>
      </c>
      <c r="C3158" t="s">
        <v>256</v>
      </c>
      <c r="D3158" t="s">
        <v>756</v>
      </c>
      <c r="F3158" t="s">
        <v>1212</v>
      </c>
      <c r="G3158" t="s">
        <v>2119</v>
      </c>
      <c r="H3158" t="s">
        <v>5783</v>
      </c>
      <c r="I3158" t="s">
        <v>8419</v>
      </c>
      <c r="J3158" t="s">
        <v>9059</v>
      </c>
      <c r="K3158">
        <v>11226</v>
      </c>
      <c r="L3158" t="s">
        <v>9094</v>
      </c>
      <c r="M3158" t="s">
        <v>9094</v>
      </c>
      <c r="N3158" t="s">
        <v>10304</v>
      </c>
      <c r="O3158" t="s">
        <v>11128</v>
      </c>
      <c r="P3158" t="s">
        <v>11165</v>
      </c>
      <c r="R3158" t="s">
        <v>11180</v>
      </c>
      <c r="T3158" t="s">
        <v>11183</v>
      </c>
      <c r="V3158" t="s">
        <v>443</v>
      </c>
      <c r="W3158">
        <v>1428.11</v>
      </c>
      <c r="X3158" t="s">
        <v>11332</v>
      </c>
      <c r="Z3158" t="s">
        <v>11619</v>
      </c>
      <c r="AB3158" t="s">
        <v>17825</v>
      </c>
      <c r="AC3158">
        <v>0</v>
      </c>
      <c r="AF3158">
        <v>12</v>
      </c>
      <c r="AG3158">
        <v>1</v>
      </c>
      <c r="AH3158">
        <v>0</v>
      </c>
      <c r="AI3158">
        <v>107.08</v>
      </c>
      <c r="AL3158" t="s">
        <v>19620</v>
      </c>
      <c r="AM3158">
        <v>13000</v>
      </c>
      <c r="AS3158">
        <v>16</v>
      </c>
      <c r="AT3158" t="s">
        <v>271</v>
      </c>
      <c r="AU3158" t="s">
        <v>215</v>
      </c>
    </row>
    <row r="3159" spans="1:48">
      <c r="A3159" s="1">
        <f>HYPERLINK("https://lsnyc.legalserver.org/matter/dynamic-profile/view/1877654","18-1877654")</f>
        <v>0</v>
      </c>
      <c r="B3159" t="s">
        <v>119</v>
      </c>
      <c r="C3159" t="s">
        <v>257</v>
      </c>
      <c r="D3159" t="s">
        <v>803</v>
      </c>
      <c r="E3159" t="s">
        <v>664</v>
      </c>
      <c r="F3159" t="s">
        <v>1365</v>
      </c>
      <c r="G3159" t="s">
        <v>4687</v>
      </c>
      <c r="H3159" t="s">
        <v>5900</v>
      </c>
      <c r="I3159">
        <v>10</v>
      </c>
      <c r="J3159" t="s">
        <v>9065</v>
      </c>
      <c r="K3159">
        <v>10452</v>
      </c>
      <c r="L3159" t="s">
        <v>9094</v>
      </c>
      <c r="M3159" t="s">
        <v>9094</v>
      </c>
      <c r="N3159" t="s">
        <v>10305</v>
      </c>
      <c r="O3159" t="s">
        <v>11134</v>
      </c>
      <c r="P3159" t="s">
        <v>11168</v>
      </c>
      <c r="Q3159" t="s">
        <v>11174</v>
      </c>
      <c r="R3159" t="s">
        <v>11180</v>
      </c>
      <c r="S3159" t="s">
        <v>9096</v>
      </c>
      <c r="T3159" t="s">
        <v>11183</v>
      </c>
      <c r="V3159" t="s">
        <v>803</v>
      </c>
      <c r="W3159">
        <v>1350</v>
      </c>
      <c r="X3159" t="s">
        <v>11333</v>
      </c>
      <c r="Y3159" t="s">
        <v>11346</v>
      </c>
      <c r="Z3159" t="s">
        <v>11613</v>
      </c>
      <c r="AB3159" t="s">
        <v>16096</v>
      </c>
      <c r="AC3159">
        <v>167</v>
      </c>
      <c r="AD3159" t="s">
        <v>19566</v>
      </c>
      <c r="AE3159" t="s">
        <v>9144</v>
      </c>
      <c r="AF3159">
        <v>1</v>
      </c>
      <c r="AG3159">
        <v>1</v>
      </c>
      <c r="AH3159">
        <v>0</v>
      </c>
      <c r="AI3159">
        <v>107.08</v>
      </c>
      <c r="AL3159" t="s">
        <v>19614</v>
      </c>
      <c r="AM3159">
        <v>13000</v>
      </c>
      <c r="AS3159">
        <v>24.3</v>
      </c>
      <c r="AT3159" t="s">
        <v>664</v>
      </c>
      <c r="AU3159" t="s">
        <v>163</v>
      </c>
    </row>
    <row r="3160" spans="1:48">
      <c r="A3160" s="1">
        <f>HYPERLINK("https://lsnyc.legalserver.org/matter/dynamic-profile/view/1863846","18-1863846")</f>
        <v>0</v>
      </c>
      <c r="B3160" t="s">
        <v>108</v>
      </c>
      <c r="C3160" t="s">
        <v>257</v>
      </c>
      <c r="D3160" t="s">
        <v>504</v>
      </c>
      <c r="E3160" t="s">
        <v>594</v>
      </c>
      <c r="F3160" t="s">
        <v>1197</v>
      </c>
      <c r="G3160" t="s">
        <v>3624</v>
      </c>
      <c r="H3160" t="s">
        <v>6163</v>
      </c>
      <c r="I3160" t="s">
        <v>8170</v>
      </c>
      <c r="J3160" t="s">
        <v>9065</v>
      </c>
      <c r="K3160">
        <v>10452</v>
      </c>
      <c r="L3160" t="s">
        <v>9094</v>
      </c>
      <c r="M3160" t="s">
        <v>9095</v>
      </c>
      <c r="N3160" t="s">
        <v>10306</v>
      </c>
      <c r="O3160" t="s">
        <v>11128</v>
      </c>
      <c r="P3160" t="s">
        <v>11165</v>
      </c>
      <c r="Q3160" t="s">
        <v>11174</v>
      </c>
      <c r="R3160" t="s">
        <v>11180</v>
      </c>
      <c r="T3160" t="s">
        <v>11183</v>
      </c>
      <c r="V3160" t="s">
        <v>504</v>
      </c>
      <c r="W3160">
        <v>530</v>
      </c>
      <c r="X3160" t="s">
        <v>11333</v>
      </c>
      <c r="Y3160" t="s">
        <v>11349</v>
      </c>
      <c r="Z3160" t="s">
        <v>11901</v>
      </c>
      <c r="AA3160" t="s">
        <v>15765</v>
      </c>
      <c r="AB3160" t="s">
        <v>16363</v>
      </c>
      <c r="AC3160">
        <v>0</v>
      </c>
      <c r="AD3160" t="s">
        <v>19567</v>
      </c>
      <c r="AE3160" t="s">
        <v>19584</v>
      </c>
      <c r="AF3160">
        <v>13</v>
      </c>
      <c r="AG3160">
        <v>1</v>
      </c>
      <c r="AH3160">
        <v>0</v>
      </c>
      <c r="AI3160">
        <v>107.08</v>
      </c>
      <c r="AL3160" t="s">
        <v>19614</v>
      </c>
      <c r="AM3160">
        <v>13000</v>
      </c>
      <c r="AN3160" t="s">
        <v>19699</v>
      </c>
      <c r="AS3160">
        <v>64.75</v>
      </c>
      <c r="AT3160" t="s">
        <v>487</v>
      </c>
      <c r="AU3160" t="s">
        <v>247</v>
      </c>
    </row>
    <row r="3161" spans="1:48">
      <c r="A3161" s="1">
        <f>HYPERLINK("https://lsnyc.legalserver.org/matter/dynamic-profile/view/0800064","16-0800064")</f>
        <v>0</v>
      </c>
      <c r="B3161" t="s">
        <v>103</v>
      </c>
      <c r="C3161" t="s">
        <v>256</v>
      </c>
      <c r="D3161" t="s">
        <v>430</v>
      </c>
      <c r="F3161" t="s">
        <v>1406</v>
      </c>
      <c r="G3161" t="s">
        <v>1721</v>
      </c>
      <c r="H3161" t="s">
        <v>5873</v>
      </c>
      <c r="I3161" t="s">
        <v>8199</v>
      </c>
      <c r="J3161" t="s">
        <v>9065</v>
      </c>
      <c r="K3161">
        <v>10457</v>
      </c>
      <c r="L3161" t="s">
        <v>9094</v>
      </c>
      <c r="M3161" t="s">
        <v>9095</v>
      </c>
      <c r="O3161" t="s">
        <v>11135</v>
      </c>
      <c r="P3161" t="s">
        <v>11168</v>
      </c>
      <c r="R3161" t="s">
        <v>11180</v>
      </c>
      <c r="S3161" t="s">
        <v>9094</v>
      </c>
      <c r="T3161" t="s">
        <v>11183</v>
      </c>
      <c r="V3161" t="s">
        <v>431</v>
      </c>
      <c r="W3161">
        <v>800</v>
      </c>
      <c r="X3161" t="s">
        <v>11333</v>
      </c>
      <c r="Y3161" t="s">
        <v>11338</v>
      </c>
      <c r="Z3161" t="s">
        <v>13209</v>
      </c>
      <c r="AB3161" t="s">
        <v>17771</v>
      </c>
      <c r="AC3161">
        <v>0</v>
      </c>
      <c r="AD3161" t="s">
        <v>19566</v>
      </c>
      <c r="AE3161" t="s">
        <v>19587</v>
      </c>
      <c r="AF3161">
        <v>30</v>
      </c>
      <c r="AG3161">
        <v>2</v>
      </c>
      <c r="AH3161">
        <v>1</v>
      </c>
      <c r="AI3161">
        <v>107.14</v>
      </c>
      <c r="AJ3161" t="s">
        <v>11262</v>
      </c>
      <c r="AL3161" t="s">
        <v>19615</v>
      </c>
      <c r="AM3161">
        <v>28800</v>
      </c>
      <c r="AS3161">
        <v>148.9</v>
      </c>
      <c r="AT3161" t="s">
        <v>797</v>
      </c>
      <c r="AU3161" t="s">
        <v>109</v>
      </c>
    </row>
    <row r="3162" spans="1:48">
      <c r="A3162" s="1">
        <f>HYPERLINK("https://lsnyc.legalserver.org/matter/dynamic-profile/view/0816932","16-0816932")</f>
        <v>0</v>
      </c>
      <c r="B3162" t="s">
        <v>103</v>
      </c>
      <c r="C3162" t="s">
        <v>256</v>
      </c>
      <c r="D3162" t="s">
        <v>437</v>
      </c>
      <c r="F3162" t="s">
        <v>1406</v>
      </c>
      <c r="G3162" t="s">
        <v>1721</v>
      </c>
      <c r="H3162" t="s">
        <v>5873</v>
      </c>
      <c r="I3162" t="s">
        <v>8199</v>
      </c>
      <c r="J3162" t="s">
        <v>9065</v>
      </c>
      <c r="K3162">
        <v>10457</v>
      </c>
      <c r="L3162" t="s">
        <v>9094</v>
      </c>
      <c r="M3162" t="s">
        <v>9095</v>
      </c>
      <c r="N3162" t="s">
        <v>9228</v>
      </c>
      <c r="O3162" t="s">
        <v>11135</v>
      </c>
      <c r="P3162" t="s">
        <v>11168</v>
      </c>
      <c r="R3162" t="s">
        <v>11180</v>
      </c>
      <c r="S3162" t="s">
        <v>9094</v>
      </c>
      <c r="T3162" t="s">
        <v>11183</v>
      </c>
      <c r="V3162" t="s">
        <v>1024</v>
      </c>
      <c r="W3162">
        <v>800</v>
      </c>
      <c r="X3162" t="s">
        <v>11333</v>
      </c>
      <c r="Y3162" t="s">
        <v>11338</v>
      </c>
      <c r="Z3162" t="s">
        <v>13209</v>
      </c>
      <c r="AB3162" t="s">
        <v>17771</v>
      </c>
      <c r="AC3162">
        <v>100</v>
      </c>
      <c r="AD3162" t="s">
        <v>19566</v>
      </c>
      <c r="AE3162" t="s">
        <v>19587</v>
      </c>
      <c r="AF3162">
        <v>30</v>
      </c>
      <c r="AG3162">
        <v>2</v>
      </c>
      <c r="AH3162">
        <v>1</v>
      </c>
      <c r="AI3162">
        <v>107.14</v>
      </c>
      <c r="AJ3162" t="s">
        <v>11262</v>
      </c>
      <c r="AL3162" t="s">
        <v>19615</v>
      </c>
      <c r="AM3162">
        <v>28800</v>
      </c>
      <c r="AS3162">
        <v>0.8</v>
      </c>
      <c r="AT3162" t="s">
        <v>645</v>
      </c>
      <c r="AU3162" t="s">
        <v>20643</v>
      </c>
    </row>
    <row r="3163" spans="1:48">
      <c r="A3163" s="1">
        <f>HYPERLINK("https://lsnyc.legalserver.org/matter/dynamic-profile/view/1898681","19-1898681")</f>
        <v>0</v>
      </c>
      <c r="B3163" t="s">
        <v>55</v>
      </c>
      <c r="C3163" t="s">
        <v>256</v>
      </c>
      <c r="D3163" t="s">
        <v>361</v>
      </c>
      <c r="F3163" t="s">
        <v>2445</v>
      </c>
      <c r="G3163" t="s">
        <v>4688</v>
      </c>
      <c r="H3163" t="s">
        <v>7228</v>
      </c>
      <c r="I3163" t="s">
        <v>8133</v>
      </c>
      <c r="J3163" t="s">
        <v>9039</v>
      </c>
      <c r="K3163">
        <v>11432</v>
      </c>
      <c r="L3163" t="s">
        <v>9094</v>
      </c>
      <c r="M3163" t="s">
        <v>9094</v>
      </c>
      <c r="N3163" t="s">
        <v>10307</v>
      </c>
      <c r="O3163" t="s">
        <v>11129</v>
      </c>
      <c r="P3163" t="s">
        <v>11165</v>
      </c>
      <c r="R3163" t="s">
        <v>11180</v>
      </c>
      <c r="S3163" t="s">
        <v>9096</v>
      </c>
      <c r="T3163" t="s">
        <v>11183</v>
      </c>
      <c r="U3163" t="s">
        <v>11202</v>
      </c>
      <c r="V3163" t="s">
        <v>361</v>
      </c>
      <c r="W3163">
        <v>1486</v>
      </c>
      <c r="X3163" t="s">
        <v>11331</v>
      </c>
      <c r="Y3163" t="s">
        <v>11336</v>
      </c>
      <c r="Z3163" t="s">
        <v>12850</v>
      </c>
      <c r="AB3163" t="s">
        <v>17826</v>
      </c>
      <c r="AC3163">
        <v>7</v>
      </c>
      <c r="AD3163" t="s">
        <v>19566</v>
      </c>
      <c r="AE3163" t="s">
        <v>9144</v>
      </c>
      <c r="AF3163">
        <v>6</v>
      </c>
      <c r="AG3163">
        <v>1</v>
      </c>
      <c r="AH3163">
        <v>3</v>
      </c>
      <c r="AI3163">
        <v>107.18</v>
      </c>
      <c r="AL3163" t="s">
        <v>19614</v>
      </c>
      <c r="AM3163">
        <v>27600</v>
      </c>
      <c r="AS3163">
        <v>11.21</v>
      </c>
      <c r="AT3163" t="s">
        <v>314</v>
      </c>
      <c r="AU3163" t="s">
        <v>20620</v>
      </c>
      <c r="AV3163" t="s">
        <v>20733</v>
      </c>
    </row>
    <row r="3164" spans="1:48">
      <c r="A3164" s="1">
        <f>HYPERLINK("https://lsnyc.legalserver.org/matter/dynamic-profile/view/1912435","19-1912435")</f>
        <v>0</v>
      </c>
      <c r="B3164" t="s">
        <v>52</v>
      </c>
      <c r="C3164" t="s">
        <v>256</v>
      </c>
      <c r="D3164" t="s">
        <v>744</v>
      </c>
      <c r="F3164" t="s">
        <v>1793</v>
      </c>
      <c r="G3164" t="s">
        <v>3650</v>
      </c>
      <c r="H3164" t="s">
        <v>5692</v>
      </c>
      <c r="I3164">
        <v>40</v>
      </c>
      <c r="J3164" t="s">
        <v>9038</v>
      </c>
      <c r="K3164">
        <v>11691</v>
      </c>
      <c r="L3164" t="s">
        <v>9094</v>
      </c>
      <c r="M3164" t="s">
        <v>9095</v>
      </c>
      <c r="N3164" t="s">
        <v>9664</v>
      </c>
      <c r="O3164" t="s">
        <v>11130</v>
      </c>
      <c r="P3164" t="s">
        <v>11165</v>
      </c>
      <c r="R3164" t="s">
        <v>11180</v>
      </c>
      <c r="S3164" t="s">
        <v>9094</v>
      </c>
      <c r="T3164" t="s">
        <v>11183</v>
      </c>
      <c r="U3164" t="s">
        <v>11201</v>
      </c>
      <c r="V3164" t="s">
        <v>744</v>
      </c>
      <c r="W3164">
        <v>660</v>
      </c>
      <c r="X3164" t="s">
        <v>11331</v>
      </c>
      <c r="Y3164" t="s">
        <v>11339</v>
      </c>
      <c r="Z3164" t="s">
        <v>13489</v>
      </c>
      <c r="AB3164" t="s">
        <v>17827</v>
      </c>
      <c r="AC3164">
        <v>43</v>
      </c>
      <c r="AD3164" t="s">
        <v>19566</v>
      </c>
      <c r="AE3164" t="s">
        <v>9144</v>
      </c>
      <c r="AF3164">
        <v>40</v>
      </c>
      <c r="AG3164">
        <v>2</v>
      </c>
      <c r="AH3164">
        <v>0</v>
      </c>
      <c r="AI3164">
        <v>107.23</v>
      </c>
      <c r="AL3164" t="s">
        <v>19614</v>
      </c>
      <c r="AM3164">
        <v>18132</v>
      </c>
      <c r="AP3164" t="s">
        <v>11157</v>
      </c>
      <c r="AS3164">
        <v>0.3</v>
      </c>
      <c r="AT3164" t="s">
        <v>744</v>
      </c>
      <c r="AU3164" t="s">
        <v>20620</v>
      </c>
      <c r="AV3164" t="s">
        <v>20733</v>
      </c>
    </row>
    <row r="3165" spans="1:48">
      <c r="A3165" s="1">
        <f>HYPERLINK("https://lsnyc.legalserver.org/matter/dynamic-profile/view/1876334","18-1876334")</f>
        <v>0</v>
      </c>
      <c r="B3165" t="s">
        <v>132</v>
      </c>
      <c r="C3165" t="s">
        <v>257</v>
      </c>
      <c r="D3165" t="s">
        <v>479</v>
      </c>
      <c r="E3165" t="s">
        <v>331</v>
      </c>
      <c r="F3165" t="s">
        <v>2446</v>
      </c>
      <c r="G3165" t="s">
        <v>3827</v>
      </c>
      <c r="H3165" t="s">
        <v>5953</v>
      </c>
      <c r="I3165" t="s">
        <v>8467</v>
      </c>
      <c r="J3165" t="s">
        <v>9067</v>
      </c>
      <c r="K3165">
        <v>10033</v>
      </c>
      <c r="L3165" t="s">
        <v>9094</v>
      </c>
      <c r="M3165" t="s">
        <v>9094</v>
      </c>
      <c r="O3165" t="s">
        <v>11130</v>
      </c>
      <c r="P3165" t="s">
        <v>11165</v>
      </c>
      <c r="Q3165" t="s">
        <v>11178</v>
      </c>
      <c r="R3165" t="s">
        <v>11180</v>
      </c>
      <c r="S3165" t="s">
        <v>9094</v>
      </c>
      <c r="T3165" t="s">
        <v>11183</v>
      </c>
      <c r="V3165" t="s">
        <v>479</v>
      </c>
      <c r="W3165">
        <v>1145.5</v>
      </c>
      <c r="X3165" t="s">
        <v>11335</v>
      </c>
      <c r="Y3165" t="s">
        <v>11338</v>
      </c>
      <c r="Z3165" t="s">
        <v>13490</v>
      </c>
      <c r="AB3165" t="s">
        <v>17828</v>
      </c>
      <c r="AC3165">
        <v>232</v>
      </c>
      <c r="AD3165" t="s">
        <v>19566</v>
      </c>
      <c r="AE3165" t="s">
        <v>11157</v>
      </c>
      <c r="AF3165">
        <v>50</v>
      </c>
      <c r="AG3165">
        <v>1</v>
      </c>
      <c r="AH3165">
        <v>0</v>
      </c>
      <c r="AI3165">
        <v>107.25</v>
      </c>
      <c r="AL3165" t="s">
        <v>19614</v>
      </c>
      <c r="AM3165">
        <v>13020</v>
      </c>
      <c r="AS3165">
        <v>1.4</v>
      </c>
      <c r="AT3165" t="s">
        <v>521</v>
      </c>
      <c r="AU3165" t="s">
        <v>130</v>
      </c>
      <c r="AV3165" t="s">
        <v>20733</v>
      </c>
    </row>
    <row r="3166" spans="1:48">
      <c r="A3166" s="1">
        <f>HYPERLINK("https://lsnyc.legalserver.org/matter/dynamic-profile/view/1902861","19-1902861")</f>
        <v>0</v>
      </c>
      <c r="B3166" t="s">
        <v>54</v>
      </c>
      <c r="C3166" t="s">
        <v>256</v>
      </c>
      <c r="D3166" t="s">
        <v>760</v>
      </c>
      <c r="F3166" t="s">
        <v>1395</v>
      </c>
      <c r="G3166" t="s">
        <v>4689</v>
      </c>
      <c r="H3166" t="s">
        <v>7229</v>
      </c>
      <c r="I3166" t="s">
        <v>8124</v>
      </c>
      <c r="J3166" t="s">
        <v>9048</v>
      </c>
      <c r="K3166">
        <v>11385</v>
      </c>
      <c r="L3166" t="s">
        <v>9094</v>
      </c>
      <c r="M3166" t="s">
        <v>9095</v>
      </c>
      <c r="O3166" t="s">
        <v>11131</v>
      </c>
      <c r="P3166" t="s">
        <v>11166</v>
      </c>
      <c r="R3166" t="s">
        <v>11180</v>
      </c>
      <c r="S3166" t="s">
        <v>9096</v>
      </c>
      <c r="T3166" t="s">
        <v>11184</v>
      </c>
      <c r="U3166" t="s">
        <v>11200</v>
      </c>
      <c r="V3166" t="s">
        <v>760</v>
      </c>
      <c r="W3166">
        <v>916.5599999999999</v>
      </c>
      <c r="X3166" t="s">
        <v>11331</v>
      </c>
      <c r="Y3166" t="s">
        <v>11340</v>
      </c>
      <c r="Z3166" t="s">
        <v>13491</v>
      </c>
      <c r="AB3166" t="s">
        <v>17829</v>
      </c>
      <c r="AC3166">
        <v>6</v>
      </c>
      <c r="AD3166" t="s">
        <v>19566</v>
      </c>
      <c r="AE3166" t="s">
        <v>19580</v>
      </c>
      <c r="AF3166">
        <v>18</v>
      </c>
      <c r="AG3166">
        <v>1</v>
      </c>
      <c r="AH3166">
        <v>1</v>
      </c>
      <c r="AI3166">
        <v>107.3</v>
      </c>
      <c r="AL3166" t="s">
        <v>19614</v>
      </c>
      <c r="AM3166">
        <v>18144</v>
      </c>
      <c r="AS3166">
        <v>3.95</v>
      </c>
      <c r="AT3166" t="s">
        <v>295</v>
      </c>
      <c r="AU3166" t="s">
        <v>50</v>
      </c>
      <c r="AV3166" t="s">
        <v>20733</v>
      </c>
    </row>
    <row r="3167" spans="1:48">
      <c r="A3167" s="1">
        <f>HYPERLINK("https://lsnyc.legalserver.org/matter/dynamic-profile/view/1898119","19-1898119")</f>
        <v>0</v>
      </c>
      <c r="B3167" t="s">
        <v>101</v>
      </c>
      <c r="C3167" t="s">
        <v>257</v>
      </c>
      <c r="D3167" t="s">
        <v>470</v>
      </c>
      <c r="E3167" t="s">
        <v>275</v>
      </c>
      <c r="F3167" t="s">
        <v>1256</v>
      </c>
      <c r="G3167" t="s">
        <v>3916</v>
      </c>
      <c r="H3167" t="s">
        <v>5902</v>
      </c>
      <c r="I3167" t="s">
        <v>8214</v>
      </c>
      <c r="J3167" t="s">
        <v>9065</v>
      </c>
      <c r="K3167">
        <v>10452</v>
      </c>
      <c r="L3167" t="s">
        <v>9094</v>
      </c>
      <c r="M3167" t="s">
        <v>9094</v>
      </c>
      <c r="O3167" t="s">
        <v>9121</v>
      </c>
      <c r="P3167" t="s">
        <v>11166</v>
      </c>
      <c r="Q3167" t="s">
        <v>11178</v>
      </c>
      <c r="R3167" t="s">
        <v>11180</v>
      </c>
      <c r="S3167" t="s">
        <v>9094</v>
      </c>
      <c r="T3167" t="s">
        <v>11183</v>
      </c>
      <c r="V3167" t="s">
        <v>11218</v>
      </c>
      <c r="W3167">
        <v>926.15</v>
      </c>
      <c r="X3167" t="s">
        <v>11333</v>
      </c>
      <c r="Y3167" t="s">
        <v>11346</v>
      </c>
      <c r="Z3167" t="s">
        <v>13492</v>
      </c>
      <c r="AA3167" t="s">
        <v>15766</v>
      </c>
      <c r="AB3167" t="s">
        <v>17830</v>
      </c>
      <c r="AC3167">
        <v>60</v>
      </c>
      <c r="AD3167" t="s">
        <v>19566</v>
      </c>
      <c r="AE3167" t="s">
        <v>9144</v>
      </c>
      <c r="AF3167">
        <v>17</v>
      </c>
      <c r="AG3167">
        <v>1</v>
      </c>
      <c r="AH3167">
        <v>0</v>
      </c>
      <c r="AI3167">
        <v>107.35</v>
      </c>
      <c r="AL3167" t="s">
        <v>19615</v>
      </c>
      <c r="AM3167">
        <v>13408.4</v>
      </c>
      <c r="AS3167">
        <v>2.9</v>
      </c>
      <c r="AT3167" t="s">
        <v>275</v>
      </c>
      <c r="AU3167" t="s">
        <v>20642</v>
      </c>
      <c r="AV3167" t="s">
        <v>20733</v>
      </c>
    </row>
    <row r="3168" spans="1:48">
      <c r="A3168" s="1">
        <f>HYPERLINK("https://lsnyc.legalserver.org/matter/dynamic-profile/view/1892712","19-1892712")</f>
        <v>0</v>
      </c>
      <c r="B3168" t="s">
        <v>111</v>
      </c>
      <c r="C3168" t="s">
        <v>256</v>
      </c>
      <c r="D3168" t="s">
        <v>553</v>
      </c>
      <c r="F3168" t="s">
        <v>1256</v>
      </c>
      <c r="G3168" t="s">
        <v>3916</v>
      </c>
      <c r="H3168" t="s">
        <v>5902</v>
      </c>
      <c r="I3168" t="s">
        <v>8214</v>
      </c>
      <c r="J3168" t="s">
        <v>9065</v>
      </c>
      <c r="K3168">
        <v>10452</v>
      </c>
      <c r="L3168" t="s">
        <v>9094</v>
      </c>
      <c r="M3168" t="s">
        <v>9094</v>
      </c>
      <c r="N3168" t="s">
        <v>10308</v>
      </c>
      <c r="O3168" t="s">
        <v>11129</v>
      </c>
      <c r="P3168" t="s">
        <v>11165</v>
      </c>
      <c r="R3168" t="s">
        <v>11180</v>
      </c>
      <c r="S3168" t="s">
        <v>9096</v>
      </c>
      <c r="T3168" t="s">
        <v>11183</v>
      </c>
      <c r="V3168" t="s">
        <v>553</v>
      </c>
      <c r="W3168">
        <v>926.15</v>
      </c>
      <c r="X3168" t="s">
        <v>11333</v>
      </c>
      <c r="Y3168" t="s">
        <v>11340</v>
      </c>
      <c r="Z3168" t="s">
        <v>13492</v>
      </c>
      <c r="AA3168" t="s">
        <v>15766</v>
      </c>
      <c r="AB3168" t="s">
        <v>17830</v>
      </c>
      <c r="AC3168">
        <v>60</v>
      </c>
      <c r="AD3168" t="s">
        <v>19566</v>
      </c>
      <c r="AE3168" t="s">
        <v>9144</v>
      </c>
      <c r="AF3168">
        <v>17</v>
      </c>
      <c r="AG3168">
        <v>1</v>
      </c>
      <c r="AH3168">
        <v>0</v>
      </c>
      <c r="AI3168">
        <v>107.35</v>
      </c>
      <c r="AL3168" t="s">
        <v>19615</v>
      </c>
      <c r="AM3168">
        <v>13408.4</v>
      </c>
      <c r="AN3168" t="s">
        <v>19930</v>
      </c>
      <c r="AS3168">
        <v>20.65</v>
      </c>
      <c r="AT3168" t="s">
        <v>498</v>
      </c>
      <c r="AU3168" t="s">
        <v>20642</v>
      </c>
      <c r="AV3168" t="s">
        <v>20734</v>
      </c>
    </row>
    <row r="3169" spans="1:48">
      <c r="A3169" s="1">
        <f>HYPERLINK("https://lsnyc.legalserver.org/matter/dynamic-profile/view/1864472","18-1864472")</f>
        <v>0</v>
      </c>
      <c r="B3169" t="s">
        <v>136</v>
      </c>
      <c r="C3169" t="s">
        <v>256</v>
      </c>
      <c r="D3169" t="s">
        <v>552</v>
      </c>
      <c r="F3169" t="s">
        <v>1370</v>
      </c>
      <c r="G3169" t="s">
        <v>3498</v>
      </c>
      <c r="H3169" t="s">
        <v>5961</v>
      </c>
      <c r="I3169">
        <v>610</v>
      </c>
      <c r="J3169" t="s">
        <v>9067</v>
      </c>
      <c r="K3169">
        <v>10029</v>
      </c>
      <c r="L3169" t="s">
        <v>9094</v>
      </c>
      <c r="M3169" t="s">
        <v>9095</v>
      </c>
      <c r="N3169" t="s">
        <v>9287</v>
      </c>
      <c r="O3169" t="s">
        <v>11130</v>
      </c>
      <c r="P3169" t="s">
        <v>11165</v>
      </c>
      <c r="R3169" t="s">
        <v>11180</v>
      </c>
      <c r="S3169" t="s">
        <v>9094</v>
      </c>
      <c r="T3169" t="s">
        <v>11183</v>
      </c>
      <c r="U3169" t="s">
        <v>11201</v>
      </c>
      <c r="V3169" t="s">
        <v>552</v>
      </c>
      <c r="W3169">
        <v>0</v>
      </c>
      <c r="X3169" t="s">
        <v>11335</v>
      </c>
      <c r="Y3169" t="s">
        <v>11339</v>
      </c>
      <c r="Z3169" t="s">
        <v>13119</v>
      </c>
      <c r="AB3169" t="s">
        <v>17483</v>
      </c>
      <c r="AC3169">
        <v>108</v>
      </c>
      <c r="AD3169" t="s">
        <v>19567</v>
      </c>
      <c r="AE3169" t="s">
        <v>19580</v>
      </c>
      <c r="AF3169">
        <v>21</v>
      </c>
      <c r="AG3169">
        <v>1</v>
      </c>
      <c r="AH3169">
        <v>2</v>
      </c>
      <c r="AI3169">
        <v>107.35</v>
      </c>
      <c r="AL3169" t="s">
        <v>19614</v>
      </c>
      <c r="AM3169">
        <v>22308</v>
      </c>
      <c r="AS3169">
        <v>80.84999999999999</v>
      </c>
      <c r="AT3169" t="s">
        <v>686</v>
      </c>
      <c r="AU3169" t="s">
        <v>20657</v>
      </c>
      <c r="AV3169" t="s">
        <v>20733</v>
      </c>
    </row>
    <row r="3170" spans="1:48">
      <c r="A3170" s="1">
        <f>HYPERLINK("https://lsnyc.legalserver.org/matter/dynamic-profile/view/1887095","19-1887095")</f>
        <v>0</v>
      </c>
      <c r="B3170" t="s">
        <v>72</v>
      </c>
      <c r="C3170" t="s">
        <v>256</v>
      </c>
      <c r="D3170" t="s">
        <v>324</v>
      </c>
      <c r="F3170" t="s">
        <v>1255</v>
      </c>
      <c r="G3170" t="s">
        <v>4690</v>
      </c>
      <c r="H3170" t="s">
        <v>7230</v>
      </c>
      <c r="I3170">
        <v>2</v>
      </c>
      <c r="J3170" t="s">
        <v>9059</v>
      </c>
      <c r="K3170">
        <v>11233</v>
      </c>
      <c r="L3170" t="s">
        <v>9094</v>
      </c>
      <c r="M3170" t="s">
        <v>9094</v>
      </c>
      <c r="N3170" t="s">
        <v>10309</v>
      </c>
      <c r="O3170" t="s">
        <v>11129</v>
      </c>
      <c r="P3170" t="s">
        <v>11165</v>
      </c>
      <c r="R3170" t="s">
        <v>11180</v>
      </c>
      <c r="S3170" t="s">
        <v>9096</v>
      </c>
      <c r="T3170" t="s">
        <v>11183</v>
      </c>
      <c r="V3170" t="s">
        <v>582</v>
      </c>
      <c r="W3170">
        <v>2097</v>
      </c>
      <c r="X3170" t="s">
        <v>11332</v>
      </c>
      <c r="Y3170" t="s">
        <v>11345</v>
      </c>
      <c r="Z3170" t="s">
        <v>13493</v>
      </c>
      <c r="AA3170" t="s">
        <v>15767</v>
      </c>
      <c r="AB3170" t="s">
        <v>17831</v>
      </c>
      <c r="AC3170">
        <v>3</v>
      </c>
      <c r="AE3170" t="s">
        <v>19581</v>
      </c>
      <c r="AF3170">
        <v>2</v>
      </c>
      <c r="AG3170">
        <v>2</v>
      </c>
      <c r="AH3170">
        <v>5</v>
      </c>
      <c r="AI3170">
        <v>107.36</v>
      </c>
      <c r="AL3170" t="s">
        <v>19614</v>
      </c>
      <c r="AM3170">
        <v>40860</v>
      </c>
      <c r="AS3170">
        <v>62.5</v>
      </c>
      <c r="AT3170" t="s">
        <v>563</v>
      </c>
      <c r="AU3170" t="s">
        <v>79</v>
      </c>
    </row>
    <row r="3171" spans="1:48">
      <c r="A3171" s="1">
        <f>HYPERLINK("https://lsnyc.legalserver.org/matter/dynamic-profile/view/0796328","16-0796328")</f>
        <v>0</v>
      </c>
      <c r="B3171" t="s">
        <v>103</v>
      </c>
      <c r="C3171" t="s">
        <v>256</v>
      </c>
      <c r="D3171" t="s">
        <v>430</v>
      </c>
      <c r="F3171" t="s">
        <v>1406</v>
      </c>
      <c r="G3171" t="s">
        <v>1721</v>
      </c>
      <c r="H3171" t="s">
        <v>5873</v>
      </c>
      <c r="I3171" t="s">
        <v>8199</v>
      </c>
      <c r="J3171" t="s">
        <v>9065</v>
      </c>
      <c r="K3171">
        <v>10457</v>
      </c>
      <c r="L3171" t="s">
        <v>9094</v>
      </c>
      <c r="M3171" t="s">
        <v>9095</v>
      </c>
      <c r="N3171" t="s">
        <v>9229</v>
      </c>
      <c r="O3171" t="s">
        <v>11132</v>
      </c>
      <c r="P3171" t="s">
        <v>11165</v>
      </c>
      <c r="R3171" t="s">
        <v>11180</v>
      </c>
      <c r="S3171" t="s">
        <v>9094</v>
      </c>
      <c r="T3171" t="s">
        <v>11183</v>
      </c>
      <c r="V3171" t="s">
        <v>519</v>
      </c>
      <c r="W3171">
        <v>800</v>
      </c>
      <c r="X3171" t="s">
        <v>11333</v>
      </c>
      <c r="Y3171" t="s">
        <v>11338</v>
      </c>
      <c r="Z3171" t="s">
        <v>13209</v>
      </c>
      <c r="AB3171" t="s">
        <v>17771</v>
      </c>
      <c r="AC3171">
        <v>100</v>
      </c>
      <c r="AD3171" t="s">
        <v>19566</v>
      </c>
      <c r="AE3171" t="s">
        <v>19587</v>
      </c>
      <c r="AF3171">
        <v>30</v>
      </c>
      <c r="AG3171">
        <v>2</v>
      </c>
      <c r="AH3171">
        <v>1</v>
      </c>
      <c r="AI3171">
        <v>107.52</v>
      </c>
      <c r="AJ3171" t="s">
        <v>11262</v>
      </c>
      <c r="AL3171" t="s">
        <v>19615</v>
      </c>
      <c r="AM3171">
        <v>21600</v>
      </c>
      <c r="AS3171">
        <v>548.4</v>
      </c>
      <c r="AT3171" t="s">
        <v>487</v>
      </c>
      <c r="AU3171" t="s">
        <v>109</v>
      </c>
    </row>
    <row r="3172" spans="1:48">
      <c r="A3172" s="1">
        <f>HYPERLINK("https://lsnyc.legalserver.org/matter/dynamic-profile/view/1884245","18-1884245")</f>
        <v>0</v>
      </c>
      <c r="B3172" t="s">
        <v>124</v>
      </c>
      <c r="C3172" t="s">
        <v>256</v>
      </c>
      <c r="D3172" t="s">
        <v>649</v>
      </c>
      <c r="F3172" t="s">
        <v>2447</v>
      </c>
      <c r="G3172" t="s">
        <v>4691</v>
      </c>
      <c r="H3172" t="s">
        <v>7231</v>
      </c>
      <c r="I3172" t="s">
        <v>8170</v>
      </c>
      <c r="J3172" t="s">
        <v>9066</v>
      </c>
      <c r="K3172">
        <v>10304</v>
      </c>
      <c r="L3172" t="s">
        <v>9095</v>
      </c>
      <c r="M3172" t="s">
        <v>9094</v>
      </c>
      <c r="O3172" t="s">
        <v>11129</v>
      </c>
      <c r="R3172" t="s">
        <v>11180</v>
      </c>
      <c r="S3172" t="s">
        <v>9094</v>
      </c>
      <c r="T3172" t="s">
        <v>11183</v>
      </c>
      <c r="U3172" t="s">
        <v>11202</v>
      </c>
      <c r="W3172">
        <v>1615</v>
      </c>
      <c r="X3172" t="s">
        <v>11334</v>
      </c>
      <c r="Y3172" t="s">
        <v>11336</v>
      </c>
      <c r="Z3172" t="s">
        <v>13494</v>
      </c>
      <c r="AB3172" t="s">
        <v>17832</v>
      </c>
      <c r="AC3172">
        <v>0</v>
      </c>
      <c r="AD3172" t="s">
        <v>19569</v>
      </c>
      <c r="AE3172" t="s">
        <v>19581</v>
      </c>
      <c r="AF3172">
        <v>1</v>
      </c>
      <c r="AG3172">
        <v>1</v>
      </c>
      <c r="AH3172">
        <v>2</v>
      </c>
      <c r="AI3172">
        <v>107.6</v>
      </c>
      <c r="AL3172" t="s">
        <v>19614</v>
      </c>
      <c r="AM3172">
        <v>22360</v>
      </c>
      <c r="AS3172">
        <v>4.4</v>
      </c>
      <c r="AT3172" t="s">
        <v>491</v>
      </c>
      <c r="AU3172" t="s">
        <v>20667</v>
      </c>
    </row>
    <row r="3173" spans="1:48">
      <c r="A3173" s="1">
        <f>HYPERLINK("https://lsnyc.legalserver.org/matter/dynamic-profile/view/1894904","19-1894904")</f>
        <v>0</v>
      </c>
      <c r="B3173" t="s">
        <v>103</v>
      </c>
      <c r="C3173" t="s">
        <v>256</v>
      </c>
      <c r="D3173" t="s">
        <v>718</v>
      </c>
      <c r="F3173" t="s">
        <v>2448</v>
      </c>
      <c r="G3173" t="s">
        <v>3832</v>
      </c>
      <c r="H3173" t="s">
        <v>5887</v>
      </c>
      <c r="I3173" t="s">
        <v>8262</v>
      </c>
      <c r="J3173" t="s">
        <v>9065</v>
      </c>
      <c r="K3173">
        <v>10453</v>
      </c>
      <c r="L3173" t="s">
        <v>9094</v>
      </c>
      <c r="M3173" t="s">
        <v>9094</v>
      </c>
      <c r="N3173" t="s">
        <v>9352</v>
      </c>
      <c r="O3173" t="s">
        <v>11130</v>
      </c>
      <c r="P3173" t="s">
        <v>11165</v>
      </c>
      <c r="R3173" t="s">
        <v>11180</v>
      </c>
      <c r="S3173" t="s">
        <v>9094</v>
      </c>
      <c r="T3173" t="s">
        <v>11183</v>
      </c>
      <c r="V3173" t="s">
        <v>512</v>
      </c>
      <c r="W3173">
        <v>1050</v>
      </c>
      <c r="X3173" t="s">
        <v>11333</v>
      </c>
      <c r="Y3173" t="s">
        <v>11339</v>
      </c>
      <c r="Z3173" t="s">
        <v>13495</v>
      </c>
      <c r="AB3173" t="s">
        <v>17833</v>
      </c>
      <c r="AC3173">
        <v>170</v>
      </c>
      <c r="AD3173" t="s">
        <v>19566</v>
      </c>
      <c r="AE3173" t="s">
        <v>9144</v>
      </c>
      <c r="AF3173">
        <v>6</v>
      </c>
      <c r="AG3173">
        <v>2</v>
      </c>
      <c r="AH3173">
        <v>0</v>
      </c>
      <c r="AI3173">
        <v>107.63</v>
      </c>
      <c r="AL3173" t="s">
        <v>19615</v>
      </c>
      <c r="AM3173">
        <v>18200</v>
      </c>
      <c r="AS3173">
        <v>0</v>
      </c>
      <c r="AU3173" t="s">
        <v>220</v>
      </c>
    </row>
    <row r="3174" spans="1:48">
      <c r="A3174" s="1">
        <f>HYPERLINK("https://lsnyc.legalserver.org/matter/dynamic-profile/view/1910843","19-1910843")</f>
        <v>0</v>
      </c>
      <c r="B3174" t="s">
        <v>110</v>
      </c>
      <c r="C3174" t="s">
        <v>257</v>
      </c>
      <c r="D3174" t="s">
        <v>259</v>
      </c>
      <c r="E3174" t="s">
        <v>377</v>
      </c>
      <c r="F3174" t="s">
        <v>2203</v>
      </c>
      <c r="G3174" t="s">
        <v>3405</v>
      </c>
      <c r="H3174" t="s">
        <v>7096</v>
      </c>
      <c r="I3174">
        <v>2</v>
      </c>
      <c r="J3174" t="s">
        <v>9065</v>
      </c>
      <c r="K3174">
        <v>10453</v>
      </c>
      <c r="L3174" t="s">
        <v>9094</v>
      </c>
      <c r="M3174" t="s">
        <v>9095</v>
      </c>
      <c r="O3174" t="s">
        <v>9121</v>
      </c>
      <c r="P3174" t="s">
        <v>11164</v>
      </c>
      <c r="Q3174" t="s">
        <v>11172</v>
      </c>
      <c r="R3174" t="s">
        <v>11180</v>
      </c>
      <c r="T3174" t="s">
        <v>11183</v>
      </c>
      <c r="W3174">
        <v>900</v>
      </c>
      <c r="X3174" t="s">
        <v>11333</v>
      </c>
      <c r="Y3174" t="s">
        <v>11346</v>
      </c>
      <c r="Z3174" t="s">
        <v>13496</v>
      </c>
      <c r="AB3174" t="s">
        <v>17834</v>
      </c>
      <c r="AC3174">
        <v>0</v>
      </c>
      <c r="AD3174" t="s">
        <v>19566</v>
      </c>
      <c r="AE3174" t="s">
        <v>19580</v>
      </c>
      <c r="AF3174">
        <v>24</v>
      </c>
      <c r="AG3174">
        <v>2</v>
      </c>
      <c r="AH3174">
        <v>0</v>
      </c>
      <c r="AI3174">
        <v>107.63</v>
      </c>
      <c r="AL3174" t="s">
        <v>19615</v>
      </c>
      <c r="AM3174">
        <v>18200</v>
      </c>
      <c r="AS3174">
        <v>1</v>
      </c>
      <c r="AT3174" t="s">
        <v>832</v>
      </c>
      <c r="AU3174" t="s">
        <v>110</v>
      </c>
      <c r="AV3174" t="s">
        <v>20733</v>
      </c>
    </row>
    <row r="3175" spans="1:48">
      <c r="A3175" s="1">
        <f>HYPERLINK("https://lsnyc.legalserver.org/matter/dynamic-profile/view/1897239","19-1897239")</f>
        <v>0</v>
      </c>
      <c r="B3175" t="s">
        <v>137</v>
      </c>
      <c r="C3175" t="s">
        <v>256</v>
      </c>
      <c r="D3175" t="s">
        <v>317</v>
      </c>
      <c r="F3175" t="s">
        <v>2449</v>
      </c>
      <c r="G3175" t="s">
        <v>3768</v>
      </c>
      <c r="H3175" t="s">
        <v>7232</v>
      </c>
      <c r="I3175" t="s">
        <v>8229</v>
      </c>
      <c r="J3175" t="s">
        <v>9067</v>
      </c>
      <c r="K3175">
        <v>10034</v>
      </c>
      <c r="L3175" t="s">
        <v>9094</v>
      </c>
      <c r="M3175" t="s">
        <v>9094</v>
      </c>
      <c r="P3175" t="s">
        <v>11165</v>
      </c>
      <c r="R3175" t="s">
        <v>11180</v>
      </c>
      <c r="S3175" t="s">
        <v>9096</v>
      </c>
      <c r="T3175" t="s">
        <v>11183</v>
      </c>
      <c r="V3175" t="s">
        <v>317</v>
      </c>
      <c r="W3175">
        <v>2600</v>
      </c>
      <c r="X3175" t="s">
        <v>11335</v>
      </c>
      <c r="Z3175" t="s">
        <v>13497</v>
      </c>
      <c r="AB3175" t="s">
        <v>17835</v>
      </c>
      <c r="AC3175">
        <v>46</v>
      </c>
      <c r="AD3175" t="s">
        <v>19566</v>
      </c>
      <c r="AE3175" t="s">
        <v>9144</v>
      </c>
      <c r="AF3175">
        <v>9</v>
      </c>
      <c r="AG3175">
        <v>1</v>
      </c>
      <c r="AH3175">
        <v>1</v>
      </c>
      <c r="AI3175">
        <v>107.63</v>
      </c>
      <c r="AL3175" t="s">
        <v>19615</v>
      </c>
      <c r="AM3175">
        <v>18200</v>
      </c>
      <c r="AS3175">
        <v>20</v>
      </c>
      <c r="AT3175" t="s">
        <v>610</v>
      </c>
      <c r="AU3175" t="s">
        <v>130</v>
      </c>
      <c r="AV3175" t="s">
        <v>20733</v>
      </c>
    </row>
    <row r="3176" spans="1:48">
      <c r="A3176" s="1">
        <f>HYPERLINK("https://lsnyc.legalserver.org/matter/dynamic-profile/view/1860471","18-1860471")</f>
        <v>0</v>
      </c>
      <c r="B3176" t="s">
        <v>52</v>
      </c>
      <c r="C3176" t="s">
        <v>256</v>
      </c>
      <c r="D3176" t="s">
        <v>836</v>
      </c>
      <c r="F3176" t="s">
        <v>1829</v>
      </c>
      <c r="G3176" t="s">
        <v>4668</v>
      </c>
      <c r="H3176" t="s">
        <v>6711</v>
      </c>
      <c r="I3176" t="s">
        <v>8285</v>
      </c>
      <c r="J3176" t="s">
        <v>9039</v>
      </c>
      <c r="K3176">
        <v>11432</v>
      </c>
      <c r="L3176" t="s">
        <v>9094</v>
      </c>
      <c r="M3176" t="s">
        <v>9094</v>
      </c>
      <c r="N3176" t="s">
        <v>9698</v>
      </c>
      <c r="O3176" t="s">
        <v>11135</v>
      </c>
      <c r="P3176" t="s">
        <v>11168</v>
      </c>
      <c r="R3176" t="s">
        <v>11180</v>
      </c>
      <c r="S3176" t="s">
        <v>9094</v>
      </c>
      <c r="T3176" t="s">
        <v>11189</v>
      </c>
      <c r="U3176" t="s">
        <v>11201</v>
      </c>
      <c r="V3176" t="s">
        <v>836</v>
      </c>
      <c r="W3176">
        <v>1673.53</v>
      </c>
      <c r="X3176" t="s">
        <v>11331</v>
      </c>
      <c r="Y3176" t="s">
        <v>11342</v>
      </c>
      <c r="Z3176" t="s">
        <v>11461</v>
      </c>
      <c r="AB3176" t="s">
        <v>17784</v>
      </c>
      <c r="AC3176">
        <v>60</v>
      </c>
      <c r="AD3176" t="s">
        <v>19566</v>
      </c>
      <c r="AE3176" t="s">
        <v>9144</v>
      </c>
      <c r="AF3176">
        <v>20</v>
      </c>
      <c r="AG3176">
        <v>2</v>
      </c>
      <c r="AH3176">
        <v>3</v>
      </c>
      <c r="AI3176">
        <v>107.71</v>
      </c>
      <c r="AM3176">
        <v>46000</v>
      </c>
      <c r="AS3176">
        <v>0.1</v>
      </c>
      <c r="AT3176" t="s">
        <v>848</v>
      </c>
      <c r="AU3176" t="s">
        <v>153</v>
      </c>
    </row>
    <row r="3177" spans="1:48">
      <c r="A3177" s="1">
        <f>HYPERLINK("https://lsnyc.legalserver.org/matter/dynamic-profile/view/1903001","19-1903001")</f>
        <v>0</v>
      </c>
      <c r="B3177" t="s">
        <v>72</v>
      </c>
      <c r="C3177" t="s">
        <v>256</v>
      </c>
      <c r="D3177" t="s">
        <v>403</v>
      </c>
      <c r="F3177" t="s">
        <v>2450</v>
      </c>
      <c r="G3177" t="s">
        <v>3863</v>
      </c>
      <c r="H3177" t="s">
        <v>5811</v>
      </c>
      <c r="I3177" t="s">
        <v>8192</v>
      </c>
      <c r="J3177" t="s">
        <v>9059</v>
      </c>
      <c r="K3177">
        <v>11212</v>
      </c>
      <c r="L3177" t="s">
        <v>9094</v>
      </c>
      <c r="M3177" t="s">
        <v>9095</v>
      </c>
      <c r="N3177" t="s">
        <v>10310</v>
      </c>
      <c r="O3177" t="s">
        <v>11129</v>
      </c>
      <c r="P3177" t="s">
        <v>11165</v>
      </c>
      <c r="R3177" t="s">
        <v>11180</v>
      </c>
      <c r="S3177" t="s">
        <v>9096</v>
      </c>
      <c r="T3177" t="s">
        <v>11183</v>
      </c>
      <c r="U3177" t="s">
        <v>11201</v>
      </c>
      <c r="V3177" t="s">
        <v>493</v>
      </c>
      <c r="W3177">
        <v>1534</v>
      </c>
      <c r="X3177" t="s">
        <v>11332</v>
      </c>
      <c r="Y3177" t="s">
        <v>11340</v>
      </c>
      <c r="Z3177" t="s">
        <v>13498</v>
      </c>
      <c r="AA3177">
        <v>9407455</v>
      </c>
      <c r="AB3177" t="s">
        <v>17836</v>
      </c>
      <c r="AC3177">
        <v>21</v>
      </c>
      <c r="AD3177" t="s">
        <v>19566</v>
      </c>
      <c r="AE3177" t="s">
        <v>19582</v>
      </c>
      <c r="AF3177">
        <v>9</v>
      </c>
      <c r="AG3177">
        <v>1</v>
      </c>
      <c r="AH3177">
        <v>2</v>
      </c>
      <c r="AI3177">
        <v>107.75</v>
      </c>
      <c r="AL3177" t="s">
        <v>19614</v>
      </c>
      <c r="AM3177">
        <v>22984.08</v>
      </c>
      <c r="AS3177">
        <v>44.55</v>
      </c>
      <c r="AT3177" t="s">
        <v>594</v>
      </c>
      <c r="AU3177" t="s">
        <v>79</v>
      </c>
      <c r="AV3177" t="s">
        <v>20733</v>
      </c>
    </row>
    <row r="3178" spans="1:48">
      <c r="A3178" s="1">
        <f>HYPERLINK("https://lsnyc.legalserver.org/matter/dynamic-profile/view/1844569","17-1844569")</f>
        <v>0</v>
      </c>
      <c r="B3178" t="s">
        <v>66</v>
      </c>
      <c r="C3178" t="s">
        <v>256</v>
      </c>
      <c r="D3178" t="s">
        <v>996</v>
      </c>
      <c r="F3178" t="s">
        <v>1992</v>
      </c>
      <c r="G3178" t="s">
        <v>4692</v>
      </c>
      <c r="H3178" t="s">
        <v>7233</v>
      </c>
      <c r="I3178" t="s">
        <v>8707</v>
      </c>
      <c r="J3178" t="s">
        <v>9059</v>
      </c>
      <c r="K3178">
        <v>11249</v>
      </c>
      <c r="L3178" t="s">
        <v>9094</v>
      </c>
      <c r="M3178" t="s">
        <v>9095</v>
      </c>
      <c r="O3178" t="s">
        <v>11129</v>
      </c>
      <c r="P3178" t="s">
        <v>11165</v>
      </c>
      <c r="R3178" t="s">
        <v>11180</v>
      </c>
      <c r="S3178" t="s">
        <v>9094</v>
      </c>
      <c r="T3178" t="s">
        <v>11183</v>
      </c>
      <c r="V3178" t="s">
        <v>11249</v>
      </c>
      <c r="W3178">
        <v>2500</v>
      </c>
      <c r="X3178" t="s">
        <v>11332</v>
      </c>
      <c r="Z3178" t="s">
        <v>13499</v>
      </c>
      <c r="AC3178">
        <v>36</v>
      </c>
      <c r="AD3178" t="s">
        <v>19566</v>
      </c>
      <c r="AF3178">
        <v>2</v>
      </c>
      <c r="AG3178">
        <v>1</v>
      </c>
      <c r="AH3178">
        <v>0</v>
      </c>
      <c r="AI3178">
        <v>107.79</v>
      </c>
      <c r="AJ3178" t="s">
        <v>1100</v>
      </c>
      <c r="AM3178">
        <v>35800</v>
      </c>
      <c r="AS3178">
        <v>21.3</v>
      </c>
      <c r="AT3178" t="s">
        <v>1032</v>
      </c>
      <c r="AU3178" t="s">
        <v>95</v>
      </c>
    </row>
    <row r="3179" spans="1:48">
      <c r="A3179" s="1">
        <f>HYPERLINK("https://lsnyc.legalserver.org/matter/dynamic-profile/view/1840732","17-1840732")</f>
        <v>0</v>
      </c>
      <c r="B3179" t="s">
        <v>111</v>
      </c>
      <c r="C3179" t="s">
        <v>256</v>
      </c>
      <c r="D3179" t="s">
        <v>741</v>
      </c>
      <c r="F3179" t="s">
        <v>2451</v>
      </c>
      <c r="G3179" t="s">
        <v>3896</v>
      </c>
      <c r="H3179" t="s">
        <v>7234</v>
      </c>
      <c r="J3179" t="s">
        <v>9065</v>
      </c>
      <c r="K3179">
        <v>10460</v>
      </c>
      <c r="L3179" t="s">
        <v>9094</v>
      </c>
      <c r="M3179" t="s">
        <v>9095</v>
      </c>
      <c r="N3179" t="s">
        <v>10311</v>
      </c>
      <c r="O3179" t="s">
        <v>11129</v>
      </c>
      <c r="P3179" t="s">
        <v>11165</v>
      </c>
      <c r="R3179" t="s">
        <v>11181</v>
      </c>
      <c r="S3179" t="s">
        <v>9096</v>
      </c>
      <c r="T3179" t="s">
        <v>11183</v>
      </c>
      <c r="V3179" t="s">
        <v>924</v>
      </c>
      <c r="W3179">
        <v>1450</v>
      </c>
      <c r="X3179" t="s">
        <v>11333</v>
      </c>
      <c r="Y3179" t="s">
        <v>11337</v>
      </c>
      <c r="Z3179" t="s">
        <v>13500</v>
      </c>
      <c r="AB3179" t="s">
        <v>17837</v>
      </c>
      <c r="AC3179">
        <v>50</v>
      </c>
      <c r="AD3179" t="s">
        <v>19566</v>
      </c>
      <c r="AE3179" t="s">
        <v>9144</v>
      </c>
      <c r="AF3179">
        <v>1</v>
      </c>
      <c r="AG3179">
        <v>1</v>
      </c>
      <c r="AH3179">
        <v>0</v>
      </c>
      <c r="AI3179">
        <v>107.79</v>
      </c>
      <c r="AJ3179" t="s">
        <v>19591</v>
      </c>
      <c r="AK3179" t="s">
        <v>19608</v>
      </c>
      <c r="AL3179" t="s">
        <v>19614</v>
      </c>
      <c r="AM3179">
        <v>13000</v>
      </c>
      <c r="AN3179" t="s">
        <v>19931</v>
      </c>
      <c r="AR3179" t="s">
        <v>20405</v>
      </c>
      <c r="AS3179">
        <v>78.7</v>
      </c>
      <c r="AT3179" t="s">
        <v>281</v>
      </c>
      <c r="AU3179" t="s">
        <v>20682</v>
      </c>
    </row>
    <row r="3180" spans="1:48">
      <c r="A3180" s="1">
        <f>HYPERLINK("https://lsnyc.legalserver.org/matter/dynamic-profile/view/1857284","18-1857284")</f>
        <v>0</v>
      </c>
      <c r="B3180" t="s">
        <v>119</v>
      </c>
      <c r="C3180" t="s">
        <v>256</v>
      </c>
      <c r="D3180" t="s">
        <v>466</v>
      </c>
      <c r="F3180" t="s">
        <v>2452</v>
      </c>
      <c r="G3180" t="s">
        <v>4124</v>
      </c>
      <c r="H3180" t="s">
        <v>5897</v>
      </c>
      <c r="I3180" t="s">
        <v>8708</v>
      </c>
      <c r="J3180" t="s">
        <v>9065</v>
      </c>
      <c r="K3180">
        <v>10452</v>
      </c>
      <c r="L3180" t="s">
        <v>9094</v>
      </c>
      <c r="M3180" t="s">
        <v>9095</v>
      </c>
      <c r="N3180" t="s">
        <v>9253</v>
      </c>
      <c r="O3180" t="s">
        <v>11135</v>
      </c>
      <c r="P3180" t="s">
        <v>11168</v>
      </c>
      <c r="R3180" t="s">
        <v>11180</v>
      </c>
      <c r="S3180" t="s">
        <v>9094</v>
      </c>
      <c r="T3180" t="s">
        <v>11183</v>
      </c>
      <c r="V3180" t="s">
        <v>11233</v>
      </c>
      <c r="W3180">
        <v>750</v>
      </c>
      <c r="X3180" t="s">
        <v>11333</v>
      </c>
      <c r="Y3180" t="s">
        <v>11346</v>
      </c>
      <c r="Z3180" t="s">
        <v>13495</v>
      </c>
      <c r="AB3180" t="s">
        <v>17838</v>
      </c>
      <c r="AC3180">
        <v>122</v>
      </c>
      <c r="AD3180" t="s">
        <v>19566</v>
      </c>
      <c r="AF3180">
        <v>8</v>
      </c>
      <c r="AG3180">
        <v>1</v>
      </c>
      <c r="AH3180">
        <v>0</v>
      </c>
      <c r="AI3180">
        <v>107.79</v>
      </c>
      <c r="AL3180" t="s">
        <v>19614</v>
      </c>
      <c r="AM3180">
        <v>13000</v>
      </c>
      <c r="AS3180">
        <v>0</v>
      </c>
      <c r="AU3180" t="s">
        <v>20647</v>
      </c>
    </row>
    <row r="3181" spans="1:48">
      <c r="A3181" s="1">
        <f>HYPERLINK("https://lsnyc.legalserver.org/matter/dynamic-profile/view/1847647","17-1847647")</f>
        <v>0</v>
      </c>
      <c r="B3181" t="s">
        <v>139</v>
      </c>
      <c r="C3181" t="s">
        <v>256</v>
      </c>
      <c r="D3181" t="s">
        <v>587</v>
      </c>
      <c r="F3181" t="s">
        <v>1932</v>
      </c>
      <c r="G3181" t="s">
        <v>4693</v>
      </c>
      <c r="H3181" t="s">
        <v>6364</v>
      </c>
      <c r="I3181" t="s">
        <v>8192</v>
      </c>
      <c r="J3181" t="s">
        <v>9067</v>
      </c>
      <c r="K3181">
        <v>10034</v>
      </c>
      <c r="L3181" t="s">
        <v>9094</v>
      </c>
      <c r="M3181" t="s">
        <v>9095</v>
      </c>
      <c r="O3181" t="s">
        <v>11130</v>
      </c>
      <c r="P3181" t="s">
        <v>11165</v>
      </c>
      <c r="R3181" t="s">
        <v>11180</v>
      </c>
      <c r="S3181" t="s">
        <v>9094</v>
      </c>
      <c r="T3181" t="s">
        <v>11183</v>
      </c>
      <c r="V3181" t="s">
        <v>1057</v>
      </c>
      <c r="W3181">
        <v>1484.84</v>
      </c>
      <c r="X3181" t="s">
        <v>11335</v>
      </c>
      <c r="Y3181" t="s">
        <v>11338</v>
      </c>
      <c r="Z3181" t="s">
        <v>13501</v>
      </c>
      <c r="AC3181">
        <v>50</v>
      </c>
      <c r="AD3181" t="s">
        <v>19566</v>
      </c>
      <c r="AE3181" t="s">
        <v>9144</v>
      </c>
      <c r="AF3181">
        <v>12</v>
      </c>
      <c r="AG3181">
        <v>1</v>
      </c>
      <c r="AH3181">
        <v>0</v>
      </c>
      <c r="AI3181">
        <v>107.79</v>
      </c>
      <c r="AL3181" t="s">
        <v>19615</v>
      </c>
      <c r="AM3181">
        <v>13000</v>
      </c>
      <c r="AS3181">
        <v>0</v>
      </c>
      <c r="AU3181" t="s">
        <v>130</v>
      </c>
    </row>
    <row r="3182" spans="1:48">
      <c r="A3182" s="1">
        <f>HYPERLINK("https://lsnyc.legalserver.org/matter/dynamic-profile/view/1907920","19-1907920")</f>
        <v>0</v>
      </c>
      <c r="B3182" t="s">
        <v>49</v>
      </c>
      <c r="C3182" t="s">
        <v>256</v>
      </c>
      <c r="D3182" t="s">
        <v>288</v>
      </c>
      <c r="F3182" t="s">
        <v>2453</v>
      </c>
      <c r="G3182" t="s">
        <v>4417</v>
      </c>
      <c r="H3182" t="s">
        <v>7235</v>
      </c>
      <c r="I3182" t="s">
        <v>8655</v>
      </c>
      <c r="J3182" t="s">
        <v>9090</v>
      </c>
      <c r="K3182">
        <v>11694</v>
      </c>
      <c r="L3182" t="s">
        <v>9094</v>
      </c>
      <c r="M3182" t="s">
        <v>9095</v>
      </c>
      <c r="N3182" t="s">
        <v>10312</v>
      </c>
      <c r="O3182" t="s">
        <v>11129</v>
      </c>
      <c r="P3182" t="s">
        <v>11165</v>
      </c>
      <c r="R3182" t="s">
        <v>11180</v>
      </c>
      <c r="S3182" t="s">
        <v>9096</v>
      </c>
      <c r="T3182" t="s">
        <v>11183</v>
      </c>
      <c r="U3182" t="s">
        <v>11201</v>
      </c>
      <c r="V3182" t="s">
        <v>288</v>
      </c>
      <c r="W3182">
        <v>933.92</v>
      </c>
      <c r="X3182" t="s">
        <v>11331</v>
      </c>
      <c r="Y3182" t="s">
        <v>11336</v>
      </c>
      <c r="Z3182" t="s">
        <v>13502</v>
      </c>
      <c r="AA3182" t="s">
        <v>9144</v>
      </c>
      <c r="AB3182" t="s">
        <v>17839</v>
      </c>
      <c r="AC3182">
        <v>240</v>
      </c>
      <c r="AD3182" t="s">
        <v>19566</v>
      </c>
      <c r="AE3182" t="s">
        <v>9144</v>
      </c>
      <c r="AF3182">
        <v>12</v>
      </c>
      <c r="AG3182">
        <v>1</v>
      </c>
      <c r="AH3182">
        <v>0</v>
      </c>
      <c r="AI3182">
        <v>107.8</v>
      </c>
      <c r="AL3182" t="s">
        <v>19614</v>
      </c>
      <c r="AM3182">
        <v>13464</v>
      </c>
      <c r="AO3182" t="s">
        <v>20292</v>
      </c>
      <c r="AP3182" t="s">
        <v>20309</v>
      </c>
      <c r="AQ3182" t="s">
        <v>20369</v>
      </c>
      <c r="AR3182" t="s">
        <v>20515</v>
      </c>
      <c r="AS3182">
        <v>18.8</v>
      </c>
      <c r="AT3182" t="s">
        <v>832</v>
      </c>
      <c r="AU3182" t="s">
        <v>20620</v>
      </c>
      <c r="AV3182" t="s">
        <v>20733</v>
      </c>
    </row>
    <row r="3183" spans="1:48">
      <c r="A3183" s="1">
        <f>HYPERLINK("https://lsnyc.legalserver.org/matter/dynamic-profile/view/0788392","15-0788392")</f>
        <v>0</v>
      </c>
      <c r="B3183" t="s">
        <v>56</v>
      </c>
      <c r="C3183" t="s">
        <v>256</v>
      </c>
      <c r="D3183" t="s">
        <v>997</v>
      </c>
      <c r="F3183" t="s">
        <v>2392</v>
      </c>
      <c r="G3183" t="s">
        <v>4694</v>
      </c>
      <c r="H3183" t="s">
        <v>7236</v>
      </c>
      <c r="I3183" t="s">
        <v>8354</v>
      </c>
      <c r="J3183" t="s">
        <v>9063</v>
      </c>
      <c r="K3183">
        <v>11101</v>
      </c>
      <c r="L3183" t="s">
        <v>9094</v>
      </c>
      <c r="M3183" t="s">
        <v>9095</v>
      </c>
      <c r="N3183" t="s">
        <v>10313</v>
      </c>
      <c r="O3183" t="s">
        <v>11135</v>
      </c>
      <c r="P3183" t="s">
        <v>11166</v>
      </c>
      <c r="R3183" t="s">
        <v>11180</v>
      </c>
      <c r="S3183" t="s">
        <v>9096</v>
      </c>
      <c r="T3183" t="s">
        <v>11183</v>
      </c>
      <c r="V3183" t="s">
        <v>997</v>
      </c>
      <c r="W3183">
        <v>1311.51</v>
      </c>
      <c r="X3183" t="s">
        <v>11331</v>
      </c>
      <c r="Y3183" t="s">
        <v>11346</v>
      </c>
      <c r="Z3183" t="s">
        <v>13472</v>
      </c>
      <c r="AA3183" t="s">
        <v>9171</v>
      </c>
      <c r="AB3183" t="s">
        <v>17840</v>
      </c>
      <c r="AC3183">
        <v>8</v>
      </c>
      <c r="AD3183" t="s">
        <v>19566</v>
      </c>
      <c r="AF3183">
        <v>12</v>
      </c>
      <c r="AG3183">
        <v>1</v>
      </c>
      <c r="AH3183">
        <v>0</v>
      </c>
      <c r="AI3183">
        <v>107.9</v>
      </c>
      <c r="AL3183" t="s">
        <v>19614</v>
      </c>
      <c r="AM3183">
        <v>12700</v>
      </c>
      <c r="AS3183">
        <v>7.3</v>
      </c>
      <c r="AT3183" t="s">
        <v>517</v>
      </c>
      <c r="AU3183" t="s">
        <v>157</v>
      </c>
    </row>
    <row r="3184" spans="1:48">
      <c r="A3184" s="1">
        <f>HYPERLINK("https://lsnyc.legalserver.org/matter/dynamic-profile/view/1894291","19-1894291")</f>
        <v>0</v>
      </c>
      <c r="B3184" t="s">
        <v>106</v>
      </c>
      <c r="C3184" t="s">
        <v>257</v>
      </c>
      <c r="D3184" t="s">
        <v>507</v>
      </c>
      <c r="E3184" t="s">
        <v>551</v>
      </c>
      <c r="F3184" t="s">
        <v>1146</v>
      </c>
      <c r="G3184" t="s">
        <v>3776</v>
      </c>
      <c r="H3184" t="s">
        <v>6713</v>
      </c>
      <c r="I3184" t="s">
        <v>8308</v>
      </c>
      <c r="J3184" t="s">
        <v>9065</v>
      </c>
      <c r="K3184">
        <v>10458</v>
      </c>
      <c r="L3184" t="s">
        <v>9094</v>
      </c>
      <c r="M3184" t="s">
        <v>9094</v>
      </c>
      <c r="O3184" t="s">
        <v>11151</v>
      </c>
      <c r="P3184" t="s">
        <v>11166</v>
      </c>
      <c r="Q3184" t="s">
        <v>11177</v>
      </c>
      <c r="R3184" t="s">
        <v>11180</v>
      </c>
      <c r="S3184" t="s">
        <v>9096</v>
      </c>
      <c r="T3184" t="s">
        <v>11183</v>
      </c>
      <c r="U3184" t="s">
        <v>11201</v>
      </c>
      <c r="V3184" t="s">
        <v>507</v>
      </c>
      <c r="W3184">
        <v>1580</v>
      </c>
      <c r="X3184" t="s">
        <v>11333</v>
      </c>
      <c r="Y3184" t="s">
        <v>11352</v>
      </c>
      <c r="Z3184" t="s">
        <v>13503</v>
      </c>
      <c r="AA3184" t="s">
        <v>15768</v>
      </c>
      <c r="AB3184" t="s">
        <v>17841</v>
      </c>
      <c r="AC3184">
        <v>0</v>
      </c>
      <c r="AD3184" t="s">
        <v>15441</v>
      </c>
      <c r="AE3184" t="s">
        <v>19580</v>
      </c>
      <c r="AF3184">
        <v>23</v>
      </c>
      <c r="AG3184">
        <v>3</v>
      </c>
      <c r="AH3184">
        <v>0</v>
      </c>
      <c r="AI3184">
        <v>108.02</v>
      </c>
      <c r="AL3184" t="s">
        <v>19614</v>
      </c>
      <c r="AM3184">
        <v>23040</v>
      </c>
      <c r="AS3184">
        <v>3.7</v>
      </c>
      <c r="AT3184" t="s">
        <v>988</v>
      </c>
      <c r="AU3184" t="s">
        <v>220</v>
      </c>
    </row>
    <row r="3185" spans="1:48">
      <c r="A3185" s="1">
        <f>HYPERLINK("https://lsnyc.legalserver.org/matter/dynamic-profile/view/1886780","19-1886780")</f>
        <v>0</v>
      </c>
      <c r="B3185" t="s">
        <v>82</v>
      </c>
      <c r="C3185" t="s">
        <v>256</v>
      </c>
      <c r="D3185" t="s">
        <v>611</v>
      </c>
      <c r="F3185" t="s">
        <v>2454</v>
      </c>
      <c r="G3185" t="s">
        <v>4695</v>
      </c>
      <c r="H3185" t="s">
        <v>6218</v>
      </c>
      <c r="J3185" t="s">
        <v>9059</v>
      </c>
      <c r="K3185">
        <v>11230</v>
      </c>
      <c r="L3185" t="s">
        <v>9094</v>
      </c>
      <c r="M3185" t="s">
        <v>9094</v>
      </c>
      <c r="O3185" t="s">
        <v>11137</v>
      </c>
      <c r="P3185" t="s">
        <v>11166</v>
      </c>
      <c r="R3185" t="s">
        <v>11180</v>
      </c>
      <c r="S3185" t="s">
        <v>9096</v>
      </c>
      <c r="T3185" t="s">
        <v>11183</v>
      </c>
      <c r="V3185" t="s">
        <v>738</v>
      </c>
      <c r="W3185">
        <v>1345.21</v>
      </c>
      <c r="X3185" t="s">
        <v>11332</v>
      </c>
      <c r="Y3185" t="s">
        <v>11342</v>
      </c>
      <c r="Z3185" t="s">
        <v>13504</v>
      </c>
      <c r="AB3185" t="s">
        <v>17842</v>
      </c>
      <c r="AC3185">
        <v>60</v>
      </c>
      <c r="AD3185" t="s">
        <v>19566</v>
      </c>
      <c r="AE3185" t="s">
        <v>9144</v>
      </c>
      <c r="AF3185">
        <v>6</v>
      </c>
      <c r="AG3185">
        <v>2</v>
      </c>
      <c r="AH3185">
        <v>2</v>
      </c>
      <c r="AI3185">
        <v>108.05</v>
      </c>
      <c r="AL3185" t="s">
        <v>19614</v>
      </c>
      <c r="AM3185">
        <v>27120</v>
      </c>
      <c r="AS3185">
        <v>1.5</v>
      </c>
      <c r="AT3185" t="s">
        <v>833</v>
      </c>
      <c r="AU3185" t="s">
        <v>215</v>
      </c>
    </row>
    <row r="3186" spans="1:48">
      <c r="A3186" s="1">
        <f>HYPERLINK("https://lsnyc.legalserver.org/matter/dynamic-profile/view/1886501","18-1886501")</f>
        <v>0</v>
      </c>
      <c r="B3186" t="s">
        <v>82</v>
      </c>
      <c r="C3186" t="s">
        <v>256</v>
      </c>
      <c r="D3186" t="s">
        <v>347</v>
      </c>
      <c r="F3186" t="s">
        <v>2454</v>
      </c>
      <c r="G3186" t="s">
        <v>4695</v>
      </c>
      <c r="H3186" t="s">
        <v>6218</v>
      </c>
      <c r="J3186" t="s">
        <v>9059</v>
      </c>
      <c r="K3186">
        <v>11230</v>
      </c>
      <c r="L3186" t="s">
        <v>9094</v>
      </c>
      <c r="M3186" t="s">
        <v>9094</v>
      </c>
      <c r="N3186" t="s">
        <v>10314</v>
      </c>
      <c r="O3186" t="s">
        <v>11129</v>
      </c>
      <c r="P3186" t="s">
        <v>11165</v>
      </c>
      <c r="R3186" t="s">
        <v>11180</v>
      </c>
      <c r="S3186" t="s">
        <v>9096</v>
      </c>
      <c r="T3186" t="s">
        <v>11183</v>
      </c>
      <c r="U3186" t="s">
        <v>11199</v>
      </c>
      <c r="V3186" t="s">
        <v>347</v>
      </c>
      <c r="W3186">
        <v>1345.21</v>
      </c>
      <c r="X3186" t="s">
        <v>11332</v>
      </c>
      <c r="Y3186" t="s">
        <v>11342</v>
      </c>
      <c r="Z3186" t="s">
        <v>13504</v>
      </c>
      <c r="AB3186" t="s">
        <v>17842</v>
      </c>
      <c r="AC3186">
        <v>60</v>
      </c>
      <c r="AD3186" t="s">
        <v>19566</v>
      </c>
      <c r="AE3186" t="s">
        <v>9144</v>
      </c>
      <c r="AF3186">
        <v>6</v>
      </c>
      <c r="AG3186">
        <v>2</v>
      </c>
      <c r="AH3186">
        <v>2</v>
      </c>
      <c r="AI3186">
        <v>108.05</v>
      </c>
      <c r="AL3186" t="s">
        <v>19614</v>
      </c>
      <c r="AM3186">
        <v>27120</v>
      </c>
      <c r="AS3186">
        <v>13.4</v>
      </c>
      <c r="AT3186" t="s">
        <v>559</v>
      </c>
      <c r="AU3186" t="s">
        <v>215</v>
      </c>
      <c r="AV3186" t="s">
        <v>20733</v>
      </c>
    </row>
    <row r="3187" spans="1:48">
      <c r="A3187" s="1">
        <f>HYPERLINK("https://lsnyc.legalserver.org/matter/dynamic-profile/view/1902471","19-1902471")</f>
        <v>0</v>
      </c>
      <c r="B3187" t="s">
        <v>195</v>
      </c>
      <c r="C3187" t="s">
        <v>257</v>
      </c>
      <c r="D3187" t="s">
        <v>798</v>
      </c>
      <c r="E3187" t="s">
        <v>321</v>
      </c>
      <c r="F3187" t="s">
        <v>1505</v>
      </c>
      <c r="G3187" t="s">
        <v>4696</v>
      </c>
      <c r="H3187" t="s">
        <v>7237</v>
      </c>
      <c r="I3187">
        <v>11</v>
      </c>
      <c r="J3187" t="s">
        <v>9067</v>
      </c>
      <c r="K3187">
        <v>10009</v>
      </c>
      <c r="L3187" t="s">
        <v>9094</v>
      </c>
      <c r="M3187" t="s">
        <v>9095</v>
      </c>
      <c r="N3187" t="s">
        <v>10315</v>
      </c>
      <c r="O3187" t="s">
        <v>11128</v>
      </c>
      <c r="P3187" t="s">
        <v>11164</v>
      </c>
      <c r="Q3187" t="s">
        <v>11172</v>
      </c>
      <c r="R3187" t="s">
        <v>11180</v>
      </c>
      <c r="S3187" t="s">
        <v>9096</v>
      </c>
      <c r="T3187" t="s">
        <v>11183</v>
      </c>
      <c r="V3187" t="s">
        <v>798</v>
      </c>
      <c r="W3187">
        <v>2400</v>
      </c>
      <c r="X3187" t="s">
        <v>11335</v>
      </c>
      <c r="Y3187" t="s">
        <v>11346</v>
      </c>
      <c r="Z3187" t="s">
        <v>13505</v>
      </c>
      <c r="AB3187" t="s">
        <v>17843</v>
      </c>
      <c r="AC3187">
        <v>0</v>
      </c>
      <c r="AD3187" t="s">
        <v>19578</v>
      </c>
      <c r="AE3187" t="s">
        <v>9144</v>
      </c>
      <c r="AF3187">
        <v>1</v>
      </c>
      <c r="AG3187">
        <v>1</v>
      </c>
      <c r="AH3187">
        <v>0</v>
      </c>
      <c r="AI3187">
        <v>108.09</v>
      </c>
      <c r="AL3187" t="s">
        <v>19614</v>
      </c>
      <c r="AM3187">
        <v>13500</v>
      </c>
      <c r="AS3187">
        <v>0.25</v>
      </c>
      <c r="AT3187" t="s">
        <v>377</v>
      </c>
      <c r="AU3187" t="s">
        <v>20659</v>
      </c>
      <c r="AV3187" t="s">
        <v>20733</v>
      </c>
    </row>
    <row r="3188" spans="1:48">
      <c r="A3188" s="1">
        <f>HYPERLINK("https://lsnyc.legalserver.org/matter/dynamic-profile/view/1899120","19-1899120")</f>
        <v>0</v>
      </c>
      <c r="B3188" t="s">
        <v>98</v>
      </c>
      <c r="C3188" t="s">
        <v>257</v>
      </c>
      <c r="D3188" t="s">
        <v>492</v>
      </c>
      <c r="E3188" t="s">
        <v>574</v>
      </c>
      <c r="F3188" t="s">
        <v>1146</v>
      </c>
      <c r="G3188" t="s">
        <v>3924</v>
      </c>
      <c r="H3188" t="s">
        <v>6081</v>
      </c>
      <c r="I3188" t="s">
        <v>8164</v>
      </c>
      <c r="J3188" t="s">
        <v>9065</v>
      </c>
      <c r="K3188">
        <v>10452</v>
      </c>
      <c r="L3188" t="s">
        <v>9094</v>
      </c>
      <c r="M3188" t="s">
        <v>9095</v>
      </c>
      <c r="O3188" t="s">
        <v>11134</v>
      </c>
      <c r="P3188" t="s">
        <v>11167</v>
      </c>
      <c r="Q3188" t="s">
        <v>11173</v>
      </c>
      <c r="R3188" t="s">
        <v>11180</v>
      </c>
      <c r="S3188" t="s">
        <v>9094</v>
      </c>
      <c r="T3188" t="s">
        <v>11183</v>
      </c>
      <c r="V3188" t="s">
        <v>299</v>
      </c>
      <c r="W3188">
        <v>1481</v>
      </c>
      <c r="X3188" t="s">
        <v>11333</v>
      </c>
      <c r="Y3188" t="s">
        <v>11339</v>
      </c>
      <c r="Z3188" t="s">
        <v>13506</v>
      </c>
      <c r="AB3188" t="s">
        <v>17844</v>
      </c>
      <c r="AC3188">
        <v>41</v>
      </c>
      <c r="AD3188" t="s">
        <v>15441</v>
      </c>
      <c r="AE3188" t="s">
        <v>9144</v>
      </c>
      <c r="AF3188">
        <v>10</v>
      </c>
      <c r="AG3188">
        <v>1</v>
      </c>
      <c r="AH3188">
        <v>0</v>
      </c>
      <c r="AI3188">
        <v>108.18</v>
      </c>
      <c r="AL3188" t="s">
        <v>19614</v>
      </c>
      <c r="AM3188">
        <v>13512</v>
      </c>
      <c r="AS3188">
        <v>0.25</v>
      </c>
      <c r="AT3188" t="s">
        <v>335</v>
      </c>
      <c r="AU3188" t="s">
        <v>20642</v>
      </c>
      <c r="AV3188" t="s">
        <v>20733</v>
      </c>
    </row>
    <row r="3189" spans="1:48">
      <c r="A3189" s="1">
        <f>HYPERLINK("https://lsnyc.legalserver.org/matter/dynamic-profile/view/1913154","19-1913154")</f>
        <v>0</v>
      </c>
      <c r="B3189" t="s">
        <v>202</v>
      </c>
      <c r="C3189" t="s">
        <v>256</v>
      </c>
      <c r="D3189" t="s">
        <v>276</v>
      </c>
      <c r="F3189" t="s">
        <v>1365</v>
      </c>
      <c r="G3189" t="s">
        <v>3910</v>
      </c>
      <c r="H3189" t="s">
        <v>5748</v>
      </c>
      <c r="I3189" t="s">
        <v>8709</v>
      </c>
      <c r="J3189" t="s">
        <v>9059</v>
      </c>
      <c r="K3189">
        <v>11233</v>
      </c>
      <c r="L3189" t="s">
        <v>9094</v>
      </c>
      <c r="M3189" t="s">
        <v>9095</v>
      </c>
      <c r="O3189" t="s">
        <v>9121</v>
      </c>
      <c r="P3189" t="s">
        <v>11166</v>
      </c>
      <c r="R3189" t="s">
        <v>11180</v>
      </c>
      <c r="S3189" t="s">
        <v>9096</v>
      </c>
      <c r="T3189" t="s">
        <v>11183</v>
      </c>
      <c r="V3189" t="s">
        <v>648</v>
      </c>
      <c r="W3189">
        <v>967.78</v>
      </c>
      <c r="X3189" t="s">
        <v>11332</v>
      </c>
      <c r="Y3189" t="s">
        <v>11340</v>
      </c>
      <c r="Z3189" t="s">
        <v>12118</v>
      </c>
      <c r="AA3189" t="s">
        <v>15769</v>
      </c>
      <c r="AB3189" t="s">
        <v>17845</v>
      </c>
      <c r="AC3189">
        <v>359</v>
      </c>
      <c r="AD3189" t="s">
        <v>19566</v>
      </c>
      <c r="AF3189">
        <v>0</v>
      </c>
      <c r="AG3189">
        <v>1</v>
      </c>
      <c r="AH3189">
        <v>2</v>
      </c>
      <c r="AI3189">
        <v>108.24</v>
      </c>
      <c r="AL3189" t="s">
        <v>19614</v>
      </c>
      <c r="AM3189">
        <v>23088</v>
      </c>
      <c r="AS3189">
        <v>6.8</v>
      </c>
      <c r="AT3189" t="s">
        <v>276</v>
      </c>
      <c r="AU3189" t="s">
        <v>202</v>
      </c>
      <c r="AV3189" t="s">
        <v>20733</v>
      </c>
    </row>
    <row r="3190" spans="1:48">
      <c r="A3190" s="1">
        <f>HYPERLINK("https://lsnyc.legalserver.org/matter/dynamic-profile/view/1909699","19-1909699")</f>
        <v>0</v>
      </c>
      <c r="B3190" t="s">
        <v>104</v>
      </c>
      <c r="C3190" t="s">
        <v>256</v>
      </c>
      <c r="D3190" t="s">
        <v>425</v>
      </c>
      <c r="F3190" t="s">
        <v>2455</v>
      </c>
      <c r="G3190" t="s">
        <v>3584</v>
      </c>
      <c r="H3190" t="s">
        <v>7238</v>
      </c>
      <c r="J3190" t="s">
        <v>9065</v>
      </c>
      <c r="K3190">
        <v>10452</v>
      </c>
      <c r="L3190" t="s">
        <v>9094</v>
      </c>
      <c r="M3190" t="s">
        <v>9095</v>
      </c>
      <c r="N3190" t="s">
        <v>10316</v>
      </c>
      <c r="O3190" t="s">
        <v>11129</v>
      </c>
      <c r="P3190" t="s">
        <v>11164</v>
      </c>
      <c r="R3190" t="s">
        <v>11180</v>
      </c>
      <c r="S3190" t="s">
        <v>9096</v>
      </c>
      <c r="T3190" t="s">
        <v>11183</v>
      </c>
      <c r="V3190" t="s">
        <v>292</v>
      </c>
      <c r="W3190">
        <v>1774</v>
      </c>
      <c r="X3190" t="s">
        <v>11333</v>
      </c>
      <c r="Y3190" t="s">
        <v>11342</v>
      </c>
      <c r="Z3190" t="s">
        <v>13507</v>
      </c>
      <c r="AB3190" t="s">
        <v>17846</v>
      </c>
      <c r="AC3190">
        <v>60</v>
      </c>
      <c r="AD3190" t="s">
        <v>19566</v>
      </c>
      <c r="AE3190" t="s">
        <v>19580</v>
      </c>
      <c r="AF3190">
        <v>10</v>
      </c>
      <c r="AG3190">
        <v>1</v>
      </c>
      <c r="AH3190">
        <v>2</v>
      </c>
      <c r="AI3190">
        <v>108.24</v>
      </c>
      <c r="AL3190" t="s">
        <v>19615</v>
      </c>
      <c r="AM3190">
        <v>23088</v>
      </c>
      <c r="AS3190">
        <v>2.65</v>
      </c>
      <c r="AT3190" t="s">
        <v>290</v>
      </c>
      <c r="AU3190" t="s">
        <v>20635</v>
      </c>
      <c r="AV3190" t="s">
        <v>20733</v>
      </c>
    </row>
    <row r="3191" spans="1:48">
      <c r="A3191" s="1">
        <f>HYPERLINK("https://lsnyc.legalserver.org/matter/dynamic-profile/view/1887998","19-1887998")</f>
        <v>0</v>
      </c>
      <c r="B3191" t="s">
        <v>138</v>
      </c>
      <c r="C3191" t="s">
        <v>256</v>
      </c>
      <c r="D3191" t="s">
        <v>443</v>
      </c>
      <c r="F3191" t="s">
        <v>2424</v>
      </c>
      <c r="G3191" t="s">
        <v>3644</v>
      </c>
      <c r="H3191" t="s">
        <v>6093</v>
      </c>
      <c r="I3191">
        <v>31</v>
      </c>
      <c r="J3191" t="s">
        <v>9067</v>
      </c>
      <c r="K3191">
        <v>10034</v>
      </c>
      <c r="L3191" t="s">
        <v>9094</v>
      </c>
      <c r="M3191" t="s">
        <v>9094</v>
      </c>
      <c r="N3191" t="s">
        <v>9999</v>
      </c>
      <c r="O3191" t="s">
        <v>11130</v>
      </c>
      <c r="P3191" t="s">
        <v>11165</v>
      </c>
      <c r="R3191" t="s">
        <v>11180</v>
      </c>
      <c r="S3191" t="s">
        <v>9094</v>
      </c>
      <c r="T3191" t="s">
        <v>11183</v>
      </c>
      <c r="V3191" t="s">
        <v>443</v>
      </c>
      <c r="W3191">
        <v>1013.58</v>
      </c>
      <c r="X3191" t="s">
        <v>11335</v>
      </c>
      <c r="Y3191" t="s">
        <v>11338</v>
      </c>
      <c r="Z3191" t="s">
        <v>13446</v>
      </c>
      <c r="AB3191" t="s">
        <v>17785</v>
      </c>
      <c r="AC3191">
        <v>25</v>
      </c>
      <c r="AD3191" t="s">
        <v>19566</v>
      </c>
      <c r="AE3191" t="s">
        <v>19580</v>
      </c>
      <c r="AF3191">
        <v>50</v>
      </c>
      <c r="AG3191">
        <v>2</v>
      </c>
      <c r="AH3191">
        <v>0</v>
      </c>
      <c r="AI3191">
        <v>108.26</v>
      </c>
      <c r="AL3191" t="s">
        <v>19615</v>
      </c>
      <c r="AM3191">
        <v>17820</v>
      </c>
      <c r="AS3191">
        <v>2.5</v>
      </c>
      <c r="AT3191" t="s">
        <v>483</v>
      </c>
      <c r="AU3191" t="s">
        <v>130</v>
      </c>
    </row>
    <row r="3192" spans="1:48">
      <c r="A3192" s="1">
        <f>HYPERLINK("https://lsnyc.legalserver.org/matter/dynamic-profile/view/1884699","18-1884699")</f>
        <v>0</v>
      </c>
      <c r="B3192" t="s">
        <v>114</v>
      </c>
      <c r="C3192" t="s">
        <v>257</v>
      </c>
      <c r="D3192" t="s">
        <v>622</v>
      </c>
      <c r="E3192" t="s">
        <v>263</v>
      </c>
      <c r="F3192" t="s">
        <v>1917</v>
      </c>
      <c r="G3192" t="s">
        <v>4697</v>
      </c>
      <c r="H3192" t="s">
        <v>5907</v>
      </c>
      <c r="I3192" t="s">
        <v>8710</v>
      </c>
      <c r="J3192" t="s">
        <v>9065</v>
      </c>
      <c r="K3192">
        <v>10451</v>
      </c>
      <c r="L3192" t="s">
        <v>9094</v>
      </c>
      <c r="M3192" t="s">
        <v>9094</v>
      </c>
      <c r="N3192" t="s">
        <v>9259</v>
      </c>
      <c r="O3192" t="s">
        <v>11130</v>
      </c>
      <c r="P3192" t="s">
        <v>11165</v>
      </c>
      <c r="Q3192" t="s">
        <v>11174</v>
      </c>
      <c r="R3192" t="s">
        <v>11180</v>
      </c>
      <c r="S3192" t="s">
        <v>9094</v>
      </c>
      <c r="T3192" t="s">
        <v>11183</v>
      </c>
      <c r="V3192" t="s">
        <v>738</v>
      </c>
      <c r="W3192">
        <v>2030</v>
      </c>
      <c r="X3192" t="s">
        <v>11333</v>
      </c>
      <c r="Y3192" t="s">
        <v>11345</v>
      </c>
      <c r="Z3192" t="s">
        <v>13508</v>
      </c>
      <c r="AB3192" t="s">
        <v>17847</v>
      </c>
      <c r="AC3192">
        <v>100</v>
      </c>
      <c r="AD3192" t="s">
        <v>19566</v>
      </c>
      <c r="AE3192" t="s">
        <v>19580</v>
      </c>
      <c r="AF3192">
        <v>17</v>
      </c>
      <c r="AG3192">
        <v>2</v>
      </c>
      <c r="AH3192">
        <v>0</v>
      </c>
      <c r="AI3192">
        <v>108.36</v>
      </c>
      <c r="AL3192" t="s">
        <v>19615</v>
      </c>
      <c r="AM3192">
        <v>17836</v>
      </c>
      <c r="AS3192">
        <v>0.5</v>
      </c>
      <c r="AT3192" t="s">
        <v>263</v>
      </c>
      <c r="AU3192" t="s">
        <v>163</v>
      </c>
    </row>
    <row r="3193" spans="1:48">
      <c r="A3193" s="1">
        <f>HYPERLINK("https://lsnyc.legalserver.org/matter/dynamic-profile/view/1910181","19-1910181")</f>
        <v>0</v>
      </c>
      <c r="B3193" t="s">
        <v>98</v>
      </c>
      <c r="C3193" t="s">
        <v>256</v>
      </c>
      <c r="D3193" t="s">
        <v>442</v>
      </c>
      <c r="F3193" t="s">
        <v>2456</v>
      </c>
      <c r="G3193" t="s">
        <v>4698</v>
      </c>
      <c r="H3193" t="s">
        <v>5878</v>
      </c>
      <c r="I3193" t="s">
        <v>8112</v>
      </c>
      <c r="J3193" t="s">
        <v>9065</v>
      </c>
      <c r="K3193">
        <v>10456</v>
      </c>
      <c r="L3193" t="s">
        <v>9094</v>
      </c>
      <c r="M3193" t="s">
        <v>9095</v>
      </c>
      <c r="O3193" t="s">
        <v>11134</v>
      </c>
      <c r="P3193" t="s">
        <v>11168</v>
      </c>
      <c r="R3193" t="s">
        <v>11180</v>
      </c>
      <c r="S3193" t="s">
        <v>9094</v>
      </c>
      <c r="T3193" t="s">
        <v>11183</v>
      </c>
      <c r="W3193">
        <v>1451.25</v>
      </c>
      <c r="X3193" t="s">
        <v>11333</v>
      </c>
      <c r="Y3193" t="s">
        <v>11346</v>
      </c>
      <c r="Z3193" t="s">
        <v>13509</v>
      </c>
      <c r="AC3193">
        <v>30</v>
      </c>
      <c r="AD3193" t="s">
        <v>15441</v>
      </c>
      <c r="AE3193" t="s">
        <v>9144</v>
      </c>
      <c r="AF3193">
        <v>19</v>
      </c>
      <c r="AG3193">
        <v>3</v>
      </c>
      <c r="AH3193">
        <v>1</v>
      </c>
      <c r="AI3193">
        <v>108.52</v>
      </c>
      <c r="AL3193" t="s">
        <v>19614</v>
      </c>
      <c r="AM3193">
        <v>27944</v>
      </c>
      <c r="AS3193">
        <v>0</v>
      </c>
      <c r="AU3193" t="s">
        <v>20642</v>
      </c>
      <c r="AV3193" t="s">
        <v>20733</v>
      </c>
    </row>
    <row r="3194" spans="1:48">
      <c r="A3194" s="1">
        <f>HYPERLINK("https://lsnyc.legalserver.org/matter/dynamic-profile/view/1910176","19-1910176")</f>
        <v>0</v>
      </c>
      <c r="B3194" t="s">
        <v>98</v>
      </c>
      <c r="C3194" t="s">
        <v>256</v>
      </c>
      <c r="D3194" t="s">
        <v>442</v>
      </c>
      <c r="F3194" t="s">
        <v>2456</v>
      </c>
      <c r="G3194" t="s">
        <v>4698</v>
      </c>
      <c r="H3194" t="s">
        <v>5878</v>
      </c>
      <c r="I3194" t="s">
        <v>8112</v>
      </c>
      <c r="J3194" t="s">
        <v>9065</v>
      </c>
      <c r="K3194">
        <v>10456</v>
      </c>
      <c r="L3194" t="s">
        <v>9094</v>
      </c>
      <c r="M3194" t="s">
        <v>9095</v>
      </c>
      <c r="N3194" t="s">
        <v>9235</v>
      </c>
      <c r="O3194" t="s">
        <v>11130</v>
      </c>
      <c r="P3194" t="s">
        <v>11165</v>
      </c>
      <c r="R3194" t="s">
        <v>11180</v>
      </c>
      <c r="S3194" t="s">
        <v>9094</v>
      </c>
      <c r="T3194" t="s">
        <v>11183</v>
      </c>
      <c r="W3194">
        <v>1451.25</v>
      </c>
      <c r="X3194" t="s">
        <v>11333</v>
      </c>
      <c r="Y3194" t="s">
        <v>11346</v>
      </c>
      <c r="Z3194" t="s">
        <v>13509</v>
      </c>
      <c r="AC3194">
        <v>30</v>
      </c>
      <c r="AD3194" t="s">
        <v>15441</v>
      </c>
      <c r="AE3194" t="s">
        <v>9144</v>
      </c>
      <c r="AF3194">
        <v>19</v>
      </c>
      <c r="AG3194">
        <v>3</v>
      </c>
      <c r="AH3194">
        <v>1</v>
      </c>
      <c r="AI3194">
        <v>108.52</v>
      </c>
      <c r="AL3194" t="s">
        <v>19614</v>
      </c>
      <c r="AM3194">
        <v>27944</v>
      </c>
      <c r="AS3194">
        <v>0</v>
      </c>
      <c r="AU3194" t="s">
        <v>20642</v>
      </c>
      <c r="AV3194" t="s">
        <v>20733</v>
      </c>
    </row>
    <row r="3195" spans="1:48">
      <c r="A3195" s="1">
        <f>HYPERLINK("https://lsnyc.legalserver.org/matter/dynamic-profile/view/1913381","19-1913381")</f>
        <v>0</v>
      </c>
      <c r="B3195" t="s">
        <v>136</v>
      </c>
      <c r="C3195" t="s">
        <v>256</v>
      </c>
      <c r="D3195" t="s">
        <v>286</v>
      </c>
      <c r="F3195" t="s">
        <v>1404</v>
      </c>
      <c r="G3195" t="s">
        <v>4019</v>
      </c>
      <c r="H3195" t="s">
        <v>5961</v>
      </c>
      <c r="J3195" t="s">
        <v>9067</v>
      </c>
      <c r="K3195">
        <v>10029</v>
      </c>
      <c r="L3195" t="s">
        <v>9094</v>
      </c>
      <c r="M3195" t="s">
        <v>9095</v>
      </c>
      <c r="O3195" t="s">
        <v>11130</v>
      </c>
      <c r="P3195" t="s">
        <v>11164</v>
      </c>
      <c r="R3195" t="s">
        <v>11180</v>
      </c>
      <c r="S3195" t="s">
        <v>9094</v>
      </c>
      <c r="T3195" t="s">
        <v>11183</v>
      </c>
      <c r="U3195" t="s">
        <v>11201</v>
      </c>
      <c r="V3195" t="s">
        <v>832</v>
      </c>
      <c r="W3195">
        <v>511</v>
      </c>
      <c r="X3195" t="s">
        <v>11335</v>
      </c>
      <c r="Y3195" t="s">
        <v>11339</v>
      </c>
      <c r="Z3195" t="s">
        <v>13510</v>
      </c>
      <c r="AB3195" t="s">
        <v>17848</v>
      </c>
      <c r="AC3195">
        <v>108</v>
      </c>
      <c r="AD3195" t="s">
        <v>19566</v>
      </c>
      <c r="AE3195" t="s">
        <v>9144</v>
      </c>
      <c r="AF3195">
        <v>34</v>
      </c>
      <c r="AG3195">
        <v>3</v>
      </c>
      <c r="AH3195">
        <v>0</v>
      </c>
      <c r="AI3195">
        <v>108.56</v>
      </c>
      <c r="AL3195" t="s">
        <v>19615</v>
      </c>
      <c r="AM3195">
        <v>23156</v>
      </c>
      <c r="AS3195">
        <v>1.5</v>
      </c>
      <c r="AT3195" t="s">
        <v>521</v>
      </c>
      <c r="AU3195" t="s">
        <v>20657</v>
      </c>
      <c r="AV3195" t="s">
        <v>20733</v>
      </c>
    </row>
    <row r="3196" spans="1:48">
      <c r="A3196" s="1">
        <f>HYPERLINK("https://lsnyc.legalserver.org/matter/dynamic-profile/view/1895764","19-1895764")</f>
        <v>0</v>
      </c>
      <c r="B3196" t="s">
        <v>122</v>
      </c>
      <c r="C3196" t="s">
        <v>257</v>
      </c>
      <c r="D3196" t="s">
        <v>350</v>
      </c>
      <c r="E3196" t="s">
        <v>744</v>
      </c>
      <c r="F3196" t="s">
        <v>1266</v>
      </c>
      <c r="G3196" t="s">
        <v>4699</v>
      </c>
      <c r="H3196" t="s">
        <v>7239</v>
      </c>
      <c r="I3196" t="s">
        <v>8590</v>
      </c>
      <c r="J3196" t="s">
        <v>9066</v>
      </c>
      <c r="K3196">
        <v>10304</v>
      </c>
      <c r="L3196" t="s">
        <v>9094</v>
      </c>
      <c r="M3196" t="s">
        <v>9094</v>
      </c>
      <c r="N3196" t="s">
        <v>10317</v>
      </c>
      <c r="O3196" t="s">
        <v>11128</v>
      </c>
      <c r="P3196" t="s">
        <v>11165</v>
      </c>
      <c r="Q3196" t="s">
        <v>11174</v>
      </c>
      <c r="R3196" t="s">
        <v>11180</v>
      </c>
      <c r="S3196" t="s">
        <v>9096</v>
      </c>
      <c r="T3196" t="s">
        <v>11183</v>
      </c>
      <c r="U3196" t="s">
        <v>11201</v>
      </c>
      <c r="V3196" t="s">
        <v>350</v>
      </c>
      <c r="W3196">
        <v>850</v>
      </c>
      <c r="X3196" t="s">
        <v>11334</v>
      </c>
      <c r="Y3196" t="s">
        <v>11345</v>
      </c>
      <c r="Z3196" t="s">
        <v>13511</v>
      </c>
      <c r="AB3196" t="s">
        <v>17849</v>
      </c>
      <c r="AC3196">
        <v>4</v>
      </c>
      <c r="AD3196" t="s">
        <v>19565</v>
      </c>
      <c r="AE3196" t="s">
        <v>9144</v>
      </c>
      <c r="AF3196">
        <v>6</v>
      </c>
      <c r="AG3196">
        <v>1</v>
      </c>
      <c r="AH3196">
        <v>1</v>
      </c>
      <c r="AI3196">
        <v>108.57</v>
      </c>
      <c r="AL3196" t="s">
        <v>19614</v>
      </c>
      <c r="AM3196">
        <v>18360</v>
      </c>
      <c r="AO3196" t="s">
        <v>20294</v>
      </c>
      <c r="AP3196" t="s">
        <v>20345</v>
      </c>
      <c r="AQ3196" t="s">
        <v>20368</v>
      </c>
      <c r="AR3196" t="s">
        <v>20503</v>
      </c>
      <c r="AS3196">
        <v>20.05</v>
      </c>
      <c r="AT3196" t="s">
        <v>563</v>
      </c>
      <c r="AU3196" t="s">
        <v>20652</v>
      </c>
      <c r="AV3196" t="s">
        <v>20733</v>
      </c>
    </row>
    <row r="3197" spans="1:48">
      <c r="A3197" s="1">
        <f>HYPERLINK("https://lsnyc.legalserver.org/matter/dynamic-profile/view/0802610","16-0802610")</f>
        <v>0</v>
      </c>
      <c r="B3197" t="s">
        <v>111</v>
      </c>
      <c r="C3197" t="s">
        <v>256</v>
      </c>
      <c r="D3197" t="s">
        <v>641</v>
      </c>
      <c r="F3197" t="s">
        <v>2457</v>
      </c>
      <c r="G3197" t="s">
        <v>4673</v>
      </c>
      <c r="H3197" t="s">
        <v>6260</v>
      </c>
      <c r="I3197" t="s">
        <v>8695</v>
      </c>
      <c r="J3197" t="s">
        <v>9065</v>
      </c>
      <c r="K3197">
        <v>10452</v>
      </c>
      <c r="L3197" t="s">
        <v>9094</v>
      </c>
      <c r="M3197" t="s">
        <v>9095</v>
      </c>
      <c r="N3197" t="s">
        <v>10318</v>
      </c>
      <c r="O3197" t="s">
        <v>11147</v>
      </c>
      <c r="P3197" t="s">
        <v>11165</v>
      </c>
      <c r="R3197" t="s">
        <v>11180</v>
      </c>
      <c r="S3197" t="s">
        <v>9094</v>
      </c>
      <c r="T3197" t="s">
        <v>11183</v>
      </c>
      <c r="V3197" t="s">
        <v>1005</v>
      </c>
      <c r="W3197">
        <v>996</v>
      </c>
      <c r="X3197" t="s">
        <v>11333</v>
      </c>
      <c r="Y3197" t="s">
        <v>11346</v>
      </c>
      <c r="Z3197" t="s">
        <v>13462</v>
      </c>
      <c r="AB3197" t="s">
        <v>17800</v>
      </c>
      <c r="AC3197">
        <v>0</v>
      </c>
      <c r="AD3197" t="s">
        <v>19566</v>
      </c>
      <c r="AF3197">
        <v>3</v>
      </c>
      <c r="AG3197">
        <v>2</v>
      </c>
      <c r="AH3197">
        <v>0</v>
      </c>
      <c r="AI3197">
        <v>108.61</v>
      </c>
      <c r="AL3197" t="s">
        <v>19614</v>
      </c>
      <c r="AM3197">
        <v>17400</v>
      </c>
      <c r="AS3197">
        <v>265.85</v>
      </c>
      <c r="AT3197" t="s">
        <v>632</v>
      </c>
      <c r="AU3197" t="s">
        <v>109</v>
      </c>
    </row>
    <row r="3198" spans="1:48">
      <c r="A3198" s="1">
        <f>HYPERLINK("https://lsnyc.legalserver.org/matter/dynamic-profile/view/1859588","18-1859588")</f>
        <v>0</v>
      </c>
      <c r="B3198" t="s">
        <v>56</v>
      </c>
      <c r="C3198" t="s">
        <v>256</v>
      </c>
      <c r="D3198" t="s">
        <v>412</v>
      </c>
      <c r="F3198" t="s">
        <v>2458</v>
      </c>
      <c r="G3198" t="s">
        <v>4700</v>
      </c>
      <c r="H3198" t="s">
        <v>7240</v>
      </c>
      <c r="I3198">
        <v>414</v>
      </c>
      <c r="J3198" t="s">
        <v>9064</v>
      </c>
      <c r="K3198">
        <v>11101</v>
      </c>
      <c r="L3198" t="s">
        <v>9094</v>
      </c>
      <c r="M3198" t="s">
        <v>9095</v>
      </c>
      <c r="N3198" t="s">
        <v>10319</v>
      </c>
      <c r="O3198" t="s">
        <v>11129</v>
      </c>
      <c r="P3198" t="s">
        <v>11165</v>
      </c>
      <c r="R3198" t="s">
        <v>11180</v>
      </c>
      <c r="S3198" t="s">
        <v>9096</v>
      </c>
      <c r="T3198" t="s">
        <v>11183</v>
      </c>
      <c r="V3198" t="s">
        <v>638</v>
      </c>
      <c r="W3198">
        <v>850</v>
      </c>
      <c r="X3198" t="s">
        <v>11331</v>
      </c>
      <c r="Y3198" t="s">
        <v>11336</v>
      </c>
      <c r="Z3198" t="s">
        <v>13512</v>
      </c>
      <c r="AA3198" t="s">
        <v>15770</v>
      </c>
      <c r="AB3198" t="s">
        <v>17850</v>
      </c>
      <c r="AC3198">
        <v>175</v>
      </c>
      <c r="AD3198" t="s">
        <v>19566</v>
      </c>
      <c r="AE3198" t="s">
        <v>19586</v>
      </c>
      <c r="AF3198">
        <v>-1</v>
      </c>
      <c r="AG3198">
        <v>2</v>
      </c>
      <c r="AH3198">
        <v>0</v>
      </c>
      <c r="AI3198">
        <v>108.63</v>
      </c>
      <c r="AL3198" t="s">
        <v>19614</v>
      </c>
      <c r="AM3198">
        <v>17880</v>
      </c>
      <c r="AN3198" t="s">
        <v>19887</v>
      </c>
      <c r="AS3198">
        <v>40.8</v>
      </c>
      <c r="AT3198" t="s">
        <v>496</v>
      </c>
      <c r="AU3198" t="s">
        <v>53</v>
      </c>
    </row>
    <row r="3199" spans="1:48">
      <c r="A3199" s="1">
        <f>HYPERLINK("https://lsnyc.legalserver.org/matter/dynamic-profile/view/1837674","17-1837674")</f>
        <v>0</v>
      </c>
      <c r="B3199" t="s">
        <v>149</v>
      </c>
      <c r="C3199" t="s">
        <v>256</v>
      </c>
      <c r="D3199" t="s">
        <v>998</v>
      </c>
      <c r="F3199" t="s">
        <v>2301</v>
      </c>
      <c r="G3199" t="s">
        <v>3448</v>
      </c>
      <c r="H3199" t="s">
        <v>7046</v>
      </c>
      <c r="I3199">
        <v>2</v>
      </c>
      <c r="J3199" t="s">
        <v>9067</v>
      </c>
      <c r="K3199">
        <v>10035</v>
      </c>
      <c r="L3199" t="s">
        <v>9094</v>
      </c>
      <c r="M3199" t="s">
        <v>9095</v>
      </c>
      <c r="N3199" t="s">
        <v>10320</v>
      </c>
      <c r="O3199" t="s">
        <v>11129</v>
      </c>
      <c r="P3199" t="s">
        <v>11165</v>
      </c>
      <c r="R3199" t="s">
        <v>11180</v>
      </c>
      <c r="S3199" t="s">
        <v>9096</v>
      </c>
      <c r="T3199" t="s">
        <v>11183</v>
      </c>
      <c r="V3199" t="s">
        <v>878</v>
      </c>
      <c r="W3199">
        <v>1550</v>
      </c>
      <c r="X3199" t="s">
        <v>11335</v>
      </c>
      <c r="Y3199" t="s">
        <v>11340</v>
      </c>
      <c r="Z3199" t="s">
        <v>13185</v>
      </c>
      <c r="AB3199" t="s">
        <v>17542</v>
      </c>
      <c r="AC3199">
        <v>30</v>
      </c>
      <c r="AD3199" t="s">
        <v>19565</v>
      </c>
      <c r="AE3199" t="s">
        <v>9144</v>
      </c>
      <c r="AF3199">
        <v>5</v>
      </c>
      <c r="AG3199">
        <v>1</v>
      </c>
      <c r="AH3199">
        <v>2</v>
      </c>
      <c r="AI3199">
        <v>108.72</v>
      </c>
      <c r="AL3199" t="s">
        <v>19614</v>
      </c>
      <c r="AM3199">
        <v>22200</v>
      </c>
      <c r="AS3199">
        <v>58.55</v>
      </c>
      <c r="AT3199" t="s">
        <v>362</v>
      </c>
      <c r="AU3199" t="s">
        <v>20657</v>
      </c>
    </row>
    <row r="3200" spans="1:48">
      <c r="A3200" s="1">
        <f>HYPERLINK("https://lsnyc.legalserver.org/matter/dynamic-profile/view/1902382","19-1902382")</f>
        <v>0</v>
      </c>
      <c r="B3200" t="s">
        <v>83</v>
      </c>
      <c r="C3200" t="s">
        <v>256</v>
      </c>
      <c r="D3200" t="s">
        <v>268</v>
      </c>
      <c r="F3200" t="s">
        <v>2045</v>
      </c>
      <c r="G3200" t="s">
        <v>3498</v>
      </c>
      <c r="H3200" t="s">
        <v>7241</v>
      </c>
      <c r="I3200" t="s">
        <v>8142</v>
      </c>
      <c r="J3200" t="s">
        <v>9059</v>
      </c>
      <c r="K3200">
        <v>11215</v>
      </c>
      <c r="L3200" t="s">
        <v>9094</v>
      </c>
      <c r="M3200" t="s">
        <v>9095</v>
      </c>
      <c r="P3200" t="s">
        <v>11164</v>
      </c>
      <c r="R3200" t="s">
        <v>11180</v>
      </c>
      <c r="T3200" t="s">
        <v>11183</v>
      </c>
      <c r="V3200" t="s">
        <v>11212</v>
      </c>
      <c r="W3200">
        <v>1200</v>
      </c>
      <c r="X3200" t="s">
        <v>11332</v>
      </c>
      <c r="Y3200" t="s">
        <v>11346</v>
      </c>
      <c r="Z3200" t="s">
        <v>13513</v>
      </c>
      <c r="AB3200" t="s">
        <v>17851</v>
      </c>
      <c r="AC3200">
        <v>0</v>
      </c>
      <c r="AF3200">
        <v>7</v>
      </c>
      <c r="AG3200">
        <v>1</v>
      </c>
      <c r="AH3200">
        <v>3</v>
      </c>
      <c r="AI3200">
        <v>108.74</v>
      </c>
      <c r="AL3200" t="s">
        <v>19614</v>
      </c>
      <c r="AM3200">
        <v>28000</v>
      </c>
      <c r="AS3200">
        <v>28.7</v>
      </c>
      <c r="AT3200" t="s">
        <v>570</v>
      </c>
      <c r="AU3200" t="s">
        <v>20628</v>
      </c>
      <c r="AV3200" t="s">
        <v>20733</v>
      </c>
    </row>
    <row r="3201" spans="1:48">
      <c r="A3201" s="1">
        <f>HYPERLINK("https://lsnyc.legalserver.org/matter/dynamic-profile/view/1912652","19-1912652")</f>
        <v>0</v>
      </c>
      <c r="B3201" t="s">
        <v>83</v>
      </c>
      <c r="C3201" t="s">
        <v>256</v>
      </c>
      <c r="D3201" t="s">
        <v>488</v>
      </c>
      <c r="F3201" t="s">
        <v>2045</v>
      </c>
      <c r="G3201" t="s">
        <v>3498</v>
      </c>
      <c r="H3201" t="s">
        <v>7241</v>
      </c>
      <c r="I3201" t="s">
        <v>8142</v>
      </c>
      <c r="J3201" t="s">
        <v>9059</v>
      </c>
      <c r="K3201">
        <v>11215</v>
      </c>
      <c r="L3201" t="s">
        <v>9094</v>
      </c>
      <c r="M3201" t="s">
        <v>9095</v>
      </c>
      <c r="P3201" t="s">
        <v>11164</v>
      </c>
      <c r="R3201" t="s">
        <v>11180</v>
      </c>
      <c r="S3201" t="s">
        <v>9096</v>
      </c>
      <c r="T3201" t="s">
        <v>11183</v>
      </c>
      <c r="V3201" t="s">
        <v>744</v>
      </c>
      <c r="W3201">
        <v>0</v>
      </c>
      <c r="X3201" t="s">
        <v>11332</v>
      </c>
      <c r="Y3201" t="s">
        <v>11346</v>
      </c>
      <c r="Z3201" t="s">
        <v>13513</v>
      </c>
      <c r="AB3201" t="s">
        <v>17851</v>
      </c>
      <c r="AC3201">
        <v>8</v>
      </c>
      <c r="AF3201">
        <v>7</v>
      </c>
      <c r="AG3201">
        <v>1</v>
      </c>
      <c r="AH3201">
        <v>3</v>
      </c>
      <c r="AI3201">
        <v>108.74</v>
      </c>
      <c r="AL3201" t="s">
        <v>19614</v>
      </c>
      <c r="AM3201">
        <v>28000</v>
      </c>
      <c r="AS3201">
        <v>0</v>
      </c>
      <c r="AU3201" t="s">
        <v>215</v>
      </c>
      <c r="AV3201" t="s">
        <v>20733</v>
      </c>
    </row>
    <row r="3202" spans="1:48">
      <c r="A3202" s="1">
        <f>HYPERLINK("https://lsnyc.legalserver.org/matter/dynamic-profile/view/1861226","18-1861226")</f>
        <v>0</v>
      </c>
      <c r="B3202" t="s">
        <v>138</v>
      </c>
      <c r="C3202" t="s">
        <v>256</v>
      </c>
      <c r="D3202" t="s">
        <v>835</v>
      </c>
      <c r="F3202" t="s">
        <v>1365</v>
      </c>
      <c r="G3202" t="s">
        <v>4600</v>
      </c>
      <c r="H3202" t="s">
        <v>6647</v>
      </c>
      <c r="I3202">
        <v>24</v>
      </c>
      <c r="J3202" t="s">
        <v>9067</v>
      </c>
      <c r="K3202">
        <v>10031</v>
      </c>
      <c r="L3202" t="s">
        <v>9094</v>
      </c>
      <c r="M3202" t="s">
        <v>9095</v>
      </c>
      <c r="O3202" t="s">
        <v>11132</v>
      </c>
      <c r="P3202" t="s">
        <v>11167</v>
      </c>
      <c r="R3202" t="s">
        <v>11180</v>
      </c>
      <c r="S3202" t="s">
        <v>9096</v>
      </c>
      <c r="T3202" t="s">
        <v>11183</v>
      </c>
      <c r="V3202" t="s">
        <v>835</v>
      </c>
      <c r="W3202">
        <v>760.3099999999999</v>
      </c>
      <c r="X3202" t="s">
        <v>11335</v>
      </c>
      <c r="Y3202" t="s">
        <v>11340</v>
      </c>
      <c r="Z3202" t="s">
        <v>13514</v>
      </c>
      <c r="AB3202" t="s">
        <v>17852</v>
      </c>
      <c r="AC3202">
        <v>29</v>
      </c>
      <c r="AD3202" t="s">
        <v>19566</v>
      </c>
      <c r="AE3202" t="s">
        <v>19580</v>
      </c>
      <c r="AF3202">
        <v>40</v>
      </c>
      <c r="AG3202">
        <v>2</v>
      </c>
      <c r="AH3202">
        <v>0</v>
      </c>
      <c r="AI3202">
        <v>108.85</v>
      </c>
      <c r="AJ3202" t="s">
        <v>670</v>
      </c>
      <c r="AL3202" t="s">
        <v>19614</v>
      </c>
      <c r="AM3202">
        <v>26916</v>
      </c>
      <c r="AS3202">
        <v>7.1</v>
      </c>
      <c r="AT3202" t="s">
        <v>521</v>
      </c>
      <c r="AU3202" t="s">
        <v>130</v>
      </c>
    </row>
    <row r="3203" spans="1:48">
      <c r="A3203" s="1">
        <f>HYPERLINK("https://lsnyc.legalserver.org/matter/dynamic-profile/view/1867877","18-1867877")</f>
        <v>0</v>
      </c>
      <c r="B3203" t="s">
        <v>136</v>
      </c>
      <c r="C3203" t="s">
        <v>256</v>
      </c>
      <c r="D3203" t="s">
        <v>894</v>
      </c>
      <c r="F3203" t="s">
        <v>1247</v>
      </c>
      <c r="G3203" t="s">
        <v>3736</v>
      </c>
      <c r="H3203" t="s">
        <v>5961</v>
      </c>
      <c r="I3203">
        <v>214</v>
      </c>
      <c r="J3203" t="s">
        <v>9067</v>
      </c>
      <c r="K3203">
        <v>10029</v>
      </c>
      <c r="L3203" t="s">
        <v>9094</v>
      </c>
      <c r="M3203" t="s">
        <v>9094</v>
      </c>
      <c r="O3203" t="s">
        <v>11130</v>
      </c>
      <c r="P3203" t="s">
        <v>11167</v>
      </c>
      <c r="R3203" t="s">
        <v>11180</v>
      </c>
      <c r="S3203" t="s">
        <v>9094</v>
      </c>
      <c r="T3203" t="s">
        <v>11183</v>
      </c>
      <c r="U3203" t="s">
        <v>11201</v>
      </c>
      <c r="V3203" t="s">
        <v>894</v>
      </c>
      <c r="W3203">
        <v>1917</v>
      </c>
      <c r="X3203" t="s">
        <v>11335</v>
      </c>
      <c r="Y3203" t="s">
        <v>11339</v>
      </c>
      <c r="Z3203" t="s">
        <v>13515</v>
      </c>
      <c r="AB3203" t="s">
        <v>17853</v>
      </c>
      <c r="AC3203">
        <v>108</v>
      </c>
      <c r="AD3203" t="s">
        <v>19567</v>
      </c>
      <c r="AE3203" t="s">
        <v>19580</v>
      </c>
      <c r="AF3203">
        <v>12</v>
      </c>
      <c r="AG3203">
        <v>1</v>
      </c>
      <c r="AH3203">
        <v>0</v>
      </c>
      <c r="AI3203">
        <v>108.87</v>
      </c>
      <c r="AL3203" t="s">
        <v>19614</v>
      </c>
      <c r="AM3203">
        <v>13217</v>
      </c>
      <c r="AS3203">
        <v>0</v>
      </c>
      <c r="AU3203" t="s">
        <v>20657</v>
      </c>
    </row>
    <row r="3204" spans="1:48">
      <c r="A3204" s="1">
        <f>HYPERLINK("https://lsnyc.legalserver.org/matter/dynamic-profile/view/1889313","19-1889313")</f>
        <v>0</v>
      </c>
      <c r="B3204" t="s">
        <v>138</v>
      </c>
      <c r="C3204" t="s">
        <v>256</v>
      </c>
      <c r="D3204" t="s">
        <v>348</v>
      </c>
      <c r="F3204" t="s">
        <v>1367</v>
      </c>
      <c r="G3204" t="s">
        <v>4032</v>
      </c>
      <c r="H3204" t="s">
        <v>6274</v>
      </c>
      <c r="I3204" t="s">
        <v>8711</v>
      </c>
      <c r="J3204" t="s">
        <v>9067</v>
      </c>
      <c r="K3204">
        <v>10034</v>
      </c>
      <c r="L3204" t="s">
        <v>9094</v>
      </c>
      <c r="M3204" t="s">
        <v>9094</v>
      </c>
      <c r="O3204" t="s">
        <v>11136</v>
      </c>
      <c r="P3204" t="s">
        <v>11164</v>
      </c>
      <c r="R3204" t="s">
        <v>11180</v>
      </c>
      <c r="S3204" t="s">
        <v>9096</v>
      </c>
      <c r="T3204" t="s">
        <v>11183</v>
      </c>
      <c r="V3204" t="s">
        <v>348</v>
      </c>
      <c r="W3204">
        <v>1601.08</v>
      </c>
      <c r="X3204" t="s">
        <v>11335</v>
      </c>
      <c r="Y3204" t="s">
        <v>11340</v>
      </c>
      <c r="Z3204" t="s">
        <v>13516</v>
      </c>
      <c r="AB3204" t="s">
        <v>17854</v>
      </c>
      <c r="AC3204">
        <v>69</v>
      </c>
      <c r="AD3204" t="s">
        <v>19566</v>
      </c>
      <c r="AE3204" t="s">
        <v>19587</v>
      </c>
      <c r="AF3204">
        <v>35</v>
      </c>
      <c r="AG3204">
        <v>1</v>
      </c>
      <c r="AH3204">
        <v>0</v>
      </c>
      <c r="AI3204">
        <v>109.05</v>
      </c>
      <c r="AL3204" t="s">
        <v>19614</v>
      </c>
      <c r="AM3204">
        <v>13620</v>
      </c>
      <c r="AS3204">
        <v>2.6</v>
      </c>
      <c r="AT3204" t="s">
        <v>602</v>
      </c>
      <c r="AU3204" t="s">
        <v>130</v>
      </c>
      <c r="AV3204" t="s">
        <v>20733</v>
      </c>
    </row>
    <row r="3205" spans="1:48">
      <c r="A3205" s="1">
        <f>HYPERLINK("https://lsnyc.legalserver.org/matter/dynamic-profile/view/1895983","19-1895983")</f>
        <v>0</v>
      </c>
      <c r="B3205" t="s">
        <v>106</v>
      </c>
      <c r="C3205" t="s">
        <v>256</v>
      </c>
      <c r="D3205" t="s">
        <v>300</v>
      </c>
      <c r="F3205" t="s">
        <v>2020</v>
      </c>
      <c r="G3205" t="s">
        <v>3503</v>
      </c>
      <c r="H3205" t="s">
        <v>6624</v>
      </c>
      <c r="I3205" t="s">
        <v>8712</v>
      </c>
      <c r="J3205" t="s">
        <v>9065</v>
      </c>
      <c r="K3205">
        <v>10458</v>
      </c>
      <c r="L3205" t="s">
        <v>9094</v>
      </c>
      <c r="M3205" t="s">
        <v>9094</v>
      </c>
      <c r="N3205" t="s">
        <v>9819</v>
      </c>
      <c r="O3205" t="s">
        <v>11134</v>
      </c>
      <c r="P3205" t="s">
        <v>11168</v>
      </c>
      <c r="R3205" t="s">
        <v>11180</v>
      </c>
      <c r="S3205" t="s">
        <v>9094</v>
      </c>
      <c r="T3205" t="s">
        <v>11183</v>
      </c>
      <c r="V3205" t="s">
        <v>11212</v>
      </c>
      <c r="W3205">
        <v>1248.14</v>
      </c>
      <c r="X3205" t="s">
        <v>11333</v>
      </c>
      <c r="Y3205" t="s">
        <v>11346</v>
      </c>
      <c r="Z3205" t="s">
        <v>13517</v>
      </c>
      <c r="AC3205">
        <v>142</v>
      </c>
      <c r="AD3205" t="s">
        <v>19565</v>
      </c>
      <c r="AE3205" t="s">
        <v>9144</v>
      </c>
      <c r="AF3205">
        <v>6</v>
      </c>
      <c r="AG3205">
        <v>3</v>
      </c>
      <c r="AH3205">
        <v>2</v>
      </c>
      <c r="AI3205">
        <v>109.06</v>
      </c>
      <c r="AL3205" t="s">
        <v>19615</v>
      </c>
      <c r="AM3205">
        <v>32084</v>
      </c>
      <c r="AS3205">
        <v>0</v>
      </c>
      <c r="AU3205" t="s">
        <v>220</v>
      </c>
    </row>
    <row r="3206" spans="1:48">
      <c r="A3206" s="1">
        <f>HYPERLINK("https://lsnyc.legalserver.org/matter/dynamic-profile/view/1882840","18-1882840")</f>
        <v>0</v>
      </c>
      <c r="B3206" t="s">
        <v>106</v>
      </c>
      <c r="C3206" t="s">
        <v>257</v>
      </c>
      <c r="D3206" t="s">
        <v>477</v>
      </c>
      <c r="E3206" t="s">
        <v>429</v>
      </c>
      <c r="F3206" t="s">
        <v>2020</v>
      </c>
      <c r="G3206" t="s">
        <v>3503</v>
      </c>
      <c r="H3206" t="s">
        <v>6624</v>
      </c>
      <c r="I3206" t="s">
        <v>8712</v>
      </c>
      <c r="J3206" t="s">
        <v>9065</v>
      </c>
      <c r="K3206">
        <v>10458</v>
      </c>
      <c r="L3206" t="s">
        <v>9094</v>
      </c>
      <c r="M3206" t="s">
        <v>9094</v>
      </c>
      <c r="N3206" t="s">
        <v>9825</v>
      </c>
      <c r="O3206" t="s">
        <v>11130</v>
      </c>
      <c r="P3206" t="s">
        <v>11165</v>
      </c>
      <c r="Q3206" t="s">
        <v>11179</v>
      </c>
      <c r="R3206" t="s">
        <v>11180</v>
      </c>
      <c r="S3206" t="s">
        <v>9094</v>
      </c>
      <c r="T3206" t="s">
        <v>11183</v>
      </c>
      <c r="V3206" t="s">
        <v>11212</v>
      </c>
      <c r="W3206">
        <v>1248.14</v>
      </c>
      <c r="X3206" t="s">
        <v>11333</v>
      </c>
      <c r="Y3206" t="s">
        <v>11346</v>
      </c>
      <c r="Z3206" t="s">
        <v>13517</v>
      </c>
      <c r="AC3206">
        <v>0</v>
      </c>
      <c r="AD3206" t="s">
        <v>19565</v>
      </c>
      <c r="AE3206" t="s">
        <v>9144</v>
      </c>
      <c r="AF3206">
        <v>6</v>
      </c>
      <c r="AG3206">
        <v>3</v>
      </c>
      <c r="AH3206">
        <v>2</v>
      </c>
      <c r="AI3206">
        <v>109.06</v>
      </c>
      <c r="AL3206" t="s">
        <v>19615</v>
      </c>
      <c r="AM3206">
        <v>32084</v>
      </c>
      <c r="AS3206">
        <v>0.7</v>
      </c>
      <c r="AT3206" t="s">
        <v>429</v>
      </c>
      <c r="AU3206" t="s">
        <v>163</v>
      </c>
    </row>
    <row r="3207" spans="1:48">
      <c r="A3207" s="1">
        <f>HYPERLINK("https://lsnyc.legalserver.org/matter/dynamic-profile/view/0802735","16-0802735")</f>
        <v>0</v>
      </c>
      <c r="B3207" t="s">
        <v>111</v>
      </c>
      <c r="C3207" t="s">
        <v>256</v>
      </c>
      <c r="D3207" t="s">
        <v>999</v>
      </c>
      <c r="F3207" t="s">
        <v>1877</v>
      </c>
      <c r="G3207" t="s">
        <v>4278</v>
      </c>
      <c r="H3207" t="s">
        <v>6104</v>
      </c>
      <c r="I3207" t="s">
        <v>8537</v>
      </c>
      <c r="J3207" t="s">
        <v>9065</v>
      </c>
      <c r="K3207">
        <v>10452</v>
      </c>
      <c r="L3207" t="s">
        <v>9094</v>
      </c>
      <c r="M3207" t="s">
        <v>9095</v>
      </c>
      <c r="O3207" t="s">
        <v>11147</v>
      </c>
      <c r="P3207" t="s">
        <v>11165</v>
      </c>
      <c r="R3207" t="s">
        <v>11180</v>
      </c>
      <c r="S3207" t="s">
        <v>9094</v>
      </c>
      <c r="T3207" t="s">
        <v>11183</v>
      </c>
      <c r="V3207" t="s">
        <v>431</v>
      </c>
      <c r="W3207">
        <v>789</v>
      </c>
      <c r="X3207" t="s">
        <v>11333</v>
      </c>
      <c r="Y3207" t="s">
        <v>11346</v>
      </c>
      <c r="Z3207" t="s">
        <v>12743</v>
      </c>
      <c r="AB3207" t="s">
        <v>17126</v>
      </c>
      <c r="AC3207">
        <v>0</v>
      </c>
      <c r="AD3207" t="s">
        <v>19566</v>
      </c>
      <c r="AF3207">
        <v>40</v>
      </c>
      <c r="AG3207">
        <v>2</v>
      </c>
      <c r="AH3207">
        <v>0</v>
      </c>
      <c r="AI3207">
        <v>109.06</v>
      </c>
      <c r="AL3207" t="s">
        <v>19614</v>
      </c>
      <c r="AM3207">
        <v>17472</v>
      </c>
      <c r="AS3207">
        <v>0.5</v>
      </c>
      <c r="AT3207" t="s">
        <v>11272</v>
      </c>
      <c r="AU3207" t="s">
        <v>109</v>
      </c>
    </row>
    <row r="3208" spans="1:48">
      <c r="A3208" s="1">
        <f>HYPERLINK("https://lsnyc.legalserver.org/matter/dynamic-profile/view/1908730","19-1908730")</f>
        <v>0</v>
      </c>
      <c r="B3208" t="s">
        <v>110</v>
      </c>
      <c r="C3208" t="s">
        <v>257</v>
      </c>
      <c r="D3208" t="s">
        <v>326</v>
      </c>
      <c r="E3208" t="s">
        <v>632</v>
      </c>
      <c r="F3208" t="s">
        <v>2459</v>
      </c>
      <c r="G3208" t="s">
        <v>3448</v>
      </c>
      <c r="H3208" t="s">
        <v>6655</v>
      </c>
      <c r="I3208">
        <v>22</v>
      </c>
      <c r="J3208" t="s">
        <v>9065</v>
      </c>
      <c r="K3208">
        <v>10453</v>
      </c>
      <c r="L3208" t="s">
        <v>9094</v>
      </c>
      <c r="M3208" t="s">
        <v>9095</v>
      </c>
      <c r="O3208" t="s">
        <v>9121</v>
      </c>
      <c r="P3208" t="s">
        <v>11164</v>
      </c>
      <c r="Q3208" t="s">
        <v>11172</v>
      </c>
      <c r="R3208" t="s">
        <v>11180</v>
      </c>
      <c r="S3208" t="s">
        <v>9096</v>
      </c>
      <c r="T3208" t="s">
        <v>11183</v>
      </c>
      <c r="W3208">
        <v>1400</v>
      </c>
      <c r="X3208" t="s">
        <v>11333</v>
      </c>
      <c r="Y3208" t="s">
        <v>11340</v>
      </c>
      <c r="Z3208" t="s">
        <v>13518</v>
      </c>
      <c r="AB3208" t="s">
        <v>17855</v>
      </c>
      <c r="AC3208">
        <v>6</v>
      </c>
      <c r="AE3208" t="s">
        <v>19581</v>
      </c>
      <c r="AF3208">
        <v>8</v>
      </c>
      <c r="AG3208">
        <v>2</v>
      </c>
      <c r="AH3208">
        <v>0</v>
      </c>
      <c r="AI3208">
        <v>109.07</v>
      </c>
      <c r="AL3208" t="s">
        <v>19615</v>
      </c>
      <c r="AM3208">
        <v>18444</v>
      </c>
      <c r="AS3208">
        <v>4.75</v>
      </c>
      <c r="AT3208" t="s">
        <v>425</v>
      </c>
      <c r="AU3208" t="s">
        <v>20656</v>
      </c>
      <c r="AV3208" t="s">
        <v>20733</v>
      </c>
    </row>
    <row r="3209" spans="1:48">
      <c r="A3209" s="1">
        <f>HYPERLINK("https://lsnyc.legalserver.org/matter/dynamic-profile/view/1898098","19-1898098")</f>
        <v>0</v>
      </c>
      <c r="B3209" t="s">
        <v>147</v>
      </c>
      <c r="C3209" t="s">
        <v>256</v>
      </c>
      <c r="D3209" t="s">
        <v>614</v>
      </c>
      <c r="F3209" t="s">
        <v>1655</v>
      </c>
      <c r="G3209" t="s">
        <v>3486</v>
      </c>
      <c r="H3209" t="s">
        <v>7242</v>
      </c>
      <c r="I3209" t="s">
        <v>8164</v>
      </c>
      <c r="J3209" t="s">
        <v>9066</v>
      </c>
      <c r="K3209">
        <v>10301</v>
      </c>
      <c r="L3209" t="s">
        <v>9094</v>
      </c>
      <c r="M3209" t="s">
        <v>9094</v>
      </c>
      <c r="O3209" t="s">
        <v>11152</v>
      </c>
      <c r="P3209" t="s">
        <v>11165</v>
      </c>
      <c r="R3209" t="s">
        <v>11180</v>
      </c>
      <c r="S3209" t="s">
        <v>9096</v>
      </c>
      <c r="T3209" t="s">
        <v>11183</v>
      </c>
      <c r="U3209" t="s">
        <v>11201</v>
      </c>
      <c r="V3209" t="s">
        <v>614</v>
      </c>
      <c r="W3209">
        <v>2186</v>
      </c>
      <c r="X3209" t="s">
        <v>11334</v>
      </c>
      <c r="Y3209" t="s">
        <v>11336</v>
      </c>
      <c r="Z3209" t="s">
        <v>13519</v>
      </c>
      <c r="AB3209" t="s">
        <v>17856</v>
      </c>
      <c r="AC3209">
        <v>2</v>
      </c>
      <c r="AD3209" t="s">
        <v>19565</v>
      </c>
      <c r="AE3209" t="s">
        <v>19580</v>
      </c>
      <c r="AF3209">
        <v>2</v>
      </c>
      <c r="AG3209">
        <v>2</v>
      </c>
      <c r="AH3209">
        <v>2</v>
      </c>
      <c r="AI3209">
        <v>109.1</v>
      </c>
      <c r="AL3209" t="s">
        <v>19614</v>
      </c>
      <c r="AM3209">
        <v>28092</v>
      </c>
      <c r="AS3209">
        <v>41.2</v>
      </c>
      <c r="AT3209" t="s">
        <v>1135</v>
      </c>
      <c r="AU3209" t="s">
        <v>20653</v>
      </c>
      <c r="AV3209" t="s">
        <v>20733</v>
      </c>
    </row>
    <row r="3210" spans="1:48">
      <c r="A3210" s="1">
        <f>HYPERLINK("https://lsnyc.legalserver.org/matter/dynamic-profile/view/1900574","19-1900574")</f>
        <v>0</v>
      </c>
      <c r="B3210" t="s">
        <v>133</v>
      </c>
      <c r="C3210" t="s">
        <v>257</v>
      </c>
      <c r="D3210" t="s">
        <v>283</v>
      </c>
      <c r="E3210" t="s">
        <v>339</v>
      </c>
      <c r="F3210" t="s">
        <v>2193</v>
      </c>
      <c r="G3210" t="s">
        <v>3756</v>
      </c>
      <c r="H3210" t="s">
        <v>5999</v>
      </c>
      <c r="I3210" t="s">
        <v>8302</v>
      </c>
      <c r="J3210" t="s">
        <v>9067</v>
      </c>
      <c r="K3210">
        <v>10040</v>
      </c>
      <c r="L3210" t="s">
        <v>9094</v>
      </c>
      <c r="M3210" t="s">
        <v>9095</v>
      </c>
      <c r="O3210" t="s">
        <v>9121</v>
      </c>
      <c r="P3210" t="s">
        <v>11167</v>
      </c>
      <c r="Q3210" t="s">
        <v>11173</v>
      </c>
      <c r="R3210" t="s">
        <v>11180</v>
      </c>
      <c r="S3210" t="s">
        <v>9096</v>
      </c>
      <c r="T3210" t="s">
        <v>11183</v>
      </c>
      <c r="V3210" t="s">
        <v>283</v>
      </c>
      <c r="W3210">
        <v>1230.2</v>
      </c>
      <c r="X3210" t="s">
        <v>11335</v>
      </c>
      <c r="Y3210" t="s">
        <v>11340</v>
      </c>
      <c r="Z3210" t="s">
        <v>13520</v>
      </c>
      <c r="AB3210" t="s">
        <v>17857</v>
      </c>
      <c r="AC3210">
        <v>44</v>
      </c>
      <c r="AD3210" t="s">
        <v>19566</v>
      </c>
      <c r="AE3210" t="s">
        <v>19580</v>
      </c>
      <c r="AF3210">
        <v>23</v>
      </c>
      <c r="AG3210">
        <v>1</v>
      </c>
      <c r="AH3210">
        <v>0</v>
      </c>
      <c r="AI3210">
        <v>109.14</v>
      </c>
      <c r="AL3210" t="s">
        <v>19615</v>
      </c>
      <c r="AM3210">
        <v>13632</v>
      </c>
      <c r="AS3210">
        <v>0.8</v>
      </c>
      <c r="AT3210" t="s">
        <v>660</v>
      </c>
      <c r="AU3210" t="s">
        <v>130</v>
      </c>
      <c r="AV3210" t="s">
        <v>20733</v>
      </c>
    </row>
    <row r="3211" spans="1:48">
      <c r="A3211" s="1">
        <f>HYPERLINK("https://lsnyc.legalserver.org/matter/dynamic-profile/view/1845745","17-1845745")</f>
        <v>0</v>
      </c>
      <c r="B3211" t="s">
        <v>138</v>
      </c>
      <c r="C3211" t="s">
        <v>256</v>
      </c>
      <c r="D3211" t="s">
        <v>842</v>
      </c>
      <c r="F3211" t="s">
        <v>2187</v>
      </c>
      <c r="G3211" t="s">
        <v>1561</v>
      </c>
      <c r="H3211" t="s">
        <v>7243</v>
      </c>
      <c r="I3211">
        <v>23</v>
      </c>
      <c r="J3211" t="s">
        <v>9067</v>
      </c>
      <c r="K3211">
        <v>10034</v>
      </c>
      <c r="L3211" t="s">
        <v>9094</v>
      </c>
      <c r="M3211" t="s">
        <v>9095</v>
      </c>
      <c r="O3211" t="s">
        <v>9121</v>
      </c>
      <c r="P3211" t="s">
        <v>11166</v>
      </c>
      <c r="R3211" t="s">
        <v>11180</v>
      </c>
      <c r="S3211" t="s">
        <v>9096</v>
      </c>
      <c r="T3211" t="s">
        <v>11183</v>
      </c>
      <c r="V3211" t="s">
        <v>856</v>
      </c>
      <c r="W3211">
        <v>1212.7</v>
      </c>
      <c r="X3211" t="s">
        <v>11335</v>
      </c>
      <c r="Y3211" t="s">
        <v>11338</v>
      </c>
      <c r="Z3211" t="s">
        <v>13521</v>
      </c>
      <c r="AB3211" t="s">
        <v>17858</v>
      </c>
      <c r="AC3211">
        <v>30</v>
      </c>
      <c r="AD3211" t="s">
        <v>19566</v>
      </c>
      <c r="AE3211" t="s">
        <v>9144</v>
      </c>
      <c r="AF3211">
        <v>1</v>
      </c>
      <c r="AG3211">
        <v>3</v>
      </c>
      <c r="AH3211">
        <v>3</v>
      </c>
      <c r="AI3211">
        <v>109.22</v>
      </c>
      <c r="AL3211" t="s">
        <v>19615</v>
      </c>
      <c r="AM3211">
        <v>36000</v>
      </c>
      <c r="AS3211">
        <v>5.3</v>
      </c>
      <c r="AT3211" t="s">
        <v>729</v>
      </c>
      <c r="AU3211" t="s">
        <v>130</v>
      </c>
    </row>
    <row r="3212" spans="1:48">
      <c r="A3212" s="1">
        <f>HYPERLINK("https://lsnyc.legalserver.org/matter/dynamic-profile/view/1913773","19-1913773")</f>
        <v>0</v>
      </c>
      <c r="B3212" t="s">
        <v>178</v>
      </c>
      <c r="C3212" t="s">
        <v>257</v>
      </c>
      <c r="D3212" t="s">
        <v>484</v>
      </c>
      <c r="E3212" t="s">
        <v>321</v>
      </c>
      <c r="F3212" t="s">
        <v>2460</v>
      </c>
      <c r="G3212" t="s">
        <v>3335</v>
      </c>
      <c r="H3212" t="s">
        <v>7244</v>
      </c>
      <c r="J3212" t="s">
        <v>9065</v>
      </c>
      <c r="K3212">
        <v>10453</v>
      </c>
      <c r="L3212" t="s">
        <v>9095</v>
      </c>
      <c r="M3212" t="s">
        <v>9095</v>
      </c>
      <c r="N3212" t="s">
        <v>10321</v>
      </c>
      <c r="P3212" t="s">
        <v>11164</v>
      </c>
      <c r="Q3212" t="s">
        <v>11172</v>
      </c>
      <c r="R3212" t="s">
        <v>11180</v>
      </c>
      <c r="T3212" t="s">
        <v>11183</v>
      </c>
      <c r="W3212">
        <v>0</v>
      </c>
      <c r="X3212" t="s">
        <v>11333</v>
      </c>
      <c r="Z3212" t="s">
        <v>13522</v>
      </c>
      <c r="AB3212" t="s">
        <v>17859</v>
      </c>
      <c r="AC3212">
        <v>0</v>
      </c>
      <c r="AE3212" t="s">
        <v>19580</v>
      </c>
      <c r="AF3212">
        <v>0</v>
      </c>
      <c r="AG3212">
        <v>1</v>
      </c>
      <c r="AH3212">
        <v>0</v>
      </c>
      <c r="AI3212">
        <v>109.24</v>
      </c>
      <c r="AL3212" t="s">
        <v>19614</v>
      </c>
      <c r="AM3212">
        <v>13644</v>
      </c>
      <c r="AS3212">
        <v>1.65</v>
      </c>
      <c r="AT3212" t="s">
        <v>321</v>
      </c>
      <c r="AU3212" t="s">
        <v>178</v>
      </c>
    </row>
    <row r="3213" spans="1:48">
      <c r="A3213" s="1">
        <f>HYPERLINK("https://lsnyc.legalserver.org/matter/dynamic-profile/view/1889603","19-1889603")</f>
        <v>0</v>
      </c>
      <c r="B3213" t="s">
        <v>142</v>
      </c>
      <c r="C3213" t="s">
        <v>256</v>
      </c>
      <c r="D3213" t="s">
        <v>441</v>
      </c>
      <c r="F3213" t="s">
        <v>2461</v>
      </c>
      <c r="G3213" t="s">
        <v>4701</v>
      </c>
      <c r="H3213" t="s">
        <v>6156</v>
      </c>
      <c r="I3213" t="s">
        <v>8112</v>
      </c>
      <c r="J3213" t="s">
        <v>9067</v>
      </c>
      <c r="K3213">
        <v>10035</v>
      </c>
      <c r="L3213" t="s">
        <v>9094</v>
      </c>
      <c r="M3213" t="s">
        <v>9094</v>
      </c>
      <c r="N3213" t="s">
        <v>10322</v>
      </c>
      <c r="O3213" t="s">
        <v>11129</v>
      </c>
      <c r="P3213" t="s">
        <v>11165</v>
      </c>
      <c r="R3213" t="s">
        <v>11180</v>
      </c>
      <c r="S3213" t="s">
        <v>9096</v>
      </c>
      <c r="T3213" t="s">
        <v>11183</v>
      </c>
      <c r="U3213" t="s">
        <v>11201</v>
      </c>
      <c r="V3213" t="s">
        <v>316</v>
      </c>
      <c r="W3213">
        <v>3600</v>
      </c>
      <c r="X3213" t="s">
        <v>11335</v>
      </c>
      <c r="Y3213" t="s">
        <v>11348</v>
      </c>
      <c r="Z3213" t="s">
        <v>13523</v>
      </c>
      <c r="AB3213" t="s">
        <v>17860</v>
      </c>
      <c r="AC3213">
        <v>48</v>
      </c>
      <c r="AD3213" t="s">
        <v>19572</v>
      </c>
      <c r="AE3213" t="s">
        <v>19584</v>
      </c>
      <c r="AF3213">
        <v>12</v>
      </c>
      <c r="AG3213">
        <v>4</v>
      </c>
      <c r="AH3213">
        <v>0</v>
      </c>
      <c r="AI3213">
        <v>109.28</v>
      </c>
      <c r="AL3213" t="s">
        <v>19614</v>
      </c>
      <c r="AM3213">
        <v>28140</v>
      </c>
      <c r="AS3213">
        <v>27.75</v>
      </c>
      <c r="AT3213" t="s">
        <v>1130</v>
      </c>
      <c r="AU3213" t="s">
        <v>20632</v>
      </c>
    </row>
    <row r="3214" spans="1:48">
      <c r="A3214" s="1">
        <f>HYPERLINK("https://lsnyc.legalserver.org/matter/dynamic-profile/view/1860318","18-1860318")</f>
        <v>0</v>
      </c>
      <c r="B3214" t="s">
        <v>94</v>
      </c>
      <c r="C3214" t="s">
        <v>257</v>
      </c>
      <c r="D3214" t="s">
        <v>364</v>
      </c>
      <c r="E3214" t="s">
        <v>367</v>
      </c>
      <c r="F3214" t="s">
        <v>1430</v>
      </c>
      <c r="G3214" t="s">
        <v>3448</v>
      </c>
      <c r="H3214" t="s">
        <v>5973</v>
      </c>
      <c r="I3214" t="s">
        <v>8119</v>
      </c>
      <c r="J3214" t="s">
        <v>9059</v>
      </c>
      <c r="K3214">
        <v>11206</v>
      </c>
      <c r="L3214" t="s">
        <v>9094</v>
      </c>
      <c r="M3214" t="s">
        <v>9094</v>
      </c>
      <c r="N3214" t="s">
        <v>10323</v>
      </c>
      <c r="O3214" t="s">
        <v>11134</v>
      </c>
      <c r="P3214" t="s">
        <v>11168</v>
      </c>
      <c r="Q3214" t="s">
        <v>11172</v>
      </c>
      <c r="R3214" t="s">
        <v>11180</v>
      </c>
      <c r="S3214" t="s">
        <v>9094</v>
      </c>
      <c r="T3214" t="s">
        <v>11183</v>
      </c>
      <c r="V3214" t="s">
        <v>11282</v>
      </c>
      <c r="W3214">
        <v>1245</v>
      </c>
      <c r="X3214" t="s">
        <v>11332</v>
      </c>
      <c r="Y3214" t="s">
        <v>11339</v>
      </c>
      <c r="Z3214" t="s">
        <v>11691</v>
      </c>
      <c r="AA3214" t="s">
        <v>15324</v>
      </c>
      <c r="AC3214">
        <v>8</v>
      </c>
      <c r="AD3214" t="s">
        <v>19566</v>
      </c>
      <c r="AE3214" t="s">
        <v>19588</v>
      </c>
      <c r="AF3214">
        <v>1</v>
      </c>
      <c r="AG3214">
        <v>2</v>
      </c>
      <c r="AH3214">
        <v>0</v>
      </c>
      <c r="AI3214">
        <v>109.36</v>
      </c>
      <c r="AL3214" t="s">
        <v>19614</v>
      </c>
      <c r="AM3214">
        <v>18000</v>
      </c>
      <c r="AN3214" t="s">
        <v>19720</v>
      </c>
      <c r="AS3214">
        <v>0.1</v>
      </c>
      <c r="AT3214" t="s">
        <v>394</v>
      </c>
      <c r="AU3214" t="s">
        <v>95</v>
      </c>
      <c r="AV3214" t="s">
        <v>20733</v>
      </c>
    </row>
    <row r="3215" spans="1:48">
      <c r="A3215" s="1">
        <f>HYPERLINK("https://lsnyc.legalserver.org/matter/dynamic-profile/view/1871413","18-1871413")</f>
        <v>0</v>
      </c>
      <c r="B3215" t="s">
        <v>103</v>
      </c>
      <c r="C3215" t="s">
        <v>257</v>
      </c>
      <c r="D3215" t="s">
        <v>767</v>
      </c>
      <c r="E3215" t="s">
        <v>275</v>
      </c>
      <c r="F3215" t="s">
        <v>2462</v>
      </c>
      <c r="G3215" t="s">
        <v>3220</v>
      </c>
      <c r="H3215" t="s">
        <v>5854</v>
      </c>
      <c r="I3215" t="s">
        <v>8283</v>
      </c>
      <c r="J3215" t="s">
        <v>9065</v>
      </c>
      <c r="K3215">
        <v>10468</v>
      </c>
      <c r="L3215" t="s">
        <v>9094</v>
      </c>
      <c r="M3215" t="s">
        <v>9094</v>
      </c>
      <c r="O3215" t="s">
        <v>11135</v>
      </c>
      <c r="P3215" t="s">
        <v>11164</v>
      </c>
      <c r="Q3215" t="s">
        <v>11172</v>
      </c>
      <c r="R3215" t="s">
        <v>11180</v>
      </c>
      <c r="S3215" t="s">
        <v>9094</v>
      </c>
      <c r="T3215" t="s">
        <v>11183</v>
      </c>
      <c r="V3215" t="s">
        <v>945</v>
      </c>
      <c r="W3215">
        <v>1440.08</v>
      </c>
      <c r="X3215" t="s">
        <v>11333</v>
      </c>
      <c r="Y3215" t="s">
        <v>11346</v>
      </c>
      <c r="Z3215" t="s">
        <v>13524</v>
      </c>
      <c r="AB3215" t="s">
        <v>17861</v>
      </c>
      <c r="AC3215">
        <v>58</v>
      </c>
      <c r="AD3215" t="s">
        <v>15441</v>
      </c>
      <c r="AE3215" t="s">
        <v>9144</v>
      </c>
      <c r="AF3215">
        <v>2</v>
      </c>
      <c r="AG3215">
        <v>1</v>
      </c>
      <c r="AH3215">
        <v>1</v>
      </c>
      <c r="AI3215">
        <v>109.36</v>
      </c>
      <c r="AL3215" t="s">
        <v>19615</v>
      </c>
      <c r="AM3215">
        <v>18000</v>
      </c>
      <c r="AS3215">
        <v>1</v>
      </c>
      <c r="AT3215" t="s">
        <v>334</v>
      </c>
      <c r="AU3215" t="s">
        <v>20642</v>
      </c>
    </row>
    <row r="3216" spans="1:48">
      <c r="A3216" s="1">
        <f>HYPERLINK("https://lsnyc.legalserver.org/matter/dynamic-profile/view/1876811","18-1876811")</f>
        <v>0</v>
      </c>
      <c r="B3216" t="s">
        <v>119</v>
      </c>
      <c r="C3216" t="s">
        <v>256</v>
      </c>
      <c r="D3216" t="s">
        <v>930</v>
      </c>
      <c r="F3216" t="s">
        <v>1222</v>
      </c>
      <c r="G3216" t="s">
        <v>4679</v>
      </c>
      <c r="H3216" t="s">
        <v>6095</v>
      </c>
      <c r="I3216" t="s">
        <v>8178</v>
      </c>
      <c r="J3216" t="s">
        <v>9065</v>
      </c>
      <c r="K3216">
        <v>10456</v>
      </c>
      <c r="L3216" t="s">
        <v>9094</v>
      </c>
      <c r="M3216" t="s">
        <v>9094</v>
      </c>
      <c r="N3216" t="s">
        <v>9419</v>
      </c>
      <c r="O3216" t="s">
        <v>11134</v>
      </c>
      <c r="P3216" t="s">
        <v>11168</v>
      </c>
      <c r="R3216" t="s">
        <v>11180</v>
      </c>
      <c r="S3216" t="s">
        <v>9094</v>
      </c>
      <c r="T3216" t="s">
        <v>11183</v>
      </c>
      <c r="V3216" t="s">
        <v>945</v>
      </c>
      <c r="W3216">
        <v>947.5</v>
      </c>
      <c r="X3216" t="s">
        <v>11333</v>
      </c>
      <c r="Y3216" t="s">
        <v>11346</v>
      </c>
      <c r="Z3216" t="s">
        <v>13476</v>
      </c>
      <c r="AB3216" t="s">
        <v>17813</v>
      </c>
      <c r="AC3216">
        <v>131</v>
      </c>
      <c r="AD3216" t="s">
        <v>19566</v>
      </c>
      <c r="AE3216" t="s">
        <v>9144</v>
      </c>
      <c r="AF3216">
        <v>25</v>
      </c>
      <c r="AG3216">
        <v>2</v>
      </c>
      <c r="AH3216">
        <v>0</v>
      </c>
      <c r="AI3216">
        <v>109.36</v>
      </c>
      <c r="AL3216" t="s">
        <v>19614</v>
      </c>
      <c r="AM3216">
        <v>18000</v>
      </c>
      <c r="AS3216">
        <v>0</v>
      </c>
      <c r="AU3216" t="s">
        <v>163</v>
      </c>
    </row>
    <row r="3217" spans="1:48">
      <c r="A3217" s="1">
        <f>HYPERLINK("https://lsnyc.legalserver.org/matter/dynamic-profile/view/1886108","18-1886108")</f>
        <v>0</v>
      </c>
      <c r="B3217" t="s">
        <v>119</v>
      </c>
      <c r="C3217" t="s">
        <v>256</v>
      </c>
      <c r="D3217" t="s">
        <v>397</v>
      </c>
      <c r="F3217" t="s">
        <v>1222</v>
      </c>
      <c r="G3217" t="s">
        <v>4679</v>
      </c>
      <c r="H3217" t="s">
        <v>6095</v>
      </c>
      <c r="I3217" t="s">
        <v>8178</v>
      </c>
      <c r="J3217" t="s">
        <v>9065</v>
      </c>
      <c r="K3217">
        <v>10456</v>
      </c>
      <c r="L3217" t="s">
        <v>9094</v>
      </c>
      <c r="M3217" t="s">
        <v>9094</v>
      </c>
      <c r="N3217" t="s">
        <v>9401</v>
      </c>
      <c r="O3217" t="s">
        <v>11134</v>
      </c>
      <c r="P3217" t="s">
        <v>11168</v>
      </c>
      <c r="R3217" t="s">
        <v>11180</v>
      </c>
      <c r="S3217" t="s">
        <v>9094</v>
      </c>
      <c r="T3217" t="s">
        <v>11183</v>
      </c>
      <c r="V3217" t="s">
        <v>738</v>
      </c>
      <c r="W3217">
        <v>947.5</v>
      </c>
      <c r="X3217" t="s">
        <v>11333</v>
      </c>
      <c r="Y3217" t="s">
        <v>11346</v>
      </c>
      <c r="Z3217" t="s">
        <v>13476</v>
      </c>
      <c r="AB3217" t="s">
        <v>17813</v>
      </c>
      <c r="AC3217">
        <v>131</v>
      </c>
      <c r="AD3217" t="s">
        <v>19566</v>
      </c>
      <c r="AE3217" t="s">
        <v>9144</v>
      </c>
      <c r="AF3217">
        <v>25</v>
      </c>
      <c r="AG3217">
        <v>2</v>
      </c>
      <c r="AH3217">
        <v>0</v>
      </c>
      <c r="AI3217">
        <v>109.36</v>
      </c>
      <c r="AL3217" t="s">
        <v>19614</v>
      </c>
      <c r="AM3217">
        <v>18000</v>
      </c>
      <c r="AS3217">
        <v>0</v>
      </c>
      <c r="AU3217" t="s">
        <v>163</v>
      </c>
    </row>
    <row r="3218" spans="1:48">
      <c r="A3218" s="1">
        <f>HYPERLINK("https://lsnyc.legalserver.org/matter/dynamic-profile/view/1876810","18-1876810")</f>
        <v>0</v>
      </c>
      <c r="B3218" t="s">
        <v>119</v>
      </c>
      <c r="C3218" t="s">
        <v>256</v>
      </c>
      <c r="D3218" t="s">
        <v>930</v>
      </c>
      <c r="F3218" t="s">
        <v>1222</v>
      </c>
      <c r="G3218" t="s">
        <v>4679</v>
      </c>
      <c r="H3218" t="s">
        <v>6095</v>
      </c>
      <c r="I3218" t="s">
        <v>8178</v>
      </c>
      <c r="J3218" t="s">
        <v>9065</v>
      </c>
      <c r="K3218">
        <v>10456</v>
      </c>
      <c r="L3218" t="s">
        <v>9094</v>
      </c>
      <c r="M3218" t="s">
        <v>9094</v>
      </c>
      <c r="N3218" t="s">
        <v>9403</v>
      </c>
      <c r="O3218" t="s">
        <v>11130</v>
      </c>
      <c r="P3218" t="s">
        <v>11165</v>
      </c>
      <c r="R3218" t="s">
        <v>11180</v>
      </c>
      <c r="S3218" t="s">
        <v>9094</v>
      </c>
      <c r="T3218" t="s">
        <v>11183</v>
      </c>
      <c r="V3218" t="s">
        <v>509</v>
      </c>
      <c r="W3218">
        <v>947.5</v>
      </c>
      <c r="X3218" t="s">
        <v>11333</v>
      </c>
      <c r="Y3218" t="s">
        <v>11346</v>
      </c>
      <c r="Z3218" t="s">
        <v>13476</v>
      </c>
      <c r="AB3218" t="s">
        <v>17813</v>
      </c>
      <c r="AC3218">
        <v>131</v>
      </c>
      <c r="AD3218" t="s">
        <v>19566</v>
      </c>
      <c r="AE3218" t="s">
        <v>9144</v>
      </c>
      <c r="AF3218">
        <v>25</v>
      </c>
      <c r="AG3218">
        <v>2</v>
      </c>
      <c r="AH3218">
        <v>0</v>
      </c>
      <c r="AI3218">
        <v>109.36</v>
      </c>
      <c r="AL3218" t="s">
        <v>19614</v>
      </c>
      <c r="AM3218">
        <v>18000</v>
      </c>
      <c r="AS3218">
        <v>0</v>
      </c>
      <c r="AU3218" t="s">
        <v>163</v>
      </c>
    </row>
    <row r="3219" spans="1:48">
      <c r="A3219" s="1">
        <f>HYPERLINK("https://lsnyc.legalserver.org/matter/dynamic-profile/view/1888402","19-1888402")</f>
        <v>0</v>
      </c>
      <c r="B3219" t="s">
        <v>113</v>
      </c>
      <c r="C3219" t="s">
        <v>256</v>
      </c>
      <c r="D3219" t="s">
        <v>540</v>
      </c>
      <c r="F3219" t="s">
        <v>2463</v>
      </c>
      <c r="G3219" t="s">
        <v>3592</v>
      </c>
      <c r="H3219" t="s">
        <v>5892</v>
      </c>
      <c r="I3219" t="s">
        <v>8216</v>
      </c>
      <c r="J3219" t="s">
        <v>9065</v>
      </c>
      <c r="K3219">
        <v>10453</v>
      </c>
      <c r="L3219" t="s">
        <v>9094</v>
      </c>
      <c r="M3219" t="s">
        <v>9094</v>
      </c>
      <c r="O3219" t="s">
        <v>9121</v>
      </c>
      <c r="P3219" t="s">
        <v>11167</v>
      </c>
      <c r="R3219" t="s">
        <v>11180</v>
      </c>
      <c r="S3219" t="s">
        <v>9094</v>
      </c>
      <c r="T3219" t="s">
        <v>11183</v>
      </c>
      <c r="V3219" t="s">
        <v>11218</v>
      </c>
      <c r="W3219">
        <v>1507.78</v>
      </c>
      <c r="X3219" t="s">
        <v>11333</v>
      </c>
      <c r="Y3219" t="s">
        <v>11346</v>
      </c>
      <c r="Z3219" t="s">
        <v>13525</v>
      </c>
      <c r="AA3219" t="s">
        <v>15771</v>
      </c>
      <c r="AB3219" t="s">
        <v>17862</v>
      </c>
      <c r="AC3219">
        <v>99</v>
      </c>
      <c r="AE3219" t="s">
        <v>19580</v>
      </c>
      <c r="AF3219">
        <v>10</v>
      </c>
      <c r="AG3219">
        <v>2</v>
      </c>
      <c r="AH3219">
        <v>0</v>
      </c>
      <c r="AI3219">
        <v>109.36</v>
      </c>
      <c r="AL3219" t="s">
        <v>19614</v>
      </c>
      <c r="AM3219">
        <v>18000</v>
      </c>
      <c r="AS3219">
        <v>0</v>
      </c>
      <c r="AU3219" t="s">
        <v>20647</v>
      </c>
      <c r="AV3219" t="s">
        <v>20733</v>
      </c>
    </row>
    <row r="3220" spans="1:48">
      <c r="A3220" s="1">
        <f>HYPERLINK("https://lsnyc.legalserver.org/matter/dynamic-profile/view/1887304","19-1887304")</f>
        <v>0</v>
      </c>
      <c r="B3220" t="s">
        <v>138</v>
      </c>
      <c r="C3220" t="s">
        <v>256</v>
      </c>
      <c r="D3220" t="s">
        <v>402</v>
      </c>
      <c r="F3220" t="s">
        <v>2464</v>
      </c>
      <c r="G3220" t="s">
        <v>3540</v>
      </c>
      <c r="H3220" t="s">
        <v>6625</v>
      </c>
      <c r="I3220">
        <v>5</v>
      </c>
      <c r="J3220" t="s">
        <v>9067</v>
      </c>
      <c r="K3220">
        <v>10034</v>
      </c>
      <c r="L3220" t="s">
        <v>9094</v>
      </c>
      <c r="M3220" t="s">
        <v>9094</v>
      </c>
      <c r="O3220" t="s">
        <v>11137</v>
      </c>
      <c r="P3220" t="s">
        <v>11166</v>
      </c>
      <c r="R3220" t="s">
        <v>11180</v>
      </c>
      <c r="S3220" t="s">
        <v>9096</v>
      </c>
      <c r="T3220" t="s">
        <v>11183</v>
      </c>
      <c r="V3220" t="s">
        <v>402</v>
      </c>
      <c r="W3220">
        <v>694.16</v>
      </c>
      <c r="X3220" t="s">
        <v>11335</v>
      </c>
      <c r="Y3220" t="s">
        <v>11340</v>
      </c>
      <c r="Z3220" t="s">
        <v>13526</v>
      </c>
      <c r="AB3220" t="s">
        <v>17863</v>
      </c>
      <c r="AC3220">
        <v>25</v>
      </c>
      <c r="AD3220" t="s">
        <v>19566</v>
      </c>
      <c r="AE3220" t="s">
        <v>19587</v>
      </c>
      <c r="AF3220">
        <v>46</v>
      </c>
      <c r="AG3220">
        <v>2</v>
      </c>
      <c r="AH3220">
        <v>0</v>
      </c>
      <c r="AI3220">
        <v>109.36</v>
      </c>
      <c r="AL3220" t="s">
        <v>19614</v>
      </c>
      <c r="AM3220">
        <v>18000</v>
      </c>
      <c r="AS3220">
        <v>19.37</v>
      </c>
      <c r="AT3220" t="s">
        <v>703</v>
      </c>
      <c r="AU3220" t="s">
        <v>130</v>
      </c>
      <c r="AV3220" t="s">
        <v>20733</v>
      </c>
    </row>
    <row r="3221" spans="1:48">
      <c r="A3221" s="1">
        <f>HYPERLINK("https://lsnyc.legalserver.org/matter/dynamic-profile/view/1913789","19-1913789")</f>
        <v>0</v>
      </c>
      <c r="B3221" t="s">
        <v>98</v>
      </c>
      <c r="C3221" t="s">
        <v>256</v>
      </c>
      <c r="D3221" t="s">
        <v>301</v>
      </c>
      <c r="F3221" t="s">
        <v>2465</v>
      </c>
      <c r="G3221" t="s">
        <v>3540</v>
      </c>
      <c r="H3221" t="s">
        <v>6216</v>
      </c>
      <c r="I3221" t="s">
        <v>8140</v>
      </c>
      <c r="J3221" t="s">
        <v>9065</v>
      </c>
      <c r="K3221">
        <v>10452</v>
      </c>
      <c r="L3221" t="s">
        <v>9094</v>
      </c>
      <c r="M3221" t="s">
        <v>9095</v>
      </c>
      <c r="O3221" t="s">
        <v>11130</v>
      </c>
      <c r="R3221" t="s">
        <v>11180</v>
      </c>
      <c r="S3221" t="s">
        <v>9094</v>
      </c>
      <c r="T3221" t="s">
        <v>11183</v>
      </c>
      <c r="W3221">
        <v>1318</v>
      </c>
      <c r="X3221" t="s">
        <v>11333</v>
      </c>
      <c r="Y3221" t="s">
        <v>11346</v>
      </c>
      <c r="Z3221" t="s">
        <v>13527</v>
      </c>
      <c r="AB3221" t="s">
        <v>17864</v>
      </c>
      <c r="AC3221">
        <v>67</v>
      </c>
      <c r="AD3221" t="s">
        <v>19565</v>
      </c>
      <c r="AE3221" t="s">
        <v>9144</v>
      </c>
      <c r="AF3221">
        <v>20</v>
      </c>
      <c r="AG3221">
        <v>5</v>
      </c>
      <c r="AH3221">
        <v>0</v>
      </c>
      <c r="AI3221">
        <v>109.38</v>
      </c>
      <c r="AL3221" t="s">
        <v>19615</v>
      </c>
      <c r="AM3221">
        <v>33000</v>
      </c>
      <c r="AS3221">
        <v>0</v>
      </c>
      <c r="AU3221" t="s">
        <v>20642</v>
      </c>
      <c r="AV3221" t="s">
        <v>20733</v>
      </c>
    </row>
    <row r="3222" spans="1:48">
      <c r="A3222" s="1">
        <f>HYPERLINK("https://lsnyc.legalserver.org/matter/dynamic-profile/view/0828910","17-0828910")</f>
        <v>0</v>
      </c>
      <c r="B3222" t="s">
        <v>122</v>
      </c>
      <c r="C3222" t="s">
        <v>256</v>
      </c>
      <c r="D3222" t="s">
        <v>966</v>
      </c>
      <c r="F3222" t="s">
        <v>2466</v>
      </c>
      <c r="G3222" t="s">
        <v>4702</v>
      </c>
      <c r="H3222" t="s">
        <v>7245</v>
      </c>
      <c r="I3222" t="s">
        <v>8171</v>
      </c>
      <c r="J3222" t="s">
        <v>9066</v>
      </c>
      <c r="K3222">
        <v>10301</v>
      </c>
      <c r="L3222" t="s">
        <v>9094</v>
      </c>
      <c r="M3222" t="s">
        <v>9095</v>
      </c>
      <c r="N3222" t="s">
        <v>10324</v>
      </c>
      <c r="O3222" t="s">
        <v>11128</v>
      </c>
      <c r="P3222" t="s">
        <v>11165</v>
      </c>
      <c r="R3222" t="s">
        <v>11180</v>
      </c>
      <c r="S3222" t="s">
        <v>9096</v>
      </c>
      <c r="T3222" t="s">
        <v>11183</v>
      </c>
      <c r="V3222" t="s">
        <v>1021</v>
      </c>
      <c r="W3222">
        <v>1050</v>
      </c>
      <c r="X3222" t="s">
        <v>11334</v>
      </c>
      <c r="Y3222" t="s">
        <v>11348</v>
      </c>
      <c r="Z3222" t="s">
        <v>13528</v>
      </c>
      <c r="AA3222" t="s">
        <v>9144</v>
      </c>
      <c r="AB3222" t="s">
        <v>17865</v>
      </c>
      <c r="AC3222">
        <v>19</v>
      </c>
      <c r="AD3222" t="s">
        <v>19566</v>
      </c>
      <c r="AE3222" t="s">
        <v>19582</v>
      </c>
      <c r="AF3222">
        <v>3</v>
      </c>
      <c r="AG3222">
        <v>1</v>
      </c>
      <c r="AH3222">
        <v>1</v>
      </c>
      <c r="AI3222">
        <v>109.41</v>
      </c>
      <c r="AL3222" t="s">
        <v>19614</v>
      </c>
      <c r="AM3222">
        <v>17768</v>
      </c>
      <c r="AS3222">
        <v>66</v>
      </c>
      <c r="AT3222" t="s">
        <v>1130</v>
      </c>
      <c r="AU3222" t="s">
        <v>20652</v>
      </c>
      <c r="AV3222" t="s">
        <v>20733</v>
      </c>
    </row>
    <row r="3223" spans="1:48">
      <c r="A3223" s="1">
        <f>HYPERLINK("https://lsnyc.legalserver.org/matter/dynamic-profile/view/0823544","16-0823544")</f>
        <v>0</v>
      </c>
      <c r="B3223" t="s">
        <v>119</v>
      </c>
      <c r="C3223" t="s">
        <v>256</v>
      </c>
      <c r="D3223" t="s">
        <v>1000</v>
      </c>
      <c r="F3223" t="s">
        <v>2452</v>
      </c>
      <c r="G3223" t="s">
        <v>4124</v>
      </c>
      <c r="H3223" t="s">
        <v>5897</v>
      </c>
      <c r="I3223" t="s">
        <v>8708</v>
      </c>
      <c r="J3223" t="s">
        <v>9065</v>
      </c>
      <c r="K3223">
        <v>10452</v>
      </c>
      <c r="L3223" t="s">
        <v>9094</v>
      </c>
      <c r="M3223" t="s">
        <v>9095</v>
      </c>
      <c r="N3223" t="s">
        <v>9252</v>
      </c>
      <c r="O3223" t="s">
        <v>11135</v>
      </c>
      <c r="P3223" t="s">
        <v>11168</v>
      </c>
      <c r="R3223" t="s">
        <v>11180</v>
      </c>
      <c r="S3223" t="s">
        <v>9094</v>
      </c>
      <c r="T3223" t="s">
        <v>11183</v>
      </c>
      <c r="V3223" t="s">
        <v>11245</v>
      </c>
      <c r="W3223">
        <v>750</v>
      </c>
      <c r="X3223" t="s">
        <v>11333</v>
      </c>
      <c r="Y3223" t="s">
        <v>11348</v>
      </c>
      <c r="Z3223" t="s">
        <v>13495</v>
      </c>
      <c r="AB3223" t="s">
        <v>17838</v>
      </c>
      <c r="AC3223">
        <v>122</v>
      </c>
      <c r="AD3223" t="s">
        <v>19566</v>
      </c>
      <c r="AF3223">
        <v>7</v>
      </c>
      <c r="AG3223">
        <v>1</v>
      </c>
      <c r="AH3223">
        <v>0</v>
      </c>
      <c r="AI3223">
        <v>109.43</v>
      </c>
      <c r="AL3223" t="s">
        <v>19614</v>
      </c>
      <c r="AM3223">
        <v>13000</v>
      </c>
      <c r="AS3223">
        <v>0</v>
      </c>
      <c r="AU3223" t="s">
        <v>20647</v>
      </c>
    </row>
    <row r="3224" spans="1:48">
      <c r="A3224" s="1">
        <f>HYPERLINK("https://lsnyc.legalserver.org/matter/dynamic-profile/view/1838822","17-1838822")</f>
        <v>0</v>
      </c>
      <c r="B3224" t="s">
        <v>103</v>
      </c>
      <c r="C3224" t="s">
        <v>256</v>
      </c>
      <c r="D3224" t="s">
        <v>796</v>
      </c>
      <c r="F3224" t="s">
        <v>2467</v>
      </c>
      <c r="G3224" t="s">
        <v>4703</v>
      </c>
      <c r="H3224" t="s">
        <v>7246</v>
      </c>
      <c r="I3224" t="s">
        <v>8660</v>
      </c>
      <c r="J3224" t="s">
        <v>9065</v>
      </c>
      <c r="K3224">
        <v>10473</v>
      </c>
      <c r="L3224" t="s">
        <v>9094</v>
      </c>
      <c r="M3224" t="s">
        <v>9095</v>
      </c>
      <c r="O3224" t="s">
        <v>9121</v>
      </c>
      <c r="P3224" t="s">
        <v>11167</v>
      </c>
      <c r="R3224" t="s">
        <v>11180</v>
      </c>
      <c r="S3224" t="s">
        <v>9094</v>
      </c>
      <c r="T3224" t="s">
        <v>11183</v>
      </c>
      <c r="V3224" t="s">
        <v>11223</v>
      </c>
      <c r="W3224">
        <v>0</v>
      </c>
      <c r="X3224" t="s">
        <v>11333</v>
      </c>
      <c r="Y3224" t="s">
        <v>11351</v>
      </c>
      <c r="Z3224" t="s">
        <v>13529</v>
      </c>
      <c r="AB3224" t="s">
        <v>17866</v>
      </c>
      <c r="AC3224">
        <v>976</v>
      </c>
      <c r="AD3224" t="s">
        <v>19566</v>
      </c>
      <c r="AE3224" t="s">
        <v>19587</v>
      </c>
      <c r="AF3224">
        <v>0</v>
      </c>
      <c r="AG3224">
        <v>1</v>
      </c>
      <c r="AH3224">
        <v>0</v>
      </c>
      <c r="AI3224">
        <v>109.45</v>
      </c>
      <c r="AJ3224" t="s">
        <v>936</v>
      </c>
      <c r="AL3224" t="s">
        <v>19614</v>
      </c>
      <c r="AM3224">
        <v>13200</v>
      </c>
      <c r="AS3224">
        <v>0</v>
      </c>
      <c r="AU3224" t="s">
        <v>20643</v>
      </c>
    </row>
    <row r="3225" spans="1:48">
      <c r="A3225" s="1">
        <f>HYPERLINK("https://lsnyc.legalserver.org/matter/dynamic-profile/view/1900865","19-1900865")</f>
        <v>0</v>
      </c>
      <c r="B3225" t="s">
        <v>67</v>
      </c>
      <c r="C3225" t="s">
        <v>256</v>
      </c>
      <c r="D3225" t="s">
        <v>315</v>
      </c>
      <c r="F3225" t="s">
        <v>1707</v>
      </c>
      <c r="G3225" t="s">
        <v>3980</v>
      </c>
      <c r="H3225" t="s">
        <v>7247</v>
      </c>
      <c r="I3225" t="s">
        <v>8713</v>
      </c>
      <c r="J3225" t="s">
        <v>9059</v>
      </c>
      <c r="K3225">
        <v>11225</v>
      </c>
      <c r="L3225" t="s">
        <v>9095</v>
      </c>
      <c r="M3225" t="s">
        <v>9095</v>
      </c>
      <c r="R3225" t="s">
        <v>11180</v>
      </c>
      <c r="T3225" t="s">
        <v>11183</v>
      </c>
      <c r="W3225">
        <v>0</v>
      </c>
      <c r="X3225" t="s">
        <v>11332</v>
      </c>
      <c r="Z3225" t="s">
        <v>13530</v>
      </c>
      <c r="AB3225" t="s">
        <v>17867</v>
      </c>
      <c r="AC3225">
        <v>0</v>
      </c>
      <c r="AF3225">
        <v>0</v>
      </c>
      <c r="AG3225">
        <v>1</v>
      </c>
      <c r="AH3225">
        <v>2</v>
      </c>
      <c r="AI3225">
        <v>109.7</v>
      </c>
      <c r="AL3225" t="s">
        <v>19614</v>
      </c>
      <c r="AM3225">
        <v>23400</v>
      </c>
      <c r="AS3225">
        <v>1</v>
      </c>
      <c r="AT3225" t="s">
        <v>315</v>
      </c>
      <c r="AU3225" t="s">
        <v>67</v>
      </c>
    </row>
    <row r="3226" spans="1:48">
      <c r="A3226" s="1">
        <f>HYPERLINK("https://lsnyc.legalserver.org/matter/dynamic-profile/view/1910867","19-1910867")</f>
        <v>0</v>
      </c>
      <c r="B3226" t="s">
        <v>64</v>
      </c>
      <c r="C3226" t="s">
        <v>257</v>
      </c>
      <c r="D3226" t="s">
        <v>308</v>
      </c>
      <c r="E3226" t="s">
        <v>1063</v>
      </c>
      <c r="F3226" t="s">
        <v>2468</v>
      </c>
      <c r="G3226" t="s">
        <v>3427</v>
      </c>
      <c r="H3226" t="s">
        <v>6278</v>
      </c>
      <c r="J3226" t="s">
        <v>9059</v>
      </c>
      <c r="K3226">
        <v>11212</v>
      </c>
      <c r="L3226" t="s">
        <v>9094</v>
      </c>
      <c r="M3226" t="s">
        <v>9095</v>
      </c>
      <c r="N3226" t="s">
        <v>10325</v>
      </c>
      <c r="O3226" t="s">
        <v>11129</v>
      </c>
      <c r="P3226" t="s">
        <v>11164</v>
      </c>
      <c r="Q3226" t="s">
        <v>11172</v>
      </c>
      <c r="R3226" t="s">
        <v>11180</v>
      </c>
      <c r="S3226" t="s">
        <v>9096</v>
      </c>
      <c r="T3226" t="s">
        <v>11183</v>
      </c>
      <c r="U3226" t="s">
        <v>11201</v>
      </c>
      <c r="V3226" t="s">
        <v>308</v>
      </c>
      <c r="W3226">
        <v>1800</v>
      </c>
      <c r="X3226" t="s">
        <v>11332</v>
      </c>
      <c r="Y3226" t="s">
        <v>11342</v>
      </c>
      <c r="Z3226" t="s">
        <v>12848</v>
      </c>
      <c r="AB3226" t="s">
        <v>17868</v>
      </c>
      <c r="AC3226">
        <v>0</v>
      </c>
      <c r="AD3226" t="s">
        <v>19575</v>
      </c>
      <c r="AE3226" t="s">
        <v>19580</v>
      </c>
      <c r="AF3226">
        <v>1</v>
      </c>
      <c r="AG3226">
        <v>2</v>
      </c>
      <c r="AH3226">
        <v>1</v>
      </c>
      <c r="AI3226">
        <v>109.7</v>
      </c>
      <c r="AL3226" t="s">
        <v>19614</v>
      </c>
      <c r="AM3226">
        <v>23400</v>
      </c>
      <c r="AS3226">
        <v>2.8</v>
      </c>
      <c r="AT3226" t="s">
        <v>309</v>
      </c>
      <c r="AU3226" t="s">
        <v>20639</v>
      </c>
      <c r="AV3226" t="s">
        <v>20733</v>
      </c>
    </row>
    <row r="3227" spans="1:48">
      <c r="A3227" s="1">
        <f>HYPERLINK("https://lsnyc.legalserver.org/matter/dynamic-profile/view/1892953","19-1892953")</f>
        <v>0</v>
      </c>
      <c r="B3227" t="s">
        <v>108</v>
      </c>
      <c r="C3227" t="s">
        <v>256</v>
      </c>
      <c r="D3227" t="s">
        <v>523</v>
      </c>
      <c r="F3227" t="s">
        <v>2469</v>
      </c>
      <c r="G3227" t="s">
        <v>4195</v>
      </c>
      <c r="H3227" t="s">
        <v>7248</v>
      </c>
      <c r="I3227" t="s">
        <v>8133</v>
      </c>
      <c r="J3227" t="s">
        <v>9065</v>
      </c>
      <c r="K3227">
        <v>10467</v>
      </c>
      <c r="L3227" t="s">
        <v>9094</v>
      </c>
      <c r="M3227" t="s">
        <v>9094</v>
      </c>
      <c r="O3227" t="s">
        <v>11137</v>
      </c>
      <c r="P3227" t="s">
        <v>11166</v>
      </c>
      <c r="R3227" t="s">
        <v>11180</v>
      </c>
      <c r="S3227" t="s">
        <v>9094</v>
      </c>
      <c r="T3227" t="s">
        <v>11183</v>
      </c>
      <c r="V3227" t="s">
        <v>11218</v>
      </c>
      <c r="W3227">
        <v>1950</v>
      </c>
      <c r="X3227" t="s">
        <v>11333</v>
      </c>
      <c r="Y3227" t="s">
        <v>11339</v>
      </c>
      <c r="Z3227" t="s">
        <v>13531</v>
      </c>
      <c r="AC3227">
        <v>122</v>
      </c>
      <c r="AD3227" t="s">
        <v>19565</v>
      </c>
      <c r="AE3227" t="s">
        <v>19580</v>
      </c>
      <c r="AF3227">
        <v>32</v>
      </c>
      <c r="AG3227">
        <v>1</v>
      </c>
      <c r="AH3227">
        <v>2</v>
      </c>
      <c r="AI3227">
        <v>109.7</v>
      </c>
      <c r="AL3227" t="s">
        <v>19614</v>
      </c>
      <c r="AM3227">
        <v>23400</v>
      </c>
      <c r="AS3227">
        <v>20.7</v>
      </c>
      <c r="AT3227" t="s">
        <v>367</v>
      </c>
      <c r="AU3227" t="s">
        <v>220</v>
      </c>
      <c r="AV3227" t="s">
        <v>20733</v>
      </c>
    </row>
    <row r="3228" spans="1:48">
      <c r="A3228" s="1">
        <f>HYPERLINK("https://lsnyc.legalserver.org/matter/dynamic-profile/view/1911731","19-1911731")</f>
        <v>0</v>
      </c>
      <c r="B3228" t="s">
        <v>140</v>
      </c>
      <c r="C3228" t="s">
        <v>256</v>
      </c>
      <c r="D3228" t="s">
        <v>290</v>
      </c>
      <c r="F3228" t="s">
        <v>1158</v>
      </c>
      <c r="G3228" t="s">
        <v>3728</v>
      </c>
      <c r="H3228" t="s">
        <v>7249</v>
      </c>
      <c r="I3228" t="s">
        <v>8309</v>
      </c>
      <c r="J3228" t="s">
        <v>9067</v>
      </c>
      <c r="K3228">
        <v>10032</v>
      </c>
      <c r="L3228" t="s">
        <v>9094</v>
      </c>
      <c r="M3228" t="s">
        <v>9095</v>
      </c>
      <c r="O3228" t="s">
        <v>11128</v>
      </c>
      <c r="P3228" t="s">
        <v>11165</v>
      </c>
      <c r="R3228" t="s">
        <v>11180</v>
      </c>
      <c r="S3228" t="s">
        <v>9096</v>
      </c>
      <c r="T3228" t="s">
        <v>11183</v>
      </c>
      <c r="V3228" t="s">
        <v>290</v>
      </c>
      <c r="W3228">
        <v>370</v>
      </c>
      <c r="X3228" t="s">
        <v>11335</v>
      </c>
      <c r="Y3228" t="s">
        <v>11340</v>
      </c>
      <c r="Z3228" t="s">
        <v>13532</v>
      </c>
      <c r="AB3228" t="s">
        <v>17869</v>
      </c>
      <c r="AC3228">
        <v>69</v>
      </c>
      <c r="AD3228" t="s">
        <v>19566</v>
      </c>
      <c r="AE3228" t="s">
        <v>9144</v>
      </c>
      <c r="AF3228">
        <v>9</v>
      </c>
      <c r="AG3228">
        <v>3</v>
      </c>
      <c r="AH3228">
        <v>0</v>
      </c>
      <c r="AI3228">
        <v>109.7</v>
      </c>
      <c r="AL3228" t="s">
        <v>19615</v>
      </c>
      <c r="AM3228">
        <v>23400</v>
      </c>
      <c r="AS3228">
        <v>9.300000000000001</v>
      </c>
      <c r="AT3228" t="s">
        <v>521</v>
      </c>
      <c r="AU3228" t="s">
        <v>130</v>
      </c>
      <c r="AV3228" t="s">
        <v>20733</v>
      </c>
    </row>
    <row r="3229" spans="1:48">
      <c r="A3229" s="1">
        <f>HYPERLINK("https://lsnyc.legalserver.org/matter/dynamic-profile/view/1897803","19-1897803")</f>
        <v>0</v>
      </c>
      <c r="B3229" t="s">
        <v>140</v>
      </c>
      <c r="C3229" t="s">
        <v>257</v>
      </c>
      <c r="D3229" t="s">
        <v>291</v>
      </c>
      <c r="E3229" t="s">
        <v>290</v>
      </c>
      <c r="F3229" t="s">
        <v>1158</v>
      </c>
      <c r="G3229" t="s">
        <v>3728</v>
      </c>
      <c r="H3229" t="s">
        <v>7249</v>
      </c>
      <c r="I3229" t="s">
        <v>8309</v>
      </c>
      <c r="J3229" t="s">
        <v>9067</v>
      </c>
      <c r="K3229">
        <v>10032</v>
      </c>
      <c r="L3229" t="s">
        <v>9094</v>
      </c>
      <c r="M3229" t="s">
        <v>9094</v>
      </c>
      <c r="O3229" t="s">
        <v>11136</v>
      </c>
      <c r="P3229" t="s">
        <v>11165</v>
      </c>
      <c r="Q3229" t="s">
        <v>11174</v>
      </c>
      <c r="R3229" t="s">
        <v>11180</v>
      </c>
      <c r="S3229" t="s">
        <v>9096</v>
      </c>
      <c r="T3229" t="s">
        <v>11183</v>
      </c>
      <c r="V3229" t="s">
        <v>291</v>
      </c>
      <c r="W3229">
        <v>370</v>
      </c>
      <c r="X3229" t="s">
        <v>11335</v>
      </c>
      <c r="Y3229" t="s">
        <v>11338</v>
      </c>
      <c r="Z3229" t="s">
        <v>13532</v>
      </c>
      <c r="AB3229" t="s">
        <v>17869</v>
      </c>
      <c r="AC3229">
        <v>69</v>
      </c>
      <c r="AD3229" t="s">
        <v>19569</v>
      </c>
      <c r="AE3229" t="s">
        <v>9144</v>
      </c>
      <c r="AF3229">
        <v>9</v>
      </c>
      <c r="AG3229">
        <v>3</v>
      </c>
      <c r="AH3229">
        <v>0</v>
      </c>
      <c r="AI3229">
        <v>109.7</v>
      </c>
      <c r="AL3229" t="s">
        <v>19615</v>
      </c>
      <c r="AM3229">
        <v>23400</v>
      </c>
      <c r="AS3229">
        <v>29.95</v>
      </c>
      <c r="AT3229" t="s">
        <v>314</v>
      </c>
      <c r="AU3229" t="s">
        <v>130</v>
      </c>
    </row>
    <row r="3230" spans="1:48">
      <c r="A3230" s="1">
        <f>HYPERLINK("https://lsnyc.legalserver.org/matter/dynamic-profile/view/1907071","19-1907071")</f>
        <v>0</v>
      </c>
      <c r="B3230" t="s">
        <v>140</v>
      </c>
      <c r="C3230" t="s">
        <v>256</v>
      </c>
      <c r="D3230" t="s">
        <v>498</v>
      </c>
      <c r="F3230" t="s">
        <v>1158</v>
      </c>
      <c r="G3230" t="s">
        <v>3728</v>
      </c>
      <c r="H3230" t="s">
        <v>7249</v>
      </c>
      <c r="I3230" t="s">
        <v>8309</v>
      </c>
      <c r="J3230" t="s">
        <v>9067</v>
      </c>
      <c r="K3230">
        <v>10032</v>
      </c>
      <c r="L3230" t="s">
        <v>9094</v>
      </c>
      <c r="M3230" t="s">
        <v>9095</v>
      </c>
      <c r="O3230" t="s">
        <v>11136</v>
      </c>
      <c r="P3230" t="s">
        <v>11166</v>
      </c>
      <c r="R3230" t="s">
        <v>11180</v>
      </c>
      <c r="S3230" t="s">
        <v>9096</v>
      </c>
      <c r="T3230" t="s">
        <v>11183</v>
      </c>
      <c r="V3230" t="s">
        <v>498</v>
      </c>
      <c r="W3230">
        <v>370</v>
      </c>
      <c r="X3230" t="s">
        <v>11335</v>
      </c>
      <c r="Y3230" t="s">
        <v>11340</v>
      </c>
      <c r="Z3230" t="s">
        <v>13532</v>
      </c>
      <c r="AB3230" t="s">
        <v>17869</v>
      </c>
      <c r="AC3230">
        <v>69</v>
      </c>
      <c r="AD3230" t="s">
        <v>19569</v>
      </c>
      <c r="AE3230" t="s">
        <v>9144</v>
      </c>
      <c r="AF3230">
        <v>9</v>
      </c>
      <c r="AG3230">
        <v>3</v>
      </c>
      <c r="AH3230">
        <v>0</v>
      </c>
      <c r="AI3230">
        <v>109.7</v>
      </c>
      <c r="AL3230" t="s">
        <v>19615</v>
      </c>
      <c r="AM3230">
        <v>23400</v>
      </c>
      <c r="AS3230">
        <v>10.6</v>
      </c>
      <c r="AT3230" t="s">
        <v>570</v>
      </c>
      <c r="AU3230" t="s">
        <v>130</v>
      </c>
      <c r="AV3230" t="s">
        <v>20733</v>
      </c>
    </row>
    <row r="3231" spans="1:48">
      <c r="A3231" s="1">
        <f>HYPERLINK("https://lsnyc.legalserver.org/matter/dynamic-profile/view/1858600","18-1858600")</f>
        <v>0</v>
      </c>
      <c r="B3231" t="s">
        <v>193</v>
      </c>
      <c r="C3231" t="s">
        <v>256</v>
      </c>
      <c r="D3231" t="s">
        <v>1001</v>
      </c>
      <c r="F3231" t="s">
        <v>2470</v>
      </c>
      <c r="G3231" t="s">
        <v>4704</v>
      </c>
      <c r="H3231" t="s">
        <v>6711</v>
      </c>
      <c r="I3231" t="s">
        <v>8215</v>
      </c>
      <c r="J3231" t="s">
        <v>9039</v>
      </c>
      <c r="K3231">
        <v>11432</v>
      </c>
      <c r="L3231" t="s">
        <v>9094</v>
      </c>
      <c r="M3231" t="s">
        <v>9095</v>
      </c>
      <c r="N3231" t="s">
        <v>10326</v>
      </c>
      <c r="O3231" t="s">
        <v>11130</v>
      </c>
      <c r="P3231" t="s">
        <v>11165</v>
      </c>
      <c r="R3231" t="s">
        <v>11180</v>
      </c>
      <c r="S3231" t="s">
        <v>9094</v>
      </c>
      <c r="T3231" t="s">
        <v>11183</v>
      </c>
      <c r="V3231" t="s">
        <v>1001</v>
      </c>
      <c r="W3231">
        <v>2000</v>
      </c>
      <c r="X3231" t="s">
        <v>11331</v>
      </c>
      <c r="Y3231" t="s">
        <v>11338</v>
      </c>
      <c r="Z3231" t="s">
        <v>13533</v>
      </c>
      <c r="AA3231" t="s">
        <v>9171</v>
      </c>
      <c r="AB3231" t="s">
        <v>17870</v>
      </c>
      <c r="AC3231">
        <v>70</v>
      </c>
      <c r="AD3231" t="s">
        <v>19566</v>
      </c>
      <c r="AE3231" t="s">
        <v>9144</v>
      </c>
      <c r="AF3231">
        <v>13</v>
      </c>
      <c r="AG3231">
        <v>4</v>
      </c>
      <c r="AH3231">
        <v>0</v>
      </c>
      <c r="AI3231">
        <v>109.76</v>
      </c>
      <c r="AJ3231" t="s">
        <v>19592</v>
      </c>
      <c r="AL3231" t="s">
        <v>19614</v>
      </c>
      <c r="AM3231">
        <v>27000</v>
      </c>
      <c r="AS3231">
        <v>6.4</v>
      </c>
      <c r="AT3231" t="s">
        <v>1056</v>
      </c>
      <c r="AU3231" t="s">
        <v>20620</v>
      </c>
    </row>
    <row r="3232" spans="1:48">
      <c r="A3232" s="1">
        <f>HYPERLINK("https://lsnyc.legalserver.org/matter/dynamic-profile/view/1910410","19-1910410")</f>
        <v>0</v>
      </c>
      <c r="B3232" t="s">
        <v>142</v>
      </c>
      <c r="C3232" t="s">
        <v>256</v>
      </c>
      <c r="D3232" t="s">
        <v>341</v>
      </c>
      <c r="F3232" t="s">
        <v>2024</v>
      </c>
      <c r="G3232" t="s">
        <v>4633</v>
      </c>
      <c r="H3232" t="s">
        <v>7172</v>
      </c>
      <c r="I3232" t="s">
        <v>8213</v>
      </c>
      <c r="J3232" t="s">
        <v>9067</v>
      </c>
      <c r="K3232">
        <v>10028</v>
      </c>
      <c r="L3232" t="s">
        <v>9094</v>
      </c>
      <c r="M3232" t="s">
        <v>9095</v>
      </c>
      <c r="O3232" t="s">
        <v>11131</v>
      </c>
      <c r="P3232" t="s">
        <v>11166</v>
      </c>
      <c r="R3232" t="s">
        <v>11180</v>
      </c>
      <c r="S3232" t="s">
        <v>9096</v>
      </c>
      <c r="T3232" t="s">
        <v>11191</v>
      </c>
      <c r="U3232" t="s">
        <v>11201</v>
      </c>
      <c r="V3232" t="s">
        <v>435</v>
      </c>
      <c r="W3232">
        <v>1844.37</v>
      </c>
      <c r="X3232" t="s">
        <v>11335</v>
      </c>
      <c r="Y3232" t="s">
        <v>11340</v>
      </c>
      <c r="Z3232" t="s">
        <v>13385</v>
      </c>
      <c r="AA3232" t="s">
        <v>15772</v>
      </c>
      <c r="AB3232" t="s">
        <v>17726</v>
      </c>
      <c r="AC3232">
        <v>60</v>
      </c>
      <c r="AD3232" t="s">
        <v>19569</v>
      </c>
      <c r="AE3232" t="s">
        <v>19587</v>
      </c>
      <c r="AF3232">
        <v>49</v>
      </c>
      <c r="AG3232">
        <v>2</v>
      </c>
      <c r="AH3232">
        <v>0</v>
      </c>
      <c r="AI3232">
        <v>109.78</v>
      </c>
      <c r="AL3232" t="s">
        <v>19614</v>
      </c>
      <c r="AM3232">
        <v>18564</v>
      </c>
      <c r="AS3232">
        <v>6.2</v>
      </c>
      <c r="AT3232" t="s">
        <v>484</v>
      </c>
      <c r="AU3232" t="s">
        <v>20657</v>
      </c>
      <c r="AV3232" t="s">
        <v>20733</v>
      </c>
    </row>
    <row r="3233" spans="1:48">
      <c r="A3233" s="1">
        <f>HYPERLINK("https://lsnyc.legalserver.org/matter/dynamic-profile/view/1896760","19-1896760")</f>
        <v>0</v>
      </c>
      <c r="B3233" t="s">
        <v>78</v>
      </c>
      <c r="C3233" t="s">
        <v>256</v>
      </c>
      <c r="D3233" t="s">
        <v>546</v>
      </c>
      <c r="F3233" t="s">
        <v>1725</v>
      </c>
      <c r="G3233" t="s">
        <v>4705</v>
      </c>
      <c r="H3233" t="s">
        <v>6407</v>
      </c>
      <c r="I3233" t="s">
        <v>8141</v>
      </c>
      <c r="J3233" t="s">
        <v>9059</v>
      </c>
      <c r="K3233">
        <v>11213</v>
      </c>
      <c r="L3233" t="s">
        <v>9094</v>
      </c>
      <c r="M3233" t="s">
        <v>9096</v>
      </c>
      <c r="N3233" t="s">
        <v>9667</v>
      </c>
      <c r="O3233" t="s">
        <v>11134</v>
      </c>
      <c r="P3233" t="s">
        <v>11168</v>
      </c>
      <c r="R3233" t="s">
        <v>11180</v>
      </c>
      <c r="S3233" t="s">
        <v>9094</v>
      </c>
      <c r="T3233" t="s">
        <v>11183</v>
      </c>
      <c r="V3233" t="s">
        <v>473</v>
      </c>
      <c r="W3233">
        <v>719</v>
      </c>
      <c r="X3233" t="s">
        <v>11332</v>
      </c>
      <c r="Y3233" t="s">
        <v>11346</v>
      </c>
      <c r="Z3233" t="s">
        <v>13534</v>
      </c>
      <c r="AB3233" t="s">
        <v>17871</v>
      </c>
      <c r="AC3233">
        <v>6</v>
      </c>
      <c r="AD3233" t="s">
        <v>19566</v>
      </c>
      <c r="AE3233" t="s">
        <v>9144</v>
      </c>
      <c r="AF3233">
        <v>22</v>
      </c>
      <c r="AG3233">
        <v>5</v>
      </c>
      <c r="AH3233">
        <v>1</v>
      </c>
      <c r="AI3233">
        <v>109.86</v>
      </c>
      <c r="AL3233" t="s">
        <v>19614</v>
      </c>
      <c r="AM3233">
        <v>38000</v>
      </c>
      <c r="AN3233" t="s">
        <v>19932</v>
      </c>
      <c r="AS3233">
        <v>0</v>
      </c>
      <c r="AU3233" t="s">
        <v>79</v>
      </c>
      <c r="AV3233" t="s">
        <v>20733</v>
      </c>
    </row>
    <row r="3234" spans="1:48">
      <c r="A3234" s="1">
        <f>HYPERLINK("https://lsnyc.legalserver.org/matter/dynamic-profile/view/1896769","19-1896769")</f>
        <v>0</v>
      </c>
      <c r="B3234" t="s">
        <v>78</v>
      </c>
      <c r="C3234" t="s">
        <v>256</v>
      </c>
      <c r="D3234" t="s">
        <v>546</v>
      </c>
      <c r="F3234" t="s">
        <v>1725</v>
      </c>
      <c r="G3234" t="s">
        <v>4705</v>
      </c>
      <c r="H3234" t="s">
        <v>6407</v>
      </c>
      <c r="I3234" t="s">
        <v>8141</v>
      </c>
      <c r="J3234" t="s">
        <v>9059</v>
      </c>
      <c r="K3234">
        <v>11213</v>
      </c>
      <c r="L3234" t="s">
        <v>9094</v>
      </c>
      <c r="M3234" t="s">
        <v>9096</v>
      </c>
      <c r="N3234" t="s">
        <v>9144</v>
      </c>
      <c r="O3234" t="s">
        <v>11134</v>
      </c>
      <c r="P3234" t="s">
        <v>11168</v>
      </c>
      <c r="R3234" t="s">
        <v>11180</v>
      </c>
      <c r="S3234" t="s">
        <v>9094</v>
      </c>
      <c r="T3234" t="s">
        <v>11183</v>
      </c>
      <c r="V3234" t="s">
        <v>11218</v>
      </c>
      <c r="W3234">
        <v>719</v>
      </c>
      <c r="X3234" t="s">
        <v>11332</v>
      </c>
      <c r="Y3234" t="s">
        <v>11346</v>
      </c>
      <c r="Z3234" t="s">
        <v>13534</v>
      </c>
      <c r="AB3234" t="s">
        <v>17871</v>
      </c>
      <c r="AC3234">
        <v>6</v>
      </c>
      <c r="AD3234" t="s">
        <v>19566</v>
      </c>
      <c r="AE3234" t="s">
        <v>9144</v>
      </c>
      <c r="AF3234">
        <v>22</v>
      </c>
      <c r="AG3234">
        <v>5</v>
      </c>
      <c r="AH3234">
        <v>1</v>
      </c>
      <c r="AI3234">
        <v>109.86</v>
      </c>
      <c r="AL3234" t="s">
        <v>19614</v>
      </c>
      <c r="AM3234">
        <v>38000</v>
      </c>
      <c r="AN3234" t="s">
        <v>19933</v>
      </c>
      <c r="AS3234">
        <v>0</v>
      </c>
      <c r="AU3234" t="s">
        <v>79</v>
      </c>
      <c r="AV3234" t="s">
        <v>20733</v>
      </c>
    </row>
    <row r="3235" spans="1:48">
      <c r="A3235" s="1">
        <f>HYPERLINK("https://lsnyc.legalserver.org/matter/dynamic-profile/view/1896764","19-1896764")</f>
        <v>0</v>
      </c>
      <c r="B3235" t="s">
        <v>78</v>
      </c>
      <c r="C3235" t="s">
        <v>256</v>
      </c>
      <c r="D3235" t="s">
        <v>546</v>
      </c>
      <c r="F3235" t="s">
        <v>1725</v>
      </c>
      <c r="G3235" t="s">
        <v>4705</v>
      </c>
      <c r="H3235" t="s">
        <v>6407</v>
      </c>
      <c r="I3235" t="s">
        <v>8141</v>
      </c>
      <c r="J3235" t="s">
        <v>9059</v>
      </c>
      <c r="K3235">
        <v>11213</v>
      </c>
      <c r="L3235" t="s">
        <v>9094</v>
      </c>
      <c r="M3235" t="s">
        <v>9096</v>
      </c>
      <c r="N3235" t="s">
        <v>9644</v>
      </c>
      <c r="O3235" t="s">
        <v>11130</v>
      </c>
      <c r="P3235" t="s">
        <v>11165</v>
      </c>
      <c r="R3235" t="s">
        <v>11180</v>
      </c>
      <c r="S3235" t="s">
        <v>9094</v>
      </c>
      <c r="T3235" t="s">
        <v>11183</v>
      </c>
      <c r="V3235" t="s">
        <v>635</v>
      </c>
      <c r="W3235">
        <v>719</v>
      </c>
      <c r="X3235" t="s">
        <v>11332</v>
      </c>
      <c r="Y3235" t="s">
        <v>11346</v>
      </c>
      <c r="Z3235" t="s">
        <v>13534</v>
      </c>
      <c r="AB3235" t="s">
        <v>17871</v>
      </c>
      <c r="AC3235">
        <v>6</v>
      </c>
      <c r="AD3235" t="s">
        <v>19566</v>
      </c>
      <c r="AE3235" t="s">
        <v>9144</v>
      </c>
      <c r="AF3235">
        <v>22</v>
      </c>
      <c r="AG3235">
        <v>5</v>
      </c>
      <c r="AH3235">
        <v>1</v>
      </c>
      <c r="AI3235">
        <v>109.86</v>
      </c>
      <c r="AL3235" t="s">
        <v>19614</v>
      </c>
      <c r="AM3235">
        <v>38000</v>
      </c>
      <c r="AN3235" t="s">
        <v>19934</v>
      </c>
      <c r="AS3235">
        <v>1</v>
      </c>
      <c r="AT3235" t="s">
        <v>471</v>
      </c>
      <c r="AU3235" t="s">
        <v>79</v>
      </c>
      <c r="AV3235" t="s">
        <v>20733</v>
      </c>
    </row>
    <row r="3236" spans="1:48">
      <c r="A3236" s="1">
        <f>HYPERLINK("https://lsnyc.legalserver.org/matter/dynamic-profile/view/1896750","19-1896750")</f>
        <v>0</v>
      </c>
      <c r="B3236" t="s">
        <v>78</v>
      </c>
      <c r="C3236" t="s">
        <v>256</v>
      </c>
      <c r="D3236" t="s">
        <v>546</v>
      </c>
      <c r="F3236" t="s">
        <v>1725</v>
      </c>
      <c r="G3236" t="s">
        <v>4705</v>
      </c>
      <c r="H3236" t="s">
        <v>6407</v>
      </c>
      <c r="I3236" t="s">
        <v>8141</v>
      </c>
      <c r="J3236" t="s">
        <v>9059</v>
      </c>
      <c r="K3236">
        <v>11213</v>
      </c>
      <c r="L3236" t="s">
        <v>9094</v>
      </c>
      <c r="M3236" t="s">
        <v>9096</v>
      </c>
      <c r="N3236" t="s">
        <v>9121</v>
      </c>
      <c r="O3236" t="s">
        <v>11137</v>
      </c>
      <c r="P3236" t="s">
        <v>11167</v>
      </c>
      <c r="R3236" t="s">
        <v>11180</v>
      </c>
      <c r="S3236" t="s">
        <v>9094</v>
      </c>
      <c r="T3236" t="s">
        <v>11183</v>
      </c>
      <c r="V3236" t="s">
        <v>353</v>
      </c>
      <c r="W3236">
        <v>719</v>
      </c>
      <c r="X3236" t="s">
        <v>11332</v>
      </c>
      <c r="Y3236" t="s">
        <v>11346</v>
      </c>
      <c r="Z3236" t="s">
        <v>13534</v>
      </c>
      <c r="AB3236" t="s">
        <v>17871</v>
      </c>
      <c r="AC3236">
        <v>6</v>
      </c>
      <c r="AD3236" t="s">
        <v>19566</v>
      </c>
      <c r="AE3236" t="s">
        <v>9144</v>
      </c>
      <c r="AF3236">
        <v>22</v>
      </c>
      <c r="AG3236">
        <v>5</v>
      </c>
      <c r="AH3236">
        <v>1</v>
      </c>
      <c r="AI3236">
        <v>109.86</v>
      </c>
      <c r="AL3236" t="s">
        <v>19614</v>
      </c>
      <c r="AM3236">
        <v>38000</v>
      </c>
      <c r="AS3236">
        <v>0</v>
      </c>
      <c r="AU3236" t="s">
        <v>79</v>
      </c>
      <c r="AV3236" t="s">
        <v>20733</v>
      </c>
    </row>
    <row r="3237" spans="1:48">
      <c r="A3237" s="1">
        <f>HYPERLINK("https://lsnyc.legalserver.org/matter/dynamic-profile/view/1896757","19-1896757")</f>
        <v>0</v>
      </c>
      <c r="B3237" t="s">
        <v>78</v>
      </c>
      <c r="C3237" t="s">
        <v>256</v>
      </c>
      <c r="D3237" t="s">
        <v>546</v>
      </c>
      <c r="F3237" t="s">
        <v>1725</v>
      </c>
      <c r="G3237" t="s">
        <v>4705</v>
      </c>
      <c r="H3237" t="s">
        <v>6407</v>
      </c>
      <c r="I3237" t="s">
        <v>8141</v>
      </c>
      <c r="J3237" t="s">
        <v>9059</v>
      </c>
      <c r="K3237">
        <v>11213</v>
      </c>
      <c r="L3237" t="s">
        <v>9094</v>
      </c>
      <c r="M3237" t="s">
        <v>9096</v>
      </c>
      <c r="N3237" t="s">
        <v>9121</v>
      </c>
      <c r="O3237" t="s">
        <v>11137</v>
      </c>
      <c r="P3237" t="s">
        <v>11167</v>
      </c>
      <c r="R3237" t="s">
        <v>11180</v>
      </c>
      <c r="S3237" t="s">
        <v>9094</v>
      </c>
      <c r="T3237" t="s">
        <v>11183</v>
      </c>
      <c r="V3237" t="s">
        <v>278</v>
      </c>
      <c r="W3237">
        <v>719</v>
      </c>
      <c r="X3237" t="s">
        <v>11332</v>
      </c>
      <c r="Y3237" t="s">
        <v>11346</v>
      </c>
      <c r="Z3237" t="s">
        <v>13534</v>
      </c>
      <c r="AB3237" t="s">
        <v>17871</v>
      </c>
      <c r="AC3237">
        <v>6</v>
      </c>
      <c r="AD3237" t="s">
        <v>19566</v>
      </c>
      <c r="AE3237" t="s">
        <v>9144</v>
      </c>
      <c r="AF3237">
        <v>22</v>
      </c>
      <c r="AG3237">
        <v>5</v>
      </c>
      <c r="AH3237">
        <v>1</v>
      </c>
      <c r="AI3237">
        <v>109.86</v>
      </c>
      <c r="AL3237" t="s">
        <v>19614</v>
      </c>
      <c r="AM3237">
        <v>38000</v>
      </c>
      <c r="AN3237" t="s">
        <v>19933</v>
      </c>
      <c r="AS3237">
        <v>0</v>
      </c>
      <c r="AU3237" t="s">
        <v>79</v>
      </c>
      <c r="AV3237" t="s">
        <v>20733</v>
      </c>
    </row>
    <row r="3238" spans="1:48">
      <c r="A3238" s="1">
        <f>HYPERLINK("https://lsnyc.legalserver.org/matter/dynamic-profile/view/1905271","19-1905271")</f>
        <v>0</v>
      </c>
      <c r="B3238" t="s">
        <v>103</v>
      </c>
      <c r="C3238" t="s">
        <v>256</v>
      </c>
      <c r="D3238" t="s">
        <v>414</v>
      </c>
      <c r="F3238" t="s">
        <v>1735</v>
      </c>
      <c r="G3238" t="s">
        <v>3332</v>
      </c>
      <c r="H3238" t="s">
        <v>5887</v>
      </c>
      <c r="I3238" t="s">
        <v>8207</v>
      </c>
      <c r="J3238" t="s">
        <v>9065</v>
      </c>
      <c r="K3238">
        <v>10453</v>
      </c>
      <c r="L3238" t="s">
        <v>9094</v>
      </c>
      <c r="M3238" t="s">
        <v>9095</v>
      </c>
      <c r="N3238" t="s">
        <v>9239</v>
      </c>
      <c r="O3238" t="s">
        <v>11134</v>
      </c>
      <c r="P3238" t="s">
        <v>11168</v>
      </c>
      <c r="R3238" t="s">
        <v>11180</v>
      </c>
      <c r="S3238" t="s">
        <v>9094</v>
      </c>
      <c r="T3238" t="s">
        <v>11183</v>
      </c>
      <c r="V3238" t="s">
        <v>1061</v>
      </c>
      <c r="W3238">
        <v>1152.67</v>
      </c>
      <c r="X3238" t="s">
        <v>11333</v>
      </c>
      <c r="Y3238" t="s">
        <v>11346</v>
      </c>
      <c r="Z3238" t="s">
        <v>13437</v>
      </c>
      <c r="AB3238" t="s">
        <v>17774</v>
      </c>
      <c r="AC3238">
        <v>170</v>
      </c>
      <c r="AD3238" t="s">
        <v>19566</v>
      </c>
      <c r="AE3238" t="s">
        <v>11157</v>
      </c>
      <c r="AF3238">
        <v>14</v>
      </c>
      <c r="AG3238">
        <v>1</v>
      </c>
      <c r="AH3238">
        <v>0</v>
      </c>
      <c r="AI3238">
        <v>110.01</v>
      </c>
      <c r="AL3238" t="s">
        <v>19614</v>
      </c>
      <c r="AM3238">
        <v>13740</v>
      </c>
      <c r="AS3238">
        <v>0</v>
      </c>
      <c r="AU3238" t="s">
        <v>20642</v>
      </c>
      <c r="AV3238" t="s">
        <v>20733</v>
      </c>
    </row>
    <row r="3239" spans="1:48">
      <c r="A3239" s="1">
        <f>HYPERLINK("https://lsnyc.legalserver.org/matter/dynamic-profile/view/1905274","19-1905274")</f>
        <v>0</v>
      </c>
      <c r="B3239" t="s">
        <v>103</v>
      </c>
      <c r="C3239" t="s">
        <v>256</v>
      </c>
      <c r="D3239" t="s">
        <v>414</v>
      </c>
      <c r="F3239" t="s">
        <v>1735</v>
      </c>
      <c r="G3239" t="s">
        <v>3332</v>
      </c>
      <c r="H3239" t="s">
        <v>5887</v>
      </c>
      <c r="I3239" t="s">
        <v>8207</v>
      </c>
      <c r="J3239" t="s">
        <v>9065</v>
      </c>
      <c r="K3239">
        <v>10453</v>
      </c>
      <c r="L3239" t="s">
        <v>9094</v>
      </c>
      <c r="M3239" t="s">
        <v>9095</v>
      </c>
      <c r="N3239" t="s">
        <v>9240</v>
      </c>
      <c r="O3239" t="s">
        <v>11134</v>
      </c>
      <c r="P3239" t="s">
        <v>11168</v>
      </c>
      <c r="R3239" t="s">
        <v>11180</v>
      </c>
      <c r="S3239" t="s">
        <v>9094</v>
      </c>
      <c r="T3239" t="s">
        <v>11183</v>
      </c>
      <c r="V3239" t="s">
        <v>422</v>
      </c>
      <c r="W3239">
        <v>1152.67</v>
      </c>
      <c r="X3239" t="s">
        <v>11333</v>
      </c>
      <c r="Y3239" t="s">
        <v>11346</v>
      </c>
      <c r="Z3239" t="s">
        <v>13437</v>
      </c>
      <c r="AB3239" t="s">
        <v>17774</v>
      </c>
      <c r="AC3239">
        <v>170</v>
      </c>
      <c r="AD3239" t="s">
        <v>19566</v>
      </c>
      <c r="AE3239" t="s">
        <v>11157</v>
      </c>
      <c r="AF3239">
        <v>14</v>
      </c>
      <c r="AG3239">
        <v>1</v>
      </c>
      <c r="AH3239">
        <v>0</v>
      </c>
      <c r="AI3239">
        <v>110.01</v>
      </c>
      <c r="AL3239" t="s">
        <v>19614</v>
      </c>
      <c r="AM3239">
        <v>13740</v>
      </c>
      <c r="AS3239">
        <v>0</v>
      </c>
      <c r="AU3239" t="s">
        <v>20642</v>
      </c>
      <c r="AV3239" t="s">
        <v>20733</v>
      </c>
    </row>
    <row r="3240" spans="1:48">
      <c r="A3240" s="1">
        <f>HYPERLINK("https://lsnyc.legalserver.org/matter/dynamic-profile/view/1895557","19-1895557")</f>
        <v>0</v>
      </c>
      <c r="B3240" t="s">
        <v>82</v>
      </c>
      <c r="C3240" t="s">
        <v>256</v>
      </c>
      <c r="D3240" t="s">
        <v>512</v>
      </c>
      <c r="F3240" t="s">
        <v>1474</v>
      </c>
      <c r="G3240" t="s">
        <v>2996</v>
      </c>
      <c r="H3240" t="s">
        <v>7250</v>
      </c>
      <c r="I3240" t="s">
        <v>8398</v>
      </c>
      <c r="J3240" t="s">
        <v>9059</v>
      </c>
      <c r="K3240">
        <v>11203</v>
      </c>
      <c r="L3240" t="s">
        <v>9094</v>
      </c>
      <c r="M3240" t="s">
        <v>9094</v>
      </c>
      <c r="N3240" t="s">
        <v>10327</v>
      </c>
      <c r="O3240" t="s">
        <v>11128</v>
      </c>
      <c r="P3240" t="s">
        <v>11165</v>
      </c>
      <c r="R3240" t="s">
        <v>11180</v>
      </c>
      <c r="S3240" t="s">
        <v>9096</v>
      </c>
      <c r="T3240" t="s">
        <v>11183</v>
      </c>
      <c r="U3240" t="s">
        <v>11203</v>
      </c>
      <c r="V3240" t="s">
        <v>512</v>
      </c>
      <c r="W3240">
        <v>921</v>
      </c>
      <c r="X3240" t="s">
        <v>11332</v>
      </c>
      <c r="Z3240" t="s">
        <v>13535</v>
      </c>
      <c r="AB3240" t="s">
        <v>17872</v>
      </c>
      <c r="AC3240">
        <v>90</v>
      </c>
      <c r="AD3240" t="s">
        <v>19566</v>
      </c>
      <c r="AE3240" t="s">
        <v>9144</v>
      </c>
      <c r="AF3240">
        <v>7</v>
      </c>
      <c r="AG3240">
        <v>1</v>
      </c>
      <c r="AH3240">
        <v>0</v>
      </c>
      <c r="AI3240">
        <v>110.02</v>
      </c>
      <c r="AL3240" t="s">
        <v>19614</v>
      </c>
      <c r="AM3240">
        <v>13741</v>
      </c>
      <c r="AO3240" t="s">
        <v>20293</v>
      </c>
      <c r="AS3240">
        <v>122.7</v>
      </c>
      <c r="AT3240" t="s">
        <v>321</v>
      </c>
      <c r="AU3240" t="s">
        <v>67</v>
      </c>
      <c r="AV3240" t="s">
        <v>20733</v>
      </c>
    </row>
    <row r="3241" spans="1:48">
      <c r="A3241" s="1">
        <f>HYPERLINK("https://lsnyc.legalserver.org/matter/dynamic-profile/view/1909970","19-1909970")</f>
        <v>0</v>
      </c>
      <c r="B3241" t="s">
        <v>104</v>
      </c>
      <c r="C3241" t="s">
        <v>256</v>
      </c>
      <c r="D3241" t="s">
        <v>992</v>
      </c>
      <c r="F3241" t="s">
        <v>2471</v>
      </c>
      <c r="G3241" t="s">
        <v>3699</v>
      </c>
      <c r="H3241" t="s">
        <v>7251</v>
      </c>
      <c r="I3241" t="s">
        <v>8288</v>
      </c>
      <c r="J3241" t="s">
        <v>9065</v>
      </c>
      <c r="K3241">
        <v>10453</v>
      </c>
      <c r="L3241" t="s">
        <v>9094</v>
      </c>
      <c r="M3241" t="s">
        <v>9095</v>
      </c>
      <c r="N3241" t="s">
        <v>10328</v>
      </c>
      <c r="O3241" t="s">
        <v>11129</v>
      </c>
      <c r="P3241" t="s">
        <v>11164</v>
      </c>
      <c r="R3241" t="s">
        <v>11180</v>
      </c>
      <c r="S3241" t="s">
        <v>9096</v>
      </c>
      <c r="T3241" t="s">
        <v>11183</v>
      </c>
      <c r="V3241" t="s">
        <v>295</v>
      </c>
      <c r="W3241">
        <v>777.34</v>
      </c>
      <c r="X3241" t="s">
        <v>11333</v>
      </c>
      <c r="Z3241" t="s">
        <v>13536</v>
      </c>
      <c r="AB3241" t="s">
        <v>17873</v>
      </c>
      <c r="AC3241">
        <v>42</v>
      </c>
      <c r="AD3241" t="s">
        <v>19569</v>
      </c>
      <c r="AE3241" t="s">
        <v>9144</v>
      </c>
      <c r="AF3241">
        <v>37</v>
      </c>
      <c r="AG3241">
        <v>2</v>
      </c>
      <c r="AH3241">
        <v>2</v>
      </c>
      <c r="AI3241">
        <v>110.06</v>
      </c>
      <c r="AL3241" t="s">
        <v>19614</v>
      </c>
      <c r="AM3241">
        <v>28340</v>
      </c>
      <c r="AS3241">
        <v>0.9</v>
      </c>
      <c r="AT3241" t="s">
        <v>259</v>
      </c>
      <c r="AU3241" t="s">
        <v>20635</v>
      </c>
      <c r="AV3241" t="s">
        <v>20733</v>
      </c>
    </row>
    <row r="3242" spans="1:48">
      <c r="A3242" s="1">
        <f>HYPERLINK("https://lsnyc.legalserver.org/matter/dynamic-profile/view/1867107","18-1867107")</f>
        <v>0</v>
      </c>
      <c r="B3242" t="s">
        <v>78</v>
      </c>
      <c r="C3242" t="s">
        <v>256</v>
      </c>
      <c r="D3242" t="s">
        <v>272</v>
      </c>
      <c r="F3242" t="s">
        <v>1683</v>
      </c>
      <c r="G3242" t="s">
        <v>3853</v>
      </c>
      <c r="H3242" t="s">
        <v>5809</v>
      </c>
      <c r="I3242" t="s">
        <v>8360</v>
      </c>
      <c r="J3242" t="s">
        <v>9059</v>
      </c>
      <c r="K3242">
        <v>11212</v>
      </c>
      <c r="L3242" t="s">
        <v>9094</v>
      </c>
      <c r="M3242" t="s">
        <v>9095</v>
      </c>
      <c r="O3242" t="s">
        <v>11137</v>
      </c>
      <c r="P3242" t="s">
        <v>11168</v>
      </c>
      <c r="R3242" t="s">
        <v>11180</v>
      </c>
      <c r="S3242" t="s">
        <v>9094</v>
      </c>
      <c r="T3242" t="s">
        <v>11183</v>
      </c>
      <c r="V3242" t="s">
        <v>673</v>
      </c>
      <c r="W3242">
        <v>939.42</v>
      </c>
      <c r="X3242" t="s">
        <v>11332</v>
      </c>
      <c r="Y3242" t="s">
        <v>11157</v>
      </c>
      <c r="Z3242" t="s">
        <v>11531</v>
      </c>
      <c r="AB3242" t="s">
        <v>16484</v>
      </c>
      <c r="AC3242">
        <v>32</v>
      </c>
      <c r="AD3242" t="s">
        <v>19566</v>
      </c>
      <c r="AE3242" t="s">
        <v>19587</v>
      </c>
      <c r="AF3242">
        <v>19</v>
      </c>
      <c r="AG3242">
        <v>1</v>
      </c>
      <c r="AH3242">
        <v>2</v>
      </c>
      <c r="AI3242">
        <v>110.07</v>
      </c>
      <c r="AL3242" t="s">
        <v>19614</v>
      </c>
      <c r="AM3242">
        <v>22872</v>
      </c>
      <c r="AS3242">
        <v>0</v>
      </c>
      <c r="AU3242" t="s">
        <v>95</v>
      </c>
    </row>
    <row r="3243" spans="1:48">
      <c r="A3243" s="1">
        <f>HYPERLINK("https://lsnyc.legalserver.org/matter/dynamic-profile/view/1895453","19-1895453")</f>
        <v>0</v>
      </c>
      <c r="B3243" t="s">
        <v>69</v>
      </c>
      <c r="C3243" t="s">
        <v>257</v>
      </c>
      <c r="D3243" t="s">
        <v>512</v>
      </c>
      <c r="E3243" t="s">
        <v>395</v>
      </c>
      <c r="F3243" t="s">
        <v>2472</v>
      </c>
      <c r="G3243" t="s">
        <v>3370</v>
      </c>
      <c r="H3243" t="s">
        <v>7252</v>
      </c>
      <c r="I3243" t="s">
        <v>8141</v>
      </c>
      <c r="J3243" t="s">
        <v>9059</v>
      </c>
      <c r="K3243">
        <v>11208</v>
      </c>
      <c r="L3243" t="s">
        <v>9094</v>
      </c>
      <c r="M3243" t="s">
        <v>9094</v>
      </c>
      <c r="N3243" t="s">
        <v>10329</v>
      </c>
      <c r="O3243" t="s">
        <v>11139</v>
      </c>
      <c r="P3243" t="s">
        <v>11166</v>
      </c>
      <c r="Q3243" t="s">
        <v>11173</v>
      </c>
      <c r="R3243" t="s">
        <v>11180</v>
      </c>
      <c r="S3243" t="s">
        <v>9096</v>
      </c>
      <c r="T3243" t="s">
        <v>11184</v>
      </c>
      <c r="V3243" t="s">
        <v>525</v>
      </c>
      <c r="W3243">
        <v>862</v>
      </c>
      <c r="X3243" t="s">
        <v>11332</v>
      </c>
      <c r="Y3243" t="s">
        <v>11355</v>
      </c>
      <c r="Z3243" t="s">
        <v>13537</v>
      </c>
      <c r="AA3243" t="s">
        <v>15773</v>
      </c>
      <c r="AB3243" t="s">
        <v>17874</v>
      </c>
      <c r="AC3243">
        <v>6</v>
      </c>
      <c r="AF3243">
        <v>13</v>
      </c>
      <c r="AG3243">
        <v>2</v>
      </c>
      <c r="AH3243">
        <v>0</v>
      </c>
      <c r="AI3243">
        <v>110.09</v>
      </c>
      <c r="AL3243" t="s">
        <v>19615</v>
      </c>
      <c r="AM3243">
        <v>18616</v>
      </c>
      <c r="AS3243">
        <v>25.75</v>
      </c>
      <c r="AT3243" t="s">
        <v>395</v>
      </c>
      <c r="AU3243" t="s">
        <v>79</v>
      </c>
    </row>
    <row r="3244" spans="1:48">
      <c r="A3244" s="1">
        <f>HYPERLINK("https://lsnyc.legalserver.org/matter/dynamic-profile/view/1864356","18-1864356")</f>
        <v>0</v>
      </c>
      <c r="B3244" t="s">
        <v>142</v>
      </c>
      <c r="C3244" t="s">
        <v>256</v>
      </c>
      <c r="D3244" t="s">
        <v>506</v>
      </c>
      <c r="F3244" t="s">
        <v>1464</v>
      </c>
      <c r="G3244" t="s">
        <v>3646</v>
      </c>
      <c r="H3244" t="s">
        <v>6008</v>
      </c>
      <c r="I3244" t="s">
        <v>8176</v>
      </c>
      <c r="J3244" t="s">
        <v>9067</v>
      </c>
      <c r="K3244">
        <v>10035</v>
      </c>
      <c r="L3244" t="s">
        <v>9094</v>
      </c>
      <c r="M3244" t="s">
        <v>9094</v>
      </c>
      <c r="N3244" t="s">
        <v>10330</v>
      </c>
      <c r="O3244" t="s">
        <v>11129</v>
      </c>
      <c r="P3244" t="s">
        <v>11165</v>
      </c>
      <c r="R3244" t="s">
        <v>11180</v>
      </c>
      <c r="S3244" t="s">
        <v>9096</v>
      </c>
      <c r="T3244" t="s">
        <v>11183</v>
      </c>
      <c r="U3244" t="s">
        <v>11201</v>
      </c>
      <c r="V3244" t="s">
        <v>506</v>
      </c>
      <c r="W3244">
        <v>550</v>
      </c>
      <c r="X3244" t="s">
        <v>11335</v>
      </c>
      <c r="Y3244" t="s">
        <v>11157</v>
      </c>
      <c r="Z3244" t="s">
        <v>11733</v>
      </c>
      <c r="AB3244" t="s">
        <v>16199</v>
      </c>
      <c r="AC3244">
        <v>30</v>
      </c>
      <c r="AD3244" t="s">
        <v>19566</v>
      </c>
      <c r="AE3244" t="s">
        <v>9144</v>
      </c>
      <c r="AF3244">
        <v>20</v>
      </c>
      <c r="AG3244">
        <v>1</v>
      </c>
      <c r="AH3244">
        <v>2</v>
      </c>
      <c r="AI3244">
        <v>110.11</v>
      </c>
      <c r="AL3244" t="s">
        <v>19614</v>
      </c>
      <c r="AM3244">
        <v>22880</v>
      </c>
      <c r="AS3244">
        <v>44.75</v>
      </c>
      <c r="AT3244" t="s">
        <v>570</v>
      </c>
      <c r="AU3244" t="s">
        <v>20657</v>
      </c>
      <c r="AV3244" t="s">
        <v>20733</v>
      </c>
    </row>
    <row r="3245" spans="1:48">
      <c r="A3245" s="1">
        <f>HYPERLINK("https://lsnyc.legalserver.org/matter/dynamic-profile/view/0817648","16-0817648")</f>
        <v>0</v>
      </c>
      <c r="B3245" t="s">
        <v>75</v>
      </c>
      <c r="C3245" t="s">
        <v>256</v>
      </c>
      <c r="D3245" t="s">
        <v>382</v>
      </c>
      <c r="F3245" t="s">
        <v>2473</v>
      </c>
      <c r="G3245" t="s">
        <v>1206</v>
      </c>
      <c r="H3245" t="s">
        <v>7253</v>
      </c>
      <c r="I3245" t="s">
        <v>8117</v>
      </c>
      <c r="J3245" t="s">
        <v>9059</v>
      </c>
      <c r="K3245">
        <v>11213</v>
      </c>
      <c r="L3245" t="s">
        <v>9094</v>
      </c>
      <c r="M3245" t="s">
        <v>9095</v>
      </c>
      <c r="N3245" t="s">
        <v>10331</v>
      </c>
      <c r="O3245" t="s">
        <v>11130</v>
      </c>
      <c r="P3245" t="s">
        <v>11165</v>
      </c>
      <c r="R3245" t="s">
        <v>11180</v>
      </c>
      <c r="S3245" t="s">
        <v>9094</v>
      </c>
      <c r="T3245" t="s">
        <v>11183</v>
      </c>
      <c r="V3245" t="s">
        <v>382</v>
      </c>
      <c r="W3245">
        <v>1</v>
      </c>
      <c r="X3245" t="s">
        <v>11332</v>
      </c>
      <c r="Y3245" t="s">
        <v>11338</v>
      </c>
      <c r="Z3245" t="s">
        <v>13538</v>
      </c>
      <c r="AC3245">
        <v>6</v>
      </c>
      <c r="AD3245" t="s">
        <v>19566</v>
      </c>
      <c r="AF3245">
        <v>0</v>
      </c>
      <c r="AG3245">
        <v>2</v>
      </c>
      <c r="AH3245">
        <v>1</v>
      </c>
      <c r="AI3245">
        <v>110.14</v>
      </c>
      <c r="AJ3245" t="s">
        <v>805</v>
      </c>
      <c r="AL3245" t="s">
        <v>19614</v>
      </c>
      <c r="AM3245">
        <v>22204</v>
      </c>
      <c r="AN3245" t="s">
        <v>19935</v>
      </c>
      <c r="AS3245">
        <v>16.65</v>
      </c>
      <c r="AT3245" t="s">
        <v>312</v>
      </c>
      <c r="AU3245" t="s">
        <v>20636</v>
      </c>
      <c r="AV3245" t="s">
        <v>20733</v>
      </c>
    </row>
    <row r="3246" spans="1:48">
      <c r="A3246" s="1">
        <f>HYPERLINK("https://lsnyc.legalserver.org/matter/dynamic-profile/view/1906058","19-1906058")</f>
        <v>0</v>
      </c>
      <c r="B3246" t="s">
        <v>72</v>
      </c>
      <c r="C3246" t="s">
        <v>256</v>
      </c>
      <c r="D3246" t="s">
        <v>330</v>
      </c>
      <c r="F3246" t="s">
        <v>2474</v>
      </c>
      <c r="G3246" t="s">
        <v>4706</v>
      </c>
      <c r="H3246" t="s">
        <v>7254</v>
      </c>
      <c r="I3246" t="s">
        <v>8671</v>
      </c>
      <c r="J3246" t="s">
        <v>9059</v>
      </c>
      <c r="K3246">
        <v>11233</v>
      </c>
      <c r="L3246" t="s">
        <v>9094</v>
      </c>
      <c r="M3246" t="s">
        <v>9095</v>
      </c>
      <c r="N3246" t="s">
        <v>10332</v>
      </c>
      <c r="O3246" t="s">
        <v>11129</v>
      </c>
      <c r="P3246" t="s">
        <v>11165</v>
      </c>
      <c r="R3246" t="s">
        <v>11180</v>
      </c>
      <c r="S3246" t="s">
        <v>9096</v>
      </c>
      <c r="T3246" t="s">
        <v>11183</v>
      </c>
      <c r="U3246" t="s">
        <v>11202</v>
      </c>
      <c r="V3246" t="s">
        <v>493</v>
      </c>
      <c r="W3246">
        <v>1100.06</v>
      </c>
      <c r="X3246" t="s">
        <v>11332</v>
      </c>
      <c r="Y3246" t="s">
        <v>11348</v>
      </c>
      <c r="Z3246" t="s">
        <v>13297</v>
      </c>
      <c r="AA3246" t="s">
        <v>15441</v>
      </c>
      <c r="AB3246" t="s">
        <v>17875</v>
      </c>
      <c r="AC3246">
        <v>43</v>
      </c>
      <c r="AD3246" t="s">
        <v>19566</v>
      </c>
      <c r="AE3246" t="s">
        <v>9144</v>
      </c>
      <c r="AF3246">
        <v>45</v>
      </c>
      <c r="AG3246">
        <v>3</v>
      </c>
      <c r="AH3246">
        <v>0</v>
      </c>
      <c r="AI3246">
        <v>110.15</v>
      </c>
      <c r="AL3246" t="s">
        <v>19614</v>
      </c>
      <c r="AM3246">
        <v>23496</v>
      </c>
      <c r="AS3246">
        <v>26.05</v>
      </c>
      <c r="AT3246" t="s">
        <v>487</v>
      </c>
      <c r="AU3246" t="s">
        <v>95</v>
      </c>
      <c r="AV3246" t="s">
        <v>20733</v>
      </c>
    </row>
    <row r="3247" spans="1:48">
      <c r="A3247" s="1">
        <f>HYPERLINK("https://lsnyc.legalserver.org/matter/dynamic-profile/view/1907974","19-1907974")</f>
        <v>0</v>
      </c>
      <c r="B3247" t="s">
        <v>55</v>
      </c>
      <c r="C3247" t="s">
        <v>256</v>
      </c>
      <c r="D3247" t="s">
        <v>288</v>
      </c>
      <c r="F3247" t="s">
        <v>1209</v>
      </c>
      <c r="G3247" t="s">
        <v>3220</v>
      </c>
      <c r="H3247" t="s">
        <v>6954</v>
      </c>
      <c r="I3247" t="s">
        <v>8192</v>
      </c>
      <c r="J3247" t="s">
        <v>9050</v>
      </c>
      <c r="K3247">
        <v>11377</v>
      </c>
      <c r="L3247" t="s">
        <v>9094</v>
      </c>
      <c r="M3247" t="s">
        <v>9095</v>
      </c>
      <c r="N3247" t="s">
        <v>10067</v>
      </c>
      <c r="O3247" t="s">
        <v>11134</v>
      </c>
      <c r="P3247" t="s">
        <v>11168</v>
      </c>
      <c r="R3247" t="s">
        <v>11180</v>
      </c>
      <c r="S3247" t="s">
        <v>9094</v>
      </c>
      <c r="T3247" t="s">
        <v>11183</v>
      </c>
      <c r="U3247" t="s">
        <v>11201</v>
      </c>
      <c r="V3247" t="s">
        <v>288</v>
      </c>
      <c r="W3247">
        <v>1450</v>
      </c>
      <c r="X3247" t="s">
        <v>11331</v>
      </c>
      <c r="Y3247" t="s">
        <v>11346</v>
      </c>
      <c r="Z3247" t="s">
        <v>13539</v>
      </c>
      <c r="AB3247" t="s">
        <v>17876</v>
      </c>
      <c r="AC3247">
        <v>67</v>
      </c>
      <c r="AD3247" t="s">
        <v>19566</v>
      </c>
      <c r="AE3247" t="s">
        <v>9144</v>
      </c>
      <c r="AF3247">
        <v>10</v>
      </c>
      <c r="AG3247">
        <v>2</v>
      </c>
      <c r="AH3247">
        <v>1</v>
      </c>
      <c r="AI3247">
        <v>110.17</v>
      </c>
      <c r="AL3247" t="s">
        <v>19615</v>
      </c>
      <c r="AM3247">
        <v>23500</v>
      </c>
      <c r="AP3247" t="s">
        <v>11157</v>
      </c>
      <c r="AS3247">
        <v>0.3</v>
      </c>
      <c r="AT3247" t="s">
        <v>288</v>
      </c>
      <c r="AU3247" t="s">
        <v>20620</v>
      </c>
      <c r="AV3247" t="s">
        <v>20733</v>
      </c>
    </row>
    <row r="3248" spans="1:48">
      <c r="A3248" s="1">
        <f>HYPERLINK("https://lsnyc.legalserver.org/matter/dynamic-profile/view/1907976","19-1907976")</f>
        <v>0</v>
      </c>
      <c r="B3248" t="s">
        <v>55</v>
      </c>
      <c r="C3248" t="s">
        <v>256</v>
      </c>
      <c r="D3248" t="s">
        <v>288</v>
      </c>
      <c r="F3248" t="s">
        <v>1209</v>
      </c>
      <c r="G3248" t="s">
        <v>3220</v>
      </c>
      <c r="H3248" t="s">
        <v>6954</v>
      </c>
      <c r="I3248" t="s">
        <v>8192</v>
      </c>
      <c r="J3248" t="s">
        <v>9050</v>
      </c>
      <c r="K3248">
        <v>11377</v>
      </c>
      <c r="L3248" t="s">
        <v>9094</v>
      </c>
      <c r="M3248" t="s">
        <v>9095</v>
      </c>
      <c r="N3248" t="s">
        <v>10068</v>
      </c>
      <c r="O3248" t="s">
        <v>11134</v>
      </c>
      <c r="P3248" t="s">
        <v>11168</v>
      </c>
      <c r="R3248" t="s">
        <v>11180</v>
      </c>
      <c r="S3248" t="s">
        <v>9094</v>
      </c>
      <c r="T3248" t="s">
        <v>11183</v>
      </c>
      <c r="V3248" t="s">
        <v>11267</v>
      </c>
      <c r="W3248">
        <v>1450</v>
      </c>
      <c r="X3248" t="s">
        <v>11331</v>
      </c>
      <c r="Y3248" t="s">
        <v>11346</v>
      </c>
      <c r="Z3248" t="s">
        <v>13539</v>
      </c>
      <c r="AB3248" t="s">
        <v>17876</v>
      </c>
      <c r="AC3248">
        <v>66</v>
      </c>
      <c r="AD3248" t="s">
        <v>19566</v>
      </c>
      <c r="AE3248" t="s">
        <v>9144</v>
      </c>
      <c r="AF3248">
        <v>10</v>
      </c>
      <c r="AG3248">
        <v>2</v>
      </c>
      <c r="AH3248">
        <v>1</v>
      </c>
      <c r="AI3248">
        <v>110.17</v>
      </c>
      <c r="AL3248" t="s">
        <v>19615</v>
      </c>
      <c r="AM3248">
        <v>23500</v>
      </c>
      <c r="AS3248">
        <v>0.2</v>
      </c>
      <c r="AT3248" t="s">
        <v>288</v>
      </c>
      <c r="AU3248" t="s">
        <v>20620</v>
      </c>
      <c r="AV3248" t="s">
        <v>20733</v>
      </c>
    </row>
    <row r="3249" spans="1:48">
      <c r="A3249" s="1">
        <f>HYPERLINK("https://lsnyc.legalserver.org/matter/dynamic-profile/view/1835693","17-1835693")</f>
        <v>0</v>
      </c>
      <c r="B3249" t="s">
        <v>138</v>
      </c>
      <c r="C3249" t="s">
        <v>256</v>
      </c>
      <c r="D3249" t="s">
        <v>495</v>
      </c>
      <c r="F3249" t="s">
        <v>1365</v>
      </c>
      <c r="G3249" t="s">
        <v>4600</v>
      </c>
      <c r="H3249" t="s">
        <v>6647</v>
      </c>
      <c r="I3249">
        <v>24</v>
      </c>
      <c r="J3249" t="s">
        <v>9067</v>
      </c>
      <c r="K3249">
        <v>10031</v>
      </c>
      <c r="L3249" t="s">
        <v>9094</v>
      </c>
      <c r="M3249" t="s">
        <v>9095</v>
      </c>
      <c r="N3249" t="s">
        <v>10333</v>
      </c>
      <c r="O3249" t="s">
        <v>11129</v>
      </c>
      <c r="P3249" t="s">
        <v>11165</v>
      </c>
      <c r="R3249" t="s">
        <v>11180</v>
      </c>
      <c r="T3249" t="s">
        <v>11183</v>
      </c>
      <c r="V3249" t="s">
        <v>495</v>
      </c>
      <c r="W3249">
        <v>760.3099999999999</v>
      </c>
      <c r="X3249" t="s">
        <v>11335</v>
      </c>
      <c r="Y3249" t="s">
        <v>11338</v>
      </c>
      <c r="Z3249" t="s">
        <v>13514</v>
      </c>
      <c r="AB3249" t="s">
        <v>17852</v>
      </c>
      <c r="AC3249">
        <v>29</v>
      </c>
      <c r="AD3249" t="s">
        <v>19566</v>
      </c>
      <c r="AE3249" t="s">
        <v>19580</v>
      </c>
      <c r="AF3249">
        <v>40</v>
      </c>
      <c r="AG3249">
        <v>2</v>
      </c>
      <c r="AH3249">
        <v>0</v>
      </c>
      <c r="AI3249">
        <v>110.32</v>
      </c>
      <c r="AJ3249" t="s">
        <v>670</v>
      </c>
      <c r="AL3249" t="s">
        <v>19614</v>
      </c>
      <c r="AM3249">
        <v>17916</v>
      </c>
      <c r="AS3249">
        <v>99.2</v>
      </c>
      <c r="AT3249" t="s">
        <v>372</v>
      </c>
      <c r="AU3249" t="s">
        <v>20657</v>
      </c>
    </row>
    <row r="3250" spans="1:48">
      <c r="A3250" s="1">
        <f>HYPERLINK("https://lsnyc.legalserver.org/matter/dynamic-profile/view/0796336","16-0796336")</f>
        <v>0</v>
      </c>
      <c r="B3250" t="s">
        <v>152</v>
      </c>
      <c r="C3250" t="s">
        <v>256</v>
      </c>
      <c r="D3250" t="s">
        <v>1002</v>
      </c>
      <c r="F3250" t="s">
        <v>2362</v>
      </c>
      <c r="G3250" t="s">
        <v>4707</v>
      </c>
      <c r="H3250" t="s">
        <v>7255</v>
      </c>
      <c r="I3250" t="s">
        <v>8330</v>
      </c>
      <c r="J3250" t="s">
        <v>9059</v>
      </c>
      <c r="K3250">
        <v>11213</v>
      </c>
      <c r="L3250" t="s">
        <v>9094</v>
      </c>
      <c r="M3250" t="s">
        <v>9095</v>
      </c>
      <c r="N3250" t="s">
        <v>10334</v>
      </c>
      <c r="O3250" t="s">
        <v>11128</v>
      </c>
      <c r="P3250" t="s">
        <v>11165</v>
      </c>
      <c r="R3250" t="s">
        <v>11180</v>
      </c>
      <c r="T3250" t="s">
        <v>11183</v>
      </c>
      <c r="V3250" t="s">
        <v>856</v>
      </c>
      <c r="W3250">
        <v>835.42</v>
      </c>
      <c r="X3250" t="s">
        <v>11332</v>
      </c>
      <c r="Y3250" t="s">
        <v>11349</v>
      </c>
      <c r="Z3250" t="s">
        <v>13540</v>
      </c>
      <c r="AB3250" t="s">
        <v>17877</v>
      </c>
      <c r="AC3250">
        <v>24</v>
      </c>
      <c r="AD3250" t="s">
        <v>19566</v>
      </c>
      <c r="AE3250" t="s">
        <v>19587</v>
      </c>
      <c r="AF3250">
        <v>10</v>
      </c>
      <c r="AG3250">
        <v>1</v>
      </c>
      <c r="AH3250">
        <v>0</v>
      </c>
      <c r="AI3250">
        <v>110.45</v>
      </c>
      <c r="AL3250" t="s">
        <v>19614</v>
      </c>
      <c r="AM3250">
        <v>13000</v>
      </c>
      <c r="AS3250">
        <v>196</v>
      </c>
      <c r="AT3250" t="s">
        <v>594</v>
      </c>
      <c r="AU3250" t="s">
        <v>20628</v>
      </c>
      <c r="AV3250" t="s">
        <v>20733</v>
      </c>
    </row>
    <row r="3251" spans="1:48">
      <c r="A3251" s="1">
        <f>HYPERLINK("https://lsnyc.legalserver.org/matter/dynamic-profile/view/0796753","16-0796753")</f>
        <v>0</v>
      </c>
      <c r="B3251" t="s">
        <v>119</v>
      </c>
      <c r="C3251" t="s">
        <v>256</v>
      </c>
      <c r="D3251" t="s">
        <v>811</v>
      </c>
      <c r="F3251" t="s">
        <v>2452</v>
      </c>
      <c r="G3251" t="s">
        <v>4124</v>
      </c>
      <c r="H3251" t="s">
        <v>5897</v>
      </c>
      <c r="I3251" t="s">
        <v>8708</v>
      </c>
      <c r="J3251" t="s">
        <v>9065</v>
      </c>
      <c r="K3251">
        <v>10452</v>
      </c>
      <c r="L3251" t="s">
        <v>9094</v>
      </c>
      <c r="M3251" t="s">
        <v>9095</v>
      </c>
      <c r="N3251" t="s">
        <v>9250</v>
      </c>
      <c r="O3251" t="s">
        <v>11132</v>
      </c>
      <c r="P3251" t="s">
        <v>11165</v>
      </c>
      <c r="R3251" t="s">
        <v>11180</v>
      </c>
      <c r="S3251" t="s">
        <v>9094</v>
      </c>
      <c r="T3251" t="s">
        <v>11183</v>
      </c>
      <c r="V3251" t="s">
        <v>891</v>
      </c>
      <c r="W3251">
        <v>750</v>
      </c>
      <c r="X3251" t="s">
        <v>11333</v>
      </c>
      <c r="Y3251" t="s">
        <v>11347</v>
      </c>
      <c r="Z3251" t="s">
        <v>13495</v>
      </c>
      <c r="AB3251" t="s">
        <v>17838</v>
      </c>
      <c r="AC3251">
        <v>122</v>
      </c>
      <c r="AD3251" t="s">
        <v>19566</v>
      </c>
      <c r="AF3251">
        <v>6</v>
      </c>
      <c r="AG3251">
        <v>1</v>
      </c>
      <c r="AH3251">
        <v>0</v>
      </c>
      <c r="AI3251">
        <v>110.45</v>
      </c>
      <c r="AL3251" t="s">
        <v>19614</v>
      </c>
      <c r="AM3251">
        <v>13000</v>
      </c>
      <c r="AS3251">
        <v>0.1</v>
      </c>
      <c r="AT3251" t="s">
        <v>20586</v>
      </c>
      <c r="AU3251" t="s">
        <v>109</v>
      </c>
    </row>
    <row r="3252" spans="1:48">
      <c r="A3252" s="1">
        <f>HYPERLINK("https://lsnyc.legalserver.org/matter/dynamic-profile/view/1863839","18-1863839")</f>
        <v>0</v>
      </c>
      <c r="B3252" t="s">
        <v>136</v>
      </c>
      <c r="C3252" t="s">
        <v>256</v>
      </c>
      <c r="D3252" t="s">
        <v>504</v>
      </c>
      <c r="F3252" t="s">
        <v>1370</v>
      </c>
      <c r="G3252" t="s">
        <v>3533</v>
      </c>
      <c r="H3252" t="s">
        <v>5961</v>
      </c>
      <c r="I3252">
        <v>810</v>
      </c>
      <c r="J3252" t="s">
        <v>9067</v>
      </c>
      <c r="K3252">
        <v>10029</v>
      </c>
      <c r="L3252" t="s">
        <v>9094</v>
      </c>
      <c r="M3252" t="s">
        <v>9094</v>
      </c>
      <c r="N3252" t="s">
        <v>9287</v>
      </c>
      <c r="O3252" t="s">
        <v>11130</v>
      </c>
      <c r="P3252" t="s">
        <v>11165</v>
      </c>
      <c r="R3252" t="s">
        <v>11180</v>
      </c>
      <c r="S3252" t="s">
        <v>9094</v>
      </c>
      <c r="T3252" t="s">
        <v>11183</v>
      </c>
      <c r="U3252" t="s">
        <v>11201</v>
      </c>
      <c r="V3252" t="s">
        <v>651</v>
      </c>
      <c r="W3252">
        <v>0</v>
      </c>
      <c r="X3252" t="s">
        <v>11335</v>
      </c>
      <c r="Y3252" t="s">
        <v>11339</v>
      </c>
      <c r="Z3252" t="s">
        <v>13541</v>
      </c>
      <c r="AB3252" t="s">
        <v>17878</v>
      </c>
      <c r="AC3252">
        <v>108</v>
      </c>
      <c r="AD3252" t="s">
        <v>19567</v>
      </c>
      <c r="AE3252" t="s">
        <v>19580</v>
      </c>
      <c r="AF3252">
        <v>6</v>
      </c>
      <c r="AG3252">
        <v>1</v>
      </c>
      <c r="AH3252">
        <v>1</v>
      </c>
      <c r="AI3252">
        <v>110.52</v>
      </c>
      <c r="AL3252" t="s">
        <v>19614</v>
      </c>
      <c r="AM3252">
        <v>18192</v>
      </c>
      <c r="AN3252" t="s">
        <v>19697</v>
      </c>
      <c r="AS3252">
        <v>0.35</v>
      </c>
      <c r="AT3252" t="s">
        <v>293</v>
      </c>
      <c r="AU3252" t="s">
        <v>20657</v>
      </c>
    </row>
    <row r="3253" spans="1:48">
      <c r="A3253" s="1">
        <f>HYPERLINK("https://lsnyc.legalserver.org/matter/dynamic-profile/view/0821996","16-0821996")</f>
        <v>0</v>
      </c>
      <c r="B3253" t="s">
        <v>139</v>
      </c>
      <c r="C3253" t="s">
        <v>256</v>
      </c>
      <c r="D3253" t="s">
        <v>463</v>
      </c>
      <c r="F3253" t="s">
        <v>2475</v>
      </c>
      <c r="G3253" t="s">
        <v>3448</v>
      </c>
      <c r="H3253" t="s">
        <v>5959</v>
      </c>
      <c r="I3253">
        <v>43</v>
      </c>
      <c r="J3253" t="s">
        <v>9067</v>
      </c>
      <c r="K3253">
        <v>10032</v>
      </c>
      <c r="L3253" t="s">
        <v>9094</v>
      </c>
      <c r="M3253" t="s">
        <v>9095</v>
      </c>
      <c r="O3253" t="s">
        <v>9121</v>
      </c>
      <c r="P3253" t="s">
        <v>11165</v>
      </c>
      <c r="R3253" t="s">
        <v>11180</v>
      </c>
      <c r="S3253" t="s">
        <v>9094</v>
      </c>
      <c r="T3253" t="s">
        <v>11183</v>
      </c>
      <c r="V3253" t="s">
        <v>878</v>
      </c>
      <c r="W3253">
        <v>881.7</v>
      </c>
      <c r="X3253" t="s">
        <v>11335</v>
      </c>
      <c r="Y3253" t="s">
        <v>11339</v>
      </c>
      <c r="Z3253" t="s">
        <v>13542</v>
      </c>
      <c r="AB3253" t="s">
        <v>17879</v>
      </c>
      <c r="AC3253">
        <v>35</v>
      </c>
      <c r="AD3253" t="s">
        <v>19566</v>
      </c>
      <c r="AE3253" t="s">
        <v>9144</v>
      </c>
      <c r="AF3253">
        <v>25</v>
      </c>
      <c r="AG3253">
        <v>2</v>
      </c>
      <c r="AH3253">
        <v>2</v>
      </c>
      <c r="AI3253">
        <v>110.55</v>
      </c>
      <c r="AJ3253" t="s">
        <v>704</v>
      </c>
      <c r="AL3253" t="s">
        <v>19615</v>
      </c>
      <c r="AM3253">
        <v>26864</v>
      </c>
      <c r="AS3253">
        <v>1.75</v>
      </c>
      <c r="AT3253" t="s">
        <v>454</v>
      </c>
      <c r="AU3253" t="s">
        <v>20657</v>
      </c>
    </row>
    <row r="3254" spans="1:48">
      <c r="A3254" s="1">
        <f>HYPERLINK("https://lsnyc.legalserver.org/matter/dynamic-profile/view/1885393","18-1885393")</f>
        <v>0</v>
      </c>
      <c r="B3254" t="s">
        <v>71</v>
      </c>
      <c r="C3254" t="s">
        <v>257</v>
      </c>
      <c r="D3254" t="s">
        <v>848</v>
      </c>
      <c r="E3254" t="s">
        <v>457</v>
      </c>
      <c r="F3254" t="s">
        <v>2476</v>
      </c>
      <c r="G3254" t="s">
        <v>4708</v>
      </c>
      <c r="H3254" t="s">
        <v>7256</v>
      </c>
      <c r="I3254">
        <v>2</v>
      </c>
      <c r="J3254" t="s">
        <v>9059</v>
      </c>
      <c r="K3254">
        <v>11233</v>
      </c>
      <c r="L3254" t="s">
        <v>9094</v>
      </c>
      <c r="M3254" t="s">
        <v>9094</v>
      </c>
      <c r="N3254" t="s">
        <v>10335</v>
      </c>
      <c r="O3254" t="s">
        <v>11128</v>
      </c>
      <c r="P3254" t="s">
        <v>11164</v>
      </c>
      <c r="Q3254" t="s">
        <v>11172</v>
      </c>
      <c r="R3254" t="s">
        <v>11180</v>
      </c>
      <c r="S3254" t="s">
        <v>9096</v>
      </c>
      <c r="T3254" t="s">
        <v>11183</v>
      </c>
      <c r="U3254" t="s">
        <v>11201</v>
      </c>
      <c r="V3254" t="s">
        <v>635</v>
      </c>
      <c r="W3254">
        <v>0</v>
      </c>
      <c r="X3254" t="s">
        <v>11332</v>
      </c>
      <c r="Y3254" t="s">
        <v>11336</v>
      </c>
      <c r="Z3254" t="s">
        <v>13543</v>
      </c>
      <c r="AA3254" t="s">
        <v>15774</v>
      </c>
      <c r="AB3254" t="s">
        <v>17880</v>
      </c>
      <c r="AC3254">
        <v>2</v>
      </c>
      <c r="AD3254" t="s">
        <v>19565</v>
      </c>
      <c r="AE3254" t="s">
        <v>9144</v>
      </c>
      <c r="AF3254">
        <v>5</v>
      </c>
      <c r="AG3254">
        <v>1</v>
      </c>
      <c r="AH3254">
        <v>1</v>
      </c>
      <c r="AI3254">
        <v>110.57</v>
      </c>
      <c r="AM3254">
        <v>18200</v>
      </c>
      <c r="AS3254">
        <v>4.3</v>
      </c>
      <c r="AT3254" t="s">
        <v>316</v>
      </c>
      <c r="AU3254" t="s">
        <v>20625</v>
      </c>
    </row>
    <row r="3255" spans="1:48">
      <c r="A3255" s="1">
        <f>HYPERLINK("https://lsnyc.legalserver.org/matter/dynamic-profile/view/1885656","18-1885656")</f>
        <v>0</v>
      </c>
      <c r="B3255" t="s">
        <v>111</v>
      </c>
      <c r="C3255" t="s">
        <v>256</v>
      </c>
      <c r="D3255" t="s">
        <v>634</v>
      </c>
      <c r="F3255" t="s">
        <v>1780</v>
      </c>
      <c r="G3255" t="s">
        <v>4032</v>
      </c>
      <c r="H3255" t="s">
        <v>6370</v>
      </c>
      <c r="I3255" t="s">
        <v>8134</v>
      </c>
      <c r="J3255" t="s">
        <v>9065</v>
      </c>
      <c r="K3255">
        <v>10463</v>
      </c>
      <c r="L3255" t="s">
        <v>9094</v>
      </c>
      <c r="M3255" t="s">
        <v>9094</v>
      </c>
      <c r="N3255" t="s">
        <v>9673</v>
      </c>
      <c r="O3255" t="s">
        <v>11130</v>
      </c>
      <c r="P3255" t="s">
        <v>11165</v>
      </c>
      <c r="R3255" t="s">
        <v>11180</v>
      </c>
      <c r="S3255" t="s">
        <v>9094</v>
      </c>
      <c r="T3255" t="s">
        <v>11183</v>
      </c>
      <c r="V3255" t="s">
        <v>738</v>
      </c>
      <c r="W3255">
        <v>1250</v>
      </c>
      <c r="X3255" t="s">
        <v>11333</v>
      </c>
      <c r="Y3255" t="s">
        <v>11346</v>
      </c>
      <c r="Z3255" t="s">
        <v>13544</v>
      </c>
      <c r="AB3255" t="s">
        <v>17881</v>
      </c>
      <c r="AC3255">
        <v>55</v>
      </c>
      <c r="AD3255" t="s">
        <v>19566</v>
      </c>
      <c r="AE3255" t="s">
        <v>9144</v>
      </c>
      <c r="AF3255">
        <v>1</v>
      </c>
      <c r="AG3255">
        <v>1</v>
      </c>
      <c r="AH3255">
        <v>1</v>
      </c>
      <c r="AI3255">
        <v>110.57</v>
      </c>
      <c r="AL3255" t="s">
        <v>19615</v>
      </c>
      <c r="AM3255">
        <v>18200</v>
      </c>
      <c r="AS3255">
        <v>0</v>
      </c>
      <c r="AU3255" t="s">
        <v>20647</v>
      </c>
    </row>
    <row r="3256" spans="1:48">
      <c r="A3256" s="1">
        <f>HYPERLINK("https://lsnyc.legalserver.org/matter/dynamic-profile/view/1883104","18-1883104")</f>
        <v>0</v>
      </c>
      <c r="B3256" t="s">
        <v>115</v>
      </c>
      <c r="C3256" t="s">
        <v>256</v>
      </c>
      <c r="D3256" t="s">
        <v>407</v>
      </c>
      <c r="F3256" t="s">
        <v>2106</v>
      </c>
      <c r="G3256" t="s">
        <v>3548</v>
      </c>
      <c r="H3256" t="s">
        <v>7257</v>
      </c>
      <c r="I3256" t="s">
        <v>8266</v>
      </c>
      <c r="J3256" t="s">
        <v>9065</v>
      </c>
      <c r="K3256">
        <v>10455</v>
      </c>
      <c r="L3256" t="s">
        <v>9094</v>
      </c>
      <c r="M3256" t="s">
        <v>9094</v>
      </c>
      <c r="N3256" t="s">
        <v>10336</v>
      </c>
      <c r="O3256" t="s">
        <v>11129</v>
      </c>
      <c r="P3256" t="s">
        <v>11165</v>
      </c>
      <c r="R3256" t="s">
        <v>11180</v>
      </c>
      <c r="S3256" t="s">
        <v>9096</v>
      </c>
      <c r="T3256" t="s">
        <v>11183</v>
      </c>
      <c r="V3256" t="s">
        <v>407</v>
      </c>
      <c r="W3256">
        <v>1360</v>
      </c>
      <c r="X3256" t="s">
        <v>11333</v>
      </c>
      <c r="Y3256" t="s">
        <v>11157</v>
      </c>
      <c r="Z3256" t="s">
        <v>13545</v>
      </c>
      <c r="AA3256" t="s">
        <v>15775</v>
      </c>
      <c r="AC3256">
        <v>16</v>
      </c>
      <c r="AD3256" t="s">
        <v>15441</v>
      </c>
      <c r="AE3256" t="s">
        <v>9144</v>
      </c>
      <c r="AF3256">
        <v>2</v>
      </c>
      <c r="AG3256">
        <v>1</v>
      </c>
      <c r="AH3256">
        <v>1</v>
      </c>
      <c r="AI3256">
        <v>110.57</v>
      </c>
      <c r="AL3256" t="s">
        <v>19615</v>
      </c>
      <c r="AM3256">
        <v>18200</v>
      </c>
      <c r="AS3256">
        <v>25.1</v>
      </c>
      <c r="AT3256" t="s">
        <v>694</v>
      </c>
      <c r="AU3256" t="s">
        <v>163</v>
      </c>
    </row>
    <row r="3257" spans="1:48">
      <c r="A3257" s="1">
        <f>HYPERLINK("https://lsnyc.legalserver.org/matter/dynamic-profile/view/1854958","18-1854958")</f>
        <v>0</v>
      </c>
      <c r="B3257" t="s">
        <v>138</v>
      </c>
      <c r="C3257" t="s">
        <v>256</v>
      </c>
      <c r="D3257" t="s">
        <v>792</v>
      </c>
      <c r="F3257" t="s">
        <v>2477</v>
      </c>
      <c r="G3257" t="s">
        <v>3536</v>
      </c>
      <c r="H3257" t="s">
        <v>7258</v>
      </c>
      <c r="I3257" t="s">
        <v>8156</v>
      </c>
      <c r="J3257" t="s">
        <v>9067</v>
      </c>
      <c r="K3257">
        <v>10034</v>
      </c>
      <c r="L3257" t="s">
        <v>9094</v>
      </c>
      <c r="M3257" t="s">
        <v>9095</v>
      </c>
      <c r="N3257" t="s">
        <v>10337</v>
      </c>
      <c r="O3257" t="s">
        <v>11129</v>
      </c>
      <c r="P3257" t="s">
        <v>11165</v>
      </c>
      <c r="R3257" t="s">
        <v>11180</v>
      </c>
      <c r="S3257" t="s">
        <v>9096</v>
      </c>
      <c r="T3257" t="s">
        <v>11183</v>
      </c>
      <c r="V3257" t="s">
        <v>792</v>
      </c>
      <c r="W3257">
        <v>1291.19</v>
      </c>
      <c r="X3257" t="s">
        <v>11335</v>
      </c>
      <c r="Y3257" t="s">
        <v>11338</v>
      </c>
      <c r="Z3257" t="s">
        <v>13546</v>
      </c>
      <c r="AB3257" t="s">
        <v>17882</v>
      </c>
      <c r="AC3257">
        <v>89</v>
      </c>
      <c r="AD3257" t="s">
        <v>19566</v>
      </c>
      <c r="AE3257" t="s">
        <v>19587</v>
      </c>
      <c r="AF3257">
        <v>20</v>
      </c>
      <c r="AG3257">
        <v>3</v>
      </c>
      <c r="AH3257">
        <v>0</v>
      </c>
      <c r="AI3257">
        <v>110.6</v>
      </c>
      <c r="AL3257" t="s">
        <v>19615</v>
      </c>
      <c r="AM3257">
        <v>34692</v>
      </c>
      <c r="AS3257">
        <v>20.1</v>
      </c>
      <c r="AT3257" t="s">
        <v>696</v>
      </c>
      <c r="AU3257" t="s">
        <v>130</v>
      </c>
    </row>
    <row r="3258" spans="1:48">
      <c r="A3258" s="1">
        <f>HYPERLINK("https://lsnyc.legalserver.org/matter/dynamic-profile/view/1867283","18-1867283")</f>
        <v>0</v>
      </c>
      <c r="B3258" t="s">
        <v>78</v>
      </c>
      <c r="C3258" t="s">
        <v>256</v>
      </c>
      <c r="D3258" t="s">
        <v>983</v>
      </c>
      <c r="F3258" t="s">
        <v>1238</v>
      </c>
      <c r="G3258" t="s">
        <v>4709</v>
      </c>
      <c r="H3258" t="s">
        <v>5809</v>
      </c>
      <c r="I3258" t="s">
        <v>8390</v>
      </c>
      <c r="J3258" t="s">
        <v>9059</v>
      </c>
      <c r="K3258">
        <v>11212</v>
      </c>
      <c r="L3258" t="s">
        <v>9094</v>
      </c>
      <c r="M3258" t="s">
        <v>9094</v>
      </c>
      <c r="O3258" t="s">
        <v>11137</v>
      </c>
      <c r="P3258" t="s">
        <v>11166</v>
      </c>
      <c r="R3258" t="s">
        <v>11180</v>
      </c>
      <c r="S3258" t="s">
        <v>9094</v>
      </c>
      <c r="T3258" t="s">
        <v>11183</v>
      </c>
      <c r="V3258" t="s">
        <v>673</v>
      </c>
      <c r="W3258">
        <v>893.61</v>
      </c>
      <c r="X3258" t="s">
        <v>11332</v>
      </c>
      <c r="Y3258" t="s">
        <v>11157</v>
      </c>
      <c r="Z3258" t="s">
        <v>13547</v>
      </c>
      <c r="AB3258" t="s">
        <v>17883</v>
      </c>
      <c r="AC3258">
        <v>32</v>
      </c>
      <c r="AD3258" t="s">
        <v>19566</v>
      </c>
      <c r="AF3258">
        <v>8</v>
      </c>
      <c r="AG3258">
        <v>3</v>
      </c>
      <c r="AH3258">
        <v>0</v>
      </c>
      <c r="AI3258">
        <v>110.68</v>
      </c>
      <c r="AL3258" t="s">
        <v>19614</v>
      </c>
      <c r="AM3258">
        <v>23000</v>
      </c>
      <c r="AN3258" t="s">
        <v>19936</v>
      </c>
      <c r="AS3258">
        <v>0</v>
      </c>
      <c r="AU3258" t="s">
        <v>95</v>
      </c>
    </row>
    <row r="3259" spans="1:48">
      <c r="A3259" s="1">
        <f>HYPERLINK("https://lsnyc.legalserver.org/matter/dynamic-profile/view/1915456","19-1915456")</f>
        <v>0</v>
      </c>
      <c r="B3259" t="s">
        <v>134</v>
      </c>
      <c r="C3259" t="s">
        <v>256</v>
      </c>
      <c r="D3259" t="s">
        <v>594</v>
      </c>
      <c r="F3259" t="s">
        <v>2478</v>
      </c>
      <c r="G3259" t="s">
        <v>3728</v>
      </c>
      <c r="H3259" t="s">
        <v>7259</v>
      </c>
      <c r="I3259" t="s">
        <v>8216</v>
      </c>
      <c r="J3259" t="s">
        <v>9067</v>
      </c>
      <c r="K3259">
        <v>10002</v>
      </c>
      <c r="L3259" t="s">
        <v>9094</v>
      </c>
      <c r="M3259" t="s">
        <v>9095</v>
      </c>
      <c r="O3259" t="s">
        <v>11144</v>
      </c>
      <c r="P3259" t="s">
        <v>11169</v>
      </c>
      <c r="R3259" t="s">
        <v>11180</v>
      </c>
      <c r="S3259" t="s">
        <v>9096</v>
      </c>
      <c r="T3259" t="s">
        <v>11183</v>
      </c>
      <c r="V3259" t="s">
        <v>594</v>
      </c>
      <c r="W3259">
        <v>477</v>
      </c>
      <c r="X3259" t="s">
        <v>11335</v>
      </c>
      <c r="Y3259" t="s">
        <v>11339</v>
      </c>
      <c r="Z3259" t="s">
        <v>13548</v>
      </c>
      <c r="AB3259" t="s">
        <v>17884</v>
      </c>
      <c r="AC3259">
        <v>200</v>
      </c>
      <c r="AD3259" t="s">
        <v>19573</v>
      </c>
      <c r="AE3259" t="s">
        <v>9144</v>
      </c>
      <c r="AF3259">
        <v>10</v>
      </c>
      <c r="AG3259">
        <v>1</v>
      </c>
      <c r="AH3259">
        <v>1</v>
      </c>
      <c r="AI3259">
        <v>110.7</v>
      </c>
      <c r="AL3259" t="s">
        <v>19614</v>
      </c>
      <c r="AM3259">
        <v>18720</v>
      </c>
      <c r="AS3259">
        <v>0</v>
      </c>
      <c r="AU3259" t="s">
        <v>130</v>
      </c>
      <c r="AV3259" t="s">
        <v>20733</v>
      </c>
    </row>
    <row r="3260" spans="1:48">
      <c r="A3260" s="1">
        <f>HYPERLINK("https://lsnyc.legalserver.org/matter/dynamic-profile/view/1860615","18-1860615")</f>
        <v>0</v>
      </c>
      <c r="B3260" t="s">
        <v>101</v>
      </c>
      <c r="C3260" t="s">
        <v>257</v>
      </c>
      <c r="D3260" t="s">
        <v>683</v>
      </c>
      <c r="E3260" t="s">
        <v>416</v>
      </c>
      <c r="F3260" t="s">
        <v>2206</v>
      </c>
      <c r="G3260" t="s">
        <v>4710</v>
      </c>
      <c r="H3260" t="s">
        <v>6262</v>
      </c>
      <c r="I3260" t="s">
        <v>8193</v>
      </c>
      <c r="J3260" t="s">
        <v>9065</v>
      </c>
      <c r="K3260">
        <v>10452</v>
      </c>
      <c r="L3260" t="s">
        <v>9094</v>
      </c>
      <c r="M3260" t="s">
        <v>9095</v>
      </c>
      <c r="N3260" t="s">
        <v>9537</v>
      </c>
      <c r="O3260" t="s">
        <v>11130</v>
      </c>
      <c r="P3260" t="s">
        <v>11165</v>
      </c>
      <c r="Q3260" t="s">
        <v>11174</v>
      </c>
      <c r="R3260" t="s">
        <v>11180</v>
      </c>
      <c r="S3260" t="s">
        <v>9094</v>
      </c>
      <c r="T3260" t="s">
        <v>11183</v>
      </c>
      <c r="V3260" t="s">
        <v>874</v>
      </c>
      <c r="W3260">
        <v>1024.75</v>
      </c>
      <c r="X3260" t="s">
        <v>11333</v>
      </c>
      <c r="Y3260" t="s">
        <v>11346</v>
      </c>
      <c r="Z3260" t="s">
        <v>13549</v>
      </c>
      <c r="AB3260" t="s">
        <v>17885</v>
      </c>
      <c r="AC3260">
        <v>60</v>
      </c>
      <c r="AD3260" t="s">
        <v>19566</v>
      </c>
      <c r="AE3260" t="s">
        <v>9144</v>
      </c>
      <c r="AF3260">
        <v>10</v>
      </c>
      <c r="AG3260">
        <v>1</v>
      </c>
      <c r="AH3260">
        <v>0</v>
      </c>
      <c r="AI3260">
        <v>110.71</v>
      </c>
      <c r="AL3260" t="s">
        <v>19614</v>
      </c>
      <c r="AM3260">
        <v>13440</v>
      </c>
      <c r="AS3260">
        <v>0.3</v>
      </c>
      <c r="AT3260" t="s">
        <v>416</v>
      </c>
      <c r="AU3260" t="s">
        <v>20647</v>
      </c>
    </row>
    <row r="3261" spans="1:48">
      <c r="A3261" s="1">
        <f>HYPERLINK("https://lsnyc.legalserver.org/matter/dynamic-profile/view/1868634","18-1868634")</f>
        <v>0</v>
      </c>
      <c r="B3261" t="s">
        <v>101</v>
      </c>
      <c r="C3261" t="s">
        <v>257</v>
      </c>
      <c r="D3261" t="s">
        <v>456</v>
      </c>
      <c r="E3261" t="s">
        <v>275</v>
      </c>
      <c r="F3261" t="s">
        <v>2206</v>
      </c>
      <c r="G3261" t="s">
        <v>4710</v>
      </c>
      <c r="H3261" t="s">
        <v>6262</v>
      </c>
      <c r="I3261" t="s">
        <v>8193</v>
      </c>
      <c r="J3261" t="s">
        <v>9065</v>
      </c>
      <c r="K3261">
        <v>10452</v>
      </c>
      <c r="L3261" t="s">
        <v>9094</v>
      </c>
      <c r="M3261" t="s">
        <v>9094</v>
      </c>
      <c r="O3261" t="s">
        <v>9121</v>
      </c>
      <c r="P3261" t="s">
        <v>11166</v>
      </c>
      <c r="Q3261" t="s">
        <v>11178</v>
      </c>
      <c r="R3261" t="s">
        <v>11180</v>
      </c>
      <c r="S3261" t="s">
        <v>9094</v>
      </c>
      <c r="T3261" t="s">
        <v>11183</v>
      </c>
      <c r="V3261" t="s">
        <v>675</v>
      </c>
      <c r="W3261">
        <v>1024.75</v>
      </c>
      <c r="X3261" t="s">
        <v>11333</v>
      </c>
      <c r="Y3261" t="s">
        <v>11347</v>
      </c>
      <c r="Z3261" t="s">
        <v>13549</v>
      </c>
      <c r="AB3261" t="s">
        <v>17885</v>
      </c>
      <c r="AC3261">
        <v>60</v>
      </c>
      <c r="AD3261" t="s">
        <v>19566</v>
      </c>
      <c r="AE3261" t="s">
        <v>9144</v>
      </c>
      <c r="AF3261">
        <v>10</v>
      </c>
      <c r="AG3261">
        <v>1</v>
      </c>
      <c r="AH3261">
        <v>0</v>
      </c>
      <c r="AI3261">
        <v>110.71</v>
      </c>
      <c r="AL3261" t="s">
        <v>19614</v>
      </c>
      <c r="AM3261">
        <v>13440</v>
      </c>
      <c r="AS3261">
        <v>0.4</v>
      </c>
      <c r="AT3261" t="s">
        <v>275</v>
      </c>
      <c r="AU3261" t="s">
        <v>20647</v>
      </c>
    </row>
    <row r="3262" spans="1:48">
      <c r="A3262" s="1">
        <f>HYPERLINK("https://lsnyc.legalserver.org/matter/dynamic-profile/view/1877225","18-1877225")</f>
        <v>0</v>
      </c>
      <c r="B3262" t="s">
        <v>114</v>
      </c>
      <c r="C3262" t="s">
        <v>256</v>
      </c>
      <c r="D3262" t="s">
        <v>304</v>
      </c>
      <c r="F3262" t="s">
        <v>2479</v>
      </c>
      <c r="G3262" t="s">
        <v>4033</v>
      </c>
      <c r="H3262" t="s">
        <v>7260</v>
      </c>
      <c r="I3262" t="s">
        <v>8132</v>
      </c>
      <c r="J3262" t="s">
        <v>9065</v>
      </c>
      <c r="K3262">
        <v>10460</v>
      </c>
      <c r="L3262" t="s">
        <v>9094</v>
      </c>
      <c r="M3262" t="s">
        <v>9094</v>
      </c>
      <c r="N3262" t="s">
        <v>10338</v>
      </c>
      <c r="O3262" t="s">
        <v>11129</v>
      </c>
      <c r="P3262" t="s">
        <v>11165</v>
      </c>
      <c r="R3262" t="s">
        <v>11180</v>
      </c>
      <c r="S3262" t="s">
        <v>9096</v>
      </c>
      <c r="T3262" t="s">
        <v>11183</v>
      </c>
      <c r="V3262" t="s">
        <v>509</v>
      </c>
      <c r="W3262">
        <v>1025</v>
      </c>
      <c r="X3262" t="s">
        <v>11333</v>
      </c>
      <c r="Z3262" t="s">
        <v>13550</v>
      </c>
      <c r="AB3262" t="s">
        <v>17886</v>
      </c>
      <c r="AC3262">
        <v>10</v>
      </c>
      <c r="AD3262" t="s">
        <v>19566</v>
      </c>
      <c r="AE3262" t="s">
        <v>19587</v>
      </c>
      <c r="AF3262">
        <v>0</v>
      </c>
      <c r="AG3262">
        <v>2</v>
      </c>
      <c r="AH3262">
        <v>0</v>
      </c>
      <c r="AI3262">
        <v>110.74</v>
      </c>
      <c r="AL3262" t="s">
        <v>19614</v>
      </c>
      <c r="AM3262">
        <v>18228</v>
      </c>
      <c r="AN3262" t="s">
        <v>19696</v>
      </c>
      <c r="AS3262">
        <v>15.5</v>
      </c>
      <c r="AT3262" t="s">
        <v>750</v>
      </c>
      <c r="AU3262" t="s">
        <v>20642</v>
      </c>
    </row>
    <row r="3263" spans="1:48">
      <c r="A3263" s="1">
        <f>HYPERLINK("https://lsnyc.legalserver.org/matter/dynamic-profile/view/1838091","17-1838091")</f>
        <v>0</v>
      </c>
      <c r="B3263" t="s">
        <v>58</v>
      </c>
      <c r="C3263" t="s">
        <v>256</v>
      </c>
      <c r="D3263" t="s">
        <v>277</v>
      </c>
      <c r="F3263" t="s">
        <v>2480</v>
      </c>
      <c r="G3263" t="s">
        <v>4711</v>
      </c>
      <c r="H3263" t="s">
        <v>5706</v>
      </c>
      <c r="I3263" t="s">
        <v>8191</v>
      </c>
      <c r="J3263" t="s">
        <v>9039</v>
      </c>
      <c r="K3263">
        <v>11432</v>
      </c>
      <c r="L3263" t="s">
        <v>9094</v>
      </c>
      <c r="M3263" t="s">
        <v>9095</v>
      </c>
      <c r="N3263" t="s">
        <v>9112</v>
      </c>
      <c r="O3263" t="s">
        <v>11132</v>
      </c>
      <c r="P3263" t="s">
        <v>11165</v>
      </c>
      <c r="R3263" t="s">
        <v>11180</v>
      </c>
      <c r="S3263" t="s">
        <v>9094</v>
      </c>
      <c r="T3263" t="s">
        <v>11183</v>
      </c>
      <c r="V3263" t="s">
        <v>878</v>
      </c>
      <c r="W3263">
        <v>1300</v>
      </c>
      <c r="X3263" t="s">
        <v>11331</v>
      </c>
      <c r="Y3263" t="s">
        <v>11340</v>
      </c>
      <c r="Z3263" t="s">
        <v>12443</v>
      </c>
      <c r="AA3263" t="s">
        <v>9675</v>
      </c>
      <c r="AB3263" t="s">
        <v>17887</v>
      </c>
      <c r="AC3263">
        <v>190</v>
      </c>
      <c r="AD3263" t="s">
        <v>19566</v>
      </c>
      <c r="AE3263" t="s">
        <v>9144</v>
      </c>
      <c r="AF3263">
        <v>4</v>
      </c>
      <c r="AG3263">
        <v>2</v>
      </c>
      <c r="AH3263">
        <v>0</v>
      </c>
      <c r="AI3263">
        <v>110.84</v>
      </c>
      <c r="AJ3263" t="s">
        <v>19592</v>
      </c>
      <c r="AL3263" t="s">
        <v>19616</v>
      </c>
      <c r="AM3263">
        <v>18000</v>
      </c>
      <c r="AS3263">
        <v>7.4</v>
      </c>
      <c r="AT3263" t="s">
        <v>260</v>
      </c>
      <c r="AU3263" t="s">
        <v>20621</v>
      </c>
    </row>
    <row r="3264" spans="1:48">
      <c r="A3264" s="1">
        <f>HYPERLINK("https://lsnyc.legalserver.org/matter/dynamic-profile/view/1904599","19-1904599")</f>
        <v>0</v>
      </c>
      <c r="B3264" t="s">
        <v>137</v>
      </c>
      <c r="C3264" t="s">
        <v>256</v>
      </c>
      <c r="D3264" t="s">
        <v>615</v>
      </c>
      <c r="F3264" t="s">
        <v>1318</v>
      </c>
      <c r="G3264" t="s">
        <v>4712</v>
      </c>
      <c r="H3264" t="s">
        <v>5950</v>
      </c>
      <c r="I3264">
        <v>1</v>
      </c>
      <c r="J3264" t="s">
        <v>9067</v>
      </c>
      <c r="K3264">
        <v>10034</v>
      </c>
      <c r="L3264" t="s">
        <v>9094</v>
      </c>
      <c r="M3264" t="s">
        <v>9095</v>
      </c>
      <c r="P3264" t="s">
        <v>11169</v>
      </c>
      <c r="R3264" t="s">
        <v>11180</v>
      </c>
      <c r="S3264" t="s">
        <v>9094</v>
      </c>
      <c r="T3264" t="s">
        <v>11183</v>
      </c>
      <c r="V3264" t="s">
        <v>615</v>
      </c>
      <c r="W3264">
        <v>868.24</v>
      </c>
      <c r="X3264" t="s">
        <v>11335</v>
      </c>
      <c r="Y3264" t="s">
        <v>11338</v>
      </c>
      <c r="Z3264" t="s">
        <v>13551</v>
      </c>
      <c r="AB3264" t="s">
        <v>17888</v>
      </c>
      <c r="AC3264">
        <v>25</v>
      </c>
      <c r="AD3264" t="s">
        <v>19566</v>
      </c>
      <c r="AF3264">
        <v>34</v>
      </c>
      <c r="AG3264">
        <v>2</v>
      </c>
      <c r="AH3264">
        <v>0</v>
      </c>
      <c r="AI3264">
        <v>110.85</v>
      </c>
      <c r="AL3264" t="s">
        <v>19614</v>
      </c>
      <c r="AM3264">
        <v>18744</v>
      </c>
      <c r="AS3264">
        <v>0.6</v>
      </c>
      <c r="AT3264" t="s">
        <v>615</v>
      </c>
      <c r="AU3264" t="s">
        <v>130</v>
      </c>
      <c r="AV3264" t="s">
        <v>20733</v>
      </c>
    </row>
    <row r="3265" spans="1:48">
      <c r="A3265" s="1">
        <f>HYPERLINK("https://lsnyc.legalserver.org/matter/dynamic-profile/view/1859703","18-1859703")</f>
        <v>0</v>
      </c>
      <c r="B3265" t="s">
        <v>120</v>
      </c>
      <c r="C3265" t="s">
        <v>256</v>
      </c>
      <c r="D3265" t="s">
        <v>412</v>
      </c>
      <c r="F3265" t="s">
        <v>2481</v>
      </c>
      <c r="G3265" t="s">
        <v>3977</v>
      </c>
      <c r="H3265" t="s">
        <v>6356</v>
      </c>
      <c r="I3265">
        <v>517</v>
      </c>
      <c r="J3265" t="s">
        <v>9065</v>
      </c>
      <c r="K3265">
        <v>10453</v>
      </c>
      <c r="L3265" t="s">
        <v>9094</v>
      </c>
      <c r="M3265" t="s">
        <v>9095</v>
      </c>
      <c r="O3265" t="s">
        <v>11135</v>
      </c>
      <c r="P3265" t="s">
        <v>11168</v>
      </c>
      <c r="R3265" t="s">
        <v>11180</v>
      </c>
      <c r="S3265" t="s">
        <v>9094</v>
      </c>
      <c r="T3265" t="s">
        <v>11183</v>
      </c>
      <c r="V3265" t="s">
        <v>836</v>
      </c>
      <c r="W3265">
        <v>1017.67</v>
      </c>
      <c r="X3265" t="s">
        <v>11333</v>
      </c>
      <c r="Y3265" t="s">
        <v>11339</v>
      </c>
      <c r="Z3265" t="s">
        <v>13552</v>
      </c>
      <c r="AB3265" t="s">
        <v>17889</v>
      </c>
      <c r="AC3265">
        <v>146</v>
      </c>
      <c r="AD3265" t="s">
        <v>19566</v>
      </c>
      <c r="AE3265" t="s">
        <v>9144</v>
      </c>
      <c r="AF3265">
        <v>10</v>
      </c>
      <c r="AG3265">
        <v>1</v>
      </c>
      <c r="AH3265">
        <v>0</v>
      </c>
      <c r="AI3265">
        <v>110.95</v>
      </c>
      <c r="AL3265" t="s">
        <v>19615</v>
      </c>
      <c r="AM3265">
        <v>13380</v>
      </c>
      <c r="AS3265">
        <v>0.1</v>
      </c>
      <c r="AT3265" t="s">
        <v>683</v>
      </c>
      <c r="AU3265" t="s">
        <v>20647</v>
      </c>
    </row>
    <row r="3266" spans="1:48">
      <c r="A3266" s="1">
        <f>HYPERLINK("https://lsnyc.legalserver.org/matter/dynamic-profile/view/0831319","17-0831319")</f>
        <v>0</v>
      </c>
      <c r="B3266" t="s">
        <v>90</v>
      </c>
      <c r="C3266" t="s">
        <v>256</v>
      </c>
      <c r="D3266" t="s">
        <v>1003</v>
      </c>
      <c r="F3266" t="s">
        <v>1295</v>
      </c>
      <c r="G3266" t="s">
        <v>1461</v>
      </c>
      <c r="H3266" t="s">
        <v>6408</v>
      </c>
      <c r="I3266" t="s">
        <v>8218</v>
      </c>
      <c r="J3266" t="s">
        <v>9059</v>
      </c>
      <c r="K3266">
        <v>11212</v>
      </c>
      <c r="L3266" t="s">
        <v>9094</v>
      </c>
      <c r="M3266" t="s">
        <v>9095</v>
      </c>
      <c r="N3266" t="s">
        <v>9646</v>
      </c>
      <c r="O3266" t="s">
        <v>11132</v>
      </c>
      <c r="P3266" t="s">
        <v>11165</v>
      </c>
      <c r="R3266" t="s">
        <v>11180</v>
      </c>
      <c r="S3266" t="s">
        <v>9094</v>
      </c>
      <c r="T3266" t="s">
        <v>11183</v>
      </c>
      <c r="U3266" t="s">
        <v>11201</v>
      </c>
      <c r="V3266" t="s">
        <v>11231</v>
      </c>
      <c r="W3266">
        <v>1400</v>
      </c>
      <c r="X3266" t="s">
        <v>11332</v>
      </c>
      <c r="Y3266" t="s">
        <v>11341</v>
      </c>
      <c r="Z3266" t="s">
        <v>13553</v>
      </c>
      <c r="AB3266" t="s">
        <v>17890</v>
      </c>
      <c r="AC3266">
        <v>4</v>
      </c>
      <c r="AD3266" t="s">
        <v>15441</v>
      </c>
      <c r="AE3266" t="s">
        <v>9144</v>
      </c>
      <c r="AF3266">
        <v>4</v>
      </c>
      <c r="AG3266">
        <v>3</v>
      </c>
      <c r="AH3266">
        <v>0</v>
      </c>
      <c r="AI3266">
        <v>111.01</v>
      </c>
      <c r="AL3266" t="s">
        <v>19614</v>
      </c>
      <c r="AM3266">
        <v>22668</v>
      </c>
      <c r="AS3266">
        <v>212.65</v>
      </c>
      <c r="AT3266" t="s">
        <v>395</v>
      </c>
      <c r="AU3266" t="s">
        <v>20636</v>
      </c>
      <c r="AV3266" t="s">
        <v>20733</v>
      </c>
    </row>
    <row r="3267" spans="1:48">
      <c r="A3267" s="1">
        <f>HYPERLINK("https://lsnyc.legalserver.org/matter/dynamic-profile/view/1904281","19-1904281")</f>
        <v>0</v>
      </c>
      <c r="B3267" t="s">
        <v>102</v>
      </c>
      <c r="C3267" t="s">
        <v>256</v>
      </c>
      <c r="D3267" t="s">
        <v>265</v>
      </c>
      <c r="F3267" t="s">
        <v>1173</v>
      </c>
      <c r="G3267" t="s">
        <v>3611</v>
      </c>
      <c r="H3267" t="s">
        <v>7261</v>
      </c>
      <c r="I3267" t="s">
        <v>8218</v>
      </c>
      <c r="J3267" t="s">
        <v>9059</v>
      </c>
      <c r="K3267">
        <v>11212</v>
      </c>
      <c r="L3267" t="s">
        <v>9094</v>
      </c>
      <c r="M3267" t="s">
        <v>9095</v>
      </c>
      <c r="N3267" t="s">
        <v>10339</v>
      </c>
      <c r="O3267" t="s">
        <v>11128</v>
      </c>
      <c r="P3267" t="s">
        <v>11167</v>
      </c>
      <c r="R3267" t="s">
        <v>11180</v>
      </c>
      <c r="S3267" t="s">
        <v>9096</v>
      </c>
      <c r="T3267" t="s">
        <v>11183</v>
      </c>
      <c r="U3267" t="s">
        <v>11201</v>
      </c>
      <c r="V3267" t="s">
        <v>426</v>
      </c>
      <c r="W3267">
        <v>1800</v>
      </c>
      <c r="X3267" t="s">
        <v>11332</v>
      </c>
      <c r="Y3267" t="s">
        <v>11352</v>
      </c>
      <c r="Z3267" t="s">
        <v>13554</v>
      </c>
      <c r="AA3267" t="s">
        <v>15776</v>
      </c>
      <c r="AB3267" t="s">
        <v>17891</v>
      </c>
      <c r="AC3267">
        <v>4</v>
      </c>
      <c r="AD3267" t="s">
        <v>19565</v>
      </c>
      <c r="AE3267" t="s">
        <v>19585</v>
      </c>
      <c r="AF3267">
        <v>4</v>
      </c>
      <c r="AG3267">
        <v>4</v>
      </c>
      <c r="AH3267">
        <v>0</v>
      </c>
      <c r="AI3267">
        <v>111.01</v>
      </c>
      <c r="AL3267" t="s">
        <v>19614</v>
      </c>
      <c r="AM3267">
        <v>28584</v>
      </c>
      <c r="AS3267">
        <v>1</v>
      </c>
      <c r="AT3267" t="s">
        <v>265</v>
      </c>
      <c r="AU3267" t="s">
        <v>20627</v>
      </c>
      <c r="AV3267" t="s">
        <v>20734</v>
      </c>
    </row>
    <row r="3268" spans="1:48">
      <c r="A3268" s="1">
        <f>HYPERLINK("https://lsnyc.legalserver.org/matter/dynamic-profile/view/1901697","19-1901697")</f>
        <v>0</v>
      </c>
      <c r="B3268" t="s">
        <v>126</v>
      </c>
      <c r="C3268" t="s">
        <v>256</v>
      </c>
      <c r="D3268" t="s">
        <v>298</v>
      </c>
      <c r="F3268" t="s">
        <v>1395</v>
      </c>
      <c r="G3268" t="s">
        <v>4713</v>
      </c>
      <c r="H3268" t="s">
        <v>7262</v>
      </c>
      <c r="I3268" t="s">
        <v>8107</v>
      </c>
      <c r="J3268" t="s">
        <v>9066</v>
      </c>
      <c r="K3268">
        <v>10305</v>
      </c>
      <c r="L3268" t="s">
        <v>9094</v>
      </c>
      <c r="M3268" t="s">
        <v>9095</v>
      </c>
      <c r="N3268" t="s">
        <v>10340</v>
      </c>
      <c r="O3268" t="s">
        <v>11128</v>
      </c>
      <c r="P3268" t="s">
        <v>11169</v>
      </c>
      <c r="R3268" t="s">
        <v>11181</v>
      </c>
      <c r="S3268" t="s">
        <v>9096</v>
      </c>
      <c r="T3268" t="s">
        <v>11183</v>
      </c>
      <c r="U3268" t="s">
        <v>11201</v>
      </c>
      <c r="V3268" t="s">
        <v>988</v>
      </c>
      <c r="W3268">
        <v>1700</v>
      </c>
      <c r="X3268" t="s">
        <v>11334</v>
      </c>
      <c r="Y3268" t="s">
        <v>11337</v>
      </c>
      <c r="Z3268" t="s">
        <v>13555</v>
      </c>
      <c r="AB3268" t="s">
        <v>17892</v>
      </c>
      <c r="AC3268">
        <v>2</v>
      </c>
      <c r="AD3268" t="s">
        <v>19565</v>
      </c>
      <c r="AE3268" t="s">
        <v>9144</v>
      </c>
      <c r="AF3268">
        <v>5</v>
      </c>
      <c r="AG3268">
        <v>1</v>
      </c>
      <c r="AH3268">
        <v>3</v>
      </c>
      <c r="AI3268">
        <v>111.07</v>
      </c>
      <c r="AJ3268" t="s">
        <v>19591</v>
      </c>
      <c r="AK3268" t="s">
        <v>19608</v>
      </c>
      <c r="AL3268" t="s">
        <v>19614</v>
      </c>
      <c r="AM3268">
        <v>28600</v>
      </c>
      <c r="AS3268">
        <v>34.95</v>
      </c>
      <c r="AT3268" t="s">
        <v>487</v>
      </c>
      <c r="AU3268" t="s">
        <v>126</v>
      </c>
      <c r="AV3268" t="s">
        <v>20733</v>
      </c>
    </row>
    <row r="3269" spans="1:48">
      <c r="A3269" s="1">
        <f>HYPERLINK("https://lsnyc.legalserver.org/matter/dynamic-profile/view/1906890","19-1906890")</f>
        <v>0</v>
      </c>
      <c r="B3269" t="s">
        <v>127</v>
      </c>
      <c r="C3269" t="s">
        <v>256</v>
      </c>
      <c r="D3269" t="s">
        <v>333</v>
      </c>
      <c r="F3269" t="s">
        <v>1426</v>
      </c>
      <c r="G3269" t="s">
        <v>4714</v>
      </c>
      <c r="H3269" t="s">
        <v>6769</v>
      </c>
      <c r="I3269" t="s">
        <v>8312</v>
      </c>
      <c r="J3269" t="s">
        <v>9066</v>
      </c>
      <c r="K3269">
        <v>10304</v>
      </c>
      <c r="L3269" t="s">
        <v>9095</v>
      </c>
      <c r="M3269" t="s">
        <v>9095</v>
      </c>
      <c r="R3269" t="s">
        <v>11180</v>
      </c>
      <c r="T3269" t="s">
        <v>11183</v>
      </c>
      <c r="W3269">
        <v>0</v>
      </c>
      <c r="X3269" t="s">
        <v>11334</v>
      </c>
      <c r="Z3269" t="s">
        <v>13556</v>
      </c>
      <c r="AB3269" t="s">
        <v>17893</v>
      </c>
      <c r="AC3269">
        <v>0</v>
      </c>
      <c r="AF3269">
        <v>0</v>
      </c>
      <c r="AG3269">
        <v>1</v>
      </c>
      <c r="AH3269">
        <v>3</v>
      </c>
      <c r="AI3269">
        <v>111.07</v>
      </c>
      <c r="AL3269" t="s">
        <v>19614</v>
      </c>
      <c r="AM3269">
        <v>28600</v>
      </c>
      <c r="AS3269">
        <v>13.4</v>
      </c>
      <c r="AT3269" t="s">
        <v>728</v>
      </c>
      <c r="AU3269" t="s">
        <v>20652</v>
      </c>
    </row>
    <row r="3270" spans="1:48">
      <c r="A3270" s="1">
        <f>HYPERLINK("https://lsnyc.legalserver.org/matter/dynamic-profile/view/1892749","19-1892749")</f>
        <v>0</v>
      </c>
      <c r="B3270" t="s">
        <v>131</v>
      </c>
      <c r="C3270" t="s">
        <v>256</v>
      </c>
      <c r="D3270" t="s">
        <v>553</v>
      </c>
      <c r="F3270" t="s">
        <v>1937</v>
      </c>
      <c r="G3270" t="s">
        <v>4715</v>
      </c>
      <c r="H3270" t="s">
        <v>7263</v>
      </c>
      <c r="I3270">
        <v>6</v>
      </c>
      <c r="J3270" t="s">
        <v>9067</v>
      </c>
      <c r="K3270">
        <v>10031</v>
      </c>
      <c r="L3270" t="s">
        <v>9095</v>
      </c>
      <c r="M3270" t="s">
        <v>9095</v>
      </c>
      <c r="P3270" t="s">
        <v>11165</v>
      </c>
      <c r="R3270" t="s">
        <v>11180</v>
      </c>
      <c r="S3270" t="s">
        <v>9094</v>
      </c>
      <c r="T3270" t="s">
        <v>11183</v>
      </c>
      <c r="U3270" t="s">
        <v>11201</v>
      </c>
      <c r="W3270">
        <v>1400</v>
      </c>
      <c r="X3270" t="s">
        <v>11335</v>
      </c>
      <c r="Z3270" t="s">
        <v>13557</v>
      </c>
      <c r="AB3270" t="s">
        <v>17894</v>
      </c>
      <c r="AC3270">
        <v>0</v>
      </c>
      <c r="AE3270" t="s">
        <v>19580</v>
      </c>
      <c r="AF3270">
        <v>15</v>
      </c>
      <c r="AG3270">
        <v>3</v>
      </c>
      <c r="AH3270">
        <v>2</v>
      </c>
      <c r="AI3270">
        <v>111.13</v>
      </c>
      <c r="AM3270">
        <v>33528</v>
      </c>
      <c r="AS3270">
        <v>3.3</v>
      </c>
      <c r="AT3270" t="s">
        <v>318</v>
      </c>
      <c r="AU3270" t="s">
        <v>20706</v>
      </c>
    </row>
    <row r="3271" spans="1:48">
      <c r="A3271" s="1">
        <f>HYPERLINK("https://lsnyc.legalserver.org/matter/dynamic-profile/view/1846266","17-1846266")</f>
        <v>0</v>
      </c>
      <c r="B3271" t="s">
        <v>208</v>
      </c>
      <c r="C3271" t="s">
        <v>256</v>
      </c>
      <c r="D3271" t="s">
        <v>1004</v>
      </c>
      <c r="F3271" t="s">
        <v>2315</v>
      </c>
      <c r="G3271" t="s">
        <v>1948</v>
      </c>
      <c r="H3271" t="s">
        <v>7064</v>
      </c>
      <c r="I3271">
        <v>7</v>
      </c>
      <c r="J3271" t="s">
        <v>9063</v>
      </c>
      <c r="K3271">
        <v>11101</v>
      </c>
      <c r="L3271" t="s">
        <v>9094</v>
      </c>
      <c r="M3271" t="s">
        <v>9095</v>
      </c>
      <c r="N3271" t="s">
        <v>10341</v>
      </c>
      <c r="O3271" t="s">
        <v>11128</v>
      </c>
      <c r="P3271" t="s">
        <v>11165</v>
      </c>
      <c r="R3271" t="s">
        <v>11180</v>
      </c>
      <c r="S3271" t="s">
        <v>9096</v>
      </c>
      <c r="T3271" t="s">
        <v>11183</v>
      </c>
      <c r="V3271" t="s">
        <v>1004</v>
      </c>
      <c r="W3271">
        <v>1694.41</v>
      </c>
      <c r="X3271" t="s">
        <v>11331</v>
      </c>
      <c r="Y3271" t="s">
        <v>11340</v>
      </c>
      <c r="Z3271" t="s">
        <v>13218</v>
      </c>
      <c r="AA3271" t="s">
        <v>9171</v>
      </c>
      <c r="AB3271" t="s">
        <v>17574</v>
      </c>
      <c r="AC3271">
        <v>14</v>
      </c>
      <c r="AD3271" t="s">
        <v>19566</v>
      </c>
      <c r="AE3271" t="s">
        <v>9144</v>
      </c>
      <c r="AF3271">
        <v>22</v>
      </c>
      <c r="AG3271">
        <v>3</v>
      </c>
      <c r="AH3271">
        <v>2</v>
      </c>
      <c r="AI3271">
        <v>111.19</v>
      </c>
      <c r="AL3271" t="s">
        <v>19616</v>
      </c>
      <c r="AM3271">
        <v>48800</v>
      </c>
      <c r="AS3271">
        <v>57.54</v>
      </c>
      <c r="AT3271" t="s">
        <v>615</v>
      </c>
      <c r="AU3271" t="s">
        <v>53</v>
      </c>
    </row>
    <row r="3272" spans="1:48">
      <c r="A3272" s="1">
        <f>HYPERLINK("https://lsnyc.legalserver.org/matter/dynamic-profile/view/1883424","18-1883424")</f>
        <v>0</v>
      </c>
      <c r="B3272" t="s">
        <v>98</v>
      </c>
      <c r="C3272" t="s">
        <v>257</v>
      </c>
      <c r="D3272" t="s">
        <v>583</v>
      </c>
      <c r="E3272" t="s">
        <v>574</v>
      </c>
      <c r="F3272" t="s">
        <v>1146</v>
      </c>
      <c r="G3272" t="s">
        <v>3924</v>
      </c>
      <c r="H3272" t="s">
        <v>6081</v>
      </c>
      <c r="I3272" t="s">
        <v>8164</v>
      </c>
      <c r="J3272" t="s">
        <v>9065</v>
      </c>
      <c r="K3272">
        <v>10452</v>
      </c>
      <c r="L3272" t="s">
        <v>9094</v>
      </c>
      <c r="M3272" t="s">
        <v>9094</v>
      </c>
      <c r="N3272" t="s">
        <v>9397</v>
      </c>
      <c r="O3272" t="s">
        <v>11130</v>
      </c>
      <c r="P3272" t="s">
        <v>11165</v>
      </c>
      <c r="Q3272" t="s">
        <v>11174</v>
      </c>
      <c r="R3272" t="s">
        <v>11180</v>
      </c>
      <c r="S3272" t="s">
        <v>9094</v>
      </c>
      <c r="T3272" t="s">
        <v>11183</v>
      </c>
      <c r="V3272" t="s">
        <v>738</v>
      </c>
      <c r="W3272">
        <v>1481</v>
      </c>
      <c r="X3272" t="s">
        <v>11333</v>
      </c>
      <c r="Y3272" t="s">
        <v>11339</v>
      </c>
      <c r="Z3272" t="s">
        <v>13506</v>
      </c>
      <c r="AB3272" t="s">
        <v>17844</v>
      </c>
      <c r="AC3272">
        <v>41</v>
      </c>
      <c r="AD3272" t="s">
        <v>15441</v>
      </c>
      <c r="AE3272" t="s">
        <v>9144</v>
      </c>
      <c r="AF3272">
        <v>10</v>
      </c>
      <c r="AG3272">
        <v>1</v>
      </c>
      <c r="AH3272">
        <v>0</v>
      </c>
      <c r="AI3272">
        <v>111.3</v>
      </c>
      <c r="AL3272" t="s">
        <v>19614</v>
      </c>
      <c r="AM3272">
        <v>13512</v>
      </c>
      <c r="AS3272">
        <v>0.65</v>
      </c>
      <c r="AT3272" t="s">
        <v>335</v>
      </c>
      <c r="AU3272" t="s">
        <v>20642</v>
      </c>
    </row>
    <row r="3273" spans="1:48">
      <c r="A3273" s="1">
        <f>HYPERLINK("https://lsnyc.legalserver.org/matter/dynamic-profile/view/0803193","16-0803193")</f>
        <v>0</v>
      </c>
      <c r="B3273" t="s">
        <v>111</v>
      </c>
      <c r="C3273" t="s">
        <v>256</v>
      </c>
      <c r="D3273" t="s">
        <v>1005</v>
      </c>
      <c r="F3273" t="s">
        <v>2482</v>
      </c>
      <c r="G3273" t="s">
        <v>3220</v>
      </c>
      <c r="H3273" t="s">
        <v>6895</v>
      </c>
      <c r="I3273" t="s">
        <v>8181</v>
      </c>
      <c r="J3273" t="s">
        <v>9065</v>
      </c>
      <c r="K3273">
        <v>10452</v>
      </c>
      <c r="L3273" t="s">
        <v>9094</v>
      </c>
      <c r="M3273" t="s">
        <v>9095</v>
      </c>
      <c r="O3273" t="s">
        <v>11147</v>
      </c>
      <c r="P3273" t="s">
        <v>11165</v>
      </c>
      <c r="R3273" t="s">
        <v>11180</v>
      </c>
      <c r="S3273" t="s">
        <v>9094</v>
      </c>
      <c r="T3273" t="s">
        <v>11183</v>
      </c>
      <c r="V3273" t="s">
        <v>1005</v>
      </c>
      <c r="W3273">
        <v>924.48</v>
      </c>
      <c r="X3273" t="s">
        <v>11333</v>
      </c>
      <c r="Y3273" t="s">
        <v>11346</v>
      </c>
      <c r="Z3273" t="s">
        <v>13558</v>
      </c>
      <c r="AB3273" t="s">
        <v>17895</v>
      </c>
      <c r="AC3273">
        <v>0</v>
      </c>
      <c r="AD3273" t="s">
        <v>19566</v>
      </c>
      <c r="AF3273">
        <v>27</v>
      </c>
      <c r="AG3273">
        <v>2</v>
      </c>
      <c r="AH3273">
        <v>0</v>
      </c>
      <c r="AI3273">
        <v>111.34</v>
      </c>
      <c r="AL3273" t="s">
        <v>19615</v>
      </c>
      <c r="AM3273">
        <v>17836</v>
      </c>
      <c r="AS3273">
        <v>0.35</v>
      </c>
      <c r="AT3273" t="s">
        <v>865</v>
      </c>
      <c r="AU3273" t="s">
        <v>109</v>
      </c>
    </row>
    <row r="3274" spans="1:48">
      <c r="A3274" s="1">
        <f>HYPERLINK("https://lsnyc.legalserver.org/matter/dynamic-profile/view/1868856","18-1868856")</f>
        <v>0</v>
      </c>
      <c r="B3274" t="s">
        <v>114</v>
      </c>
      <c r="C3274" t="s">
        <v>256</v>
      </c>
      <c r="D3274" t="s">
        <v>774</v>
      </c>
      <c r="F3274" t="s">
        <v>2483</v>
      </c>
      <c r="G3274" t="s">
        <v>3630</v>
      </c>
      <c r="H3274" t="s">
        <v>7264</v>
      </c>
      <c r="I3274" t="s">
        <v>8213</v>
      </c>
      <c r="J3274" t="s">
        <v>9065</v>
      </c>
      <c r="K3274">
        <v>10460</v>
      </c>
      <c r="L3274" t="s">
        <v>9094</v>
      </c>
      <c r="M3274" t="s">
        <v>9095</v>
      </c>
      <c r="N3274" t="s">
        <v>10342</v>
      </c>
      <c r="O3274" t="s">
        <v>11129</v>
      </c>
      <c r="P3274" t="s">
        <v>11165</v>
      </c>
      <c r="R3274" t="s">
        <v>11180</v>
      </c>
      <c r="T3274" t="s">
        <v>11183</v>
      </c>
      <c r="V3274" t="s">
        <v>675</v>
      </c>
      <c r="W3274">
        <v>612</v>
      </c>
      <c r="X3274" t="s">
        <v>11333</v>
      </c>
      <c r="Z3274" t="s">
        <v>13559</v>
      </c>
      <c r="AB3274" t="s">
        <v>17896</v>
      </c>
      <c r="AC3274">
        <v>0</v>
      </c>
      <c r="AD3274" t="s">
        <v>19567</v>
      </c>
      <c r="AF3274">
        <v>9</v>
      </c>
      <c r="AG3274">
        <v>1</v>
      </c>
      <c r="AH3274">
        <v>0</v>
      </c>
      <c r="AI3274">
        <v>111.37</v>
      </c>
      <c r="AL3274" t="s">
        <v>19614</v>
      </c>
      <c r="AM3274">
        <v>13520</v>
      </c>
      <c r="AS3274">
        <v>16.9</v>
      </c>
      <c r="AT3274" t="s">
        <v>361</v>
      </c>
      <c r="AU3274" t="s">
        <v>163</v>
      </c>
    </row>
    <row r="3275" spans="1:48">
      <c r="A3275" s="1">
        <f>HYPERLINK("https://lsnyc.legalserver.org/matter/dynamic-profile/view/1861195","18-1861195")</f>
        <v>0</v>
      </c>
      <c r="B3275" t="s">
        <v>86</v>
      </c>
      <c r="C3275" t="s">
        <v>256</v>
      </c>
      <c r="D3275" t="s">
        <v>721</v>
      </c>
      <c r="F3275" t="s">
        <v>1358</v>
      </c>
      <c r="G3275" t="s">
        <v>3550</v>
      </c>
      <c r="H3275" t="s">
        <v>7040</v>
      </c>
      <c r="I3275" t="s">
        <v>8714</v>
      </c>
      <c r="J3275" t="s">
        <v>9059</v>
      </c>
      <c r="K3275">
        <v>11226</v>
      </c>
      <c r="L3275" t="s">
        <v>9094</v>
      </c>
      <c r="M3275" t="s">
        <v>9095</v>
      </c>
      <c r="N3275" t="s">
        <v>10148</v>
      </c>
      <c r="O3275" t="s">
        <v>11152</v>
      </c>
      <c r="P3275" t="s">
        <v>11165</v>
      </c>
      <c r="R3275" t="s">
        <v>11180</v>
      </c>
      <c r="S3275" t="s">
        <v>9096</v>
      </c>
      <c r="T3275" t="s">
        <v>11183</v>
      </c>
      <c r="V3275" t="s">
        <v>364</v>
      </c>
      <c r="W3275">
        <v>0</v>
      </c>
      <c r="X3275" t="s">
        <v>11332</v>
      </c>
      <c r="Y3275" t="s">
        <v>11346</v>
      </c>
      <c r="Z3275" t="s">
        <v>13032</v>
      </c>
      <c r="AB3275" t="s">
        <v>17897</v>
      </c>
      <c r="AC3275">
        <v>61</v>
      </c>
      <c r="AD3275" t="s">
        <v>19566</v>
      </c>
      <c r="AE3275" t="s">
        <v>9144</v>
      </c>
      <c r="AF3275">
        <v>6</v>
      </c>
      <c r="AG3275">
        <v>1</v>
      </c>
      <c r="AH3275">
        <v>3</v>
      </c>
      <c r="AI3275">
        <v>111.55</v>
      </c>
      <c r="AL3275" t="s">
        <v>19614</v>
      </c>
      <c r="AM3275">
        <v>28000</v>
      </c>
      <c r="AS3275">
        <v>0.8</v>
      </c>
      <c r="AT3275" t="s">
        <v>721</v>
      </c>
      <c r="AU3275" t="s">
        <v>20630</v>
      </c>
    </row>
    <row r="3276" spans="1:48">
      <c r="A3276" s="1">
        <f>HYPERLINK("https://lsnyc.legalserver.org/matter/dynamic-profile/view/1874458","18-1874458")</f>
        <v>0</v>
      </c>
      <c r="B3276" t="s">
        <v>65</v>
      </c>
      <c r="C3276" t="s">
        <v>256</v>
      </c>
      <c r="D3276" t="s">
        <v>260</v>
      </c>
      <c r="F3276" t="s">
        <v>2484</v>
      </c>
      <c r="G3276" t="s">
        <v>3551</v>
      </c>
      <c r="H3276" t="s">
        <v>7265</v>
      </c>
      <c r="I3276" t="s">
        <v>8384</v>
      </c>
      <c r="J3276" t="s">
        <v>9059</v>
      </c>
      <c r="K3276">
        <v>11226</v>
      </c>
      <c r="L3276" t="s">
        <v>9094</v>
      </c>
      <c r="M3276" t="s">
        <v>9095</v>
      </c>
      <c r="O3276" t="s">
        <v>11134</v>
      </c>
      <c r="P3276" t="s">
        <v>11168</v>
      </c>
      <c r="R3276" t="s">
        <v>11180</v>
      </c>
      <c r="S3276" t="s">
        <v>9096</v>
      </c>
      <c r="T3276" t="s">
        <v>11183</v>
      </c>
      <c r="V3276" t="s">
        <v>489</v>
      </c>
      <c r="W3276">
        <v>859.1900000000001</v>
      </c>
      <c r="X3276" t="s">
        <v>11332</v>
      </c>
      <c r="Y3276" t="s">
        <v>11339</v>
      </c>
      <c r="Z3276" t="s">
        <v>13560</v>
      </c>
      <c r="AB3276" t="s">
        <v>17898</v>
      </c>
      <c r="AC3276">
        <v>0</v>
      </c>
      <c r="AD3276" t="s">
        <v>19566</v>
      </c>
      <c r="AE3276" t="s">
        <v>9144</v>
      </c>
      <c r="AF3276">
        <v>10</v>
      </c>
      <c r="AG3276">
        <v>2</v>
      </c>
      <c r="AH3276">
        <v>2</v>
      </c>
      <c r="AI3276">
        <v>111.55</v>
      </c>
      <c r="AL3276" t="s">
        <v>19614</v>
      </c>
      <c r="AM3276">
        <v>28000</v>
      </c>
      <c r="AS3276">
        <v>0.7</v>
      </c>
      <c r="AT3276" t="s">
        <v>426</v>
      </c>
      <c r="AU3276" t="s">
        <v>20630</v>
      </c>
      <c r="AV3276" t="s">
        <v>20733</v>
      </c>
    </row>
    <row r="3277" spans="1:48">
      <c r="A3277" s="1">
        <f>HYPERLINK("https://lsnyc.legalserver.org/matter/dynamic-profile/view/1862649","18-1862649")</f>
        <v>0</v>
      </c>
      <c r="B3277" t="s">
        <v>86</v>
      </c>
      <c r="C3277" t="s">
        <v>256</v>
      </c>
      <c r="D3277" t="s">
        <v>576</v>
      </c>
      <c r="F3277" t="s">
        <v>1358</v>
      </c>
      <c r="G3277" t="s">
        <v>3550</v>
      </c>
      <c r="H3277" t="s">
        <v>7040</v>
      </c>
      <c r="I3277" t="s">
        <v>8714</v>
      </c>
      <c r="J3277" t="s">
        <v>9059</v>
      </c>
      <c r="K3277">
        <v>11226</v>
      </c>
      <c r="L3277" t="s">
        <v>9094</v>
      </c>
      <c r="M3277" t="s">
        <v>9095</v>
      </c>
      <c r="N3277" t="s">
        <v>10343</v>
      </c>
      <c r="O3277" t="s">
        <v>11135</v>
      </c>
      <c r="P3277" t="s">
        <v>11165</v>
      </c>
      <c r="R3277" t="s">
        <v>11180</v>
      </c>
      <c r="S3277" t="s">
        <v>9094</v>
      </c>
      <c r="T3277" t="s">
        <v>11183</v>
      </c>
      <c r="V3277" t="s">
        <v>576</v>
      </c>
      <c r="W3277">
        <v>0</v>
      </c>
      <c r="X3277" t="s">
        <v>11332</v>
      </c>
      <c r="Y3277" t="s">
        <v>11346</v>
      </c>
      <c r="Z3277" t="s">
        <v>13032</v>
      </c>
      <c r="AB3277" t="s">
        <v>17897</v>
      </c>
      <c r="AC3277">
        <v>61</v>
      </c>
      <c r="AD3277" t="s">
        <v>19566</v>
      </c>
      <c r="AF3277">
        <v>6</v>
      </c>
      <c r="AG3277">
        <v>1</v>
      </c>
      <c r="AH3277">
        <v>3</v>
      </c>
      <c r="AI3277">
        <v>111.55</v>
      </c>
      <c r="AL3277" t="s">
        <v>19614</v>
      </c>
      <c r="AM3277">
        <v>28000</v>
      </c>
      <c r="AS3277">
        <v>0</v>
      </c>
      <c r="AU3277" t="s">
        <v>20630</v>
      </c>
    </row>
    <row r="3278" spans="1:48">
      <c r="A3278" s="1">
        <f>HYPERLINK("https://lsnyc.legalserver.org/matter/dynamic-profile/view/1868591","18-1868591")</f>
        <v>0</v>
      </c>
      <c r="B3278" t="s">
        <v>65</v>
      </c>
      <c r="C3278" t="s">
        <v>257</v>
      </c>
      <c r="D3278" t="s">
        <v>456</v>
      </c>
      <c r="E3278" t="s">
        <v>307</v>
      </c>
      <c r="F3278" t="s">
        <v>2484</v>
      </c>
      <c r="G3278" t="s">
        <v>3551</v>
      </c>
      <c r="H3278" t="s">
        <v>7265</v>
      </c>
      <c r="I3278" t="s">
        <v>8384</v>
      </c>
      <c r="J3278" t="s">
        <v>9059</v>
      </c>
      <c r="K3278">
        <v>11226</v>
      </c>
      <c r="L3278" t="s">
        <v>9094</v>
      </c>
      <c r="M3278" t="s">
        <v>9095</v>
      </c>
      <c r="N3278" t="s">
        <v>10344</v>
      </c>
      <c r="O3278" t="s">
        <v>11128</v>
      </c>
      <c r="P3278" t="s">
        <v>11165</v>
      </c>
      <c r="Q3278" t="s">
        <v>11174</v>
      </c>
      <c r="R3278" t="s">
        <v>11180</v>
      </c>
      <c r="T3278" t="s">
        <v>11183</v>
      </c>
      <c r="V3278" t="s">
        <v>675</v>
      </c>
      <c r="W3278">
        <v>859.1900000000001</v>
      </c>
      <c r="X3278" t="s">
        <v>11332</v>
      </c>
      <c r="Y3278" t="s">
        <v>11340</v>
      </c>
      <c r="Z3278" t="s">
        <v>13560</v>
      </c>
      <c r="AB3278" t="s">
        <v>17898</v>
      </c>
      <c r="AC3278">
        <v>0</v>
      </c>
      <c r="AD3278" t="s">
        <v>19566</v>
      </c>
      <c r="AE3278" t="s">
        <v>9144</v>
      </c>
      <c r="AF3278">
        <v>10</v>
      </c>
      <c r="AG3278">
        <v>2</v>
      </c>
      <c r="AH3278">
        <v>2</v>
      </c>
      <c r="AI3278">
        <v>111.55</v>
      </c>
      <c r="AL3278" t="s">
        <v>19614</v>
      </c>
      <c r="AM3278">
        <v>28000</v>
      </c>
      <c r="AS3278">
        <v>5.6</v>
      </c>
      <c r="AT3278" t="s">
        <v>426</v>
      </c>
      <c r="AU3278" t="s">
        <v>20630</v>
      </c>
    </row>
    <row r="3279" spans="1:48">
      <c r="A3279" s="1">
        <f>HYPERLINK("https://lsnyc.legalserver.org/matter/dynamic-profile/view/1880608","18-1880608")</f>
        <v>0</v>
      </c>
      <c r="B3279" t="s">
        <v>103</v>
      </c>
      <c r="C3279" t="s">
        <v>256</v>
      </c>
      <c r="D3279" t="s">
        <v>477</v>
      </c>
      <c r="F3279" t="s">
        <v>2485</v>
      </c>
      <c r="G3279" t="s">
        <v>3791</v>
      </c>
      <c r="H3279" t="s">
        <v>6413</v>
      </c>
      <c r="I3279" t="s">
        <v>8154</v>
      </c>
      <c r="J3279" t="s">
        <v>9065</v>
      </c>
      <c r="K3279">
        <v>10456</v>
      </c>
      <c r="L3279" t="s">
        <v>9094</v>
      </c>
      <c r="M3279" t="s">
        <v>9094</v>
      </c>
      <c r="N3279" t="s">
        <v>9732</v>
      </c>
      <c r="O3279" t="s">
        <v>11134</v>
      </c>
      <c r="P3279" t="s">
        <v>11168</v>
      </c>
      <c r="R3279" t="s">
        <v>11180</v>
      </c>
      <c r="S3279" t="s">
        <v>9094</v>
      </c>
      <c r="T3279" t="s">
        <v>11183</v>
      </c>
      <c r="V3279" t="s">
        <v>617</v>
      </c>
      <c r="W3279">
        <v>966.71</v>
      </c>
      <c r="X3279" t="s">
        <v>11333</v>
      </c>
      <c r="Y3279" t="s">
        <v>11346</v>
      </c>
      <c r="Z3279" t="s">
        <v>13561</v>
      </c>
      <c r="AB3279" t="s">
        <v>17899</v>
      </c>
      <c r="AC3279">
        <v>61</v>
      </c>
      <c r="AD3279" t="s">
        <v>19566</v>
      </c>
      <c r="AE3279" t="s">
        <v>9144</v>
      </c>
      <c r="AF3279">
        <v>27</v>
      </c>
      <c r="AG3279">
        <v>2</v>
      </c>
      <c r="AH3279">
        <v>2</v>
      </c>
      <c r="AI3279">
        <v>111.55</v>
      </c>
      <c r="AL3279" t="s">
        <v>19614</v>
      </c>
      <c r="AM3279">
        <v>28000</v>
      </c>
      <c r="AS3279">
        <v>0</v>
      </c>
      <c r="AU3279" t="s">
        <v>20642</v>
      </c>
    </row>
    <row r="3280" spans="1:48">
      <c r="A3280" s="1">
        <f>HYPERLINK("https://lsnyc.legalserver.org/matter/dynamic-profile/view/1856778","18-1856778")</f>
        <v>0</v>
      </c>
      <c r="B3280" t="s">
        <v>103</v>
      </c>
      <c r="C3280" t="s">
        <v>256</v>
      </c>
      <c r="D3280" t="s">
        <v>844</v>
      </c>
      <c r="F3280" t="s">
        <v>2485</v>
      </c>
      <c r="G3280" t="s">
        <v>3791</v>
      </c>
      <c r="H3280" t="s">
        <v>6413</v>
      </c>
      <c r="I3280" t="s">
        <v>8154</v>
      </c>
      <c r="J3280" t="s">
        <v>9065</v>
      </c>
      <c r="K3280">
        <v>10456</v>
      </c>
      <c r="L3280" t="s">
        <v>9094</v>
      </c>
      <c r="M3280" t="s">
        <v>9095</v>
      </c>
      <c r="N3280" t="s">
        <v>9740</v>
      </c>
      <c r="O3280" t="s">
        <v>11135</v>
      </c>
      <c r="P3280" t="s">
        <v>11168</v>
      </c>
      <c r="R3280" t="s">
        <v>11180</v>
      </c>
      <c r="S3280" t="s">
        <v>9094</v>
      </c>
      <c r="T3280" t="s">
        <v>11183</v>
      </c>
      <c r="V3280" t="s">
        <v>364</v>
      </c>
      <c r="W3280">
        <v>966.71</v>
      </c>
      <c r="X3280" t="s">
        <v>11333</v>
      </c>
      <c r="Y3280" t="s">
        <v>11346</v>
      </c>
      <c r="Z3280" t="s">
        <v>13561</v>
      </c>
      <c r="AB3280" t="s">
        <v>17899</v>
      </c>
      <c r="AC3280">
        <v>61</v>
      </c>
      <c r="AD3280" t="s">
        <v>19566</v>
      </c>
      <c r="AE3280" t="s">
        <v>9144</v>
      </c>
      <c r="AF3280">
        <v>27</v>
      </c>
      <c r="AG3280">
        <v>2</v>
      </c>
      <c r="AH3280">
        <v>2</v>
      </c>
      <c r="AI3280">
        <v>111.55</v>
      </c>
      <c r="AJ3280" t="s">
        <v>19597</v>
      </c>
      <c r="AL3280" t="s">
        <v>19614</v>
      </c>
      <c r="AM3280">
        <v>28000</v>
      </c>
      <c r="AN3280" t="s">
        <v>19699</v>
      </c>
      <c r="AS3280">
        <v>1.5</v>
      </c>
      <c r="AT3280" t="s">
        <v>561</v>
      </c>
      <c r="AU3280" t="s">
        <v>20642</v>
      </c>
    </row>
    <row r="3281" spans="1:48">
      <c r="A3281" s="1">
        <f>HYPERLINK("https://lsnyc.legalserver.org/matter/dynamic-profile/view/1846617","17-1846617")</f>
        <v>0</v>
      </c>
      <c r="B3281" t="s">
        <v>68</v>
      </c>
      <c r="C3281" t="s">
        <v>257</v>
      </c>
      <c r="D3281" t="s">
        <v>1006</v>
      </c>
      <c r="E3281" t="s">
        <v>367</v>
      </c>
      <c r="F3281" t="s">
        <v>2486</v>
      </c>
      <c r="G3281" t="s">
        <v>3497</v>
      </c>
      <c r="H3281" t="s">
        <v>7266</v>
      </c>
      <c r="I3281" t="s">
        <v>8161</v>
      </c>
      <c r="J3281" t="s">
        <v>9059</v>
      </c>
      <c r="K3281">
        <v>11233</v>
      </c>
      <c r="L3281" t="s">
        <v>9094</v>
      </c>
      <c r="M3281" t="s">
        <v>9095</v>
      </c>
      <c r="N3281" t="s">
        <v>10345</v>
      </c>
      <c r="O3281" t="s">
        <v>11129</v>
      </c>
      <c r="P3281" t="s">
        <v>11165</v>
      </c>
      <c r="Q3281" t="s">
        <v>11174</v>
      </c>
      <c r="R3281" t="s">
        <v>11180</v>
      </c>
      <c r="S3281" t="s">
        <v>11182</v>
      </c>
      <c r="T3281" t="s">
        <v>11183</v>
      </c>
      <c r="V3281" t="s">
        <v>948</v>
      </c>
      <c r="W3281">
        <v>1641.59</v>
      </c>
      <c r="X3281" t="s">
        <v>11332</v>
      </c>
      <c r="Y3281" t="s">
        <v>11349</v>
      </c>
      <c r="Z3281" t="s">
        <v>13452</v>
      </c>
      <c r="AA3281" t="s">
        <v>15285</v>
      </c>
      <c r="AB3281" t="s">
        <v>17900</v>
      </c>
      <c r="AC3281">
        <v>6</v>
      </c>
      <c r="AD3281" t="s">
        <v>19566</v>
      </c>
      <c r="AE3281" t="s">
        <v>9144</v>
      </c>
      <c r="AF3281">
        <v>2</v>
      </c>
      <c r="AG3281">
        <v>1</v>
      </c>
      <c r="AH3281">
        <v>0</v>
      </c>
      <c r="AI3281">
        <v>111.64</v>
      </c>
      <c r="AL3281" t="s">
        <v>19614</v>
      </c>
      <c r="AM3281">
        <v>13464</v>
      </c>
      <c r="AS3281">
        <v>14.6</v>
      </c>
      <c r="AT3281" t="s">
        <v>606</v>
      </c>
      <c r="AU3281" t="s">
        <v>20629</v>
      </c>
    </row>
    <row r="3282" spans="1:48">
      <c r="A3282" s="1">
        <f>HYPERLINK("https://lsnyc.legalserver.org/matter/dynamic-profile/view/1853702","17-1853702")</f>
        <v>0</v>
      </c>
      <c r="B3282" t="s">
        <v>195</v>
      </c>
      <c r="C3282" t="s">
        <v>256</v>
      </c>
      <c r="D3282" t="s">
        <v>850</v>
      </c>
      <c r="F3282" t="s">
        <v>2327</v>
      </c>
      <c r="G3282" t="s">
        <v>4716</v>
      </c>
      <c r="H3282" t="s">
        <v>7267</v>
      </c>
      <c r="I3282" t="s">
        <v>8132</v>
      </c>
      <c r="J3282" t="s">
        <v>9067</v>
      </c>
      <c r="K3282">
        <v>10035</v>
      </c>
      <c r="L3282" t="s">
        <v>9094</v>
      </c>
      <c r="M3282" t="s">
        <v>9095</v>
      </c>
      <c r="N3282" t="s">
        <v>10346</v>
      </c>
      <c r="O3282" t="s">
        <v>11129</v>
      </c>
      <c r="P3282" t="s">
        <v>11165</v>
      </c>
      <c r="R3282" t="s">
        <v>11180</v>
      </c>
      <c r="S3282" t="s">
        <v>9096</v>
      </c>
      <c r="T3282" t="s">
        <v>11183</v>
      </c>
      <c r="V3282" t="s">
        <v>654</v>
      </c>
      <c r="W3282">
        <v>814.25</v>
      </c>
      <c r="X3282" t="s">
        <v>11335</v>
      </c>
      <c r="Y3282" t="s">
        <v>11347</v>
      </c>
      <c r="Z3282" t="s">
        <v>13562</v>
      </c>
      <c r="AB3282" t="s">
        <v>17901</v>
      </c>
      <c r="AC3282">
        <v>8</v>
      </c>
      <c r="AD3282" t="s">
        <v>19566</v>
      </c>
      <c r="AE3282" t="s">
        <v>9144</v>
      </c>
      <c r="AF3282">
        <v>0</v>
      </c>
      <c r="AG3282">
        <v>1</v>
      </c>
      <c r="AH3282">
        <v>0</v>
      </c>
      <c r="AI3282">
        <v>111.64</v>
      </c>
      <c r="AL3282" t="s">
        <v>19614</v>
      </c>
      <c r="AM3282">
        <v>13464</v>
      </c>
      <c r="AS3282">
        <v>45.3</v>
      </c>
      <c r="AT3282" t="s">
        <v>310</v>
      </c>
      <c r="AU3282" t="s">
        <v>20657</v>
      </c>
    </row>
    <row r="3283" spans="1:48">
      <c r="A3283" s="1">
        <f>HYPERLINK("https://lsnyc.legalserver.org/matter/dynamic-profile/view/1857047","18-1857047")</f>
        <v>0</v>
      </c>
      <c r="B3283" t="s">
        <v>69</v>
      </c>
      <c r="C3283" t="s">
        <v>257</v>
      </c>
      <c r="D3283" t="s">
        <v>751</v>
      </c>
      <c r="E3283" t="s">
        <v>1130</v>
      </c>
      <c r="F3283" t="s">
        <v>2327</v>
      </c>
      <c r="G3283" t="s">
        <v>4716</v>
      </c>
      <c r="H3283" t="s">
        <v>7267</v>
      </c>
      <c r="I3283" t="s">
        <v>8132</v>
      </c>
      <c r="J3283" t="s">
        <v>9067</v>
      </c>
      <c r="K3283">
        <v>10035</v>
      </c>
      <c r="L3283" t="s">
        <v>9094</v>
      </c>
      <c r="M3283" t="s">
        <v>9095</v>
      </c>
      <c r="O3283" t="s">
        <v>11131</v>
      </c>
      <c r="P3283" t="s">
        <v>11168</v>
      </c>
      <c r="Q3283" t="s">
        <v>11176</v>
      </c>
      <c r="R3283" t="s">
        <v>11180</v>
      </c>
      <c r="S3283" t="s">
        <v>9096</v>
      </c>
      <c r="T3283" t="s">
        <v>11191</v>
      </c>
      <c r="V3283" t="s">
        <v>751</v>
      </c>
      <c r="W3283">
        <v>814.25</v>
      </c>
      <c r="X3283" t="s">
        <v>11335</v>
      </c>
      <c r="Y3283" t="s">
        <v>11347</v>
      </c>
      <c r="Z3283" t="s">
        <v>13562</v>
      </c>
      <c r="AB3283" t="s">
        <v>17901</v>
      </c>
      <c r="AC3283">
        <v>8</v>
      </c>
      <c r="AD3283" t="s">
        <v>19566</v>
      </c>
      <c r="AE3283" t="s">
        <v>9144</v>
      </c>
      <c r="AF3283">
        <v>8</v>
      </c>
      <c r="AG3283">
        <v>1</v>
      </c>
      <c r="AH3283">
        <v>0</v>
      </c>
      <c r="AI3283">
        <v>111.64</v>
      </c>
      <c r="AL3283" t="s">
        <v>19614</v>
      </c>
      <c r="AM3283">
        <v>13464</v>
      </c>
      <c r="AS3283">
        <v>120</v>
      </c>
      <c r="AT3283" t="s">
        <v>569</v>
      </c>
      <c r="AU3283" t="s">
        <v>20657</v>
      </c>
    </row>
    <row r="3284" spans="1:48">
      <c r="A3284" s="1">
        <f>HYPERLINK("https://lsnyc.legalserver.org/matter/dynamic-profile/view/1865603","18-1865603")</f>
        <v>0</v>
      </c>
      <c r="B3284" t="s">
        <v>124</v>
      </c>
      <c r="C3284" t="s">
        <v>256</v>
      </c>
      <c r="D3284" t="s">
        <v>975</v>
      </c>
      <c r="F3284" t="s">
        <v>1146</v>
      </c>
      <c r="G3284" t="s">
        <v>4443</v>
      </c>
      <c r="H3284" t="s">
        <v>5919</v>
      </c>
      <c r="I3284">
        <v>3015</v>
      </c>
      <c r="J3284" t="s">
        <v>9066</v>
      </c>
      <c r="K3284">
        <v>10304</v>
      </c>
      <c r="L3284" t="s">
        <v>9094</v>
      </c>
      <c r="M3284" t="s">
        <v>9095</v>
      </c>
      <c r="O3284" t="s">
        <v>9121</v>
      </c>
      <c r="P3284" t="s">
        <v>11169</v>
      </c>
      <c r="R3284" t="s">
        <v>11181</v>
      </c>
      <c r="S3284" t="s">
        <v>9096</v>
      </c>
      <c r="T3284" t="s">
        <v>11183</v>
      </c>
      <c r="V3284" t="s">
        <v>975</v>
      </c>
      <c r="W3284">
        <v>867</v>
      </c>
      <c r="X3284" t="s">
        <v>11334</v>
      </c>
      <c r="Y3284" t="s">
        <v>11337</v>
      </c>
      <c r="Z3284" t="s">
        <v>13563</v>
      </c>
      <c r="AB3284" t="s">
        <v>17902</v>
      </c>
      <c r="AC3284">
        <v>467</v>
      </c>
      <c r="AD3284" t="s">
        <v>19566</v>
      </c>
      <c r="AF3284">
        <v>1</v>
      </c>
      <c r="AG3284">
        <v>1</v>
      </c>
      <c r="AH3284">
        <v>1</v>
      </c>
      <c r="AI3284">
        <v>111.73</v>
      </c>
      <c r="AJ3284" t="s">
        <v>19591</v>
      </c>
      <c r="AK3284" t="s">
        <v>19608</v>
      </c>
      <c r="AL3284" t="s">
        <v>19615</v>
      </c>
      <c r="AM3284">
        <v>18390</v>
      </c>
      <c r="AS3284">
        <v>6.75</v>
      </c>
      <c r="AT3284" t="s">
        <v>688</v>
      </c>
      <c r="AU3284" t="s">
        <v>20651</v>
      </c>
    </row>
    <row r="3285" spans="1:48">
      <c r="A3285" s="1">
        <f>HYPERLINK("https://lsnyc.legalserver.org/matter/dynamic-profile/view/0789344","15-0789344")</f>
        <v>0</v>
      </c>
      <c r="B3285" t="s">
        <v>108</v>
      </c>
      <c r="C3285" t="s">
        <v>256</v>
      </c>
      <c r="D3285" t="s">
        <v>580</v>
      </c>
      <c r="F3285" t="s">
        <v>2267</v>
      </c>
      <c r="G3285" t="s">
        <v>3630</v>
      </c>
      <c r="H3285" t="s">
        <v>5897</v>
      </c>
      <c r="I3285" t="s">
        <v>8668</v>
      </c>
      <c r="J3285" t="s">
        <v>9065</v>
      </c>
      <c r="K3285">
        <v>10452</v>
      </c>
      <c r="L3285" t="s">
        <v>9094</v>
      </c>
      <c r="M3285" t="s">
        <v>9095</v>
      </c>
      <c r="N3285" t="s">
        <v>9250</v>
      </c>
      <c r="O3285" t="s">
        <v>11147</v>
      </c>
      <c r="P3285" t="s">
        <v>11165</v>
      </c>
      <c r="R3285" t="s">
        <v>11180</v>
      </c>
      <c r="S3285" t="s">
        <v>9094</v>
      </c>
      <c r="T3285" t="s">
        <v>11183</v>
      </c>
      <c r="V3285" t="s">
        <v>580</v>
      </c>
      <c r="W3285">
        <v>683.12</v>
      </c>
      <c r="X3285" t="s">
        <v>11333</v>
      </c>
      <c r="Y3285" t="s">
        <v>11347</v>
      </c>
      <c r="Z3285" t="s">
        <v>13323</v>
      </c>
      <c r="AB3285" t="s">
        <v>17666</v>
      </c>
      <c r="AC3285">
        <v>0</v>
      </c>
      <c r="AF3285">
        <v>23</v>
      </c>
      <c r="AG3285">
        <v>1</v>
      </c>
      <c r="AH3285">
        <v>0</v>
      </c>
      <c r="AI3285">
        <v>111.78</v>
      </c>
      <c r="AL3285" t="s">
        <v>19615</v>
      </c>
      <c r="AM3285">
        <v>13156</v>
      </c>
      <c r="AS3285">
        <v>0.1</v>
      </c>
      <c r="AT3285" t="s">
        <v>965</v>
      </c>
      <c r="AU3285" t="s">
        <v>109</v>
      </c>
    </row>
    <row r="3286" spans="1:48">
      <c r="A3286" s="1">
        <f>HYPERLINK("https://lsnyc.legalserver.org/matter/dynamic-profile/view/1845269","17-1845269")</f>
        <v>0</v>
      </c>
      <c r="B3286" t="s">
        <v>76</v>
      </c>
      <c r="C3286" t="s">
        <v>257</v>
      </c>
      <c r="D3286" t="s">
        <v>399</v>
      </c>
      <c r="E3286" t="s">
        <v>328</v>
      </c>
      <c r="F3286" t="s">
        <v>1750</v>
      </c>
      <c r="G3286" t="s">
        <v>4042</v>
      </c>
      <c r="H3286" t="s">
        <v>5820</v>
      </c>
      <c r="J3286" t="s">
        <v>9059</v>
      </c>
      <c r="K3286">
        <v>11208</v>
      </c>
      <c r="L3286" t="s">
        <v>9094</v>
      </c>
      <c r="M3286" t="s">
        <v>9095</v>
      </c>
      <c r="O3286" t="s">
        <v>11130</v>
      </c>
      <c r="P3286" t="s">
        <v>11167</v>
      </c>
      <c r="Q3286" t="s">
        <v>11173</v>
      </c>
      <c r="R3286" t="s">
        <v>11180</v>
      </c>
      <c r="S3286" t="s">
        <v>9094</v>
      </c>
      <c r="T3286" t="s">
        <v>11183</v>
      </c>
      <c r="V3286" t="s">
        <v>11215</v>
      </c>
      <c r="W3286">
        <v>0</v>
      </c>
      <c r="X3286" t="s">
        <v>11332</v>
      </c>
      <c r="Y3286" t="s">
        <v>11341</v>
      </c>
      <c r="Z3286" t="s">
        <v>13564</v>
      </c>
      <c r="AB3286" t="s">
        <v>16910</v>
      </c>
      <c r="AC3286">
        <v>16</v>
      </c>
      <c r="AD3286" t="s">
        <v>19566</v>
      </c>
      <c r="AF3286">
        <v>0</v>
      </c>
      <c r="AG3286">
        <v>3</v>
      </c>
      <c r="AH3286">
        <v>0</v>
      </c>
      <c r="AI3286">
        <v>111.95</v>
      </c>
      <c r="AL3286" t="s">
        <v>19614</v>
      </c>
      <c r="AM3286">
        <v>22859.4</v>
      </c>
      <c r="AS3286">
        <v>4.13</v>
      </c>
      <c r="AT3286" t="s">
        <v>467</v>
      </c>
      <c r="AU3286" t="s">
        <v>95</v>
      </c>
    </row>
    <row r="3287" spans="1:48">
      <c r="A3287" s="1">
        <f>HYPERLINK("https://lsnyc.legalserver.org/matter/dynamic-profile/view/1865962","18-1865962")</f>
        <v>0</v>
      </c>
      <c r="B3287" t="s">
        <v>136</v>
      </c>
      <c r="C3287" t="s">
        <v>257</v>
      </c>
      <c r="D3287" t="s">
        <v>637</v>
      </c>
      <c r="E3287" t="s">
        <v>1130</v>
      </c>
      <c r="F3287" t="s">
        <v>2487</v>
      </c>
      <c r="G3287" t="s">
        <v>3756</v>
      </c>
      <c r="H3287" t="s">
        <v>6379</v>
      </c>
      <c r="I3287" t="s">
        <v>8279</v>
      </c>
      <c r="J3287" t="s">
        <v>9067</v>
      </c>
      <c r="K3287">
        <v>10031</v>
      </c>
      <c r="L3287" t="s">
        <v>9094</v>
      </c>
      <c r="M3287" t="s">
        <v>9095</v>
      </c>
      <c r="O3287" t="s">
        <v>11130</v>
      </c>
      <c r="P3287" t="s">
        <v>11165</v>
      </c>
      <c r="Q3287" t="s">
        <v>11173</v>
      </c>
      <c r="R3287" t="s">
        <v>11180</v>
      </c>
      <c r="S3287" t="s">
        <v>9094</v>
      </c>
      <c r="T3287" t="s">
        <v>11183</v>
      </c>
      <c r="U3287" t="s">
        <v>11201</v>
      </c>
      <c r="V3287" t="s">
        <v>637</v>
      </c>
      <c r="W3287">
        <v>1712</v>
      </c>
      <c r="X3287" t="s">
        <v>11335</v>
      </c>
      <c r="Y3287" t="s">
        <v>11339</v>
      </c>
      <c r="Z3287" t="s">
        <v>13565</v>
      </c>
      <c r="AB3287" t="s">
        <v>17903</v>
      </c>
      <c r="AC3287">
        <v>42</v>
      </c>
      <c r="AD3287" t="s">
        <v>19567</v>
      </c>
      <c r="AE3287" t="s">
        <v>19580</v>
      </c>
      <c r="AF3287">
        <v>21</v>
      </c>
      <c r="AG3287">
        <v>2</v>
      </c>
      <c r="AH3287">
        <v>0</v>
      </c>
      <c r="AI3287">
        <v>111.98</v>
      </c>
      <c r="AL3287" t="s">
        <v>19615</v>
      </c>
      <c r="AM3287">
        <v>18432</v>
      </c>
      <c r="AS3287">
        <v>0.25</v>
      </c>
      <c r="AT3287" t="s">
        <v>452</v>
      </c>
      <c r="AU3287" t="s">
        <v>20657</v>
      </c>
      <c r="AV3287" t="s">
        <v>20733</v>
      </c>
    </row>
    <row r="3288" spans="1:48">
      <c r="A3288" s="1">
        <f>HYPERLINK("https://lsnyc.legalserver.org/matter/dynamic-profile/view/1836082","17-1836082")</f>
        <v>0</v>
      </c>
      <c r="B3288" t="s">
        <v>93</v>
      </c>
      <c r="C3288" t="s">
        <v>256</v>
      </c>
      <c r="D3288" t="s">
        <v>386</v>
      </c>
      <c r="F3288" t="s">
        <v>1683</v>
      </c>
      <c r="G3288" t="s">
        <v>3853</v>
      </c>
      <c r="H3288" t="s">
        <v>5809</v>
      </c>
      <c r="I3288" t="s">
        <v>8360</v>
      </c>
      <c r="J3288" t="s">
        <v>9059</v>
      </c>
      <c r="K3288">
        <v>11212</v>
      </c>
      <c r="L3288" t="s">
        <v>9094</v>
      </c>
      <c r="M3288" t="s">
        <v>9095</v>
      </c>
      <c r="O3288" t="s">
        <v>11130</v>
      </c>
      <c r="P3288" t="s">
        <v>11165</v>
      </c>
      <c r="R3288" t="s">
        <v>11180</v>
      </c>
      <c r="S3288" t="s">
        <v>9094</v>
      </c>
      <c r="T3288" t="s">
        <v>11183</v>
      </c>
      <c r="V3288" t="s">
        <v>386</v>
      </c>
      <c r="W3288">
        <v>939.42</v>
      </c>
      <c r="X3288" t="s">
        <v>11332</v>
      </c>
      <c r="Y3288" t="s">
        <v>11340</v>
      </c>
      <c r="Z3288" t="s">
        <v>11531</v>
      </c>
      <c r="AB3288" t="s">
        <v>16484</v>
      </c>
      <c r="AC3288">
        <v>31</v>
      </c>
      <c r="AD3288" t="s">
        <v>19566</v>
      </c>
      <c r="AF3288">
        <v>19</v>
      </c>
      <c r="AG3288">
        <v>1</v>
      </c>
      <c r="AH3288">
        <v>2</v>
      </c>
      <c r="AI3288">
        <v>112.01</v>
      </c>
      <c r="AL3288" t="s">
        <v>19614</v>
      </c>
      <c r="AM3288">
        <v>30696</v>
      </c>
      <c r="AS3288">
        <v>0.85</v>
      </c>
      <c r="AT3288" t="s">
        <v>983</v>
      </c>
      <c r="AU3288" t="s">
        <v>59</v>
      </c>
    </row>
    <row r="3289" spans="1:48">
      <c r="A3289" s="1">
        <f>HYPERLINK("https://lsnyc.legalserver.org/matter/dynamic-profile/view/0831173","17-0831173")</f>
        <v>0</v>
      </c>
      <c r="B3289" t="s">
        <v>78</v>
      </c>
      <c r="C3289" t="s">
        <v>256</v>
      </c>
      <c r="D3289" t="s">
        <v>655</v>
      </c>
      <c r="F3289" t="s">
        <v>1683</v>
      </c>
      <c r="G3289" t="s">
        <v>3853</v>
      </c>
      <c r="H3289" t="s">
        <v>5809</v>
      </c>
      <c r="I3289" t="s">
        <v>8360</v>
      </c>
      <c r="J3289" t="s">
        <v>9059</v>
      </c>
      <c r="K3289">
        <v>11212</v>
      </c>
      <c r="L3289" t="s">
        <v>9094</v>
      </c>
      <c r="M3289" t="s">
        <v>9095</v>
      </c>
      <c r="N3289" t="s">
        <v>9189</v>
      </c>
      <c r="O3289" t="s">
        <v>9121</v>
      </c>
      <c r="P3289" t="s">
        <v>11168</v>
      </c>
      <c r="R3289" t="s">
        <v>11180</v>
      </c>
      <c r="S3289" t="s">
        <v>9094</v>
      </c>
      <c r="T3289" t="s">
        <v>11183</v>
      </c>
      <c r="V3289" t="s">
        <v>11283</v>
      </c>
      <c r="W3289">
        <v>939.42</v>
      </c>
      <c r="X3289" t="s">
        <v>11332</v>
      </c>
      <c r="Y3289" t="s">
        <v>11157</v>
      </c>
      <c r="Z3289" t="s">
        <v>11531</v>
      </c>
      <c r="AB3289" t="s">
        <v>16484</v>
      </c>
      <c r="AC3289">
        <v>32</v>
      </c>
      <c r="AD3289" t="s">
        <v>19566</v>
      </c>
      <c r="AE3289" t="s">
        <v>19587</v>
      </c>
      <c r="AF3289">
        <v>19</v>
      </c>
      <c r="AG3289">
        <v>1</v>
      </c>
      <c r="AH3289">
        <v>2</v>
      </c>
      <c r="AI3289">
        <v>112.01</v>
      </c>
      <c r="AL3289" t="s">
        <v>19614</v>
      </c>
      <c r="AM3289">
        <v>22872</v>
      </c>
      <c r="AS3289">
        <v>0.25</v>
      </c>
      <c r="AT3289" t="s">
        <v>655</v>
      </c>
      <c r="AU3289" t="s">
        <v>78</v>
      </c>
    </row>
    <row r="3290" spans="1:48">
      <c r="A3290" s="1">
        <f>HYPERLINK("https://lsnyc.legalserver.org/matter/dynamic-profile/view/1897238","19-1897238")</f>
        <v>0</v>
      </c>
      <c r="B3290" t="s">
        <v>52</v>
      </c>
      <c r="C3290" t="s">
        <v>256</v>
      </c>
      <c r="D3290" t="s">
        <v>434</v>
      </c>
      <c r="F3290" t="s">
        <v>1805</v>
      </c>
      <c r="G3290" t="s">
        <v>3978</v>
      </c>
      <c r="H3290" t="s">
        <v>5692</v>
      </c>
      <c r="I3290" t="s">
        <v>8302</v>
      </c>
      <c r="J3290" t="s">
        <v>9038</v>
      </c>
      <c r="K3290">
        <v>11691</v>
      </c>
      <c r="L3290" t="s">
        <v>9094</v>
      </c>
      <c r="M3290" t="s">
        <v>9094</v>
      </c>
      <c r="O3290" t="s">
        <v>11136</v>
      </c>
      <c r="P3290" t="s">
        <v>11167</v>
      </c>
      <c r="R3290" t="s">
        <v>11180</v>
      </c>
      <c r="S3290" t="s">
        <v>9094</v>
      </c>
      <c r="T3290" t="s">
        <v>11183</v>
      </c>
      <c r="V3290" t="s">
        <v>434</v>
      </c>
      <c r="W3290">
        <v>819</v>
      </c>
      <c r="X3290" t="s">
        <v>11331</v>
      </c>
      <c r="Y3290" t="s">
        <v>11339</v>
      </c>
      <c r="Z3290" t="s">
        <v>12242</v>
      </c>
      <c r="AB3290" t="s">
        <v>16666</v>
      </c>
      <c r="AC3290">
        <v>43</v>
      </c>
      <c r="AD3290" t="s">
        <v>19566</v>
      </c>
      <c r="AE3290" t="s">
        <v>9144</v>
      </c>
      <c r="AF3290">
        <v>15</v>
      </c>
      <c r="AG3290">
        <v>2</v>
      </c>
      <c r="AH3290">
        <v>3</v>
      </c>
      <c r="AI3290">
        <v>112.03</v>
      </c>
      <c r="AL3290" t="s">
        <v>19615</v>
      </c>
      <c r="AM3290">
        <v>33800</v>
      </c>
      <c r="AS3290">
        <v>0</v>
      </c>
      <c r="AU3290" t="s">
        <v>20620</v>
      </c>
    </row>
    <row r="3291" spans="1:48">
      <c r="A3291" s="1">
        <f>HYPERLINK("https://lsnyc.legalserver.org/matter/dynamic-profile/view/1911733","19-1911733")</f>
        <v>0</v>
      </c>
      <c r="B3291" t="s">
        <v>71</v>
      </c>
      <c r="C3291" t="s">
        <v>256</v>
      </c>
      <c r="D3291" t="s">
        <v>290</v>
      </c>
      <c r="F3291" t="s">
        <v>1412</v>
      </c>
      <c r="G3291" t="s">
        <v>3977</v>
      </c>
      <c r="H3291" t="s">
        <v>7268</v>
      </c>
      <c r="I3291" t="s">
        <v>8132</v>
      </c>
      <c r="J3291" t="s">
        <v>9059</v>
      </c>
      <c r="K3291">
        <v>11206</v>
      </c>
      <c r="L3291" t="s">
        <v>9094</v>
      </c>
      <c r="M3291" t="s">
        <v>9095</v>
      </c>
      <c r="N3291" t="s">
        <v>9625</v>
      </c>
      <c r="O3291" t="s">
        <v>11128</v>
      </c>
      <c r="R3291" t="s">
        <v>11180</v>
      </c>
      <c r="S3291" t="s">
        <v>9096</v>
      </c>
      <c r="T3291" t="s">
        <v>11183</v>
      </c>
      <c r="U3291" t="s">
        <v>11201</v>
      </c>
      <c r="V3291" t="s">
        <v>290</v>
      </c>
      <c r="W3291">
        <v>711</v>
      </c>
      <c r="X3291" t="s">
        <v>11332</v>
      </c>
      <c r="Y3291" t="s">
        <v>11157</v>
      </c>
      <c r="Z3291" t="s">
        <v>13566</v>
      </c>
      <c r="AA3291" t="s">
        <v>15777</v>
      </c>
      <c r="AB3291" t="s">
        <v>17904</v>
      </c>
      <c r="AC3291">
        <v>82</v>
      </c>
      <c r="AD3291" t="s">
        <v>19566</v>
      </c>
      <c r="AE3291" t="s">
        <v>9144</v>
      </c>
      <c r="AF3291">
        <v>8</v>
      </c>
      <c r="AG3291">
        <v>1</v>
      </c>
      <c r="AH3291">
        <v>4</v>
      </c>
      <c r="AI3291">
        <v>112.03</v>
      </c>
      <c r="AL3291" t="s">
        <v>19614</v>
      </c>
      <c r="AM3291">
        <v>33800</v>
      </c>
      <c r="AS3291">
        <v>0</v>
      </c>
      <c r="AU3291" t="s">
        <v>20633</v>
      </c>
      <c r="AV3291" t="s">
        <v>20733</v>
      </c>
    </row>
    <row r="3292" spans="1:48">
      <c r="A3292" s="1">
        <f>HYPERLINK("https://lsnyc.legalserver.org/matter/dynamic-profile/view/1912104","19-1912104")</f>
        <v>0</v>
      </c>
      <c r="B3292" t="s">
        <v>71</v>
      </c>
      <c r="C3292" t="s">
        <v>256</v>
      </c>
      <c r="D3292" t="s">
        <v>404</v>
      </c>
      <c r="F3292" t="s">
        <v>1412</v>
      </c>
      <c r="G3292" t="s">
        <v>3977</v>
      </c>
      <c r="H3292" t="s">
        <v>7269</v>
      </c>
      <c r="I3292" t="s">
        <v>8132</v>
      </c>
      <c r="J3292" t="s">
        <v>9059</v>
      </c>
      <c r="K3292">
        <v>11206</v>
      </c>
      <c r="L3292" t="s">
        <v>9094</v>
      </c>
      <c r="M3292" t="s">
        <v>9095</v>
      </c>
      <c r="N3292" t="s">
        <v>10347</v>
      </c>
      <c r="O3292" t="s">
        <v>11129</v>
      </c>
      <c r="P3292" t="s">
        <v>11165</v>
      </c>
      <c r="R3292" t="s">
        <v>11180</v>
      </c>
      <c r="S3292" t="s">
        <v>9096</v>
      </c>
      <c r="T3292" t="s">
        <v>11183</v>
      </c>
      <c r="V3292" t="s">
        <v>290</v>
      </c>
      <c r="W3292">
        <v>711</v>
      </c>
      <c r="X3292" t="s">
        <v>11332</v>
      </c>
      <c r="Y3292" t="s">
        <v>11157</v>
      </c>
      <c r="Z3292" t="s">
        <v>13566</v>
      </c>
      <c r="AB3292" t="s">
        <v>17904</v>
      </c>
      <c r="AC3292">
        <v>82</v>
      </c>
      <c r="AD3292" t="s">
        <v>19566</v>
      </c>
      <c r="AE3292" t="s">
        <v>19580</v>
      </c>
      <c r="AF3292">
        <v>8</v>
      </c>
      <c r="AG3292">
        <v>1</v>
      </c>
      <c r="AH3292">
        <v>4</v>
      </c>
      <c r="AI3292">
        <v>112.03</v>
      </c>
      <c r="AL3292" t="s">
        <v>19614</v>
      </c>
      <c r="AM3292">
        <v>33800</v>
      </c>
      <c r="AS3292">
        <v>2.5</v>
      </c>
      <c r="AT3292" t="s">
        <v>570</v>
      </c>
      <c r="AU3292" t="s">
        <v>79</v>
      </c>
      <c r="AV3292" t="s">
        <v>20733</v>
      </c>
    </row>
    <row r="3293" spans="1:48">
      <c r="A3293" s="1">
        <f>HYPERLINK("https://lsnyc.legalserver.org/matter/dynamic-profile/view/1897335","19-1897335")</f>
        <v>0</v>
      </c>
      <c r="B3293" t="s">
        <v>101</v>
      </c>
      <c r="C3293" t="s">
        <v>256</v>
      </c>
      <c r="D3293" t="s">
        <v>434</v>
      </c>
      <c r="F3293" t="s">
        <v>1146</v>
      </c>
      <c r="G3293" t="s">
        <v>3448</v>
      </c>
      <c r="H3293" t="s">
        <v>7270</v>
      </c>
      <c r="I3293">
        <v>1</v>
      </c>
      <c r="J3293" t="s">
        <v>9065</v>
      </c>
      <c r="K3293">
        <v>10468</v>
      </c>
      <c r="L3293" t="s">
        <v>9094</v>
      </c>
      <c r="M3293" t="s">
        <v>9095</v>
      </c>
      <c r="P3293" t="s">
        <v>11166</v>
      </c>
      <c r="R3293" t="s">
        <v>11180</v>
      </c>
      <c r="T3293" t="s">
        <v>11183</v>
      </c>
      <c r="V3293" t="s">
        <v>760</v>
      </c>
      <c r="W3293">
        <v>0</v>
      </c>
      <c r="X3293" t="s">
        <v>11333</v>
      </c>
      <c r="AB3293" t="s">
        <v>17905</v>
      </c>
      <c r="AC3293">
        <v>0</v>
      </c>
      <c r="AF3293">
        <v>0</v>
      </c>
      <c r="AG3293">
        <v>3</v>
      </c>
      <c r="AH3293">
        <v>2</v>
      </c>
      <c r="AI3293">
        <v>112.03</v>
      </c>
      <c r="AL3293" t="s">
        <v>19615</v>
      </c>
      <c r="AM3293">
        <v>33800</v>
      </c>
      <c r="AS3293">
        <v>3</v>
      </c>
      <c r="AT3293" t="s">
        <v>608</v>
      </c>
      <c r="AU3293" t="s">
        <v>101</v>
      </c>
      <c r="AV3293" t="s">
        <v>20733</v>
      </c>
    </row>
    <row r="3294" spans="1:48">
      <c r="A3294" s="1">
        <f>HYPERLINK("https://lsnyc.legalserver.org/matter/dynamic-profile/view/1910707","19-1910707")</f>
        <v>0</v>
      </c>
      <c r="B3294" t="s">
        <v>65</v>
      </c>
      <c r="C3294" t="s">
        <v>256</v>
      </c>
      <c r="D3294" t="s">
        <v>307</v>
      </c>
      <c r="F3294" t="s">
        <v>1200</v>
      </c>
      <c r="G3294" t="s">
        <v>3611</v>
      </c>
      <c r="H3294" t="s">
        <v>5743</v>
      </c>
      <c r="I3294" t="s">
        <v>8667</v>
      </c>
      <c r="J3294" t="s">
        <v>9059</v>
      </c>
      <c r="K3294">
        <v>11238</v>
      </c>
      <c r="L3294" t="s">
        <v>9095</v>
      </c>
      <c r="M3294" t="s">
        <v>9095</v>
      </c>
      <c r="P3294" t="s">
        <v>11166</v>
      </c>
      <c r="R3294" t="s">
        <v>11180</v>
      </c>
      <c r="T3294" t="s">
        <v>11183</v>
      </c>
      <c r="W3294">
        <v>0</v>
      </c>
      <c r="X3294" t="s">
        <v>11332</v>
      </c>
      <c r="Z3294" t="s">
        <v>13567</v>
      </c>
      <c r="AC3294">
        <v>0</v>
      </c>
      <c r="AF3294">
        <v>0</v>
      </c>
      <c r="AG3294">
        <v>1</v>
      </c>
      <c r="AH3294">
        <v>0</v>
      </c>
      <c r="AI3294">
        <v>112.09</v>
      </c>
      <c r="AL3294" t="s">
        <v>19614</v>
      </c>
      <c r="AM3294">
        <v>14000</v>
      </c>
      <c r="AS3294">
        <v>17.4</v>
      </c>
      <c r="AT3294" t="s">
        <v>703</v>
      </c>
      <c r="AU3294" t="s">
        <v>67</v>
      </c>
    </row>
    <row r="3295" spans="1:48">
      <c r="A3295" s="1">
        <f>HYPERLINK("https://lsnyc.legalserver.org/matter/dynamic-profile/view/1892967","19-1892967")</f>
        <v>0</v>
      </c>
      <c r="B3295" t="s">
        <v>232</v>
      </c>
      <c r="C3295" t="s">
        <v>256</v>
      </c>
      <c r="D3295" t="s">
        <v>423</v>
      </c>
      <c r="F3295" t="s">
        <v>1566</v>
      </c>
      <c r="G3295" t="s">
        <v>3434</v>
      </c>
      <c r="H3295" t="s">
        <v>7271</v>
      </c>
      <c r="I3295" t="s">
        <v>8715</v>
      </c>
      <c r="J3295" t="s">
        <v>9059</v>
      </c>
      <c r="K3295">
        <v>11208</v>
      </c>
      <c r="L3295" t="s">
        <v>9094</v>
      </c>
      <c r="M3295" t="s">
        <v>9094</v>
      </c>
      <c r="N3295" t="s">
        <v>10348</v>
      </c>
      <c r="O3295" t="s">
        <v>11129</v>
      </c>
      <c r="P3295" t="s">
        <v>11164</v>
      </c>
      <c r="R3295" t="s">
        <v>11180</v>
      </c>
      <c r="T3295" t="s">
        <v>11183</v>
      </c>
      <c r="V3295" t="s">
        <v>635</v>
      </c>
      <c r="W3295">
        <v>1400</v>
      </c>
      <c r="X3295" t="s">
        <v>11332</v>
      </c>
      <c r="Y3295" t="s">
        <v>11336</v>
      </c>
      <c r="Z3295" t="s">
        <v>11900</v>
      </c>
      <c r="AB3295" t="s">
        <v>17906</v>
      </c>
      <c r="AC3295">
        <v>40</v>
      </c>
      <c r="AE3295" t="s">
        <v>9144</v>
      </c>
      <c r="AF3295">
        <v>12</v>
      </c>
      <c r="AG3295">
        <v>1</v>
      </c>
      <c r="AH3295">
        <v>0</v>
      </c>
      <c r="AI3295">
        <v>112.09</v>
      </c>
      <c r="AL3295" t="s">
        <v>19614</v>
      </c>
      <c r="AM3295">
        <v>14000</v>
      </c>
      <c r="AS3295">
        <v>0.9</v>
      </c>
      <c r="AT3295" t="s">
        <v>373</v>
      </c>
      <c r="AU3295" t="s">
        <v>20633</v>
      </c>
    </row>
    <row r="3296" spans="1:48">
      <c r="A3296" s="1">
        <f>HYPERLINK("https://lsnyc.legalserver.org/matter/dynamic-profile/view/1905416","19-1905416")</f>
        <v>0</v>
      </c>
      <c r="B3296" t="s">
        <v>98</v>
      </c>
      <c r="C3296" t="s">
        <v>257</v>
      </c>
      <c r="D3296" t="s">
        <v>408</v>
      </c>
      <c r="E3296" t="s">
        <v>328</v>
      </c>
      <c r="F3296" t="s">
        <v>1226</v>
      </c>
      <c r="G3296" t="s">
        <v>4717</v>
      </c>
      <c r="H3296" t="s">
        <v>7272</v>
      </c>
      <c r="I3296" t="s">
        <v>8390</v>
      </c>
      <c r="J3296" t="s">
        <v>9065</v>
      </c>
      <c r="K3296">
        <v>10458</v>
      </c>
      <c r="L3296" t="s">
        <v>9094</v>
      </c>
      <c r="M3296" t="s">
        <v>9095</v>
      </c>
      <c r="O3296" t="s">
        <v>9121</v>
      </c>
      <c r="P3296" t="s">
        <v>11164</v>
      </c>
      <c r="Q3296" t="s">
        <v>11172</v>
      </c>
      <c r="R3296" t="s">
        <v>11180</v>
      </c>
      <c r="S3296" t="s">
        <v>9096</v>
      </c>
      <c r="T3296" t="s">
        <v>11183</v>
      </c>
      <c r="V3296" t="s">
        <v>493</v>
      </c>
      <c r="W3296">
        <v>2000</v>
      </c>
      <c r="X3296" t="s">
        <v>11333</v>
      </c>
      <c r="Y3296" t="s">
        <v>11346</v>
      </c>
      <c r="Z3296" t="s">
        <v>13568</v>
      </c>
      <c r="AB3296" t="s">
        <v>17907</v>
      </c>
      <c r="AC3296">
        <v>36</v>
      </c>
      <c r="AD3296" t="s">
        <v>19566</v>
      </c>
      <c r="AE3296" t="s">
        <v>9144</v>
      </c>
      <c r="AF3296">
        <v>1</v>
      </c>
      <c r="AG3296">
        <v>1</v>
      </c>
      <c r="AH3296">
        <v>0</v>
      </c>
      <c r="AI3296">
        <v>112.09</v>
      </c>
      <c r="AM3296">
        <v>14000</v>
      </c>
      <c r="AS3296">
        <v>1</v>
      </c>
      <c r="AT3296" t="s">
        <v>457</v>
      </c>
      <c r="AU3296" t="s">
        <v>20642</v>
      </c>
      <c r="AV3296" t="s">
        <v>20733</v>
      </c>
    </row>
    <row r="3297" spans="1:48">
      <c r="A3297" s="1">
        <f>HYPERLINK("https://lsnyc.legalserver.org/matter/dynamic-profile/view/1912892","19-1912892")</f>
        <v>0</v>
      </c>
      <c r="B3297" t="s">
        <v>177</v>
      </c>
      <c r="C3297" t="s">
        <v>256</v>
      </c>
      <c r="D3297" t="s">
        <v>294</v>
      </c>
      <c r="F3297" t="s">
        <v>1461</v>
      </c>
      <c r="G3297" t="s">
        <v>4718</v>
      </c>
      <c r="H3297" t="s">
        <v>7273</v>
      </c>
      <c r="I3297" t="s">
        <v>8112</v>
      </c>
      <c r="J3297" t="s">
        <v>9067</v>
      </c>
      <c r="K3297">
        <v>10128</v>
      </c>
      <c r="L3297" t="s">
        <v>9094</v>
      </c>
      <c r="M3297" t="s">
        <v>9095</v>
      </c>
      <c r="O3297" t="s">
        <v>9121</v>
      </c>
      <c r="P3297" t="s">
        <v>11169</v>
      </c>
      <c r="R3297" t="s">
        <v>11180</v>
      </c>
      <c r="S3297" t="s">
        <v>9096</v>
      </c>
      <c r="T3297" t="s">
        <v>11183</v>
      </c>
      <c r="U3297" t="s">
        <v>11201</v>
      </c>
      <c r="V3297" t="s">
        <v>294</v>
      </c>
      <c r="W3297">
        <v>1200</v>
      </c>
      <c r="X3297" t="s">
        <v>11335</v>
      </c>
      <c r="Y3297" t="s">
        <v>11346</v>
      </c>
      <c r="Z3297" t="s">
        <v>13569</v>
      </c>
      <c r="AB3297" t="s">
        <v>17908</v>
      </c>
      <c r="AC3297">
        <v>11</v>
      </c>
      <c r="AD3297" t="s">
        <v>15441</v>
      </c>
      <c r="AF3297">
        <v>5</v>
      </c>
      <c r="AG3297">
        <v>1</v>
      </c>
      <c r="AH3297">
        <v>0</v>
      </c>
      <c r="AI3297">
        <v>112.09</v>
      </c>
      <c r="AL3297" t="s">
        <v>19614</v>
      </c>
      <c r="AM3297">
        <v>14000</v>
      </c>
      <c r="AS3297">
        <v>0.5</v>
      </c>
      <c r="AT3297" t="s">
        <v>321</v>
      </c>
      <c r="AU3297" t="s">
        <v>20663</v>
      </c>
    </row>
    <row r="3298" spans="1:48">
      <c r="A3298" s="1">
        <f>HYPERLINK("https://lsnyc.legalserver.org/matter/dynamic-profile/view/1886947","19-1886947")</f>
        <v>0</v>
      </c>
      <c r="B3298" t="s">
        <v>142</v>
      </c>
      <c r="C3298" t="s">
        <v>256</v>
      </c>
      <c r="D3298" t="s">
        <v>582</v>
      </c>
      <c r="F3298" t="s">
        <v>2091</v>
      </c>
      <c r="G3298" t="s">
        <v>3639</v>
      </c>
      <c r="H3298" t="s">
        <v>7274</v>
      </c>
      <c r="I3298" t="s">
        <v>8716</v>
      </c>
      <c r="J3298" t="s">
        <v>9067</v>
      </c>
      <c r="K3298">
        <v>10023</v>
      </c>
      <c r="L3298" t="s">
        <v>9094</v>
      </c>
      <c r="M3298" t="s">
        <v>9094</v>
      </c>
      <c r="O3298" t="s">
        <v>9121</v>
      </c>
      <c r="P3298" t="s">
        <v>11167</v>
      </c>
      <c r="R3298" t="s">
        <v>11180</v>
      </c>
      <c r="S3298" t="s">
        <v>9096</v>
      </c>
      <c r="T3298" t="s">
        <v>11183</v>
      </c>
      <c r="U3298" t="s">
        <v>11202</v>
      </c>
      <c r="V3298" t="s">
        <v>582</v>
      </c>
      <c r="W3298">
        <v>675</v>
      </c>
      <c r="X3298" t="s">
        <v>11335</v>
      </c>
      <c r="Y3298" t="s">
        <v>11350</v>
      </c>
      <c r="Z3298" t="s">
        <v>13570</v>
      </c>
      <c r="AB3298" t="s">
        <v>17909</v>
      </c>
      <c r="AC3298">
        <v>20</v>
      </c>
      <c r="AD3298" t="s">
        <v>19566</v>
      </c>
      <c r="AE3298" t="s">
        <v>9144</v>
      </c>
      <c r="AF3298">
        <v>30</v>
      </c>
      <c r="AG3298">
        <v>1</v>
      </c>
      <c r="AH3298">
        <v>0</v>
      </c>
      <c r="AI3298">
        <v>112.19</v>
      </c>
      <c r="AL3298" t="s">
        <v>19614</v>
      </c>
      <c r="AM3298">
        <v>13620</v>
      </c>
      <c r="AS3298">
        <v>9</v>
      </c>
      <c r="AT3298" t="s">
        <v>472</v>
      </c>
      <c r="AU3298" t="s">
        <v>20657</v>
      </c>
    </row>
    <row r="3299" spans="1:48">
      <c r="A3299" s="1">
        <f>HYPERLINK("https://lsnyc.legalserver.org/matter/dynamic-profile/view/1893564","19-1893564")</f>
        <v>0</v>
      </c>
      <c r="B3299" t="s">
        <v>137</v>
      </c>
      <c r="C3299" t="s">
        <v>256</v>
      </c>
      <c r="D3299" t="s">
        <v>573</v>
      </c>
      <c r="F3299" t="s">
        <v>2279</v>
      </c>
      <c r="G3299" t="s">
        <v>2780</v>
      </c>
      <c r="H3299" t="s">
        <v>7275</v>
      </c>
      <c r="I3299" t="s">
        <v>8216</v>
      </c>
      <c r="J3299" t="s">
        <v>9067</v>
      </c>
      <c r="K3299">
        <v>10034</v>
      </c>
      <c r="L3299" t="s">
        <v>9095</v>
      </c>
      <c r="M3299" t="s">
        <v>9095</v>
      </c>
      <c r="N3299" t="s">
        <v>10349</v>
      </c>
      <c r="O3299" t="s">
        <v>11129</v>
      </c>
      <c r="P3299" t="s">
        <v>11164</v>
      </c>
      <c r="R3299" t="s">
        <v>11180</v>
      </c>
      <c r="T3299" t="s">
        <v>11183</v>
      </c>
      <c r="W3299">
        <v>1250</v>
      </c>
      <c r="X3299" t="s">
        <v>11335</v>
      </c>
      <c r="Y3299" t="s">
        <v>11340</v>
      </c>
      <c r="Z3299" t="s">
        <v>13571</v>
      </c>
      <c r="AB3299" t="s">
        <v>17910</v>
      </c>
      <c r="AC3299">
        <v>33</v>
      </c>
      <c r="AD3299" t="s">
        <v>19569</v>
      </c>
      <c r="AE3299" t="s">
        <v>19580</v>
      </c>
      <c r="AF3299">
        <v>15</v>
      </c>
      <c r="AG3299">
        <v>1</v>
      </c>
      <c r="AH3299">
        <v>0</v>
      </c>
      <c r="AI3299">
        <v>112.27</v>
      </c>
      <c r="AL3299" t="s">
        <v>19614</v>
      </c>
      <c r="AM3299">
        <v>14022</v>
      </c>
      <c r="AS3299">
        <v>2.6</v>
      </c>
      <c r="AT3299" t="s">
        <v>617</v>
      </c>
      <c r="AU3299" t="s">
        <v>20639</v>
      </c>
    </row>
    <row r="3300" spans="1:48">
      <c r="A3300" s="1">
        <f>HYPERLINK("https://lsnyc.legalserver.org/matter/dynamic-profile/view/1840076","17-1840076")</f>
        <v>0</v>
      </c>
      <c r="B3300" t="s">
        <v>92</v>
      </c>
      <c r="C3300" t="s">
        <v>257</v>
      </c>
      <c r="D3300" t="s">
        <v>534</v>
      </c>
      <c r="E3300" t="s">
        <v>370</v>
      </c>
      <c r="F3300" t="s">
        <v>1788</v>
      </c>
      <c r="G3300" t="s">
        <v>4719</v>
      </c>
      <c r="H3300" t="s">
        <v>7276</v>
      </c>
      <c r="I3300" t="s">
        <v>8154</v>
      </c>
      <c r="J3300" t="s">
        <v>9059</v>
      </c>
      <c r="K3300">
        <v>11207</v>
      </c>
      <c r="L3300" t="s">
        <v>9094</v>
      </c>
      <c r="M3300" t="s">
        <v>9094</v>
      </c>
      <c r="N3300" t="s">
        <v>9323</v>
      </c>
      <c r="O3300" t="s">
        <v>11130</v>
      </c>
      <c r="P3300" t="s">
        <v>11165</v>
      </c>
      <c r="Q3300" t="s">
        <v>11174</v>
      </c>
      <c r="R3300" t="s">
        <v>11180</v>
      </c>
      <c r="S3300" t="s">
        <v>9094</v>
      </c>
      <c r="T3300" t="s">
        <v>11183</v>
      </c>
      <c r="U3300" t="s">
        <v>11201</v>
      </c>
      <c r="V3300" t="s">
        <v>534</v>
      </c>
      <c r="W3300">
        <v>1400</v>
      </c>
      <c r="X3300" t="s">
        <v>11332</v>
      </c>
      <c r="Z3300" t="s">
        <v>13572</v>
      </c>
      <c r="AB3300" t="s">
        <v>17911</v>
      </c>
      <c r="AC3300">
        <v>6</v>
      </c>
      <c r="AD3300" t="s">
        <v>19566</v>
      </c>
      <c r="AF3300">
        <v>0</v>
      </c>
      <c r="AG3300">
        <v>2</v>
      </c>
      <c r="AH3300">
        <v>0</v>
      </c>
      <c r="AI3300">
        <v>112.32</v>
      </c>
      <c r="AL3300" t="s">
        <v>19615</v>
      </c>
      <c r="AM3300">
        <v>27060</v>
      </c>
      <c r="AS3300">
        <v>1.92</v>
      </c>
      <c r="AT3300" t="s">
        <v>559</v>
      </c>
      <c r="AU3300" t="s">
        <v>20636</v>
      </c>
      <c r="AV3300" t="s">
        <v>20733</v>
      </c>
    </row>
    <row r="3301" spans="1:48">
      <c r="A3301" s="1">
        <f>HYPERLINK("https://lsnyc.legalserver.org/matter/dynamic-profile/view/0806036","16-0806036")</f>
        <v>0</v>
      </c>
      <c r="B3301" t="s">
        <v>58</v>
      </c>
      <c r="C3301" t="s">
        <v>256</v>
      </c>
      <c r="D3301" t="s">
        <v>1007</v>
      </c>
      <c r="F3301" t="s">
        <v>2480</v>
      </c>
      <c r="G3301" t="s">
        <v>3474</v>
      </c>
      <c r="H3301" t="s">
        <v>5706</v>
      </c>
      <c r="I3301" t="s">
        <v>8191</v>
      </c>
      <c r="J3301" t="s">
        <v>9039</v>
      </c>
      <c r="K3301">
        <v>11432</v>
      </c>
      <c r="L3301" t="s">
        <v>9094</v>
      </c>
      <c r="M3301" t="s">
        <v>9095</v>
      </c>
      <c r="O3301" t="s">
        <v>11132</v>
      </c>
      <c r="P3301" t="s">
        <v>11165</v>
      </c>
      <c r="R3301" t="s">
        <v>11180</v>
      </c>
      <c r="S3301" t="s">
        <v>9096</v>
      </c>
      <c r="T3301" t="s">
        <v>11183</v>
      </c>
      <c r="V3301" t="s">
        <v>731</v>
      </c>
      <c r="W3301">
        <v>1175</v>
      </c>
      <c r="X3301" t="s">
        <v>11331</v>
      </c>
      <c r="Y3301" t="s">
        <v>11340</v>
      </c>
      <c r="Z3301" t="s">
        <v>12443</v>
      </c>
      <c r="AA3301" t="s">
        <v>9675</v>
      </c>
      <c r="AB3301" t="s">
        <v>17887</v>
      </c>
      <c r="AC3301">
        <v>170</v>
      </c>
      <c r="AD3301" t="s">
        <v>19566</v>
      </c>
      <c r="AE3301" t="s">
        <v>9144</v>
      </c>
      <c r="AF3301">
        <v>3</v>
      </c>
      <c r="AG3301">
        <v>2</v>
      </c>
      <c r="AH3301">
        <v>0</v>
      </c>
      <c r="AI3301">
        <v>112.36</v>
      </c>
      <c r="AJ3301" t="s">
        <v>19592</v>
      </c>
      <c r="AL3301" t="s">
        <v>19616</v>
      </c>
      <c r="AM3301">
        <v>18000</v>
      </c>
      <c r="AN3301" t="s">
        <v>19710</v>
      </c>
      <c r="AS3301">
        <v>13.25</v>
      </c>
      <c r="AT3301" t="s">
        <v>1103</v>
      </c>
      <c r="AU3301" t="s">
        <v>20719</v>
      </c>
    </row>
    <row r="3302" spans="1:48">
      <c r="A3302" s="1">
        <f>HYPERLINK("https://lsnyc.legalserver.org/matter/dynamic-profile/view/1915200","19-1915200")</f>
        <v>0</v>
      </c>
      <c r="B3302" t="s">
        <v>62</v>
      </c>
      <c r="C3302" t="s">
        <v>256</v>
      </c>
      <c r="D3302" t="s">
        <v>1008</v>
      </c>
      <c r="F3302" t="s">
        <v>1561</v>
      </c>
      <c r="G3302" t="s">
        <v>3418</v>
      </c>
      <c r="H3302" t="s">
        <v>7277</v>
      </c>
      <c r="I3302" t="s">
        <v>8717</v>
      </c>
      <c r="J3302" t="s">
        <v>9054</v>
      </c>
      <c r="K3302">
        <v>11368</v>
      </c>
      <c r="L3302" t="s">
        <v>9095</v>
      </c>
      <c r="M3302" t="s">
        <v>9095</v>
      </c>
      <c r="N3302" t="s">
        <v>10350</v>
      </c>
      <c r="O3302" t="s">
        <v>11128</v>
      </c>
      <c r="P3302" t="s">
        <v>11165</v>
      </c>
      <c r="R3302" t="s">
        <v>11180</v>
      </c>
      <c r="S3302" t="s">
        <v>9096</v>
      </c>
      <c r="T3302" t="s">
        <v>11183</v>
      </c>
      <c r="W3302">
        <v>1188.26</v>
      </c>
      <c r="X3302" t="s">
        <v>11331</v>
      </c>
      <c r="Z3302" t="s">
        <v>13573</v>
      </c>
      <c r="AB3302" t="s">
        <v>17912</v>
      </c>
      <c r="AC3302">
        <v>0</v>
      </c>
      <c r="AD3302" t="s">
        <v>19566</v>
      </c>
      <c r="AF3302">
        <v>22</v>
      </c>
      <c r="AG3302">
        <v>2</v>
      </c>
      <c r="AH3302">
        <v>0</v>
      </c>
      <c r="AI3302">
        <v>112.36</v>
      </c>
      <c r="AL3302" t="s">
        <v>19615</v>
      </c>
      <c r="AM3302">
        <v>19000</v>
      </c>
      <c r="AS3302">
        <v>16.05</v>
      </c>
      <c r="AT3302" t="s">
        <v>594</v>
      </c>
      <c r="AU3302" t="s">
        <v>62</v>
      </c>
    </row>
    <row r="3303" spans="1:48">
      <c r="A3303" s="1">
        <f>HYPERLINK("https://lsnyc.legalserver.org/matter/dynamic-profile/view/1913831","19-1913831")</f>
        <v>0</v>
      </c>
      <c r="B3303" t="s">
        <v>211</v>
      </c>
      <c r="C3303" t="s">
        <v>257</v>
      </c>
      <c r="D3303" t="s">
        <v>301</v>
      </c>
      <c r="E3303" t="s">
        <v>476</v>
      </c>
      <c r="F3303" t="s">
        <v>2488</v>
      </c>
      <c r="G3303" t="s">
        <v>4720</v>
      </c>
      <c r="H3303" t="s">
        <v>7278</v>
      </c>
      <c r="I3303" t="s">
        <v>8108</v>
      </c>
      <c r="J3303" t="s">
        <v>9055</v>
      </c>
      <c r="K3303">
        <v>11354</v>
      </c>
      <c r="L3303" t="s">
        <v>9094</v>
      </c>
      <c r="M3303" t="s">
        <v>9095</v>
      </c>
      <c r="N3303" t="s">
        <v>10351</v>
      </c>
      <c r="O3303" t="s">
        <v>11128</v>
      </c>
      <c r="P3303" t="s">
        <v>11164</v>
      </c>
      <c r="Q3303" t="s">
        <v>11172</v>
      </c>
      <c r="R3303" t="s">
        <v>11180</v>
      </c>
      <c r="S3303" t="s">
        <v>9096</v>
      </c>
      <c r="T3303" t="s">
        <v>11183</v>
      </c>
      <c r="U3303" t="s">
        <v>11201</v>
      </c>
      <c r="V3303" t="s">
        <v>496</v>
      </c>
      <c r="W3303">
        <v>1500</v>
      </c>
      <c r="X3303" t="s">
        <v>11331</v>
      </c>
      <c r="Y3303" t="s">
        <v>11336</v>
      </c>
      <c r="Z3303" t="s">
        <v>13574</v>
      </c>
      <c r="AB3303" t="s">
        <v>17913</v>
      </c>
      <c r="AC3303">
        <v>3</v>
      </c>
      <c r="AD3303" t="s">
        <v>19565</v>
      </c>
      <c r="AE3303" t="s">
        <v>9144</v>
      </c>
      <c r="AF3303">
        <v>5</v>
      </c>
      <c r="AG3303">
        <v>2</v>
      </c>
      <c r="AH3303">
        <v>0</v>
      </c>
      <c r="AI3303">
        <v>112.36</v>
      </c>
      <c r="AL3303" t="s">
        <v>19622</v>
      </c>
      <c r="AM3303">
        <v>19000</v>
      </c>
      <c r="AS3303">
        <v>2.53</v>
      </c>
      <c r="AT3303" t="s">
        <v>703</v>
      </c>
      <c r="AU3303" t="s">
        <v>20619</v>
      </c>
      <c r="AV3303" t="s">
        <v>20733</v>
      </c>
    </row>
    <row r="3304" spans="1:48">
      <c r="A3304" s="1">
        <f>HYPERLINK("https://lsnyc.legalserver.org/matter/dynamic-profile/view/1901624","19-1901624")</f>
        <v>0</v>
      </c>
      <c r="B3304" t="s">
        <v>86</v>
      </c>
      <c r="C3304" t="s">
        <v>256</v>
      </c>
      <c r="D3304" t="s">
        <v>988</v>
      </c>
      <c r="F3304" t="s">
        <v>2489</v>
      </c>
      <c r="G3304" t="s">
        <v>3536</v>
      </c>
      <c r="H3304" t="s">
        <v>7279</v>
      </c>
      <c r="J3304" t="s">
        <v>9059</v>
      </c>
      <c r="K3304">
        <v>11213</v>
      </c>
      <c r="L3304" t="s">
        <v>9094</v>
      </c>
      <c r="M3304" t="s">
        <v>9095</v>
      </c>
      <c r="O3304" t="s">
        <v>11128</v>
      </c>
      <c r="P3304" t="s">
        <v>11165</v>
      </c>
      <c r="R3304" t="s">
        <v>11180</v>
      </c>
      <c r="S3304" t="s">
        <v>9096</v>
      </c>
      <c r="T3304" t="s">
        <v>11183</v>
      </c>
      <c r="V3304" t="s">
        <v>988</v>
      </c>
      <c r="W3304">
        <v>999.11</v>
      </c>
      <c r="X3304" t="s">
        <v>11332</v>
      </c>
      <c r="Z3304" t="s">
        <v>12659</v>
      </c>
      <c r="AB3304" t="s">
        <v>17914</v>
      </c>
      <c r="AC3304">
        <v>0</v>
      </c>
      <c r="AF3304">
        <v>13</v>
      </c>
      <c r="AG3304">
        <v>2</v>
      </c>
      <c r="AH3304">
        <v>0</v>
      </c>
      <c r="AI3304">
        <v>112.36</v>
      </c>
      <c r="AL3304" t="s">
        <v>19614</v>
      </c>
      <c r="AM3304">
        <v>19000</v>
      </c>
      <c r="AS3304">
        <v>0</v>
      </c>
      <c r="AU3304" t="s">
        <v>215</v>
      </c>
      <c r="AV3304" t="s">
        <v>20733</v>
      </c>
    </row>
    <row r="3305" spans="1:48">
      <c r="A3305" s="1">
        <f>HYPERLINK("https://lsnyc.legalserver.org/matter/dynamic-profile/view/1903813","19-1903813")</f>
        <v>0</v>
      </c>
      <c r="B3305" t="s">
        <v>86</v>
      </c>
      <c r="C3305" t="s">
        <v>256</v>
      </c>
      <c r="D3305" t="s">
        <v>597</v>
      </c>
      <c r="F3305" t="s">
        <v>2053</v>
      </c>
      <c r="G3305" t="s">
        <v>4721</v>
      </c>
      <c r="H3305" t="s">
        <v>7032</v>
      </c>
      <c r="I3305" t="s">
        <v>8169</v>
      </c>
      <c r="J3305" t="s">
        <v>9059</v>
      </c>
      <c r="K3305">
        <v>11220</v>
      </c>
      <c r="L3305" t="s">
        <v>9094</v>
      </c>
      <c r="M3305" t="s">
        <v>9095</v>
      </c>
      <c r="O3305" t="s">
        <v>11130</v>
      </c>
      <c r="P3305" t="s">
        <v>11165</v>
      </c>
      <c r="R3305" t="s">
        <v>11180</v>
      </c>
      <c r="S3305" t="s">
        <v>9094</v>
      </c>
      <c r="T3305" t="s">
        <v>11183</v>
      </c>
      <c r="V3305" t="s">
        <v>785</v>
      </c>
      <c r="W3305">
        <v>0</v>
      </c>
      <c r="X3305" t="s">
        <v>11332</v>
      </c>
      <c r="Z3305" t="s">
        <v>13575</v>
      </c>
      <c r="AB3305" t="s">
        <v>17915</v>
      </c>
      <c r="AC3305">
        <v>0</v>
      </c>
      <c r="AF3305">
        <v>0</v>
      </c>
      <c r="AG3305">
        <v>2</v>
      </c>
      <c r="AH3305">
        <v>0</v>
      </c>
      <c r="AI3305">
        <v>112.48</v>
      </c>
      <c r="AL3305" t="s">
        <v>19614</v>
      </c>
      <c r="AM3305">
        <v>19020</v>
      </c>
      <c r="AS3305">
        <v>0.3</v>
      </c>
      <c r="AT3305" t="s">
        <v>597</v>
      </c>
      <c r="AU3305" t="s">
        <v>67</v>
      </c>
      <c r="AV3305" t="s">
        <v>20733</v>
      </c>
    </row>
    <row r="3306" spans="1:48">
      <c r="A3306" s="1">
        <f>HYPERLINK("https://lsnyc.legalserver.org/matter/dynamic-profile/view/1903768","19-1903768")</f>
        <v>0</v>
      </c>
      <c r="B3306" t="s">
        <v>151</v>
      </c>
      <c r="C3306" t="s">
        <v>257</v>
      </c>
      <c r="D3306" t="s">
        <v>706</v>
      </c>
      <c r="E3306" t="s">
        <v>1130</v>
      </c>
      <c r="F3306" t="s">
        <v>1526</v>
      </c>
      <c r="G3306" t="s">
        <v>3427</v>
      </c>
      <c r="H3306" t="s">
        <v>6079</v>
      </c>
      <c r="I3306" t="s">
        <v>8141</v>
      </c>
      <c r="J3306" t="s">
        <v>9059</v>
      </c>
      <c r="K3306">
        <v>11207</v>
      </c>
      <c r="L3306" t="s">
        <v>9094</v>
      </c>
      <c r="M3306" t="s">
        <v>9095</v>
      </c>
      <c r="N3306" t="s">
        <v>9121</v>
      </c>
      <c r="O3306" t="s">
        <v>9121</v>
      </c>
      <c r="P3306" t="s">
        <v>11167</v>
      </c>
      <c r="Q3306" t="s">
        <v>11173</v>
      </c>
      <c r="R3306" t="s">
        <v>11180</v>
      </c>
      <c r="S3306" t="s">
        <v>9096</v>
      </c>
      <c r="T3306" t="s">
        <v>11183</v>
      </c>
      <c r="U3306" t="s">
        <v>11201</v>
      </c>
      <c r="V3306" t="s">
        <v>706</v>
      </c>
      <c r="W3306">
        <v>1515</v>
      </c>
      <c r="X3306" t="s">
        <v>11332</v>
      </c>
      <c r="Y3306" t="s">
        <v>11340</v>
      </c>
      <c r="Z3306" t="s">
        <v>11811</v>
      </c>
      <c r="AA3306" t="s">
        <v>15381</v>
      </c>
      <c r="AB3306" t="s">
        <v>16275</v>
      </c>
      <c r="AC3306">
        <v>4</v>
      </c>
      <c r="AD3306" t="s">
        <v>19565</v>
      </c>
      <c r="AE3306" t="s">
        <v>19581</v>
      </c>
      <c r="AF3306">
        <v>1</v>
      </c>
      <c r="AG3306">
        <v>1</v>
      </c>
      <c r="AH3306">
        <v>2</v>
      </c>
      <c r="AI3306">
        <v>112.52</v>
      </c>
      <c r="AL3306" t="s">
        <v>19614</v>
      </c>
      <c r="AM3306">
        <v>24000</v>
      </c>
      <c r="AS3306">
        <v>7.3</v>
      </c>
      <c r="AT3306" t="s">
        <v>1130</v>
      </c>
      <c r="AU3306" t="s">
        <v>151</v>
      </c>
      <c r="AV3306" t="s">
        <v>20734</v>
      </c>
    </row>
    <row r="3307" spans="1:48">
      <c r="A3307" s="1">
        <f>HYPERLINK("https://lsnyc.legalserver.org/matter/dynamic-profile/view/1889638","19-1889638")</f>
        <v>0</v>
      </c>
      <c r="B3307" t="s">
        <v>141</v>
      </c>
      <c r="C3307" t="s">
        <v>256</v>
      </c>
      <c r="D3307" t="s">
        <v>784</v>
      </c>
      <c r="F3307" t="s">
        <v>1183</v>
      </c>
      <c r="G3307" t="s">
        <v>4012</v>
      </c>
      <c r="H3307" t="s">
        <v>7280</v>
      </c>
      <c r="I3307">
        <v>65</v>
      </c>
      <c r="J3307" t="s">
        <v>9067</v>
      </c>
      <c r="K3307">
        <v>10034</v>
      </c>
      <c r="L3307" t="s">
        <v>9094</v>
      </c>
      <c r="M3307" t="s">
        <v>9094</v>
      </c>
      <c r="N3307" t="s">
        <v>10352</v>
      </c>
      <c r="O3307" t="s">
        <v>11128</v>
      </c>
      <c r="P3307" t="s">
        <v>11165</v>
      </c>
      <c r="R3307" t="s">
        <v>11180</v>
      </c>
      <c r="S3307" t="s">
        <v>9096</v>
      </c>
      <c r="T3307" t="s">
        <v>11183</v>
      </c>
      <c r="V3307" t="s">
        <v>784</v>
      </c>
      <c r="W3307">
        <v>1313</v>
      </c>
      <c r="X3307" t="s">
        <v>11335</v>
      </c>
      <c r="Y3307" t="s">
        <v>11338</v>
      </c>
      <c r="Z3307" t="s">
        <v>13576</v>
      </c>
      <c r="AB3307" t="s">
        <v>17916</v>
      </c>
      <c r="AC3307">
        <v>100</v>
      </c>
      <c r="AD3307" t="s">
        <v>19566</v>
      </c>
      <c r="AE3307" t="s">
        <v>9144</v>
      </c>
      <c r="AF3307">
        <v>5</v>
      </c>
      <c r="AG3307">
        <v>2</v>
      </c>
      <c r="AH3307">
        <v>1</v>
      </c>
      <c r="AI3307">
        <v>112.52</v>
      </c>
      <c r="AL3307" t="s">
        <v>19615</v>
      </c>
      <c r="AM3307">
        <v>24000</v>
      </c>
      <c r="AS3307">
        <v>55.3</v>
      </c>
      <c r="AT3307" t="s">
        <v>594</v>
      </c>
      <c r="AU3307" t="s">
        <v>130</v>
      </c>
      <c r="AV3307" t="s">
        <v>20733</v>
      </c>
    </row>
    <row r="3308" spans="1:48">
      <c r="A3308" s="1">
        <f>HYPERLINK("https://lsnyc.legalserver.org/matter/dynamic-profile/view/0817107","16-0817107")</f>
        <v>0</v>
      </c>
      <c r="B3308" t="s">
        <v>58</v>
      </c>
      <c r="C3308" t="s">
        <v>256</v>
      </c>
      <c r="D3308" t="s">
        <v>566</v>
      </c>
      <c r="F3308" t="s">
        <v>2490</v>
      </c>
      <c r="G3308" t="s">
        <v>3964</v>
      </c>
      <c r="H3308" t="s">
        <v>6053</v>
      </c>
      <c r="I3308" t="s">
        <v>8193</v>
      </c>
      <c r="J3308" t="s">
        <v>9059</v>
      </c>
      <c r="K3308">
        <v>11225</v>
      </c>
      <c r="L3308" t="s">
        <v>9094</v>
      </c>
      <c r="M3308" t="s">
        <v>9095</v>
      </c>
      <c r="N3308" t="s">
        <v>9493</v>
      </c>
      <c r="O3308" t="s">
        <v>11132</v>
      </c>
      <c r="P3308" t="s">
        <v>11165</v>
      </c>
      <c r="R3308" t="s">
        <v>11180</v>
      </c>
      <c r="S3308" t="s">
        <v>9094</v>
      </c>
      <c r="T3308" t="s">
        <v>11183</v>
      </c>
      <c r="V3308" t="s">
        <v>566</v>
      </c>
      <c r="W3308">
        <v>668.6799999999999</v>
      </c>
      <c r="X3308" t="s">
        <v>11332</v>
      </c>
      <c r="Y3308" t="s">
        <v>11346</v>
      </c>
      <c r="Z3308" t="s">
        <v>13577</v>
      </c>
      <c r="AB3308" t="s">
        <v>17917</v>
      </c>
      <c r="AC3308">
        <v>16</v>
      </c>
      <c r="AD3308" t="s">
        <v>19566</v>
      </c>
      <c r="AE3308" t="s">
        <v>9144</v>
      </c>
      <c r="AF3308">
        <v>15</v>
      </c>
      <c r="AG3308">
        <v>1</v>
      </c>
      <c r="AH3308">
        <v>0</v>
      </c>
      <c r="AI3308">
        <v>112.63</v>
      </c>
      <c r="AJ3308" t="s">
        <v>19596</v>
      </c>
      <c r="AL3308" t="s">
        <v>19614</v>
      </c>
      <c r="AM3308">
        <v>13380</v>
      </c>
      <c r="AS3308">
        <v>0.4</v>
      </c>
      <c r="AT3308" t="s">
        <v>858</v>
      </c>
      <c r="AU3308" t="s">
        <v>157</v>
      </c>
    </row>
    <row r="3309" spans="1:48">
      <c r="A3309" s="1">
        <f>HYPERLINK("https://lsnyc.legalserver.org/matter/dynamic-profile/view/0817143","16-0817143")</f>
        <v>0</v>
      </c>
      <c r="B3309" t="s">
        <v>58</v>
      </c>
      <c r="C3309" t="s">
        <v>256</v>
      </c>
      <c r="D3309" t="s">
        <v>1009</v>
      </c>
      <c r="F3309" t="s">
        <v>2366</v>
      </c>
      <c r="G3309" t="s">
        <v>4722</v>
      </c>
      <c r="H3309" t="s">
        <v>6053</v>
      </c>
      <c r="I3309" t="s">
        <v>8718</v>
      </c>
      <c r="J3309" t="s">
        <v>9059</v>
      </c>
      <c r="K3309">
        <v>11225</v>
      </c>
      <c r="L3309" t="s">
        <v>9094</v>
      </c>
      <c r="M3309" t="s">
        <v>9095</v>
      </c>
      <c r="N3309" t="s">
        <v>9370</v>
      </c>
      <c r="O3309" t="s">
        <v>11132</v>
      </c>
      <c r="P3309" t="s">
        <v>11165</v>
      </c>
      <c r="R3309" t="s">
        <v>11180</v>
      </c>
      <c r="S3309" t="s">
        <v>9094</v>
      </c>
      <c r="T3309" t="s">
        <v>11183</v>
      </c>
      <c r="V3309" t="s">
        <v>1009</v>
      </c>
      <c r="W3309">
        <v>668.6799999999999</v>
      </c>
      <c r="X3309" t="s">
        <v>11332</v>
      </c>
      <c r="Y3309" t="s">
        <v>11346</v>
      </c>
      <c r="Z3309" t="s">
        <v>12031</v>
      </c>
      <c r="AB3309" t="s">
        <v>17918</v>
      </c>
      <c r="AC3309">
        <v>16</v>
      </c>
      <c r="AD3309" t="s">
        <v>19566</v>
      </c>
      <c r="AE3309" t="s">
        <v>11157</v>
      </c>
      <c r="AF3309">
        <v>17</v>
      </c>
      <c r="AG3309">
        <v>1</v>
      </c>
      <c r="AH3309">
        <v>0</v>
      </c>
      <c r="AI3309">
        <v>112.63</v>
      </c>
      <c r="AJ3309" t="s">
        <v>19596</v>
      </c>
      <c r="AL3309" t="s">
        <v>19614</v>
      </c>
      <c r="AM3309">
        <v>13380</v>
      </c>
      <c r="AS3309">
        <v>121.1</v>
      </c>
      <c r="AT3309" t="s">
        <v>270</v>
      </c>
      <c r="AU3309" t="s">
        <v>157</v>
      </c>
    </row>
    <row r="3310" spans="1:48">
      <c r="A3310" s="1">
        <f>HYPERLINK("https://lsnyc.legalserver.org/matter/dynamic-profile/view/0823095","16-0823095")</f>
        <v>0</v>
      </c>
      <c r="B3310" t="s">
        <v>155</v>
      </c>
      <c r="C3310" t="s">
        <v>256</v>
      </c>
      <c r="D3310" t="s">
        <v>645</v>
      </c>
      <c r="F3310" t="s">
        <v>2490</v>
      </c>
      <c r="G3310" t="s">
        <v>3964</v>
      </c>
      <c r="H3310" t="s">
        <v>6053</v>
      </c>
      <c r="I3310" t="s">
        <v>8193</v>
      </c>
      <c r="J3310" t="s">
        <v>9059</v>
      </c>
      <c r="K3310">
        <v>11225</v>
      </c>
      <c r="L3310" t="s">
        <v>9094</v>
      </c>
      <c r="M3310" t="s">
        <v>9095</v>
      </c>
      <c r="O3310" t="s">
        <v>11137</v>
      </c>
      <c r="P3310" t="s">
        <v>11167</v>
      </c>
      <c r="R3310" t="s">
        <v>11180</v>
      </c>
      <c r="S3310" t="s">
        <v>9094</v>
      </c>
      <c r="T3310" t="s">
        <v>11183</v>
      </c>
      <c r="V3310" t="s">
        <v>566</v>
      </c>
      <c r="W3310">
        <v>668.6799999999999</v>
      </c>
      <c r="X3310" t="s">
        <v>11332</v>
      </c>
      <c r="Y3310" t="s">
        <v>11346</v>
      </c>
      <c r="Z3310" t="s">
        <v>13577</v>
      </c>
      <c r="AB3310" t="s">
        <v>17917</v>
      </c>
      <c r="AC3310">
        <v>16</v>
      </c>
      <c r="AD3310" t="s">
        <v>19566</v>
      </c>
      <c r="AF3310">
        <v>15</v>
      </c>
      <c r="AG3310">
        <v>1</v>
      </c>
      <c r="AH3310">
        <v>0</v>
      </c>
      <c r="AI3310">
        <v>112.63</v>
      </c>
      <c r="AJ3310" t="s">
        <v>19596</v>
      </c>
      <c r="AL3310" t="s">
        <v>19614</v>
      </c>
      <c r="AM3310">
        <v>13380</v>
      </c>
      <c r="AN3310" t="s">
        <v>19937</v>
      </c>
      <c r="AS3310">
        <v>0</v>
      </c>
      <c r="AU3310" t="s">
        <v>20636</v>
      </c>
    </row>
    <row r="3311" spans="1:48">
      <c r="A3311" s="1">
        <f>HYPERLINK("https://lsnyc.legalserver.org/matter/dynamic-profile/view/1836774","17-1836774")</f>
        <v>0</v>
      </c>
      <c r="B3311" t="s">
        <v>138</v>
      </c>
      <c r="C3311" t="s">
        <v>256</v>
      </c>
      <c r="D3311" t="s">
        <v>740</v>
      </c>
      <c r="F3311" t="s">
        <v>1255</v>
      </c>
      <c r="G3311" t="s">
        <v>3510</v>
      </c>
      <c r="H3311" t="s">
        <v>5948</v>
      </c>
      <c r="I3311" t="s">
        <v>8719</v>
      </c>
      <c r="J3311" t="s">
        <v>9067</v>
      </c>
      <c r="K3311">
        <v>10034</v>
      </c>
      <c r="L3311" t="s">
        <v>9094</v>
      </c>
      <c r="M3311" t="s">
        <v>9095</v>
      </c>
      <c r="O3311" t="s">
        <v>11130</v>
      </c>
      <c r="P3311" t="s">
        <v>11166</v>
      </c>
      <c r="R3311" t="s">
        <v>11180</v>
      </c>
      <c r="S3311" t="s">
        <v>9094</v>
      </c>
      <c r="T3311" t="s">
        <v>11183</v>
      </c>
      <c r="V3311" t="s">
        <v>878</v>
      </c>
      <c r="W3311">
        <v>1053</v>
      </c>
      <c r="X3311" t="s">
        <v>11335</v>
      </c>
      <c r="Y3311" t="s">
        <v>11339</v>
      </c>
      <c r="Z3311" t="s">
        <v>13578</v>
      </c>
      <c r="AB3311" t="s">
        <v>17919</v>
      </c>
      <c r="AC3311">
        <v>50</v>
      </c>
      <c r="AD3311" t="s">
        <v>19566</v>
      </c>
      <c r="AE3311" t="s">
        <v>9144</v>
      </c>
      <c r="AF3311">
        <v>13</v>
      </c>
      <c r="AG3311">
        <v>1</v>
      </c>
      <c r="AH3311">
        <v>2</v>
      </c>
      <c r="AI3311">
        <v>112.63</v>
      </c>
      <c r="AL3311" t="s">
        <v>19615</v>
      </c>
      <c r="AM3311">
        <v>23000</v>
      </c>
      <c r="AS3311">
        <v>4.7</v>
      </c>
      <c r="AT3311" t="s">
        <v>885</v>
      </c>
      <c r="AU3311" t="s">
        <v>20657</v>
      </c>
    </row>
    <row r="3312" spans="1:48">
      <c r="A3312" s="1">
        <f>HYPERLINK("https://lsnyc.legalserver.org/matter/dynamic-profile/view/1841253","17-1841253")</f>
        <v>0</v>
      </c>
      <c r="B3312" t="s">
        <v>138</v>
      </c>
      <c r="C3312" t="s">
        <v>256</v>
      </c>
      <c r="D3312" t="s">
        <v>1010</v>
      </c>
      <c r="F3312" t="s">
        <v>1255</v>
      </c>
      <c r="G3312" t="s">
        <v>3510</v>
      </c>
      <c r="H3312" t="s">
        <v>5948</v>
      </c>
      <c r="I3312" t="s">
        <v>8719</v>
      </c>
      <c r="J3312" t="s">
        <v>9067</v>
      </c>
      <c r="K3312">
        <v>10034</v>
      </c>
      <c r="L3312" t="s">
        <v>9094</v>
      </c>
      <c r="M3312" t="s">
        <v>9095</v>
      </c>
      <c r="N3312" t="s">
        <v>10353</v>
      </c>
      <c r="O3312" t="s">
        <v>11129</v>
      </c>
      <c r="P3312" t="s">
        <v>11165</v>
      </c>
      <c r="R3312" t="s">
        <v>11180</v>
      </c>
      <c r="S3312" t="s">
        <v>9096</v>
      </c>
      <c r="T3312" t="s">
        <v>11183</v>
      </c>
      <c r="V3312" t="s">
        <v>1010</v>
      </c>
      <c r="W3312">
        <v>1053</v>
      </c>
      <c r="X3312" t="s">
        <v>11335</v>
      </c>
      <c r="Y3312" t="s">
        <v>11339</v>
      </c>
      <c r="Z3312" t="s">
        <v>13578</v>
      </c>
      <c r="AB3312" t="s">
        <v>17919</v>
      </c>
      <c r="AC3312">
        <v>50</v>
      </c>
      <c r="AD3312" t="s">
        <v>19566</v>
      </c>
      <c r="AE3312" t="s">
        <v>9144</v>
      </c>
      <c r="AF3312">
        <v>13</v>
      </c>
      <c r="AG3312">
        <v>1</v>
      </c>
      <c r="AH3312">
        <v>2</v>
      </c>
      <c r="AI3312">
        <v>112.63</v>
      </c>
      <c r="AL3312" t="s">
        <v>19615</v>
      </c>
      <c r="AM3312">
        <v>23000</v>
      </c>
      <c r="AS3312">
        <v>5.4</v>
      </c>
      <c r="AT3312" t="s">
        <v>890</v>
      </c>
      <c r="AU3312" t="s">
        <v>130</v>
      </c>
    </row>
    <row r="3313" spans="1:48">
      <c r="A3313" s="1">
        <f>HYPERLINK("https://lsnyc.legalserver.org/matter/dynamic-profile/view/1881539","18-1881539")</f>
        <v>0</v>
      </c>
      <c r="B3313" t="s">
        <v>64</v>
      </c>
      <c r="C3313" t="s">
        <v>257</v>
      </c>
      <c r="D3313" t="s">
        <v>834</v>
      </c>
      <c r="E3313" t="s">
        <v>273</v>
      </c>
      <c r="F3313" t="s">
        <v>2491</v>
      </c>
      <c r="G3313" t="s">
        <v>4723</v>
      </c>
      <c r="H3313" t="s">
        <v>7281</v>
      </c>
      <c r="I3313" t="s">
        <v>8154</v>
      </c>
      <c r="J3313" t="s">
        <v>9059</v>
      </c>
      <c r="K3313">
        <v>11233</v>
      </c>
      <c r="L3313" t="s">
        <v>9094</v>
      </c>
      <c r="M3313" t="s">
        <v>9094</v>
      </c>
      <c r="O3313" t="s">
        <v>11130</v>
      </c>
      <c r="P3313" t="s">
        <v>11164</v>
      </c>
      <c r="Q3313" t="s">
        <v>11172</v>
      </c>
      <c r="R3313" t="s">
        <v>11180</v>
      </c>
      <c r="T3313" t="s">
        <v>11183</v>
      </c>
      <c r="V3313" t="s">
        <v>834</v>
      </c>
      <c r="W3313">
        <v>1254</v>
      </c>
      <c r="X3313" t="s">
        <v>11332</v>
      </c>
      <c r="Z3313" t="s">
        <v>13579</v>
      </c>
      <c r="AB3313" t="s">
        <v>17920</v>
      </c>
      <c r="AC3313">
        <v>8</v>
      </c>
      <c r="AE3313" t="s">
        <v>19585</v>
      </c>
      <c r="AF3313">
        <v>7</v>
      </c>
      <c r="AG3313">
        <v>1</v>
      </c>
      <c r="AH3313">
        <v>1</v>
      </c>
      <c r="AI3313">
        <v>112.71</v>
      </c>
      <c r="AL3313" t="s">
        <v>19614</v>
      </c>
      <c r="AM3313">
        <v>18552</v>
      </c>
      <c r="AS3313">
        <v>2.5</v>
      </c>
      <c r="AT3313" t="s">
        <v>514</v>
      </c>
      <c r="AU3313" t="s">
        <v>20626</v>
      </c>
    </row>
    <row r="3314" spans="1:48">
      <c r="A3314" s="1">
        <f>HYPERLINK("https://lsnyc.legalserver.org/matter/dynamic-profile/view/1873845","18-1873845")</f>
        <v>0</v>
      </c>
      <c r="B3314" t="s">
        <v>132</v>
      </c>
      <c r="C3314" t="s">
        <v>257</v>
      </c>
      <c r="D3314" t="s">
        <v>555</v>
      </c>
      <c r="E3314" t="s">
        <v>331</v>
      </c>
      <c r="F3314" t="s">
        <v>2341</v>
      </c>
      <c r="G3314" t="s">
        <v>3498</v>
      </c>
      <c r="H3314" t="s">
        <v>5953</v>
      </c>
      <c r="I3314" t="s">
        <v>8176</v>
      </c>
      <c r="J3314" t="s">
        <v>9067</v>
      </c>
      <c r="K3314">
        <v>10033</v>
      </c>
      <c r="L3314" t="s">
        <v>9094</v>
      </c>
      <c r="M3314" t="s">
        <v>9094</v>
      </c>
      <c r="O3314" t="s">
        <v>11130</v>
      </c>
      <c r="P3314" t="s">
        <v>11165</v>
      </c>
      <c r="Q3314" t="s">
        <v>11178</v>
      </c>
      <c r="R3314" t="s">
        <v>11180</v>
      </c>
      <c r="S3314" t="s">
        <v>9094</v>
      </c>
      <c r="T3314" t="s">
        <v>11183</v>
      </c>
      <c r="V3314" t="s">
        <v>555</v>
      </c>
      <c r="W3314">
        <v>1096.72</v>
      </c>
      <c r="X3314" t="s">
        <v>11335</v>
      </c>
      <c r="Y3314" t="s">
        <v>11339</v>
      </c>
      <c r="Z3314" t="s">
        <v>13580</v>
      </c>
      <c r="AB3314" t="s">
        <v>17921</v>
      </c>
      <c r="AC3314">
        <v>232</v>
      </c>
      <c r="AD3314" t="s">
        <v>19566</v>
      </c>
      <c r="AE3314" t="s">
        <v>9144</v>
      </c>
      <c r="AF3314">
        <v>27</v>
      </c>
      <c r="AG3314">
        <v>2</v>
      </c>
      <c r="AH3314">
        <v>0</v>
      </c>
      <c r="AI3314">
        <v>112.73</v>
      </c>
      <c r="AL3314" t="s">
        <v>19615</v>
      </c>
      <c r="AM3314">
        <v>18556</v>
      </c>
      <c r="AS3314">
        <v>1.5</v>
      </c>
      <c r="AT3314" t="s">
        <v>521</v>
      </c>
      <c r="AU3314" t="s">
        <v>130</v>
      </c>
      <c r="AV3314" t="s">
        <v>20733</v>
      </c>
    </row>
    <row r="3315" spans="1:48">
      <c r="A3315" s="1">
        <f>HYPERLINK("https://lsnyc.legalserver.org/matter/dynamic-profile/view/1895579","19-1895579")</f>
        <v>0</v>
      </c>
      <c r="B3315" t="s">
        <v>126</v>
      </c>
      <c r="C3315" t="s">
        <v>256</v>
      </c>
      <c r="D3315" t="s">
        <v>617</v>
      </c>
      <c r="F3315" t="s">
        <v>2492</v>
      </c>
      <c r="G3315" t="s">
        <v>4724</v>
      </c>
      <c r="H3315" t="s">
        <v>7282</v>
      </c>
      <c r="J3315" t="s">
        <v>9066</v>
      </c>
      <c r="K3315">
        <v>10305</v>
      </c>
      <c r="L3315" t="s">
        <v>9094</v>
      </c>
      <c r="M3315" t="s">
        <v>9095</v>
      </c>
      <c r="N3315" t="s">
        <v>10354</v>
      </c>
      <c r="O3315" t="s">
        <v>11128</v>
      </c>
      <c r="R3315" t="s">
        <v>11180</v>
      </c>
      <c r="S3315" t="s">
        <v>9096</v>
      </c>
      <c r="T3315" t="s">
        <v>11183</v>
      </c>
      <c r="W3315">
        <v>0</v>
      </c>
      <c r="X3315" t="s">
        <v>11334</v>
      </c>
      <c r="Y3315" t="s">
        <v>11157</v>
      </c>
      <c r="Z3315" t="s">
        <v>13581</v>
      </c>
      <c r="AB3315" t="s">
        <v>17922</v>
      </c>
      <c r="AC3315">
        <v>1</v>
      </c>
      <c r="AD3315" t="s">
        <v>19565</v>
      </c>
      <c r="AE3315" t="s">
        <v>9144</v>
      </c>
      <c r="AF3315">
        <v>10</v>
      </c>
      <c r="AG3315">
        <v>4</v>
      </c>
      <c r="AH3315">
        <v>2</v>
      </c>
      <c r="AI3315">
        <v>112.75</v>
      </c>
      <c r="AL3315" t="s">
        <v>19614</v>
      </c>
      <c r="AM3315">
        <v>39000</v>
      </c>
      <c r="AS3315">
        <v>16.75</v>
      </c>
      <c r="AT3315" t="s">
        <v>487</v>
      </c>
      <c r="AU3315" t="s">
        <v>20654</v>
      </c>
      <c r="AV3315" t="s">
        <v>20733</v>
      </c>
    </row>
    <row r="3316" spans="1:48">
      <c r="A3316" s="1">
        <f>HYPERLINK("https://lsnyc.legalserver.org/matter/dynamic-profile/view/1891140","19-1891140")</f>
        <v>0</v>
      </c>
      <c r="B3316" t="s">
        <v>215</v>
      </c>
      <c r="C3316" t="s">
        <v>256</v>
      </c>
      <c r="D3316" t="s">
        <v>900</v>
      </c>
      <c r="F3316" t="s">
        <v>1274</v>
      </c>
      <c r="G3316" t="s">
        <v>3966</v>
      </c>
      <c r="H3316" t="s">
        <v>6835</v>
      </c>
      <c r="I3316" t="s">
        <v>8260</v>
      </c>
      <c r="J3316" t="s">
        <v>9059</v>
      </c>
      <c r="K3316">
        <v>11226</v>
      </c>
      <c r="L3316" t="s">
        <v>9094</v>
      </c>
      <c r="M3316" t="s">
        <v>9094</v>
      </c>
      <c r="P3316" t="s">
        <v>11167</v>
      </c>
      <c r="R3316" t="s">
        <v>11180</v>
      </c>
      <c r="T3316" t="s">
        <v>11183</v>
      </c>
      <c r="V3316" t="s">
        <v>536</v>
      </c>
      <c r="W3316">
        <v>835.4299999999999</v>
      </c>
      <c r="X3316" t="s">
        <v>11332</v>
      </c>
      <c r="Z3316" t="s">
        <v>13582</v>
      </c>
      <c r="AB3316" t="s">
        <v>17923</v>
      </c>
      <c r="AC3316">
        <v>0</v>
      </c>
      <c r="AF3316">
        <v>38</v>
      </c>
      <c r="AG3316">
        <v>1</v>
      </c>
      <c r="AH3316">
        <v>0</v>
      </c>
      <c r="AI3316">
        <v>112.89</v>
      </c>
      <c r="AM3316">
        <v>14100</v>
      </c>
      <c r="AS3316">
        <v>0</v>
      </c>
      <c r="AU3316" t="s">
        <v>215</v>
      </c>
    </row>
    <row r="3317" spans="1:48">
      <c r="A3317" s="1">
        <f>HYPERLINK("https://lsnyc.legalserver.org/matter/dynamic-profile/view/1900025","19-1900025")</f>
        <v>0</v>
      </c>
      <c r="B3317" t="s">
        <v>113</v>
      </c>
      <c r="C3317" t="s">
        <v>256</v>
      </c>
      <c r="D3317" t="s">
        <v>293</v>
      </c>
      <c r="F3317" t="s">
        <v>1450</v>
      </c>
      <c r="G3317" t="s">
        <v>3728</v>
      </c>
      <c r="H3317" t="s">
        <v>5864</v>
      </c>
      <c r="I3317" t="s">
        <v>8720</v>
      </c>
      <c r="J3317" t="s">
        <v>9065</v>
      </c>
      <c r="K3317">
        <v>10460</v>
      </c>
      <c r="L3317" t="s">
        <v>9094</v>
      </c>
      <c r="M3317" t="s">
        <v>9095</v>
      </c>
      <c r="O3317" t="s">
        <v>9121</v>
      </c>
      <c r="P3317" t="s">
        <v>11166</v>
      </c>
      <c r="R3317" t="s">
        <v>11180</v>
      </c>
      <c r="S3317" t="s">
        <v>9094</v>
      </c>
      <c r="T3317" t="s">
        <v>11183</v>
      </c>
      <c r="V3317" t="s">
        <v>11218</v>
      </c>
      <c r="W3317">
        <v>343</v>
      </c>
      <c r="X3317" t="s">
        <v>11333</v>
      </c>
      <c r="Y3317" t="s">
        <v>11346</v>
      </c>
      <c r="Z3317" t="s">
        <v>13583</v>
      </c>
      <c r="AB3317" t="s">
        <v>17924</v>
      </c>
      <c r="AC3317">
        <v>168</v>
      </c>
      <c r="AD3317" t="s">
        <v>19566</v>
      </c>
      <c r="AE3317" t="s">
        <v>19580</v>
      </c>
      <c r="AF3317">
        <v>1</v>
      </c>
      <c r="AG3317">
        <v>1</v>
      </c>
      <c r="AH3317">
        <v>0</v>
      </c>
      <c r="AI3317">
        <v>112.89</v>
      </c>
      <c r="AL3317" t="s">
        <v>19615</v>
      </c>
      <c r="AM3317">
        <v>14100</v>
      </c>
      <c r="AS3317">
        <v>0</v>
      </c>
      <c r="AU3317" t="s">
        <v>220</v>
      </c>
      <c r="AV3317" t="s">
        <v>20733</v>
      </c>
    </row>
    <row r="3318" spans="1:48">
      <c r="A3318" s="1">
        <f>HYPERLINK("https://lsnyc.legalserver.org/matter/dynamic-profile/view/1902984","19-1902984")</f>
        <v>0</v>
      </c>
      <c r="B3318" t="s">
        <v>113</v>
      </c>
      <c r="C3318" t="s">
        <v>256</v>
      </c>
      <c r="D3318" t="s">
        <v>403</v>
      </c>
      <c r="F3318" t="s">
        <v>1450</v>
      </c>
      <c r="G3318" t="s">
        <v>3728</v>
      </c>
      <c r="H3318" t="s">
        <v>5864</v>
      </c>
      <c r="I3318" t="s">
        <v>8720</v>
      </c>
      <c r="J3318" t="s">
        <v>9065</v>
      </c>
      <c r="K3318">
        <v>10460</v>
      </c>
      <c r="L3318" t="s">
        <v>9095</v>
      </c>
      <c r="M3318" t="s">
        <v>9095</v>
      </c>
      <c r="N3318" t="s">
        <v>10355</v>
      </c>
      <c r="O3318" t="s">
        <v>11129</v>
      </c>
      <c r="P3318" t="s">
        <v>11165</v>
      </c>
      <c r="R3318" t="s">
        <v>11180</v>
      </c>
      <c r="S3318" t="s">
        <v>9096</v>
      </c>
      <c r="T3318" t="s">
        <v>11183</v>
      </c>
      <c r="W3318">
        <v>343</v>
      </c>
      <c r="X3318" t="s">
        <v>11333</v>
      </c>
      <c r="Y3318" t="s">
        <v>11340</v>
      </c>
      <c r="Z3318" t="s">
        <v>13583</v>
      </c>
      <c r="AC3318">
        <v>169</v>
      </c>
      <c r="AE3318" t="s">
        <v>19580</v>
      </c>
      <c r="AF3318">
        <v>1</v>
      </c>
      <c r="AG3318">
        <v>1</v>
      </c>
      <c r="AH3318">
        <v>0</v>
      </c>
      <c r="AI3318">
        <v>112.89</v>
      </c>
      <c r="AL3318" t="s">
        <v>19615</v>
      </c>
      <c r="AM3318">
        <v>14100</v>
      </c>
      <c r="AN3318" t="s">
        <v>19938</v>
      </c>
      <c r="AS3318">
        <v>4.2</v>
      </c>
      <c r="AT3318" t="s">
        <v>308</v>
      </c>
      <c r="AU3318" t="s">
        <v>163</v>
      </c>
    </row>
    <row r="3319" spans="1:48">
      <c r="A3319" s="1">
        <f>HYPERLINK("https://lsnyc.legalserver.org/matter/dynamic-profile/view/1905907","19-1905907")</f>
        <v>0</v>
      </c>
      <c r="B3319" t="s">
        <v>78</v>
      </c>
      <c r="C3319" t="s">
        <v>256</v>
      </c>
      <c r="D3319" t="s">
        <v>426</v>
      </c>
      <c r="F3319" t="s">
        <v>1725</v>
      </c>
      <c r="G3319" t="s">
        <v>4705</v>
      </c>
      <c r="H3319" t="s">
        <v>6407</v>
      </c>
      <c r="I3319" t="s">
        <v>8141</v>
      </c>
      <c r="J3319" t="s">
        <v>9059</v>
      </c>
      <c r="K3319">
        <v>11213</v>
      </c>
      <c r="L3319" t="s">
        <v>9094</v>
      </c>
      <c r="M3319" t="s">
        <v>9095</v>
      </c>
      <c r="N3319" t="s">
        <v>9154</v>
      </c>
      <c r="O3319" t="s">
        <v>11137</v>
      </c>
      <c r="P3319" t="s">
        <v>11167</v>
      </c>
      <c r="R3319" t="s">
        <v>11180</v>
      </c>
      <c r="S3319" t="s">
        <v>9094</v>
      </c>
      <c r="T3319" t="s">
        <v>11183</v>
      </c>
      <c r="U3319" t="s">
        <v>11201</v>
      </c>
      <c r="V3319" t="s">
        <v>512</v>
      </c>
      <c r="W3319">
        <v>719</v>
      </c>
      <c r="X3319" t="s">
        <v>11332</v>
      </c>
      <c r="Y3319" t="s">
        <v>11340</v>
      </c>
      <c r="Z3319" t="s">
        <v>13534</v>
      </c>
      <c r="AA3319" t="s">
        <v>15287</v>
      </c>
      <c r="AB3319" t="s">
        <v>17871</v>
      </c>
      <c r="AC3319">
        <v>6</v>
      </c>
      <c r="AD3319" t="s">
        <v>19566</v>
      </c>
      <c r="AE3319" t="s">
        <v>19581</v>
      </c>
      <c r="AF3319">
        <v>22</v>
      </c>
      <c r="AG3319">
        <v>5</v>
      </c>
      <c r="AH3319">
        <v>1</v>
      </c>
      <c r="AI3319">
        <v>112.94</v>
      </c>
      <c r="AL3319" t="s">
        <v>19614</v>
      </c>
      <c r="AM3319">
        <v>39066</v>
      </c>
      <c r="AN3319" t="s">
        <v>19939</v>
      </c>
      <c r="AS3319">
        <v>0</v>
      </c>
      <c r="AU3319" t="s">
        <v>95</v>
      </c>
      <c r="AV3319" t="s">
        <v>20733</v>
      </c>
    </row>
    <row r="3320" spans="1:48">
      <c r="A3320" s="1">
        <f>HYPERLINK("https://lsnyc.legalserver.org/matter/dynamic-profile/view/1900473","19-1900473")</f>
        <v>0</v>
      </c>
      <c r="B3320" t="s">
        <v>73</v>
      </c>
      <c r="C3320" t="s">
        <v>256</v>
      </c>
      <c r="D3320" t="s">
        <v>262</v>
      </c>
      <c r="F3320" t="s">
        <v>1725</v>
      </c>
      <c r="G3320" t="s">
        <v>4705</v>
      </c>
      <c r="H3320" t="s">
        <v>6407</v>
      </c>
      <c r="I3320" t="s">
        <v>8141</v>
      </c>
      <c r="J3320" t="s">
        <v>9059</v>
      </c>
      <c r="K3320">
        <v>11213</v>
      </c>
      <c r="L3320" t="s">
        <v>9094</v>
      </c>
      <c r="M3320" t="s">
        <v>9095</v>
      </c>
      <c r="N3320" t="s">
        <v>10356</v>
      </c>
      <c r="O3320" t="s">
        <v>11129</v>
      </c>
      <c r="P3320" t="s">
        <v>11165</v>
      </c>
      <c r="R3320" t="s">
        <v>11180</v>
      </c>
      <c r="S3320" t="s">
        <v>9096</v>
      </c>
      <c r="T3320" t="s">
        <v>11183</v>
      </c>
      <c r="U3320" t="s">
        <v>11201</v>
      </c>
      <c r="V3320" t="s">
        <v>262</v>
      </c>
      <c r="W3320">
        <v>719</v>
      </c>
      <c r="X3320" t="s">
        <v>11332</v>
      </c>
      <c r="Y3320" t="s">
        <v>11340</v>
      </c>
      <c r="Z3320" t="s">
        <v>13534</v>
      </c>
      <c r="AA3320" t="s">
        <v>15287</v>
      </c>
      <c r="AB3320" t="s">
        <v>17871</v>
      </c>
      <c r="AC3320">
        <v>6</v>
      </c>
      <c r="AD3320" t="s">
        <v>19566</v>
      </c>
      <c r="AE3320" t="s">
        <v>19581</v>
      </c>
      <c r="AF3320">
        <v>22</v>
      </c>
      <c r="AG3320">
        <v>5</v>
      </c>
      <c r="AH3320">
        <v>1</v>
      </c>
      <c r="AI3320">
        <v>112.94</v>
      </c>
      <c r="AL3320" t="s">
        <v>19614</v>
      </c>
      <c r="AM3320">
        <v>39066</v>
      </c>
      <c r="AN3320" t="s">
        <v>19940</v>
      </c>
      <c r="AS3320">
        <v>57.5</v>
      </c>
      <c r="AT3320" t="s">
        <v>570</v>
      </c>
      <c r="AU3320" t="s">
        <v>95</v>
      </c>
      <c r="AV3320" t="s">
        <v>20733</v>
      </c>
    </row>
    <row r="3321" spans="1:48">
      <c r="A3321" s="1">
        <f>HYPERLINK("https://lsnyc.legalserver.org/matter/dynamic-profile/view/1836136","17-1836136")</f>
        <v>0</v>
      </c>
      <c r="B3321" t="s">
        <v>140</v>
      </c>
      <c r="C3321" t="s">
        <v>256</v>
      </c>
      <c r="D3321" t="s">
        <v>973</v>
      </c>
      <c r="F3321" t="s">
        <v>2193</v>
      </c>
      <c r="G3321" t="s">
        <v>3756</v>
      </c>
      <c r="H3321" t="s">
        <v>5999</v>
      </c>
      <c r="I3321" t="s">
        <v>8302</v>
      </c>
      <c r="J3321" t="s">
        <v>9067</v>
      </c>
      <c r="K3321">
        <v>10040</v>
      </c>
      <c r="L3321" t="s">
        <v>9095</v>
      </c>
      <c r="M3321" t="s">
        <v>9095</v>
      </c>
      <c r="O3321" t="s">
        <v>11130</v>
      </c>
      <c r="P3321" t="s">
        <v>11168</v>
      </c>
      <c r="R3321" t="s">
        <v>11180</v>
      </c>
      <c r="S3321" t="s">
        <v>9094</v>
      </c>
      <c r="T3321" t="s">
        <v>11183</v>
      </c>
      <c r="V3321" t="s">
        <v>878</v>
      </c>
      <c r="W3321">
        <v>1230.2</v>
      </c>
      <c r="X3321" t="s">
        <v>11335</v>
      </c>
      <c r="Y3321" t="s">
        <v>11339</v>
      </c>
      <c r="Z3321" t="s">
        <v>13520</v>
      </c>
      <c r="AB3321" t="s">
        <v>17857</v>
      </c>
      <c r="AC3321">
        <v>45</v>
      </c>
      <c r="AD3321" t="s">
        <v>19566</v>
      </c>
      <c r="AE3321" t="s">
        <v>11157</v>
      </c>
      <c r="AF3321">
        <v>21</v>
      </c>
      <c r="AG3321">
        <v>1</v>
      </c>
      <c r="AH3321">
        <v>0</v>
      </c>
      <c r="AI3321">
        <v>113.03</v>
      </c>
      <c r="AL3321" t="s">
        <v>19615</v>
      </c>
      <c r="AM3321">
        <v>13632</v>
      </c>
      <c r="AS3321">
        <v>2.2</v>
      </c>
      <c r="AT3321" t="s">
        <v>614</v>
      </c>
      <c r="AU3321" t="s">
        <v>20657</v>
      </c>
    </row>
    <row r="3322" spans="1:48">
      <c r="A3322" s="1">
        <f>HYPERLINK("https://lsnyc.legalserver.org/matter/dynamic-profile/view/1897578","19-1897578")</f>
        <v>0</v>
      </c>
      <c r="B3322" t="s">
        <v>111</v>
      </c>
      <c r="C3322" t="s">
        <v>256</v>
      </c>
      <c r="D3322" t="s">
        <v>617</v>
      </c>
      <c r="F3322" t="s">
        <v>2493</v>
      </c>
      <c r="G3322" t="s">
        <v>4085</v>
      </c>
      <c r="H3322" t="s">
        <v>7283</v>
      </c>
      <c r="I3322" t="s">
        <v>8119</v>
      </c>
      <c r="J3322" t="s">
        <v>9065</v>
      </c>
      <c r="K3322">
        <v>10452</v>
      </c>
      <c r="L3322" t="s">
        <v>9094</v>
      </c>
      <c r="M3322" t="s">
        <v>9095</v>
      </c>
      <c r="N3322" t="s">
        <v>10357</v>
      </c>
      <c r="O3322" t="s">
        <v>11128</v>
      </c>
      <c r="P3322" t="s">
        <v>11164</v>
      </c>
      <c r="R3322" t="s">
        <v>11180</v>
      </c>
      <c r="S3322" t="s">
        <v>9096</v>
      </c>
      <c r="T3322" t="s">
        <v>11183</v>
      </c>
      <c r="V3322" t="s">
        <v>11218</v>
      </c>
      <c r="W3322">
        <v>371.79</v>
      </c>
      <c r="X3322" t="s">
        <v>11333</v>
      </c>
      <c r="Y3322" t="s">
        <v>11157</v>
      </c>
      <c r="Z3322" t="s">
        <v>13584</v>
      </c>
      <c r="AB3322" t="s">
        <v>17925</v>
      </c>
      <c r="AC3322">
        <v>8</v>
      </c>
      <c r="AD3322" t="s">
        <v>19566</v>
      </c>
      <c r="AE3322" t="s">
        <v>9144</v>
      </c>
      <c r="AF3322">
        <v>8</v>
      </c>
      <c r="AG3322">
        <v>1</v>
      </c>
      <c r="AH3322">
        <v>1</v>
      </c>
      <c r="AI3322">
        <v>113.07</v>
      </c>
      <c r="AL3322" t="s">
        <v>19614</v>
      </c>
      <c r="AM3322">
        <v>19120</v>
      </c>
      <c r="AN3322" t="s">
        <v>19941</v>
      </c>
      <c r="AS3322">
        <v>2.04</v>
      </c>
      <c r="AT3322" t="s">
        <v>597</v>
      </c>
      <c r="AU3322" t="s">
        <v>20672</v>
      </c>
      <c r="AV3322" t="s">
        <v>20733</v>
      </c>
    </row>
    <row r="3323" spans="1:48">
      <c r="A3323" s="1">
        <f>HYPERLINK("https://lsnyc.legalserver.org/matter/dynamic-profile/view/1908544","19-1908544")</f>
        <v>0</v>
      </c>
      <c r="B3323" t="s">
        <v>134</v>
      </c>
      <c r="C3323" t="s">
        <v>256</v>
      </c>
      <c r="D3323" t="s">
        <v>410</v>
      </c>
      <c r="F3323" t="s">
        <v>1226</v>
      </c>
      <c r="G3323" t="s">
        <v>4725</v>
      </c>
      <c r="H3323" t="s">
        <v>7284</v>
      </c>
      <c r="I3323" t="s">
        <v>8171</v>
      </c>
      <c r="J3323" t="s">
        <v>9067</v>
      </c>
      <c r="K3323">
        <v>10027</v>
      </c>
      <c r="L3323" t="s">
        <v>9094</v>
      </c>
      <c r="M3323" t="s">
        <v>9095</v>
      </c>
      <c r="O3323" t="s">
        <v>9121</v>
      </c>
      <c r="P3323" t="s">
        <v>11164</v>
      </c>
      <c r="R3323" t="s">
        <v>11180</v>
      </c>
      <c r="S3323" t="s">
        <v>9096</v>
      </c>
      <c r="T3323" t="s">
        <v>11183</v>
      </c>
      <c r="V3323" t="s">
        <v>410</v>
      </c>
      <c r="W3323">
        <v>433.33</v>
      </c>
      <c r="X3323" t="s">
        <v>11335</v>
      </c>
      <c r="Y3323" t="s">
        <v>11346</v>
      </c>
      <c r="Z3323" t="s">
        <v>13585</v>
      </c>
      <c r="AB3323" t="s">
        <v>17926</v>
      </c>
      <c r="AC3323">
        <v>23</v>
      </c>
      <c r="AD3323" t="s">
        <v>19566</v>
      </c>
      <c r="AE3323" t="s">
        <v>9144</v>
      </c>
      <c r="AF3323">
        <v>0</v>
      </c>
      <c r="AG3323">
        <v>1</v>
      </c>
      <c r="AH3323">
        <v>0</v>
      </c>
      <c r="AI3323">
        <v>113.07</v>
      </c>
      <c r="AM3323">
        <v>14122.8</v>
      </c>
      <c r="AS3323">
        <v>5.5</v>
      </c>
      <c r="AT3323" t="s">
        <v>484</v>
      </c>
      <c r="AU3323" t="s">
        <v>20659</v>
      </c>
      <c r="AV3323" t="s">
        <v>20733</v>
      </c>
    </row>
    <row r="3324" spans="1:48">
      <c r="A3324" s="1">
        <f>HYPERLINK("https://lsnyc.legalserver.org/matter/dynamic-profile/view/1913749","19-1913749")</f>
        <v>0</v>
      </c>
      <c r="B3324" t="s">
        <v>133</v>
      </c>
      <c r="C3324" t="s">
        <v>256</v>
      </c>
      <c r="D3324" t="s">
        <v>484</v>
      </c>
      <c r="F3324" t="s">
        <v>1226</v>
      </c>
      <c r="G3324" t="s">
        <v>4725</v>
      </c>
      <c r="H3324" t="s">
        <v>7284</v>
      </c>
      <c r="I3324" t="s">
        <v>8171</v>
      </c>
      <c r="J3324" t="s">
        <v>9067</v>
      </c>
      <c r="K3324">
        <v>10027</v>
      </c>
      <c r="L3324" t="s">
        <v>9094</v>
      </c>
      <c r="M3324" t="s">
        <v>9095</v>
      </c>
      <c r="O3324" t="s">
        <v>11133</v>
      </c>
      <c r="P3324" t="s">
        <v>11167</v>
      </c>
      <c r="R3324" t="s">
        <v>11180</v>
      </c>
      <c r="S3324" t="s">
        <v>9096</v>
      </c>
      <c r="T3324" t="s">
        <v>11183</v>
      </c>
      <c r="V3324" t="s">
        <v>484</v>
      </c>
      <c r="W3324">
        <v>433.33</v>
      </c>
      <c r="X3324" t="s">
        <v>11335</v>
      </c>
      <c r="Y3324" t="s">
        <v>11340</v>
      </c>
      <c r="Z3324" t="s">
        <v>13585</v>
      </c>
      <c r="AB3324" t="s">
        <v>17926</v>
      </c>
      <c r="AC3324">
        <v>23</v>
      </c>
      <c r="AD3324" t="s">
        <v>19566</v>
      </c>
      <c r="AE3324" t="s">
        <v>19587</v>
      </c>
      <c r="AF3324">
        <v>0</v>
      </c>
      <c r="AG3324">
        <v>1</v>
      </c>
      <c r="AH3324">
        <v>0</v>
      </c>
      <c r="AI3324">
        <v>113.07</v>
      </c>
      <c r="AM3324">
        <v>14122.8</v>
      </c>
      <c r="AS3324">
        <v>3.8</v>
      </c>
      <c r="AT3324" t="s">
        <v>594</v>
      </c>
      <c r="AU3324" t="s">
        <v>130</v>
      </c>
      <c r="AV3324" t="s">
        <v>20733</v>
      </c>
    </row>
    <row r="3325" spans="1:48">
      <c r="A3325" s="1">
        <f>HYPERLINK("https://lsnyc.legalserver.org/matter/dynamic-profile/view/1864918","18-1864918")</f>
        <v>0</v>
      </c>
      <c r="B3325" t="s">
        <v>64</v>
      </c>
      <c r="C3325" t="s">
        <v>256</v>
      </c>
      <c r="D3325" t="s">
        <v>525</v>
      </c>
      <c r="F3325" t="s">
        <v>2472</v>
      </c>
      <c r="G3325" t="s">
        <v>3370</v>
      </c>
      <c r="H3325" t="s">
        <v>7252</v>
      </c>
      <c r="I3325" t="s">
        <v>8141</v>
      </c>
      <c r="J3325" t="s">
        <v>9059</v>
      </c>
      <c r="K3325">
        <v>11208</v>
      </c>
      <c r="L3325" t="s">
        <v>9094</v>
      </c>
      <c r="M3325" t="s">
        <v>9095</v>
      </c>
      <c r="N3325" t="s">
        <v>10329</v>
      </c>
      <c r="O3325" t="s">
        <v>11128</v>
      </c>
      <c r="P3325" t="s">
        <v>11165</v>
      </c>
      <c r="R3325" t="s">
        <v>11180</v>
      </c>
      <c r="S3325" t="s">
        <v>9096</v>
      </c>
      <c r="T3325" t="s">
        <v>11183</v>
      </c>
      <c r="V3325" t="s">
        <v>525</v>
      </c>
      <c r="W3325">
        <v>862</v>
      </c>
      <c r="X3325" t="s">
        <v>11332</v>
      </c>
      <c r="Y3325" t="s">
        <v>11344</v>
      </c>
      <c r="Z3325" t="s">
        <v>13537</v>
      </c>
      <c r="AA3325" t="s">
        <v>15773</v>
      </c>
      <c r="AB3325" t="s">
        <v>17874</v>
      </c>
      <c r="AC3325">
        <v>6</v>
      </c>
      <c r="AE3325" t="s">
        <v>9144</v>
      </c>
      <c r="AF3325">
        <v>13</v>
      </c>
      <c r="AG3325">
        <v>2</v>
      </c>
      <c r="AH3325">
        <v>0</v>
      </c>
      <c r="AI3325">
        <v>113.1</v>
      </c>
      <c r="AL3325" t="s">
        <v>19615</v>
      </c>
      <c r="AM3325">
        <v>18616</v>
      </c>
      <c r="AS3325">
        <v>63.3</v>
      </c>
      <c r="AT3325" t="s">
        <v>487</v>
      </c>
      <c r="AU3325" t="s">
        <v>20633</v>
      </c>
    </row>
    <row r="3326" spans="1:48">
      <c r="A3326" s="1">
        <f>HYPERLINK("https://lsnyc.legalserver.org/matter/dynamic-profile/view/1912900","19-1912900")</f>
        <v>0</v>
      </c>
      <c r="B3326" t="s">
        <v>98</v>
      </c>
      <c r="C3326" t="s">
        <v>256</v>
      </c>
      <c r="D3326" t="s">
        <v>294</v>
      </c>
      <c r="F3326" t="s">
        <v>2494</v>
      </c>
      <c r="G3326" t="s">
        <v>3220</v>
      </c>
      <c r="H3326" t="s">
        <v>6888</v>
      </c>
      <c r="I3326" t="s">
        <v>8302</v>
      </c>
      <c r="J3326" t="s">
        <v>9065</v>
      </c>
      <c r="K3326">
        <v>10458</v>
      </c>
      <c r="L3326" t="s">
        <v>9094</v>
      </c>
      <c r="M3326" t="s">
        <v>9095</v>
      </c>
      <c r="O3326" t="s">
        <v>11130</v>
      </c>
      <c r="P3326" t="s">
        <v>11165</v>
      </c>
      <c r="R3326" t="s">
        <v>11180</v>
      </c>
      <c r="S3326" t="s">
        <v>9094</v>
      </c>
      <c r="T3326" t="s">
        <v>11183</v>
      </c>
      <c r="W3326">
        <v>1541</v>
      </c>
      <c r="X3326" t="s">
        <v>11333</v>
      </c>
      <c r="Y3326" t="s">
        <v>11346</v>
      </c>
      <c r="Z3326" t="s">
        <v>13586</v>
      </c>
      <c r="AC3326">
        <v>94</v>
      </c>
      <c r="AD3326" t="s">
        <v>15441</v>
      </c>
      <c r="AE3326" t="s">
        <v>9144</v>
      </c>
      <c r="AF3326">
        <v>9</v>
      </c>
      <c r="AG3326">
        <v>1</v>
      </c>
      <c r="AH3326">
        <v>1</v>
      </c>
      <c r="AI3326">
        <v>113.12</v>
      </c>
      <c r="AL3326" t="s">
        <v>19614</v>
      </c>
      <c r="AM3326">
        <v>19128</v>
      </c>
      <c r="AS3326">
        <v>0</v>
      </c>
      <c r="AU3326" t="s">
        <v>20642</v>
      </c>
      <c r="AV3326" t="s">
        <v>20733</v>
      </c>
    </row>
    <row r="3327" spans="1:48">
      <c r="A3327" s="1">
        <f>HYPERLINK("https://lsnyc.legalserver.org/matter/dynamic-profile/view/1862837","18-1862837")</f>
        <v>0</v>
      </c>
      <c r="B3327" t="s">
        <v>103</v>
      </c>
      <c r="C3327" t="s">
        <v>256</v>
      </c>
      <c r="D3327" t="s">
        <v>439</v>
      </c>
      <c r="F3327" t="s">
        <v>2495</v>
      </c>
      <c r="G3327" t="s">
        <v>3978</v>
      </c>
      <c r="H3327" t="s">
        <v>5873</v>
      </c>
      <c r="I3327" t="s">
        <v>8193</v>
      </c>
      <c r="J3327" t="s">
        <v>9065</v>
      </c>
      <c r="K3327">
        <v>10457</v>
      </c>
      <c r="L3327" t="s">
        <v>9094</v>
      </c>
      <c r="M3327" t="s">
        <v>9095</v>
      </c>
      <c r="N3327" t="s">
        <v>9233</v>
      </c>
      <c r="O3327" t="s">
        <v>11135</v>
      </c>
      <c r="P3327" t="s">
        <v>11168</v>
      </c>
      <c r="R3327" t="s">
        <v>11180</v>
      </c>
      <c r="S3327" t="s">
        <v>9094</v>
      </c>
      <c r="T3327" t="s">
        <v>11183</v>
      </c>
      <c r="V3327" t="s">
        <v>675</v>
      </c>
      <c r="W3327">
        <v>862.95</v>
      </c>
      <c r="X3327" t="s">
        <v>11333</v>
      </c>
      <c r="Y3327" t="s">
        <v>11340</v>
      </c>
      <c r="Z3327" t="s">
        <v>13013</v>
      </c>
      <c r="AA3327" t="s">
        <v>15778</v>
      </c>
      <c r="AC3327">
        <v>100</v>
      </c>
      <c r="AD3327" t="s">
        <v>19566</v>
      </c>
      <c r="AE3327" t="s">
        <v>19587</v>
      </c>
      <c r="AF3327">
        <v>32</v>
      </c>
      <c r="AG3327">
        <v>1</v>
      </c>
      <c r="AH3327">
        <v>0</v>
      </c>
      <c r="AI3327">
        <v>113.18</v>
      </c>
      <c r="AL3327" t="s">
        <v>19615</v>
      </c>
      <c r="AM3327">
        <v>13740</v>
      </c>
      <c r="AS3327">
        <v>0.4</v>
      </c>
      <c r="AT3327" t="s">
        <v>439</v>
      </c>
      <c r="AU3327" t="s">
        <v>20642</v>
      </c>
    </row>
    <row r="3328" spans="1:48">
      <c r="A3328" s="1">
        <f>HYPERLINK("https://lsnyc.legalserver.org/matter/dynamic-profile/view/1888376","19-1888376")</f>
        <v>0</v>
      </c>
      <c r="B3328" t="s">
        <v>103</v>
      </c>
      <c r="C3328" t="s">
        <v>256</v>
      </c>
      <c r="D3328" t="s">
        <v>540</v>
      </c>
      <c r="F3328" t="s">
        <v>1735</v>
      </c>
      <c r="G3328" t="s">
        <v>3332</v>
      </c>
      <c r="H3328" t="s">
        <v>5887</v>
      </c>
      <c r="I3328" t="s">
        <v>8207</v>
      </c>
      <c r="J3328" t="s">
        <v>9065</v>
      </c>
      <c r="K3328">
        <v>10453</v>
      </c>
      <c r="L3328" t="s">
        <v>9094</v>
      </c>
      <c r="M3328" t="s">
        <v>9094</v>
      </c>
      <c r="O3328" t="s">
        <v>11134</v>
      </c>
      <c r="P3328" t="s">
        <v>11168</v>
      </c>
      <c r="R3328" t="s">
        <v>11180</v>
      </c>
      <c r="S3328" t="s">
        <v>9094</v>
      </c>
      <c r="T3328" t="s">
        <v>11183</v>
      </c>
      <c r="V3328" t="s">
        <v>512</v>
      </c>
      <c r="W3328">
        <v>1152.67</v>
      </c>
      <c r="X3328" t="s">
        <v>11333</v>
      </c>
      <c r="Y3328" t="s">
        <v>11340</v>
      </c>
      <c r="Z3328" t="s">
        <v>13437</v>
      </c>
      <c r="AB3328" t="s">
        <v>17774</v>
      </c>
      <c r="AC3328">
        <v>170</v>
      </c>
      <c r="AD3328" t="s">
        <v>19566</v>
      </c>
      <c r="AE3328" t="s">
        <v>19587</v>
      </c>
      <c r="AF3328">
        <v>14</v>
      </c>
      <c r="AG3328">
        <v>1</v>
      </c>
      <c r="AH3328">
        <v>0</v>
      </c>
      <c r="AI3328">
        <v>113.18</v>
      </c>
      <c r="AL3328" t="s">
        <v>19614</v>
      </c>
      <c r="AM3328">
        <v>13740</v>
      </c>
      <c r="AS3328">
        <v>12.2</v>
      </c>
      <c r="AT3328" t="s">
        <v>435</v>
      </c>
      <c r="AU3328" t="s">
        <v>99</v>
      </c>
    </row>
    <row r="3329" spans="1:48">
      <c r="A3329" s="1">
        <f>HYPERLINK("https://lsnyc.legalserver.org/matter/dynamic-profile/view/0829791","17-0829791")</f>
        <v>0</v>
      </c>
      <c r="B3329" t="s">
        <v>233</v>
      </c>
      <c r="C3329" t="s">
        <v>257</v>
      </c>
      <c r="D3329" t="s">
        <v>1011</v>
      </c>
      <c r="E3329" t="s">
        <v>265</v>
      </c>
      <c r="F3329" t="s">
        <v>2170</v>
      </c>
      <c r="G3329" t="s">
        <v>3699</v>
      </c>
      <c r="H3329" t="s">
        <v>5961</v>
      </c>
      <c r="I3329">
        <v>314</v>
      </c>
      <c r="J3329" t="s">
        <v>9067</v>
      </c>
      <c r="K3329">
        <v>10029</v>
      </c>
      <c r="L3329" t="s">
        <v>9095</v>
      </c>
      <c r="M3329" t="s">
        <v>9095</v>
      </c>
      <c r="O3329" t="s">
        <v>9121</v>
      </c>
      <c r="P3329" t="s">
        <v>11170</v>
      </c>
      <c r="Q3329" t="s">
        <v>11175</v>
      </c>
      <c r="R3329" t="s">
        <v>11180</v>
      </c>
      <c r="S3329" t="s">
        <v>9096</v>
      </c>
      <c r="T3329" t="s">
        <v>11183</v>
      </c>
      <c r="V3329" t="s">
        <v>1011</v>
      </c>
      <c r="W3329">
        <v>356</v>
      </c>
      <c r="X3329" t="s">
        <v>11335</v>
      </c>
      <c r="Y3329" t="s">
        <v>11340</v>
      </c>
      <c r="Z3329" t="s">
        <v>13587</v>
      </c>
      <c r="AB3329" t="s">
        <v>17927</v>
      </c>
      <c r="AC3329">
        <v>0</v>
      </c>
      <c r="AD3329" t="s">
        <v>19566</v>
      </c>
      <c r="AE3329" t="s">
        <v>9144</v>
      </c>
      <c r="AF3329">
        <v>6</v>
      </c>
      <c r="AG3329">
        <v>2</v>
      </c>
      <c r="AH3329">
        <v>0</v>
      </c>
      <c r="AI3329">
        <v>113.2</v>
      </c>
      <c r="AL3329" t="s">
        <v>19615</v>
      </c>
      <c r="AM3329">
        <v>18384</v>
      </c>
      <c r="AS3329">
        <v>537.35</v>
      </c>
      <c r="AT3329" t="s">
        <v>391</v>
      </c>
      <c r="AU3329" t="s">
        <v>20657</v>
      </c>
    </row>
    <row r="3330" spans="1:48">
      <c r="A3330" s="1">
        <f>HYPERLINK("https://lsnyc.legalserver.org/matter/dynamic-profile/view/1889539","19-1889539")</f>
        <v>0</v>
      </c>
      <c r="B3330" t="s">
        <v>86</v>
      </c>
      <c r="C3330" t="s">
        <v>256</v>
      </c>
      <c r="D3330" t="s">
        <v>1012</v>
      </c>
      <c r="F3330" t="s">
        <v>2496</v>
      </c>
      <c r="G3330" t="s">
        <v>4726</v>
      </c>
      <c r="H3330" t="s">
        <v>7285</v>
      </c>
      <c r="I3330" t="s">
        <v>8537</v>
      </c>
      <c r="J3330" t="s">
        <v>9059</v>
      </c>
      <c r="K3330">
        <v>11235</v>
      </c>
      <c r="L3330" t="s">
        <v>9094</v>
      </c>
      <c r="M3330" t="s">
        <v>9094</v>
      </c>
      <c r="O3330" t="s">
        <v>11154</v>
      </c>
      <c r="P3330" t="s">
        <v>11170</v>
      </c>
      <c r="R3330" t="s">
        <v>11180</v>
      </c>
      <c r="T3330" t="s">
        <v>11183</v>
      </c>
      <c r="V3330" t="s">
        <v>784</v>
      </c>
      <c r="W3330">
        <v>0</v>
      </c>
      <c r="X3330" t="s">
        <v>11332</v>
      </c>
      <c r="Z3330" t="s">
        <v>13588</v>
      </c>
      <c r="AB3330" t="s">
        <v>17928</v>
      </c>
      <c r="AC3330">
        <v>0</v>
      </c>
      <c r="AD3330" t="s">
        <v>19569</v>
      </c>
      <c r="AF3330">
        <v>0</v>
      </c>
      <c r="AG3330">
        <v>2</v>
      </c>
      <c r="AH3330">
        <v>0</v>
      </c>
      <c r="AI3330">
        <v>113.54</v>
      </c>
      <c r="AL3330" t="s">
        <v>19614</v>
      </c>
      <c r="AM3330">
        <v>19200</v>
      </c>
      <c r="AS3330">
        <v>16.05</v>
      </c>
      <c r="AT3330" t="s">
        <v>263</v>
      </c>
      <c r="AU3330" t="s">
        <v>215</v>
      </c>
    </row>
    <row r="3331" spans="1:48">
      <c r="A3331" s="1">
        <f>HYPERLINK("https://lsnyc.legalserver.org/matter/dynamic-profile/view/1890798","19-1890798")</f>
        <v>0</v>
      </c>
      <c r="B3331" t="s">
        <v>86</v>
      </c>
      <c r="C3331" t="s">
        <v>256</v>
      </c>
      <c r="D3331" t="s">
        <v>381</v>
      </c>
      <c r="F3331" t="s">
        <v>2496</v>
      </c>
      <c r="G3331" t="s">
        <v>4726</v>
      </c>
      <c r="H3331" t="s">
        <v>7285</v>
      </c>
      <c r="I3331" t="s">
        <v>8537</v>
      </c>
      <c r="J3331" t="s">
        <v>9059</v>
      </c>
      <c r="K3331">
        <v>11235</v>
      </c>
      <c r="L3331" t="s">
        <v>9094</v>
      </c>
      <c r="M3331" t="s">
        <v>9094</v>
      </c>
      <c r="O3331" t="s">
        <v>11134</v>
      </c>
      <c r="P3331" t="s">
        <v>11168</v>
      </c>
      <c r="R3331" t="s">
        <v>11180</v>
      </c>
      <c r="S3331" t="s">
        <v>9096</v>
      </c>
      <c r="T3331" t="s">
        <v>11183</v>
      </c>
      <c r="V3331" t="s">
        <v>602</v>
      </c>
      <c r="W3331">
        <v>93</v>
      </c>
      <c r="X3331" t="s">
        <v>11332</v>
      </c>
      <c r="Z3331" t="s">
        <v>13588</v>
      </c>
      <c r="AB3331" t="s">
        <v>17928</v>
      </c>
      <c r="AC3331">
        <v>0</v>
      </c>
      <c r="AF3331">
        <v>0</v>
      </c>
      <c r="AG3331">
        <v>2</v>
      </c>
      <c r="AH3331">
        <v>0</v>
      </c>
      <c r="AI3331">
        <v>113.54</v>
      </c>
      <c r="AL3331" t="s">
        <v>19614</v>
      </c>
      <c r="AM3331">
        <v>19200</v>
      </c>
      <c r="AS3331">
        <v>13.25</v>
      </c>
      <c r="AT3331" t="s">
        <v>1130</v>
      </c>
      <c r="AU3331" t="s">
        <v>215</v>
      </c>
    </row>
    <row r="3332" spans="1:48">
      <c r="A3332" s="1">
        <f>HYPERLINK("https://lsnyc.legalserver.org/matter/dynamic-profile/view/1890807","19-1890807")</f>
        <v>0</v>
      </c>
      <c r="B3332" t="s">
        <v>86</v>
      </c>
      <c r="C3332" t="s">
        <v>256</v>
      </c>
      <c r="D3332" t="s">
        <v>381</v>
      </c>
      <c r="F3332" t="s">
        <v>2496</v>
      </c>
      <c r="G3332" t="s">
        <v>4726</v>
      </c>
      <c r="H3332" t="s">
        <v>7285</v>
      </c>
      <c r="I3332" t="s">
        <v>8537</v>
      </c>
      <c r="J3332" t="s">
        <v>9059</v>
      </c>
      <c r="K3332">
        <v>11235</v>
      </c>
      <c r="L3332" t="s">
        <v>9094</v>
      </c>
      <c r="M3332" t="s">
        <v>9094</v>
      </c>
      <c r="O3332" t="s">
        <v>11134</v>
      </c>
      <c r="P3332" t="s">
        <v>11168</v>
      </c>
      <c r="R3332" t="s">
        <v>11180</v>
      </c>
      <c r="S3332" t="s">
        <v>9096</v>
      </c>
      <c r="T3332" t="s">
        <v>11183</v>
      </c>
      <c r="V3332" t="s">
        <v>700</v>
      </c>
      <c r="W3332">
        <v>930</v>
      </c>
      <c r="X3332" t="s">
        <v>11332</v>
      </c>
      <c r="Z3332" t="s">
        <v>13588</v>
      </c>
      <c r="AB3332" t="s">
        <v>17928</v>
      </c>
      <c r="AC3332">
        <v>0</v>
      </c>
      <c r="AF3332">
        <v>0</v>
      </c>
      <c r="AG3332">
        <v>2</v>
      </c>
      <c r="AH3332">
        <v>0</v>
      </c>
      <c r="AI3332">
        <v>113.54</v>
      </c>
      <c r="AL3332" t="s">
        <v>19614</v>
      </c>
      <c r="AM3332">
        <v>19200</v>
      </c>
      <c r="AN3332" t="s">
        <v>19942</v>
      </c>
      <c r="AS3332">
        <v>4.25</v>
      </c>
      <c r="AT3332" t="s">
        <v>632</v>
      </c>
      <c r="AU3332" t="s">
        <v>215</v>
      </c>
    </row>
    <row r="3333" spans="1:48">
      <c r="A3333" s="1">
        <f>HYPERLINK("https://lsnyc.legalserver.org/matter/dynamic-profile/view/1890810","19-1890810")</f>
        <v>0</v>
      </c>
      <c r="B3333" t="s">
        <v>86</v>
      </c>
      <c r="C3333" t="s">
        <v>256</v>
      </c>
      <c r="D3333" t="s">
        <v>381</v>
      </c>
      <c r="F3333" t="s">
        <v>2496</v>
      </c>
      <c r="G3333" t="s">
        <v>4726</v>
      </c>
      <c r="H3333" t="s">
        <v>7285</v>
      </c>
      <c r="I3333" t="s">
        <v>8537</v>
      </c>
      <c r="J3333" t="s">
        <v>9059</v>
      </c>
      <c r="K3333">
        <v>11235</v>
      </c>
      <c r="L3333" t="s">
        <v>9094</v>
      </c>
      <c r="M3333" t="s">
        <v>9094</v>
      </c>
      <c r="O3333" t="s">
        <v>11133</v>
      </c>
      <c r="P3333" t="s">
        <v>11166</v>
      </c>
      <c r="R3333" t="s">
        <v>11180</v>
      </c>
      <c r="S3333" t="s">
        <v>9096</v>
      </c>
      <c r="T3333" t="s">
        <v>11183</v>
      </c>
      <c r="V3333" t="s">
        <v>497</v>
      </c>
      <c r="W3333">
        <v>930</v>
      </c>
      <c r="X3333" t="s">
        <v>11332</v>
      </c>
      <c r="Z3333" t="s">
        <v>13588</v>
      </c>
      <c r="AB3333" t="s">
        <v>17928</v>
      </c>
      <c r="AC3333">
        <v>144</v>
      </c>
      <c r="AF3333">
        <v>0</v>
      </c>
      <c r="AG3333">
        <v>2</v>
      </c>
      <c r="AH3333">
        <v>0</v>
      </c>
      <c r="AI3333">
        <v>113.54</v>
      </c>
      <c r="AL3333" t="s">
        <v>19614</v>
      </c>
      <c r="AM3333">
        <v>19200</v>
      </c>
      <c r="AN3333" t="s">
        <v>19943</v>
      </c>
      <c r="AS3333">
        <v>4.5</v>
      </c>
      <c r="AT3333" t="s">
        <v>403</v>
      </c>
      <c r="AU3333" t="s">
        <v>215</v>
      </c>
      <c r="AV3333" t="s">
        <v>20733</v>
      </c>
    </row>
    <row r="3334" spans="1:48">
      <c r="A3334" s="1">
        <f>HYPERLINK("https://lsnyc.legalserver.org/matter/dynamic-profile/view/1896425","19-1896425")</f>
        <v>0</v>
      </c>
      <c r="B3334" t="s">
        <v>115</v>
      </c>
      <c r="C3334" t="s">
        <v>256</v>
      </c>
      <c r="D3334" t="s">
        <v>350</v>
      </c>
      <c r="F3334" t="s">
        <v>2497</v>
      </c>
      <c r="G3334" t="s">
        <v>3982</v>
      </c>
      <c r="H3334" t="s">
        <v>6092</v>
      </c>
      <c r="I3334" t="s">
        <v>8134</v>
      </c>
      <c r="J3334" t="s">
        <v>9065</v>
      </c>
      <c r="K3334">
        <v>10459</v>
      </c>
      <c r="L3334" t="s">
        <v>9094</v>
      </c>
      <c r="M3334" t="s">
        <v>9094</v>
      </c>
      <c r="N3334" t="s">
        <v>10358</v>
      </c>
      <c r="O3334" t="s">
        <v>11129</v>
      </c>
      <c r="P3334" t="s">
        <v>11165</v>
      </c>
      <c r="R3334" t="s">
        <v>11180</v>
      </c>
      <c r="S3334" t="s">
        <v>9096</v>
      </c>
      <c r="T3334" t="s">
        <v>11183</v>
      </c>
      <c r="V3334" t="s">
        <v>350</v>
      </c>
      <c r="W3334">
        <v>520</v>
      </c>
      <c r="X3334" t="s">
        <v>11333</v>
      </c>
      <c r="Y3334" t="s">
        <v>11339</v>
      </c>
      <c r="Z3334" t="s">
        <v>13589</v>
      </c>
      <c r="AA3334" t="s">
        <v>15779</v>
      </c>
      <c r="AB3334" t="s">
        <v>17929</v>
      </c>
      <c r="AC3334">
        <v>48</v>
      </c>
      <c r="AD3334" t="s">
        <v>19567</v>
      </c>
      <c r="AE3334" t="s">
        <v>9144</v>
      </c>
      <c r="AF3334">
        <v>28</v>
      </c>
      <c r="AG3334">
        <v>1</v>
      </c>
      <c r="AH3334">
        <v>1</v>
      </c>
      <c r="AI3334">
        <v>113.54</v>
      </c>
      <c r="AL3334" t="s">
        <v>19614</v>
      </c>
      <c r="AM3334">
        <v>19200</v>
      </c>
      <c r="AS3334">
        <v>23.2</v>
      </c>
      <c r="AT3334" t="s">
        <v>336</v>
      </c>
      <c r="AU3334" t="s">
        <v>220</v>
      </c>
      <c r="AV3334" t="s">
        <v>20734</v>
      </c>
    </row>
    <row r="3335" spans="1:48">
      <c r="A3335" s="1">
        <f>HYPERLINK("https://lsnyc.legalserver.org/matter/dynamic-profile/view/1910651","19-1910651")</f>
        <v>0</v>
      </c>
      <c r="B3335" t="s">
        <v>122</v>
      </c>
      <c r="C3335" t="s">
        <v>256</v>
      </c>
      <c r="D3335" t="s">
        <v>362</v>
      </c>
      <c r="F3335" t="s">
        <v>2498</v>
      </c>
      <c r="G3335" t="s">
        <v>4727</v>
      </c>
      <c r="H3335" t="s">
        <v>7286</v>
      </c>
      <c r="J3335" t="s">
        <v>9066</v>
      </c>
      <c r="K3335">
        <v>10304</v>
      </c>
      <c r="L3335" t="s">
        <v>9094</v>
      </c>
      <c r="M3335" t="s">
        <v>9095</v>
      </c>
      <c r="N3335" t="s">
        <v>10359</v>
      </c>
      <c r="O3335" t="s">
        <v>11128</v>
      </c>
      <c r="P3335" t="s">
        <v>11164</v>
      </c>
      <c r="R3335" t="s">
        <v>11180</v>
      </c>
      <c r="S3335" t="s">
        <v>9096</v>
      </c>
      <c r="T3335" t="s">
        <v>11183</v>
      </c>
      <c r="U3335" t="s">
        <v>11201</v>
      </c>
      <c r="V3335" t="s">
        <v>362</v>
      </c>
      <c r="W3335">
        <v>0</v>
      </c>
      <c r="X3335" t="s">
        <v>11334</v>
      </c>
      <c r="Y3335" t="s">
        <v>11340</v>
      </c>
      <c r="Z3335" t="s">
        <v>12683</v>
      </c>
      <c r="AB3335" t="s">
        <v>17930</v>
      </c>
      <c r="AC3335">
        <v>1</v>
      </c>
      <c r="AD3335" t="s">
        <v>19565</v>
      </c>
      <c r="AE3335" t="s">
        <v>9144</v>
      </c>
      <c r="AF3335">
        <v>23</v>
      </c>
      <c r="AG3335">
        <v>1</v>
      </c>
      <c r="AH3335">
        <v>1</v>
      </c>
      <c r="AI3335">
        <v>113.54</v>
      </c>
      <c r="AL3335" t="s">
        <v>19614</v>
      </c>
      <c r="AM3335">
        <v>19200</v>
      </c>
      <c r="AS3335">
        <v>2.8</v>
      </c>
      <c r="AT3335" t="s">
        <v>270</v>
      </c>
      <c r="AU3335" t="s">
        <v>20654</v>
      </c>
      <c r="AV3335" t="s">
        <v>20733</v>
      </c>
    </row>
    <row r="3336" spans="1:48">
      <c r="A3336" s="1">
        <f>HYPERLINK("https://lsnyc.legalserver.org/matter/dynamic-profile/view/1914147","19-1914147")</f>
        <v>0</v>
      </c>
      <c r="B3336" t="s">
        <v>135</v>
      </c>
      <c r="C3336" t="s">
        <v>256</v>
      </c>
      <c r="D3336" t="s">
        <v>395</v>
      </c>
      <c r="F3336" t="s">
        <v>2499</v>
      </c>
      <c r="G3336" t="s">
        <v>3427</v>
      </c>
      <c r="H3336" t="s">
        <v>6949</v>
      </c>
      <c r="I3336" t="s">
        <v>8660</v>
      </c>
      <c r="J3336" t="s">
        <v>9067</v>
      </c>
      <c r="K3336">
        <v>10037</v>
      </c>
      <c r="L3336" t="s">
        <v>9094</v>
      </c>
      <c r="M3336" t="s">
        <v>9095</v>
      </c>
      <c r="O3336" t="s">
        <v>11130</v>
      </c>
      <c r="P3336" t="s">
        <v>11169</v>
      </c>
      <c r="R3336" t="s">
        <v>11180</v>
      </c>
      <c r="S3336" t="s">
        <v>9094</v>
      </c>
      <c r="T3336" t="s">
        <v>11183</v>
      </c>
      <c r="U3336" t="s">
        <v>11201</v>
      </c>
      <c r="V3336" t="s">
        <v>301</v>
      </c>
      <c r="W3336">
        <v>1000</v>
      </c>
      <c r="X3336" t="s">
        <v>11335</v>
      </c>
      <c r="Y3336" t="s">
        <v>11339</v>
      </c>
      <c r="Z3336" t="s">
        <v>13590</v>
      </c>
      <c r="AB3336" t="s">
        <v>17931</v>
      </c>
      <c r="AC3336">
        <v>259</v>
      </c>
      <c r="AD3336" t="s">
        <v>19566</v>
      </c>
      <c r="AE3336" t="s">
        <v>9144</v>
      </c>
      <c r="AF3336">
        <v>33</v>
      </c>
      <c r="AG3336">
        <v>2</v>
      </c>
      <c r="AH3336">
        <v>0</v>
      </c>
      <c r="AI3336">
        <v>113.54</v>
      </c>
      <c r="AL3336" t="s">
        <v>19614</v>
      </c>
      <c r="AM3336">
        <v>19200</v>
      </c>
      <c r="AS3336">
        <v>0</v>
      </c>
      <c r="AU3336" t="s">
        <v>20657</v>
      </c>
      <c r="AV3336" t="s">
        <v>20733</v>
      </c>
    </row>
    <row r="3337" spans="1:48">
      <c r="A3337" s="1">
        <f>HYPERLINK("https://lsnyc.legalserver.org/matter/dynamic-profile/view/1896032","19-1896032")</f>
        <v>0</v>
      </c>
      <c r="B3337" t="s">
        <v>64</v>
      </c>
      <c r="C3337" t="s">
        <v>256</v>
      </c>
      <c r="D3337" t="s">
        <v>545</v>
      </c>
      <c r="F3337" t="s">
        <v>2500</v>
      </c>
      <c r="G3337" t="s">
        <v>4728</v>
      </c>
      <c r="H3337" t="s">
        <v>7287</v>
      </c>
      <c r="I3337" t="s">
        <v>8267</v>
      </c>
      <c r="J3337" t="s">
        <v>9059</v>
      </c>
      <c r="K3337">
        <v>11212</v>
      </c>
      <c r="L3337" t="s">
        <v>9094</v>
      </c>
      <c r="M3337" t="s">
        <v>9096</v>
      </c>
      <c r="N3337" t="s">
        <v>10360</v>
      </c>
      <c r="O3337" t="s">
        <v>11129</v>
      </c>
      <c r="P3337" t="s">
        <v>11165</v>
      </c>
      <c r="R3337" t="s">
        <v>11180</v>
      </c>
      <c r="S3337" t="s">
        <v>9096</v>
      </c>
      <c r="T3337" t="s">
        <v>11183</v>
      </c>
      <c r="U3337" t="s">
        <v>11201</v>
      </c>
      <c r="V3337" t="s">
        <v>394</v>
      </c>
      <c r="W3337">
        <v>668.4</v>
      </c>
      <c r="X3337" t="s">
        <v>11332</v>
      </c>
      <c r="Y3337" t="s">
        <v>11340</v>
      </c>
      <c r="Z3337" t="s">
        <v>13591</v>
      </c>
      <c r="AB3337" t="s">
        <v>17932</v>
      </c>
      <c r="AC3337">
        <v>40</v>
      </c>
      <c r="AD3337" t="s">
        <v>19566</v>
      </c>
      <c r="AE3337" t="s">
        <v>19587</v>
      </c>
      <c r="AF3337">
        <v>34</v>
      </c>
      <c r="AG3337">
        <v>1</v>
      </c>
      <c r="AH3337">
        <v>1</v>
      </c>
      <c r="AI3337">
        <v>113.59</v>
      </c>
      <c r="AL3337" t="s">
        <v>19614</v>
      </c>
      <c r="AM3337">
        <v>19208.28</v>
      </c>
      <c r="AS3337">
        <v>8.199999999999999</v>
      </c>
      <c r="AT3337" t="s">
        <v>594</v>
      </c>
      <c r="AU3337" t="s">
        <v>79</v>
      </c>
      <c r="AV3337" t="s">
        <v>20733</v>
      </c>
    </row>
    <row r="3338" spans="1:48">
      <c r="A3338" s="1">
        <f>HYPERLINK("https://lsnyc.legalserver.org/matter/dynamic-profile/view/1899718","19-1899718")</f>
        <v>0</v>
      </c>
      <c r="B3338" t="s">
        <v>119</v>
      </c>
      <c r="C3338" t="s">
        <v>257</v>
      </c>
      <c r="D3338" t="s">
        <v>454</v>
      </c>
      <c r="E3338" t="s">
        <v>664</v>
      </c>
      <c r="F3338" t="s">
        <v>2126</v>
      </c>
      <c r="G3338" t="s">
        <v>4339</v>
      </c>
      <c r="H3338" t="s">
        <v>5879</v>
      </c>
      <c r="I3338" t="s">
        <v>8151</v>
      </c>
      <c r="J3338" t="s">
        <v>9065</v>
      </c>
      <c r="K3338">
        <v>10456</v>
      </c>
      <c r="L3338" t="s">
        <v>9094</v>
      </c>
      <c r="M3338" t="s">
        <v>9095</v>
      </c>
      <c r="O3338" t="s">
        <v>9121</v>
      </c>
      <c r="P3338" t="s">
        <v>11167</v>
      </c>
      <c r="Q3338" t="s">
        <v>11173</v>
      </c>
      <c r="R3338" t="s">
        <v>11180</v>
      </c>
      <c r="S3338" t="s">
        <v>9096</v>
      </c>
      <c r="T3338" t="s">
        <v>11183</v>
      </c>
      <c r="V3338" t="s">
        <v>760</v>
      </c>
      <c r="W3338">
        <v>1511.88</v>
      </c>
      <c r="X3338" t="s">
        <v>11333</v>
      </c>
      <c r="Y3338" t="s">
        <v>11346</v>
      </c>
      <c r="Z3338" t="s">
        <v>12846</v>
      </c>
      <c r="AB3338" t="s">
        <v>17226</v>
      </c>
      <c r="AC3338">
        <v>30</v>
      </c>
      <c r="AD3338" t="s">
        <v>19566</v>
      </c>
      <c r="AE3338" t="s">
        <v>9144</v>
      </c>
      <c r="AF3338">
        <v>0</v>
      </c>
      <c r="AG3338">
        <v>1</v>
      </c>
      <c r="AH3338">
        <v>1</v>
      </c>
      <c r="AI3338">
        <v>113.59</v>
      </c>
      <c r="AL3338" t="s">
        <v>19614</v>
      </c>
      <c r="AM3338">
        <v>19208.28</v>
      </c>
      <c r="AS3338">
        <v>1</v>
      </c>
      <c r="AT3338" t="s">
        <v>664</v>
      </c>
      <c r="AU3338" t="s">
        <v>163</v>
      </c>
      <c r="AV3338" t="s">
        <v>20733</v>
      </c>
    </row>
    <row r="3339" spans="1:48">
      <c r="A3339" s="1">
        <f>HYPERLINK("https://lsnyc.legalserver.org/matter/dynamic-profile/view/1892080","19-1892080")</f>
        <v>0</v>
      </c>
      <c r="B3339" t="s">
        <v>70</v>
      </c>
      <c r="C3339" t="s">
        <v>256</v>
      </c>
      <c r="D3339" t="s">
        <v>428</v>
      </c>
      <c r="F3339" t="s">
        <v>1141</v>
      </c>
      <c r="G3339" t="s">
        <v>4729</v>
      </c>
      <c r="H3339" t="s">
        <v>5750</v>
      </c>
      <c r="I3339" t="s">
        <v>8721</v>
      </c>
      <c r="J3339" t="s">
        <v>9059</v>
      </c>
      <c r="K3339">
        <v>11233</v>
      </c>
      <c r="L3339" t="s">
        <v>9094</v>
      </c>
      <c r="M3339" t="s">
        <v>9096</v>
      </c>
      <c r="N3339" t="s">
        <v>9145</v>
      </c>
      <c r="O3339" t="s">
        <v>11134</v>
      </c>
      <c r="P3339" t="s">
        <v>11168</v>
      </c>
      <c r="R3339" t="s">
        <v>11180</v>
      </c>
      <c r="S3339" t="s">
        <v>9094</v>
      </c>
      <c r="T3339" t="s">
        <v>11183</v>
      </c>
      <c r="U3339" t="s">
        <v>11201</v>
      </c>
      <c r="V3339" t="s">
        <v>482</v>
      </c>
      <c r="W3339">
        <v>1150</v>
      </c>
      <c r="X3339" t="s">
        <v>11332</v>
      </c>
      <c r="Y3339" t="s">
        <v>11157</v>
      </c>
      <c r="Z3339" t="s">
        <v>13592</v>
      </c>
      <c r="AC3339">
        <v>359</v>
      </c>
      <c r="AD3339" t="s">
        <v>19566</v>
      </c>
      <c r="AF3339">
        <v>45</v>
      </c>
      <c r="AG3339">
        <v>1</v>
      </c>
      <c r="AH3339">
        <v>0</v>
      </c>
      <c r="AI3339">
        <v>113.66</v>
      </c>
      <c r="AL3339" t="s">
        <v>19614</v>
      </c>
      <c r="AM3339">
        <v>14196</v>
      </c>
      <c r="AN3339" t="s">
        <v>19846</v>
      </c>
      <c r="AS3339">
        <v>0</v>
      </c>
      <c r="AU3339" t="s">
        <v>79</v>
      </c>
    </row>
    <row r="3340" spans="1:48">
      <c r="A3340" s="1">
        <f>HYPERLINK("https://lsnyc.legalserver.org/matter/dynamic-profile/view/1892085","19-1892085")</f>
        <v>0</v>
      </c>
      <c r="B3340" t="s">
        <v>70</v>
      </c>
      <c r="C3340" t="s">
        <v>256</v>
      </c>
      <c r="D3340" t="s">
        <v>428</v>
      </c>
      <c r="F3340" t="s">
        <v>1141</v>
      </c>
      <c r="G3340" t="s">
        <v>4729</v>
      </c>
      <c r="H3340" t="s">
        <v>5750</v>
      </c>
      <c r="I3340" t="s">
        <v>8721</v>
      </c>
      <c r="J3340" t="s">
        <v>9059</v>
      </c>
      <c r="K3340">
        <v>11233</v>
      </c>
      <c r="L3340" t="s">
        <v>9094</v>
      </c>
      <c r="M3340" t="s">
        <v>9096</v>
      </c>
      <c r="O3340" t="s">
        <v>11137</v>
      </c>
      <c r="P3340" t="s">
        <v>11167</v>
      </c>
      <c r="R3340" t="s">
        <v>11180</v>
      </c>
      <c r="S3340" t="s">
        <v>9094</v>
      </c>
      <c r="T3340" t="s">
        <v>11183</v>
      </c>
      <c r="U3340" t="s">
        <v>11201</v>
      </c>
      <c r="V3340" t="s">
        <v>749</v>
      </c>
      <c r="W3340">
        <v>1150</v>
      </c>
      <c r="X3340" t="s">
        <v>11332</v>
      </c>
      <c r="Y3340" t="s">
        <v>11157</v>
      </c>
      <c r="Z3340" t="s">
        <v>13592</v>
      </c>
      <c r="AC3340">
        <v>359</v>
      </c>
      <c r="AD3340" t="s">
        <v>19566</v>
      </c>
      <c r="AF3340">
        <v>45</v>
      </c>
      <c r="AG3340">
        <v>1</v>
      </c>
      <c r="AH3340">
        <v>0</v>
      </c>
      <c r="AI3340">
        <v>113.66</v>
      </c>
      <c r="AL3340" t="s">
        <v>19614</v>
      </c>
      <c r="AM3340">
        <v>14196</v>
      </c>
      <c r="AN3340" t="s">
        <v>19944</v>
      </c>
      <c r="AS3340">
        <v>0</v>
      </c>
      <c r="AU3340" t="s">
        <v>79</v>
      </c>
    </row>
    <row r="3341" spans="1:48">
      <c r="A3341" s="1">
        <f>HYPERLINK("https://lsnyc.legalserver.org/matter/dynamic-profile/view/1887065","19-1887065")</f>
        <v>0</v>
      </c>
      <c r="B3341" t="s">
        <v>117</v>
      </c>
      <c r="C3341" t="s">
        <v>256</v>
      </c>
      <c r="D3341" t="s">
        <v>324</v>
      </c>
      <c r="F3341" t="s">
        <v>1231</v>
      </c>
      <c r="G3341" t="s">
        <v>3503</v>
      </c>
      <c r="H3341" t="s">
        <v>5888</v>
      </c>
      <c r="I3341" t="s">
        <v>8176</v>
      </c>
      <c r="J3341" t="s">
        <v>9065</v>
      </c>
      <c r="K3341">
        <v>10453</v>
      </c>
      <c r="L3341" t="s">
        <v>9094</v>
      </c>
      <c r="M3341" t="s">
        <v>9094</v>
      </c>
      <c r="O3341" t="s">
        <v>11134</v>
      </c>
      <c r="P3341" t="s">
        <v>11168</v>
      </c>
      <c r="R3341" t="s">
        <v>11180</v>
      </c>
      <c r="S3341" t="s">
        <v>9094</v>
      </c>
      <c r="T3341" t="s">
        <v>11183</v>
      </c>
      <c r="V3341" t="s">
        <v>512</v>
      </c>
      <c r="W3341">
        <v>1585</v>
      </c>
      <c r="X3341" t="s">
        <v>11333</v>
      </c>
      <c r="Y3341" t="s">
        <v>11346</v>
      </c>
      <c r="Z3341" t="s">
        <v>13593</v>
      </c>
      <c r="AB3341" t="s">
        <v>17933</v>
      </c>
      <c r="AC3341">
        <v>49</v>
      </c>
      <c r="AD3341" t="s">
        <v>19566</v>
      </c>
      <c r="AE3341" t="s">
        <v>19580</v>
      </c>
      <c r="AF3341">
        <v>9</v>
      </c>
      <c r="AG3341">
        <v>2</v>
      </c>
      <c r="AH3341">
        <v>0</v>
      </c>
      <c r="AI3341">
        <v>113.73</v>
      </c>
      <c r="AL3341" t="s">
        <v>19614</v>
      </c>
      <c r="AM3341">
        <v>18720</v>
      </c>
      <c r="AS3341">
        <v>0</v>
      </c>
      <c r="AU3341" t="s">
        <v>20642</v>
      </c>
    </row>
    <row r="3342" spans="1:48">
      <c r="A3342" s="1">
        <f>HYPERLINK("https://lsnyc.legalserver.org/matter/dynamic-profile/view/1887063","19-1887063")</f>
        <v>0</v>
      </c>
      <c r="B3342" t="s">
        <v>117</v>
      </c>
      <c r="C3342" t="s">
        <v>256</v>
      </c>
      <c r="D3342" t="s">
        <v>324</v>
      </c>
      <c r="F3342" t="s">
        <v>1231</v>
      </c>
      <c r="G3342" t="s">
        <v>3503</v>
      </c>
      <c r="H3342" t="s">
        <v>5888</v>
      </c>
      <c r="I3342" t="s">
        <v>8176</v>
      </c>
      <c r="J3342" t="s">
        <v>9065</v>
      </c>
      <c r="K3342">
        <v>10453</v>
      </c>
      <c r="L3342" t="s">
        <v>9094</v>
      </c>
      <c r="M3342" t="s">
        <v>9094</v>
      </c>
      <c r="N3342" t="s">
        <v>9243</v>
      </c>
      <c r="O3342" t="s">
        <v>11130</v>
      </c>
      <c r="P3342" t="s">
        <v>11165</v>
      </c>
      <c r="R3342" t="s">
        <v>11180</v>
      </c>
      <c r="S3342" t="s">
        <v>9094</v>
      </c>
      <c r="T3342" t="s">
        <v>11183</v>
      </c>
      <c r="V3342" t="s">
        <v>512</v>
      </c>
      <c r="W3342">
        <v>1585</v>
      </c>
      <c r="X3342" t="s">
        <v>11333</v>
      </c>
      <c r="Y3342" t="s">
        <v>11346</v>
      </c>
      <c r="Z3342" t="s">
        <v>13593</v>
      </c>
      <c r="AB3342" t="s">
        <v>17933</v>
      </c>
      <c r="AC3342">
        <v>49</v>
      </c>
      <c r="AD3342" t="s">
        <v>19566</v>
      </c>
      <c r="AE3342" t="s">
        <v>19580</v>
      </c>
      <c r="AF3342">
        <v>9</v>
      </c>
      <c r="AG3342">
        <v>2</v>
      </c>
      <c r="AH3342">
        <v>0</v>
      </c>
      <c r="AI3342">
        <v>113.73</v>
      </c>
      <c r="AL3342" t="s">
        <v>19614</v>
      </c>
      <c r="AM3342">
        <v>18720</v>
      </c>
      <c r="AS3342">
        <v>0</v>
      </c>
      <c r="AU3342" t="s">
        <v>20642</v>
      </c>
    </row>
    <row r="3343" spans="1:48">
      <c r="A3343" s="1">
        <f>HYPERLINK("https://lsnyc.legalserver.org/matter/dynamic-profile/view/1887069","19-1887069")</f>
        <v>0</v>
      </c>
      <c r="B3343" t="s">
        <v>117</v>
      </c>
      <c r="C3343" t="s">
        <v>256</v>
      </c>
      <c r="D3343" t="s">
        <v>324</v>
      </c>
      <c r="F3343" t="s">
        <v>1231</v>
      </c>
      <c r="G3343" t="s">
        <v>3503</v>
      </c>
      <c r="H3343" t="s">
        <v>5888</v>
      </c>
      <c r="I3343" t="s">
        <v>8176</v>
      </c>
      <c r="J3343" t="s">
        <v>9065</v>
      </c>
      <c r="K3343">
        <v>10453</v>
      </c>
      <c r="L3343" t="s">
        <v>9094</v>
      </c>
      <c r="M3343" t="s">
        <v>9094</v>
      </c>
      <c r="O3343" t="s">
        <v>9121</v>
      </c>
      <c r="P3343" t="s">
        <v>11166</v>
      </c>
      <c r="R3343" t="s">
        <v>11180</v>
      </c>
      <c r="S3343" t="s">
        <v>9094</v>
      </c>
      <c r="T3343" t="s">
        <v>11183</v>
      </c>
      <c r="V3343" t="s">
        <v>512</v>
      </c>
      <c r="W3343">
        <v>1585</v>
      </c>
      <c r="X3343" t="s">
        <v>11333</v>
      </c>
      <c r="Y3343" t="s">
        <v>11346</v>
      </c>
      <c r="Z3343" t="s">
        <v>13593</v>
      </c>
      <c r="AB3343" t="s">
        <v>17933</v>
      </c>
      <c r="AC3343">
        <v>49</v>
      </c>
      <c r="AD3343" t="s">
        <v>19566</v>
      </c>
      <c r="AE3343" t="s">
        <v>19580</v>
      </c>
      <c r="AF3343">
        <v>9</v>
      </c>
      <c r="AG3343">
        <v>2</v>
      </c>
      <c r="AH3343">
        <v>0</v>
      </c>
      <c r="AI3343">
        <v>113.73</v>
      </c>
      <c r="AL3343" t="s">
        <v>19614</v>
      </c>
      <c r="AM3343">
        <v>18720</v>
      </c>
      <c r="AS3343">
        <v>0</v>
      </c>
      <c r="AU3343" t="s">
        <v>20642</v>
      </c>
    </row>
    <row r="3344" spans="1:48">
      <c r="A3344" s="1">
        <f>HYPERLINK("https://lsnyc.legalserver.org/matter/dynamic-profile/view/1863504","18-1863504")</f>
        <v>0</v>
      </c>
      <c r="B3344" t="s">
        <v>111</v>
      </c>
      <c r="C3344" t="s">
        <v>256</v>
      </c>
      <c r="D3344" t="s">
        <v>595</v>
      </c>
      <c r="F3344" t="s">
        <v>1433</v>
      </c>
      <c r="G3344" t="s">
        <v>1404</v>
      </c>
      <c r="H3344" t="s">
        <v>6104</v>
      </c>
      <c r="I3344" t="s">
        <v>8688</v>
      </c>
      <c r="J3344" t="s">
        <v>9065</v>
      </c>
      <c r="K3344">
        <v>10452</v>
      </c>
      <c r="L3344" t="s">
        <v>9094</v>
      </c>
      <c r="M3344" t="s">
        <v>9095</v>
      </c>
      <c r="N3344" t="s">
        <v>9407</v>
      </c>
      <c r="O3344" t="s">
        <v>11135</v>
      </c>
      <c r="P3344" t="s">
        <v>11168</v>
      </c>
      <c r="R3344" t="s">
        <v>11180</v>
      </c>
      <c r="S3344" t="s">
        <v>9094</v>
      </c>
      <c r="T3344" t="s">
        <v>11183</v>
      </c>
      <c r="V3344" t="s">
        <v>638</v>
      </c>
      <c r="W3344">
        <v>840</v>
      </c>
      <c r="X3344" t="s">
        <v>11333</v>
      </c>
      <c r="Y3344" t="s">
        <v>11346</v>
      </c>
      <c r="Z3344" t="s">
        <v>13594</v>
      </c>
      <c r="AB3344" t="s">
        <v>17934</v>
      </c>
      <c r="AC3344">
        <v>70</v>
      </c>
      <c r="AD3344" t="s">
        <v>19566</v>
      </c>
      <c r="AE3344" t="s">
        <v>9144</v>
      </c>
      <c r="AF3344">
        <v>19</v>
      </c>
      <c r="AG3344">
        <v>2</v>
      </c>
      <c r="AH3344">
        <v>0</v>
      </c>
      <c r="AI3344">
        <v>113.73</v>
      </c>
      <c r="AL3344" t="s">
        <v>19614</v>
      </c>
      <c r="AM3344">
        <v>28080</v>
      </c>
      <c r="AN3344" t="s">
        <v>19945</v>
      </c>
      <c r="AS3344">
        <v>0</v>
      </c>
      <c r="AU3344" t="s">
        <v>20647</v>
      </c>
    </row>
    <row r="3345" spans="1:48">
      <c r="A3345" s="1">
        <f>HYPERLINK("https://lsnyc.legalserver.org/matter/dynamic-profile/view/1872194","18-1872194")</f>
        <v>0</v>
      </c>
      <c r="B3345" t="s">
        <v>111</v>
      </c>
      <c r="C3345" t="s">
        <v>256</v>
      </c>
      <c r="D3345" t="s">
        <v>675</v>
      </c>
      <c r="F3345" t="s">
        <v>1433</v>
      </c>
      <c r="G3345" t="s">
        <v>1404</v>
      </c>
      <c r="H3345" t="s">
        <v>6104</v>
      </c>
      <c r="I3345" t="s">
        <v>8688</v>
      </c>
      <c r="J3345" t="s">
        <v>9065</v>
      </c>
      <c r="K3345">
        <v>10452</v>
      </c>
      <c r="L3345" t="s">
        <v>9094</v>
      </c>
      <c r="M3345" t="s">
        <v>9095</v>
      </c>
      <c r="O3345" t="s">
        <v>11135</v>
      </c>
      <c r="P3345" t="s">
        <v>11168</v>
      </c>
      <c r="R3345" t="s">
        <v>11180</v>
      </c>
      <c r="S3345" t="s">
        <v>9094</v>
      </c>
      <c r="T3345" t="s">
        <v>11183</v>
      </c>
      <c r="V3345" t="s">
        <v>675</v>
      </c>
      <c r="W3345">
        <v>840</v>
      </c>
      <c r="X3345" t="s">
        <v>11333</v>
      </c>
      <c r="Y3345" t="s">
        <v>11340</v>
      </c>
      <c r="Z3345" t="s">
        <v>13594</v>
      </c>
      <c r="AB3345" t="s">
        <v>17934</v>
      </c>
      <c r="AC3345">
        <v>0</v>
      </c>
      <c r="AD3345" t="s">
        <v>19566</v>
      </c>
      <c r="AF3345">
        <v>19</v>
      </c>
      <c r="AG3345">
        <v>2</v>
      </c>
      <c r="AH3345">
        <v>0</v>
      </c>
      <c r="AI3345">
        <v>113.73</v>
      </c>
      <c r="AL3345" t="s">
        <v>19614</v>
      </c>
      <c r="AM3345">
        <v>18720</v>
      </c>
      <c r="AN3345" t="s">
        <v>19946</v>
      </c>
      <c r="AS3345">
        <v>0</v>
      </c>
      <c r="AU3345" t="s">
        <v>20642</v>
      </c>
    </row>
    <row r="3346" spans="1:48">
      <c r="A3346" s="1">
        <f>HYPERLINK("https://lsnyc.legalserver.org/matter/dynamic-profile/view/1894609","19-1894609")</f>
        <v>0</v>
      </c>
      <c r="B3346" t="s">
        <v>99</v>
      </c>
      <c r="C3346" t="s">
        <v>257</v>
      </c>
      <c r="D3346" t="s">
        <v>421</v>
      </c>
      <c r="E3346" t="s">
        <v>362</v>
      </c>
      <c r="F3346" t="s">
        <v>1603</v>
      </c>
      <c r="G3346" t="s">
        <v>4730</v>
      </c>
      <c r="H3346" t="s">
        <v>6760</v>
      </c>
      <c r="I3346" t="s">
        <v>8133</v>
      </c>
      <c r="J3346" t="s">
        <v>9065</v>
      </c>
      <c r="K3346">
        <v>10457</v>
      </c>
      <c r="L3346" t="s">
        <v>9094</v>
      </c>
      <c r="M3346" t="s">
        <v>9094</v>
      </c>
      <c r="O3346" t="s">
        <v>9121</v>
      </c>
      <c r="P3346" t="s">
        <v>11164</v>
      </c>
      <c r="Q3346" t="s">
        <v>11172</v>
      </c>
      <c r="R3346" t="s">
        <v>11180</v>
      </c>
      <c r="S3346" t="s">
        <v>9096</v>
      </c>
      <c r="T3346" t="s">
        <v>11183</v>
      </c>
      <c r="V3346" t="s">
        <v>421</v>
      </c>
      <c r="W3346">
        <v>796.51</v>
      </c>
      <c r="X3346" t="s">
        <v>11333</v>
      </c>
      <c r="Y3346" t="s">
        <v>11346</v>
      </c>
      <c r="Z3346" t="s">
        <v>13595</v>
      </c>
      <c r="AC3346">
        <v>55</v>
      </c>
      <c r="AD3346" t="s">
        <v>19566</v>
      </c>
      <c r="AE3346" t="s">
        <v>9144</v>
      </c>
      <c r="AF3346">
        <v>30</v>
      </c>
      <c r="AG3346">
        <v>2</v>
      </c>
      <c r="AH3346">
        <v>0</v>
      </c>
      <c r="AI3346">
        <v>113.78</v>
      </c>
      <c r="AL3346" t="s">
        <v>19614</v>
      </c>
      <c r="AM3346">
        <v>19240</v>
      </c>
      <c r="AS3346">
        <v>1.4</v>
      </c>
      <c r="AT3346" t="s">
        <v>362</v>
      </c>
      <c r="AU3346" t="s">
        <v>99</v>
      </c>
    </row>
    <row r="3347" spans="1:48">
      <c r="A3347" s="1">
        <f>HYPERLINK("https://lsnyc.legalserver.org/matter/dynamic-profile/view/1860312","18-1860312")</f>
        <v>0</v>
      </c>
      <c r="B3347" t="s">
        <v>52</v>
      </c>
      <c r="C3347" t="s">
        <v>256</v>
      </c>
      <c r="D3347" t="s">
        <v>364</v>
      </c>
      <c r="F3347" t="s">
        <v>2501</v>
      </c>
      <c r="G3347" t="s">
        <v>4616</v>
      </c>
      <c r="H3347" t="s">
        <v>6472</v>
      </c>
      <c r="J3347" t="s">
        <v>9039</v>
      </c>
      <c r="K3347">
        <v>11432</v>
      </c>
      <c r="L3347" t="s">
        <v>9094</v>
      </c>
      <c r="M3347" t="s">
        <v>9095</v>
      </c>
      <c r="N3347" t="s">
        <v>9703</v>
      </c>
      <c r="O3347" t="s">
        <v>11135</v>
      </c>
      <c r="P3347" t="s">
        <v>11168</v>
      </c>
      <c r="R3347" t="s">
        <v>11180</v>
      </c>
      <c r="S3347" t="s">
        <v>9094</v>
      </c>
      <c r="T3347" t="s">
        <v>11189</v>
      </c>
      <c r="V3347" t="s">
        <v>11249</v>
      </c>
      <c r="W3347">
        <v>0</v>
      </c>
      <c r="X3347" t="s">
        <v>11331</v>
      </c>
      <c r="Y3347" t="s">
        <v>11341</v>
      </c>
      <c r="AA3347" t="s">
        <v>9171</v>
      </c>
      <c r="AC3347">
        <v>60</v>
      </c>
      <c r="AD3347" t="s">
        <v>19566</v>
      </c>
      <c r="AE3347" t="s">
        <v>9144</v>
      </c>
      <c r="AF3347">
        <v>0</v>
      </c>
      <c r="AG3347">
        <v>2</v>
      </c>
      <c r="AH3347">
        <v>2</v>
      </c>
      <c r="AI3347">
        <v>113.82</v>
      </c>
      <c r="AJ3347" t="s">
        <v>19592</v>
      </c>
      <c r="AL3347" t="s">
        <v>19615</v>
      </c>
      <c r="AM3347">
        <v>28000</v>
      </c>
      <c r="AS3347">
        <v>0.2</v>
      </c>
      <c r="AT3347" t="s">
        <v>848</v>
      </c>
      <c r="AU3347" t="s">
        <v>153</v>
      </c>
    </row>
    <row r="3348" spans="1:48">
      <c r="A3348" s="1">
        <f>HYPERLINK("https://lsnyc.legalserver.org/matter/dynamic-profile/view/1860339","18-1860339")</f>
        <v>0</v>
      </c>
      <c r="B3348" t="s">
        <v>52</v>
      </c>
      <c r="C3348" t="s">
        <v>256</v>
      </c>
      <c r="D3348" t="s">
        <v>364</v>
      </c>
      <c r="F3348" t="s">
        <v>2501</v>
      </c>
      <c r="G3348" t="s">
        <v>4616</v>
      </c>
      <c r="H3348" t="s">
        <v>6472</v>
      </c>
      <c r="J3348" t="s">
        <v>9039</v>
      </c>
      <c r="K3348">
        <v>11432</v>
      </c>
      <c r="L3348" t="s">
        <v>9094</v>
      </c>
      <c r="M3348" t="s">
        <v>9095</v>
      </c>
      <c r="N3348" t="s">
        <v>9698</v>
      </c>
      <c r="O3348" t="s">
        <v>11135</v>
      </c>
      <c r="P3348" t="s">
        <v>11168</v>
      </c>
      <c r="R3348" t="s">
        <v>11180</v>
      </c>
      <c r="S3348" t="s">
        <v>9094</v>
      </c>
      <c r="T3348" t="s">
        <v>11189</v>
      </c>
      <c r="V3348" t="s">
        <v>11249</v>
      </c>
      <c r="W3348">
        <v>0</v>
      </c>
      <c r="X3348" t="s">
        <v>11331</v>
      </c>
      <c r="Y3348" t="s">
        <v>11341</v>
      </c>
      <c r="AA3348" t="s">
        <v>9171</v>
      </c>
      <c r="AC3348">
        <v>60</v>
      </c>
      <c r="AD3348" t="s">
        <v>19566</v>
      </c>
      <c r="AE3348" t="s">
        <v>9144</v>
      </c>
      <c r="AF3348">
        <v>0</v>
      </c>
      <c r="AG3348">
        <v>2</v>
      </c>
      <c r="AH3348">
        <v>2</v>
      </c>
      <c r="AI3348">
        <v>113.82</v>
      </c>
      <c r="AJ3348" t="s">
        <v>19592</v>
      </c>
      <c r="AL3348" t="s">
        <v>19615</v>
      </c>
      <c r="AM3348">
        <v>56000</v>
      </c>
      <c r="AS3348">
        <v>0.2</v>
      </c>
      <c r="AT3348" t="s">
        <v>848</v>
      </c>
      <c r="AU3348" t="s">
        <v>153</v>
      </c>
    </row>
    <row r="3349" spans="1:48">
      <c r="A3349" s="1">
        <f>HYPERLINK("https://lsnyc.legalserver.org/matter/dynamic-profile/view/1899801","19-1899801")</f>
        <v>0</v>
      </c>
      <c r="B3349" t="s">
        <v>129</v>
      </c>
      <c r="C3349" t="s">
        <v>256</v>
      </c>
      <c r="D3349" t="s">
        <v>411</v>
      </c>
      <c r="F3349" t="s">
        <v>2502</v>
      </c>
      <c r="G3349" t="s">
        <v>4731</v>
      </c>
      <c r="H3349" t="s">
        <v>7288</v>
      </c>
      <c r="J3349" t="s">
        <v>9066</v>
      </c>
      <c r="K3349">
        <v>10303</v>
      </c>
      <c r="L3349" t="s">
        <v>9095</v>
      </c>
      <c r="M3349" t="s">
        <v>9095</v>
      </c>
      <c r="N3349" t="s">
        <v>10361</v>
      </c>
      <c r="P3349" t="s">
        <v>11165</v>
      </c>
      <c r="R3349" t="s">
        <v>11181</v>
      </c>
      <c r="T3349" t="s">
        <v>11189</v>
      </c>
      <c r="W3349">
        <v>0</v>
      </c>
      <c r="X3349" t="s">
        <v>11334</v>
      </c>
      <c r="Z3349" t="s">
        <v>13596</v>
      </c>
      <c r="AC3349">
        <v>0</v>
      </c>
      <c r="AF3349">
        <v>0</v>
      </c>
      <c r="AG3349">
        <v>4</v>
      </c>
      <c r="AH3349">
        <v>3</v>
      </c>
      <c r="AI3349">
        <v>113.82</v>
      </c>
      <c r="AJ3349" t="s">
        <v>19591</v>
      </c>
      <c r="AK3349" t="s">
        <v>19608</v>
      </c>
      <c r="AL3349" t="s">
        <v>19614</v>
      </c>
      <c r="AM3349">
        <v>44400</v>
      </c>
      <c r="AS3349">
        <v>27.6</v>
      </c>
      <c r="AT3349" t="s">
        <v>263</v>
      </c>
      <c r="AU3349" t="s">
        <v>129</v>
      </c>
      <c r="AV3349" t="s">
        <v>20733</v>
      </c>
    </row>
    <row r="3350" spans="1:48">
      <c r="A3350" s="1">
        <f>HYPERLINK("https://lsnyc.legalserver.org/matter/dynamic-profile/view/1867094","18-1867094")</f>
        <v>0</v>
      </c>
      <c r="B3350" t="s">
        <v>234</v>
      </c>
      <c r="C3350" t="s">
        <v>256</v>
      </c>
      <c r="D3350" t="s">
        <v>272</v>
      </c>
      <c r="F3350" t="s">
        <v>2503</v>
      </c>
      <c r="G3350" t="s">
        <v>4732</v>
      </c>
      <c r="H3350" t="s">
        <v>7289</v>
      </c>
      <c r="I3350" t="s">
        <v>8308</v>
      </c>
      <c r="J3350" t="s">
        <v>9067</v>
      </c>
      <c r="K3350">
        <v>10002</v>
      </c>
      <c r="L3350" t="s">
        <v>9094</v>
      </c>
      <c r="M3350" t="s">
        <v>9095</v>
      </c>
      <c r="N3350" t="s">
        <v>10362</v>
      </c>
      <c r="O3350" t="s">
        <v>11153</v>
      </c>
      <c r="P3350" t="s">
        <v>11167</v>
      </c>
      <c r="R3350" t="s">
        <v>11181</v>
      </c>
      <c r="S3350" t="s">
        <v>9096</v>
      </c>
      <c r="T3350" t="s">
        <v>11188</v>
      </c>
      <c r="V3350" t="s">
        <v>921</v>
      </c>
      <c r="W3350">
        <v>230</v>
      </c>
      <c r="X3350" t="s">
        <v>11335</v>
      </c>
      <c r="Y3350" t="s">
        <v>11337</v>
      </c>
      <c r="Z3350" t="s">
        <v>13597</v>
      </c>
      <c r="AB3350" t="s">
        <v>17935</v>
      </c>
      <c r="AC3350">
        <v>1861</v>
      </c>
      <c r="AD3350" t="s">
        <v>19567</v>
      </c>
      <c r="AF3350">
        <v>3</v>
      </c>
      <c r="AG3350">
        <v>2</v>
      </c>
      <c r="AH3350">
        <v>1</v>
      </c>
      <c r="AI3350">
        <v>113.86</v>
      </c>
      <c r="AJ3350" t="s">
        <v>19591</v>
      </c>
      <c r="AK3350" t="s">
        <v>19608</v>
      </c>
      <c r="AL3350" t="s">
        <v>19614</v>
      </c>
      <c r="AM3350">
        <v>23660</v>
      </c>
      <c r="AS3350">
        <v>17.8</v>
      </c>
      <c r="AT3350" t="s">
        <v>703</v>
      </c>
      <c r="AU3350" t="s">
        <v>20669</v>
      </c>
    </row>
    <row r="3351" spans="1:48">
      <c r="A3351" s="1">
        <f>HYPERLINK("https://lsnyc.legalserver.org/matter/dynamic-profile/view/1867856","18-1867856")</f>
        <v>0</v>
      </c>
      <c r="B3351" t="s">
        <v>136</v>
      </c>
      <c r="C3351" t="s">
        <v>256</v>
      </c>
      <c r="D3351" t="s">
        <v>894</v>
      </c>
      <c r="F3351" t="s">
        <v>1168</v>
      </c>
      <c r="G3351" t="s">
        <v>4042</v>
      </c>
      <c r="H3351" t="s">
        <v>5961</v>
      </c>
      <c r="I3351">
        <v>515</v>
      </c>
      <c r="J3351" t="s">
        <v>9067</v>
      </c>
      <c r="K3351">
        <v>10029</v>
      </c>
      <c r="L3351" t="s">
        <v>9094</v>
      </c>
      <c r="M3351" t="s">
        <v>9094</v>
      </c>
      <c r="N3351" t="s">
        <v>9287</v>
      </c>
      <c r="O3351" t="s">
        <v>11130</v>
      </c>
      <c r="P3351" t="s">
        <v>11165</v>
      </c>
      <c r="R3351" t="s">
        <v>11180</v>
      </c>
      <c r="S3351" t="s">
        <v>9094</v>
      </c>
      <c r="T3351" t="s">
        <v>11183</v>
      </c>
      <c r="U3351" t="s">
        <v>11201</v>
      </c>
      <c r="V3351" t="s">
        <v>894</v>
      </c>
      <c r="W3351">
        <v>2240</v>
      </c>
      <c r="X3351" t="s">
        <v>11335</v>
      </c>
      <c r="Y3351" t="s">
        <v>11339</v>
      </c>
      <c r="Z3351" t="s">
        <v>13598</v>
      </c>
      <c r="AB3351" t="s">
        <v>17936</v>
      </c>
      <c r="AC3351">
        <v>108</v>
      </c>
      <c r="AD3351" t="s">
        <v>19567</v>
      </c>
      <c r="AE3351" t="s">
        <v>19580</v>
      </c>
      <c r="AF3351">
        <v>18</v>
      </c>
      <c r="AG3351">
        <v>3</v>
      </c>
      <c r="AH3351">
        <v>3</v>
      </c>
      <c r="AI3351">
        <v>113.89</v>
      </c>
      <c r="AL3351" t="s">
        <v>19614</v>
      </c>
      <c r="AM3351">
        <v>38428</v>
      </c>
      <c r="AS3351">
        <v>1.25</v>
      </c>
      <c r="AT3351" t="s">
        <v>362</v>
      </c>
      <c r="AU3351" t="s">
        <v>20657</v>
      </c>
    </row>
    <row r="3352" spans="1:48">
      <c r="A3352" s="1">
        <f>HYPERLINK("https://lsnyc.legalserver.org/matter/dynamic-profile/view/1904720","19-1904720")</f>
        <v>0</v>
      </c>
      <c r="B3352" t="s">
        <v>59</v>
      </c>
      <c r="C3352" t="s">
        <v>257</v>
      </c>
      <c r="D3352" t="s">
        <v>497</v>
      </c>
      <c r="E3352" t="s">
        <v>1016</v>
      </c>
      <c r="F3352" t="s">
        <v>1255</v>
      </c>
      <c r="G3352" t="s">
        <v>3572</v>
      </c>
      <c r="H3352" t="s">
        <v>5698</v>
      </c>
      <c r="I3352" t="s">
        <v>8270</v>
      </c>
      <c r="J3352" t="s">
        <v>9038</v>
      </c>
      <c r="K3352">
        <v>11691</v>
      </c>
      <c r="L3352" t="s">
        <v>9094</v>
      </c>
      <c r="M3352" t="s">
        <v>9095</v>
      </c>
      <c r="N3352" t="s">
        <v>10363</v>
      </c>
      <c r="O3352" t="s">
        <v>11129</v>
      </c>
      <c r="P3352" t="s">
        <v>11165</v>
      </c>
      <c r="Q3352" t="s">
        <v>11174</v>
      </c>
      <c r="R3352" t="s">
        <v>11180</v>
      </c>
      <c r="S3352" t="s">
        <v>9096</v>
      </c>
      <c r="T3352" t="s">
        <v>11183</v>
      </c>
      <c r="U3352" t="s">
        <v>11200</v>
      </c>
      <c r="V3352" t="s">
        <v>497</v>
      </c>
      <c r="W3352">
        <v>327</v>
      </c>
      <c r="X3352" t="s">
        <v>11331</v>
      </c>
      <c r="Y3352" t="s">
        <v>11340</v>
      </c>
      <c r="Z3352" t="s">
        <v>13599</v>
      </c>
      <c r="AA3352" t="s">
        <v>15780</v>
      </c>
      <c r="AB3352" t="s">
        <v>17937</v>
      </c>
      <c r="AC3352">
        <v>462</v>
      </c>
      <c r="AD3352" t="s">
        <v>19568</v>
      </c>
      <c r="AE3352" t="s">
        <v>9144</v>
      </c>
      <c r="AF3352">
        <v>20</v>
      </c>
      <c r="AG3352">
        <v>1</v>
      </c>
      <c r="AH3352">
        <v>0</v>
      </c>
      <c r="AI3352">
        <v>114.24</v>
      </c>
      <c r="AL3352" t="s">
        <v>19614</v>
      </c>
      <c r="AM3352">
        <v>14268</v>
      </c>
      <c r="AO3352" t="s">
        <v>20293</v>
      </c>
      <c r="AP3352" t="s">
        <v>20309</v>
      </c>
      <c r="AQ3352" t="s">
        <v>20369</v>
      </c>
      <c r="AR3352" t="s">
        <v>20412</v>
      </c>
      <c r="AS3352">
        <v>1</v>
      </c>
      <c r="AT3352" t="s">
        <v>1016</v>
      </c>
      <c r="AU3352" t="s">
        <v>20620</v>
      </c>
      <c r="AV3352" t="s">
        <v>20734</v>
      </c>
    </row>
    <row r="3353" spans="1:48">
      <c r="A3353" s="1">
        <f>HYPERLINK("https://lsnyc.legalserver.org/matter/dynamic-profile/view/1890808","19-1890808")</f>
        <v>0</v>
      </c>
      <c r="B3353" t="s">
        <v>86</v>
      </c>
      <c r="C3353" t="s">
        <v>256</v>
      </c>
      <c r="D3353" t="s">
        <v>381</v>
      </c>
      <c r="F3353" t="s">
        <v>2496</v>
      </c>
      <c r="G3353" t="s">
        <v>4726</v>
      </c>
      <c r="H3353" t="s">
        <v>7285</v>
      </c>
      <c r="I3353" t="s">
        <v>8537</v>
      </c>
      <c r="J3353" t="s">
        <v>9059</v>
      </c>
      <c r="K3353">
        <v>11235</v>
      </c>
      <c r="L3353" t="s">
        <v>9094</v>
      </c>
      <c r="M3353" t="s">
        <v>9094</v>
      </c>
      <c r="O3353" t="s">
        <v>11137</v>
      </c>
      <c r="P3353" t="s">
        <v>11166</v>
      </c>
      <c r="R3353" t="s">
        <v>11180</v>
      </c>
      <c r="S3353" t="s">
        <v>9096</v>
      </c>
      <c r="T3353" t="s">
        <v>11183</v>
      </c>
      <c r="V3353" t="s">
        <v>573</v>
      </c>
      <c r="W3353">
        <v>0</v>
      </c>
      <c r="X3353" t="s">
        <v>11332</v>
      </c>
      <c r="Z3353" t="s">
        <v>13588</v>
      </c>
      <c r="AB3353" t="s">
        <v>17928</v>
      </c>
      <c r="AC3353">
        <v>0</v>
      </c>
      <c r="AF3353">
        <v>0</v>
      </c>
      <c r="AG3353">
        <v>2</v>
      </c>
      <c r="AH3353">
        <v>0</v>
      </c>
      <c r="AI3353">
        <v>114.25</v>
      </c>
      <c r="AL3353" t="s">
        <v>19614</v>
      </c>
      <c r="AM3353">
        <v>19320</v>
      </c>
      <c r="AN3353" t="s">
        <v>19947</v>
      </c>
      <c r="AS3353">
        <v>1.75</v>
      </c>
      <c r="AT3353" t="s">
        <v>314</v>
      </c>
      <c r="AU3353" t="s">
        <v>215</v>
      </c>
    </row>
    <row r="3354" spans="1:48">
      <c r="A3354" s="1">
        <f>HYPERLINK("https://lsnyc.legalserver.org/matter/dynamic-profile/view/1892395","19-1892395")</f>
        <v>0</v>
      </c>
      <c r="B3354" t="s">
        <v>83</v>
      </c>
      <c r="C3354" t="s">
        <v>256</v>
      </c>
      <c r="D3354" t="s">
        <v>635</v>
      </c>
      <c r="F3354" t="s">
        <v>2504</v>
      </c>
      <c r="G3354" t="s">
        <v>4733</v>
      </c>
      <c r="H3354" t="s">
        <v>6257</v>
      </c>
      <c r="I3354" t="s">
        <v>8208</v>
      </c>
      <c r="J3354" t="s">
        <v>9059</v>
      </c>
      <c r="K3354">
        <v>11225</v>
      </c>
      <c r="L3354" t="s">
        <v>9094</v>
      </c>
      <c r="M3354" t="s">
        <v>9094</v>
      </c>
      <c r="N3354" t="s">
        <v>9304</v>
      </c>
      <c r="O3354" t="s">
        <v>11132</v>
      </c>
      <c r="P3354" t="s">
        <v>11165</v>
      </c>
      <c r="R3354" t="s">
        <v>11180</v>
      </c>
      <c r="S3354" t="s">
        <v>9094</v>
      </c>
      <c r="T3354" t="s">
        <v>11183</v>
      </c>
      <c r="V3354" t="s">
        <v>700</v>
      </c>
      <c r="W3354">
        <v>0</v>
      </c>
      <c r="X3354" t="s">
        <v>11332</v>
      </c>
      <c r="Z3354" t="s">
        <v>13600</v>
      </c>
      <c r="AB3354" t="s">
        <v>17938</v>
      </c>
      <c r="AC3354">
        <v>0</v>
      </c>
      <c r="AF3354">
        <v>0</v>
      </c>
      <c r="AG3354">
        <v>1</v>
      </c>
      <c r="AH3354">
        <v>1</v>
      </c>
      <c r="AI3354">
        <v>114.25</v>
      </c>
      <c r="AL3354" t="s">
        <v>19614</v>
      </c>
      <c r="AM3354">
        <v>19320</v>
      </c>
      <c r="AS3354">
        <v>1.6</v>
      </c>
      <c r="AT3354" t="s">
        <v>336</v>
      </c>
      <c r="AU3354" t="s">
        <v>215</v>
      </c>
    </row>
    <row r="3355" spans="1:48">
      <c r="A3355" s="1">
        <f>HYPERLINK("https://lsnyc.legalserver.org/matter/dynamic-profile/view/1911491","19-1911491")</f>
        <v>0</v>
      </c>
      <c r="B3355" t="s">
        <v>141</v>
      </c>
      <c r="C3355" t="s">
        <v>256</v>
      </c>
      <c r="D3355" t="s">
        <v>362</v>
      </c>
      <c r="F3355" t="s">
        <v>2193</v>
      </c>
      <c r="G3355" t="s">
        <v>3756</v>
      </c>
      <c r="H3355" t="s">
        <v>5999</v>
      </c>
      <c r="I3355" t="s">
        <v>8302</v>
      </c>
      <c r="J3355" t="s">
        <v>9067</v>
      </c>
      <c r="K3355">
        <v>10040</v>
      </c>
      <c r="L3355" t="s">
        <v>9094</v>
      </c>
      <c r="M3355" t="s">
        <v>9095</v>
      </c>
      <c r="O3355" t="s">
        <v>11132</v>
      </c>
      <c r="P3355" t="s">
        <v>11165</v>
      </c>
      <c r="R3355" t="s">
        <v>11180</v>
      </c>
      <c r="S3355" t="s">
        <v>9094</v>
      </c>
      <c r="T3355" t="s">
        <v>11183</v>
      </c>
      <c r="V3355" t="s">
        <v>362</v>
      </c>
      <c r="W3355">
        <v>1230.2</v>
      </c>
      <c r="X3355" t="s">
        <v>11335</v>
      </c>
      <c r="Y3355" t="s">
        <v>11340</v>
      </c>
      <c r="Z3355" t="s">
        <v>13520</v>
      </c>
      <c r="AB3355" t="s">
        <v>17857</v>
      </c>
      <c r="AC3355">
        <v>44</v>
      </c>
      <c r="AD3355" t="s">
        <v>19566</v>
      </c>
      <c r="AE3355" t="s">
        <v>19580</v>
      </c>
      <c r="AF3355">
        <v>23</v>
      </c>
      <c r="AG3355">
        <v>1</v>
      </c>
      <c r="AH3355">
        <v>0</v>
      </c>
      <c r="AI3355">
        <v>114.43</v>
      </c>
      <c r="AL3355" t="s">
        <v>19615</v>
      </c>
      <c r="AM3355">
        <v>14292</v>
      </c>
      <c r="AS3355">
        <v>0.1</v>
      </c>
      <c r="AT3355" t="s">
        <v>292</v>
      </c>
      <c r="AU3355" t="s">
        <v>130</v>
      </c>
      <c r="AV3355" t="s">
        <v>20733</v>
      </c>
    </row>
    <row r="3356" spans="1:48">
      <c r="A3356" s="1">
        <f>HYPERLINK("https://lsnyc.legalserver.org/matter/dynamic-profile/view/1911593","19-1911593")</f>
        <v>0</v>
      </c>
      <c r="B3356" t="s">
        <v>141</v>
      </c>
      <c r="C3356" t="s">
        <v>256</v>
      </c>
      <c r="D3356" t="s">
        <v>728</v>
      </c>
      <c r="F3356" t="s">
        <v>2193</v>
      </c>
      <c r="G3356" t="s">
        <v>3756</v>
      </c>
      <c r="H3356" t="s">
        <v>5999</v>
      </c>
      <c r="I3356" t="s">
        <v>8302</v>
      </c>
      <c r="J3356" t="s">
        <v>9067</v>
      </c>
      <c r="K3356">
        <v>10040</v>
      </c>
      <c r="L3356" t="s">
        <v>9094</v>
      </c>
      <c r="M3356" t="s">
        <v>9095</v>
      </c>
      <c r="O3356" t="s">
        <v>11134</v>
      </c>
      <c r="P3356" t="s">
        <v>11165</v>
      </c>
      <c r="R3356" t="s">
        <v>11180</v>
      </c>
      <c r="S3356" t="s">
        <v>9094</v>
      </c>
      <c r="T3356" t="s">
        <v>11183</v>
      </c>
      <c r="V3356" t="s">
        <v>728</v>
      </c>
      <c r="W3356">
        <v>1230.4</v>
      </c>
      <c r="X3356" t="s">
        <v>11335</v>
      </c>
      <c r="Y3356" t="s">
        <v>11340</v>
      </c>
      <c r="Z3356" t="s">
        <v>13520</v>
      </c>
      <c r="AB3356" t="s">
        <v>17857</v>
      </c>
      <c r="AC3356">
        <v>44</v>
      </c>
      <c r="AD3356" t="s">
        <v>19566</v>
      </c>
      <c r="AE3356" t="s">
        <v>19580</v>
      </c>
      <c r="AF3356">
        <v>23</v>
      </c>
      <c r="AG3356">
        <v>1</v>
      </c>
      <c r="AH3356">
        <v>0</v>
      </c>
      <c r="AI3356">
        <v>114.43</v>
      </c>
      <c r="AL3356" t="s">
        <v>19615</v>
      </c>
      <c r="AM3356">
        <v>14292</v>
      </c>
      <c r="AS3356">
        <v>0</v>
      </c>
      <c r="AU3356" t="s">
        <v>130</v>
      </c>
      <c r="AV3356" t="s">
        <v>20733</v>
      </c>
    </row>
    <row r="3357" spans="1:48">
      <c r="A3357" s="1">
        <f>HYPERLINK("https://lsnyc.legalserver.org/matter/dynamic-profile/view/1912423","19-1912423")</f>
        <v>0</v>
      </c>
      <c r="B3357" t="s">
        <v>141</v>
      </c>
      <c r="C3357" t="s">
        <v>257</v>
      </c>
      <c r="D3357" t="s">
        <v>744</v>
      </c>
      <c r="E3357" t="s">
        <v>594</v>
      </c>
      <c r="F3357" t="s">
        <v>2193</v>
      </c>
      <c r="G3357" t="s">
        <v>3756</v>
      </c>
      <c r="H3357" t="s">
        <v>5999</v>
      </c>
      <c r="I3357" t="s">
        <v>8302</v>
      </c>
      <c r="J3357" t="s">
        <v>9067</v>
      </c>
      <c r="K3357">
        <v>10040</v>
      </c>
      <c r="L3357" t="s">
        <v>9094</v>
      </c>
      <c r="M3357" t="s">
        <v>9095</v>
      </c>
      <c r="N3357" t="s">
        <v>9652</v>
      </c>
      <c r="O3357" t="s">
        <v>11134</v>
      </c>
      <c r="P3357" t="s">
        <v>11168</v>
      </c>
      <c r="Q3357" t="s">
        <v>11177</v>
      </c>
      <c r="R3357" t="s">
        <v>11180</v>
      </c>
      <c r="S3357" t="s">
        <v>9094</v>
      </c>
      <c r="T3357" t="s">
        <v>11183</v>
      </c>
      <c r="V3357" t="s">
        <v>744</v>
      </c>
      <c r="W3357">
        <v>1230.4</v>
      </c>
      <c r="X3357" t="s">
        <v>11335</v>
      </c>
      <c r="Y3357" t="s">
        <v>11340</v>
      </c>
      <c r="Z3357" t="s">
        <v>13520</v>
      </c>
      <c r="AB3357" t="s">
        <v>17857</v>
      </c>
      <c r="AC3357">
        <v>44</v>
      </c>
      <c r="AD3357" t="s">
        <v>19566</v>
      </c>
      <c r="AE3357" t="s">
        <v>19580</v>
      </c>
      <c r="AF3357">
        <v>23</v>
      </c>
      <c r="AG3357">
        <v>1</v>
      </c>
      <c r="AH3357">
        <v>0</v>
      </c>
      <c r="AI3357">
        <v>114.43</v>
      </c>
      <c r="AL3357" t="s">
        <v>19615</v>
      </c>
      <c r="AM3357">
        <v>14292</v>
      </c>
      <c r="AS3357">
        <v>0.1</v>
      </c>
      <c r="AT3357" t="s">
        <v>594</v>
      </c>
      <c r="AU3357" t="s">
        <v>130</v>
      </c>
      <c r="AV3357" t="s">
        <v>20733</v>
      </c>
    </row>
    <row r="3358" spans="1:48">
      <c r="A3358" s="1">
        <f>HYPERLINK("https://lsnyc.legalserver.org/matter/dynamic-profile/view/1908397","19-1908397")</f>
        <v>0</v>
      </c>
      <c r="B3358" t="s">
        <v>84</v>
      </c>
      <c r="C3358" t="s">
        <v>256</v>
      </c>
      <c r="D3358" t="s">
        <v>314</v>
      </c>
      <c r="F3358" t="s">
        <v>1318</v>
      </c>
      <c r="G3358" t="s">
        <v>4005</v>
      </c>
      <c r="H3358" t="s">
        <v>5794</v>
      </c>
      <c r="I3358" t="s">
        <v>8209</v>
      </c>
      <c r="J3358" t="s">
        <v>9059</v>
      </c>
      <c r="K3358">
        <v>11217</v>
      </c>
      <c r="L3358" t="s">
        <v>9094</v>
      </c>
      <c r="M3358" t="s">
        <v>9095</v>
      </c>
      <c r="P3358" t="s">
        <v>11166</v>
      </c>
      <c r="R3358" t="s">
        <v>11180</v>
      </c>
      <c r="T3358" t="s">
        <v>11183</v>
      </c>
      <c r="V3358" t="s">
        <v>314</v>
      </c>
      <c r="W3358">
        <v>0</v>
      </c>
      <c r="X3358" t="s">
        <v>11332</v>
      </c>
      <c r="Z3358" t="s">
        <v>13601</v>
      </c>
      <c r="AB3358" t="s">
        <v>17939</v>
      </c>
      <c r="AC3358">
        <v>8</v>
      </c>
      <c r="AF3358">
        <v>0</v>
      </c>
      <c r="AG3358">
        <v>1</v>
      </c>
      <c r="AH3358">
        <v>0</v>
      </c>
      <c r="AI3358">
        <v>114.49</v>
      </c>
      <c r="AL3358" t="s">
        <v>19614</v>
      </c>
      <c r="AM3358">
        <v>14300</v>
      </c>
      <c r="AS3358">
        <v>11.4</v>
      </c>
      <c r="AT3358" t="s">
        <v>284</v>
      </c>
      <c r="AU3358" t="s">
        <v>67</v>
      </c>
    </row>
    <row r="3359" spans="1:48">
      <c r="A3359" s="1">
        <f>HYPERLINK("https://lsnyc.legalserver.org/matter/dynamic-profile/view/1840469","17-1840469")</f>
        <v>0</v>
      </c>
      <c r="B3359" t="s">
        <v>136</v>
      </c>
      <c r="C3359" t="s">
        <v>256</v>
      </c>
      <c r="D3359" t="s">
        <v>730</v>
      </c>
      <c r="F3359" t="s">
        <v>2180</v>
      </c>
      <c r="G3359" t="s">
        <v>4734</v>
      </c>
      <c r="H3359" t="s">
        <v>6904</v>
      </c>
      <c r="I3359" t="s">
        <v>8523</v>
      </c>
      <c r="J3359" t="s">
        <v>9067</v>
      </c>
      <c r="K3359">
        <v>10034</v>
      </c>
      <c r="L3359" t="s">
        <v>9094</v>
      </c>
      <c r="M3359" t="s">
        <v>9095</v>
      </c>
      <c r="O3359" t="s">
        <v>11136</v>
      </c>
      <c r="P3359" t="s">
        <v>11166</v>
      </c>
      <c r="R3359" t="s">
        <v>11180</v>
      </c>
      <c r="S3359" t="s">
        <v>9096</v>
      </c>
      <c r="T3359" t="s">
        <v>11183</v>
      </c>
      <c r="V3359" t="s">
        <v>856</v>
      </c>
      <c r="W3359">
        <v>1066.11</v>
      </c>
      <c r="X3359" t="s">
        <v>11335</v>
      </c>
      <c r="Y3359" t="s">
        <v>11338</v>
      </c>
      <c r="Z3359" t="s">
        <v>13602</v>
      </c>
      <c r="AB3359" t="s">
        <v>17940</v>
      </c>
      <c r="AC3359">
        <v>46</v>
      </c>
      <c r="AD3359" t="s">
        <v>19566</v>
      </c>
      <c r="AE3359" t="s">
        <v>9144</v>
      </c>
      <c r="AF3359">
        <v>5</v>
      </c>
      <c r="AG3359">
        <v>2</v>
      </c>
      <c r="AH3359">
        <v>1</v>
      </c>
      <c r="AI3359">
        <v>114.59</v>
      </c>
      <c r="AL3359" t="s">
        <v>19615</v>
      </c>
      <c r="AM3359">
        <v>23400</v>
      </c>
      <c r="AS3359">
        <v>10.1</v>
      </c>
      <c r="AT3359" t="s">
        <v>728</v>
      </c>
      <c r="AU3359" t="s">
        <v>130</v>
      </c>
    </row>
    <row r="3360" spans="1:48">
      <c r="A3360" s="1">
        <f>HYPERLINK("https://lsnyc.legalserver.org/matter/dynamic-profile/view/1902026","19-1902026")</f>
        <v>0</v>
      </c>
      <c r="B3360" t="s">
        <v>70</v>
      </c>
      <c r="C3360" t="s">
        <v>256</v>
      </c>
      <c r="D3360" t="s">
        <v>319</v>
      </c>
      <c r="F3360" t="s">
        <v>1227</v>
      </c>
      <c r="G3360" t="s">
        <v>4735</v>
      </c>
      <c r="H3360" t="s">
        <v>5748</v>
      </c>
      <c r="I3360" t="s">
        <v>8722</v>
      </c>
      <c r="J3360" t="s">
        <v>9059</v>
      </c>
      <c r="K3360">
        <v>11233</v>
      </c>
      <c r="L3360" t="s">
        <v>9094</v>
      </c>
      <c r="M3360" t="s">
        <v>9095</v>
      </c>
      <c r="N3360" t="s">
        <v>9145</v>
      </c>
      <c r="O3360" t="s">
        <v>11134</v>
      </c>
      <c r="P3360" t="s">
        <v>11168</v>
      </c>
      <c r="R3360" t="s">
        <v>11180</v>
      </c>
      <c r="S3360" t="s">
        <v>9094</v>
      </c>
      <c r="T3360" t="s">
        <v>11183</v>
      </c>
      <c r="V3360" t="s">
        <v>482</v>
      </c>
      <c r="W3360">
        <v>656.89</v>
      </c>
      <c r="X3360" t="s">
        <v>11332</v>
      </c>
      <c r="Y3360" t="s">
        <v>11157</v>
      </c>
      <c r="Z3360" t="s">
        <v>13603</v>
      </c>
      <c r="AC3360">
        <v>359</v>
      </c>
      <c r="AD3360" t="s">
        <v>19566</v>
      </c>
      <c r="AF3360">
        <v>0</v>
      </c>
      <c r="AG3360">
        <v>1</v>
      </c>
      <c r="AH3360">
        <v>0</v>
      </c>
      <c r="AI3360">
        <v>114.62</v>
      </c>
      <c r="AL3360" t="s">
        <v>19614</v>
      </c>
      <c r="AM3360">
        <v>14316</v>
      </c>
      <c r="AN3360" t="s">
        <v>19642</v>
      </c>
      <c r="AS3360">
        <v>0</v>
      </c>
      <c r="AU3360" t="s">
        <v>79</v>
      </c>
      <c r="AV3360" t="s">
        <v>9144</v>
      </c>
    </row>
    <row r="3361" spans="1:48">
      <c r="A3361" s="1">
        <f>HYPERLINK("https://lsnyc.legalserver.org/matter/dynamic-profile/view/1902028","19-1902028")</f>
        <v>0</v>
      </c>
      <c r="B3361" t="s">
        <v>70</v>
      </c>
      <c r="C3361" t="s">
        <v>256</v>
      </c>
      <c r="D3361" t="s">
        <v>319</v>
      </c>
      <c r="F3361" t="s">
        <v>1227</v>
      </c>
      <c r="G3361" t="s">
        <v>4735</v>
      </c>
      <c r="H3361" t="s">
        <v>5748</v>
      </c>
      <c r="I3361" t="s">
        <v>8722</v>
      </c>
      <c r="J3361" t="s">
        <v>9059</v>
      </c>
      <c r="K3361">
        <v>11233</v>
      </c>
      <c r="L3361" t="s">
        <v>9094</v>
      </c>
      <c r="M3361" t="s">
        <v>9095</v>
      </c>
      <c r="N3361" t="s">
        <v>9121</v>
      </c>
      <c r="O3361" t="s">
        <v>11137</v>
      </c>
      <c r="P3361" t="s">
        <v>11167</v>
      </c>
      <c r="R3361" t="s">
        <v>11180</v>
      </c>
      <c r="S3361" t="s">
        <v>9094</v>
      </c>
      <c r="T3361" t="s">
        <v>11183</v>
      </c>
      <c r="U3361" t="s">
        <v>11201</v>
      </c>
      <c r="V3361" t="s">
        <v>749</v>
      </c>
      <c r="W3361">
        <v>626.89</v>
      </c>
      <c r="X3361" t="s">
        <v>11332</v>
      </c>
      <c r="Y3361" t="s">
        <v>11157</v>
      </c>
      <c r="Z3361" t="s">
        <v>13603</v>
      </c>
      <c r="AC3361">
        <v>359</v>
      </c>
      <c r="AD3361" t="s">
        <v>19566</v>
      </c>
      <c r="AF3361">
        <v>0</v>
      </c>
      <c r="AG3361">
        <v>1</v>
      </c>
      <c r="AH3361">
        <v>0</v>
      </c>
      <c r="AI3361">
        <v>114.62</v>
      </c>
      <c r="AL3361" t="s">
        <v>19614</v>
      </c>
      <c r="AM3361">
        <v>14316</v>
      </c>
      <c r="AN3361" t="s">
        <v>19948</v>
      </c>
      <c r="AS3361">
        <v>0</v>
      </c>
      <c r="AU3361" t="s">
        <v>79</v>
      </c>
      <c r="AV3361" t="s">
        <v>9144</v>
      </c>
    </row>
    <row r="3362" spans="1:48">
      <c r="A3362" s="1">
        <f>HYPERLINK("https://lsnyc.legalserver.org/matter/dynamic-profile/view/1846029","17-1846029")</f>
        <v>0</v>
      </c>
      <c r="B3362" t="s">
        <v>139</v>
      </c>
      <c r="C3362" t="s">
        <v>257</v>
      </c>
      <c r="D3362" t="s">
        <v>1013</v>
      </c>
      <c r="E3362" t="s">
        <v>703</v>
      </c>
      <c r="F3362" t="s">
        <v>2505</v>
      </c>
      <c r="G3362" t="s">
        <v>3629</v>
      </c>
      <c r="H3362" t="s">
        <v>6997</v>
      </c>
      <c r="I3362">
        <v>5</v>
      </c>
      <c r="J3362" t="s">
        <v>9067</v>
      </c>
      <c r="K3362">
        <v>10034</v>
      </c>
      <c r="L3362" t="s">
        <v>9094</v>
      </c>
      <c r="M3362" t="s">
        <v>9095</v>
      </c>
      <c r="O3362" t="s">
        <v>11128</v>
      </c>
      <c r="P3362" t="s">
        <v>11166</v>
      </c>
      <c r="Q3362" t="s">
        <v>11178</v>
      </c>
      <c r="R3362" t="s">
        <v>11180</v>
      </c>
      <c r="S3362" t="s">
        <v>9096</v>
      </c>
      <c r="T3362" t="s">
        <v>11183</v>
      </c>
      <c r="V3362" t="s">
        <v>548</v>
      </c>
      <c r="W3362">
        <v>1250</v>
      </c>
      <c r="X3362" t="s">
        <v>11335</v>
      </c>
      <c r="Y3362" t="s">
        <v>11338</v>
      </c>
      <c r="Z3362" t="s">
        <v>13604</v>
      </c>
      <c r="AB3362" t="s">
        <v>17941</v>
      </c>
      <c r="AC3362">
        <v>41</v>
      </c>
      <c r="AD3362" t="s">
        <v>19566</v>
      </c>
      <c r="AE3362" t="s">
        <v>9144</v>
      </c>
      <c r="AF3362">
        <v>5</v>
      </c>
      <c r="AG3362">
        <v>2</v>
      </c>
      <c r="AH3362">
        <v>3</v>
      </c>
      <c r="AI3362">
        <v>114.66</v>
      </c>
      <c r="AL3362" t="s">
        <v>19615</v>
      </c>
      <c r="AM3362">
        <v>33000</v>
      </c>
      <c r="AS3362">
        <v>36</v>
      </c>
      <c r="AT3362" t="s">
        <v>703</v>
      </c>
      <c r="AU3362" t="s">
        <v>130</v>
      </c>
    </row>
    <row r="3363" spans="1:48">
      <c r="A3363" s="1">
        <f>HYPERLINK("https://lsnyc.legalserver.org/matter/dynamic-profile/view/1885141","18-1885141")</f>
        <v>0</v>
      </c>
      <c r="B3363" t="s">
        <v>134</v>
      </c>
      <c r="C3363" t="s">
        <v>256</v>
      </c>
      <c r="D3363" t="s">
        <v>375</v>
      </c>
      <c r="F3363" t="s">
        <v>1282</v>
      </c>
      <c r="G3363" t="s">
        <v>4736</v>
      </c>
      <c r="H3363" t="s">
        <v>7290</v>
      </c>
      <c r="I3363" t="s">
        <v>8193</v>
      </c>
      <c r="J3363" t="s">
        <v>9067</v>
      </c>
      <c r="K3363">
        <v>10034</v>
      </c>
      <c r="L3363" t="s">
        <v>9094</v>
      </c>
      <c r="M3363" t="s">
        <v>9094</v>
      </c>
      <c r="P3363" t="s">
        <v>11166</v>
      </c>
      <c r="R3363" t="s">
        <v>11180</v>
      </c>
      <c r="S3363" t="s">
        <v>9096</v>
      </c>
      <c r="T3363" t="s">
        <v>11183</v>
      </c>
      <c r="V3363" t="s">
        <v>375</v>
      </c>
      <c r="W3363">
        <v>1231.91</v>
      </c>
      <c r="X3363" t="s">
        <v>11335</v>
      </c>
      <c r="Y3363" t="s">
        <v>11338</v>
      </c>
      <c r="Z3363" t="s">
        <v>11749</v>
      </c>
      <c r="AB3363" t="s">
        <v>17942</v>
      </c>
      <c r="AC3363">
        <v>0</v>
      </c>
      <c r="AD3363" t="s">
        <v>19566</v>
      </c>
      <c r="AE3363" t="s">
        <v>9144</v>
      </c>
      <c r="AF3363">
        <v>14</v>
      </c>
      <c r="AG3363">
        <v>1</v>
      </c>
      <c r="AH3363">
        <v>0</v>
      </c>
      <c r="AI3363">
        <v>114.66</v>
      </c>
      <c r="AL3363" t="s">
        <v>19615</v>
      </c>
      <c r="AM3363">
        <v>13920</v>
      </c>
      <c r="AS3363">
        <v>20.3</v>
      </c>
      <c r="AT3363" t="s">
        <v>621</v>
      </c>
      <c r="AU3363" t="s">
        <v>130</v>
      </c>
      <c r="AV3363" t="s">
        <v>20733</v>
      </c>
    </row>
    <row r="3364" spans="1:48">
      <c r="A3364" s="1">
        <f>HYPERLINK("https://lsnyc.legalserver.org/matter/dynamic-profile/view/1841112","17-1841112")</f>
        <v>0</v>
      </c>
      <c r="B3364" t="s">
        <v>108</v>
      </c>
      <c r="C3364" t="s">
        <v>256</v>
      </c>
      <c r="D3364" t="s">
        <v>770</v>
      </c>
      <c r="F3364" t="s">
        <v>1961</v>
      </c>
      <c r="G3364" t="s">
        <v>4737</v>
      </c>
      <c r="H3364" t="s">
        <v>5897</v>
      </c>
      <c r="I3364" t="s">
        <v>8723</v>
      </c>
      <c r="J3364" t="s">
        <v>9065</v>
      </c>
      <c r="K3364">
        <v>10452</v>
      </c>
      <c r="L3364" t="s">
        <v>9094</v>
      </c>
      <c r="M3364" t="s">
        <v>9095</v>
      </c>
      <c r="O3364" t="s">
        <v>11135</v>
      </c>
      <c r="P3364" t="s">
        <v>11168</v>
      </c>
      <c r="R3364" t="s">
        <v>11180</v>
      </c>
      <c r="S3364" t="s">
        <v>9094</v>
      </c>
      <c r="T3364" t="s">
        <v>11183</v>
      </c>
      <c r="V3364" t="s">
        <v>770</v>
      </c>
      <c r="W3364">
        <v>1011.05</v>
      </c>
      <c r="X3364" t="s">
        <v>11333</v>
      </c>
      <c r="Y3364" t="s">
        <v>11346</v>
      </c>
      <c r="Z3364" t="s">
        <v>13605</v>
      </c>
      <c r="AB3364" t="s">
        <v>17943</v>
      </c>
      <c r="AC3364">
        <v>0</v>
      </c>
      <c r="AD3364" t="s">
        <v>19566</v>
      </c>
      <c r="AE3364" t="s">
        <v>19587</v>
      </c>
      <c r="AF3364">
        <v>24</v>
      </c>
      <c r="AG3364">
        <v>2</v>
      </c>
      <c r="AH3364">
        <v>0</v>
      </c>
      <c r="AI3364">
        <v>114.68</v>
      </c>
      <c r="AL3364" t="s">
        <v>19615</v>
      </c>
      <c r="AM3364">
        <v>27936</v>
      </c>
      <c r="AS3364">
        <v>0</v>
      </c>
      <c r="AU3364" t="s">
        <v>20647</v>
      </c>
    </row>
    <row r="3365" spans="1:48">
      <c r="A3365" s="1">
        <f>HYPERLINK("https://lsnyc.legalserver.org/matter/dynamic-profile/view/1857406","18-1857406")</f>
        <v>0</v>
      </c>
      <c r="B3365" t="s">
        <v>108</v>
      </c>
      <c r="C3365" t="s">
        <v>256</v>
      </c>
      <c r="D3365" t="s">
        <v>467</v>
      </c>
      <c r="F3365" t="s">
        <v>1961</v>
      </c>
      <c r="G3365" t="s">
        <v>4737</v>
      </c>
      <c r="H3365" t="s">
        <v>5897</v>
      </c>
      <c r="I3365" t="s">
        <v>8723</v>
      </c>
      <c r="J3365" t="s">
        <v>9065</v>
      </c>
      <c r="K3365">
        <v>10452</v>
      </c>
      <c r="L3365" t="s">
        <v>9094</v>
      </c>
      <c r="M3365" t="s">
        <v>9095</v>
      </c>
      <c r="N3365" t="s">
        <v>9253</v>
      </c>
      <c r="O3365" t="s">
        <v>11135</v>
      </c>
      <c r="P3365" t="s">
        <v>11168</v>
      </c>
      <c r="R3365" t="s">
        <v>11180</v>
      </c>
      <c r="S3365" t="s">
        <v>9094</v>
      </c>
      <c r="T3365" t="s">
        <v>11183</v>
      </c>
      <c r="V3365" t="s">
        <v>11233</v>
      </c>
      <c r="W3365">
        <v>1011.05</v>
      </c>
      <c r="X3365" t="s">
        <v>11333</v>
      </c>
      <c r="Y3365" t="s">
        <v>11346</v>
      </c>
      <c r="Z3365" t="s">
        <v>13605</v>
      </c>
      <c r="AB3365" t="s">
        <v>17943</v>
      </c>
      <c r="AC3365">
        <v>122</v>
      </c>
      <c r="AD3365" t="s">
        <v>19566</v>
      </c>
      <c r="AE3365" t="s">
        <v>19587</v>
      </c>
      <c r="AF3365">
        <v>24</v>
      </c>
      <c r="AG3365">
        <v>2</v>
      </c>
      <c r="AH3365">
        <v>0</v>
      </c>
      <c r="AI3365">
        <v>114.68</v>
      </c>
      <c r="AL3365" t="s">
        <v>19615</v>
      </c>
      <c r="AM3365">
        <v>27936</v>
      </c>
      <c r="AS3365">
        <v>0</v>
      </c>
      <c r="AU3365" t="s">
        <v>20647</v>
      </c>
    </row>
    <row r="3366" spans="1:48">
      <c r="A3366" s="1">
        <f>HYPERLINK("https://lsnyc.legalserver.org/matter/dynamic-profile/view/1860590","18-1860590")</f>
        <v>0</v>
      </c>
      <c r="B3366" t="s">
        <v>132</v>
      </c>
      <c r="C3366" t="s">
        <v>256</v>
      </c>
      <c r="D3366" t="s">
        <v>683</v>
      </c>
      <c r="F3366" t="s">
        <v>1358</v>
      </c>
      <c r="G3366" t="s">
        <v>4738</v>
      </c>
      <c r="H3366" t="s">
        <v>5936</v>
      </c>
      <c r="I3366" t="s">
        <v>8229</v>
      </c>
      <c r="J3366" t="s">
        <v>9067</v>
      </c>
      <c r="K3366">
        <v>10040</v>
      </c>
      <c r="L3366" t="s">
        <v>9094</v>
      </c>
      <c r="M3366" t="s">
        <v>9095</v>
      </c>
      <c r="O3366" t="s">
        <v>9121</v>
      </c>
      <c r="P3366" t="s">
        <v>11164</v>
      </c>
      <c r="R3366" t="s">
        <v>11180</v>
      </c>
      <c r="S3366" t="s">
        <v>9096</v>
      </c>
      <c r="T3366" t="s">
        <v>11183</v>
      </c>
      <c r="V3366" t="s">
        <v>11229</v>
      </c>
      <c r="W3366">
        <v>862</v>
      </c>
      <c r="X3366" t="s">
        <v>11335</v>
      </c>
      <c r="Y3366" t="s">
        <v>11338</v>
      </c>
      <c r="Z3366" t="s">
        <v>13606</v>
      </c>
      <c r="AB3366" t="s">
        <v>17944</v>
      </c>
      <c r="AC3366">
        <v>60</v>
      </c>
      <c r="AD3366" t="s">
        <v>19566</v>
      </c>
      <c r="AE3366" t="s">
        <v>19580</v>
      </c>
      <c r="AF3366">
        <v>40</v>
      </c>
      <c r="AG3366">
        <v>2</v>
      </c>
      <c r="AH3366">
        <v>0</v>
      </c>
      <c r="AI3366">
        <v>114.68</v>
      </c>
      <c r="AL3366" t="s">
        <v>19615</v>
      </c>
      <c r="AM3366">
        <v>18876</v>
      </c>
      <c r="AS3366">
        <v>9.9</v>
      </c>
      <c r="AT3366" t="s">
        <v>294</v>
      </c>
      <c r="AU3366" t="s">
        <v>20669</v>
      </c>
      <c r="AV3366" t="s">
        <v>20733</v>
      </c>
    </row>
    <row r="3367" spans="1:48">
      <c r="A3367" s="1">
        <f>HYPERLINK("https://lsnyc.legalserver.org/matter/dynamic-profile/view/1881390","18-1881390")</f>
        <v>0</v>
      </c>
      <c r="B3367" t="s">
        <v>136</v>
      </c>
      <c r="C3367" t="s">
        <v>256</v>
      </c>
      <c r="D3367" t="s">
        <v>586</v>
      </c>
      <c r="F3367" t="s">
        <v>1146</v>
      </c>
      <c r="G3367" t="s">
        <v>3630</v>
      </c>
      <c r="H3367" t="s">
        <v>6379</v>
      </c>
      <c r="I3367" t="s">
        <v>8149</v>
      </c>
      <c r="J3367" t="s">
        <v>9067</v>
      </c>
      <c r="K3367">
        <v>10031</v>
      </c>
      <c r="L3367" t="s">
        <v>9094</v>
      </c>
      <c r="M3367" t="s">
        <v>9094</v>
      </c>
      <c r="N3367" t="s">
        <v>10364</v>
      </c>
      <c r="O3367" t="s">
        <v>11130</v>
      </c>
      <c r="P3367" t="s">
        <v>11165</v>
      </c>
      <c r="R3367" t="s">
        <v>11180</v>
      </c>
      <c r="S3367" t="s">
        <v>9094</v>
      </c>
      <c r="T3367" t="s">
        <v>11183</v>
      </c>
      <c r="U3367" t="s">
        <v>11201</v>
      </c>
      <c r="V3367" t="s">
        <v>285</v>
      </c>
      <c r="W3367">
        <v>2126</v>
      </c>
      <c r="X3367" t="s">
        <v>11335</v>
      </c>
      <c r="Y3367" t="s">
        <v>11339</v>
      </c>
      <c r="Z3367" t="s">
        <v>13607</v>
      </c>
      <c r="AB3367" t="s">
        <v>17945</v>
      </c>
      <c r="AC3367">
        <v>42</v>
      </c>
      <c r="AD3367" t="s">
        <v>19566</v>
      </c>
      <c r="AE3367" t="s">
        <v>19580</v>
      </c>
      <c r="AF3367">
        <v>20</v>
      </c>
      <c r="AG3367">
        <v>2</v>
      </c>
      <c r="AH3367">
        <v>0</v>
      </c>
      <c r="AI3367">
        <v>114.68</v>
      </c>
      <c r="AL3367" t="s">
        <v>19615</v>
      </c>
      <c r="AM3367">
        <v>18876</v>
      </c>
      <c r="AS3367">
        <v>2.2</v>
      </c>
      <c r="AT3367" t="s">
        <v>319</v>
      </c>
      <c r="AU3367" t="s">
        <v>20657</v>
      </c>
    </row>
    <row r="3368" spans="1:48">
      <c r="A3368" s="1">
        <f>HYPERLINK("https://lsnyc.legalserver.org/matter/dynamic-profile/view/1841231","17-1841231")</f>
        <v>0</v>
      </c>
      <c r="B3368" t="s">
        <v>101</v>
      </c>
      <c r="C3368" t="s">
        <v>256</v>
      </c>
      <c r="D3368" t="s">
        <v>770</v>
      </c>
      <c r="F3368" t="s">
        <v>1721</v>
      </c>
      <c r="G3368" t="s">
        <v>3825</v>
      </c>
      <c r="H3368" t="s">
        <v>6041</v>
      </c>
      <c r="I3368" t="s">
        <v>8375</v>
      </c>
      <c r="J3368" t="s">
        <v>9065</v>
      </c>
      <c r="K3368">
        <v>10452</v>
      </c>
      <c r="L3368" t="s">
        <v>9094</v>
      </c>
      <c r="M3368" t="s">
        <v>9095</v>
      </c>
      <c r="N3368" t="s">
        <v>9356</v>
      </c>
      <c r="O3368" t="s">
        <v>11135</v>
      </c>
      <c r="P3368" t="s">
        <v>11168</v>
      </c>
      <c r="R3368" t="s">
        <v>11180</v>
      </c>
      <c r="S3368" t="s">
        <v>9094</v>
      </c>
      <c r="T3368" t="s">
        <v>11183</v>
      </c>
      <c r="V3368" t="s">
        <v>770</v>
      </c>
      <c r="W3368">
        <v>783.99</v>
      </c>
      <c r="X3368" t="s">
        <v>11333</v>
      </c>
      <c r="Y3368" t="s">
        <v>11346</v>
      </c>
      <c r="Z3368" t="s">
        <v>13608</v>
      </c>
      <c r="AA3368" t="s">
        <v>15781</v>
      </c>
      <c r="AB3368" t="s">
        <v>17946</v>
      </c>
      <c r="AC3368">
        <v>0</v>
      </c>
      <c r="AD3368" t="s">
        <v>19566</v>
      </c>
      <c r="AE3368" t="s">
        <v>9144</v>
      </c>
      <c r="AF3368">
        <v>40</v>
      </c>
      <c r="AG3368">
        <v>2</v>
      </c>
      <c r="AH3368">
        <v>0</v>
      </c>
      <c r="AI3368">
        <v>114.75</v>
      </c>
      <c r="AL3368" t="s">
        <v>19615</v>
      </c>
      <c r="AM3368">
        <v>27432</v>
      </c>
      <c r="AN3368" t="s">
        <v>19699</v>
      </c>
      <c r="AS3368">
        <v>0.2</v>
      </c>
      <c r="AT3368" t="s">
        <v>873</v>
      </c>
      <c r="AU3368" t="s">
        <v>20647</v>
      </c>
    </row>
    <row r="3369" spans="1:48">
      <c r="A3369" s="1">
        <f>HYPERLINK("https://lsnyc.legalserver.org/matter/dynamic-profile/view/1854981","18-1854981")</f>
        <v>0</v>
      </c>
      <c r="B3369" t="s">
        <v>101</v>
      </c>
      <c r="C3369" t="s">
        <v>256</v>
      </c>
      <c r="D3369" t="s">
        <v>792</v>
      </c>
      <c r="F3369" t="s">
        <v>1721</v>
      </c>
      <c r="G3369" t="s">
        <v>3825</v>
      </c>
      <c r="H3369" t="s">
        <v>6041</v>
      </c>
      <c r="I3369" t="s">
        <v>8375</v>
      </c>
      <c r="J3369" t="s">
        <v>9065</v>
      </c>
      <c r="K3369">
        <v>10452</v>
      </c>
      <c r="L3369" t="s">
        <v>9094</v>
      </c>
      <c r="M3369" t="s">
        <v>9095</v>
      </c>
      <c r="N3369" t="s">
        <v>9496</v>
      </c>
      <c r="O3369" t="s">
        <v>11135</v>
      </c>
      <c r="P3369" t="s">
        <v>11168</v>
      </c>
      <c r="R3369" t="s">
        <v>11180</v>
      </c>
      <c r="S3369" t="s">
        <v>9094</v>
      </c>
      <c r="T3369" t="s">
        <v>11183</v>
      </c>
      <c r="V3369" t="s">
        <v>1122</v>
      </c>
      <c r="W3369">
        <v>783.99</v>
      </c>
      <c r="X3369" t="s">
        <v>11333</v>
      </c>
      <c r="Y3369" t="s">
        <v>11346</v>
      </c>
      <c r="Z3369" t="s">
        <v>13608</v>
      </c>
      <c r="AA3369" t="s">
        <v>15781</v>
      </c>
      <c r="AB3369" t="s">
        <v>17946</v>
      </c>
      <c r="AC3369">
        <v>62</v>
      </c>
      <c r="AD3369" t="s">
        <v>19566</v>
      </c>
      <c r="AE3369" t="s">
        <v>9144</v>
      </c>
      <c r="AF3369">
        <v>40</v>
      </c>
      <c r="AG3369">
        <v>2</v>
      </c>
      <c r="AH3369">
        <v>0</v>
      </c>
      <c r="AI3369">
        <v>114.75</v>
      </c>
      <c r="AL3369" t="s">
        <v>19615</v>
      </c>
      <c r="AM3369">
        <v>27432</v>
      </c>
      <c r="AS3369">
        <v>0</v>
      </c>
      <c r="AU3369" t="s">
        <v>20643</v>
      </c>
    </row>
    <row r="3370" spans="1:48">
      <c r="A3370" s="1">
        <f>HYPERLINK("https://lsnyc.legalserver.org/matter/dynamic-profile/view/1872389","18-1872389")</f>
        <v>0</v>
      </c>
      <c r="B3370" t="s">
        <v>138</v>
      </c>
      <c r="C3370" t="s">
        <v>256</v>
      </c>
      <c r="D3370" t="s">
        <v>620</v>
      </c>
      <c r="F3370" t="s">
        <v>1146</v>
      </c>
      <c r="G3370" t="s">
        <v>4739</v>
      </c>
      <c r="H3370" t="s">
        <v>7291</v>
      </c>
      <c r="I3370">
        <v>5</v>
      </c>
      <c r="J3370" t="s">
        <v>9067</v>
      </c>
      <c r="K3370">
        <v>10034</v>
      </c>
      <c r="L3370" t="s">
        <v>9094</v>
      </c>
      <c r="M3370" t="s">
        <v>9094</v>
      </c>
      <c r="N3370" t="s">
        <v>10365</v>
      </c>
      <c r="O3370" t="s">
        <v>11129</v>
      </c>
      <c r="P3370" t="s">
        <v>11165</v>
      </c>
      <c r="R3370" t="s">
        <v>11180</v>
      </c>
      <c r="S3370" t="s">
        <v>9096</v>
      </c>
      <c r="T3370" t="s">
        <v>11183</v>
      </c>
      <c r="V3370" t="s">
        <v>620</v>
      </c>
      <c r="W3370">
        <v>1250</v>
      </c>
      <c r="X3370" t="s">
        <v>11335</v>
      </c>
      <c r="Y3370" t="s">
        <v>11338</v>
      </c>
      <c r="Z3370" t="s">
        <v>13609</v>
      </c>
      <c r="AC3370">
        <v>63</v>
      </c>
      <c r="AD3370" t="s">
        <v>19566</v>
      </c>
      <c r="AE3370" t="s">
        <v>9144</v>
      </c>
      <c r="AF3370">
        <v>3</v>
      </c>
      <c r="AG3370">
        <v>2</v>
      </c>
      <c r="AH3370">
        <v>3</v>
      </c>
      <c r="AI3370">
        <v>114.89</v>
      </c>
      <c r="AL3370" t="s">
        <v>19615</v>
      </c>
      <c r="AM3370">
        <v>33800</v>
      </c>
      <c r="AS3370">
        <v>53.1</v>
      </c>
      <c r="AT3370" t="s">
        <v>20601</v>
      </c>
      <c r="AU3370" t="s">
        <v>130</v>
      </c>
      <c r="AV3370" t="s">
        <v>20733</v>
      </c>
    </row>
    <row r="3371" spans="1:48">
      <c r="A3371" s="1">
        <f>HYPERLINK("https://lsnyc.legalserver.org/matter/dynamic-profile/view/1895441","19-1895441")</f>
        <v>0</v>
      </c>
      <c r="B3371" t="s">
        <v>129</v>
      </c>
      <c r="C3371" t="s">
        <v>257</v>
      </c>
      <c r="D3371" t="s">
        <v>512</v>
      </c>
      <c r="E3371" t="s">
        <v>362</v>
      </c>
      <c r="F3371" t="s">
        <v>1370</v>
      </c>
      <c r="G3371" t="s">
        <v>4740</v>
      </c>
      <c r="H3371" t="s">
        <v>7292</v>
      </c>
      <c r="I3371" t="s">
        <v>8724</v>
      </c>
      <c r="J3371" t="s">
        <v>9066</v>
      </c>
      <c r="K3371">
        <v>10306</v>
      </c>
      <c r="L3371" t="s">
        <v>9096</v>
      </c>
      <c r="M3371" t="s">
        <v>9094</v>
      </c>
      <c r="N3371" t="s">
        <v>10366</v>
      </c>
      <c r="O3371" t="s">
        <v>11129</v>
      </c>
      <c r="P3371" t="s">
        <v>11165</v>
      </c>
      <c r="Q3371" t="s">
        <v>11174</v>
      </c>
      <c r="R3371" t="s">
        <v>11180</v>
      </c>
      <c r="S3371" t="s">
        <v>9096</v>
      </c>
      <c r="T3371" t="s">
        <v>11183</v>
      </c>
      <c r="U3371" t="s">
        <v>11201</v>
      </c>
      <c r="W3371">
        <v>1200</v>
      </c>
      <c r="X3371" t="s">
        <v>11334</v>
      </c>
      <c r="Y3371" t="s">
        <v>11345</v>
      </c>
      <c r="Z3371" t="s">
        <v>13610</v>
      </c>
      <c r="AC3371">
        <v>0</v>
      </c>
      <c r="AF3371">
        <v>2</v>
      </c>
      <c r="AG3371">
        <v>2</v>
      </c>
      <c r="AH3371">
        <v>0</v>
      </c>
      <c r="AI3371">
        <v>114.96</v>
      </c>
      <c r="AL3371" t="s">
        <v>19614</v>
      </c>
      <c r="AM3371">
        <v>19440</v>
      </c>
      <c r="AS3371">
        <v>17.65</v>
      </c>
      <c r="AT3371" t="s">
        <v>832</v>
      </c>
      <c r="AU3371" t="s">
        <v>129</v>
      </c>
    </row>
    <row r="3372" spans="1:48">
      <c r="A3372" s="1">
        <f>HYPERLINK("https://lsnyc.legalserver.org/matter/dynamic-profile/view/1911925","19-1911925")</f>
        <v>0</v>
      </c>
      <c r="B3372" t="s">
        <v>98</v>
      </c>
      <c r="C3372" t="s">
        <v>256</v>
      </c>
      <c r="D3372" t="s">
        <v>292</v>
      </c>
      <c r="F3372" t="s">
        <v>2506</v>
      </c>
      <c r="G3372" t="s">
        <v>3698</v>
      </c>
      <c r="H3372" t="s">
        <v>6888</v>
      </c>
      <c r="I3372" t="s">
        <v>8133</v>
      </c>
      <c r="J3372" t="s">
        <v>9065</v>
      </c>
      <c r="K3372">
        <v>10458</v>
      </c>
      <c r="L3372" t="s">
        <v>9094</v>
      </c>
      <c r="M3372" t="s">
        <v>9095</v>
      </c>
      <c r="N3372" t="s">
        <v>10367</v>
      </c>
      <c r="O3372" t="s">
        <v>11130</v>
      </c>
      <c r="P3372" t="s">
        <v>11165</v>
      </c>
      <c r="R3372" t="s">
        <v>11180</v>
      </c>
      <c r="S3372" t="s">
        <v>9094</v>
      </c>
      <c r="T3372" t="s">
        <v>11183</v>
      </c>
      <c r="W3372">
        <v>641.5599999999999</v>
      </c>
      <c r="X3372" t="s">
        <v>11333</v>
      </c>
      <c r="Y3372" t="s">
        <v>11346</v>
      </c>
      <c r="Z3372" t="s">
        <v>13611</v>
      </c>
      <c r="AB3372" t="s">
        <v>17947</v>
      </c>
      <c r="AC3372">
        <v>94</v>
      </c>
      <c r="AD3372" t="s">
        <v>15441</v>
      </c>
      <c r="AE3372" t="s">
        <v>19587</v>
      </c>
      <c r="AF3372">
        <v>30</v>
      </c>
      <c r="AG3372">
        <v>1</v>
      </c>
      <c r="AH3372">
        <v>0</v>
      </c>
      <c r="AI3372">
        <v>115</v>
      </c>
      <c r="AL3372" t="s">
        <v>19614</v>
      </c>
      <c r="AM3372">
        <v>14364</v>
      </c>
      <c r="AS3372">
        <v>36.5</v>
      </c>
      <c r="AT3372" t="s">
        <v>1130</v>
      </c>
      <c r="AU3372" t="s">
        <v>20642</v>
      </c>
      <c r="AV3372" t="s">
        <v>20733</v>
      </c>
    </row>
    <row r="3373" spans="1:48">
      <c r="A3373" s="1">
        <f>HYPERLINK("https://lsnyc.legalserver.org/matter/dynamic-profile/view/1862042","18-1862042")</f>
        <v>0</v>
      </c>
      <c r="B3373" t="s">
        <v>101</v>
      </c>
      <c r="C3373" t="s">
        <v>257</v>
      </c>
      <c r="D3373" t="s">
        <v>677</v>
      </c>
      <c r="E3373" t="s">
        <v>551</v>
      </c>
      <c r="F3373" t="s">
        <v>2507</v>
      </c>
      <c r="G3373" t="s">
        <v>2023</v>
      </c>
      <c r="H3373" t="s">
        <v>5902</v>
      </c>
      <c r="I3373" t="s">
        <v>8419</v>
      </c>
      <c r="J3373" t="s">
        <v>9065</v>
      </c>
      <c r="K3373">
        <v>10452</v>
      </c>
      <c r="L3373" t="s">
        <v>9094</v>
      </c>
      <c r="M3373" t="s">
        <v>9095</v>
      </c>
      <c r="N3373" t="s">
        <v>9537</v>
      </c>
      <c r="O3373" t="s">
        <v>11130</v>
      </c>
      <c r="P3373" t="s">
        <v>11165</v>
      </c>
      <c r="Q3373" t="s">
        <v>11174</v>
      </c>
      <c r="R3373" t="s">
        <v>11180</v>
      </c>
      <c r="S3373" t="s">
        <v>9094</v>
      </c>
      <c r="T3373" t="s">
        <v>11183</v>
      </c>
      <c r="V3373" t="s">
        <v>874</v>
      </c>
      <c r="W3373">
        <v>910</v>
      </c>
      <c r="X3373" t="s">
        <v>11333</v>
      </c>
      <c r="Y3373" t="s">
        <v>11346</v>
      </c>
      <c r="Z3373" t="s">
        <v>13612</v>
      </c>
      <c r="AA3373" t="s">
        <v>15782</v>
      </c>
      <c r="AB3373" t="s">
        <v>17948</v>
      </c>
      <c r="AC3373">
        <v>60</v>
      </c>
      <c r="AD3373" t="s">
        <v>19566</v>
      </c>
      <c r="AE3373" t="s">
        <v>9144</v>
      </c>
      <c r="AF3373">
        <v>10</v>
      </c>
      <c r="AG3373">
        <v>2</v>
      </c>
      <c r="AH3373">
        <v>1</v>
      </c>
      <c r="AI3373">
        <v>115.26</v>
      </c>
      <c r="AL3373" t="s">
        <v>19615</v>
      </c>
      <c r="AM3373">
        <v>23952</v>
      </c>
      <c r="AS3373">
        <v>0.5</v>
      </c>
      <c r="AT3373" t="s">
        <v>551</v>
      </c>
      <c r="AU3373" t="s">
        <v>20647</v>
      </c>
    </row>
    <row r="3374" spans="1:48">
      <c r="A3374" s="1">
        <f>HYPERLINK("https://lsnyc.legalserver.org/matter/dynamic-profile/view/1868743","18-1868743")</f>
        <v>0</v>
      </c>
      <c r="B3374" t="s">
        <v>101</v>
      </c>
      <c r="C3374" t="s">
        <v>257</v>
      </c>
      <c r="D3374" t="s">
        <v>678</v>
      </c>
      <c r="E3374" t="s">
        <v>415</v>
      </c>
      <c r="F3374" t="s">
        <v>2507</v>
      </c>
      <c r="G3374" t="s">
        <v>2023</v>
      </c>
      <c r="H3374" t="s">
        <v>5902</v>
      </c>
      <c r="I3374" t="s">
        <v>8419</v>
      </c>
      <c r="J3374" t="s">
        <v>9065</v>
      </c>
      <c r="K3374">
        <v>10452</v>
      </c>
      <c r="L3374" t="s">
        <v>9094</v>
      </c>
      <c r="M3374" t="s">
        <v>9095</v>
      </c>
      <c r="O3374" t="s">
        <v>9121</v>
      </c>
      <c r="P3374" t="s">
        <v>11166</v>
      </c>
      <c r="Q3374" t="s">
        <v>11178</v>
      </c>
      <c r="R3374" t="s">
        <v>11180</v>
      </c>
      <c r="S3374" t="s">
        <v>9094</v>
      </c>
      <c r="T3374" t="s">
        <v>11183</v>
      </c>
      <c r="V3374" t="s">
        <v>675</v>
      </c>
      <c r="W3374">
        <v>910</v>
      </c>
      <c r="X3374" t="s">
        <v>11333</v>
      </c>
      <c r="Y3374" t="s">
        <v>11347</v>
      </c>
      <c r="Z3374" t="s">
        <v>13612</v>
      </c>
      <c r="AA3374" t="s">
        <v>15782</v>
      </c>
      <c r="AB3374" t="s">
        <v>17948</v>
      </c>
      <c r="AC3374">
        <v>60</v>
      </c>
      <c r="AD3374" t="s">
        <v>19566</v>
      </c>
      <c r="AE3374" t="s">
        <v>9144</v>
      </c>
      <c r="AF3374">
        <v>10</v>
      </c>
      <c r="AG3374">
        <v>2</v>
      </c>
      <c r="AH3374">
        <v>1</v>
      </c>
      <c r="AI3374">
        <v>115.26</v>
      </c>
      <c r="AL3374" t="s">
        <v>19614</v>
      </c>
      <c r="AM3374">
        <v>23952</v>
      </c>
      <c r="AS3374">
        <v>0.4</v>
      </c>
      <c r="AT3374" t="s">
        <v>415</v>
      </c>
      <c r="AU3374" t="s">
        <v>20647</v>
      </c>
    </row>
    <row r="3375" spans="1:48">
      <c r="A3375" s="1">
        <f>HYPERLINK("https://lsnyc.legalserver.org/matter/dynamic-profile/view/1854347","17-1854347")</f>
        <v>0</v>
      </c>
      <c r="B3375" t="s">
        <v>111</v>
      </c>
      <c r="C3375" t="s">
        <v>256</v>
      </c>
      <c r="D3375" t="s">
        <v>1014</v>
      </c>
      <c r="F3375" t="s">
        <v>2508</v>
      </c>
      <c r="G3375" t="s">
        <v>4741</v>
      </c>
      <c r="H3375" t="s">
        <v>6895</v>
      </c>
      <c r="I3375" t="s">
        <v>8688</v>
      </c>
      <c r="J3375" t="s">
        <v>9065</v>
      </c>
      <c r="K3375">
        <v>10452</v>
      </c>
      <c r="L3375" t="s">
        <v>9094</v>
      </c>
      <c r="M3375" t="s">
        <v>9095</v>
      </c>
      <c r="N3375" t="s">
        <v>9407</v>
      </c>
      <c r="O3375" t="s">
        <v>11135</v>
      </c>
      <c r="P3375" t="s">
        <v>11168</v>
      </c>
      <c r="R3375" t="s">
        <v>11180</v>
      </c>
      <c r="S3375" t="s">
        <v>9094</v>
      </c>
      <c r="T3375" t="s">
        <v>11183</v>
      </c>
      <c r="V3375" t="s">
        <v>638</v>
      </c>
      <c r="W3375">
        <v>853.4400000000001</v>
      </c>
      <c r="X3375" t="s">
        <v>11333</v>
      </c>
      <c r="Y3375" t="s">
        <v>11340</v>
      </c>
      <c r="Z3375" t="s">
        <v>13613</v>
      </c>
      <c r="AB3375" t="s">
        <v>17949</v>
      </c>
      <c r="AC3375">
        <v>70</v>
      </c>
      <c r="AD3375" t="s">
        <v>19566</v>
      </c>
      <c r="AE3375" t="s">
        <v>9144</v>
      </c>
      <c r="AF3375">
        <v>14</v>
      </c>
      <c r="AG3375">
        <v>2</v>
      </c>
      <c r="AH3375">
        <v>0</v>
      </c>
      <c r="AI3375">
        <v>115.27</v>
      </c>
      <c r="AL3375" t="s">
        <v>19614</v>
      </c>
      <c r="AM3375">
        <v>34320</v>
      </c>
      <c r="AS3375">
        <v>48.75</v>
      </c>
      <c r="AT3375" t="s">
        <v>773</v>
      </c>
      <c r="AU3375" t="s">
        <v>20642</v>
      </c>
    </row>
    <row r="3376" spans="1:48">
      <c r="A3376" s="1">
        <f>HYPERLINK("https://lsnyc.legalserver.org/matter/dynamic-profile/view/1915146","19-1915146")</f>
        <v>0</v>
      </c>
      <c r="B3376" t="s">
        <v>171</v>
      </c>
      <c r="C3376" t="s">
        <v>256</v>
      </c>
      <c r="D3376" t="s">
        <v>270</v>
      </c>
      <c r="F3376" t="s">
        <v>2509</v>
      </c>
      <c r="G3376" t="s">
        <v>4742</v>
      </c>
      <c r="H3376" t="s">
        <v>7293</v>
      </c>
      <c r="I3376" t="s">
        <v>8725</v>
      </c>
      <c r="J3376" t="s">
        <v>9054</v>
      </c>
      <c r="K3376">
        <v>11368</v>
      </c>
      <c r="L3376" t="s">
        <v>9094</v>
      </c>
      <c r="M3376" t="s">
        <v>9095</v>
      </c>
      <c r="N3376" t="s">
        <v>10368</v>
      </c>
      <c r="O3376" t="s">
        <v>11129</v>
      </c>
      <c r="P3376" t="s">
        <v>11169</v>
      </c>
      <c r="R3376" t="s">
        <v>11180</v>
      </c>
      <c r="S3376" t="s">
        <v>9096</v>
      </c>
      <c r="T3376" t="s">
        <v>11183</v>
      </c>
      <c r="V3376" t="s">
        <v>270</v>
      </c>
      <c r="W3376">
        <v>1437</v>
      </c>
      <c r="X3376" t="s">
        <v>11331</v>
      </c>
      <c r="Y3376" t="s">
        <v>11336</v>
      </c>
      <c r="Z3376" t="s">
        <v>13614</v>
      </c>
      <c r="AA3376" t="s">
        <v>15783</v>
      </c>
      <c r="AB3376" t="s">
        <v>17950</v>
      </c>
      <c r="AC3376">
        <v>0</v>
      </c>
      <c r="AD3376" t="s">
        <v>15441</v>
      </c>
      <c r="AE3376" t="s">
        <v>9144</v>
      </c>
      <c r="AF3376">
        <v>5</v>
      </c>
      <c r="AG3376">
        <v>1</v>
      </c>
      <c r="AH3376">
        <v>0</v>
      </c>
      <c r="AI3376">
        <v>115.29</v>
      </c>
      <c r="AL3376" t="s">
        <v>19627</v>
      </c>
      <c r="AM3376">
        <v>14400</v>
      </c>
      <c r="AS3376">
        <v>1.1</v>
      </c>
      <c r="AT3376" t="s">
        <v>321</v>
      </c>
      <c r="AU3376" t="s">
        <v>20620</v>
      </c>
      <c r="AV3376" t="s">
        <v>20733</v>
      </c>
    </row>
    <row r="3377" spans="1:48">
      <c r="A3377" s="1">
        <f>HYPERLINK("https://lsnyc.legalserver.org/matter/dynamic-profile/view/1904796","19-1904796")</f>
        <v>0</v>
      </c>
      <c r="B3377" t="s">
        <v>115</v>
      </c>
      <c r="C3377" t="s">
        <v>256</v>
      </c>
      <c r="D3377" t="s">
        <v>748</v>
      </c>
      <c r="F3377" t="s">
        <v>2279</v>
      </c>
      <c r="G3377" t="s">
        <v>3814</v>
      </c>
      <c r="H3377" t="s">
        <v>6005</v>
      </c>
      <c r="I3377">
        <v>25</v>
      </c>
      <c r="J3377" t="s">
        <v>9065</v>
      </c>
      <c r="K3377">
        <v>10458</v>
      </c>
      <c r="L3377" t="s">
        <v>9094</v>
      </c>
      <c r="M3377" t="s">
        <v>9095</v>
      </c>
      <c r="N3377" t="s">
        <v>10369</v>
      </c>
      <c r="O3377" t="s">
        <v>11134</v>
      </c>
      <c r="P3377" t="s">
        <v>11168</v>
      </c>
      <c r="R3377" t="s">
        <v>11180</v>
      </c>
      <c r="S3377" t="s">
        <v>9094</v>
      </c>
      <c r="T3377" t="s">
        <v>11183</v>
      </c>
      <c r="W3377">
        <v>1300</v>
      </c>
      <c r="X3377" t="s">
        <v>11333</v>
      </c>
      <c r="Y3377" t="s">
        <v>11346</v>
      </c>
      <c r="Z3377" t="s">
        <v>13615</v>
      </c>
      <c r="AA3377" t="s">
        <v>15784</v>
      </c>
      <c r="AC3377">
        <v>48</v>
      </c>
      <c r="AD3377" t="s">
        <v>19566</v>
      </c>
      <c r="AE3377" t="s">
        <v>11157</v>
      </c>
      <c r="AF3377">
        <v>10</v>
      </c>
      <c r="AG3377">
        <v>1</v>
      </c>
      <c r="AH3377">
        <v>0</v>
      </c>
      <c r="AI3377">
        <v>115.29</v>
      </c>
      <c r="AL3377" t="s">
        <v>19614</v>
      </c>
      <c r="AM3377">
        <v>14400</v>
      </c>
      <c r="AS3377">
        <v>1</v>
      </c>
      <c r="AT3377" t="s">
        <v>748</v>
      </c>
      <c r="AU3377" t="s">
        <v>174</v>
      </c>
      <c r="AV3377" t="s">
        <v>20734</v>
      </c>
    </row>
    <row r="3378" spans="1:48">
      <c r="A3378" s="1">
        <f>HYPERLINK("https://lsnyc.legalserver.org/matter/dynamic-profile/view/1893960","19-1893960")</f>
        <v>0</v>
      </c>
      <c r="B3378" t="s">
        <v>115</v>
      </c>
      <c r="C3378" t="s">
        <v>256</v>
      </c>
      <c r="D3378" t="s">
        <v>413</v>
      </c>
      <c r="F3378" t="s">
        <v>2279</v>
      </c>
      <c r="G3378" t="s">
        <v>3814</v>
      </c>
      <c r="H3378" t="s">
        <v>6005</v>
      </c>
      <c r="I3378">
        <v>25</v>
      </c>
      <c r="J3378" t="s">
        <v>9065</v>
      </c>
      <c r="K3378">
        <v>10458</v>
      </c>
      <c r="L3378" t="s">
        <v>9094</v>
      </c>
      <c r="M3378" t="s">
        <v>9094</v>
      </c>
      <c r="O3378" t="s">
        <v>11136</v>
      </c>
      <c r="P3378" t="s">
        <v>11164</v>
      </c>
      <c r="R3378" t="s">
        <v>11180</v>
      </c>
      <c r="S3378" t="s">
        <v>9094</v>
      </c>
      <c r="T3378" t="s">
        <v>11183</v>
      </c>
      <c r="V3378" t="s">
        <v>11218</v>
      </c>
      <c r="W3378">
        <v>1300</v>
      </c>
      <c r="X3378" t="s">
        <v>11333</v>
      </c>
      <c r="Y3378" t="s">
        <v>11346</v>
      </c>
      <c r="Z3378" t="s">
        <v>13615</v>
      </c>
      <c r="AA3378" t="s">
        <v>15784</v>
      </c>
      <c r="AC3378">
        <v>48</v>
      </c>
      <c r="AD3378" t="s">
        <v>19566</v>
      </c>
      <c r="AE3378" t="s">
        <v>11157</v>
      </c>
      <c r="AF3378">
        <v>10</v>
      </c>
      <c r="AG3378">
        <v>1</v>
      </c>
      <c r="AH3378">
        <v>0</v>
      </c>
      <c r="AI3378">
        <v>115.29</v>
      </c>
      <c r="AL3378" t="s">
        <v>19614</v>
      </c>
      <c r="AM3378">
        <v>14400</v>
      </c>
      <c r="AS3378">
        <v>0.7</v>
      </c>
      <c r="AT3378" t="s">
        <v>413</v>
      </c>
      <c r="AU3378" t="s">
        <v>174</v>
      </c>
      <c r="AV3378" t="s">
        <v>20734</v>
      </c>
    </row>
    <row r="3379" spans="1:48">
      <c r="A3379" s="1">
        <f>HYPERLINK("https://lsnyc.legalserver.org/matter/dynamic-profile/view/1903687","19-1903687")</f>
        <v>0</v>
      </c>
      <c r="B3379" t="s">
        <v>122</v>
      </c>
      <c r="C3379" t="s">
        <v>256</v>
      </c>
      <c r="D3379" t="s">
        <v>700</v>
      </c>
      <c r="F3379" t="s">
        <v>2058</v>
      </c>
      <c r="G3379" t="s">
        <v>3714</v>
      </c>
      <c r="H3379" t="s">
        <v>5911</v>
      </c>
      <c r="I3379" t="s">
        <v>8726</v>
      </c>
      <c r="J3379" t="s">
        <v>9066</v>
      </c>
      <c r="K3379">
        <v>10314</v>
      </c>
      <c r="L3379" t="s">
        <v>9094</v>
      </c>
      <c r="M3379" t="s">
        <v>9095</v>
      </c>
      <c r="N3379" t="s">
        <v>9580</v>
      </c>
      <c r="O3379" t="s">
        <v>11134</v>
      </c>
      <c r="P3379" t="s">
        <v>11168</v>
      </c>
      <c r="R3379" t="s">
        <v>11180</v>
      </c>
      <c r="S3379" t="s">
        <v>9094</v>
      </c>
      <c r="T3379" t="s">
        <v>11183</v>
      </c>
      <c r="U3379" t="s">
        <v>11201</v>
      </c>
      <c r="V3379" t="s">
        <v>610</v>
      </c>
      <c r="W3379">
        <v>871</v>
      </c>
      <c r="X3379" t="s">
        <v>11334</v>
      </c>
      <c r="Y3379" t="s">
        <v>11340</v>
      </c>
      <c r="Z3379" t="s">
        <v>13616</v>
      </c>
      <c r="AB3379" t="s">
        <v>17951</v>
      </c>
      <c r="AC3379">
        <v>96</v>
      </c>
      <c r="AD3379" t="s">
        <v>19566</v>
      </c>
      <c r="AE3379" t="s">
        <v>19587</v>
      </c>
      <c r="AF3379">
        <v>4</v>
      </c>
      <c r="AG3379">
        <v>1</v>
      </c>
      <c r="AH3379">
        <v>0</v>
      </c>
      <c r="AI3379">
        <v>115.29</v>
      </c>
      <c r="AL3379" t="s">
        <v>19615</v>
      </c>
      <c r="AM3379">
        <v>14400</v>
      </c>
      <c r="AO3379" t="s">
        <v>20293</v>
      </c>
      <c r="AP3379" t="s">
        <v>20316</v>
      </c>
      <c r="AQ3379" t="s">
        <v>20369</v>
      </c>
      <c r="AR3379" t="s">
        <v>20372</v>
      </c>
      <c r="AS3379">
        <v>0.6</v>
      </c>
      <c r="AT3379" t="s">
        <v>632</v>
      </c>
      <c r="AU3379" t="s">
        <v>20653</v>
      </c>
      <c r="AV3379" t="s">
        <v>20733</v>
      </c>
    </row>
    <row r="3380" spans="1:48">
      <c r="A3380" s="1">
        <f>HYPERLINK("https://lsnyc.legalserver.org/matter/dynamic-profile/view/1906222","19-1906222")</f>
        <v>0</v>
      </c>
      <c r="B3380" t="s">
        <v>137</v>
      </c>
      <c r="C3380" t="s">
        <v>256</v>
      </c>
      <c r="D3380" t="s">
        <v>282</v>
      </c>
      <c r="F3380" t="s">
        <v>2510</v>
      </c>
      <c r="G3380" t="s">
        <v>4743</v>
      </c>
      <c r="H3380" t="s">
        <v>7294</v>
      </c>
      <c r="I3380" t="s">
        <v>8200</v>
      </c>
      <c r="J3380" t="s">
        <v>9067</v>
      </c>
      <c r="K3380">
        <v>10040</v>
      </c>
      <c r="L3380" t="s">
        <v>9094</v>
      </c>
      <c r="M3380" t="s">
        <v>9095</v>
      </c>
      <c r="P3380" t="s">
        <v>11169</v>
      </c>
      <c r="R3380" t="s">
        <v>11180</v>
      </c>
      <c r="S3380" t="s">
        <v>9096</v>
      </c>
      <c r="T3380" t="s">
        <v>11183</v>
      </c>
      <c r="V3380" t="s">
        <v>282</v>
      </c>
      <c r="W3380">
        <v>1197</v>
      </c>
      <c r="X3380" t="s">
        <v>11335</v>
      </c>
      <c r="Y3380" t="s">
        <v>11338</v>
      </c>
      <c r="Z3380" t="s">
        <v>13617</v>
      </c>
      <c r="AB3380" t="s">
        <v>17952</v>
      </c>
      <c r="AC3380">
        <v>73</v>
      </c>
      <c r="AD3380" t="s">
        <v>19566</v>
      </c>
      <c r="AE3380" t="s">
        <v>9144</v>
      </c>
      <c r="AF3380">
        <v>40</v>
      </c>
      <c r="AG3380">
        <v>1</v>
      </c>
      <c r="AH3380">
        <v>0</v>
      </c>
      <c r="AI3380">
        <v>115.29</v>
      </c>
      <c r="AL3380" t="s">
        <v>19614</v>
      </c>
      <c r="AM3380">
        <v>14400</v>
      </c>
      <c r="AS3380">
        <v>1</v>
      </c>
      <c r="AT3380" t="s">
        <v>899</v>
      </c>
      <c r="AU3380" t="s">
        <v>130</v>
      </c>
      <c r="AV3380" t="s">
        <v>20733</v>
      </c>
    </row>
    <row r="3381" spans="1:48">
      <c r="A3381" s="1">
        <f>HYPERLINK("https://lsnyc.legalserver.org/matter/dynamic-profile/view/1911001","19-1911001")</f>
        <v>0</v>
      </c>
      <c r="B3381" t="s">
        <v>221</v>
      </c>
      <c r="C3381" t="s">
        <v>256</v>
      </c>
      <c r="D3381" t="s">
        <v>648</v>
      </c>
      <c r="F3381" t="s">
        <v>1145</v>
      </c>
      <c r="G3381" t="s">
        <v>3374</v>
      </c>
      <c r="H3381" t="s">
        <v>7295</v>
      </c>
      <c r="I3381" t="s">
        <v>8229</v>
      </c>
      <c r="J3381" t="s">
        <v>9067</v>
      </c>
      <c r="K3381">
        <v>10029</v>
      </c>
      <c r="L3381" t="s">
        <v>9094</v>
      </c>
      <c r="M3381" t="s">
        <v>9095</v>
      </c>
      <c r="N3381" t="s">
        <v>10370</v>
      </c>
      <c r="O3381" t="s">
        <v>11129</v>
      </c>
      <c r="P3381" t="s">
        <v>11165</v>
      </c>
      <c r="R3381" t="s">
        <v>11180</v>
      </c>
      <c r="S3381" t="s">
        <v>9096</v>
      </c>
      <c r="T3381" t="s">
        <v>11183</v>
      </c>
      <c r="V3381" t="s">
        <v>648</v>
      </c>
      <c r="W3381">
        <v>636.0700000000001</v>
      </c>
      <c r="X3381" t="s">
        <v>11335</v>
      </c>
      <c r="Y3381" t="s">
        <v>11345</v>
      </c>
      <c r="Z3381" t="s">
        <v>13618</v>
      </c>
      <c r="AB3381" t="s">
        <v>17953</v>
      </c>
      <c r="AC3381">
        <v>13</v>
      </c>
      <c r="AD3381" t="s">
        <v>19566</v>
      </c>
      <c r="AE3381" t="s">
        <v>19587</v>
      </c>
      <c r="AF3381">
        <v>21</v>
      </c>
      <c r="AG3381">
        <v>1</v>
      </c>
      <c r="AH3381">
        <v>0</v>
      </c>
      <c r="AI3381">
        <v>115.29</v>
      </c>
      <c r="AL3381" t="s">
        <v>19614</v>
      </c>
      <c r="AM3381">
        <v>14400</v>
      </c>
      <c r="AS3381">
        <v>5.25</v>
      </c>
      <c r="AT3381" t="s">
        <v>377</v>
      </c>
      <c r="AU3381" t="s">
        <v>20659</v>
      </c>
      <c r="AV3381" t="s">
        <v>20733</v>
      </c>
    </row>
    <row r="3382" spans="1:48">
      <c r="A3382" s="1">
        <f>HYPERLINK("https://lsnyc.legalserver.org/matter/dynamic-profile/view/1875076","18-1875076")</f>
        <v>0</v>
      </c>
      <c r="B3382" t="s">
        <v>48</v>
      </c>
      <c r="C3382" t="s">
        <v>256</v>
      </c>
      <c r="D3382" t="s">
        <v>817</v>
      </c>
      <c r="F3382" t="s">
        <v>2511</v>
      </c>
      <c r="G3382" t="s">
        <v>4744</v>
      </c>
      <c r="H3382" t="s">
        <v>7296</v>
      </c>
      <c r="I3382" t="s">
        <v>8151</v>
      </c>
      <c r="J3382" t="s">
        <v>9038</v>
      </c>
      <c r="K3382">
        <v>11691</v>
      </c>
      <c r="L3382" t="s">
        <v>9094</v>
      </c>
      <c r="M3382" t="s">
        <v>9094</v>
      </c>
      <c r="N3382" t="s">
        <v>10371</v>
      </c>
      <c r="O3382" t="s">
        <v>11128</v>
      </c>
      <c r="P3382" t="s">
        <v>11164</v>
      </c>
      <c r="R3382" t="s">
        <v>11180</v>
      </c>
      <c r="S3382" t="s">
        <v>9096</v>
      </c>
      <c r="T3382" t="s">
        <v>11183</v>
      </c>
      <c r="U3382" t="s">
        <v>11201</v>
      </c>
      <c r="V3382" t="s">
        <v>817</v>
      </c>
      <c r="W3382">
        <v>940</v>
      </c>
      <c r="X3382" t="s">
        <v>11331</v>
      </c>
      <c r="Y3382" t="s">
        <v>11336</v>
      </c>
      <c r="Z3382" t="s">
        <v>13619</v>
      </c>
      <c r="AA3382" t="s">
        <v>9144</v>
      </c>
      <c r="AB3382" t="s">
        <v>17954</v>
      </c>
      <c r="AC3382">
        <v>68</v>
      </c>
      <c r="AD3382" t="s">
        <v>19566</v>
      </c>
      <c r="AE3382" t="s">
        <v>9144</v>
      </c>
      <c r="AF3382">
        <v>6</v>
      </c>
      <c r="AG3382">
        <v>1</v>
      </c>
      <c r="AH3382">
        <v>0</v>
      </c>
      <c r="AI3382">
        <v>115.32</v>
      </c>
      <c r="AL3382" t="s">
        <v>19614</v>
      </c>
      <c r="AM3382">
        <v>14000</v>
      </c>
      <c r="AS3382">
        <v>2.25</v>
      </c>
      <c r="AT3382" t="s">
        <v>363</v>
      </c>
      <c r="AU3382" t="s">
        <v>81</v>
      </c>
    </row>
    <row r="3383" spans="1:48">
      <c r="A3383" s="1">
        <f>HYPERLINK("https://lsnyc.legalserver.org/matter/dynamic-profile/view/1864351","18-1864351")</f>
        <v>0</v>
      </c>
      <c r="B3383" t="s">
        <v>74</v>
      </c>
      <c r="C3383" t="s">
        <v>256</v>
      </c>
      <c r="D3383" t="s">
        <v>451</v>
      </c>
      <c r="F3383" t="s">
        <v>2512</v>
      </c>
      <c r="G3383" t="s">
        <v>2412</v>
      </c>
      <c r="H3383" t="s">
        <v>7297</v>
      </c>
      <c r="I3383" t="s">
        <v>8154</v>
      </c>
      <c r="J3383" t="s">
        <v>9059</v>
      </c>
      <c r="K3383">
        <v>11233</v>
      </c>
      <c r="L3383" t="s">
        <v>9094</v>
      </c>
      <c r="M3383" t="s">
        <v>9095</v>
      </c>
      <c r="O3383" t="s">
        <v>11135</v>
      </c>
      <c r="P3383" t="s">
        <v>11168</v>
      </c>
      <c r="R3383" t="s">
        <v>11181</v>
      </c>
      <c r="T3383" t="s">
        <v>11183</v>
      </c>
      <c r="V3383" t="s">
        <v>364</v>
      </c>
      <c r="W3383">
        <v>1477</v>
      </c>
      <c r="X3383" t="s">
        <v>11332</v>
      </c>
      <c r="Y3383" t="s">
        <v>11337</v>
      </c>
      <c r="Z3383" t="s">
        <v>13620</v>
      </c>
      <c r="AA3383">
        <v>8844652</v>
      </c>
      <c r="AB3383" t="s">
        <v>17955</v>
      </c>
      <c r="AC3383">
        <v>15</v>
      </c>
      <c r="AD3383" t="s">
        <v>19566</v>
      </c>
      <c r="AE3383" t="s">
        <v>19585</v>
      </c>
      <c r="AF3383">
        <v>9</v>
      </c>
      <c r="AG3383">
        <v>2</v>
      </c>
      <c r="AH3383">
        <v>1</v>
      </c>
      <c r="AI3383">
        <v>115.32</v>
      </c>
      <c r="AJ3383" t="s">
        <v>19591</v>
      </c>
      <c r="AK3383" t="s">
        <v>19608</v>
      </c>
      <c r="AL3383" t="s">
        <v>19614</v>
      </c>
      <c r="AM3383">
        <v>23964</v>
      </c>
      <c r="AS3383">
        <v>3</v>
      </c>
      <c r="AT3383" t="s">
        <v>451</v>
      </c>
      <c r="AU3383" t="s">
        <v>74</v>
      </c>
    </row>
    <row r="3384" spans="1:48">
      <c r="A3384" s="1">
        <f>HYPERLINK("https://lsnyc.legalserver.org/matter/dynamic-profile/view/1880430","18-1880430")</f>
        <v>0</v>
      </c>
      <c r="B3384" t="s">
        <v>230</v>
      </c>
      <c r="C3384" t="s">
        <v>256</v>
      </c>
      <c r="D3384" t="s">
        <v>355</v>
      </c>
      <c r="F3384" t="s">
        <v>1282</v>
      </c>
      <c r="G3384" t="s">
        <v>4745</v>
      </c>
      <c r="H3384" t="s">
        <v>7298</v>
      </c>
      <c r="I3384">
        <v>10</v>
      </c>
      <c r="J3384" t="s">
        <v>9059</v>
      </c>
      <c r="K3384">
        <v>11215</v>
      </c>
      <c r="L3384" t="s">
        <v>9094</v>
      </c>
      <c r="M3384" t="s">
        <v>9095</v>
      </c>
      <c r="N3384" t="s">
        <v>10372</v>
      </c>
      <c r="O3384" t="s">
        <v>11128</v>
      </c>
      <c r="P3384" t="s">
        <v>11165</v>
      </c>
      <c r="R3384" t="s">
        <v>11180</v>
      </c>
      <c r="T3384" t="s">
        <v>11183</v>
      </c>
      <c r="V3384" t="s">
        <v>569</v>
      </c>
      <c r="W3384">
        <v>552</v>
      </c>
      <c r="X3384" t="s">
        <v>11332</v>
      </c>
      <c r="Y3384" t="s">
        <v>11336</v>
      </c>
      <c r="Z3384" t="s">
        <v>13621</v>
      </c>
      <c r="AC3384">
        <v>16</v>
      </c>
      <c r="AE3384" t="s">
        <v>9144</v>
      </c>
      <c r="AF3384">
        <v>30</v>
      </c>
      <c r="AG3384">
        <v>1</v>
      </c>
      <c r="AH3384">
        <v>0</v>
      </c>
      <c r="AI3384">
        <v>115.32</v>
      </c>
      <c r="AL3384" t="s">
        <v>19614</v>
      </c>
      <c r="AM3384">
        <v>14000</v>
      </c>
      <c r="AS3384">
        <v>70.59999999999999</v>
      </c>
      <c r="AT3384" t="s">
        <v>703</v>
      </c>
      <c r="AU3384" t="s">
        <v>20625</v>
      </c>
      <c r="AV3384" t="s">
        <v>20733</v>
      </c>
    </row>
    <row r="3385" spans="1:48">
      <c r="A3385" s="1">
        <f>HYPERLINK("https://lsnyc.legalserver.org/matter/dynamic-profile/view/1867544","18-1867544")</f>
        <v>0</v>
      </c>
      <c r="B3385" t="s">
        <v>131</v>
      </c>
      <c r="C3385" t="s">
        <v>257</v>
      </c>
      <c r="D3385" t="s">
        <v>578</v>
      </c>
      <c r="E3385" t="s">
        <v>270</v>
      </c>
      <c r="F3385" t="s">
        <v>2189</v>
      </c>
      <c r="G3385" t="s">
        <v>4746</v>
      </c>
      <c r="H3385" t="s">
        <v>7163</v>
      </c>
      <c r="I3385" t="s">
        <v>8197</v>
      </c>
      <c r="J3385" t="s">
        <v>9067</v>
      </c>
      <c r="K3385">
        <v>10034</v>
      </c>
      <c r="L3385" t="s">
        <v>9094</v>
      </c>
      <c r="M3385" t="s">
        <v>9095</v>
      </c>
      <c r="N3385" t="s">
        <v>10373</v>
      </c>
      <c r="O3385" t="s">
        <v>11129</v>
      </c>
      <c r="P3385" t="s">
        <v>11169</v>
      </c>
      <c r="Q3385" t="s">
        <v>11172</v>
      </c>
      <c r="R3385" t="s">
        <v>11180</v>
      </c>
      <c r="T3385" t="s">
        <v>11183</v>
      </c>
      <c r="V3385" t="s">
        <v>618</v>
      </c>
      <c r="W3385">
        <v>1320</v>
      </c>
      <c r="X3385" t="s">
        <v>11335</v>
      </c>
      <c r="Y3385" t="s">
        <v>11350</v>
      </c>
      <c r="Z3385" t="s">
        <v>13622</v>
      </c>
      <c r="AB3385" t="s">
        <v>17956</v>
      </c>
      <c r="AC3385">
        <v>60</v>
      </c>
      <c r="AD3385" t="s">
        <v>19566</v>
      </c>
      <c r="AE3385" t="s">
        <v>9144</v>
      </c>
      <c r="AF3385">
        <v>1</v>
      </c>
      <c r="AG3385">
        <v>1</v>
      </c>
      <c r="AH3385">
        <v>0</v>
      </c>
      <c r="AI3385">
        <v>115.32</v>
      </c>
      <c r="AL3385" t="s">
        <v>19615</v>
      </c>
      <c r="AM3385">
        <v>14000</v>
      </c>
      <c r="AS3385">
        <v>1</v>
      </c>
      <c r="AT3385" t="s">
        <v>578</v>
      </c>
      <c r="AU3385" t="s">
        <v>20619</v>
      </c>
    </row>
    <row r="3386" spans="1:48">
      <c r="A3386" s="1">
        <f>HYPERLINK("https://lsnyc.legalserver.org/matter/dynamic-profile/view/1860851","18-1860851")</f>
        <v>0</v>
      </c>
      <c r="B3386" t="s">
        <v>86</v>
      </c>
      <c r="C3386" t="s">
        <v>256</v>
      </c>
      <c r="D3386" t="s">
        <v>737</v>
      </c>
      <c r="F3386" t="s">
        <v>1220</v>
      </c>
      <c r="G3386" t="s">
        <v>4747</v>
      </c>
      <c r="H3386" t="s">
        <v>7040</v>
      </c>
      <c r="I3386" t="s">
        <v>8727</v>
      </c>
      <c r="J3386" t="s">
        <v>9059</v>
      </c>
      <c r="K3386">
        <v>11226</v>
      </c>
      <c r="L3386" t="s">
        <v>9094</v>
      </c>
      <c r="M3386" t="s">
        <v>9095</v>
      </c>
      <c r="N3386" t="s">
        <v>10148</v>
      </c>
      <c r="O3386" t="s">
        <v>11152</v>
      </c>
      <c r="P3386" t="s">
        <v>11165</v>
      </c>
      <c r="R3386" t="s">
        <v>11180</v>
      </c>
      <c r="S3386" t="s">
        <v>9094</v>
      </c>
      <c r="T3386" t="s">
        <v>11183</v>
      </c>
      <c r="V3386" t="s">
        <v>675</v>
      </c>
      <c r="W3386">
        <v>0</v>
      </c>
      <c r="X3386" t="s">
        <v>11332</v>
      </c>
      <c r="Y3386" t="s">
        <v>11346</v>
      </c>
      <c r="Z3386" t="s">
        <v>13623</v>
      </c>
      <c r="AC3386">
        <v>61</v>
      </c>
      <c r="AD3386" t="s">
        <v>19566</v>
      </c>
      <c r="AE3386" t="s">
        <v>9144</v>
      </c>
      <c r="AF3386">
        <v>35</v>
      </c>
      <c r="AG3386">
        <v>1</v>
      </c>
      <c r="AH3386">
        <v>1</v>
      </c>
      <c r="AI3386">
        <v>115.43</v>
      </c>
      <c r="AL3386" t="s">
        <v>19614</v>
      </c>
      <c r="AM3386">
        <v>19000</v>
      </c>
      <c r="AS3386">
        <v>0.7</v>
      </c>
      <c r="AT3386" t="s">
        <v>450</v>
      </c>
      <c r="AU3386" t="s">
        <v>20630</v>
      </c>
    </row>
    <row r="3387" spans="1:48">
      <c r="A3387" s="1">
        <f>HYPERLINK("https://lsnyc.legalserver.org/matter/dynamic-profile/view/1862660","18-1862660")</f>
        <v>0</v>
      </c>
      <c r="B3387" t="s">
        <v>86</v>
      </c>
      <c r="C3387" t="s">
        <v>256</v>
      </c>
      <c r="D3387" t="s">
        <v>576</v>
      </c>
      <c r="F3387" t="s">
        <v>1220</v>
      </c>
      <c r="G3387" t="s">
        <v>4747</v>
      </c>
      <c r="H3387" t="s">
        <v>7040</v>
      </c>
      <c r="I3387" t="s">
        <v>8727</v>
      </c>
      <c r="J3387" t="s">
        <v>9059</v>
      </c>
      <c r="K3387">
        <v>11226</v>
      </c>
      <c r="L3387" t="s">
        <v>9094</v>
      </c>
      <c r="M3387" t="s">
        <v>9095</v>
      </c>
      <c r="N3387" t="s">
        <v>10374</v>
      </c>
      <c r="O3387" t="s">
        <v>11135</v>
      </c>
      <c r="P3387" t="s">
        <v>11165</v>
      </c>
      <c r="R3387" t="s">
        <v>11180</v>
      </c>
      <c r="S3387" t="s">
        <v>9094</v>
      </c>
      <c r="T3387" t="s">
        <v>11183</v>
      </c>
      <c r="V3387" t="s">
        <v>675</v>
      </c>
      <c r="W3387">
        <v>0</v>
      </c>
      <c r="X3387" t="s">
        <v>11332</v>
      </c>
      <c r="Y3387" t="s">
        <v>11346</v>
      </c>
      <c r="Z3387" t="s">
        <v>13623</v>
      </c>
      <c r="AC3387">
        <v>61</v>
      </c>
      <c r="AD3387" t="s">
        <v>19566</v>
      </c>
      <c r="AF3387">
        <v>35</v>
      </c>
      <c r="AG3387">
        <v>1</v>
      </c>
      <c r="AH3387">
        <v>1</v>
      </c>
      <c r="AI3387">
        <v>115.43</v>
      </c>
      <c r="AL3387" t="s">
        <v>19614</v>
      </c>
      <c r="AM3387">
        <v>19000</v>
      </c>
      <c r="AS3387">
        <v>0.5</v>
      </c>
      <c r="AT3387" t="s">
        <v>620</v>
      </c>
      <c r="AU3387" t="s">
        <v>20630</v>
      </c>
    </row>
    <row r="3388" spans="1:48">
      <c r="A3388" s="1">
        <f>HYPERLINK("https://lsnyc.legalserver.org/matter/dynamic-profile/view/1880026","18-1880026")</f>
        <v>0</v>
      </c>
      <c r="B3388" t="s">
        <v>52</v>
      </c>
      <c r="C3388" t="s">
        <v>256</v>
      </c>
      <c r="D3388" t="s">
        <v>699</v>
      </c>
      <c r="F3388" t="s">
        <v>2513</v>
      </c>
      <c r="G3388" t="s">
        <v>4748</v>
      </c>
      <c r="H3388" t="s">
        <v>7299</v>
      </c>
      <c r="I3388">
        <v>210</v>
      </c>
      <c r="J3388" t="s">
        <v>9037</v>
      </c>
      <c r="K3388">
        <v>11692</v>
      </c>
      <c r="L3388" t="s">
        <v>9094</v>
      </c>
      <c r="M3388" t="s">
        <v>9094</v>
      </c>
      <c r="N3388" t="s">
        <v>10375</v>
      </c>
      <c r="O3388" t="s">
        <v>11129</v>
      </c>
      <c r="P3388" t="s">
        <v>11165</v>
      </c>
      <c r="R3388" t="s">
        <v>11180</v>
      </c>
      <c r="S3388" t="s">
        <v>9096</v>
      </c>
      <c r="T3388" t="s">
        <v>11183</v>
      </c>
      <c r="U3388" t="s">
        <v>11201</v>
      </c>
      <c r="V3388" t="s">
        <v>699</v>
      </c>
      <c r="W3388">
        <v>1324</v>
      </c>
      <c r="X3388" t="s">
        <v>11331</v>
      </c>
      <c r="Y3388" t="s">
        <v>11336</v>
      </c>
      <c r="Z3388" t="s">
        <v>13624</v>
      </c>
      <c r="AB3388" t="s">
        <v>17957</v>
      </c>
      <c r="AC3388">
        <v>216</v>
      </c>
      <c r="AD3388" t="s">
        <v>19571</v>
      </c>
      <c r="AE3388" t="s">
        <v>19580</v>
      </c>
      <c r="AF3388">
        <v>27</v>
      </c>
      <c r="AG3388">
        <v>2</v>
      </c>
      <c r="AH3388">
        <v>1</v>
      </c>
      <c r="AI3388">
        <v>115.5</v>
      </c>
      <c r="AL3388" t="s">
        <v>19614</v>
      </c>
      <c r="AM3388">
        <v>24000</v>
      </c>
      <c r="AO3388" t="s">
        <v>20291</v>
      </c>
      <c r="AP3388" t="s">
        <v>20311</v>
      </c>
      <c r="AS3388">
        <v>33.95</v>
      </c>
      <c r="AT3388" t="s">
        <v>321</v>
      </c>
      <c r="AU3388" t="s">
        <v>81</v>
      </c>
    </row>
    <row r="3389" spans="1:48">
      <c r="A3389" s="1">
        <f>HYPERLINK("https://lsnyc.legalserver.org/matter/dynamic-profile/view/1881813","18-1881813")</f>
        <v>0</v>
      </c>
      <c r="B3389" t="s">
        <v>114</v>
      </c>
      <c r="C3389" t="s">
        <v>257</v>
      </c>
      <c r="D3389" t="s">
        <v>958</v>
      </c>
      <c r="E3389" t="s">
        <v>563</v>
      </c>
      <c r="F3389" t="s">
        <v>2514</v>
      </c>
      <c r="G3389" t="s">
        <v>1978</v>
      </c>
      <c r="H3389" t="s">
        <v>5907</v>
      </c>
      <c r="I3389" t="s">
        <v>8728</v>
      </c>
      <c r="J3389" t="s">
        <v>9065</v>
      </c>
      <c r="K3389">
        <v>10451</v>
      </c>
      <c r="L3389" t="s">
        <v>9094</v>
      </c>
      <c r="M3389" t="s">
        <v>9094</v>
      </c>
      <c r="N3389" t="s">
        <v>9259</v>
      </c>
      <c r="O3389" t="s">
        <v>11130</v>
      </c>
      <c r="P3389" t="s">
        <v>11165</v>
      </c>
      <c r="Q3389" t="s">
        <v>11174</v>
      </c>
      <c r="R3389" t="s">
        <v>11180</v>
      </c>
      <c r="S3389" t="s">
        <v>9094</v>
      </c>
      <c r="T3389" t="s">
        <v>11183</v>
      </c>
      <c r="V3389" t="s">
        <v>738</v>
      </c>
      <c r="W3389">
        <v>997</v>
      </c>
      <c r="X3389" t="s">
        <v>11333</v>
      </c>
      <c r="Y3389" t="s">
        <v>11346</v>
      </c>
      <c r="Z3389" t="s">
        <v>13625</v>
      </c>
      <c r="AC3389">
        <v>100</v>
      </c>
      <c r="AD3389" t="s">
        <v>19566</v>
      </c>
      <c r="AE3389" t="s">
        <v>9144</v>
      </c>
      <c r="AF3389">
        <v>4</v>
      </c>
      <c r="AG3389">
        <v>3</v>
      </c>
      <c r="AH3389">
        <v>0</v>
      </c>
      <c r="AI3389">
        <v>115.5</v>
      </c>
      <c r="AL3389" t="s">
        <v>19614</v>
      </c>
      <c r="AM3389">
        <v>24000</v>
      </c>
      <c r="AN3389" t="s">
        <v>19819</v>
      </c>
      <c r="AS3389">
        <v>0.25</v>
      </c>
      <c r="AT3389" t="s">
        <v>563</v>
      </c>
      <c r="AU3389" t="s">
        <v>163</v>
      </c>
    </row>
    <row r="3390" spans="1:48">
      <c r="A3390" s="1">
        <f>HYPERLINK("https://lsnyc.legalserver.org/matter/dynamic-profile/view/1863845","18-1863845")</f>
        <v>0</v>
      </c>
      <c r="B3390" t="s">
        <v>136</v>
      </c>
      <c r="C3390" t="s">
        <v>256</v>
      </c>
      <c r="D3390" t="s">
        <v>504</v>
      </c>
      <c r="F3390" t="s">
        <v>1146</v>
      </c>
      <c r="G3390" t="s">
        <v>4011</v>
      </c>
      <c r="H3390" t="s">
        <v>5961</v>
      </c>
      <c r="I3390">
        <v>814</v>
      </c>
      <c r="J3390" t="s">
        <v>9067</v>
      </c>
      <c r="K3390">
        <v>10029</v>
      </c>
      <c r="L3390" t="s">
        <v>9094</v>
      </c>
      <c r="M3390" t="s">
        <v>9095</v>
      </c>
      <c r="O3390" t="s">
        <v>11130</v>
      </c>
      <c r="P3390" t="s">
        <v>11165</v>
      </c>
      <c r="R3390" t="s">
        <v>11180</v>
      </c>
      <c r="S3390" t="s">
        <v>9094</v>
      </c>
      <c r="T3390" t="s">
        <v>11183</v>
      </c>
      <c r="U3390" t="s">
        <v>11201</v>
      </c>
      <c r="V3390" t="s">
        <v>651</v>
      </c>
      <c r="W3390">
        <v>0</v>
      </c>
      <c r="X3390" t="s">
        <v>11335</v>
      </c>
      <c r="Y3390" t="s">
        <v>11339</v>
      </c>
      <c r="Z3390" t="s">
        <v>13626</v>
      </c>
      <c r="AC3390">
        <v>108</v>
      </c>
      <c r="AD3390" t="s">
        <v>19567</v>
      </c>
      <c r="AE3390" t="s">
        <v>19580</v>
      </c>
      <c r="AF3390">
        <v>2</v>
      </c>
      <c r="AG3390">
        <v>1</v>
      </c>
      <c r="AH3390">
        <v>2</v>
      </c>
      <c r="AI3390">
        <v>115.5</v>
      </c>
      <c r="AL3390" t="s">
        <v>19614</v>
      </c>
      <c r="AM3390">
        <v>24000</v>
      </c>
      <c r="AS3390">
        <v>0.75</v>
      </c>
      <c r="AT3390" t="s">
        <v>570</v>
      </c>
      <c r="AU3390" t="s">
        <v>20657</v>
      </c>
      <c r="AV3390" t="s">
        <v>20733</v>
      </c>
    </row>
    <row r="3391" spans="1:48">
      <c r="A3391" s="1">
        <f>HYPERLINK("https://lsnyc.legalserver.org/matter/dynamic-profile/view/1852953","17-1852953")</f>
        <v>0</v>
      </c>
      <c r="B3391" t="s">
        <v>122</v>
      </c>
      <c r="C3391" t="s">
        <v>257</v>
      </c>
      <c r="D3391" t="s">
        <v>971</v>
      </c>
      <c r="E3391" t="s">
        <v>664</v>
      </c>
      <c r="F3391" t="s">
        <v>1884</v>
      </c>
      <c r="G3391" t="s">
        <v>3387</v>
      </c>
      <c r="H3391" t="s">
        <v>7300</v>
      </c>
      <c r="I3391">
        <v>4</v>
      </c>
      <c r="J3391" t="s">
        <v>9066</v>
      </c>
      <c r="K3391">
        <v>10301</v>
      </c>
      <c r="L3391" t="s">
        <v>9094</v>
      </c>
      <c r="M3391" t="s">
        <v>9095</v>
      </c>
      <c r="N3391" t="s">
        <v>10376</v>
      </c>
      <c r="O3391" t="s">
        <v>11129</v>
      </c>
      <c r="P3391" t="s">
        <v>11165</v>
      </c>
      <c r="Q3391" t="s">
        <v>11174</v>
      </c>
      <c r="R3391" t="s">
        <v>11180</v>
      </c>
      <c r="S3391" t="s">
        <v>9096</v>
      </c>
      <c r="T3391" t="s">
        <v>11183</v>
      </c>
      <c r="U3391" t="s">
        <v>11201</v>
      </c>
      <c r="V3391" t="s">
        <v>971</v>
      </c>
      <c r="W3391">
        <v>300</v>
      </c>
      <c r="X3391" t="s">
        <v>11334</v>
      </c>
      <c r="Y3391" t="s">
        <v>11339</v>
      </c>
      <c r="Z3391" t="s">
        <v>13627</v>
      </c>
      <c r="AB3391" t="s">
        <v>17958</v>
      </c>
      <c r="AC3391">
        <v>17</v>
      </c>
      <c r="AD3391" t="s">
        <v>19566</v>
      </c>
      <c r="AE3391" t="s">
        <v>9144</v>
      </c>
      <c r="AF3391">
        <v>10</v>
      </c>
      <c r="AG3391">
        <v>1</v>
      </c>
      <c r="AH3391">
        <v>0</v>
      </c>
      <c r="AI3391">
        <v>115.56</v>
      </c>
      <c r="AL3391" t="s">
        <v>19614</v>
      </c>
      <c r="AM3391">
        <v>13936</v>
      </c>
      <c r="AO3391" t="s">
        <v>20290</v>
      </c>
      <c r="AP3391" t="s">
        <v>20346</v>
      </c>
      <c r="AQ3391" t="s">
        <v>20369</v>
      </c>
      <c r="AR3391" t="s">
        <v>20457</v>
      </c>
      <c r="AS3391">
        <v>15.7</v>
      </c>
      <c r="AT3391" t="s">
        <v>664</v>
      </c>
      <c r="AU3391" t="s">
        <v>20652</v>
      </c>
      <c r="AV3391" t="s">
        <v>20733</v>
      </c>
    </row>
    <row r="3392" spans="1:48">
      <c r="A3392" s="1">
        <f>HYPERLINK("https://lsnyc.legalserver.org/matter/dynamic-profile/view/1908590","19-1908590")</f>
        <v>0</v>
      </c>
      <c r="B3392" t="s">
        <v>111</v>
      </c>
      <c r="C3392" t="s">
        <v>256</v>
      </c>
      <c r="D3392" t="s">
        <v>574</v>
      </c>
      <c r="F3392" t="s">
        <v>1877</v>
      </c>
      <c r="G3392" t="s">
        <v>4749</v>
      </c>
      <c r="H3392" t="s">
        <v>7301</v>
      </c>
      <c r="I3392">
        <v>205</v>
      </c>
      <c r="J3392" t="s">
        <v>9065</v>
      </c>
      <c r="K3392">
        <v>10453</v>
      </c>
      <c r="L3392" t="s">
        <v>9096</v>
      </c>
      <c r="M3392" t="s">
        <v>9095</v>
      </c>
      <c r="N3392" t="s">
        <v>10377</v>
      </c>
      <c r="O3392" t="s">
        <v>11129</v>
      </c>
      <c r="P3392" t="s">
        <v>11165</v>
      </c>
      <c r="R3392" t="s">
        <v>11180</v>
      </c>
      <c r="S3392" t="s">
        <v>9096</v>
      </c>
      <c r="T3392" t="s">
        <v>11183</v>
      </c>
      <c r="U3392" t="s">
        <v>11202</v>
      </c>
      <c r="W3392">
        <v>1165</v>
      </c>
      <c r="X3392" t="s">
        <v>11333</v>
      </c>
      <c r="Y3392" t="s">
        <v>11336</v>
      </c>
      <c r="Z3392" t="s">
        <v>12094</v>
      </c>
      <c r="AA3392" t="s">
        <v>15785</v>
      </c>
      <c r="AB3392" t="s">
        <v>17959</v>
      </c>
      <c r="AC3392">
        <v>55</v>
      </c>
      <c r="AD3392" t="s">
        <v>19566</v>
      </c>
      <c r="AE3392" t="s">
        <v>19581</v>
      </c>
      <c r="AF3392">
        <v>2</v>
      </c>
      <c r="AG3392">
        <v>2</v>
      </c>
      <c r="AH3392">
        <v>3</v>
      </c>
      <c r="AI3392">
        <v>115.62</v>
      </c>
      <c r="AM3392">
        <v>34882</v>
      </c>
      <c r="AS3392">
        <v>6.9</v>
      </c>
      <c r="AT3392" t="s">
        <v>336</v>
      </c>
      <c r="AU3392" t="s">
        <v>20642</v>
      </c>
      <c r="AV3392" t="s">
        <v>20734</v>
      </c>
    </row>
    <row r="3393" spans="1:48">
      <c r="A3393" s="1">
        <f>HYPERLINK("https://lsnyc.legalserver.org/matter/dynamic-profile/view/1882955","18-1882955")</f>
        <v>0</v>
      </c>
      <c r="B3393" t="s">
        <v>83</v>
      </c>
      <c r="C3393" t="s">
        <v>257</v>
      </c>
      <c r="D3393" t="s">
        <v>589</v>
      </c>
      <c r="E3393" t="s">
        <v>425</v>
      </c>
      <c r="F3393" t="s">
        <v>1494</v>
      </c>
      <c r="G3393" t="s">
        <v>4750</v>
      </c>
      <c r="H3393" t="s">
        <v>7302</v>
      </c>
      <c r="I3393">
        <v>1</v>
      </c>
      <c r="J3393" t="s">
        <v>9059</v>
      </c>
      <c r="K3393">
        <v>11215</v>
      </c>
      <c r="L3393" t="s">
        <v>9094</v>
      </c>
      <c r="M3393" t="s">
        <v>9095</v>
      </c>
      <c r="O3393" t="s">
        <v>9121</v>
      </c>
      <c r="P3393" t="s">
        <v>11167</v>
      </c>
      <c r="Q3393" t="s">
        <v>11174</v>
      </c>
      <c r="R3393" t="s">
        <v>11180</v>
      </c>
      <c r="S3393" t="s">
        <v>9096</v>
      </c>
      <c r="T3393" t="s">
        <v>11183</v>
      </c>
      <c r="V3393" t="s">
        <v>611</v>
      </c>
      <c r="W3393">
        <v>153.7</v>
      </c>
      <c r="X3393" t="s">
        <v>11332</v>
      </c>
      <c r="Y3393" t="s">
        <v>11340</v>
      </c>
      <c r="Z3393" t="s">
        <v>13628</v>
      </c>
      <c r="AB3393" t="s">
        <v>17960</v>
      </c>
      <c r="AC3393">
        <v>3</v>
      </c>
      <c r="AF3393">
        <v>60</v>
      </c>
      <c r="AG3393">
        <v>1</v>
      </c>
      <c r="AH3393">
        <v>0</v>
      </c>
      <c r="AI3393">
        <v>115.65</v>
      </c>
      <c r="AL3393" t="s">
        <v>19614</v>
      </c>
      <c r="AM3393">
        <v>14040</v>
      </c>
      <c r="AO3393" t="s">
        <v>20290</v>
      </c>
      <c r="AP3393" t="s">
        <v>20309</v>
      </c>
      <c r="AQ3393" t="s">
        <v>20369</v>
      </c>
      <c r="AR3393" t="s">
        <v>20422</v>
      </c>
      <c r="AS3393">
        <v>6.4</v>
      </c>
      <c r="AT3393" t="s">
        <v>785</v>
      </c>
      <c r="AU3393" t="s">
        <v>20628</v>
      </c>
      <c r="AV3393" t="s">
        <v>20733</v>
      </c>
    </row>
    <row r="3394" spans="1:48">
      <c r="A3394" s="1">
        <f>HYPERLINK("https://lsnyc.legalserver.org/matter/dynamic-profile/view/0805209","16-0805209")</f>
        <v>0</v>
      </c>
      <c r="B3394" t="s">
        <v>103</v>
      </c>
      <c r="C3394" t="s">
        <v>256</v>
      </c>
      <c r="D3394" t="s">
        <v>849</v>
      </c>
      <c r="F3394" t="s">
        <v>2495</v>
      </c>
      <c r="G3394" t="s">
        <v>3978</v>
      </c>
      <c r="H3394" t="s">
        <v>5873</v>
      </c>
      <c r="I3394" t="s">
        <v>8193</v>
      </c>
      <c r="J3394" t="s">
        <v>9065</v>
      </c>
      <c r="K3394">
        <v>10457</v>
      </c>
      <c r="L3394" t="s">
        <v>9094</v>
      </c>
      <c r="M3394" t="s">
        <v>9095</v>
      </c>
      <c r="N3394" t="s">
        <v>9229</v>
      </c>
      <c r="O3394" t="s">
        <v>11132</v>
      </c>
      <c r="P3394" t="s">
        <v>11165</v>
      </c>
      <c r="R3394" t="s">
        <v>11180</v>
      </c>
      <c r="S3394" t="s">
        <v>9094</v>
      </c>
      <c r="T3394" t="s">
        <v>11183</v>
      </c>
      <c r="V3394" t="s">
        <v>1038</v>
      </c>
      <c r="W3394">
        <v>862.95</v>
      </c>
      <c r="X3394" t="s">
        <v>11333</v>
      </c>
      <c r="Y3394" t="s">
        <v>11346</v>
      </c>
      <c r="Z3394" t="s">
        <v>13013</v>
      </c>
      <c r="AA3394" t="s">
        <v>15786</v>
      </c>
      <c r="AC3394">
        <v>0</v>
      </c>
      <c r="AD3394" t="s">
        <v>19569</v>
      </c>
      <c r="AE3394" t="s">
        <v>19587</v>
      </c>
      <c r="AF3394">
        <v>32</v>
      </c>
      <c r="AG3394">
        <v>1</v>
      </c>
      <c r="AH3394">
        <v>0</v>
      </c>
      <c r="AI3394">
        <v>115.66</v>
      </c>
      <c r="AJ3394" t="s">
        <v>11262</v>
      </c>
      <c r="AL3394" t="s">
        <v>19615</v>
      </c>
      <c r="AM3394">
        <v>13740</v>
      </c>
      <c r="AS3394">
        <v>0.1</v>
      </c>
      <c r="AT3394" t="s">
        <v>849</v>
      </c>
      <c r="AU3394" t="s">
        <v>109</v>
      </c>
    </row>
    <row r="3395" spans="1:48">
      <c r="A3395" s="1">
        <f>HYPERLINK("https://lsnyc.legalserver.org/matter/dynamic-profile/view/0809398","16-0809398")</f>
        <v>0</v>
      </c>
      <c r="B3395" t="s">
        <v>103</v>
      </c>
      <c r="C3395" t="s">
        <v>256</v>
      </c>
      <c r="D3395" t="s">
        <v>956</v>
      </c>
      <c r="F3395" t="s">
        <v>2495</v>
      </c>
      <c r="G3395" t="s">
        <v>3978</v>
      </c>
      <c r="H3395" t="s">
        <v>5873</v>
      </c>
      <c r="I3395" t="s">
        <v>8193</v>
      </c>
      <c r="J3395" t="s">
        <v>9065</v>
      </c>
      <c r="K3395">
        <v>10457</v>
      </c>
      <c r="L3395" t="s">
        <v>9094</v>
      </c>
      <c r="M3395" t="s">
        <v>9095</v>
      </c>
      <c r="N3395" t="s">
        <v>9229</v>
      </c>
      <c r="O3395" t="s">
        <v>11135</v>
      </c>
      <c r="P3395" t="s">
        <v>11168</v>
      </c>
      <c r="R3395" t="s">
        <v>11180</v>
      </c>
      <c r="S3395" t="s">
        <v>9094</v>
      </c>
      <c r="T3395" t="s">
        <v>11183</v>
      </c>
      <c r="V3395" t="s">
        <v>11234</v>
      </c>
      <c r="W3395">
        <v>862.95</v>
      </c>
      <c r="X3395" t="s">
        <v>11333</v>
      </c>
      <c r="Y3395" t="s">
        <v>11346</v>
      </c>
      <c r="Z3395" t="s">
        <v>13013</v>
      </c>
      <c r="AC3395">
        <v>100</v>
      </c>
      <c r="AD3395" t="s">
        <v>19566</v>
      </c>
      <c r="AE3395" t="s">
        <v>19587</v>
      </c>
      <c r="AF3395">
        <v>32</v>
      </c>
      <c r="AG3395">
        <v>1</v>
      </c>
      <c r="AH3395">
        <v>0</v>
      </c>
      <c r="AI3395">
        <v>115.66</v>
      </c>
      <c r="AJ3395" t="s">
        <v>11262</v>
      </c>
      <c r="AL3395" t="s">
        <v>19615</v>
      </c>
      <c r="AM3395">
        <v>13740</v>
      </c>
      <c r="AS3395">
        <v>0</v>
      </c>
      <c r="AU3395" t="s">
        <v>20690</v>
      </c>
    </row>
    <row r="3396" spans="1:48">
      <c r="A3396" s="1">
        <f>HYPERLINK("https://lsnyc.legalserver.org/matter/dynamic-profile/view/0816829","16-0816829")</f>
        <v>0</v>
      </c>
      <c r="B3396" t="s">
        <v>103</v>
      </c>
      <c r="C3396" t="s">
        <v>256</v>
      </c>
      <c r="D3396" t="s">
        <v>436</v>
      </c>
      <c r="F3396" t="s">
        <v>2495</v>
      </c>
      <c r="G3396" t="s">
        <v>3978</v>
      </c>
      <c r="H3396" t="s">
        <v>5873</v>
      </c>
      <c r="I3396" t="s">
        <v>8193</v>
      </c>
      <c r="J3396" t="s">
        <v>9065</v>
      </c>
      <c r="K3396">
        <v>10457</v>
      </c>
      <c r="L3396" t="s">
        <v>9094</v>
      </c>
      <c r="M3396" t="s">
        <v>9095</v>
      </c>
      <c r="N3396" t="s">
        <v>9229</v>
      </c>
      <c r="O3396" t="s">
        <v>11135</v>
      </c>
      <c r="P3396" t="s">
        <v>11168</v>
      </c>
      <c r="R3396" t="s">
        <v>11180</v>
      </c>
      <c r="S3396" t="s">
        <v>9094</v>
      </c>
      <c r="T3396" t="s">
        <v>11183</v>
      </c>
      <c r="V3396" t="s">
        <v>11269</v>
      </c>
      <c r="W3396">
        <v>862.95</v>
      </c>
      <c r="X3396" t="s">
        <v>11333</v>
      </c>
      <c r="Y3396" t="s">
        <v>11346</v>
      </c>
      <c r="Z3396" t="s">
        <v>13013</v>
      </c>
      <c r="AC3396">
        <v>100</v>
      </c>
      <c r="AD3396" t="s">
        <v>19566</v>
      </c>
      <c r="AE3396" t="s">
        <v>19587</v>
      </c>
      <c r="AF3396">
        <v>32</v>
      </c>
      <c r="AG3396">
        <v>1</v>
      </c>
      <c r="AH3396">
        <v>0</v>
      </c>
      <c r="AI3396">
        <v>115.66</v>
      </c>
      <c r="AJ3396" t="s">
        <v>11262</v>
      </c>
      <c r="AL3396" t="s">
        <v>19615</v>
      </c>
      <c r="AM3396">
        <v>13740</v>
      </c>
      <c r="AS3396">
        <v>0.5</v>
      </c>
      <c r="AT3396" t="s">
        <v>436</v>
      </c>
      <c r="AU3396" t="s">
        <v>20643</v>
      </c>
    </row>
    <row r="3397" spans="1:48">
      <c r="A3397" s="1">
        <f>HYPERLINK("https://lsnyc.legalserver.org/matter/dynamic-profile/view/1901881","19-1901881")</f>
        <v>0</v>
      </c>
      <c r="B3397" t="s">
        <v>184</v>
      </c>
      <c r="C3397" t="s">
        <v>257</v>
      </c>
      <c r="D3397" t="s">
        <v>298</v>
      </c>
      <c r="E3397" t="s">
        <v>497</v>
      </c>
      <c r="F3397" t="s">
        <v>2515</v>
      </c>
      <c r="G3397" t="s">
        <v>3177</v>
      </c>
      <c r="H3397" t="s">
        <v>6092</v>
      </c>
      <c r="I3397" t="s">
        <v>8149</v>
      </c>
      <c r="J3397" t="s">
        <v>9065</v>
      </c>
      <c r="K3397">
        <v>10459</v>
      </c>
      <c r="L3397" t="s">
        <v>9094</v>
      </c>
      <c r="M3397" t="s">
        <v>9095</v>
      </c>
      <c r="N3397" t="s">
        <v>10378</v>
      </c>
      <c r="O3397" t="s">
        <v>11129</v>
      </c>
      <c r="P3397" t="s">
        <v>11164</v>
      </c>
      <c r="Q3397" t="s">
        <v>11172</v>
      </c>
      <c r="R3397" t="s">
        <v>11180</v>
      </c>
      <c r="S3397" t="s">
        <v>9096</v>
      </c>
      <c r="T3397" t="s">
        <v>11183</v>
      </c>
      <c r="V3397" t="s">
        <v>11218</v>
      </c>
      <c r="W3397">
        <v>140</v>
      </c>
      <c r="X3397" t="s">
        <v>11333</v>
      </c>
      <c r="Y3397" t="s">
        <v>11345</v>
      </c>
      <c r="Z3397" t="s">
        <v>13629</v>
      </c>
      <c r="AB3397" t="s">
        <v>17961</v>
      </c>
      <c r="AC3397">
        <v>0</v>
      </c>
      <c r="AD3397" t="s">
        <v>19567</v>
      </c>
      <c r="AF3397">
        <v>0</v>
      </c>
      <c r="AG3397">
        <v>2</v>
      </c>
      <c r="AH3397">
        <v>0</v>
      </c>
      <c r="AI3397">
        <v>115.81</v>
      </c>
      <c r="AL3397" t="s">
        <v>19614</v>
      </c>
      <c r="AM3397">
        <v>19584</v>
      </c>
      <c r="AN3397" t="s">
        <v>19949</v>
      </c>
      <c r="AS3397">
        <v>1.85</v>
      </c>
      <c r="AT3397" t="s">
        <v>497</v>
      </c>
      <c r="AU3397" t="s">
        <v>20649</v>
      </c>
      <c r="AV3397" t="s">
        <v>20733</v>
      </c>
    </row>
    <row r="3398" spans="1:48">
      <c r="A3398" s="1">
        <f>HYPERLINK("https://lsnyc.legalserver.org/matter/dynamic-profile/view/1904621","19-1904621")</f>
        <v>0</v>
      </c>
      <c r="B3398" t="s">
        <v>235</v>
      </c>
      <c r="C3398" t="s">
        <v>256</v>
      </c>
      <c r="D3398" t="s">
        <v>497</v>
      </c>
      <c r="F3398" t="s">
        <v>1267</v>
      </c>
      <c r="G3398" t="s">
        <v>4751</v>
      </c>
      <c r="H3398" t="s">
        <v>7303</v>
      </c>
      <c r="I3398" t="s">
        <v>8729</v>
      </c>
      <c r="J3398" t="s">
        <v>9067</v>
      </c>
      <c r="K3398">
        <v>10033</v>
      </c>
      <c r="L3398" t="s">
        <v>9094</v>
      </c>
      <c r="M3398" t="s">
        <v>9095</v>
      </c>
      <c r="N3398" t="s">
        <v>10379</v>
      </c>
      <c r="O3398" t="s">
        <v>11129</v>
      </c>
      <c r="P3398" t="s">
        <v>11169</v>
      </c>
      <c r="R3398" t="s">
        <v>11180</v>
      </c>
      <c r="S3398" t="s">
        <v>9096</v>
      </c>
      <c r="T3398" t="s">
        <v>11183</v>
      </c>
      <c r="V3398" t="s">
        <v>497</v>
      </c>
      <c r="W3398">
        <v>868.62</v>
      </c>
      <c r="X3398" t="s">
        <v>11335</v>
      </c>
      <c r="Y3398" t="s">
        <v>11336</v>
      </c>
      <c r="Z3398" t="s">
        <v>13630</v>
      </c>
      <c r="AB3398" t="s">
        <v>17962</v>
      </c>
      <c r="AC3398">
        <v>39</v>
      </c>
      <c r="AD3398" t="s">
        <v>19566</v>
      </c>
      <c r="AE3398" t="s">
        <v>9144</v>
      </c>
      <c r="AF3398">
        <v>46</v>
      </c>
      <c r="AG3398">
        <v>2</v>
      </c>
      <c r="AH3398">
        <v>3</v>
      </c>
      <c r="AI3398">
        <v>116.01</v>
      </c>
      <c r="AL3398" t="s">
        <v>19614</v>
      </c>
      <c r="AM3398">
        <v>35000</v>
      </c>
      <c r="AS3398">
        <v>7.3</v>
      </c>
      <c r="AT3398" t="s">
        <v>321</v>
      </c>
      <c r="AU3398" t="s">
        <v>20659</v>
      </c>
      <c r="AV3398" t="s">
        <v>20733</v>
      </c>
    </row>
    <row r="3399" spans="1:48">
      <c r="A3399" s="1">
        <f>HYPERLINK("https://lsnyc.legalserver.org/matter/dynamic-profile/view/1887119","19-1887119")</f>
        <v>0</v>
      </c>
      <c r="B3399" t="s">
        <v>119</v>
      </c>
      <c r="C3399" t="s">
        <v>257</v>
      </c>
      <c r="D3399" t="s">
        <v>324</v>
      </c>
      <c r="E3399" t="s">
        <v>301</v>
      </c>
      <c r="F3399" t="s">
        <v>2516</v>
      </c>
      <c r="G3399" t="s">
        <v>1488</v>
      </c>
      <c r="H3399" t="s">
        <v>7304</v>
      </c>
      <c r="I3399" t="s">
        <v>8279</v>
      </c>
      <c r="J3399" t="s">
        <v>9065</v>
      </c>
      <c r="K3399">
        <v>10458</v>
      </c>
      <c r="L3399" t="s">
        <v>9094</v>
      </c>
      <c r="M3399" t="s">
        <v>9094</v>
      </c>
      <c r="N3399" t="s">
        <v>10380</v>
      </c>
      <c r="O3399" t="s">
        <v>11129</v>
      </c>
      <c r="P3399" t="s">
        <v>11164</v>
      </c>
      <c r="Q3399" t="s">
        <v>11172</v>
      </c>
      <c r="R3399" t="s">
        <v>11180</v>
      </c>
      <c r="S3399" t="s">
        <v>9096</v>
      </c>
      <c r="T3399" t="s">
        <v>11183</v>
      </c>
      <c r="V3399" t="s">
        <v>324</v>
      </c>
      <c r="W3399">
        <v>984</v>
      </c>
      <c r="X3399" t="s">
        <v>11333</v>
      </c>
      <c r="Y3399" t="s">
        <v>11351</v>
      </c>
      <c r="Z3399" t="s">
        <v>13631</v>
      </c>
      <c r="AB3399" t="s">
        <v>17963</v>
      </c>
      <c r="AC3399">
        <v>48</v>
      </c>
      <c r="AD3399" t="s">
        <v>19566</v>
      </c>
      <c r="AE3399" t="s">
        <v>9144</v>
      </c>
      <c r="AF3399">
        <v>10</v>
      </c>
      <c r="AG3399">
        <v>1</v>
      </c>
      <c r="AH3399">
        <v>0</v>
      </c>
      <c r="AI3399">
        <v>116.08</v>
      </c>
      <c r="AL3399" t="s">
        <v>19614</v>
      </c>
      <c r="AM3399">
        <v>14092</v>
      </c>
      <c r="AS3399">
        <v>3.4</v>
      </c>
      <c r="AT3399" t="s">
        <v>325</v>
      </c>
      <c r="AU3399" t="s">
        <v>163</v>
      </c>
    </row>
    <row r="3400" spans="1:48">
      <c r="A3400" s="1">
        <f>HYPERLINK("https://lsnyc.legalserver.org/matter/dynamic-profile/view/1886107","18-1886107")</f>
        <v>0</v>
      </c>
      <c r="B3400" t="s">
        <v>113</v>
      </c>
      <c r="C3400" t="s">
        <v>257</v>
      </c>
      <c r="D3400" t="s">
        <v>357</v>
      </c>
      <c r="E3400" t="s">
        <v>270</v>
      </c>
      <c r="F3400" t="s">
        <v>1450</v>
      </c>
      <c r="G3400" t="s">
        <v>3728</v>
      </c>
      <c r="H3400" t="s">
        <v>5864</v>
      </c>
      <c r="I3400" t="s">
        <v>8720</v>
      </c>
      <c r="J3400" t="s">
        <v>9065</v>
      </c>
      <c r="K3400">
        <v>10460</v>
      </c>
      <c r="L3400" t="s">
        <v>9094</v>
      </c>
      <c r="M3400" t="s">
        <v>9094</v>
      </c>
      <c r="N3400" t="s">
        <v>9222</v>
      </c>
      <c r="O3400" t="s">
        <v>11130</v>
      </c>
      <c r="P3400" t="s">
        <v>11165</v>
      </c>
      <c r="Q3400" t="s">
        <v>11174</v>
      </c>
      <c r="R3400" t="s">
        <v>11180</v>
      </c>
      <c r="S3400" t="s">
        <v>9094</v>
      </c>
      <c r="T3400" t="s">
        <v>11183</v>
      </c>
      <c r="V3400" t="s">
        <v>512</v>
      </c>
      <c r="W3400">
        <v>343</v>
      </c>
      <c r="X3400" t="s">
        <v>11333</v>
      </c>
      <c r="Y3400" t="s">
        <v>11346</v>
      </c>
      <c r="Z3400" t="s">
        <v>13583</v>
      </c>
      <c r="AB3400" t="s">
        <v>17924</v>
      </c>
      <c r="AC3400">
        <v>169</v>
      </c>
      <c r="AD3400" t="s">
        <v>15441</v>
      </c>
      <c r="AE3400" t="s">
        <v>19580</v>
      </c>
      <c r="AF3400">
        <v>1</v>
      </c>
      <c r="AG3400">
        <v>1</v>
      </c>
      <c r="AH3400">
        <v>0</v>
      </c>
      <c r="AI3400">
        <v>116.14</v>
      </c>
      <c r="AL3400" t="s">
        <v>19615</v>
      </c>
      <c r="AM3400">
        <v>14100</v>
      </c>
      <c r="AS3400">
        <v>1</v>
      </c>
      <c r="AT3400" t="s">
        <v>270</v>
      </c>
      <c r="AU3400" t="s">
        <v>158</v>
      </c>
    </row>
    <row r="3401" spans="1:48">
      <c r="A3401" s="1">
        <f>HYPERLINK("https://lsnyc.legalserver.org/matter/dynamic-profile/view/1895615","19-1895615")</f>
        <v>0</v>
      </c>
      <c r="B3401" t="s">
        <v>52</v>
      </c>
      <c r="C3401" t="s">
        <v>256</v>
      </c>
      <c r="D3401" t="s">
        <v>360</v>
      </c>
      <c r="F3401" t="s">
        <v>2517</v>
      </c>
      <c r="G3401" t="s">
        <v>4752</v>
      </c>
      <c r="H3401" t="s">
        <v>7305</v>
      </c>
      <c r="I3401" t="s">
        <v>8669</v>
      </c>
      <c r="J3401" t="s">
        <v>9038</v>
      </c>
      <c r="K3401">
        <v>11691</v>
      </c>
      <c r="L3401" t="s">
        <v>9094</v>
      </c>
      <c r="M3401" t="s">
        <v>9094</v>
      </c>
      <c r="N3401" t="s">
        <v>10381</v>
      </c>
      <c r="O3401" t="s">
        <v>11128</v>
      </c>
      <c r="P3401" t="s">
        <v>11165</v>
      </c>
      <c r="R3401" t="s">
        <v>11180</v>
      </c>
      <c r="S3401" t="s">
        <v>9096</v>
      </c>
      <c r="T3401" t="s">
        <v>11183</v>
      </c>
      <c r="U3401" t="s">
        <v>11201</v>
      </c>
      <c r="V3401" t="s">
        <v>614</v>
      </c>
      <c r="W3401">
        <v>1956</v>
      </c>
      <c r="X3401" t="s">
        <v>11331</v>
      </c>
      <c r="Y3401" t="s">
        <v>11336</v>
      </c>
      <c r="Z3401" t="s">
        <v>13632</v>
      </c>
      <c r="AA3401" t="s">
        <v>15787</v>
      </c>
      <c r="AB3401" t="s">
        <v>17964</v>
      </c>
      <c r="AC3401">
        <v>2</v>
      </c>
      <c r="AD3401" t="s">
        <v>15441</v>
      </c>
      <c r="AE3401" t="s">
        <v>19581</v>
      </c>
      <c r="AF3401">
        <v>1</v>
      </c>
      <c r="AG3401">
        <v>2</v>
      </c>
      <c r="AH3401">
        <v>3</v>
      </c>
      <c r="AI3401">
        <v>116.34</v>
      </c>
      <c r="AL3401" t="s">
        <v>19614</v>
      </c>
      <c r="AM3401">
        <v>35100</v>
      </c>
      <c r="AS3401">
        <v>4.8</v>
      </c>
      <c r="AT3401" t="s">
        <v>315</v>
      </c>
      <c r="AU3401" t="s">
        <v>20620</v>
      </c>
      <c r="AV3401" t="s">
        <v>20733</v>
      </c>
    </row>
    <row r="3402" spans="1:48">
      <c r="A3402" s="1">
        <f>HYPERLINK("https://lsnyc.legalserver.org/matter/dynamic-profile/view/1844694","17-1844694")</f>
        <v>0</v>
      </c>
      <c r="B3402" t="s">
        <v>151</v>
      </c>
      <c r="C3402" t="s">
        <v>256</v>
      </c>
      <c r="D3402" t="s">
        <v>1015</v>
      </c>
      <c r="F3402" t="s">
        <v>2518</v>
      </c>
      <c r="G3402" t="s">
        <v>4530</v>
      </c>
      <c r="H3402" t="s">
        <v>7306</v>
      </c>
      <c r="I3402" t="s">
        <v>8175</v>
      </c>
      <c r="J3402" t="s">
        <v>9059</v>
      </c>
      <c r="K3402">
        <v>11233</v>
      </c>
      <c r="L3402" t="s">
        <v>9094</v>
      </c>
      <c r="M3402" t="s">
        <v>9095</v>
      </c>
      <c r="N3402" t="s">
        <v>10382</v>
      </c>
      <c r="O3402" t="s">
        <v>11128</v>
      </c>
      <c r="P3402" t="s">
        <v>11165</v>
      </c>
      <c r="R3402" t="s">
        <v>11180</v>
      </c>
      <c r="S3402" t="s">
        <v>11182</v>
      </c>
      <c r="T3402" t="s">
        <v>11183</v>
      </c>
      <c r="V3402" t="s">
        <v>11232</v>
      </c>
      <c r="W3402">
        <v>236</v>
      </c>
      <c r="X3402" t="s">
        <v>11332</v>
      </c>
      <c r="Y3402" t="s">
        <v>11340</v>
      </c>
      <c r="Z3402" t="s">
        <v>13633</v>
      </c>
      <c r="AA3402" t="s">
        <v>15285</v>
      </c>
      <c r="AB3402" t="s">
        <v>17965</v>
      </c>
      <c r="AC3402">
        <v>84</v>
      </c>
      <c r="AD3402" t="s">
        <v>19575</v>
      </c>
      <c r="AE3402" t="s">
        <v>11157</v>
      </c>
      <c r="AF3402">
        <v>8</v>
      </c>
      <c r="AG3402">
        <v>1</v>
      </c>
      <c r="AH3402">
        <v>0</v>
      </c>
      <c r="AI3402">
        <v>116.42</v>
      </c>
      <c r="AL3402" t="s">
        <v>19614</v>
      </c>
      <c r="AM3402">
        <v>14040</v>
      </c>
      <c r="AS3402">
        <v>138.15</v>
      </c>
      <c r="AT3402" t="s">
        <v>410</v>
      </c>
      <c r="AU3402" t="s">
        <v>95</v>
      </c>
      <c r="AV3402" t="s">
        <v>20733</v>
      </c>
    </row>
    <row r="3403" spans="1:48">
      <c r="A3403" s="1">
        <f>HYPERLINK("https://lsnyc.legalserver.org/matter/dynamic-profile/view/1854735","17-1854735")</f>
        <v>0</v>
      </c>
      <c r="B3403" t="s">
        <v>113</v>
      </c>
      <c r="C3403" t="s">
        <v>257</v>
      </c>
      <c r="D3403" t="s">
        <v>520</v>
      </c>
      <c r="E3403" t="s">
        <v>270</v>
      </c>
      <c r="F3403" t="s">
        <v>1524</v>
      </c>
      <c r="G3403" t="s">
        <v>3733</v>
      </c>
      <c r="H3403" t="s">
        <v>6258</v>
      </c>
      <c r="I3403" t="s">
        <v>8234</v>
      </c>
      <c r="J3403" t="s">
        <v>9065</v>
      </c>
      <c r="K3403">
        <v>10453</v>
      </c>
      <c r="L3403" t="s">
        <v>9094</v>
      </c>
      <c r="M3403" t="s">
        <v>9095</v>
      </c>
      <c r="N3403" t="s">
        <v>10383</v>
      </c>
      <c r="O3403" t="s">
        <v>11129</v>
      </c>
      <c r="P3403" t="s">
        <v>11165</v>
      </c>
      <c r="Q3403" t="s">
        <v>11174</v>
      </c>
      <c r="R3403" t="s">
        <v>11180</v>
      </c>
      <c r="S3403" t="s">
        <v>9096</v>
      </c>
      <c r="T3403" t="s">
        <v>11183</v>
      </c>
      <c r="V3403" t="s">
        <v>1122</v>
      </c>
      <c r="W3403">
        <v>1180</v>
      </c>
      <c r="X3403" t="s">
        <v>11333</v>
      </c>
      <c r="Y3403" t="s">
        <v>11157</v>
      </c>
      <c r="Z3403" t="s">
        <v>13634</v>
      </c>
      <c r="AB3403" t="s">
        <v>17966</v>
      </c>
      <c r="AC3403">
        <v>101</v>
      </c>
      <c r="AD3403" t="s">
        <v>19576</v>
      </c>
      <c r="AE3403" t="s">
        <v>9144</v>
      </c>
      <c r="AF3403">
        <v>10</v>
      </c>
      <c r="AG3403">
        <v>1</v>
      </c>
      <c r="AH3403">
        <v>0</v>
      </c>
      <c r="AI3403">
        <v>116.42</v>
      </c>
      <c r="AL3403" t="s">
        <v>19614</v>
      </c>
      <c r="AM3403">
        <v>14040</v>
      </c>
      <c r="AN3403" t="s">
        <v>19950</v>
      </c>
      <c r="AS3403">
        <v>51.81</v>
      </c>
      <c r="AT3403" t="s">
        <v>543</v>
      </c>
      <c r="AU3403" t="s">
        <v>20672</v>
      </c>
    </row>
    <row r="3404" spans="1:48">
      <c r="A3404" s="1">
        <f>HYPERLINK("https://lsnyc.legalserver.org/matter/dynamic-profile/view/1898987","19-1898987")</f>
        <v>0</v>
      </c>
      <c r="B3404" t="s">
        <v>70</v>
      </c>
      <c r="C3404" t="s">
        <v>256</v>
      </c>
      <c r="D3404" t="s">
        <v>310</v>
      </c>
      <c r="F3404" t="s">
        <v>1616</v>
      </c>
      <c r="G3404" t="s">
        <v>4753</v>
      </c>
      <c r="H3404" t="s">
        <v>6474</v>
      </c>
      <c r="I3404" t="s">
        <v>8730</v>
      </c>
      <c r="J3404" t="s">
        <v>9059</v>
      </c>
      <c r="K3404">
        <v>11233</v>
      </c>
      <c r="L3404" t="s">
        <v>9094</v>
      </c>
      <c r="M3404" t="s">
        <v>9095</v>
      </c>
      <c r="N3404" t="s">
        <v>9146</v>
      </c>
      <c r="O3404" t="s">
        <v>11134</v>
      </c>
      <c r="P3404" t="s">
        <v>11168</v>
      </c>
      <c r="R3404" t="s">
        <v>11180</v>
      </c>
      <c r="S3404" t="s">
        <v>9094</v>
      </c>
      <c r="T3404" t="s">
        <v>11183</v>
      </c>
      <c r="U3404" t="s">
        <v>11201</v>
      </c>
      <c r="V3404" t="s">
        <v>482</v>
      </c>
      <c r="W3404">
        <v>1343.02</v>
      </c>
      <c r="X3404" t="s">
        <v>11332</v>
      </c>
      <c r="Y3404" t="s">
        <v>11157</v>
      </c>
      <c r="Z3404" t="s">
        <v>13635</v>
      </c>
      <c r="AC3404">
        <v>359</v>
      </c>
      <c r="AD3404" t="s">
        <v>19566</v>
      </c>
      <c r="AF3404">
        <v>25</v>
      </c>
      <c r="AG3404">
        <v>2</v>
      </c>
      <c r="AH3404">
        <v>2</v>
      </c>
      <c r="AI3404">
        <v>116.5</v>
      </c>
      <c r="AM3404">
        <v>30000</v>
      </c>
      <c r="AN3404" t="s">
        <v>19951</v>
      </c>
      <c r="AS3404">
        <v>0</v>
      </c>
      <c r="AU3404" t="s">
        <v>79</v>
      </c>
      <c r="AV3404" t="s">
        <v>9144</v>
      </c>
    </row>
    <row r="3405" spans="1:48">
      <c r="A3405" s="1">
        <f>HYPERLINK("https://lsnyc.legalserver.org/matter/dynamic-profile/view/1898989","19-1898989")</f>
        <v>0</v>
      </c>
      <c r="B3405" t="s">
        <v>70</v>
      </c>
      <c r="C3405" t="s">
        <v>256</v>
      </c>
      <c r="D3405" t="s">
        <v>310</v>
      </c>
      <c r="F3405" t="s">
        <v>1616</v>
      </c>
      <c r="G3405" t="s">
        <v>4753</v>
      </c>
      <c r="H3405" t="s">
        <v>6474</v>
      </c>
      <c r="I3405" t="s">
        <v>8730</v>
      </c>
      <c r="J3405" t="s">
        <v>9059</v>
      </c>
      <c r="K3405">
        <v>11233</v>
      </c>
      <c r="L3405" t="s">
        <v>9094</v>
      </c>
      <c r="M3405" t="s">
        <v>9095</v>
      </c>
      <c r="O3405" t="s">
        <v>11137</v>
      </c>
      <c r="P3405" t="s">
        <v>11167</v>
      </c>
      <c r="R3405" t="s">
        <v>11180</v>
      </c>
      <c r="S3405" t="s">
        <v>9094</v>
      </c>
      <c r="T3405" t="s">
        <v>11183</v>
      </c>
      <c r="U3405" t="s">
        <v>11201</v>
      </c>
      <c r="V3405" t="s">
        <v>749</v>
      </c>
      <c r="W3405">
        <v>1343.02</v>
      </c>
      <c r="X3405" t="s">
        <v>11332</v>
      </c>
      <c r="Y3405" t="s">
        <v>11157</v>
      </c>
      <c r="Z3405" t="s">
        <v>13635</v>
      </c>
      <c r="AC3405">
        <v>359</v>
      </c>
      <c r="AD3405" t="s">
        <v>19566</v>
      </c>
      <c r="AF3405">
        <v>25</v>
      </c>
      <c r="AG3405">
        <v>2</v>
      </c>
      <c r="AH3405">
        <v>2</v>
      </c>
      <c r="AI3405">
        <v>116.5</v>
      </c>
      <c r="AM3405">
        <v>30000</v>
      </c>
      <c r="AN3405" t="s">
        <v>19952</v>
      </c>
      <c r="AS3405">
        <v>0</v>
      </c>
      <c r="AU3405" t="s">
        <v>79</v>
      </c>
      <c r="AV3405" t="s">
        <v>9144</v>
      </c>
    </row>
    <row r="3406" spans="1:48">
      <c r="A3406" s="1">
        <f>HYPERLINK("https://lsnyc.legalserver.org/matter/dynamic-profile/view/1907410","19-1907410")</f>
        <v>0</v>
      </c>
      <c r="B3406" t="s">
        <v>109</v>
      </c>
      <c r="C3406" t="s">
        <v>257</v>
      </c>
      <c r="D3406" t="s">
        <v>334</v>
      </c>
      <c r="E3406" t="s">
        <v>326</v>
      </c>
      <c r="F3406" t="s">
        <v>2519</v>
      </c>
      <c r="G3406" t="s">
        <v>4120</v>
      </c>
      <c r="H3406" t="s">
        <v>7307</v>
      </c>
      <c r="I3406" t="s">
        <v>8731</v>
      </c>
      <c r="J3406" t="s">
        <v>9065</v>
      </c>
      <c r="K3406">
        <v>10453</v>
      </c>
      <c r="L3406" t="s">
        <v>9094</v>
      </c>
      <c r="M3406" t="s">
        <v>9095</v>
      </c>
      <c r="P3406" t="s">
        <v>11164</v>
      </c>
      <c r="Q3406" t="s">
        <v>11172</v>
      </c>
      <c r="R3406" t="s">
        <v>11180</v>
      </c>
      <c r="S3406" t="s">
        <v>9096</v>
      </c>
      <c r="T3406" t="s">
        <v>11183</v>
      </c>
      <c r="W3406">
        <v>1500</v>
      </c>
      <c r="X3406" t="s">
        <v>11333</v>
      </c>
      <c r="Y3406" t="s">
        <v>11346</v>
      </c>
      <c r="Z3406" t="s">
        <v>13636</v>
      </c>
      <c r="AB3406" t="s">
        <v>17967</v>
      </c>
      <c r="AC3406">
        <v>70</v>
      </c>
      <c r="AE3406" t="s">
        <v>9144</v>
      </c>
      <c r="AF3406">
        <v>2</v>
      </c>
      <c r="AG3406">
        <v>2</v>
      </c>
      <c r="AH3406">
        <v>2</v>
      </c>
      <c r="AI3406">
        <v>116.5</v>
      </c>
      <c r="AL3406" t="s">
        <v>19614</v>
      </c>
      <c r="AM3406">
        <v>30000</v>
      </c>
      <c r="AS3406">
        <v>0.1</v>
      </c>
      <c r="AT3406" t="s">
        <v>326</v>
      </c>
      <c r="AU3406" t="s">
        <v>20647</v>
      </c>
      <c r="AV3406" t="s">
        <v>20733</v>
      </c>
    </row>
    <row r="3407" spans="1:48">
      <c r="A3407" s="1">
        <f>HYPERLINK("https://lsnyc.legalserver.org/matter/dynamic-profile/view/1903610","19-1903610")</f>
        <v>0</v>
      </c>
      <c r="B3407" t="s">
        <v>100</v>
      </c>
      <c r="C3407" t="s">
        <v>257</v>
      </c>
      <c r="D3407" t="s">
        <v>551</v>
      </c>
      <c r="E3407" t="s">
        <v>551</v>
      </c>
      <c r="F3407" t="s">
        <v>2520</v>
      </c>
      <c r="G3407" t="s">
        <v>4754</v>
      </c>
      <c r="H3407" t="s">
        <v>7308</v>
      </c>
      <c r="J3407" t="s">
        <v>9065</v>
      </c>
      <c r="K3407">
        <v>10452</v>
      </c>
      <c r="L3407" t="s">
        <v>9095</v>
      </c>
      <c r="M3407" t="s">
        <v>9095</v>
      </c>
      <c r="O3407" t="s">
        <v>9121</v>
      </c>
      <c r="P3407" t="s">
        <v>11164</v>
      </c>
      <c r="Q3407" t="s">
        <v>11172</v>
      </c>
      <c r="R3407" t="s">
        <v>11180</v>
      </c>
      <c r="S3407" t="s">
        <v>9096</v>
      </c>
      <c r="T3407" t="s">
        <v>11183</v>
      </c>
      <c r="W3407">
        <v>1764.15</v>
      </c>
      <c r="X3407" t="s">
        <v>11333</v>
      </c>
      <c r="Y3407" t="s">
        <v>11157</v>
      </c>
      <c r="Z3407" t="s">
        <v>13637</v>
      </c>
      <c r="AB3407" t="s">
        <v>17968</v>
      </c>
      <c r="AC3407">
        <v>58</v>
      </c>
      <c r="AF3407">
        <v>3</v>
      </c>
      <c r="AG3407">
        <v>2</v>
      </c>
      <c r="AH3407">
        <v>2</v>
      </c>
      <c r="AI3407">
        <v>116.5</v>
      </c>
      <c r="AL3407" t="s">
        <v>19615</v>
      </c>
      <c r="AM3407">
        <v>30000</v>
      </c>
      <c r="AS3407">
        <v>0.5</v>
      </c>
      <c r="AT3407" t="s">
        <v>551</v>
      </c>
      <c r="AU3407" t="s">
        <v>100</v>
      </c>
    </row>
    <row r="3408" spans="1:48">
      <c r="A3408" s="1">
        <f>HYPERLINK("https://lsnyc.legalserver.org/matter/dynamic-profile/view/1903566","19-1903566")</f>
        <v>0</v>
      </c>
      <c r="B3408" t="s">
        <v>137</v>
      </c>
      <c r="C3408" t="s">
        <v>256</v>
      </c>
      <c r="D3408" t="s">
        <v>750</v>
      </c>
      <c r="F3408" t="s">
        <v>1336</v>
      </c>
      <c r="G3408" t="s">
        <v>4517</v>
      </c>
      <c r="H3408" t="s">
        <v>7309</v>
      </c>
      <c r="I3408">
        <v>21</v>
      </c>
      <c r="J3408" t="s">
        <v>9067</v>
      </c>
      <c r="K3408">
        <v>10034</v>
      </c>
      <c r="L3408" t="s">
        <v>9094</v>
      </c>
      <c r="M3408" t="s">
        <v>9095</v>
      </c>
      <c r="N3408" t="s">
        <v>9709</v>
      </c>
      <c r="O3408" t="s">
        <v>11130</v>
      </c>
      <c r="P3408" t="s">
        <v>11165</v>
      </c>
      <c r="R3408" t="s">
        <v>11180</v>
      </c>
      <c r="S3408" t="s">
        <v>9094</v>
      </c>
      <c r="T3408" t="s">
        <v>11183</v>
      </c>
      <c r="V3408" t="s">
        <v>750</v>
      </c>
      <c r="W3408">
        <v>1540</v>
      </c>
      <c r="X3408" t="s">
        <v>11335</v>
      </c>
      <c r="Y3408" t="s">
        <v>11340</v>
      </c>
      <c r="Z3408" t="s">
        <v>13638</v>
      </c>
      <c r="AB3408" t="s">
        <v>17969</v>
      </c>
      <c r="AC3408">
        <v>20</v>
      </c>
      <c r="AD3408" t="s">
        <v>19566</v>
      </c>
      <c r="AE3408" t="s">
        <v>9144</v>
      </c>
      <c r="AF3408">
        <v>23</v>
      </c>
      <c r="AG3408">
        <v>2</v>
      </c>
      <c r="AH3408">
        <v>2</v>
      </c>
      <c r="AI3408">
        <v>116.5</v>
      </c>
      <c r="AL3408" t="s">
        <v>19615</v>
      </c>
      <c r="AM3408">
        <v>30000</v>
      </c>
      <c r="AS3408">
        <v>0</v>
      </c>
      <c r="AU3408" t="s">
        <v>130</v>
      </c>
      <c r="AV3408" t="s">
        <v>20733</v>
      </c>
    </row>
    <row r="3409" spans="1:48">
      <c r="A3409" s="1">
        <f>HYPERLINK("https://lsnyc.legalserver.org/matter/dynamic-profile/view/1896200","19-1896200")</f>
        <v>0</v>
      </c>
      <c r="B3409" t="s">
        <v>66</v>
      </c>
      <c r="C3409" t="s">
        <v>256</v>
      </c>
      <c r="D3409" t="s">
        <v>374</v>
      </c>
      <c r="F3409" t="s">
        <v>2071</v>
      </c>
      <c r="G3409" t="s">
        <v>3811</v>
      </c>
      <c r="H3409" t="s">
        <v>7310</v>
      </c>
      <c r="J3409" t="s">
        <v>9059</v>
      </c>
      <c r="K3409">
        <v>11208</v>
      </c>
      <c r="L3409" t="s">
        <v>9094</v>
      </c>
      <c r="M3409" t="s">
        <v>9094</v>
      </c>
      <c r="N3409" t="s">
        <v>10384</v>
      </c>
      <c r="O3409" t="s">
        <v>11128</v>
      </c>
      <c r="P3409" t="s">
        <v>11165</v>
      </c>
      <c r="R3409" t="s">
        <v>11180</v>
      </c>
      <c r="S3409" t="s">
        <v>9096</v>
      </c>
      <c r="T3409" t="s">
        <v>11183</v>
      </c>
      <c r="V3409" t="s">
        <v>421</v>
      </c>
      <c r="W3409">
        <v>810</v>
      </c>
      <c r="X3409" t="s">
        <v>11332</v>
      </c>
      <c r="Z3409" t="s">
        <v>13639</v>
      </c>
      <c r="AB3409" t="s">
        <v>17970</v>
      </c>
      <c r="AC3409">
        <v>0</v>
      </c>
      <c r="AF3409">
        <v>20</v>
      </c>
      <c r="AG3409">
        <v>1</v>
      </c>
      <c r="AH3409">
        <v>0</v>
      </c>
      <c r="AI3409">
        <v>116.54</v>
      </c>
      <c r="AL3409" t="s">
        <v>19615</v>
      </c>
      <c r="AM3409">
        <v>14556</v>
      </c>
      <c r="AS3409">
        <v>3.5</v>
      </c>
      <c r="AT3409" t="s">
        <v>615</v>
      </c>
      <c r="AU3409" t="s">
        <v>215</v>
      </c>
    </row>
    <row r="3410" spans="1:48">
      <c r="A3410" s="1">
        <f>HYPERLINK("https://lsnyc.legalserver.org/matter/dynamic-profile/view/1906962","19-1906962")</f>
        <v>0</v>
      </c>
      <c r="B3410" t="s">
        <v>66</v>
      </c>
      <c r="C3410" t="s">
        <v>256</v>
      </c>
      <c r="D3410" t="s">
        <v>370</v>
      </c>
      <c r="F3410" t="s">
        <v>2071</v>
      </c>
      <c r="G3410" t="s">
        <v>3811</v>
      </c>
      <c r="H3410" t="s">
        <v>7310</v>
      </c>
      <c r="J3410" t="s">
        <v>9059</v>
      </c>
      <c r="K3410">
        <v>11208</v>
      </c>
      <c r="L3410" t="s">
        <v>9094</v>
      </c>
      <c r="M3410" t="s">
        <v>9095</v>
      </c>
      <c r="O3410" t="s">
        <v>11156</v>
      </c>
      <c r="P3410" t="s">
        <v>11168</v>
      </c>
      <c r="R3410" t="s">
        <v>11180</v>
      </c>
      <c r="S3410" t="s">
        <v>9096</v>
      </c>
      <c r="T3410" t="s">
        <v>11183</v>
      </c>
      <c r="V3410" t="s">
        <v>370</v>
      </c>
      <c r="W3410">
        <v>0</v>
      </c>
      <c r="X3410" t="s">
        <v>11332</v>
      </c>
      <c r="Z3410" t="s">
        <v>13639</v>
      </c>
      <c r="AB3410" t="s">
        <v>17970</v>
      </c>
      <c r="AC3410">
        <v>4</v>
      </c>
      <c r="AF3410">
        <v>0</v>
      </c>
      <c r="AG3410">
        <v>1</v>
      </c>
      <c r="AH3410">
        <v>0</v>
      </c>
      <c r="AI3410">
        <v>116.54</v>
      </c>
      <c r="AL3410" t="s">
        <v>19615</v>
      </c>
      <c r="AM3410">
        <v>14556</v>
      </c>
      <c r="AS3410">
        <v>0</v>
      </c>
      <c r="AU3410" t="s">
        <v>215</v>
      </c>
      <c r="AV3410" t="s">
        <v>20733</v>
      </c>
    </row>
    <row r="3411" spans="1:48">
      <c r="A3411" s="1">
        <f>HYPERLINK("https://lsnyc.legalserver.org/matter/dynamic-profile/view/1878708","18-1878708")</f>
        <v>0</v>
      </c>
      <c r="B3411" t="s">
        <v>48</v>
      </c>
      <c r="C3411" t="s">
        <v>256</v>
      </c>
      <c r="D3411" t="s">
        <v>346</v>
      </c>
      <c r="F3411" t="s">
        <v>2521</v>
      </c>
      <c r="G3411" t="s">
        <v>4755</v>
      </c>
      <c r="H3411" t="s">
        <v>6422</v>
      </c>
      <c r="I3411">
        <v>405</v>
      </c>
      <c r="J3411" t="s">
        <v>9037</v>
      </c>
      <c r="K3411">
        <v>11692</v>
      </c>
      <c r="L3411" t="s">
        <v>9094</v>
      </c>
      <c r="M3411" t="s">
        <v>9094</v>
      </c>
      <c r="N3411" t="s">
        <v>10385</v>
      </c>
      <c r="O3411" t="s">
        <v>11129</v>
      </c>
      <c r="P3411" t="s">
        <v>11164</v>
      </c>
      <c r="R3411" t="s">
        <v>11180</v>
      </c>
      <c r="S3411" t="s">
        <v>9096</v>
      </c>
      <c r="T3411" t="s">
        <v>11183</v>
      </c>
      <c r="U3411" t="s">
        <v>11201</v>
      </c>
      <c r="V3411" t="s">
        <v>346</v>
      </c>
      <c r="W3411">
        <v>1500</v>
      </c>
      <c r="X3411" t="s">
        <v>11331</v>
      </c>
      <c r="Y3411" t="s">
        <v>11336</v>
      </c>
      <c r="Z3411" t="s">
        <v>13640</v>
      </c>
      <c r="AA3411" t="s">
        <v>15788</v>
      </c>
      <c r="AB3411" t="s">
        <v>17971</v>
      </c>
      <c r="AC3411">
        <v>103</v>
      </c>
      <c r="AD3411" t="s">
        <v>19571</v>
      </c>
      <c r="AE3411" t="s">
        <v>19580</v>
      </c>
      <c r="AF3411">
        <v>32</v>
      </c>
      <c r="AG3411">
        <v>2</v>
      </c>
      <c r="AH3411">
        <v>0</v>
      </c>
      <c r="AI3411">
        <v>116.65</v>
      </c>
      <c r="AL3411" t="s">
        <v>19614</v>
      </c>
      <c r="AM3411">
        <v>19200</v>
      </c>
      <c r="AS3411">
        <v>1.25</v>
      </c>
      <c r="AT3411" t="s">
        <v>363</v>
      </c>
      <c r="AU3411" t="s">
        <v>81</v>
      </c>
    </row>
    <row r="3412" spans="1:48">
      <c r="A3412" s="1">
        <f>HYPERLINK("https://lsnyc.legalserver.org/matter/dynamic-profile/view/1904900","19-1904900")</f>
        <v>0</v>
      </c>
      <c r="B3412" t="s">
        <v>147</v>
      </c>
      <c r="C3412" t="s">
        <v>256</v>
      </c>
      <c r="D3412" t="s">
        <v>372</v>
      </c>
      <c r="F3412" t="s">
        <v>1173</v>
      </c>
      <c r="G3412" t="s">
        <v>3993</v>
      </c>
      <c r="H3412" t="s">
        <v>7311</v>
      </c>
      <c r="I3412">
        <v>1</v>
      </c>
      <c r="J3412" t="s">
        <v>9066</v>
      </c>
      <c r="K3412">
        <v>10301</v>
      </c>
      <c r="L3412" t="s">
        <v>9094</v>
      </c>
      <c r="M3412" t="s">
        <v>9095</v>
      </c>
      <c r="N3412" t="s">
        <v>10386</v>
      </c>
      <c r="O3412" t="s">
        <v>11129</v>
      </c>
      <c r="P3412" t="s">
        <v>11165</v>
      </c>
      <c r="R3412" t="s">
        <v>11180</v>
      </c>
      <c r="S3412" t="s">
        <v>9096</v>
      </c>
      <c r="T3412" t="s">
        <v>11183</v>
      </c>
      <c r="U3412" t="s">
        <v>11201</v>
      </c>
      <c r="V3412" t="s">
        <v>372</v>
      </c>
      <c r="W3412">
        <v>355</v>
      </c>
      <c r="X3412" t="s">
        <v>11334</v>
      </c>
      <c r="Y3412" t="s">
        <v>11345</v>
      </c>
      <c r="Z3412" t="s">
        <v>13641</v>
      </c>
      <c r="AB3412" t="s">
        <v>17972</v>
      </c>
      <c r="AC3412">
        <v>10</v>
      </c>
      <c r="AD3412" t="s">
        <v>19565</v>
      </c>
      <c r="AE3412" t="s">
        <v>19581</v>
      </c>
      <c r="AF3412">
        <v>2</v>
      </c>
      <c r="AG3412">
        <v>1</v>
      </c>
      <c r="AH3412">
        <v>0</v>
      </c>
      <c r="AI3412">
        <v>116.83</v>
      </c>
      <c r="AL3412" t="s">
        <v>19614</v>
      </c>
      <c r="AM3412">
        <v>14592</v>
      </c>
      <c r="AO3412" t="s">
        <v>20299</v>
      </c>
      <c r="AP3412" t="s">
        <v>11157</v>
      </c>
      <c r="AQ3412" t="s">
        <v>20368</v>
      </c>
      <c r="AR3412" t="s">
        <v>20449</v>
      </c>
      <c r="AS3412">
        <v>6.8</v>
      </c>
      <c r="AT3412" t="s">
        <v>484</v>
      </c>
      <c r="AU3412" t="s">
        <v>20653</v>
      </c>
      <c r="AV3412" t="s">
        <v>20733</v>
      </c>
    </row>
    <row r="3413" spans="1:48">
      <c r="A3413" s="1">
        <f>HYPERLINK("https://lsnyc.legalserver.org/matter/dynamic-profile/view/1901246","19-1901246")</f>
        <v>0</v>
      </c>
      <c r="B3413" t="s">
        <v>188</v>
      </c>
      <c r="C3413" t="s">
        <v>257</v>
      </c>
      <c r="D3413" t="s">
        <v>422</v>
      </c>
      <c r="E3413" t="s">
        <v>331</v>
      </c>
      <c r="F3413" t="s">
        <v>1426</v>
      </c>
      <c r="G3413" t="s">
        <v>4756</v>
      </c>
      <c r="H3413" t="s">
        <v>7312</v>
      </c>
      <c r="I3413" t="s">
        <v>8169</v>
      </c>
      <c r="J3413" t="s">
        <v>9067</v>
      </c>
      <c r="K3413">
        <v>10039</v>
      </c>
      <c r="L3413" t="s">
        <v>9094</v>
      </c>
      <c r="M3413" t="s">
        <v>9095</v>
      </c>
      <c r="N3413" t="s">
        <v>10387</v>
      </c>
      <c r="O3413" t="s">
        <v>11129</v>
      </c>
      <c r="P3413" t="s">
        <v>11169</v>
      </c>
      <c r="Q3413" t="s">
        <v>11172</v>
      </c>
      <c r="R3413" t="s">
        <v>11180</v>
      </c>
      <c r="S3413" t="s">
        <v>9096</v>
      </c>
      <c r="T3413" t="s">
        <v>11183</v>
      </c>
      <c r="V3413" t="s">
        <v>422</v>
      </c>
      <c r="W3413">
        <v>798</v>
      </c>
      <c r="X3413" t="s">
        <v>11335</v>
      </c>
      <c r="Y3413" t="s">
        <v>11336</v>
      </c>
      <c r="Z3413" t="s">
        <v>13642</v>
      </c>
      <c r="AA3413" t="s">
        <v>15789</v>
      </c>
      <c r="AB3413" t="s">
        <v>17973</v>
      </c>
      <c r="AC3413">
        <v>0</v>
      </c>
      <c r="AD3413" t="s">
        <v>19566</v>
      </c>
      <c r="AE3413" t="s">
        <v>19587</v>
      </c>
      <c r="AF3413">
        <v>25</v>
      </c>
      <c r="AG3413">
        <v>1</v>
      </c>
      <c r="AH3413">
        <v>0</v>
      </c>
      <c r="AI3413">
        <v>116.83</v>
      </c>
      <c r="AL3413" t="s">
        <v>19614</v>
      </c>
      <c r="AM3413">
        <v>14592</v>
      </c>
      <c r="AS3413">
        <v>0.6</v>
      </c>
      <c r="AT3413" t="s">
        <v>476</v>
      </c>
      <c r="AU3413" t="s">
        <v>20659</v>
      </c>
      <c r="AV3413" t="s">
        <v>20734</v>
      </c>
    </row>
    <row r="3414" spans="1:48">
      <c r="A3414" s="1">
        <f>HYPERLINK("https://lsnyc.legalserver.org/matter/dynamic-profile/view/1883207","18-1883207")</f>
        <v>0</v>
      </c>
      <c r="B3414" t="s">
        <v>67</v>
      </c>
      <c r="C3414" t="s">
        <v>257</v>
      </c>
      <c r="D3414" t="s">
        <v>407</v>
      </c>
      <c r="E3414" t="s">
        <v>779</v>
      </c>
      <c r="F3414" t="s">
        <v>2522</v>
      </c>
      <c r="G3414" t="s">
        <v>4757</v>
      </c>
      <c r="H3414" t="s">
        <v>6835</v>
      </c>
      <c r="I3414" t="s">
        <v>8732</v>
      </c>
      <c r="J3414" t="s">
        <v>9059</v>
      </c>
      <c r="K3414">
        <v>11226</v>
      </c>
      <c r="L3414" t="s">
        <v>9095</v>
      </c>
      <c r="M3414" t="s">
        <v>9095</v>
      </c>
      <c r="Q3414" t="s">
        <v>11172</v>
      </c>
      <c r="R3414" t="s">
        <v>11180</v>
      </c>
      <c r="T3414" t="s">
        <v>11183</v>
      </c>
      <c r="W3414">
        <v>0</v>
      </c>
      <c r="X3414" t="s">
        <v>11332</v>
      </c>
      <c r="Z3414" t="s">
        <v>13643</v>
      </c>
      <c r="AB3414" t="s">
        <v>17974</v>
      </c>
      <c r="AC3414">
        <v>0</v>
      </c>
      <c r="AF3414">
        <v>0</v>
      </c>
      <c r="AG3414">
        <v>1</v>
      </c>
      <c r="AH3414">
        <v>0</v>
      </c>
      <c r="AI3414">
        <v>116.84</v>
      </c>
      <c r="AL3414" t="s">
        <v>19614</v>
      </c>
      <c r="AM3414">
        <v>14184</v>
      </c>
      <c r="AN3414" t="s">
        <v>19953</v>
      </c>
      <c r="AS3414">
        <v>1.7</v>
      </c>
      <c r="AT3414" t="s">
        <v>779</v>
      </c>
      <c r="AU3414" t="s">
        <v>67</v>
      </c>
    </row>
    <row r="3415" spans="1:48">
      <c r="A3415" s="1">
        <f>HYPERLINK("https://lsnyc.legalserver.org/matter/dynamic-profile/view/0802598","16-0802598")</f>
        <v>0</v>
      </c>
      <c r="B3415" t="s">
        <v>111</v>
      </c>
      <c r="C3415" t="s">
        <v>256</v>
      </c>
      <c r="D3415" t="s">
        <v>641</v>
      </c>
      <c r="F3415" t="s">
        <v>1433</v>
      </c>
      <c r="G3415" t="s">
        <v>1404</v>
      </c>
      <c r="H3415" t="s">
        <v>6104</v>
      </c>
      <c r="I3415" t="s">
        <v>8688</v>
      </c>
      <c r="J3415" t="s">
        <v>9065</v>
      </c>
      <c r="K3415">
        <v>10452</v>
      </c>
      <c r="L3415" t="s">
        <v>9094</v>
      </c>
      <c r="M3415" t="s">
        <v>9095</v>
      </c>
      <c r="O3415" t="s">
        <v>11132</v>
      </c>
      <c r="P3415" t="s">
        <v>11165</v>
      </c>
      <c r="R3415" t="s">
        <v>11180</v>
      </c>
      <c r="S3415" t="s">
        <v>9094</v>
      </c>
      <c r="T3415" t="s">
        <v>11183</v>
      </c>
      <c r="V3415" t="s">
        <v>1005</v>
      </c>
      <c r="W3415">
        <v>840</v>
      </c>
      <c r="X3415" t="s">
        <v>11333</v>
      </c>
      <c r="Y3415" t="s">
        <v>11346</v>
      </c>
      <c r="Z3415" t="s">
        <v>13594</v>
      </c>
      <c r="AB3415" t="s">
        <v>17934</v>
      </c>
      <c r="AC3415">
        <v>0</v>
      </c>
      <c r="AD3415" t="s">
        <v>19566</v>
      </c>
      <c r="AF3415">
        <v>18</v>
      </c>
      <c r="AG3415">
        <v>2</v>
      </c>
      <c r="AH3415">
        <v>0</v>
      </c>
      <c r="AI3415">
        <v>116.85</v>
      </c>
      <c r="AL3415" t="s">
        <v>19614</v>
      </c>
      <c r="AM3415">
        <v>18720</v>
      </c>
      <c r="AS3415">
        <v>0.2</v>
      </c>
      <c r="AT3415" t="s">
        <v>805</v>
      </c>
      <c r="AU3415" t="s">
        <v>109</v>
      </c>
    </row>
    <row r="3416" spans="1:48">
      <c r="A3416" s="1">
        <f>HYPERLINK("https://lsnyc.legalserver.org/matter/dynamic-profile/view/0820488","16-0820488")</f>
        <v>0</v>
      </c>
      <c r="B3416" t="s">
        <v>101</v>
      </c>
      <c r="C3416" t="s">
        <v>256</v>
      </c>
      <c r="D3416" t="s">
        <v>889</v>
      </c>
      <c r="F3416" t="s">
        <v>2523</v>
      </c>
      <c r="G3416" t="s">
        <v>3762</v>
      </c>
      <c r="H3416" t="s">
        <v>5898</v>
      </c>
      <c r="I3416" t="s">
        <v>8570</v>
      </c>
      <c r="J3416" t="s">
        <v>9065</v>
      </c>
      <c r="K3416">
        <v>10452</v>
      </c>
      <c r="L3416" t="s">
        <v>9094</v>
      </c>
      <c r="M3416" t="s">
        <v>9095</v>
      </c>
      <c r="O3416" t="s">
        <v>11132</v>
      </c>
      <c r="P3416" t="s">
        <v>11165</v>
      </c>
      <c r="R3416" t="s">
        <v>11180</v>
      </c>
      <c r="S3416" t="s">
        <v>9094</v>
      </c>
      <c r="T3416" t="s">
        <v>11183</v>
      </c>
      <c r="V3416" t="s">
        <v>11225</v>
      </c>
      <c r="W3416">
        <v>1131.18</v>
      </c>
      <c r="X3416" t="s">
        <v>11333</v>
      </c>
      <c r="Y3416" t="s">
        <v>11338</v>
      </c>
      <c r="Z3416" t="s">
        <v>13644</v>
      </c>
      <c r="AB3416" t="s">
        <v>17975</v>
      </c>
      <c r="AC3416">
        <v>130</v>
      </c>
      <c r="AD3416" t="s">
        <v>19566</v>
      </c>
      <c r="AF3416">
        <v>3</v>
      </c>
      <c r="AG3416">
        <v>1</v>
      </c>
      <c r="AH3416">
        <v>1</v>
      </c>
      <c r="AI3416">
        <v>116.85</v>
      </c>
      <c r="AL3416" t="s">
        <v>19615</v>
      </c>
      <c r="AM3416">
        <v>18720</v>
      </c>
      <c r="AS3416">
        <v>0.1</v>
      </c>
      <c r="AT3416" t="s">
        <v>19591</v>
      </c>
      <c r="AU3416" t="s">
        <v>20643</v>
      </c>
    </row>
    <row r="3417" spans="1:48">
      <c r="A3417" s="1">
        <f>HYPERLINK("https://lsnyc.legalserver.org/matter/dynamic-profile/view/1895283","19-1895283")</f>
        <v>0</v>
      </c>
      <c r="B3417" t="s">
        <v>76</v>
      </c>
      <c r="C3417" t="s">
        <v>256</v>
      </c>
      <c r="D3417" t="s">
        <v>393</v>
      </c>
      <c r="F3417" t="s">
        <v>2524</v>
      </c>
      <c r="G3417" t="s">
        <v>3971</v>
      </c>
      <c r="H3417" t="s">
        <v>5815</v>
      </c>
      <c r="I3417" t="s">
        <v>8229</v>
      </c>
      <c r="J3417" t="s">
        <v>9059</v>
      </c>
      <c r="K3417">
        <v>11212</v>
      </c>
      <c r="L3417" t="s">
        <v>9094</v>
      </c>
      <c r="M3417" t="s">
        <v>9096</v>
      </c>
      <c r="N3417" t="s">
        <v>9121</v>
      </c>
      <c r="O3417" t="s">
        <v>11137</v>
      </c>
      <c r="P3417" t="s">
        <v>11167</v>
      </c>
      <c r="R3417" t="s">
        <v>11180</v>
      </c>
      <c r="S3417" t="s">
        <v>9094</v>
      </c>
      <c r="T3417" t="s">
        <v>11186</v>
      </c>
      <c r="U3417" t="s">
        <v>11201</v>
      </c>
      <c r="V3417" t="s">
        <v>706</v>
      </c>
      <c r="W3417">
        <v>1326</v>
      </c>
      <c r="X3417" t="s">
        <v>11332</v>
      </c>
      <c r="Y3417" t="s">
        <v>11157</v>
      </c>
      <c r="Z3417" t="s">
        <v>13645</v>
      </c>
      <c r="AA3417" t="s">
        <v>15790</v>
      </c>
      <c r="AC3417">
        <v>16</v>
      </c>
      <c r="AD3417" t="s">
        <v>19566</v>
      </c>
      <c r="AE3417" t="s">
        <v>19582</v>
      </c>
      <c r="AF3417">
        <v>3</v>
      </c>
      <c r="AG3417">
        <v>1</v>
      </c>
      <c r="AH3417">
        <v>1</v>
      </c>
      <c r="AI3417">
        <v>116.88</v>
      </c>
      <c r="AL3417" t="s">
        <v>19614</v>
      </c>
      <c r="AM3417">
        <v>19764</v>
      </c>
      <c r="AS3417">
        <v>3.6</v>
      </c>
      <c r="AT3417" t="s">
        <v>339</v>
      </c>
      <c r="AU3417" t="s">
        <v>79</v>
      </c>
      <c r="AV3417" t="s">
        <v>20734</v>
      </c>
    </row>
    <row r="3418" spans="1:48">
      <c r="A3418" s="1">
        <f>HYPERLINK("https://lsnyc.legalserver.org/matter/dynamic-profile/view/1901083","19-1901083")</f>
        <v>0</v>
      </c>
      <c r="B3418" t="s">
        <v>165</v>
      </c>
      <c r="C3418" t="s">
        <v>256</v>
      </c>
      <c r="D3418" t="s">
        <v>394</v>
      </c>
      <c r="F3418" t="s">
        <v>2524</v>
      </c>
      <c r="G3418" t="s">
        <v>3971</v>
      </c>
      <c r="H3418" t="s">
        <v>5815</v>
      </c>
      <c r="I3418" t="s">
        <v>8229</v>
      </c>
      <c r="J3418" t="s">
        <v>9059</v>
      </c>
      <c r="K3418">
        <v>11212</v>
      </c>
      <c r="L3418" t="s">
        <v>9094</v>
      </c>
      <c r="M3418" t="s">
        <v>9095</v>
      </c>
      <c r="N3418" t="s">
        <v>10388</v>
      </c>
      <c r="O3418" t="s">
        <v>11129</v>
      </c>
      <c r="P3418" t="s">
        <v>11165</v>
      </c>
      <c r="R3418" t="s">
        <v>11180</v>
      </c>
      <c r="S3418" t="s">
        <v>9096</v>
      </c>
      <c r="T3418" t="s">
        <v>11183</v>
      </c>
      <c r="U3418" t="s">
        <v>11201</v>
      </c>
      <c r="V3418" t="s">
        <v>394</v>
      </c>
      <c r="W3418">
        <v>1326</v>
      </c>
      <c r="X3418" t="s">
        <v>11332</v>
      </c>
      <c r="Y3418" t="s">
        <v>11157</v>
      </c>
      <c r="Z3418" t="s">
        <v>13645</v>
      </c>
      <c r="AA3418" t="s">
        <v>15287</v>
      </c>
      <c r="AC3418">
        <v>16</v>
      </c>
      <c r="AD3418" t="s">
        <v>19566</v>
      </c>
      <c r="AE3418" t="s">
        <v>19581</v>
      </c>
      <c r="AF3418">
        <v>3</v>
      </c>
      <c r="AG3418">
        <v>1</v>
      </c>
      <c r="AH3418">
        <v>1</v>
      </c>
      <c r="AI3418">
        <v>116.88</v>
      </c>
      <c r="AL3418" t="s">
        <v>19614</v>
      </c>
      <c r="AM3418">
        <v>19764</v>
      </c>
      <c r="AN3418" t="s">
        <v>19954</v>
      </c>
      <c r="AS3418">
        <v>14.5</v>
      </c>
      <c r="AT3418" t="s">
        <v>612</v>
      </c>
      <c r="AU3418" t="s">
        <v>95</v>
      </c>
      <c r="AV3418" t="s">
        <v>20733</v>
      </c>
    </row>
    <row r="3419" spans="1:48">
      <c r="A3419" s="1">
        <f>HYPERLINK("https://lsnyc.legalserver.org/matter/dynamic-profile/view/1901077","19-1901077")</f>
        <v>0</v>
      </c>
      <c r="B3419" t="s">
        <v>76</v>
      </c>
      <c r="C3419" t="s">
        <v>256</v>
      </c>
      <c r="D3419" t="s">
        <v>394</v>
      </c>
      <c r="F3419" t="s">
        <v>2524</v>
      </c>
      <c r="G3419" t="s">
        <v>3971</v>
      </c>
      <c r="H3419" t="s">
        <v>5815</v>
      </c>
      <c r="I3419" t="s">
        <v>8229</v>
      </c>
      <c r="J3419" t="s">
        <v>9059</v>
      </c>
      <c r="K3419">
        <v>11212</v>
      </c>
      <c r="L3419" t="s">
        <v>9094</v>
      </c>
      <c r="M3419" t="s">
        <v>9095</v>
      </c>
      <c r="N3419" t="s">
        <v>9182</v>
      </c>
      <c r="O3419" t="s">
        <v>11141</v>
      </c>
      <c r="P3419" t="s">
        <v>11170</v>
      </c>
      <c r="R3419" t="s">
        <v>11180</v>
      </c>
      <c r="S3419" t="s">
        <v>9094</v>
      </c>
      <c r="T3419" t="s">
        <v>11183</v>
      </c>
      <c r="U3419" t="s">
        <v>11201</v>
      </c>
      <c r="V3419" t="s">
        <v>264</v>
      </c>
      <c r="W3419">
        <v>1326</v>
      </c>
      <c r="X3419" t="s">
        <v>11332</v>
      </c>
      <c r="Y3419" t="s">
        <v>11157</v>
      </c>
      <c r="Z3419" t="s">
        <v>13645</v>
      </c>
      <c r="AA3419" t="s">
        <v>15791</v>
      </c>
      <c r="AC3419">
        <v>16</v>
      </c>
      <c r="AD3419" t="s">
        <v>19566</v>
      </c>
      <c r="AE3419" t="s">
        <v>19581</v>
      </c>
      <c r="AF3419">
        <v>3</v>
      </c>
      <c r="AG3419">
        <v>1</v>
      </c>
      <c r="AH3419">
        <v>1</v>
      </c>
      <c r="AI3419">
        <v>116.88</v>
      </c>
      <c r="AL3419" t="s">
        <v>19614</v>
      </c>
      <c r="AM3419">
        <v>19764</v>
      </c>
      <c r="AN3419" t="s">
        <v>19954</v>
      </c>
      <c r="AS3419">
        <v>0</v>
      </c>
      <c r="AU3419" t="s">
        <v>95</v>
      </c>
      <c r="AV3419" t="s">
        <v>20733</v>
      </c>
    </row>
    <row r="3420" spans="1:48">
      <c r="A3420" s="1">
        <f>HYPERLINK("https://lsnyc.legalserver.org/matter/dynamic-profile/view/0789072","15-0789072")</f>
        <v>0</v>
      </c>
      <c r="B3420" t="s">
        <v>108</v>
      </c>
      <c r="C3420" t="s">
        <v>256</v>
      </c>
      <c r="D3420" t="s">
        <v>580</v>
      </c>
      <c r="F3420" t="s">
        <v>1961</v>
      </c>
      <c r="G3420" t="s">
        <v>4737</v>
      </c>
      <c r="H3420" t="s">
        <v>5897</v>
      </c>
      <c r="I3420" t="s">
        <v>8723</v>
      </c>
      <c r="J3420" t="s">
        <v>9065</v>
      </c>
      <c r="K3420">
        <v>10452</v>
      </c>
      <c r="L3420" t="s">
        <v>9094</v>
      </c>
      <c r="M3420" t="s">
        <v>9095</v>
      </c>
      <c r="N3420" t="s">
        <v>9250</v>
      </c>
      <c r="O3420" t="s">
        <v>11132</v>
      </c>
      <c r="P3420" t="s">
        <v>11165</v>
      </c>
      <c r="R3420" t="s">
        <v>11180</v>
      </c>
      <c r="S3420" t="s">
        <v>9094</v>
      </c>
      <c r="T3420" t="s">
        <v>11183</v>
      </c>
      <c r="V3420" t="s">
        <v>580</v>
      </c>
      <c r="W3420">
        <v>1011.05</v>
      </c>
      <c r="X3420" t="s">
        <v>11333</v>
      </c>
      <c r="Y3420" t="s">
        <v>11347</v>
      </c>
      <c r="Z3420" t="s">
        <v>13605</v>
      </c>
      <c r="AB3420" t="s">
        <v>17943</v>
      </c>
      <c r="AC3420">
        <v>0</v>
      </c>
      <c r="AD3420" t="s">
        <v>19566</v>
      </c>
      <c r="AE3420" t="s">
        <v>19587</v>
      </c>
      <c r="AF3420">
        <v>24</v>
      </c>
      <c r="AG3420">
        <v>2</v>
      </c>
      <c r="AH3420">
        <v>0</v>
      </c>
      <c r="AI3420">
        <v>116.91</v>
      </c>
      <c r="AL3420" t="s">
        <v>19615</v>
      </c>
      <c r="AM3420">
        <v>18624</v>
      </c>
      <c r="AS3420">
        <v>0.5</v>
      </c>
      <c r="AT3420" t="s">
        <v>11224</v>
      </c>
      <c r="AU3420" t="s">
        <v>109</v>
      </c>
    </row>
    <row r="3421" spans="1:48">
      <c r="A3421" s="1">
        <f>HYPERLINK("https://lsnyc.legalserver.org/matter/dynamic-profile/view/1836743","17-1836743")</f>
        <v>0</v>
      </c>
      <c r="B3421" t="s">
        <v>139</v>
      </c>
      <c r="C3421" t="s">
        <v>256</v>
      </c>
      <c r="D3421" t="s">
        <v>740</v>
      </c>
      <c r="F3421" t="s">
        <v>2525</v>
      </c>
      <c r="G3421" t="s">
        <v>4176</v>
      </c>
      <c r="H3421" t="s">
        <v>5948</v>
      </c>
      <c r="I3421" t="s">
        <v>8733</v>
      </c>
      <c r="J3421" t="s">
        <v>9067</v>
      </c>
      <c r="K3421">
        <v>10034</v>
      </c>
      <c r="L3421" t="s">
        <v>9094</v>
      </c>
      <c r="M3421" t="s">
        <v>9095</v>
      </c>
      <c r="O3421" t="s">
        <v>9121</v>
      </c>
      <c r="P3421" t="s">
        <v>11166</v>
      </c>
      <c r="R3421" t="s">
        <v>11180</v>
      </c>
      <c r="S3421" t="s">
        <v>9094</v>
      </c>
      <c r="T3421" t="s">
        <v>11183</v>
      </c>
      <c r="V3421" t="s">
        <v>878</v>
      </c>
      <c r="W3421">
        <v>1225</v>
      </c>
      <c r="X3421" t="s">
        <v>11335</v>
      </c>
      <c r="Y3421" t="s">
        <v>11339</v>
      </c>
      <c r="Z3421" t="s">
        <v>13646</v>
      </c>
      <c r="AB3421" t="s">
        <v>17976</v>
      </c>
      <c r="AC3421">
        <v>50</v>
      </c>
      <c r="AD3421" t="s">
        <v>19566</v>
      </c>
      <c r="AE3421" t="s">
        <v>9144</v>
      </c>
      <c r="AF3421">
        <v>24</v>
      </c>
      <c r="AG3421">
        <v>3</v>
      </c>
      <c r="AH3421">
        <v>0</v>
      </c>
      <c r="AI3421">
        <v>117.06</v>
      </c>
      <c r="AL3421" t="s">
        <v>19615</v>
      </c>
      <c r="AM3421">
        <v>23904</v>
      </c>
      <c r="AS3421">
        <v>1.3</v>
      </c>
      <c r="AT3421" t="s">
        <v>746</v>
      </c>
      <c r="AU3421" t="s">
        <v>20657</v>
      </c>
    </row>
    <row r="3422" spans="1:48">
      <c r="A3422" s="1">
        <f>HYPERLINK("https://lsnyc.legalserver.org/matter/dynamic-profile/view/1841593","17-1841593")</f>
        <v>0</v>
      </c>
      <c r="B3422" t="s">
        <v>236</v>
      </c>
      <c r="C3422" t="s">
        <v>257</v>
      </c>
      <c r="D3422" t="s">
        <v>613</v>
      </c>
      <c r="E3422" t="s">
        <v>615</v>
      </c>
      <c r="F3422" t="s">
        <v>1793</v>
      </c>
      <c r="G3422" t="s">
        <v>3650</v>
      </c>
      <c r="H3422" t="s">
        <v>7313</v>
      </c>
      <c r="I3422" t="s">
        <v>8132</v>
      </c>
      <c r="J3422" t="s">
        <v>9059</v>
      </c>
      <c r="K3422">
        <v>11239</v>
      </c>
      <c r="L3422" t="s">
        <v>9094</v>
      </c>
      <c r="M3422" t="s">
        <v>9095</v>
      </c>
      <c r="P3422" t="s">
        <v>11169</v>
      </c>
      <c r="Q3422" t="s">
        <v>11176</v>
      </c>
      <c r="R3422" t="s">
        <v>11180</v>
      </c>
      <c r="S3422" t="s">
        <v>9094</v>
      </c>
      <c r="T3422" t="s">
        <v>11183</v>
      </c>
      <c r="V3422" t="s">
        <v>613</v>
      </c>
      <c r="W3422">
        <v>0</v>
      </c>
      <c r="X3422" t="s">
        <v>11332</v>
      </c>
      <c r="Y3422" t="s">
        <v>11346</v>
      </c>
      <c r="Z3422" t="s">
        <v>13647</v>
      </c>
      <c r="AC3422">
        <v>1168</v>
      </c>
      <c r="AD3422" t="s">
        <v>19566</v>
      </c>
      <c r="AE3422" t="s">
        <v>19580</v>
      </c>
      <c r="AF3422">
        <v>26</v>
      </c>
      <c r="AG3422">
        <v>1</v>
      </c>
      <c r="AH3422">
        <v>0</v>
      </c>
      <c r="AI3422">
        <v>117.11</v>
      </c>
      <c r="AJ3422" t="s">
        <v>861</v>
      </c>
      <c r="AL3422" t="s">
        <v>19614</v>
      </c>
      <c r="AM3422">
        <v>14124</v>
      </c>
      <c r="AS3422">
        <v>1.1</v>
      </c>
      <c r="AT3422" t="s">
        <v>885</v>
      </c>
      <c r="AU3422" t="s">
        <v>85</v>
      </c>
    </row>
    <row r="3423" spans="1:48">
      <c r="A3423" s="1">
        <f>HYPERLINK("https://lsnyc.legalserver.org/matter/dynamic-profile/view/1907939","19-1907939")</f>
        <v>0</v>
      </c>
      <c r="B3423" t="s">
        <v>57</v>
      </c>
      <c r="C3423" t="s">
        <v>256</v>
      </c>
      <c r="D3423" t="s">
        <v>288</v>
      </c>
      <c r="F3423" t="s">
        <v>2519</v>
      </c>
      <c r="G3423" t="s">
        <v>2993</v>
      </c>
      <c r="H3423" t="s">
        <v>7314</v>
      </c>
      <c r="I3423" t="s">
        <v>8153</v>
      </c>
      <c r="J3423" t="s">
        <v>9039</v>
      </c>
      <c r="K3423">
        <v>11432</v>
      </c>
      <c r="L3423" t="s">
        <v>9094</v>
      </c>
      <c r="M3423" t="s">
        <v>9095</v>
      </c>
      <c r="N3423" t="s">
        <v>10389</v>
      </c>
      <c r="O3423" t="s">
        <v>11129</v>
      </c>
      <c r="P3423" t="s">
        <v>11164</v>
      </c>
      <c r="R3423" t="s">
        <v>11180</v>
      </c>
      <c r="S3423" t="s">
        <v>9096</v>
      </c>
      <c r="T3423" t="s">
        <v>11183</v>
      </c>
      <c r="U3423" t="s">
        <v>11201</v>
      </c>
      <c r="V3423" t="s">
        <v>288</v>
      </c>
      <c r="W3423">
        <v>1425</v>
      </c>
      <c r="X3423" t="s">
        <v>11331</v>
      </c>
      <c r="Y3423" t="s">
        <v>11336</v>
      </c>
      <c r="Z3423" t="s">
        <v>13648</v>
      </c>
      <c r="AB3423" t="s">
        <v>17977</v>
      </c>
      <c r="AC3423">
        <v>102</v>
      </c>
      <c r="AD3423" t="s">
        <v>19566</v>
      </c>
      <c r="AE3423" t="s">
        <v>9144</v>
      </c>
      <c r="AF3423">
        <v>3</v>
      </c>
      <c r="AG3423">
        <v>2</v>
      </c>
      <c r="AH3423">
        <v>1</v>
      </c>
      <c r="AI3423">
        <v>117.21</v>
      </c>
      <c r="AL3423" t="s">
        <v>19616</v>
      </c>
      <c r="AM3423">
        <v>25000</v>
      </c>
      <c r="AS3423">
        <v>1.95</v>
      </c>
      <c r="AT3423" t="s">
        <v>336</v>
      </c>
      <c r="AU3423" t="s">
        <v>20620</v>
      </c>
      <c r="AV3423" t="s">
        <v>20733</v>
      </c>
    </row>
    <row r="3424" spans="1:48">
      <c r="A3424" s="1">
        <f>HYPERLINK("https://lsnyc.legalserver.org/matter/dynamic-profile/view/1892416","19-1892416")</f>
        <v>0</v>
      </c>
      <c r="B3424" t="s">
        <v>92</v>
      </c>
      <c r="C3424" t="s">
        <v>257</v>
      </c>
      <c r="D3424" t="s">
        <v>635</v>
      </c>
      <c r="E3424" t="s">
        <v>414</v>
      </c>
      <c r="F3424" t="s">
        <v>2526</v>
      </c>
      <c r="G3424" t="s">
        <v>4758</v>
      </c>
      <c r="H3424" t="s">
        <v>7315</v>
      </c>
      <c r="I3424" t="s">
        <v>8170</v>
      </c>
      <c r="J3424" t="s">
        <v>9059</v>
      </c>
      <c r="K3424">
        <v>11212</v>
      </c>
      <c r="L3424" t="s">
        <v>9094</v>
      </c>
      <c r="M3424" t="s">
        <v>9094</v>
      </c>
      <c r="N3424" t="s">
        <v>9144</v>
      </c>
      <c r="O3424" t="s">
        <v>11137</v>
      </c>
      <c r="P3424" t="s">
        <v>11164</v>
      </c>
      <c r="Q3424" t="s">
        <v>11172</v>
      </c>
      <c r="R3424" t="s">
        <v>11180</v>
      </c>
      <c r="T3424" t="s">
        <v>11183</v>
      </c>
      <c r="V3424" t="s">
        <v>635</v>
      </c>
      <c r="W3424">
        <v>0</v>
      </c>
      <c r="X3424" t="s">
        <v>11332</v>
      </c>
      <c r="Z3424" t="s">
        <v>13649</v>
      </c>
      <c r="AC3424">
        <v>0</v>
      </c>
      <c r="AE3424" t="s">
        <v>9144</v>
      </c>
      <c r="AF3424">
        <v>0</v>
      </c>
      <c r="AG3424">
        <v>2</v>
      </c>
      <c r="AH3424">
        <v>1</v>
      </c>
      <c r="AI3424">
        <v>117.21</v>
      </c>
      <c r="AL3424" t="s">
        <v>19614</v>
      </c>
      <c r="AM3424">
        <v>25000</v>
      </c>
      <c r="AS3424">
        <v>5</v>
      </c>
      <c r="AT3424" t="s">
        <v>360</v>
      </c>
      <c r="AU3424" t="s">
        <v>95</v>
      </c>
    </row>
    <row r="3425" spans="1:48">
      <c r="A3425" s="1">
        <f>HYPERLINK("https://lsnyc.legalserver.org/matter/dynamic-profile/view/1907122","19-1907122")</f>
        <v>0</v>
      </c>
      <c r="B3425" t="s">
        <v>59</v>
      </c>
      <c r="C3425" t="s">
        <v>256</v>
      </c>
      <c r="D3425" t="s">
        <v>1016</v>
      </c>
      <c r="F3425" t="s">
        <v>2527</v>
      </c>
      <c r="G3425" t="s">
        <v>4759</v>
      </c>
      <c r="H3425" t="s">
        <v>7316</v>
      </c>
      <c r="I3425" t="s">
        <v>8161</v>
      </c>
      <c r="J3425" t="s">
        <v>9061</v>
      </c>
      <c r="K3425">
        <v>11103</v>
      </c>
      <c r="L3425" t="s">
        <v>9094</v>
      </c>
      <c r="M3425" t="s">
        <v>9095</v>
      </c>
      <c r="N3425" t="s">
        <v>10390</v>
      </c>
      <c r="O3425" t="s">
        <v>11134</v>
      </c>
      <c r="P3425" t="s">
        <v>11168</v>
      </c>
      <c r="R3425" t="s">
        <v>11180</v>
      </c>
      <c r="S3425" t="s">
        <v>9096</v>
      </c>
      <c r="T3425" t="s">
        <v>11183</v>
      </c>
      <c r="U3425" t="s">
        <v>11201</v>
      </c>
      <c r="V3425" t="s">
        <v>1016</v>
      </c>
      <c r="W3425">
        <v>1400</v>
      </c>
      <c r="X3425" t="s">
        <v>11331</v>
      </c>
      <c r="Y3425" t="s">
        <v>11354</v>
      </c>
      <c r="Z3425" t="s">
        <v>13650</v>
      </c>
      <c r="AB3425" t="s">
        <v>17978</v>
      </c>
      <c r="AC3425">
        <v>4</v>
      </c>
      <c r="AD3425" t="s">
        <v>19566</v>
      </c>
      <c r="AE3425" t="s">
        <v>9144</v>
      </c>
      <c r="AF3425">
        <v>9</v>
      </c>
      <c r="AG3425">
        <v>2</v>
      </c>
      <c r="AH3425">
        <v>1</v>
      </c>
      <c r="AI3425">
        <v>117.21</v>
      </c>
      <c r="AL3425" t="s">
        <v>19614</v>
      </c>
      <c r="AM3425">
        <v>25000</v>
      </c>
      <c r="AP3425" t="s">
        <v>20326</v>
      </c>
      <c r="AS3425">
        <v>1.05</v>
      </c>
      <c r="AT3425" t="s">
        <v>321</v>
      </c>
      <c r="AU3425" t="s">
        <v>59</v>
      </c>
      <c r="AV3425" t="s">
        <v>20733</v>
      </c>
    </row>
    <row r="3426" spans="1:48">
      <c r="A3426" s="1">
        <f>HYPERLINK("https://lsnyc.legalserver.org/matter/dynamic-profile/view/1902729","19-1902729")</f>
        <v>0</v>
      </c>
      <c r="B3426" t="s">
        <v>59</v>
      </c>
      <c r="C3426" t="s">
        <v>257</v>
      </c>
      <c r="D3426" t="s">
        <v>279</v>
      </c>
      <c r="E3426" t="s">
        <v>1016</v>
      </c>
      <c r="F3426" t="s">
        <v>2527</v>
      </c>
      <c r="G3426" t="s">
        <v>4759</v>
      </c>
      <c r="H3426" t="s">
        <v>7316</v>
      </c>
      <c r="I3426" t="s">
        <v>8161</v>
      </c>
      <c r="J3426" t="s">
        <v>9061</v>
      </c>
      <c r="K3426">
        <v>11103</v>
      </c>
      <c r="L3426" t="s">
        <v>9094</v>
      </c>
      <c r="M3426" t="s">
        <v>9095</v>
      </c>
      <c r="O3426" t="s">
        <v>9121</v>
      </c>
      <c r="P3426" t="s">
        <v>11167</v>
      </c>
      <c r="Q3426" t="s">
        <v>11173</v>
      </c>
      <c r="R3426" t="s">
        <v>11180</v>
      </c>
      <c r="S3426" t="s">
        <v>9096</v>
      </c>
      <c r="T3426" t="s">
        <v>11183</v>
      </c>
      <c r="U3426" t="s">
        <v>11201</v>
      </c>
      <c r="V3426" t="s">
        <v>302</v>
      </c>
      <c r="W3426">
        <v>1400</v>
      </c>
      <c r="X3426" t="s">
        <v>11331</v>
      </c>
      <c r="Y3426" t="s">
        <v>11354</v>
      </c>
      <c r="Z3426" t="s">
        <v>13650</v>
      </c>
      <c r="AA3426" t="s">
        <v>15274</v>
      </c>
      <c r="AB3426" t="s">
        <v>17978</v>
      </c>
      <c r="AC3426">
        <v>4</v>
      </c>
      <c r="AD3426" t="s">
        <v>19566</v>
      </c>
      <c r="AE3426" t="s">
        <v>9144</v>
      </c>
      <c r="AF3426">
        <v>9</v>
      </c>
      <c r="AG3426">
        <v>2</v>
      </c>
      <c r="AH3426">
        <v>1</v>
      </c>
      <c r="AI3426">
        <v>117.21</v>
      </c>
      <c r="AL3426" t="s">
        <v>19614</v>
      </c>
      <c r="AM3426">
        <v>25000</v>
      </c>
      <c r="AS3426">
        <v>3.4</v>
      </c>
      <c r="AT3426" t="s">
        <v>1016</v>
      </c>
      <c r="AU3426" t="s">
        <v>20627</v>
      </c>
      <c r="AV3426" t="s">
        <v>20733</v>
      </c>
    </row>
    <row r="3427" spans="1:48">
      <c r="A3427" s="1">
        <f>HYPERLINK("https://lsnyc.legalserver.org/matter/dynamic-profile/view/1897336","19-1897336")</f>
        <v>0</v>
      </c>
      <c r="B3427" t="s">
        <v>55</v>
      </c>
      <c r="C3427" t="s">
        <v>256</v>
      </c>
      <c r="D3427" t="s">
        <v>434</v>
      </c>
      <c r="F3427" t="s">
        <v>1209</v>
      </c>
      <c r="G3427" t="s">
        <v>4760</v>
      </c>
      <c r="H3427" t="s">
        <v>7317</v>
      </c>
      <c r="I3427" t="s">
        <v>8142</v>
      </c>
      <c r="J3427" t="s">
        <v>9063</v>
      </c>
      <c r="K3427">
        <v>11101</v>
      </c>
      <c r="L3427" t="s">
        <v>9094</v>
      </c>
      <c r="M3427" t="s">
        <v>9094</v>
      </c>
      <c r="N3427" t="s">
        <v>10391</v>
      </c>
      <c r="O3427" t="s">
        <v>11128</v>
      </c>
      <c r="P3427" t="s">
        <v>11165</v>
      </c>
      <c r="R3427" t="s">
        <v>11180</v>
      </c>
      <c r="S3427" t="s">
        <v>9096</v>
      </c>
      <c r="T3427" t="s">
        <v>11183</v>
      </c>
      <c r="U3427" t="s">
        <v>11202</v>
      </c>
      <c r="V3427" t="s">
        <v>434</v>
      </c>
      <c r="W3427">
        <v>1311</v>
      </c>
      <c r="X3427" t="s">
        <v>11331</v>
      </c>
      <c r="Y3427" t="s">
        <v>11336</v>
      </c>
      <c r="Z3427" t="s">
        <v>13651</v>
      </c>
      <c r="AB3427" t="s">
        <v>17979</v>
      </c>
      <c r="AC3427">
        <v>7</v>
      </c>
      <c r="AD3427" t="s">
        <v>19566</v>
      </c>
      <c r="AE3427" t="s">
        <v>9144</v>
      </c>
      <c r="AF3427">
        <v>21</v>
      </c>
      <c r="AG3427">
        <v>2</v>
      </c>
      <c r="AH3427">
        <v>1</v>
      </c>
      <c r="AI3427">
        <v>117.21</v>
      </c>
      <c r="AL3427" t="s">
        <v>19614</v>
      </c>
      <c r="AM3427">
        <v>25000</v>
      </c>
      <c r="AS3427">
        <v>12.15</v>
      </c>
      <c r="AT3427" t="s">
        <v>472</v>
      </c>
      <c r="AU3427" t="s">
        <v>20620</v>
      </c>
      <c r="AV3427" t="s">
        <v>20733</v>
      </c>
    </row>
    <row r="3428" spans="1:48">
      <c r="A3428" s="1">
        <f>HYPERLINK("https://lsnyc.legalserver.org/matter/dynamic-profile/view/1900046","19-1900046")</f>
        <v>0</v>
      </c>
      <c r="B3428" t="s">
        <v>100</v>
      </c>
      <c r="C3428" t="s">
        <v>257</v>
      </c>
      <c r="D3428" t="s">
        <v>551</v>
      </c>
      <c r="E3428" t="s">
        <v>551</v>
      </c>
      <c r="F3428" t="s">
        <v>2528</v>
      </c>
      <c r="G3428" t="s">
        <v>4761</v>
      </c>
      <c r="H3428" t="s">
        <v>6095</v>
      </c>
      <c r="I3428" t="s">
        <v>8734</v>
      </c>
      <c r="J3428" t="s">
        <v>9065</v>
      </c>
      <c r="K3428">
        <v>10456</v>
      </c>
      <c r="L3428" t="s">
        <v>9095</v>
      </c>
      <c r="M3428" t="s">
        <v>9095</v>
      </c>
      <c r="O3428" t="s">
        <v>11128</v>
      </c>
      <c r="P3428" t="s">
        <v>11164</v>
      </c>
      <c r="Q3428" t="s">
        <v>11172</v>
      </c>
      <c r="R3428" t="s">
        <v>11180</v>
      </c>
      <c r="T3428" t="s">
        <v>11183</v>
      </c>
      <c r="W3428">
        <v>497</v>
      </c>
      <c r="X3428" t="s">
        <v>11333</v>
      </c>
      <c r="Y3428" t="s">
        <v>11346</v>
      </c>
      <c r="Z3428" t="s">
        <v>13652</v>
      </c>
      <c r="AB3428" t="s">
        <v>17980</v>
      </c>
      <c r="AC3428">
        <v>0</v>
      </c>
      <c r="AD3428" t="s">
        <v>19566</v>
      </c>
      <c r="AE3428" t="s">
        <v>9144</v>
      </c>
      <c r="AF3428">
        <v>6</v>
      </c>
      <c r="AG3428">
        <v>3</v>
      </c>
      <c r="AH3428">
        <v>0</v>
      </c>
      <c r="AI3428">
        <v>117.21</v>
      </c>
      <c r="AL3428" t="s">
        <v>5133</v>
      </c>
      <c r="AM3428">
        <v>25000</v>
      </c>
      <c r="AS3428">
        <v>0.5</v>
      </c>
      <c r="AT3428" t="s">
        <v>551</v>
      </c>
      <c r="AU3428" t="s">
        <v>100</v>
      </c>
    </row>
    <row r="3429" spans="1:48">
      <c r="A3429" s="1">
        <f>HYPERLINK("https://lsnyc.legalserver.org/matter/dynamic-profile/view/1914254","19-1914254")</f>
        <v>0</v>
      </c>
      <c r="B3429" t="s">
        <v>135</v>
      </c>
      <c r="C3429" t="s">
        <v>256</v>
      </c>
      <c r="D3429" t="s">
        <v>496</v>
      </c>
      <c r="F3429" t="s">
        <v>2529</v>
      </c>
      <c r="G3429" t="s">
        <v>4009</v>
      </c>
      <c r="H3429" t="s">
        <v>6949</v>
      </c>
      <c r="J3429" t="s">
        <v>9067</v>
      </c>
      <c r="K3429">
        <v>10037</v>
      </c>
      <c r="L3429" t="s">
        <v>9094</v>
      </c>
      <c r="M3429" t="s">
        <v>9095</v>
      </c>
      <c r="O3429" t="s">
        <v>11130</v>
      </c>
      <c r="P3429" t="s">
        <v>11165</v>
      </c>
      <c r="R3429" t="s">
        <v>11180</v>
      </c>
      <c r="S3429" t="s">
        <v>9094</v>
      </c>
      <c r="T3429" t="s">
        <v>11183</v>
      </c>
      <c r="U3429" t="s">
        <v>11201</v>
      </c>
      <c r="V3429" t="s">
        <v>301</v>
      </c>
      <c r="W3429">
        <v>0</v>
      </c>
      <c r="X3429" t="s">
        <v>11335</v>
      </c>
      <c r="Y3429" t="s">
        <v>11339</v>
      </c>
      <c r="Z3429" t="s">
        <v>13653</v>
      </c>
      <c r="AB3429" t="s">
        <v>17981</v>
      </c>
      <c r="AC3429">
        <v>259</v>
      </c>
      <c r="AE3429" t="s">
        <v>9144</v>
      </c>
      <c r="AF3429">
        <v>3</v>
      </c>
      <c r="AG3429">
        <v>1</v>
      </c>
      <c r="AH3429">
        <v>2</v>
      </c>
      <c r="AI3429">
        <v>117.21</v>
      </c>
      <c r="AL3429" t="s">
        <v>19614</v>
      </c>
      <c r="AM3429">
        <v>25000</v>
      </c>
      <c r="AS3429">
        <v>0</v>
      </c>
      <c r="AU3429" t="s">
        <v>20657</v>
      </c>
      <c r="AV3429" t="s">
        <v>20733</v>
      </c>
    </row>
    <row r="3430" spans="1:48">
      <c r="A3430" s="1">
        <f>HYPERLINK("https://lsnyc.legalserver.org/matter/dynamic-profile/view/1871601","18-1871601")</f>
        <v>0</v>
      </c>
      <c r="B3430" t="s">
        <v>76</v>
      </c>
      <c r="C3430" t="s">
        <v>256</v>
      </c>
      <c r="D3430" t="s">
        <v>609</v>
      </c>
      <c r="F3430" t="s">
        <v>1402</v>
      </c>
      <c r="G3430" t="s">
        <v>4762</v>
      </c>
      <c r="H3430" t="s">
        <v>7318</v>
      </c>
      <c r="I3430" t="s">
        <v>8735</v>
      </c>
      <c r="J3430" t="s">
        <v>9059</v>
      </c>
      <c r="K3430">
        <v>11206</v>
      </c>
      <c r="L3430" t="s">
        <v>9094</v>
      </c>
      <c r="M3430" t="s">
        <v>9094</v>
      </c>
      <c r="O3430" t="s">
        <v>11156</v>
      </c>
      <c r="P3430" t="s">
        <v>11169</v>
      </c>
      <c r="R3430" t="s">
        <v>11181</v>
      </c>
      <c r="S3430" t="s">
        <v>9096</v>
      </c>
      <c r="T3430" t="s">
        <v>11188</v>
      </c>
      <c r="V3430" t="s">
        <v>609</v>
      </c>
      <c r="W3430">
        <v>513</v>
      </c>
      <c r="X3430" t="s">
        <v>11332</v>
      </c>
      <c r="Y3430" t="s">
        <v>11337</v>
      </c>
      <c r="Z3430" t="s">
        <v>13654</v>
      </c>
      <c r="AB3430" t="s">
        <v>17982</v>
      </c>
      <c r="AC3430">
        <v>6</v>
      </c>
      <c r="AD3430" t="s">
        <v>19573</v>
      </c>
      <c r="AF3430">
        <v>17</v>
      </c>
      <c r="AG3430">
        <v>2</v>
      </c>
      <c r="AH3430">
        <v>1</v>
      </c>
      <c r="AI3430">
        <v>117.34</v>
      </c>
      <c r="AJ3430" t="s">
        <v>19591</v>
      </c>
      <c r="AK3430" t="s">
        <v>19608</v>
      </c>
      <c r="AL3430" t="s">
        <v>19615</v>
      </c>
      <c r="AM3430">
        <v>24384</v>
      </c>
      <c r="AS3430">
        <v>0</v>
      </c>
      <c r="AU3430" t="s">
        <v>20628</v>
      </c>
    </row>
    <row r="3431" spans="1:48">
      <c r="A3431" s="1">
        <f>HYPERLINK("https://lsnyc.legalserver.org/matter/dynamic-profile/view/1854898","17-1854898")</f>
        <v>0</v>
      </c>
      <c r="B3431" t="s">
        <v>101</v>
      </c>
      <c r="C3431" t="s">
        <v>256</v>
      </c>
      <c r="D3431" t="s">
        <v>558</v>
      </c>
      <c r="F3431" t="s">
        <v>2530</v>
      </c>
      <c r="G3431" t="s">
        <v>3592</v>
      </c>
      <c r="H3431" t="s">
        <v>6041</v>
      </c>
      <c r="I3431" t="s">
        <v>8238</v>
      </c>
      <c r="J3431" t="s">
        <v>9065</v>
      </c>
      <c r="K3431">
        <v>10452</v>
      </c>
      <c r="L3431" t="s">
        <v>9094</v>
      </c>
      <c r="M3431" t="s">
        <v>9095</v>
      </c>
      <c r="N3431" t="s">
        <v>9356</v>
      </c>
      <c r="O3431" t="s">
        <v>11135</v>
      </c>
      <c r="P3431" t="s">
        <v>11168</v>
      </c>
      <c r="R3431" t="s">
        <v>11180</v>
      </c>
      <c r="S3431" t="s">
        <v>9094</v>
      </c>
      <c r="T3431" t="s">
        <v>11183</v>
      </c>
      <c r="V3431" t="s">
        <v>1122</v>
      </c>
      <c r="W3431">
        <v>1310</v>
      </c>
      <c r="X3431" t="s">
        <v>11333</v>
      </c>
      <c r="Y3431" t="s">
        <v>11346</v>
      </c>
      <c r="Z3431" t="s">
        <v>13655</v>
      </c>
      <c r="AB3431" t="s">
        <v>17983</v>
      </c>
      <c r="AC3431">
        <v>62</v>
      </c>
      <c r="AD3431" t="s">
        <v>19566</v>
      </c>
      <c r="AE3431" t="s">
        <v>9144</v>
      </c>
      <c r="AF3431">
        <v>24</v>
      </c>
      <c r="AG3431">
        <v>3</v>
      </c>
      <c r="AH3431">
        <v>2</v>
      </c>
      <c r="AI3431">
        <v>117.44</v>
      </c>
      <c r="AL3431" t="s">
        <v>19632</v>
      </c>
      <c r="AM3431">
        <v>33800</v>
      </c>
      <c r="AS3431">
        <v>0.5</v>
      </c>
      <c r="AT3431" t="s">
        <v>873</v>
      </c>
      <c r="AU3431" t="s">
        <v>174</v>
      </c>
    </row>
    <row r="3432" spans="1:48">
      <c r="A3432" s="1">
        <f>HYPERLINK("https://lsnyc.legalserver.org/matter/dynamic-profile/view/1855288","18-1855288")</f>
        <v>0</v>
      </c>
      <c r="B3432" t="s">
        <v>101</v>
      </c>
      <c r="C3432" t="s">
        <v>256</v>
      </c>
      <c r="D3432" t="s">
        <v>654</v>
      </c>
      <c r="F3432" t="s">
        <v>2530</v>
      </c>
      <c r="G3432" t="s">
        <v>3592</v>
      </c>
      <c r="H3432" t="s">
        <v>6041</v>
      </c>
      <c r="I3432" t="s">
        <v>8238</v>
      </c>
      <c r="J3432" t="s">
        <v>9065</v>
      </c>
      <c r="K3432">
        <v>10452</v>
      </c>
      <c r="L3432" t="s">
        <v>9094</v>
      </c>
      <c r="M3432" t="s">
        <v>9095</v>
      </c>
      <c r="N3432" t="s">
        <v>9496</v>
      </c>
      <c r="O3432" t="s">
        <v>11135</v>
      </c>
      <c r="P3432" t="s">
        <v>11168</v>
      </c>
      <c r="R3432" t="s">
        <v>11180</v>
      </c>
      <c r="S3432" t="s">
        <v>9094</v>
      </c>
      <c r="T3432" t="s">
        <v>11183</v>
      </c>
      <c r="V3432" t="s">
        <v>1122</v>
      </c>
      <c r="W3432">
        <v>1310</v>
      </c>
      <c r="X3432" t="s">
        <v>11333</v>
      </c>
      <c r="Y3432" t="s">
        <v>11346</v>
      </c>
      <c r="Z3432" t="s">
        <v>13655</v>
      </c>
      <c r="AB3432" t="s">
        <v>17983</v>
      </c>
      <c r="AC3432">
        <v>62</v>
      </c>
      <c r="AD3432" t="s">
        <v>19566</v>
      </c>
      <c r="AE3432" t="s">
        <v>9144</v>
      </c>
      <c r="AF3432">
        <v>24</v>
      </c>
      <c r="AG3432">
        <v>3</v>
      </c>
      <c r="AH3432">
        <v>2</v>
      </c>
      <c r="AI3432">
        <v>117.44</v>
      </c>
      <c r="AL3432" t="s">
        <v>19632</v>
      </c>
      <c r="AM3432">
        <v>33800</v>
      </c>
      <c r="AS3432">
        <v>0</v>
      </c>
      <c r="AU3432" t="s">
        <v>20643</v>
      </c>
    </row>
    <row r="3433" spans="1:48">
      <c r="A3433" s="1">
        <f>HYPERLINK("https://lsnyc.legalserver.org/matter/dynamic-profile/view/1904504","19-1904504")</f>
        <v>0</v>
      </c>
      <c r="B3433" t="s">
        <v>115</v>
      </c>
      <c r="C3433" t="s">
        <v>256</v>
      </c>
      <c r="D3433" t="s">
        <v>615</v>
      </c>
      <c r="F3433" t="s">
        <v>1518</v>
      </c>
      <c r="G3433" t="s">
        <v>4763</v>
      </c>
      <c r="H3433" t="s">
        <v>6092</v>
      </c>
      <c r="I3433" t="s">
        <v>8171</v>
      </c>
      <c r="J3433" t="s">
        <v>9065</v>
      </c>
      <c r="K3433">
        <v>10459</v>
      </c>
      <c r="L3433" t="s">
        <v>9094</v>
      </c>
      <c r="M3433" t="s">
        <v>9095</v>
      </c>
      <c r="O3433" t="s">
        <v>11137</v>
      </c>
      <c r="P3433" t="s">
        <v>11166</v>
      </c>
      <c r="R3433" t="s">
        <v>11180</v>
      </c>
      <c r="S3433" t="s">
        <v>9094</v>
      </c>
      <c r="T3433" t="s">
        <v>11192</v>
      </c>
      <c r="W3433">
        <v>466</v>
      </c>
      <c r="X3433" t="s">
        <v>11333</v>
      </c>
      <c r="Y3433" t="s">
        <v>11347</v>
      </c>
      <c r="Z3433" t="s">
        <v>13656</v>
      </c>
      <c r="AB3433" t="s">
        <v>17984</v>
      </c>
      <c r="AC3433">
        <v>50</v>
      </c>
      <c r="AD3433" t="s">
        <v>19566</v>
      </c>
      <c r="AE3433" t="s">
        <v>11157</v>
      </c>
      <c r="AF3433">
        <v>1</v>
      </c>
      <c r="AG3433">
        <v>2</v>
      </c>
      <c r="AH3433">
        <v>0</v>
      </c>
      <c r="AI3433">
        <v>117.45</v>
      </c>
      <c r="AL3433" t="s">
        <v>19614</v>
      </c>
      <c r="AM3433">
        <v>19860</v>
      </c>
      <c r="AN3433" t="s">
        <v>19955</v>
      </c>
      <c r="AS3433">
        <v>5.1</v>
      </c>
      <c r="AT3433" t="s">
        <v>425</v>
      </c>
      <c r="AU3433" t="s">
        <v>115</v>
      </c>
      <c r="AV3433" t="s">
        <v>20733</v>
      </c>
    </row>
    <row r="3434" spans="1:48">
      <c r="A3434" s="1">
        <f>HYPERLINK("https://lsnyc.legalserver.org/matter/dynamic-profile/view/1902700","19-1902700")</f>
        <v>0</v>
      </c>
      <c r="B3434" t="s">
        <v>64</v>
      </c>
      <c r="C3434" t="s">
        <v>257</v>
      </c>
      <c r="D3434" t="s">
        <v>327</v>
      </c>
      <c r="E3434" t="s">
        <v>328</v>
      </c>
      <c r="F3434" t="s">
        <v>2531</v>
      </c>
      <c r="G3434" t="s">
        <v>4764</v>
      </c>
      <c r="H3434" t="s">
        <v>7319</v>
      </c>
      <c r="I3434">
        <v>1</v>
      </c>
      <c r="J3434" t="s">
        <v>9059</v>
      </c>
      <c r="K3434">
        <v>11208</v>
      </c>
      <c r="L3434" t="s">
        <v>9094</v>
      </c>
      <c r="M3434" t="s">
        <v>9095</v>
      </c>
      <c r="N3434" t="s">
        <v>10392</v>
      </c>
      <c r="O3434" t="s">
        <v>11129</v>
      </c>
      <c r="P3434" t="s">
        <v>11164</v>
      </c>
      <c r="Q3434" t="s">
        <v>11172</v>
      </c>
      <c r="R3434" t="s">
        <v>11180</v>
      </c>
      <c r="S3434" t="s">
        <v>9096</v>
      </c>
      <c r="T3434" t="s">
        <v>11183</v>
      </c>
      <c r="U3434" t="s">
        <v>11202</v>
      </c>
      <c r="V3434" t="s">
        <v>279</v>
      </c>
      <c r="W3434">
        <v>1500</v>
      </c>
      <c r="X3434" t="s">
        <v>11332</v>
      </c>
      <c r="Y3434" t="s">
        <v>11346</v>
      </c>
      <c r="Z3434" t="s">
        <v>13657</v>
      </c>
      <c r="AA3434" t="s">
        <v>15355</v>
      </c>
      <c r="AB3434" t="s">
        <v>17985</v>
      </c>
      <c r="AC3434">
        <v>2</v>
      </c>
      <c r="AD3434" t="s">
        <v>19565</v>
      </c>
      <c r="AE3434" t="s">
        <v>9144</v>
      </c>
      <c r="AF3434">
        <v>1</v>
      </c>
      <c r="AG3434">
        <v>2</v>
      </c>
      <c r="AH3434">
        <v>2</v>
      </c>
      <c r="AI3434">
        <v>117.53</v>
      </c>
      <c r="AL3434" t="s">
        <v>19614</v>
      </c>
      <c r="AM3434">
        <v>30264</v>
      </c>
      <c r="AS3434">
        <v>1.4</v>
      </c>
      <c r="AT3434" t="s">
        <v>760</v>
      </c>
      <c r="AU3434" t="s">
        <v>95</v>
      </c>
      <c r="AV3434" t="s">
        <v>20733</v>
      </c>
    </row>
    <row r="3435" spans="1:48">
      <c r="A3435" s="1">
        <f>HYPERLINK("https://lsnyc.legalserver.org/matter/dynamic-profile/view/0799507","16-0799507")</f>
        <v>0</v>
      </c>
      <c r="B3435" t="s">
        <v>89</v>
      </c>
      <c r="C3435" t="s">
        <v>256</v>
      </c>
      <c r="D3435" t="s">
        <v>915</v>
      </c>
      <c r="F3435" t="s">
        <v>2532</v>
      </c>
      <c r="G3435" t="s">
        <v>3427</v>
      </c>
      <c r="H3435" t="s">
        <v>6898</v>
      </c>
      <c r="I3435" t="s">
        <v>8161</v>
      </c>
      <c r="J3435" t="s">
        <v>9059</v>
      </c>
      <c r="K3435">
        <v>11233</v>
      </c>
      <c r="L3435" t="s">
        <v>9094</v>
      </c>
      <c r="M3435" t="s">
        <v>9095</v>
      </c>
      <c r="N3435" t="s">
        <v>10393</v>
      </c>
      <c r="O3435" t="s">
        <v>11159</v>
      </c>
      <c r="P3435" t="s">
        <v>11165</v>
      </c>
      <c r="R3435" t="s">
        <v>11180</v>
      </c>
      <c r="S3435" t="s">
        <v>9094</v>
      </c>
      <c r="T3435" t="s">
        <v>11183</v>
      </c>
      <c r="V3435" t="s">
        <v>11284</v>
      </c>
      <c r="W3435">
        <v>950</v>
      </c>
      <c r="X3435" t="s">
        <v>11332</v>
      </c>
      <c r="Y3435" t="s">
        <v>11340</v>
      </c>
      <c r="Z3435" t="s">
        <v>12579</v>
      </c>
      <c r="AB3435" t="s">
        <v>17986</v>
      </c>
      <c r="AC3435">
        <v>0</v>
      </c>
      <c r="AD3435" t="s">
        <v>19566</v>
      </c>
      <c r="AF3435">
        <v>5</v>
      </c>
      <c r="AG3435">
        <v>2</v>
      </c>
      <c r="AH3435">
        <v>1</v>
      </c>
      <c r="AI3435">
        <v>117.62</v>
      </c>
      <c r="AL3435" t="s">
        <v>19614</v>
      </c>
      <c r="AM3435">
        <v>23712</v>
      </c>
      <c r="AS3435">
        <v>22.2</v>
      </c>
      <c r="AT3435" t="s">
        <v>703</v>
      </c>
      <c r="AU3435" t="s">
        <v>76</v>
      </c>
    </row>
    <row r="3436" spans="1:48">
      <c r="A3436" s="1">
        <f>HYPERLINK("https://lsnyc.legalserver.org/matter/dynamic-profile/view/1833880","17-1833880")</f>
        <v>0</v>
      </c>
      <c r="B3436" t="s">
        <v>51</v>
      </c>
      <c r="C3436" t="s">
        <v>256</v>
      </c>
      <c r="D3436" t="s">
        <v>888</v>
      </c>
      <c r="F3436" t="s">
        <v>1750</v>
      </c>
      <c r="G3436" t="s">
        <v>3536</v>
      </c>
      <c r="H3436" t="s">
        <v>7320</v>
      </c>
      <c r="J3436" t="s">
        <v>9041</v>
      </c>
      <c r="K3436">
        <v>11413</v>
      </c>
      <c r="L3436" t="s">
        <v>9095</v>
      </c>
      <c r="M3436" t="s">
        <v>9095</v>
      </c>
      <c r="N3436" t="s">
        <v>10394</v>
      </c>
      <c r="O3436" t="s">
        <v>11151</v>
      </c>
      <c r="P3436" t="s">
        <v>11168</v>
      </c>
      <c r="R3436" t="s">
        <v>11180</v>
      </c>
      <c r="T3436" t="s">
        <v>11189</v>
      </c>
      <c r="W3436">
        <v>1658</v>
      </c>
      <c r="X3436" t="s">
        <v>11331</v>
      </c>
      <c r="Z3436" t="s">
        <v>13658</v>
      </c>
      <c r="AB3436" t="s">
        <v>17987</v>
      </c>
      <c r="AC3436">
        <v>0</v>
      </c>
      <c r="AE3436" t="s">
        <v>19580</v>
      </c>
      <c r="AF3436">
        <v>0</v>
      </c>
      <c r="AG3436">
        <v>1</v>
      </c>
      <c r="AH3436">
        <v>1</v>
      </c>
      <c r="AI3436">
        <v>117.73</v>
      </c>
      <c r="AM3436">
        <v>19120</v>
      </c>
      <c r="AS3436">
        <v>11.2</v>
      </c>
      <c r="AT3436" t="s">
        <v>648</v>
      </c>
      <c r="AU3436" t="s">
        <v>20622</v>
      </c>
    </row>
    <row r="3437" spans="1:48">
      <c r="A3437" s="1">
        <f>HYPERLINK("https://lsnyc.legalserver.org/matter/dynamic-profile/view/1870088","18-1870088")</f>
        <v>0</v>
      </c>
      <c r="B3437" t="s">
        <v>142</v>
      </c>
      <c r="C3437" t="s">
        <v>256</v>
      </c>
      <c r="D3437" t="s">
        <v>1017</v>
      </c>
      <c r="F3437" t="s">
        <v>1140</v>
      </c>
      <c r="G3437" t="s">
        <v>4637</v>
      </c>
      <c r="H3437" t="s">
        <v>7176</v>
      </c>
      <c r="I3437" t="s">
        <v>8134</v>
      </c>
      <c r="J3437" t="s">
        <v>9067</v>
      </c>
      <c r="K3437">
        <v>10035</v>
      </c>
      <c r="L3437" t="s">
        <v>9094</v>
      </c>
      <c r="M3437" t="s">
        <v>9094</v>
      </c>
      <c r="N3437" t="s">
        <v>10395</v>
      </c>
      <c r="O3437" t="s">
        <v>11129</v>
      </c>
      <c r="P3437" t="s">
        <v>11165</v>
      </c>
      <c r="R3437" t="s">
        <v>11180</v>
      </c>
      <c r="S3437" t="s">
        <v>9096</v>
      </c>
      <c r="T3437" t="s">
        <v>11183</v>
      </c>
      <c r="U3437" t="s">
        <v>11201</v>
      </c>
      <c r="V3437" t="s">
        <v>352</v>
      </c>
      <c r="W3437">
        <v>650</v>
      </c>
      <c r="X3437" t="s">
        <v>11335</v>
      </c>
      <c r="Y3437" t="s">
        <v>11349</v>
      </c>
      <c r="Z3437" t="s">
        <v>13393</v>
      </c>
      <c r="AB3437" t="s">
        <v>17733</v>
      </c>
      <c r="AC3437">
        <v>30</v>
      </c>
      <c r="AD3437" t="s">
        <v>15441</v>
      </c>
      <c r="AE3437" t="s">
        <v>9144</v>
      </c>
      <c r="AF3437">
        <v>22</v>
      </c>
      <c r="AG3437">
        <v>3</v>
      </c>
      <c r="AH3437">
        <v>1</v>
      </c>
      <c r="AI3437">
        <v>117.77</v>
      </c>
      <c r="AL3437" t="s">
        <v>19614</v>
      </c>
      <c r="AM3437">
        <v>29560</v>
      </c>
      <c r="AS3437">
        <v>68.2</v>
      </c>
      <c r="AT3437" t="s">
        <v>442</v>
      </c>
      <c r="AU3437" t="s">
        <v>20660</v>
      </c>
      <c r="AV3437" t="s">
        <v>20733</v>
      </c>
    </row>
    <row r="3438" spans="1:48">
      <c r="A3438" s="1">
        <f>HYPERLINK("https://lsnyc.legalserver.org/matter/dynamic-profile/view/0823816","17-0823816")</f>
        <v>0</v>
      </c>
      <c r="B3438" t="s">
        <v>203</v>
      </c>
      <c r="C3438" t="s">
        <v>256</v>
      </c>
      <c r="D3438" t="s">
        <v>866</v>
      </c>
      <c r="F3438" t="s">
        <v>2533</v>
      </c>
      <c r="G3438" t="s">
        <v>4765</v>
      </c>
      <c r="H3438" t="s">
        <v>7321</v>
      </c>
      <c r="I3438" t="s">
        <v>8736</v>
      </c>
      <c r="J3438" t="s">
        <v>9059</v>
      </c>
      <c r="K3438">
        <v>11224</v>
      </c>
      <c r="L3438" t="s">
        <v>9094</v>
      </c>
      <c r="M3438" t="s">
        <v>9095</v>
      </c>
      <c r="N3438" t="s">
        <v>10396</v>
      </c>
      <c r="O3438" t="s">
        <v>11129</v>
      </c>
      <c r="P3438" t="s">
        <v>11165</v>
      </c>
      <c r="R3438" t="s">
        <v>11180</v>
      </c>
      <c r="T3438" t="s">
        <v>11190</v>
      </c>
      <c r="V3438" t="s">
        <v>878</v>
      </c>
      <c r="W3438">
        <v>2092</v>
      </c>
      <c r="X3438" t="s">
        <v>11332</v>
      </c>
      <c r="Z3438" t="s">
        <v>13659</v>
      </c>
      <c r="AA3438" t="s">
        <v>15792</v>
      </c>
      <c r="AC3438">
        <v>100</v>
      </c>
      <c r="AD3438" t="s">
        <v>19567</v>
      </c>
      <c r="AE3438" t="s">
        <v>19580</v>
      </c>
      <c r="AF3438">
        <v>22</v>
      </c>
      <c r="AG3438">
        <v>1</v>
      </c>
      <c r="AH3438">
        <v>0</v>
      </c>
      <c r="AI3438">
        <v>117.78</v>
      </c>
      <c r="AJ3438" t="s">
        <v>11269</v>
      </c>
      <c r="AK3438" t="s">
        <v>19609</v>
      </c>
      <c r="AL3438" t="s">
        <v>19614</v>
      </c>
      <c r="AM3438">
        <v>13992</v>
      </c>
      <c r="AS3438">
        <v>57.25</v>
      </c>
      <c r="AT3438" t="s">
        <v>11295</v>
      </c>
      <c r="AU3438" t="s">
        <v>20720</v>
      </c>
    </row>
    <row r="3439" spans="1:48">
      <c r="A3439" s="1">
        <f>HYPERLINK("https://lsnyc.legalserver.org/matter/dynamic-profile/view/1871037","18-1871037")</f>
        <v>0</v>
      </c>
      <c r="B3439" t="s">
        <v>127</v>
      </c>
      <c r="C3439" t="s">
        <v>256</v>
      </c>
      <c r="D3439" t="s">
        <v>767</v>
      </c>
      <c r="F3439" t="s">
        <v>2534</v>
      </c>
      <c r="G3439" t="s">
        <v>3344</v>
      </c>
      <c r="H3439" t="s">
        <v>6660</v>
      </c>
      <c r="I3439" t="s">
        <v>8112</v>
      </c>
      <c r="J3439" t="s">
        <v>9066</v>
      </c>
      <c r="K3439">
        <v>10304</v>
      </c>
      <c r="L3439" t="s">
        <v>9094</v>
      </c>
      <c r="M3439" t="s">
        <v>9094</v>
      </c>
      <c r="N3439" t="s">
        <v>10397</v>
      </c>
      <c r="O3439" t="s">
        <v>11129</v>
      </c>
      <c r="P3439" t="s">
        <v>11165</v>
      </c>
      <c r="R3439" t="s">
        <v>11180</v>
      </c>
      <c r="S3439" t="s">
        <v>9096</v>
      </c>
      <c r="T3439" t="s">
        <v>11183</v>
      </c>
      <c r="U3439" t="s">
        <v>11201</v>
      </c>
      <c r="V3439" t="s">
        <v>784</v>
      </c>
      <c r="W3439">
        <v>772</v>
      </c>
      <c r="X3439" t="s">
        <v>11334</v>
      </c>
      <c r="Y3439" t="s">
        <v>11345</v>
      </c>
      <c r="Z3439" t="s">
        <v>13660</v>
      </c>
      <c r="AB3439" t="s">
        <v>17988</v>
      </c>
      <c r="AC3439">
        <v>0</v>
      </c>
      <c r="AD3439" t="s">
        <v>19567</v>
      </c>
      <c r="AE3439" t="s">
        <v>19580</v>
      </c>
      <c r="AF3439">
        <v>0</v>
      </c>
      <c r="AG3439">
        <v>1</v>
      </c>
      <c r="AH3439">
        <v>0</v>
      </c>
      <c r="AI3439">
        <v>117.79</v>
      </c>
      <c r="AL3439" t="s">
        <v>19614</v>
      </c>
      <c r="AM3439">
        <v>14300</v>
      </c>
      <c r="AO3439" t="s">
        <v>20290</v>
      </c>
      <c r="AP3439" t="s">
        <v>20309</v>
      </c>
      <c r="AQ3439" t="s">
        <v>20369</v>
      </c>
      <c r="AR3439" t="s">
        <v>20516</v>
      </c>
      <c r="AS3439">
        <v>6.75</v>
      </c>
      <c r="AT3439" t="s">
        <v>20602</v>
      </c>
      <c r="AU3439" t="s">
        <v>20654</v>
      </c>
    </row>
    <row r="3440" spans="1:48">
      <c r="A3440" s="1">
        <f>HYPERLINK("https://lsnyc.legalserver.org/matter/dynamic-profile/view/1848822","17-1848822")</f>
        <v>0</v>
      </c>
      <c r="B3440" t="s">
        <v>108</v>
      </c>
      <c r="C3440" t="s">
        <v>256</v>
      </c>
      <c r="D3440" t="s">
        <v>531</v>
      </c>
      <c r="F3440" t="s">
        <v>2535</v>
      </c>
      <c r="G3440" t="s">
        <v>2008</v>
      </c>
      <c r="H3440" t="s">
        <v>7322</v>
      </c>
      <c r="I3440" t="s">
        <v>8737</v>
      </c>
      <c r="J3440" t="s">
        <v>9065</v>
      </c>
      <c r="K3440">
        <v>10453</v>
      </c>
      <c r="L3440" t="s">
        <v>9094</v>
      </c>
      <c r="M3440" t="s">
        <v>9095</v>
      </c>
      <c r="N3440" t="s">
        <v>10398</v>
      </c>
      <c r="O3440" t="s">
        <v>11129</v>
      </c>
      <c r="P3440" t="s">
        <v>11165</v>
      </c>
      <c r="R3440" t="s">
        <v>11180</v>
      </c>
      <c r="S3440" t="s">
        <v>9096</v>
      </c>
      <c r="T3440" t="s">
        <v>11183</v>
      </c>
      <c r="V3440" t="s">
        <v>924</v>
      </c>
      <c r="W3440">
        <v>1005.06</v>
      </c>
      <c r="X3440" t="s">
        <v>11333</v>
      </c>
      <c r="Y3440" t="s">
        <v>11340</v>
      </c>
      <c r="Z3440" t="s">
        <v>13661</v>
      </c>
      <c r="AB3440" t="s">
        <v>17989</v>
      </c>
      <c r="AC3440">
        <v>36</v>
      </c>
      <c r="AD3440" t="s">
        <v>19566</v>
      </c>
      <c r="AE3440" t="s">
        <v>9144</v>
      </c>
      <c r="AF3440">
        <v>6</v>
      </c>
      <c r="AG3440">
        <v>1</v>
      </c>
      <c r="AH3440">
        <v>0</v>
      </c>
      <c r="AI3440">
        <v>117.81</v>
      </c>
      <c r="AL3440" t="s">
        <v>19614</v>
      </c>
      <c r="AM3440">
        <v>14208</v>
      </c>
      <c r="AS3440">
        <v>35.85</v>
      </c>
      <c r="AT3440" t="s">
        <v>270</v>
      </c>
      <c r="AU3440" t="s">
        <v>20642</v>
      </c>
    </row>
    <row r="3441" spans="1:48">
      <c r="A3441" s="1">
        <f>HYPERLINK("https://lsnyc.legalserver.org/matter/dynamic-profile/view/0830528","17-0830528")</f>
        <v>0</v>
      </c>
      <c r="B3441" t="s">
        <v>140</v>
      </c>
      <c r="C3441" t="s">
        <v>256</v>
      </c>
      <c r="D3441" t="s">
        <v>778</v>
      </c>
      <c r="F3441" t="s">
        <v>1904</v>
      </c>
      <c r="G3441" t="s">
        <v>3370</v>
      </c>
      <c r="H3441" t="s">
        <v>5999</v>
      </c>
      <c r="I3441" t="s">
        <v>8156</v>
      </c>
      <c r="J3441" t="s">
        <v>9067</v>
      </c>
      <c r="K3441">
        <v>10040</v>
      </c>
      <c r="L3441" t="s">
        <v>9095</v>
      </c>
      <c r="M3441" t="s">
        <v>9095</v>
      </c>
      <c r="O3441" t="s">
        <v>9121</v>
      </c>
      <c r="P3441" t="s">
        <v>11165</v>
      </c>
      <c r="R3441" t="s">
        <v>11180</v>
      </c>
      <c r="S3441" t="s">
        <v>9096</v>
      </c>
      <c r="T3441" t="s">
        <v>11183</v>
      </c>
      <c r="V3441" t="s">
        <v>709</v>
      </c>
      <c r="W3441">
        <v>1045.94</v>
      </c>
      <c r="X3441" t="s">
        <v>11335</v>
      </c>
      <c r="Y3441" t="s">
        <v>11339</v>
      </c>
      <c r="Z3441" t="s">
        <v>13195</v>
      </c>
      <c r="AB3441" t="s">
        <v>17552</v>
      </c>
      <c r="AC3441">
        <v>0</v>
      </c>
      <c r="AE3441" t="s">
        <v>9144</v>
      </c>
      <c r="AF3441">
        <v>36</v>
      </c>
      <c r="AG3441">
        <v>2</v>
      </c>
      <c r="AH3441">
        <v>0</v>
      </c>
      <c r="AI3441">
        <v>118</v>
      </c>
      <c r="AL3441" t="s">
        <v>19615</v>
      </c>
      <c r="AM3441">
        <v>19164</v>
      </c>
      <c r="AS3441">
        <v>232.85</v>
      </c>
      <c r="AT3441" t="s">
        <v>331</v>
      </c>
      <c r="AU3441" t="s">
        <v>20657</v>
      </c>
    </row>
    <row r="3442" spans="1:48">
      <c r="A3442" s="1">
        <f>HYPERLINK("https://lsnyc.legalserver.org/matter/dynamic-profile/view/1856019","18-1856019")</f>
        <v>0</v>
      </c>
      <c r="B3442" t="s">
        <v>70</v>
      </c>
      <c r="C3442" t="s">
        <v>257</v>
      </c>
      <c r="D3442" t="s">
        <v>898</v>
      </c>
      <c r="E3442" t="s">
        <v>270</v>
      </c>
      <c r="F3442" t="s">
        <v>1484</v>
      </c>
      <c r="G3442" t="s">
        <v>4766</v>
      </c>
      <c r="H3442" t="s">
        <v>7323</v>
      </c>
      <c r="I3442" t="s">
        <v>8738</v>
      </c>
      <c r="J3442" t="s">
        <v>9059</v>
      </c>
      <c r="K3442">
        <v>11239</v>
      </c>
      <c r="L3442" t="s">
        <v>9094</v>
      </c>
      <c r="M3442" t="s">
        <v>9095</v>
      </c>
      <c r="N3442" t="s">
        <v>10399</v>
      </c>
      <c r="O3442" t="s">
        <v>11128</v>
      </c>
      <c r="P3442" t="s">
        <v>11165</v>
      </c>
      <c r="Q3442" t="s">
        <v>11174</v>
      </c>
      <c r="R3442" t="s">
        <v>11180</v>
      </c>
      <c r="S3442" t="s">
        <v>9096</v>
      </c>
      <c r="T3442" t="s">
        <v>11183</v>
      </c>
      <c r="V3442" t="s">
        <v>898</v>
      </c>
      <c r="W3442">
        <v>1900</v>
      </c>
      <c r="X3442" t="s">
        <v>11332</v>
      </c>
      <c r="Y3442" t="s">
        <v>11344</v>
      </c>
      <c r="Z3442" t="s">
        <v>13662</v>
      </c>
      <c r="AA3442" t="s">
        <v>15793</v>
      </c>
      <c r="AB3442" t="s">
        <v>17990</v>
      </c>
      <c r="AC3442">
        <v>152</v>
      </c>
      <c r="AD3442" t="s">
        <v>19567</v>
      </c>
      <c r="AE3442" t="s">
        <v>19580</v>
      </c>
      <c r="AF3442">
        <v>5</v>
      </c>
      <c r="AG3442">
        <v>1</v>
      </c>
      <c r="AH3442">
        <v>0</v>
      </c>
      <c r="AI3442">
        <v>118.01</v>
      </c>
      <c r="AL3442" t="s">
        <v>19614</v>
      </c>
      <c r="AM3442">
        <v>14232</v>
      </c>
      <c r="AS3442">
        <v>66.8</v>
      </c>
      <c r="AT3442" t="s">
        <v>395</v>
      </c>
      <c r="AU3442" t="s">
        <v>20633</v>
      </c>
    </row>
    <row r="3443" spans="1:48">
      <c r="A3443" s="1">
        <f>HYPERLINK("https://lsnyc.legalserver.org/matter/dynamic-profile/view/1864516","18-1864516")</f>
        <v>0</v>
      </c>
      <c r="B3443" t="s">
        <v>136</v>
      </c>
      <c r="C3443" t="s">
        <v>256</v>
      </c>
      <c r="D3443" t="s">
        <v>552</v>
      </c>
      <c r="F3443" t="s">
        <v>2536</v>
      </c>
      <c r="G3443" t="s">
        <v>3572</v>
      </c>
      <c r="H3443" t="s">
        <v>5961</v>
      </c>
      <c r="I3443">
        <v>407</v>
      </c>
      <c r="J3443" t="s">
        <v>9067</v>
      </c>
      <c r="K3443">
        <v>10029</v>
      </c>
      <c r="L3443" t="s">
        <v>9094</v>
      </c>
      <c r="M3443" t="s">
        <v>9094</v>
      </c>
      <c r="N3443" t="s">
        <v>9287</v>
      </c>
      <c r="O3443" t="s">
        <v>11130</v>
      </c>
      <c r="P3443" t="s">
        <v>11165</v>
      </c>
      <c r="R3443" t="s">
        <v>11180</v>
      </c>
      <c r="S3443" t="s">
        <v>9094</v>
      </c>
      <c r="T3443" t="s">
        <v>11183</v>
      </c>
      <c r="U3443" t="s">
        <v>11201</v>
      </c>
      <c r="V3443" t="s">
        <v>552</v>
      </c>
      <c r="W3443">
        <v>0</v>
      </c>
      <c r="X3443" t="s">
        <v>11335</v>
      </c>
      <c r="Y3443" t="s">
        <v>11339</v>
      </c>
      <c r="Z3443" t="s">
        <v>13663</v>
      </c>
      <c r="AB3443" t="s">
        <v>17991</v>
      </c>
      <c r="AC3443">
        <v>108</v>
      </c>
      <c r="AD3443" t="s">
        <v>19567</v>
      </c>
      <c r="AE3443" t="s">
        <v>19580</v>
      </c>
      <c r="AF3443">
        <v>12</v>
      </c>
      <c r="AG3443">
        <v>1</v>
      </c>
      <c r="AH3443">
        <v>1</v>
      </c>
      <c r="AI3443">
        <v>118.1</v>
      </c>
      <c r="AL3443" t="s">
        <v>19614</v>
      </c>
      <c r="AM3443">
        <v>19440</v>
      </c>
      <c r="AS3443">
        <v>0.1</v>
      </c>
      <c r="AT3443" t="s">
        <v>441</v>
      </c>
      <c r="AU3443" t="s">
        <v>20657</v>
      </c>
    </row>
    <row r="3444" spans="1:48">
      <c r="A3444" s="1">
        <f>HYPERLINK("https://lsnyc.legalserver.org/matter/dynamic-profile/view/1904791","19-1904791")</f>
        <v>0</v>
      </c>
      <c r="B3444" t="s">
        <v>157</v>
      </c>
      <c r="C3444" t="s">
        <v>257</v>
      </c>
      <c r="D3444" t="s">
        <v>748</v>
      </c>
      <c r="E3444" t="s">
        <v>551</v>
      </c>
      <c r="F3444" t="s">
        <v>2537</v>
      </c>
      <c r="G3444" t="s">
        <v>4767</v>
      </c>
      <c r="H3444" t="s">
        <v>7324</v>
      </c>
      <c r="I3444">
        <v>1</v>
      </c>
      <c r="J3444" t="s">
        <v>9059</v>
      </c>
      <c r="K3444">
        <v>11208</v>
      </c>
      <c r="L3444" t="s">
        <v>9095</v>
      </c>
      <c r="M3444" t="s">
        <v>9095</v>
      </c>
      <c r="P3444" t="s">
        <v>11164</v>
      </c>
      <c r="Q3444" t="s">
        <v>11172</v>
      </c>
      <c r="R3444" t="s">
        <v>11180</v>
      </c>
      <c r="T3444" t="s">
        <v>11183</v>
      </c>
      <c r="W3444">
        <v>1530</v>
      </c>
      <c r="X3444" t="s">
        <v>11332</v>
      </c>
      <c r="Y3444" t="s">
        <v>11352</v>
      </c>
      <c r="Z3444" t="s">
        <v>13664</v>
      </c>
      <c r="AB3444" t="s">
        <v>17992</v>
      </c>
      <c r="AC3444">
        <v>3</v>
      </c>
      <c r="AF3444">
        <v>6</v>
      </c>
      <c r="AG3444">
        <v>2</v>
      </c>
      <c r="AH3444">
        <v>2</v>
      </c>
      <c r="AI3444">
        <v>118.14</v>
      </c>
      <c r="AL3444" t="s">
        <v>19615</v>
      </c>
      <c r="AM3444">
        <v>30420</v>
      </c>
      <c r="AS3444">
        <v>1.9</v>
      </c>
      <c r="AT3444" t="s">
        <v>288</v>
      </c>
      <c r="AU3444" t="s">
        <v>20635</v>
      </c>
    </row>
    <row r="3445" spans="1:48">
      <c r="A3445" s="1">
        <f>HYPERLINK("https://lsnyc.legalserver.org/matter/dynamic-profile/view/1908890","19-1908890")</f>
        <v>0</v>
      </c>
      <c r="B3445" t="s">
        <v>136</v>
      </c>
      <c r="C3445" t="s">
        <v>256</v>
      </c>
      <c r="D3445" t="s">
        <v>806</v>
      </c>
      <c r="F3445" t="s">
        <v>1209</v>
      </c>
      <c r="G3445" t="s">
        <v>3498</v>
      </c>
      <c r="H3445" t="s">
        <v>6596</v>
      </c>
      <c r="I3445" t="s">
        <v>8132</v>
      </c>
      <c r="J3445" t="s">
        <v>9067</v>
      </c>
      <c r="K3445">
        <v>10035</v>
      </c>
      <c r="L3445" t="s">
        <v>9094</v>
      </c>
      <c r="M3445" t="s">
        <v>9095</v>
      </c>
      <c r="O3445" t="s">
        <v>9121</v>
      </c>
      <c r="P3445" t="s">
        <v>11167</v>
      </c>
      <c r="R3445" t="s">
        <v>11180</v>
      </c>
      <c r="S3445" t="s">
        <v>9094</v>
      </c>
      <c r="T3445" t="s">
        <v>11183</v>
      </c>
      <c r="U3445" t="s">
        <v>11201</v>
      </c>
      <c r="V3445" t="s">
        <v>806</v>
      </c>
      <c r="W3445">
        <v>1025.77</v>
      </c>
      <c r="X3445" t="s">
        <v>11335</v>
      </c>
      <c r="Y3445" t="s">
        <v>11339</v>
      </c>
      <c r="Z3445" t="s">
        <v>12670</v>
      </c>
      <c r="AB3445" t="s">
        <v>17993</v>
      </c>
      <c r="AC3445">
        <v>60</v>
      </c>
      <c r="AD3445" t="s">
        <v>19566</v>
      </c>
      <c r="AE3445" t="s">
        <v>19580</v>
      </c>
      <c r="AF3445">
        <v>10</v>
      </c>
      <c r="AG3445">
        <v>2</v>
      </c>
      <c r="AH3445">
        <v>0</v>
      </c>
      <c r="AI3445">
        <v>118.23</v>
      </c>
      <c r="AL3445" t="s">
        <v>19614</v>
      </c>
      <c r="AM3445">
        <v>19992</v>
      </c>
      <c r="AS3445">
        <v>0</v>
      </c>
      <c r="AU3445" t="s">
        <v>20657</v>
      </c>
      <c r="AV3445" t="s">
        <v>20733</v>
      </c>
    </row>
    <row r="3446" spans="1:48">
      <c r="A3446" s="1">
        <f>HYPERLINK("https://lsnyc.legalserver.org/matter/dynamic-profile/view/1896498","19-1896498")</f>
        <v>0</v>
      </c>
      <c r="B3446" t="s">
        <v>69</v>
      </c>
      <c r="C3446" t="s">
        <v>257</v>
      </c>
      <c r="D3446" t="s">
        <v>384</v>
      </c>
      <c r="E3446" t="s">
        <v>806</v>
      </c>
      <c r="F3446" t="s">
        <v>1150</v>
      </c>
      <c r="G3446" t="s">
        <v>4768</v>
      </c>
      <c r="H3446" t="s">
        <v>7325</v>
      </c>
      <c r="I3446" t="s">
        <v>8168</v>
      </c>
      <c r="J3446" t="s">
        <v>9059</v>
      </c>
      <c r="K3446">
        <v>11207</v>
      </c>
      <c r="L3446" t="s">
        <v>9094</v>
      </c>
      <c r="M3446" t="s">
        <v>9094</v>
      </c>
      <c r="N3446" t="s">
        <v>10400</v>
      </c>
      <c r="O3446" t="s">
        <v>11139</v>
      </c>
      <c r="P3446" t="s">
        <v>11168</v>
      </c>
      <c r="Q3446" t="s">
        <v>11177</v>
      </c>
      <c r="R3446" t="s">
        <v>11180</v>
      </c>
      <c r="S3446" t="s">
        <v>9096</v>
      </c>
      <c r="T3446" t="s">
        <v>11184</v>
      </c>
      <c r="V3446" t="s">
        <v>486</v>
      </c>
      <c r="W3446">
        <v>0</v>
      </c>
      <c r="X3446" t="s">
        <v>11332</v>
      </c>
      <c r="Z3446" t="s">
        <v>13665</v>
      </c>
      <c r="AA3446" t="s">
        <v>15794</v>
      </c>
      <c r="AB3446" t="s">
        <v>17994</v>
      </c>
      <c r="AC3446">
        <v>0</v>
      </c>
      <c r="AF3446">
        <v>0</v>
      </c>
      <c r="AG3446">
        <v>2</v>
      </c>
      <c r="AH3446">
        <v>0</v>
      </c>
      <c r="AI3446">
        <v>118.27</v>
      </c>
      <c r="AL3446" t="s">
        <v>19614</v>
      </c>
      <c r="AM3446">
        <v>20000</v>
      </c>
      <c r="AN3446" t="s">
        <v>19956</v>
      </c>
      <c r="AS3446">
        <v>20.5</v>
      </c>
      <c r="AT3446" t="s">
        <v>806</v>
      </c>
      <c r="AU3446" t="s">
        <v>79</v>
      </c>
      <c r="AV3446" t="s">
        <v>20733</v>
      </c>
    </row>
    <row r="3447" spans="1:48">
      <c r="A3447" s="1">
        <f>HYPERLINK("https://lsnyc.legalserver.org/matter/dynamic-profile/view/1906250","19-1906250")</f>
        <v>0</v>
      </c>
      <c r="B3447" t="s">
        <v>51</v>
      </c>
      <c r="C3447" t="s">
        <v>256</v>
      </c>
      <c r="D3447" t="s">
        <v>282</v>
      </c>
      <c r="F3447" t="s">
        <v>1920</v>
      </c>
      <c r="G3447" t="s">
        <v>3331</v>
      </c>
      <c r="H3447" t="s">
        <v>7326</v>
      </c>
      <c r="I3447" t="s">
        <v>8279</v>
      </c>
      <c r="J3447" t="s">
        <v>9064</v>
      </c>
      <c r="K3447">
        <v>11101</v>
      </c>
      <c r="L3447" t="s">
        <v>9094</v>
      </c>
      <c r="M3447" t="s">
        <v>9095</v>
      </c>
      <c r="N3447" t="s">
        <v>10401</v>
      </c>
      <c r="O3447" t="s">
        <v>11129</v>
      </c>
      <c r="P3447" t="s">
        <v>11169</v>
      </c>
      <c r="R3447" t="s">
        <v>11180</v>
      </c>
      <c r="S3447" t="s">
        <v>9094</v>
      </c>
      <c r="T3447" t="s">
        <v>11183</v>
      </c>
      <c r="W3447">
        <v>997</v>
      </c>
      <c r="X3447" t="s">
        <v>11331</v>
      </c>
      <c r="Y3447" t="s">
        <v>11336</v>
      </c>
      <c r="Z3447" t="s">
        <v>13666</v>
      </c>
      <c r="AA3447" t="s">
        <v>15795</v>
      </c>
      <c r="AB3447" t="s">
        <v>17995</v>
      </c>
      <c r="AC3447">
        <v>60</v>
      </c>
      <c r="AD3447" t="s">
        <v>15441</v>
      </c>
      <c r="AE3447" t="s">
        <v>9144</v>
      </c>
      <c r="AF3447">
        <v>22</v>
      </c>
      <c r="AG3447">
        <v>2</v>
      </c>
      <c r="AH3447">
        <v>0</v>
      </c>
      <c r="AI3447">
        <v>118.27</v>
      </c>
      <c r="AM3447">
        <v>20000</v>
      </c>
      <c r="AS3447">
        <v>3.93</v>
      </c>
      <c r="AT3447" t="s">
        <v>498</v>
      </c>
      <c r="AU3447" t="s">
        <v>20619</v>
      </c>
      <c r="AV3447" t="s">
        <v>20733</v>
      </c>
    </row>
    <row r="3448" spans="1:48">
      <c r="A3448" s="1">
        <f>HYPERLINK("https://lsnyc.legalserver.org/matter/dynamic-profile/view/1905048","19-1905048")</f>
        <v>0</v>
      </c>
      <c r="B3448" t="s">
        <v>103</v>
      </c>
      <c r="C3448" t="s">
        <v>256</v>
      </c>
      <c r="D3448" t="s">
        <v>367</v>
      </c>
      <c r="F3448" t="s">
        <v>1472</v>
      </c>
      <c r="G3448" t="s">
        <v>3655</v>
      </c>
      <c r="H3448" t="s">
        <v>5887</v>
      </c>
      <c r="I3448" t="s">
        <v>8286</v>
      </c>
      <c r="J3448" t="s">
        <v>9065</v>
      </c>
      <c r="K3448">
        <v>10453</v>
      </c>
      <c r="L3448" t="s">
        <v>9094</v>
      </c>
      <c r="M3448" t="s">
        <v>9095</v>
      </c>
      <c r="N3448" t="s">
        <v>9240</v>
      </c>
      <c r="O3448" t="s">
        <v>11134</v>
      </c>
      <c r="P3448" t="s">
        <v>11168</v>
      </c>
      <c r="R3448" t="s">
        <v>11180</v>
      </c>
      <c r="S3448" t="s">
        <v>9094</v>
      </c>
      <c r="T3448" t="s">
        <v>11183</v>
      </c>
      <c r="V3448" t="s">
        <v>422</v>
      </c>
      <c r="W3448">
        <v>1400</v>
      </c>
      <c r="X3448" t="s">
        <v>11333</v>
      </c>
      <c r="Y3448" t="s">
        <v>11346</v>
      </c>
      <c r="Z3448" t="s">
        <v>11745</v>
      </c>
      <c r="AB3448" t="s">
        <v>16208</v>
      </c>
      <c r="AC3448">
        <v>170</v>
      </c>
      <c r="AD3448" t="s">
        <v>19566</v>
      </c>
      <c r="AE3448" t="s">
        <v>9144</v>
      </c>
      <c r="AF3448">
        <v>8</v>
      </c>
      <c r="AG3448">
        <v>2</v>
      </c>
      <c r="AH3448">
        <v>0</v>
      </c>
      <c r="AI3448">
        <v>118.27</v>
      </c>
      <c r="AL3448" t="s">
        <v>19615</v>
      </c>
      <c r="AM3448">
        <v>20000</v>
      </c>
      <c r="AS3448">
        <v>0</v>
      </c>
      <c r="AU3448" t="s">
        <v>163</v>
      </c>
      <c r="AV3448" t="s">
        <v>20733</v>
      </c>
    </row>
    <row r="3449" spans="1:48">
      <c r="A3449" s="1">
        <f>HYPERLINK("https://lsnyc.legalserver.org/matter/dynamic-profile/view/1890026","19-1890026")</f>
        <v>0</v>
      </c>
      <c r="B3449" t="s">
        <v>103</v>
      </c>
      <c r="C3449" t="s">
        <v>256</v>
      </c>
      <c r="D3449" t="s">
        <v>543</v>
      </c>
      <c r="F3449" t="s">
        <v>1472</v>
      </c>
      <c r="G3449" t="s">
        <v>3655</v>
      </c>
      <c r="H3449" t="s">
        <v>5887</v>
      </c>
      <c r="I3449" t="s">
        <v>8286</v>
      </c>
      <c r="J3449" t="s">
        <v>9065</v>
      </c>
      <c r="K3449">
        <v>10453</v>
      </c>
      <c r="L3449" t="s">
        <v>9094</v>
      </c>
      <c r="M3449" t="s">
        <v>9094</v>
      </c>
      <c r="N3449" t="s">
        <v>9352</v>
      </c>
      <c r="O3449" t="s">
        <v>11130</v>
      </c>
      <c r="P3449" t="s">
        <v>11165</v>
      </c>
      <c r="R3449" t="s">
        <v>11180</v>
      </c>
      <c r="S3449" t="s">
        <v>9094</v>
      </c>
      <c r="T3449" t="s">
        <v>11183</v>
      </c>
      <c r="V3449" t="s">
        <v>512</v>
      </c>
      <c r="W3449">
        <v>1400</v>
      </c>
      <c r="X3449" t="s">
        <v>11333</v>
      </c>
      <c r="Y3449" t="s">
        <v>11346</v>
      </c>
      <c r="Z3449" t="s">
        <v>11745</v>
      </c>
      <c r="AB3449" t="s">
        <v>16208</v>
      </c>
      <c r="AC3449">
        <v>170</v>
      </c>
      <c r="AD3449" t="s">
        <v>19566</v>
      </c>
      <c r="AE3449" t="s">
        <v>9144</v>
      </c>
      <c r="AF3449">
        <v>8</v>
      </c>
      <c r="AG3449">
        <v>2</v>
      </c>
      <c r="AH3449">
        <v>0</v>
      </c>
      <c r="AI3449">
        <v>118.27</v>
      </c>
      <c r="AL3449" t="s">
        <v>19615</v>
      </c>
      <c r="AM3449">
        <v>20000</v>
      </c>
      <c r="AS3449">
        <v>0</v>
      </c>
      <c r="AU3449" t="s">
        <v>158</v>
      </c>
    </row>
    <row r="3450" spans="1:48">
      <c r="A3450" s="1">
        <f>HYPERLINK("https://lsnyc.legalserver.org/matter/dynamic-profile/view/1894094","19-1894094")</f>
        <v>0</v>
      </c>
      <c r="B3450" t="s">
        <v>100</v>
      </c>
      <c r="C3450" t="s">
        <v>256</v>
      </c>
      <c r="D3450" t="s">
        <v>791</v>
      </c>
      <c r="F3450" t="s">
        <v>2538</v>
      </c>
      <c r="G3450" t="s">
        <v>3448</v>
      </c>
      <c r="H3450" t="s">
        <v>5888</v>
      </c>
      <c r="I3450" t="s">
        <v>8171</v>
      </c>
      <c r="J3450" t="s">
        <v>9065</v>
      </c>
      <c r="K3450">
        <v>10453</v>
      </c>
      <c r="L3450" t="s">
        <v>9094</v>
      </c>
      <c r="M3450" t="s">
        <v>9094</v>
      </c>
      <c r="N3450" t="s">
        <v>9243</v>
      </c>
      <c r="O3450" t="s">
        <v>11130</v>
      </c>
      <c r="P3450" t="s">
        <v>11165</v>
      </c>
      <c r="R3450" t="s">
        <v>11180</v>
      </c>
      <c r="S3450" t="s">
        <v>9094</v>
      </c>
      <c r="T3450" t="s">
        <v>11183</v>
      </c>
      <c r="V3450" t="s">
        <v>512</v>
      </c>
      <c r="W3450">
        <v>692.88</v>
      </c>
      <c r="X3450" t="s">
        <v>11333</v>
      </c>
      <c r="Y3450" t="s">
        <v>11346</v>
      </c>
      <c r="Z3450" t="s">
        <v>13667</v>
      </c>
      <c r="AC3450">
        <v>49</v>
      </c>
      <c r="AD3450" t="s">
        <v>19566</v>
      </c>
      <c r="AE3450" t="s">
        <v>9144</v>
      </c>
      <c r="AF3450">
        <v>21</v>
      </c>
      <c r="AG3450">
        <v>2</v>
      </c>
      <c r="AH3450">
        <v>0</v>
      </c>
      <c r="AI3450">
        <v>118.27</v>
      </c>
      <c r="AL3450" t="s">
        <v>19614</v>
      </c>
      <c r="AM3450">
        <v>20000</v>
      </c>
      <c r="AS3450">
        <v>0</v>
      </c>
      <c r="AU3450" t="s">
        <v>20647</v>
      </c>
    </row>
    <row r="3451" spans="1:48">
      <c r="A3451" s="1">
        <f>HYPERLINK("https://lsnyc.legalserver.org/matter/dynamic-profile/view/1907356","19-1907356")</f>
        <v>0</v>
      </c>
      <c r="B3451" t="s">
        <v>122</v>
      </c>
      <c r="C3451" t="s">
        <v>257</v>
      </c>
      <c r="D3451" t="s">
        <v>396</v>
      </c>
      <c r="E3451" t="s">
        <v>314</v>
      </c>
      <c r="F3451" t="s">
        <v>1227</v>
      </c>
      <c r="G3451" t="s">
        <v>4769</v>
      </c>
      <c r="H3451" t="s">
        <v>7327</v>
      </c>
      <c r="J3451" t="s">
        <v>9066</v>
      </c>
      <c r="K3451">
        <v>10301</v>
      </c>
      <c r="L3451" t="s">
        <v>9094</v>
      </c>
      <c r="M3451" t="s">
        <v>9095</v>
      </c>
      <c r="N3451" t="s">
        <v>10402</v>
      </c>
      <c r="O3451" t="s">
        <v>11129</v>
      </c>
      <c r="P3451" t="s">
        <v>11164</v>
      </c>
      <c r="Q3451" t="s">
        <v>11172</v>
      </c>
      <c r="R3451" t="s">
        <v>11180</v>
      </c>
      <c r="S3451" t="s">
        <v>9096</v>
      </c>
      <c r="T3451" t="s">
        <v>11183</v>
      </c>
      <c r="U3451" t="s">
        <v>11200</v>
      </c>
      <c r="V3451" t="s">
        <v>396</v>
      </c>
      <c r="W3451">
        <v>1975</v>
      </c>
      <c r="X3451" t="s">
        <v>11334</v>
      </c>
      <c r="Y3451" t="s">
        <v>11353</v>
      </c>
      <c r="Z3451" t="s">
        <v>13668</v>
      </c>
      <c r="AB3451" t="s">
        <v>17996</v>
      </c>
      <c r="AC3451">
        <v>1</v>
      </c>
      <c r="AD3451" t="s">
        <v>19565</v>
      </c>
      <c r="AE3451" t="s">
        <v>9144</v>
      </c>
      <c r="AF3451">
        <v>-1</v>
      </c>
      <c r="AG3451">
        <v>1</v>
      </c>
      <c r="AH3451">
        <v>1</v>
      </c>
      <c r="AI3451">
        <v>118.27</v>
      </c>
      <c r="AL3451" t="s">
        <v>19614</v>
      </c>
      <c r="AM3451">
        <v>20000</v>
      </c>
      <c r="AS3451">
        <v>1.95</v>
      </c>
      <c r="AT3451" t="s">
        <v>314</v>
      </c>
      <c r="AU3451" t="s">
        <v>20653</v>
      </c>
      <c r="AV3451" t="s">
        <v>20733</v>
      </c>
    </row>
    <row r="3452" spans="1:48">
      <c r="A3452" s="1">
        <f>HYPERLINK("https://lsnyc.legalserver.org/matter/dynamic-profile/view/1905334","19-1905334")</f>
        <v>0</v>
      </c>
      <c r="B3452" t="s">
        <v>183</v>
      </c>
      <c r="C3452" t="s">
        <v>256</v>
      </c>
      <c r="D3452" t="s">
        <v>621</v>
      </c>
      <c r="F3452" t="s">
        <v>2539</v>
      </c>
      <c r="G3452" t="s">
        <v>3881</v>
      </c>
      <c r="H3452" t="s">
        <v>7328</v>
      </c>
      <c r="I3452" t="s">
        <v>8168</v>
      </c>
      <c r="J3452" t="s">
        <v>9067</v>
      </c>
      <c r="K3452">
        <v>10029</v>
      </c>
      <c r="L3452" t="s">
        <v>9094</v>
      </c>
      <c r="M3452" t="s">
        <v>9095</v>
      </c>
      <c r="O3452" t="s">
        <v>11141</v>
      </c>
      <c r="P3452" t="s">
        <v>11169</v>
      </c>
      <c r="R3452" t="s">
        <v>11180</v>
      </c>
      <c r="S3452" t="s">
        <v>9096</v>
      </c>
      <c r="T3452" t="s">
        <v>11193</v>
      </c>
      <c r="V3452" t="s">
        <v>335</v>
      </c>
      <c r="W3452">
        <v>0</v>
      </c>
      <c r="X3452" t="s">
        <v>11335</v>
      </c>
      <c r="Z3452" t="s">
        <v>13669</v>
      </c>
      <c r="AB3452" t="s">
        <v>17997</v>
      </c>
      <c r="AC3452">
        <v>24</v>
      </c>
      <c r="AF3452">
        <v>0</v>
      </c>
      <c r="AG3452">
        <v>2</v>
      </c>
      <c r="AH3452">
        <v>0</v>
      </c>
      <c r="AI3452">
        <v>118.27</v>
      </c>
      <c r="AL3452" t="s">
        <v>19615</v>
      </c>
      <c r="AM3452">
        <v>20000</v>
      </c>
      <c r="AS3452">
        <v>0.6</v>
      </c>
      <c r="AT3452" t="s">
        <v>339</v>
      </c>
      <c r="AU3452" t="s">
        <v>20658</v>
      </c>
      <c r="AV3452" t="s">
        <v>20733</v>
      </c>
    </row>
    <row r="3453" spans="1:48">
      <c r="A3453" s="1">
        <f>HYPERLINK("https://lsnyc.legalserver.org/matter/dynamic-profile/view/1857037","18-1857037")</f>
        <v>0</v>
      </c>
      <c r="B3453" t="s">
        <v>119</v>
      </c>
      <c r="C3453" t="s">
        <v>256</v>
      </c>
      <c r="D3453" t="s">
        <v>465</v>
      </c>
      <c r="F3453" t="s">
        <v>2540</v>
      </c>
      <c r="G3453" t="s">
        <v>4770</v>
      </c>
      <c r="H3453" t="s">
        <v>5897</v>
      </c>
      <c r="I3453" t="s">
        <v>8739</v>
      </c>
      <c r="J3453" t="s">
        <v>9065</v>
      </c>
      <c r="K3453">
        <v>10452</v>
      </c>
      <c r="L3453" t="s">
        <v>9094</v>
      </c>
      <c r="M3453" t="s">
        <v>9095</v>
      </c>
      <c r="N3453" t="s">
        <v>9252</v>
      </c>
      <c r="O3453" t="s">
        <v>11135</v>
      </c>
      <c r="P3453" t="s">
        <v>11168</v>
      </c>
      <c r="R3453" t="s">
        <v>11180</v>
      </c>
      <c r="S3453" t="s">
        <v>9094</v>
      </c>
      <c r="T3453" t="s">
        <v>11183</v>
      </c>
      <c r="V3453" t="s">
        <v>673</v>
      </c>
      <c r="W3453">
        <v>766.61</v>
      </c>
      <c r="X3453" t="s">
        <v>11333</v>
      </c>
      <c r="Y3453" t="s">
        <v>11346</v>
      </c>
      <c r="Z3453" t="s">
        <v>13670</v>
      </c>
      <c r="AB3453" t="s">
        <v>17998</v>
      </c>
      <c r="AC3453">
        <v>122</v>
      </c>
      <c r="AD3453" t="s">
        <v>19566</v>
      </c>
      <c r="AE3453" t="s">
        <v>9144</v>
      </c>
      <c r="AF3453">
        <v>23</v>
      </c>
      <c r="AG3453">
        <v>2</v>
      </c>
      <c r="AH3453">
        <v>4</v>
      </c>
      <c r="AI3453">
        <v>118.33</v>
      </c>
      <c r="AL3453" t="s">
        <v>19614</v>
      </c>
      <c r="AM3453">
        <v>78000</v>
      </c>
      <c r="AN3453" t="s">
        <v>19957</v>
      </c>
      <c r="AS3453">
        <v>0.1</v>
      </c>
      <c r="AT3453" t="s">
        <v>507</v>
      </c>
      <c r="AU3453" t="s">
        <v>20647</v>
      </c>
    </row>
    <row r="3454" spans="1:48">
      <c r="A3454" s="1">
        <f>HYPERLINK("https://lsnyc.legalserver.org/matter/dynamic-profile/view/1902207","19-1902207")</f>
        <v>0</v>
      </c>
      <c r="B3454" t="s">
        <v>92</v>
      </c>
      <c r="C3454" t="s">
        <v>256</v>
      </c>
      <c r="D3454" t="s">
        <v>584</v>
      </c>
      <c r="F3454" t="s">
        <v>1788</v>
      </c>
      <c r="G3454" t="s">
        <v>4719</v>
      </c>
      <c r="H3454" t="s">
        <v>7276</v>
      </c>
      <c r="I3454" t="s">
        <v>8154</v>
      </c>
      <c r="J3454" t="s">
        <v>9059</v>
      </c>
      <c r="K3454">
        <v>11207</v>
      </c>
      <c r="L3454" t="s">
        <v>9094</v>
      </c>
      <c r="M3454" t="s">
        <v>9095</v>
      </c>
      <c r="N3454" t="s">
        <v>10403</v>
      </c>
      <c r="O3454" t="s">
        <v>11129</v>
      </c>
      <c r="P3454" t="s">
        <v>11165</v>
      </c>
      <c r="R3454" t="s">
        <v>11180</v>
      </c>
      <c r="S3454" t="s">
        <v>9096</v>
      </c>
      <c r="T3454" t="s">
        <v>11183</v>
      </c>
      <c r="U3454" t="s">
        <v>11201</v>
      </c>
      <c r="V3454" t="s">
        <v>327</v>
      </c>
      <c r="W3454">
        <v>1400</v>
      </c>
      <c r="X3454" t="s">
        <v>11332</v>
      </c>
      <c r="Y3454" t="s">
        <v>11340</v>
      </c>
      <c r="Z3454" t="s">
        <v>13572</v>
      </c>
      <c r="AA3454" t="s">
        <v>15287</v>
      </c>
      <c r="AB3454" t="s">
        <v>17911</v>
      </c>
      <c r="AC3454">
        <v>6</v>
      </c>
      <c r="AD3454" t="s">
        <v>19566</v>
      </c>
      <c r="AE3454" t="s">
        <v>9144</v>
      </c>
      <c r="AF3454">
        <v>10</v>
      </c>
      <c r="AG3454">
        <v>2</v>
      </c>
      <c r="AH3454">
        <v>0</v>
      </c>
      <c r="AI3454">
        <v>118.37</v>
      </c>
      <c r="AL3454" t="s">
        <v>19615</v>
      </c>
      <c r="AM3454">
        <v>20016</v>
      </c>
      <c r="AS3454">
        <v>41.2</v>
      </c>
      <c r="AT3454" t="s">
        <v>612</v>
      </c>
      <c r="AU3454" t="s">
        <v>95</v>
      </c>
      <c r="AV3454" t="s">
        <v>20733</v>
      </c>
    </row>
    <row r="3455" spans="1:48">
      <c r="A3455" s="1">
        <f>HYPERLINK("https://lsnyc.legalserver.org/matter/dynamic-profile/view/1889124","19-1889124")</f>
        <v>0</v>
      </c>
      <c r="B3455" t="s">
        <v>154</v>
      </c>
      <c r="C3455" t="s">
        <v>257</v>
      </c>
      <c r="D3455" t="s">
        <v>543</v>
      </c>
      <c r="E3455" t="s">
        <v>597</v>
      </c>
      <c r="F3455" t="s">
        <v>2541</v>
      </c>
      <c r="G3455" t="s">
        <v>2338</v>
      </c>
      <c r="H3455" t="s">
        <v>7329</v>
      </c>
      <c r="I3455" t="s">
        <v>8132</v>
      </c>
      <c r="J3455" t="s">
        <v>9066</v>
      </c>
      <c r="K3455">
        <v>10301</v>
      </c>
      <c r="L3455" t="s">
        <v>9096</v>
      </c>
      <c r="M3455" t="s">
        <v>9094</v>
      </c>
      <c r="N3455" t="s">
        <v>10404</v>
      </c>
      <c r="O3455" t="s">
        <v>11130</v>
      </c>
      <c r="P3455" t="s">
        <v>11165</v>
      </c>
      <c r="Q3455" t="s">
        <v>11174</v>
      </c>
      <c r="R3455" t="s">
        <v>11180</v>
      </c>
      <c r="S3455" t="s">
        <v>9096</v>
      </c>
      <c r="T3455" t="s">
        <v>11183</v>
      </c>
      <c r="U3455" t="s">
        <v>11202</v>
      </c>
      <c r="V3455" t="s">
        <v>543</v>
      </c>
      <c r="W3455">
        <v>1199</v>
      </c>
      <c r="X3455" t="s">
        <v>11334</v>
      </c>
      <c r="Y3455" t="s">
        <v>11338</v>
      </c>
      <c r="Z3455" t="s">
        <v>13671</v>
      </c>
      <c r="AB3455" t="s">
        <v>17999</v>
      </c>
      <c r="AC3455">
        <v>7</v>
      </c>
      <c r="AD3455" t="s">
        <v>19566</v>
      </c>
      <c r="AE3455" t="s">
        <v>19580</v>
      </c>
      <c r="AF3455">
        <v>4</v>
      </c>
      <c r="AG3455">
        <v>1</v>
      </c>
      <c r="AH3455">
        <v>0</v>
      </c>
      <c r="AI3455">
        <v>118.37</v>
      </c>
      <c r="AL3455" t="s">
        <v>19614</v>
      </c>
      <c r="AM3455">
        <v>14784</v>
      </c>
      <c r="AP3455" t="s">
        <v>20347</v>
      </c>
      <c r="AS3455">
        <v>18</v>
      </c>
      <c r="AT3455" t="s">
        <v>20587</v>
      </c>
      <c r="AU3455" t="s">
        <v>20654</v>
      </c>
    </row>
    <row r="3456" spans="1:48">
      <c r="A3456" s="1">
        <f>HYPERLINK("https://lsnyc.legalserver.org/matter/dynamic-profile/view/1862894","18-1862894")</f>
        <v>0</v>
      </c>
      <c r="B3456" t="s">
        <v>86</v>
      </c>
      <c r="C3456" t="s">
        <v>256</v>
      </c>
      <c r="D3456" t="s">
        <v>439</v>
      </c>
      <c r="F3456" t="s">
        <v>1199</v>
      </c>
      <c r="G3456" t="s">
        <v>4528</v>
      </c>
      <c r="H3456" t="s">
        <v>5786</v>
      </c>
      <c r="I3456" t="s">
        <v>8641</v>
      </c>
      <c r="J3456" t="s">
        <v>9059</v>
      </c>
      <c r="K3456">
        <v>11225</v>
      </c>
      <c r="L3456" t="s">
        <v>9094</v>
      </c>
      <c r="M3456" t="s">
        <v>9095</v>
      </c>
      <c r="O3456" t="s">
        <v>11130</v>
      </c>
      <c r="P3456" t="s">
        <v>11165</v>
      </c>
      <c r="R3456" t="s">
        <v>11180</v>
      </c>
      <c r="S3456" t="s">
        <v>9094</v>
      </c>
      <c r="T3456" t="s">
        <v>11183</v>
      </c>
      <c r="V3456" t="s">
        <v>439</v>
      </c>
      <c r="W3456">
        <v>1000</v>
      </c>
      <c r="X3456" t="s">
        <v>11332</v>
      </c>
      <c r="Y3456" t="s">
        <v>11346</v>
      </c>
      <c r="Z3456" t="s">
        <v>13200</v>
      </c>
      <c r="AC3456">
        <v>47</v>
      </c>
      <c r="AD3456" t="s">
        <v>19566</v>
      </c>
      <c r="AE3456" t="s">
        <v>9144</v>
      </c>
      <c r="AF3456">
        <v>36</v>
      </c>
      <c r="AG3456">
        <v>3</v>
      </c>
      <c r="AH3456">
        <v>0</v>
      </c>
      <c r="AI3456">
        <v>118.38</v>
      </c>
      <c r="AL3456" t="s">
        <v>19614</v>
      </c>
      <c r="AM3456">
        <v>24600</v>
      </c>
      <c r="AS3456">
        <v>1.25</v>
      </c>
      <c r="AT3456" t="s">
        <v>389</v>
      </c>
      <c r="AU3456" t="s">
        <v>20630</v>
      </c>
    </row>
    <row r="3457" spans="1:48">
      <c r="A3457" s="1">
        <f>HYPERLINK("https://lsnyc.legalserver.org/matter/dynamic-profile/view/1879874","18-1879874")</f>
        <v>0</v>
      </c>
      <c r="B3457" t="s">
        <v>114</v>
      </c>
      <c r="C3457" t="s">
        <v>256</v>
      </c>
      <c r="D3457" t="s">
        <v>313</v>
      </c>
      <c r="F3457" t="s">
        <v>2542</v>
      </c>
      <c r="G3457" t="s">
        <v>4765</v>
      </c>
      <c r="H3457" t="s">
        <v>5891</v>
      </c>
      <c r="I3457" t="s">
        <v>8178</v>
      </c>
      <c r="J3457" t="s">
        <v>9065</v>
      </c>
      <c r="K3457">
        <v>10453</v>
      </c>
      <c r="L3457" t="s">
        <v>9094</v>
      </c>
      <c r="M3457" t="s">
        <v>9095</v>
      </c>
      <c r="N3457" t="s">
        <v>10405</v>
      </c>
      <c r="O3457" t="s">
        <v>11129</v>
      </c>
      <c r="P3457" t="s">
        <v>11165</v>
      </c>
      <c r="R3457" t="s">
        <v>11180</v>
      </c>
      <c r="S3457" t="s">
        <v>9096</v>
      </c>
      <c r="T3457" t="s">
        <v>11183</v>
      </c>
      <c r="U3457" t="s">
        <v>11201</v>
      </c>
      <c r="V3457" t="s">
        <v>11218</v>
      </c>
      <c r="W3457">
        <v>2000</v>
      </c>
      <c r="X3457" t="s">
        <v>11333</v>
      </c>
      <c r="Z3457" t="s">
        <v>13672</v>
      </c>
      <c r="AB3457" t="s">
        <v>18000</v>
      </c>
      <c r="AC3457">
        <v>300</v>
      </c>
      <c r="AF3457">
        <v>27</v>
      </c>
      <c r="AG3457">
        <v>3</v>
      </c>
      <c r="AH3457">
        <v>0</v>
      </c>
      <c r="AI3457">
        <v>118.38</v>
      </c>
      <c r="AL3457" t="s">
        <v>19614</v>
      </c>
      <c r="AM3457">
        <v>24600</v>
      </c>
      <c r="AS3457">
        <v>24.5</v>
      </c>
      <c r="AT3457" t="s">
        <v>367</v>
      </c>
      <c r="AU3457" t="s">
        <v>20627</v>
      </c>
      <c r="AV3457" t="s">
        <v>20733</v>
      </c>
    </row>
    <row r="3458" spans="1:48">
      <c r="A3458" s="1">
        <f>HYPERLINK("https://lsnyc.legalserver.org/matter/dynamic-profile/view/1846792","17-1846792")</f>
        <v>0</v>
      </c>
      <c r="B3458" t="s">
        <v>114</v>
      </c>
      <c r="C3458" t="s">
        <v>256</v>
      </c>
      <c r="D3458" t="s">
        <v>1018</v>
      </c>
      <c r="F3458" t="s">
        <v>2421</v>
      </c>
      <c r="G3458" t="s">
        <v>4666</v>
      </c>
      <c r="H3458" t="s">
        <v>7203</v>
      </c>
      <c r="I3458" t="s">
        <v>8132</v>
      </c>
      <c r="J3458" t="s">
        <v>9065</v>
      </c>
      <c r="K3458">
        <v>10453</v>
      </c>
      <c r="L3458" t="s">
        <v>9094</v>
      </c>
      <c r="M3458" t="s">
        <v>9095</v>
      </c>
      <c r="N3458" t="s">
        <v>10406</v>
      </c>
      <c r="O3458" t="s">
        <v>11129</v>
      </c>
      <c r="P3458" t="s">
        <v>11165</v>
      </c>
      <c r="R3458" t="s">
        <v>11180</v>
      </c>
      <c r="S3458" t="s">
        <v>9096</v>
      </c>
      <c r="T3458" t="s">
        <v>11183</v>
      </c>
      <c r="V3458" t="s">
        <v>1103</v>
      </c>
      <c r="W3458">
        <v>896</v>
      </c>
      <c r="X3458" t="s">
        <v>11333</v>
      </c>
      <c r="Y3458" t="s">
        <v>11340</v>
      </c>
      <c r="Z3458" t="s">
        <v>13442</v>
      </c>
      <c r="AB3458" t="s">
        <v>17780</v>
      </c>
      <c r="AC3458">
        <v>20</v>
      </c>
      <c r="AD3458" t="s">
        <v>19571</v>
      </c>
      <c r="AE3458" t="s">
        <v>19581</v>
      </c>
      <c r="AF3458">
        <v>18</v>
      </c>
      <c r="AG3458">
        <v>2</v>
      </c>
      <c r="AH3458">
        <v>3</v>
      </c>
      <c r="AI3458">
        <v>118.43</v>
      </c>
      <c r="AL3458" t="s">
        <v>19614</v>
      </c>
      <c r="AM3458">
        <v>42881.28</v>
      </c>
      <c r="AN3458" t="s">
        <v>19958</v>
      </c>
      <c r="AS3458">
        <v>69.90000000000001</v>
      </c>
      <c r="AT3458" t="s">
        <v>313</v>
      </c>
      <c r="AU3458" t="s">
        <v>20632</v>
      </c>
    </row>
    <row r="3459" spans="1:48">
      <c r="A3459" s="1">
        <f>HYPERLINK("https://lsnyc.legalserver.org/matter/dynamic-profile/view/1867765","18-1867765")</f>
        <v>0</v>
      </c>
      <c r="B3459" t="s">
        <v>222</v>
      </c>
      <c r="C3459" t="s">
        <v>257</v>
      </c>
      <c r="D3459" t="s">
        <v>666</v>
      </c>
      <c r="E3459" t="s">
        <v>331</v>
      </c>
      <c r="F3459" t="s">
        <v>2543</v>
      </c>
      <c r="G3459" t="s">
        <v>3332</v>
      </c>
      <c r="H3459" t="s">
        <v>7330</v>
      </c>
      <c r="I3459" t="s">
        <v>8112</v>
      </c>
      <c r="J3459" t="s">
        <v>9067</v>
      </c>
      <c r="K3459">
        <v>10030</v>
      </c>
      <c r="L3459" t="s">
        <v>9095</v>
      </c>
      <c r="M3459" t="s">
        <v>9095</v>
      </c>
      <c r="Q3459" t="s">
        <v>11173</v>
      </c>
      <c r="R3459" t="s">
        <v>11180</v>
      </c>
      <c r="T3459" t="s">
        <v>11183</v>
      </c>
      <c r="W3459">
        <v>0</v>
      </c>
      <c r="X3459" t="s">
        <v>11335</v>
      </c>
      <c r="Z3459" t="s">
        <v>13673</v>
      </c>
      <c r="AB3459" t="s">
        <v>18001</v>
      </c>
      <c r="AC3459">
        <v>0</v>
      </c>
      <c r="AF3459">
        <v>0</v>
      </c>
      <c r="AG3459">
        <v>1</v>
      </c>
      <c r="AH3459">
        <v>1</v>
      </c>
      <c r="AI3459">
        <v>118.47</v>
      </c>
      <c r="AL3459" t="s">
        <v>19614</v>
      </c>
      <c r="AM3459">
        <v>19500</v>
      </c>
      <c r="AS3459">
        <v>1.2</v>
      </c>
      <c r="AT3459" t="s">
        <v>958</v>
      </c>
      <c r="AU3459" t="s">
        <v>20658</v>
      </c>
    </row>
    <row r="3460" spans="1:48">
      <c r="A3460" s="1">
        <f>HYPERLINK("https://lsnyc.legalserver.org/matter/dynamic-profile/view/1846641","17-1846641")</f>
        <v>0</v>
      </c>
      <c r="B3460" t="s">
        <v>132</v>
      </c>
      <c r="C3460" t="s">
        <v>256</v>
      </c>
      <c r="D3460" t="s">
        <v>1006</v>
      </c>
      <c r="F3460" t="s">
        <v>1147</v>
      </c>
      <c r="G3460" t="s">
        <v>3448</v>
      </c>
      <c r="H3460" t="s">
        <v>5936</v>
      </c>
      <c r="I3460" t="s">
        <v>8308</v>
      </c>
      <c r="J3460" t="s">
        <v>9067</v>
      </c>
      <c r="K3460">
        <v>10040</v>
      </c>
      <c r="L3460" t="s">
        <v>9094</v>
      </c>
      <c r="M3460" t="s">
        <v>9095</v>
      </c>
      <c r="O3460" t="s">
        <v>11130</v>
      </c>
      <c r="P3460" t="s">
        <v>11165</v>
      </c>
      <c r="R3460" t="s">
        <v>11180</v>
      </c>
      <c r="S3460" t="s">
        <v>9096</v>
      </c>
      <c r="T3460" t="s">
        <v>11183</v>
      </c>
      <c r="V3460" t="s">
        <v>1006</v>
      </c>
      <c r="W3460">
        <v>1447</v>
      </c>
      <c r="X3460" t="s">
        <v>11335</v>
      </c>
      <c r="Y3460" t="s">
        <v>11338</v>
      </c>
      <c r="Z3460" t="s">
        <v>13674</v>
      </c>
      <c r="AB3460" t="s">
        <v>18002</v>
      </c>
      <c r="AC3460">
        <v>42</v>
      </c>
      <c r="AD3460" t="s">
        <v>19566</v>
      </c>
      <c r="AE3460" t="s">
        <v>19580</v>
      </c>
      <c r="AF3460">
        <v>24</v>
      </c>
      <c r="AG3460">
        <v>1</v>
      </c>
      <c r="AH3460">
        <v>0</v>
      </c>
      <c r="AI3460">
        <v>118.57</v>
      </c>
      <c r="AJ3460" t="s">
        <v>527</v>
      </c>
      <c r="AL3460" t="s">
        <v>19615</v>
      </c>
      <c r="AM3460">
        <v>14300</v>
      </c>
      <c r="AS3460">
        <v>3.3</v>
      </c>
      <c r="AT3460" t="s">
        <v>488</v>
      </c>
      <c r="AU3460" t="s">
        <v>130</v>
      </c>
    </row>
    <row r="3461" spans="1:48">
      <c r="A3461" s="1">
        <f>HYPERLINK("https://lsnyc.legalserver.org/matter/dynamic-profile/view/1880942","18-1880942")</f>
        <v>0</v>
      </c>
      <c r="B3461" t="s">
        <v>211</v>
      </c>
      <c r="C3461" t="s">
        <v>256</v>
      </c>
      <c r="D3461" t="s">
        <v>917</v>
      </c>
      <c r="F3461" t="s">
        <v>2544</v>
      </c>
      <c r="G3461" t="s">
        <v>4771</v>
      </c>
      <c r="H3461" t="s">
        <v>7331</v>
      </c>
      <c r="I3461" t="s">
        <v>8151</v>
      </c>
      <c r="J3461" t="s">
        <v>9055</v>
      </c>
      <c r="K3461">
        <v>11358</v>
      </c>
      <c r="L3461" t="s">
        <v>9094</v>
      </c>
      <c r="M3461" t="s">
        <v>9094</v>
      </c>
      <c r="N3461" t="s">
        <v>10407</v>
      </c>
      <c r="O3461" t="s">
        <v>11149</v>
      </c>
      <c r="P3461" t="s">
        <v>11165</v>
      </c>
      <c r="R3461" t="s">
        <v>11180</v>
      </c>
      <c r="S3461" t="s">
        <v>9096</v>
      </c>
      <c r="T3461" t="s">
        <v>11183</v>
      </c>
      <c r="U3461" t="s">
        <v>11201</v>
      </c>
      <c r="V3461" t="s">
        <v>583</v>
      </c>
      <c r="W3461">
        <v>937</v>
      </c>
      <c r="X3461" t="s">
        <v>11331</v>
      </c>
      <c r="Y3461" t="s">
        <v>11338</v>
      </c>
      <c r="Z3461" t="s">
        <v>13675</v>
      </c>
      <c r="AA3461" t="s">
        <v>9144</v>
      </c>
      <c r="AB3461" t="s">
        <v>18003</v>
      </c>
      <c r="AC3461">
        <v>20</v>
      </c>
      <c r="AD3461" t="s">
        <v>19566</v>
      </c>
      <c r="AE3461" t="s">
        <v>9144</v>
      </c>
      <c r="AF3461">
        <v>10</v>
      </c>
      <c r="AG3461">
        <v>1</v>
      </c>
      <c r="AH3461">
        <v>0</v>
      </c>
      <c r="AI3461">
        <v>118.62</v>
      </c>
      <c r="AL3461" t="s">
        <v>19614</v>
      </c>
      <c r="AM3461">
        <v>14400</v>
      </c>
      <c r="AO3461" t="s">
        <v>20293</v>
      </c>
      <c r="AP3461" t="s">
        <v>20346</v>
      </c>
      <c r="AQ3461" t="s">
        <v>20368</v>
      </c>
      <c r="AR3461" t="s">
        <v>20517</v>
      </c>
      <c r="AS3461">
        <v>10.7</v>
      </c>
      <c r="AT3461" t="s">
        <v>573</v>
      </c>
      <c r="AU3461" t="s">
        <v>20627</v>
      </c>
    </row>
    <row r="3462" spans="1:48">
      <c r="A3462" s="1">
        <f>HYPERLINK("https://lsnyc.legalserver.org/matter/dynamic-profile/view/1885139","18-1885139")</f>
        <v>0</v>
      </c>
      <c r="B3462" t="s">
        <v>211</v>
      </c>
      <c r="C3462" t="s">
        <v>256</v>
      </c>
      <c r="D3462" t="s">
        <v>375</v>
      </c>
      <c r="F3462" t="s">
        <v>2544</v>
      </c>
      <c r="G3462" t="s">
        <v>4771</v>
      </c>
      <c r="H3462" t="s">
        <v>7331</v>
      </c>
      <c r="I3462" t="s">
        <v>8151</v>
      </c>
      <c r="J3462" t="s">
        <v>9055</v>
      </c>
      <c r="K3462">
        <v>11358</v>
      </c>
      <c r="L3462" t="s">
        <v>9094</v>
      </c>
      <c r="M3462" t="s">
        <v>9094</v>
      </c>
      <c r="N3462" t="s">
        <v>10408</v>
      </c>
      <c r="O3462" t="s">
        <v>11149</v>
      </c>
      <c r="P3462" t="s">
        <v>11165</v>
      </c>
      <c r="R3462" t="s">
        <v>11180</v>
      </c>
      <c r="S3462" t="s">
        <v>9096</v>
      </c>
      <c r="T3462" t="s">
        <v>11183</v>
      </c>
      <c r="U3462" t="s">
        <v>11201</v>
      </c>
      <c r="V3462" t="s">
        <v>583</v>
      </c>
      <c r="W3462">
        <v>937</v>
      </c>
      <c r="X3462" t="s">
        <v>11331</v>
      </c>
      <c r="Y3462" t="s">
        <v>11338</v>
      </c>
      <c r="Z3462" t="s">
        <v>13675</v>
      </c>
      <c r="AB3462" t="s">
        <v>18003</v>
      </c>
      <c r="AC3462">
        <v>20</v>
      </c>
      <c r="AD3462" t="s">
        <v>19566</v>
      </c>
      <c r="AE3462" t="s">
        <v>9144</v>
      </c>
      <c r="AF3462">
        <v>10</v>
      </c>
      <c r="AG3462">
        <v>1</v>
      </c>
      <c r="AH3462">
        <v>0</v>
      </c>
      <c r="AI3462">
        <v>118.62</v>
      </c>
      <c r="AL3462" t="s">
        <v>19614</v>
      </c>
      <c r="AM3462">
        <v>14400</v>
      </c>
      <c r="AO3462" t="s">
        <v>20293</v>
      </c>
      <c r="AP3462" t="s">
        <v>20346</v>
      </c>
      <c r="AQ3462" t="s">
        <v>20368</v>
      </c>
      <c r="AR3462" t="s">
        <v>20517</v>
      </c>
      <c r="AS3462">
        <v>5.3</v>
      </c>
      <c r="AT3462" t="s">
        <v>573</v>
      </c>
      <c r="AU3462" t="s">
        <v>81</v>
      </c>
    </row>
    <row r="3463" spans="1:48">
      <c r="A3463" s="1">
        <f>HYPERLINK("https://lsnyc.legalserver.org/matter/dynamic-profile/view/1885142","18-1885142")</f>
        <v>0</v>
      </c>
      <c r="B3463" t="s">
        <v>60</v>
      </c>
      <c r="C3463" t="s">
        <v>256</v>
      </c>
      <c r="D3463" t="s">
        <v>375</v>
      </c>
      <c r="F3463" t="s">
        <v>2544</v>
      </c>
      <c r="G3463" t="s">
        <v>4771</v>
      </c>
      <c r="H3463" t="s">
        <v>7331</v>
      </c>
      <c r="I3463" t="s">
        <v>8151</v>
      </c>
      <c r="J3463" t="s">
        <v>9055</v>
      </c>
      <c r="K3463">
        <v>11358</v>
      </c>
      <c r="L3463" t="s">
        <v>9094</v>
      </c>
      <c r="M3463" t="s">
        <v>9094</v>
      </c>
      <c r="N3463" t="s">
        <v>10409</v>
      </c>
      <c r="O3463" t="s">
        <v>11149</v>
      </c>
      <c r="P3463" t="s">
        <v>11165</v>
      </c>
      <c r="R3463" t="s">
        <v>11180</v>
      </c>
      <c r="S3463" t="s">
        <v>9096</v>
      </c>
      <c r="T3463" t="s">
        <v>11183</v>
      </c>
      <c r="U3463" t="s">
        <v>11201</v>
      </c>
      <c r="V3463" t="s">
        <v>583</v>
      </c>
      <c r="W3463">
        <v>937</v>
      </c>
      <c r="X3463" t="s">
        <v>11331</v>
      </c>
      <c r="Y3463" t="s">
        <v>11338</v>
      </c>
      <c r="Z3463" t="s">
        <v>13675</v>
      </c>
      <c r="AB3463" t="s">
        <v>18003</v>
      </c>
      <c r="AC3463">
        <v>20</v>
      </c>
      <c r="AD3463" t="s">
        <v>19566</v>
      </c>
      <c r="AE3463" t="s">
        <v>9144</v>
      </c>
      <c r="AF3463">
        <v>10</v>
      </c>
      <c r="AG3463">
        <v>1</v>
      </c>
      <c r="AH3463">
        <v>0</v>
      </c>
      <c r="AI3463">
        <v>118.62</v>
      </c>
      <c r="AL3463" t="s">
        <v>19614</v>
      </c>
      <c r="AM3463">
        <v>14400</v>
      </c>
      <c r="AO3463" t="s">
        <v>20293</v>
      </c>
      <c r="AP3463" t="s">
        <v>20346</v>
      </c>
      <c r="AQ3463" t="s">
        <v>20368</v>
      </c>
      <c r="AR3463" t="s">
        <v>20517</v>
      </c>
      <c r="AS3463">
        <v>75.75</v>
      </c>
      <c r="AT3463" t="s">
        <v>503</v>
      </c>
      <c r="AU3463" t="s">
        <v>81</v>
      </c>
    </row>
    <row r="3464" spans="1:48">
      <c r="A3464" s="1">
        <f>HYPERLINK("https://lsnyc.legalserver.org/matter/dynamic-profile/view/1871558","18-1871558")</f>
        <v>0</v>
      </c>
      <c r="B3464" t="s">
        <v>78</v>
      </c>
      <c r="C3464" t="s">
        <v>256</v>
      </c>
      <c r="D3464" t="s">
        <v>389</v>
      </c>
      <c r="F3464" t="s">
        <v>1886</v>
      </c>
      <c r="G3464" t="s">
        <v>1299</v>
      </c>
      <c r="H3464" t="s">
        <v>5809</v>
      </c>
      <c r="I3464" t="s">
        <v>8740</v>
      </c>
      <c r="J3464" t="s">
        <v>9059</v>
      </c>
      <c r="K3464">
        <v>11212</v>
      </c>
      <c r="L3464" t="s">
        <v>9094</v>
      </c>
      <c r="M3464" t="s">
        <v>9095</v>
      </c>
      <c r="O3464" t="s">
        <v>9121</v>
      </c>
      <c r="P3464" t="s">
        <v>11167</v>
      </c>
      <c r="R3464" t="s">
        <v>11180</v>
      </c>
      <c r="S3464" t="s">
        <v>9094</v>
      </c>
      <c r="T3464" t="s">
        <v>11183</v>
      </c>
      <c r="V3464" t="s">
        <v>11214</v>
      </c>
      <c r="W3464">
        <v>900</v>
      </c>
      <c r="X3464" t="s">
        <v>11332</v>
      </c>
      <c r="Y3464" t="s">
        <v>11157</v>
      </c>
      <c r="Z3464" t="s">
        <v>13676</v>
      </c>
      <c r="AB3464" t="s">
        <v>18004</v>
      </c>
      <c r="AC3464">
        <v>32</v>
      </c>
      <c r="AD3464" t="s">
        <v>19566</v>
      </c>
      <c r="AF3464">
        <v>18</v>
      </c>
      <c r="AG3464">
        <v>1</v>
      </c>
      <c r="AH3464">
        <v>0</v>
      </c>
      <c r="AI3464">
        <v>118.62</v>
      </c>
      <c r="AL3464" t="s">
        <v>19614</v>
      </c>
      <c r="AM3464">
        <v>14400</v>
      </c>
      <c r="AS3464">
        <v>0</v>
      </c>
      <c r="AU3464" t="s">
        <v>20637</v>
      </c>
    </row>
    <row r="3465" spans="1:48">
      <c r="A3465" s="1">
        <f>HYPERLINK("https://lsnyc.legalserver.org/matter/dynamic-profile/view/1867280","18-1867280")</f>
        <v>0</v>
      </c>
      <c r="B3465" t="s">
        <v>78</v>
      </c>
      <c r="C3465" t="s">
        <v>256</v>
      </c>
      <c r="D3465" t="s">
        <v>983</v>
      </c>
      <c r="F3465" t="s">
        <v>1886</v>
      </c>
      <c r="G3465" t="s">
        <v>1299</v>
      </c>
      <c r="H3465" t="s">
        <v>5809</v>
      </c>
      <c r="I3465" t="s">
        <v>8740</v>
      </c>
      <c r="J3465" t="s">
        <v>9059</v>
      </c>
      <c r="K3465">
        <v>11212</v>
      </c>
      <c r="L3465" t="s">
        <v>9094</v>
      </c>
      <c r="M3465" t="s">
        <v>9095</v>
      </c>
      <c r="O3465" t="s">
        <v>11137</v>
      </c>
      <c r="P3465" t="s">
        <v>11166</v>
      </c>
      <c r="R3465" t="s">
        <v>11180</v>
      </c>
      <c r="S3465" t="s">
        <v>9094</v>
      </c>
      <c r="T3465" t="s">
        <v>11183</v>
      </c>
      <c r="V3465" t="s">
        <v>673</v>
      </c>
      <c r="W3465">
        <v>900</v>
      </c>
      <c r="X3465" t="s">
        <v>11332</v>
      </c>
      <c r="Y3465" t="s">
        <v>11157</v>
      </c>
      <c r="Z3465" t="s">
        <v>13676</v>
      </c>
      <c r="AB3465" t="s">
        <v>18004</v>
      </c>
      <c r="AC3465">
        <v>32</v>
      </c>
      <c r="AD3465" t="s">
        <v>19566</v>
      </c>
      <c r="AF3465">
        <v>18</v>
      </c>
      <c r="AG3465">
        <v>1</v>
      </c>
      <c r="AH3465">
        <v>0</v>
      </c>
      <c r="AI3465">
        <v>118.62</v>
      </c>
      <c r="AL3465" t="s">
        <v>19614</v>
      </c>
      <c r="AM3465">
        <v>14400</v>
      </c>
      <c r="AS3465">
        <v>0</v>
      </c>
      <c r="AU3465" t="s">
        <v>95</v>
      </c>
    </row>
    <row r="3466" spans="1:48">
      <c r="A3466" s="1">
        <f>HYPERLINK("https://lsnyc.legalserver.org/matter/dynamic-profile/view/1880120","18-1880120")</f>
        <v>0</v>
      </c>
      <c r="B3466" t="s">
        <v>139</v>
      </c>
      <c r="C3466" t="s">
        <v>256</v>
      </c>
      <c r="D3466" t="s">
        <v>699</v>
      </c>
      <c r="F3466" t="s">
        <v>2545</v>
      </c>
      <c r="G3466" t="s">
        <v>4772</v>
      </c>
      <c r="H3466" t="s">
        <v>6363</v>
      </c>
      <c r="I3466" t="s">
        <v>8227</v>
      </c>
      <c r="J3466" t="s">
        <v>9067</v>
      </c>
      <c r="K3466">
        <v>10040</v>
      </c>
      <c r="L3466" t="s">
        <v>9094</v>
      </c>
      <c r="M3466" t="s">
        <v>9094</v>
      </c>
      <c r="O3466" t="s">
        <v>11134</v>
      </c>
      <c r="P3466" t="s">
        <v>11168</v>
      </c>
      <c r="R3466" t="s">
        <v>11180</v>
      </c>
      <c r="S3466" t="s">
        <v>9094</v>
      </c>
      <c r="T3466" t="s">
        <v>11183</v>
      </c>
      <c r="V3466" t="s">
        <v>699</v>
      </c>
      <c r="W3466">
        <v>1438.5</v>
      </c>
      <c r="X3466" t="s">
        <v>11335</v>
      </c>
      <c r="Y3466" t="s">
        <v>11340</v>
      </c>
      <c r="Z3466" t="s">
        <v>13677</v>
      </c>
      <c r="AB3466" t="s">
        <v>18005</v>
      </c>
      <c r="AC3466">
        <v>88</v>
      </c>
      <c r="AD3466" t="s">
        <v>19566</v>
      </c>
      <c r="AE3466" t="s">
        <v>9144</v>
      </c>
      <c r="AF3466">
        <v>3</v>
      </c>
      <c r="AG3466">
        <v>1</v>
      </c>
      <c r="AH3466">
        <v>0</v>
      </c>
      <c r="AI3466">
        <v>118.62</v>
      </c>
      <c r="AL3466" t="s">
        <v>19614</v>
      </c>
      <c r="AM3466">
        <v>14400</v>
      </c>
      <c r="AS3466">
        <v>0</v>
      </c>
      <c r="AU3466" t="s">
        <v>130</v>
      </c>
    </row>
    <row r="3467" spans="1:48">
      <c r="A3467" s="1">
        <f>HYPERLINK("https://lsnyc.legalserver.org/matter/dynamic-profile/view/1874697","18-1874697")</f>
        <v>0</v>
      </c>
      <c r="B3467" t="s">
        <v>132</v>
      </c>
      <c r="C3467" t="s">
        <v>257</v>
      </c>
      <c r="D3467" t="s">
        <v>536</v>
      </c>
      <c r="E3467" t="s">
        <v>331</v>
      </c>
      <c r="F3467" t="s">
        <v>1450</v>
      </c>
      <c r="G3467" t="s">
        <v>3370</v>
      </c>
      <c r="H3467" t="s">
        <v>5953</v>
      </c>
      <c r="I3467" t="s">
        <v>8164</v>
      </c>
      <c r="J3467" t="s">
        <v>9067</v>
      </c>
      <c r="K3467">
        <v>10033</v>
      </c>
      <c r="L3467" t="s">
        <v>9094</v>
      </c>
      <c r="M3467" t="s">
        <v>9094</v>
      </c>
      <c r="O3467" t="s">
        <v>11130</v>
      </c>
      <c r="P3467" t="s">
        <v>11165</v>
      </c>
      <c r="Q3467" t="s">
        <v>11178</v>
      </c>
      <c r="R3467" t="s">
        <v>11180</v>
      </c>
      <c r="S3467" t="s">
        <v>9094</v>
      </c>
      <c r="T3467" t="s">
        <v>11183</v>
      </c>
      <c r="V3467" t="s">
        <v>536</v>
      </c>
      <c r="W3467">
        <v>1198.63</v>
      </c>
      <c r="X3467" t="s">
        <v>11335</v>
      </c>
      <c r="Y3467" t="s">
        <v>11339</v>
      </c>
      <c r="Z3467" t="s">
        <v>13678</v>
      </c>
      <c r="AB3467" t="s">
        <v>18006</v>
      </c>
      <c r="AC3467">
        <v>232</v>
      </c>
      <c r="AD3467" t="s">
        <v>19566</v>
      </c>
      <c r="AE3467" t="s">
        <v>19587</v>
      </c>
      <c r="AF3467">
        <v>38</v>
      </c>
      <c r="AG3467">
        <v>1</v>
      </c>
      <c r="AH3467">
        <v>0</v>
      </c>
      <c r="AI3467">
        <v>118.62</v>
      </c>
      <c r="AL3467" t="s">
        <v>19615</v>
      </c>
      <c r="AM3467">
        <v>14400</v>
      </c>
      <c r="AS3467">
        <v>3.4</v>
      </c>
      <c r="AT3467" t="s">
        <v>521</v>
      </c>
      <c r="AU3467" t="s">
        <v>130</v>
      </c>
      <c r="AV3467" t="s">
        <v>20733</v>
      </c>
    </row>
    <row r="3468" spans="1:48">
      <c r="A3468" s="1">
        <f>HYPERLINK("https://lsnyc.legalserver.org/matter/dynamic-profile/view/1899389","19-1899389")</f>
        <v>0</v>
      </c>
      <c r="B3468" t="s">
        <v>56</v>
      </c>
      <c r="C3468" t="s">
        <v>256</v>
      </c>
      <c r="D3468" t="s">
        <v>608</v>
      </c>
      <c r="F3468" t="s">
        <v>1886</v>
      </c>
      <c r="G3468" t="s">
        <v>4773</v>
      </c>
      <c r="H3468" t="s">
        <v>7332</v>
      </c>
      <c r="J3468" t="s">
        <v>9045</v>
      </c>
      <c r="K3468">
        <v>11416</v>
      </c>
      <c r="L3468" t="s">
        <v>9094</v>
      </c>
      <c r="M3468" t="s">
        <v>9095</v>
      </c>
      <c r="N3468" t="s">
        <v>10410</v>
      </c>
      <c r="O3468" t="s">
        <v>11128</v>
      </c>
      <c r="P3468" t="s">
        <v>11167</v>
      </c>
      <c r="R3468" t="s">
        <v>11180</v>
      </c>
      <c r="S3468" t="s">
        <v>9096</v>
      </c>
      <c r="T3468" t="s">
        <v>11183</v>
      </c>
      <c r="U3468" t="s">
        <v>11203</v>
      </c>
      <c r="V3468" t="s">
        <v>608</v>
      </c>
      <c r="W3468">
        <v>1350</v>
      </c>
      <c r="X3468" t="s">
        <v>11331</v>
      </c>
      <c r="Y3468" t="s">
        <v>11336</v>
      </c>
      <c r="Z3468" t="s">
        <v>13679</v>
      </c>
      <c r="AA3468" t="s">
        <v>15274</v>
      </c>
      <c r="AB3468" t="s">
        <v>15274</v>
      </c>
      <c r="AC3468">
        <v>1</v>
      </c>
      <c r="AD3468" t="s">
        <v>15441</v>
      </c>
      <c r="AE3468" t="s">
        <v>9144</v>
      </c>
      <c r="AF3468">
        <v>10</v>
      </c>
      <c r="AG3468">
        <v>1</v>
      </c>
      <c r="AH3468">
        <v>0</v>
      </c>
      <c r="AI3468">
        <v>118.65</v>
      </c>
      <c r="AL3468" t="s">
        <v>19614</v>
      </c>
      <c r="AM3468">
        <v>14820</v>
      </c>
      <c r="AS3468">
        <v>1.2</v>
      </c>
      <c r="AT3468" t="s">
        <v>1129</v>
      </c>
      <c r="AU3468" t="s">
        <v>20622</v>
      </c>
      <c r="AV3468" t="s">
        <v>20733</v>
      </c>
    </row>
    <row r="3469" spans="1:48">
      <c r="A3469" s="1">
        <f>HYPERLINK("https://lsnyc.legalserver.org/matter/dynamic-profile/view/1864115","18-1864115")</f>
        <v>0</v>
      </c>
      <c r="B3469" t="s">
        <v>140</v>
      </c>
      <c r="C3469" t="s">
        <v>256</v>
      </c>
      <c r="D3469" t="s">
        <v>505</v>
      </c>
      <c r="F3469" t="s">
        <v>1904</v>
      </c>
      <c r="G3469" t="s">
        <v>3370</v>
      </c>
      <c r="H3469" t="s">
        <v>5999</v>
      </c>
      <c r="I3469" t="s">
        <v>8156</v>
      </c>
      <c r="J3469" t="s">
        <v>9067</v>
      </c>
      <c r="K3469">
        <v>10040</v>
      </c>
      <c r="L3469" t="s">
        <v>9094</v>
      </c>
      <c r="M3469" t="s">
        <v>9095</v>
      </c>
      <c r="N3469" t="s">
        <v>9314</v>
      </c>
      <c r="O3469" t="s">
        <v>11130</v>
      </c>
      <c r="P3469" t="s">
        <v>11165</v>
      </c>
      <c r="R3469" t="s">
        <v>11180</v>
      </c>
      <c r="S3469" t="s">
        <v>9094</v>
      </c>
      <c r="T3469" t="s">
        <v>11183</v>
      </c>
      <c r="V3469" t="s">
        <v>11249</v>
      </c>
      <c r="W3469">
        <v>1045.94</v>
      </c>
      <c r="X3469" t="s">
        <v>11335</v>
      </c>
      <c r="Y3469" t="s">
        <v>11340</v>
      </c>
      <c r="Z3469" t="s">
        <v>13195</v>
      </c>
      <c r="AB3469" t="s">
        <v>17552</v>
      </c>
      <c r="AC3469">
        <v>44</v>
      </c>
      <c r="AD3469" t="s">
        <v>19566</v>
      </c>
      <c r="AE3469" t="s">
        <v>9144</v>
      </c>
      <c r="AF3469">
        <v>36</v>
      </c>
      <c r="AG3469">
        <v>3</v>
      </c>
      <c r="AH3469">
        <v>0</v>
      </c>
      <c r="AI3469">
        <v>118.67</v>
      </c>
      <c r="AJ3469" t="s">
        <v>982</v>
      </c>
      <c r="AL3469" t="s">
        <v>19615</v>
      </c>
      <c r="AM3469">
        <v>24660</v>
      </c>
      <c r="AS3469">
        <v>92</v>
      </c>
      <c r="AT3469" t="s">
        <v>1135</v>
      </c>
      <c r="AU3469" t="s">
        <v>130</v>
      </c>
    </row>
    <row r="3470" spans="1:48">
      <c r="A3470" s="1">
        <f>HYPERLINK("https://lsnyc.legalserver.org/matter/dynamic-profile/view/1881670","18-1881670")</f>
        <v>0</v>
      </c>
      <c r="B3470" t="s">
        <v>114</v>
      </c>
      <c r="C3470" t="s">
        <v>257</v>
      </c>
      <c r="D3470" t="s">
        <v>477</v>
      </c>
      <c r="E3470" t="s">
        <v>294</v>
      </c>
      <c r="F3470" t="s">
        <v>1387</v>
      </c>
      <c r="G3470" t="s">
        <v>4462</v>
      </c>
      <c r="H3470" t="s">
        <v>5907</v>
      </c>
      <c r="I3470" t="s">
        <v>8403</v>
      </c>
      <c r="J3470" t="s">
        <v>9065</v>
      </c>
      <c r="K3470">
        <v>10451</v>
      </c>
      <c r="L3470" t="s">
        <v>9094</v>
      </c>
      <c r="M3470" t="s">
        <v>9094</v>
      </c>
      <c r="N3470" t="s">
        <v>9259</v>
      </c>
      <c r="O3470" t="s">
        <v>11130</v>
      </c>
      <c r="P3470" t="s">
        <v>11165</v>
      </c>
      <c r="Q3470" t="s">
        <v>11174</v>
      </c>
      <c r="R3470" t="s">
        <v>11180</v>
      </c>
      <c r="S3470" t="s">
        <v>9094</v>
      </c>
      <c r="T3470" t="s">
        <v>11183</v>
      </c>
      <c r="V3470" t="s">
        <v>738</v>
      </c>
      <c r="W3470">
        <v>2150</v>
      </c>
      <c r="X3470" t="s">
        <v>11333</v>
      </c>
      <c r="Y3470" t="s">
        <v>11346</v>
      </c>
      <c r="Z3470" t="s">
        <v>13680</v>
      </c>
      <c r="AB3470" t="s">
        <v>18007</v>
      </c>
      <c r="AC3470">
        <v>100</v>
      </c>
      <c r="AD3470" t="s">
        <v>19565</v>
      </c>
      <c r="AF3470">
        <v>3</v>
      </c>
      <c r="AG3470">
        <v>4</v>
      </c>
      <c r="AH3470">
        <v>0</v>
      </c>
      <c r="AI3470">
        <v>118.73</v>
      </c>
      <c r="AL3470" t="s">
        <v>19614</v>
      </c>
      <c r="AM3470">
        <v>29800</v>
      </c>
      <c r="AS3470">
        <v>104.25</v>
      </c>
      <c r="AT3470" t="s">
        <v>563</v>
      </c>
      <c r="AU3470" t="s">
        <v>163</v>
      </c>
    </row>
    <row r="3471" spans="1:48">
      <c r="A3471" s="1">
        <f>HYPERLINK("https://lsnyc.legalserver.org/matter/dynamic-profile/view/1881716","18-1881716")</f>
        <v>0</v>
      </c>
      <c r="B3471" t="s">
        <v>237</v>
      </c>
      <c r="C3471" t="s">
        <v>257</v>
      </c>
      <c r="D3471" t="s">
        <v>711</v>
      </c>
      <c r="E3471" t="s">
        <v>521</v>
      </c>
      <c r="F3471" t="s">
        <v>1566</v>
      </c>
      <c r="G3471" t="s">
        <v>3544</v>
      </c>
      <c r="H3471" t="s">
        <v>7333</v>
      </c>
      <c r="I3471" t="s">
        <v>8405</v>
      </c>
      <c r="J3471" t="s">
        <v>9065</v>
      </c>
      <c r="K3471">
        <v>10451</v>
      </c>
      <c r="L3471" t="s">
        <v>9094</v>
      </c>
      <c r="M3471" t="s">
        <v>9094</v>
      </c>
      <c r="N3471" t="s">
        <v>9675</v>
      </c>
      <c r="O3471" t="s">
        <v>11136</v>
      </c>
      <c r="P3471" t="s">
        <v>11167</v>
      </c>
      <c r="Q3471" t="s">
        <v>11172</v>
      </c>
      <c r="R3471" t="s">
        <v>11180</v>
      </c>
      <c r="S3471" t="s">
        <v>9096</v>
      </c>
      <c r="T3471" t="s">
        <v>11183</v>
      </c>
      <c r="U3471" t="s">
        <v>11201</v>
      </c>
      <c r="V3471" t="s">
        <v>1063</v>
      </c>
      <c r="W3471">
        <v>357</v>
      </c>
      <c r="X3471" t="s">
        <v>11333</v>
      </c>
      <c r="Y3471" t="s">
        <v>11157</v>
      </c>
      <c r="Z3471" t="s">
        <v>13681</v>
      </c>
      <c r="AA3471" t="s">
        <v>15796</v>
      </c>
      <c r="AB3471" t="s">
        <v>18008</v>
      </c>
      <c r="AC3471">
        <v>0</v>
      </c>
      <c r="AD3471" t="s">
        <v>19573</v>
      </c>
      <c r="AF3471">
        <v>6</v>
      </c>
      <c r="AG3471">
        <v>2</v>
      </c>
      <c r="AH3471">
        <v>1</v>
      </c>
      <c r="AI3471">
        <v>118.73</v>
      </c>
      <c r="AL3471" t="s">
        <v>19614</v>
      </c>
      <c r="AM3471">
        <v>24672</v>
      </c>
      <c r="AN3471" t="s">
        <v>19959</v>
      </c>
      <c r="AS3471">
        <v>25.6</v>
      </c>
      <c r="AT3471" t="s">
        <v>521</v>
      </c>
      <c r="AU3471" t="s">
        <v>163</v>
      </c>
      <c r="AV3471" t="s">
        <v>20733</v>
      </c>
    </row>
    <row r="3472" spans="1:48">
      <c r="A3472" s="1">
        <f>HYPERLINK("https://lsnyc.legalserver.org/matter/dynamic-profile/view/1874429","18-1874429")</f>
        <v>0</v>
      </c>
      <c r="B3472" t="s">
        <v>238</v>
      </c>
      <c r="C3472" t="s">
        <v>257</v>
      </c>
      <c r="D3472" t="s">
        <v>260</v>
      </c>
      <c r="E3472" t="s">
        <v>1130</v>
      </c>
      <c r="F3472" t="s">
        <v>1826</v>
      </c>
      <c r="G3472" t="s">
        <v>3498</v>
      </c>
      <c r="H3472" t="s">
        <v>7334</v>
      </c>
      <c r="I3472" t="s">
        <v>8249</v>
      </c>
      <c r="J3472" t="s">
        <v>9067</v>
      </c>
      <c r="K3472">
        <v>10029</v>
      </c>
      <c r="L3472" t="s">
        <v>9094</v>
      </c>
      <c r="M3472" t="s">
        <v>9094</v>
      </c>
      <c r="O3472" t="s">
        <v>9121</v>
      </c>
      <c r="P3472" t="s">
        <v>11164</v>
      </c>
      <c r="Q3472" t="s">
        <v>11172</v>
      </c>
      <c r="R3472" t="s">
        <v>11180</v>
      </c>
      <c r="S3472" t="s">
        <v>9096</v>
      </c>
      <c r="T3472" t="s">
        <v>11183</v>
      </c>
      <c r="U3472" t="s">
        <v>11201</v>
      </c>
      <c r="V3472" t="s">
        <v>1061</v>
      </c>
      <c r="W3472">
        <v>1600</v>
      </c>
      <c r="X3472" t="s">
        <v>11335</v>
      </c>
      <c r="Z3472" t="s">
        <v>12880</v>
      </c>
      <c r="AC3472">
        <v>10</v>
      </c>
      <c r="AD3472" t="s">
        <v>15441</v>
      </c>
      <c r="AE3472" t="s">
        <v>9144</v>
      </c>
      <c r="AF3472">
        <v>8</v>
      </c>
      <c r="AG3472">
        <v>2</v>
      </c>
      <c r="AH3472">
        <v>2</v>
      </c>
      <c r="AI3472">
        <v>118.73</v>
      </c>
      <c r="AL3472" t="s">
        <v>19615</v>
      </c>
      <c r="AM3472">
        <v>29800</v>
      </c>
      <c r="AS3472">
        <v>4.5</v>
      </c>
      <c r="AT3472" t="s">
        <v>627</v>
      </c>
      <c r="AU3472" t="s">
        <v>20635</v>
      </c>
    </row>
    <row r="3473" spans="1:48">
      <c r="A3473" s="1">
        <f>HYPERLINK("https://lsnyc.legalserver.org/matter/dynamic-profile/view/1879783","18-1879783")</f>
        <v>0</v>
      </c>
      <c r="B3473" t="s">
        <v>63</v>
      </c>
      <c r="C3473" t="s">
        <v>256</v>
      </c>
      <c r="D3473" t="s">
        <v>627</v>
      </c>
      <c r="F3473" t="s">
        <v>2546</v>
      </c>
      <c r="G3473" t="s">
        <v>4774</v>
      </c>
      <c r="H3473" t="s">
        <v>7335</v>
      </c>
      <c r="I3473">
        <v>510</v>
      </c>
      <c r="J3473" t="s">
        <v>9055</v>
      </c>
      <c r="K3473">
        <v>11355</v>
      </c>
      <c r="L3473" t="s">
        <v>9096</v>
      </c>
      <c r="M3473" t="s">
        <v>9096</v>
      </c>
      <c r="N3473" t="s">
        <v>9171</v>
      </c>
      <c r="O3473" t="s">
        <v>9121</v>
      </c>
      <c r="P3473" t="s">
        <v>11166</v>
      </c>
      <c r="R3473" t="s">
        <v>11180</v>
      </c>
      <c r="S3473" t="s">
        <v>9096</v>
      </c>
      <c r="T3473" t="s">
        <v>11183</v>
      </c>
      <c r="U3473" t="s">
        <v>11201</v>
      </c>
      <c r="W3473">
        <v>1213</v>
      </c>
      <c r="X3473" t="s">
        <v>11331</v>
      </c>
      <c r="Y3473" t="s">
        <v>11351</v>
      </c>
      <c r="Z3473" t="s">
        <v>13682</v>
      </c>
      <c r="AA3473" t="s">
        <v>15274</v>
      </c>
      <c r="AB3473" t="s">
        <v>18009</v>
      </c>
      <c r="AC3473">
        <v>158</v>
      </c>
      <c r="AD3473" t="s">
        <v>19566</v>
      </c>
      <c r="AE3473" t="s">
        <v>19588</v>
      </c>
      <c r="AF3473">
        <v>5</v>
      </c>
      <c r="AG3473">
        <v>1</v>
      </c>
      <c r="AH3473">
        <v>0</v>
      </c>
      <c r="AI3473">
        <v>118.81</v>
      </c>
      <c r="AL3473" t="s">
        <v>19614</v>
      </c>
      <c r="AM3473">
        <v>14424</v>
      </c>
      <c r="AS3473">
        <v>1.7</v>
      </c>
      <c r="AT3473" t="s">
        <v>20582</v>
      </c>
      <c r="AU3473" t="s">
        <v>60</v>
      </c>
    </row>
    <row r="3474" spans="1:48">
      <c r="A3474" s="1">
        <f>HYPERLINK("https://lsnyc.legalserver.org/matter/dynamic-profile/view/0799254","16-0799254")</f>
        <v>0</v>
      </c>
      <c r="B3474" t="s">
        <v>101</v>
      </c>
      <c r="C3474" t="s">
        <v>256</v>
      </c>
      <c r="D3474" t="s">
        <v>656</v>
      </c>
      <c r="F3474" t="s">
        <v>2530</v>
      </c>
      <c r="G3474" t="s">
        <v>3592</v>
      </c>
      <c r="H3474" t="s">
        <v>6041</v>
      </c>
      <c r="I3474" t="s">
        <v>8238</v>
      </c>
      <c r="J3474" t="s">
        <v>9065</v>
      </c>
      <c r="K3474">
        <v>10452</v>
      </c>
      <c r="L3474" t="s">
        <v>9094</v>
      </c>
      <c r="M3474" t="s">
        <v>9095</v>
      </c>
      <c r="N3474" t="s">
        <v>9499</v>
      </c>
      <c r="O3474" t="s">
        <v>11135</v>
      </c>
      <c r="P3474" t="s">
        <v>11168</v>
      </c>
      <c r="R3474" t="s">
        <v>11180</v>
      </c>
      <c r="S3474" t="s">
        <v>9094</v>
      </c>
      <c r="T3474" t="s">
        <v>11183</v>
      </c>
      <c r="V3474" t="s">
        <v>11221</v>
      </c>
      <c r="W3474">
        <v>1310</v>
      </c>
      <c r="X3474" t="s">
        <v>11333</v>
      </c>
      <c r="Y3474" t="s">
        <v>11346</v>
      </c>
      <c r="Z3474" t="s">
        <v>13655</v>
      </c>
      <c r="AB3474" t="s">
        <v>17983</v>
      </c>
      <c r="AC3474">
        <v>61</v>
      </c>
      <c r="AD3474" t="s">
        <v>19566</v>
      </c>
      <c r="AE3474" t="s">
        <v>9144</v>
      </c>
      <c r="AF3474">
        <v>24</v>
      </c>
      <c r="AG3474">
        <v>3</v>
      </c>
      <c r="AH3474">
        <v>2</v>
      </c>
      <c r="AI3474">
        <v>118.85</v>
      </c>
      <c r="AL3474" t="s">
        <v>19615</v>
      </c>
      <c r="AM3474">
        <v>33800</v>
      </c>
      <c r="AS3474">
        <v>0.75</v>
      </c>
      <c r="AT3474" t="s">
        <v>873</v>
      </c>
      <c r="AU3474" t="s">
        <v>109</v>
      </c>
    </row>
    <row r="3475" spans="1:48">
      <c r="A3475" s="1">
        <f>HYPERLINK("https://lsnyc.legalserver.org/matter/dynamic-profile/view/0817111","16-0817111")</f>
        <v>0</v>
      </c>
      <c r="B3475" t="s">
        <v>101</v>
      </c>
      <c r="C3475" t="s">
        <v>256</v>
      </c>
      <c r="D3475" t="s">
        <v>1009</v>
      </c>
      <c r="F3475" t="s">
        <v>2530</v>
      </c>
      <c r="G3475" t="s">
        <v>3592</v>
      </c>
      <c r="H3475" t="s">
        <v>6041</v>
      </c>
      <c r="I3475" t="s">
        <v>8238</v>
      </c>
      <c r="J3475" t="s">
        <v>9065</v>
      </c>
      <c r="K3475">
        <v>10452</v>
      </c>
      <c r="L3475" t="s">
        <v>9094</v>
      </c>
      <c r="M3475" t="s">
        <v>9095</v>
      </c>
      <c r="N3475" t="s">
        <v>9500</v>
      </c>
      <c r="O3475" t="s">
        <v>11135</v>
      </c>
      <c r="P3475" t="s">
        <v>11168</v>
      </c>
      <c r="R3475" t="s">
        <v>11180</v>
      </c>
      <c r="S3475" t="s">
        <v>9094</v>
      </c>
      <c r="T3475" t="s">
        <v>11183</v>
      </c>
      <c r="V3475" t="s">
        <v>1024</v>
      </c>
      <c r="W3475">
        <v>1310</v>
      </c>
      <c r="X3475" t="s">
        <v>11333</v>
      </c>
      <c r="Y3475" t="s">
        <v>11346</v>
      </c>
      <c r="Z3475" t="s">
        <v>13655</v>
      </c>
      <c r="AB3475" t="s">
        <v>17983</v>
      </c>
      <c r="AC3475">
        <v>62</v>
      </c>
      <c r="AD3475" t="s">
        <v>19566</v>
      </c>
      <c r="AE3475" t="s">
        <v>9144</v>
      </c>
      <c r="AF3475">
        <v>24</v>
      </c>
      <c r="AG3475">
        <v>3</v>
      </c>
      <c r="AH3475">
        <v>2</v>
      </c>
      <c r="AI3475">
        <v>118.85</v>
      </c>
      <c r="AL3475" t="s">
        <v>19615</v>
      </c>
      <c r="AM3475">
        <v>33800</v>
      </c>
      <c r="AS3475">
        <v>0.8</v>
      </c>
      <c r="AT3475" t="s">
        <v>873</v>
      </c>
      <c r="AU3475" t="s">
        <v>20643</v>
      </c>
    </row>
    <row r="3476" spans="1:48">
      <c r="A3476" s="1">
        <f>HYPERLINK("https://lsnyc.legalserver.org/matter/dynamic-profile/view/0822622","16-0822622")</f>
        <v>0</v>
      </c>
      <c r="B3476" t="s">
        <v>101</v>
      </c>
      <c r="C3476" t="s">
        <v>256</v>
      </c>
      <c r="D3476" t="s">
        <v>657</v>
      </c>
      <c r="F3476" t="s">
        <v>2530</v>
      </c>
      <c r="G3476" t="s">
        <v>3592</v>
      </c>
      <c r="H3476" t="s">
        <v>6041</v>
      </c>
      <c r="I3476" t="s">
        <v>8238</v>
      </c>
      <c r="J3476" t="s">
        <v>9065</v>
      </c>
      <c r="K3476">
        <v>10452</v>
      </c>
      <c r="L3476" t="s">
        <v>9094</v>
      </c>
      <c r="M3476" t="s">
        <v>9095</v>
      </c>
      <c r="N3476" t="s">
        <v>9501</v>
      </c>
      <c r="O3476" t="s">
        <v>11135</v>
      </c>
      <c r="P3476" t="s">
        <v>11168</v>
      </c>
      <c r="R3476" t="s">
        <v>11180</v>
      </c>
      <c r="S3476" t="s">
        <v>9094</v>
      </c>
      <c r="T3476" t="s">
        <v>11183</v>
      </c>
      <c r="V3476" t="s">
        <v>1089</v>
      </c>
      <c r="W3476">
        <v>1310</v>
      </c>
      <c r="X3476" t="s">
        <v>11333</v>
      </c>
      <c r="Y3476" t="s">
        <v>11346</v>
      </c>
      <c r="Z3476" t="s">
        <v>13655</v>
      </c>
      <c r="AB3476" t="s">
        <v>17983</v>
      </c>
      <c r="AC3476">
        <v>62</v>
      </c>
      <c r="AD3476" t="s">
        <v>19566</v>
      </c>
      <c r="AE3476" t="s">
        <v>9144</v>
      </c>
      <c r="AF3476">
        <v>24</v>
      </c>
      <c r="AG3476">
        <v>3</v>
      </c>
      <c r="AH3476">
        <v>2</v>
      </c>
      <c r="AI3476">
        <v>118.85</v>
      </c>
      <c r="AL3476" t="s">
        <v>19632</v>
      </c>
      <c r="AM3476">
        <v>33800</v>
      </c>
      <c r="AS3476">
        <v>0.3</v>
      </c>
      <c r="AT3476" t="s">
        <v>873</v>
      </c>
      <c r="AU3476" t="s">
        <v>20643</v>
      </c>
    </row>
    <row r="3477" spans="1:48">
      <c r="A3477" s="1">
        <f>HYPERLINK("https://lsnyc.legalserver.org/matter/dynamic-profile/view/1903994","19-1903994")</f>
        <v>0</v>
      </c>
      <c r="B3477" t="s">
        <v>78</v>
      </c>
      <c r="C3477" t="s">
        <v>256</v>
      </c>
      <c r="D3477" t="s">
        <v>663</v>
      </c>
      <c r="F3477" t="s">
        <v>2547</v>
      </c>
      <c r="G3477" t="s">
        <v>3650</v>
      </c>
      <c r="H3477" t="s">
        <v>5805</v>
      </c>
      <c r="I3477" t="s">
        <v>8171</v>
      </c>
      <c r="J3477" t="s">
        <v>9059</v>
      </c>
      <c r="K3477">
        <v>11213</v>
      </c>
      <c r="L3477" t="s">
        <v>9094</v>
      </c>
      <c r="M3477" t="s">
        <v>9095</v>
      </c>
      <c r="N3477" t="s">
        <v>10411</v>
      </c>
      <c r="O3477" t="s">
        <v>11137</v>
      </c>
      <c r="P3477" t="s">
        <v>11167</v>
      </c>
      <c r="R3477" t="s">
        <v>11180</v>
      </c>
      <c r="S3477" t="s">
        <v>9094</v>
      </c>
      <c r="T3477" t="s">
        <v>11186</v>
      </c>
      <c r="U3477" t="s">
        <v>11201</v>
      </c>
      <c r="V3477" t="s">
        <v>635</v>
      </c>
      <c r="W3477">
        <v>560</v>
      </c>
      <c r="X3477" t="s">
        <v>11332</v>
      </c>
      <c r="Y3477" t="s">
        <v>11339</v>
      </c>
      <c r="Z3477" t="s">
        <v>13683</v>
      </c>
      <c r="AA3477" t="s">
        <v>9144</v>
      </c>
      <c r="AB3477" t="s">
        <v>18010</v>
      </c>
      <c r="AC3477">
        <v>19</v>
      </c>
      <c r="AD3477" t="s">
        <v>19566</v>
      </c>
      <c r="AE3477" t="s">
        <v>9144</v>
      </c>
      <c r="AF3477">
        <v>18</v>
      </c>
      <c r="AG3477">
        <v>2</v>
      </c>
      <c r="AH3477">
        <v>1</v>
      </c>
      <c r="AI3477">
        <v>118.97</v>
      </c>
      <c r="AL3477" t="s">
        <v>19614</v>
      </c>
      <c r="AM3477">
        <v>25376</v>
      </c>
      <c r="AN3477" t="s">
        <v>19960</v>
      </c>
      <c r="AS3477">
        <v>0</v>
      </c>
      <c r="AU3477" t="s">
        <v>95</v>
      </c>
      <c r="AV3477" t="s">
        <v>20733</v>
      </c>
    </row>
    <row r="3478" spans="1:48">
      <c r="A3478" s="1">
        <f>HYPERLINK("https://lsnyc.legalserver.org/matter/dynamic-profile/view/1899074","19-1899074")</f>
        <v>0</v>
      </c>
      <c r="B3478" t="s">
        <v>151</v>
      </c>
      <c r="C3478" t="s">
        <v>256</v>
      </c>
      <c r="D3478" t="s">
        <v>492</v>
      </c>
      <c r="F3478" t="s">
        <v>2547</v>
      </c>
      <c r="G3478" t="s">
        <v>3650</v>
      </c>
      <c r="H3478" t="s">
        <v>5805</v>
      </c>
      <c r="I3478" t="s">
        <v>8171</v>
      </c>
      <c r="J3478" t="s">
        <v>9059</v>
      </c>
      <c r="K3478">
        <v>11213</v>
      </c>
      <c r="L3478" t="s">
        <v>9094</v>
      </c>
      <c r="M3478" t="s">
        <v>9095</v>
      </c>
      <c r="N3478" t="s">
        <v>10412</v>
      </c>
      <c r="O3478" t="s">
        <v>11129</v>
      </c>
      <c r="P3478" t="s">
        <v>11165</v>
      </c>
      <c r="R3478" t="s">
        <v>11180</v>
      </c>
      <c r="S3478" t="s">
        <v>9096</v>
      </c>
      <c r="T3478" t="s">
        <v>11183</v>
      </c>
      <c r="V3478" t="s">
        <v>310</v>
      </c>
      <c r="W3478">
        <v>560</v>
      </c>
      <c r="X3478" t="s">
        <v>11332</v>
      </c>
      <c r="Z3478" t="s">
        <v>13683</v>
      </c>
      <c r="AB3478" t="s">
        <v>18010</v>
      </c>
      <c r="AC3478">
        <v>19</v>
      </c>
      <c r="AD3478" t="s">
        <v>19566</v>
      </c>
      <c r="AE3478" t="s">
        <v>9144</v>
      </c>
      <c r="AF3478">
        <v>18</v>
      </c>
      <c r="AG3478">
        <v>2</v>
      </c>
      <c r="AH3478">
        <v>1</v>
      </c>
      <c r="AI3478">
        <v>118.97</v>
      </c>
      <c r="AL3478" t="s">
        <v>19614</v>
      </c>
      <c r="AM3478">
        <v>25376</v>
      </c>
      <c r="AS3478">
        <v>3.95</v>
      </c>
      <c r="AT3478" t="s">
        <v>302</v>
      </c>
      <c r="AU3478" t="s">
        <v>79</v>
      </c>
      <c r="AV3478" t="s">
        <v>20733</v>
      </c>
    </row>
    <row r="3479" spans="1:48">
      <c r="A3479" s="1">
        <f>HYPERLINK("https://lsnyc.legalserver.org/matter/dynamic-profile/view/1900959","19-1900959")</f>
        <v>0</v>
      </c>
      <c r="B3479" t="s">
        <v>102</v>
      </c>
      <c r="C3479" t="s">
        <v>256</v>
      </c>
      <c r="D3479" t="s">
        <v>445</v>
      </c>
      <c r="F3479" t="s">
        <v>2547</v>
      </c>
      <c r="G3479" t="s">
        <v>3650</v>
      </c>
      <c r="H3479" t="s">
        <v>5805</v>
      </c>
      <c r="I3479" t="s">
        <v>8171</v>
      </c>
      <c r="J3479" t="s">
        <v>9059</v>
      </c>
      <c r="K3479">
        <v>11213</v>
      </c>
      <c r="L3479" t="s">
        <v>9094</v>
      </c>
      <c r="M3479" t="s">
        <v>9095</v>
      </c>
      <c r="N3479" t="s">
        <v>9724</v>
      </c>
      <c r="O3479" t="s">
        <v>11141</v>
      </c>
      <c r="P3479" t="s">
        <v>11170</v>
      </c>
      <c r="R3479" t="s">
        <v>11180</v>
      </c>
      <c r="S3479" t="s">
        <v>9094</v>
      </c>
      <c r="T3479" t="s">
        <v>11185</v>
      </c>
      <c r="V3479" t="s">
        <v>614</v>
      </c>
      <c r="W3479">
        <v>560</v>
      </c>
      <c r="X3479" t="s">
        <v>11332</v>
      </c>
      <c r="Z3479" t="s">
        <v>13683</v>
      </c>
      <c r="AB3479" t="s">
        <v>18010</v>
      </c>
      <c r="AC3479">
        <v>19</v>
      </c>
      <c r="AD3479" t="s">
        <v>19566</v>
      </c>
      <c r="AE3479" t="s">
        <v>9144</v>
      </c>
      <c r="AF3479">
        <v>18</v>
      </c>
      <c r="AG3479">
        <v>2</v>
      </c>
      <c r="AH3479">
        <v>1</v>
      </c>
      <c r="AI3479">
        <v>118.97</v>
      </c>
      <c r="AL3479" t="s">
        <v>19614</v>
      </c>
      <c r="AM3479">
        <v>25376</v>
      </c>
      <c r="AN3479" t="s">
        <v>19961</v>
      </c>
      <c r="AS3479">
        <v>0.5</v>
      </c>
      <c r="AT3479" t="s">
        <v>660</v>
      </c>
      <c r="AU3479" t="s">
        <v>95</v>
      </c>
      <c r="AV3479" t="s">
        <v>20733</v>
      </c>
    </row>
    <row r="3480" spans="1:48">
      <c r="A3480" s="1">
        <f>HYPERLINK("https://lsnyc.legalserver.org/matter/dynamic-profile/view/0800537","16-0800537")</f>
        <v>0</v>
      </c>
      <c r="B3480" t="s">
        <v>94</v>
      </c>
      <c r="C3480" t="s">
        <v>256</v>
      </c>
      <c r="D3480" t="s">
        <v>1019</v>
      </c>
      <c r="F3480" t="s">
        <v>2548</v>
      </c>
      <c r="G3480" t="s">
        <v>4033</v>
      </c>
      <c r="H3480" t="s">
        <v>5807</v>
      </c>
      <c r="I3480" t="s">
        <v>8191</v>
      </c>
      <c r="J3480" t="s">
        <v>9059</v>
      </c>
      <c r="K3480">
        <v>11212</v>
      </c>
      <c r="L3480" t="s">
        <v>9094</v>
      </c>
      <c r="M3480" t="s">
        <v>9095</v>
      </c>
      <c r="N3480" t="s">
        <v>10413</v>
      </c>
      <c r="O3480" t="s">
        <v>11128</v>
      </c>
      <c r="P3480" t="s">
        <v>11165</v>
      </c>
      <c r="R3480" t="s">
        <v>11180</v>
      </c>
      <c r="T3480" t="s">
        <v>11183</v>
      </c>
      <c r="V3480" t="s">
        <v>1019</v>
      </c>
      <c r="W3480">
        <v>0</v>
      </c>
      <c r="X3480" t="s">
        <v>11332</v>
      </c>
      <c r="Y3480" t="s">
        <v>11346</v>
      </c>
      <c r="Z3480" t="s">
        <v>13684</v>
      </c>
      <c r="AA3480" t="s">
        <v>15797</v>
      </c>
      <c r="AB3480" t="s">
        <v>18011</v>
      </c>
      <c r="AC3480">
        <v>21</v>
      </c>
      <c r="AE3480" t="s">
        <v>19581</v>
      </c>
      <c r="AF3480">
        <v>2</v>
      </c>
      <c r="AG3480">
        <v>1</v>
      </c>
      <c r="AH3480">
        <v>1</v>
      </c>
      <c r="AI3480">
        <v>118.97</v>
      </c>
      <c r="AL3480" t="s">
        <v>19614</v>
      </c>
      <c r="AM3480">
        <v>19059</v>
      </c>
      <c r="AS3480">
        <v>33.15</v>
      </c>
      <c r="AT3480" t="s">
        <v>498</v>
      </c>
      <c r="AU3480" t="s">
        <v>64</v>
      </c>
    </row>
    <row r="3481" spans="1:48">
      <c r="A3481" s="1">
        <f>HYPERLINK("https://lsnyc.legalserver.org/matter/dynamic-profile/view/1861644","18-1861644")</f>
        <v>0</v>
      </c>
      <c r="B3481" t="s">
        <v>64</v>
      </c>
      <c r="C3481" t="s">
        <v>257</v>
      </c>
      <c r="D3481" t="s">
        <v>532</v>
      </c>
      <c r="E3481" t="s">
        <v>549</v>
      </c>
      <c r="F3481" t="s">
        <v>2359</v>
      </c>
      <c r="G3481" t="s">
        <v>4775</v>
      </c>
      <c r="H3481" t="s">
        <v>7336</v>
      </c>
      <c r="I3481" t="s">
        <v>8209</v>
      </c>
      <c r="J3481" t="s">
        <v>9059</v>
      </c>
      <c r="K3481">
        <v>11212</v>
      </c>
      <c r="L3481" t="s">
        <v>9096</v>
      </c>
      <c r="M3481" t="s">
        <v>9095</v>
      </c>
      <c r="P3481" t="s">
        <v>11164</v>
      </c>
      <c r="Q3481" t="s">
        <v>11172</v>
      </c>
      <c r="R3481" t="s">
        <v>11180</v>
      </c>
      <c r="T3481" t="s">
        <v>11183</v>
      </c>
      <c r="V3481" t="s">
        <v>364</v>
      </c>
      <c r="W3481">
        <v>1900</v>
      </c>
      <c r="X3481" t="s">
        <v>11332</v>
      </c>
      <c r="Y3481" t="s">
        <v>11157</v>
      </c>
      <c r="Z3481" t="s">
        <v>13685</v>
      </c>
      <c r="AB3481" t="s">
        <v>18012</v>
      </c>
      <c r="AC3481">
        <v>4</v>
      </c>
      <c r="AF3481">
        <v>1</v>
      </c>
      <c r="AG3481">
        <v>2</v>
      </c>
      <c r="AH3481">
        <v>3</v>
      </c>
      <c r="AI3481">
        <v>118.97</v>
      </c>
      <c r="AL3481" t="s">
        <v>19614</v>
      </c>
      <c r="AM3481">
        <v>35000</v>
      </c>
      <c r="AS3481">
        <v>1</v>
      </c>
      <c r="AT3481" t="s">
        <v>532</v>
      </c>
      <c r="AU3481" t="s">
        <v>20627</v>
      </c>
    </row>
    <row r="3482" spans="1:48">
      <c r="A3482" s="1">
        <f>HYPERLINK("https://lsnyc.legalserver.org/matter/dynamic-profile/view/1874680","18-1874680")</f>
        <v>0</v>
      </c>
      <c r="B3482" t="s">
        <v>64</v>
      </c>
      <c r="C3482" t="s">
        <v>257</v>
      </c>
      <c r="D3482" t="s">
        <v>536</v>
      </c>
      <c r="E3482" t="s">
        <v>549</v>
      </c>
      <c r="F3482" t="s">
        <v>2235</v>
      </c>
      <c r="G3482" t="s">
        <v>4776</v>
      </c>
      <c r="H3482" t="s">
        <v>7337</v>
      </c>
      <c r="I3482" t="s">
        <v>8124</v>
      </c>
      <c r="J3482" t="s">
        <v>9059</v>
      </c>
      <c r="K3482">
        <v>11207</v>
      </c>
      <c r="L3482" t="s">
        <v>9096</v>
      </c>
      <c r="M3482" t="s">
        <v>9096</v>
      </c>
      <c r="P3482" t="s">
        <v>11167</v>
      </c>
      <c r="Q3482" t="s">
        <v>11172</v>
      </c>
      <c r="R3482" t="s">
        <v>11180</v>
      </c>
      <c r="T3482" t="s">
        <v>11183</v>
      </c>
      <c r="W3482">
        <v>1500</v>
      </c>
      <c r="X3482" t="s">
        <v>11332</v>
      </c>
      <c r="Z3482" t="s">
        <v>11916</v>
      </c>
      <c r="AB3482" t="s">
        <v>18013</v>
      </c>
      <c r="AC3482">
        <v>3</v>
      </c>
      <c r="AE3482" t="s">
        <v>19582</v>
      </c>
      <c r="AF3482">
        <v>1</v>
      </c>
      <c r="AG3482">
        <v>5</v>
      </c>
      <c r="AH3482">
        <v>0</v>
      </c>
      <c r="AI3482">
        <v>118.97</v>
      </c>
      <c r="AL3482" t="s">
        <v>19614</v>
      </c>
      <c r="AM3482">
        <v>35000</v>
      </c>
      <c r="AN3482" t="s">
        <v>19962</v>
      </c>
      <c r="AS3482">
        <v>1.5</v>
      </c>
      <c r="AT3482" t="s">
        <v>304</v>
      </c>
      <c r="AU3482" t="s">
        <v>20627</v>
      </c>
      <c r="AV3482" t="s">
        <v>9144</v>
      </c>
    </row>
    <row r="3483" spans="1:48">
      <c r="A3483" s="1">
        <f>HYPERLINK("https://lsnyc.legalserver.org/matter/dynamic-profile/view/1887933","19-1887933")</f>
        <v>0</v>
      </c>
      <c r="B3483" t="s">
        <v>138</v>
      </c>
      <c r="C3483" t="s">
        <v>256</v>
      </c>
      <c r="D3483" t="s">
        <v>443</v>
      </c>
      <c r="F3483" t="s">
        <v>2549</v>
      </c>
      <c r="G3483" t="s">
        <v>3366</v>
      </c>
      <c r="H3483" t="s">
        <v>7338</v>
      </c>
      <c r="J3483" t="s">
        <v>9067</v>
      </c>
      <c r="K3483">
        <v>10034</v>
      </c>
      <c r="L3483" t="s">
        <v>9094</v>
      </c>
      <c r="M3483" t="s">
        <v>9094</v>
      </c>
      <c r="N3483" t="s">
        <v>9999</v>
      </c>
      <c r="O3483" t="s">
        <v>11130</v>
      </c>
      <c r="P3483" t="s">
        <v>11165</v>
      </c>
      <c r="R3483" t="s">
        <v>11180</v>
      </c>
      <c r="S3483" t="s">
        <v>9096</v>
      </c>
      <c r="T3483" t="s">
        <v>11183</v>
      </c>
      <c r="V3483" t="s">
        <v>443</v>
      </c>
      <c r="W3483">
        <v>1442.38</v>
      </c>
      <c r="X3483" t="s">
        <v>11335</v>
      </c>
      <c r="Y3483" t="s">
        <v>11338</v>
      </c>
      <c r="Z3483" t="s">
        <v>13686</v>
      </c>
      <c r="AB3483" t="s">
        <v>18014</v>
      </c>
      <c r="AC3483">
        <v>25</v>
      </c>
      <c r="AD3483" t="s">
        <v>19566</v>
      </c>
      <c r="AE3483" t="s">
        <v>9144</v>
      </c>
      <c r="AF3483">
        <v>10</v>
      </c>
      <c r="AG3483">
        <v>2</v>
      </c>
      <c r="AH3483">
        <v>3</v>
      </c>
      <c r="AI3483">
        <v>118.97</v>
      </c>
      <c r="AL3483" t="s">
        <v>19615</v>
      </c>
      <c r="AM3483">
        <v>35000</v>
      </c>
      <c r="AS3483">
        <v>0.3</v>
      </c>
      <c r="AT3483" t="s">
        <v>1135</v>
      </c>
      <c r="AU3483" t="s">
        <v>130</v>
      </c>
      <c r="AV3483" t="s">
        <v>20733</v>
      </c>
    </row>
    <row r="3484" spans="1:48">
      <c r="A3484" s="1">
        <f>HYPERLINK("https://lsnyc.legalserver.org/matter/dynamic-profile/view/0825210","17-0825210")</f>
        <v>0</v>
      </c>
      <c r="B3484" t="s">
        <v>172</v>
      </c>
      <c r="C3484" t="s">
        <v>257</v>
      </c>
      <c r="D3484" t="s">
        <v>1020</v>
      </c>
      <c r="E3484" t="s">
        <v>556</v>
      </c>
      <c r="F3484" t="s">
        <v>2119</v>
      </c>
      <c r="G3484" t="s">
        <v>4777</v>
      </c>
      <c r="H3484" t="s">
        <v>7339</v>
      </c>
      <c r="I3484" t="s">
        <v>8191</v>
      </c>
      <c r="J3484" t="s">
        <v>9067</v>
      </c>
      <c r="K3484">
        <v>10003</v>
      </c>
      <c r="L3484" t="s">
        <v>9094</v>
      </c>
      <c r="M3484" t="s">
        <v>9095</v>
      </c>
      <c r="N3484" t="s">
        <v>10414</v>
      </c>
      <c r="O3484" t="s">
        <v>11129</v>
      </c>
      <c r="P3484" t="s">
        <v>11165</v>
      </c>
      <c r="Q3484" t="s">
        <v>11179</v>
      </c>
      <c r="R3484" t="s">
        <v>11180</v>
      </c>
      <c r="S3484" t="s">
        <v>9096</v>
      </c>
      <c r="T3484" t="s">
        <v>11183</v>
      </c>
      <c r="V3484" t="s">
        <v>707</v>
      </c>
      <c r="W3484">
        <v>444</v>
      </c>
      <c r="X3484" t="s">
        <v>11335</v>
      </c>
      <c r="Y3484" t="s">
        <v>11338</v>
      </c>
      <c r="Z3484" t="s">
        <v>13687</v>
      </c>
      <c r="AB3484" t="s">
        <v>18015</v>
      </c>
      <c r="AC3484">
        <v>0</v>
      </c>
      <c r="AD3484" t="s">
        <v>19569</v>
      </c>
      <c r="AE3484" t="s">
        <v>19587</v>
      </c>
      <c r="AF3484">
        <v>44</v>
      </c>
      <c r="AG3484">
        <v>1</v>
      </c>
      <c r="AH3484">
        <v>0</v>
      </c>
      <c r="AI3484">
        <v>119.19</v>
      </c>
      <c r="AL3484" t="s">
        <v>19614</v>
      </c>
      <c r="AM3484">
        <v>14160</v>
      </c>
      <c r="AS3484">
        <v>336.37</v>
      </c>
      <c r="AT3484" t="s">
        <v>294</v>
      </c>
      <c r="AU3484" t="s">
        <v>20658</v>
      </c>
    </row>
    <row r="3485" spans="1:48">
      <c r="A3485" s="1">
        <f>HYPERLINK("https://lsnyc.legalserver.org/matter/dynamic-profile/view/1909353","19-1909353")</f>
        <v>0</v>
      </c>
      <c r="B3485" t="s">
        <v>138</v>
      </c>
      <c r="C3485" t="s">
        <v>256</v>
      </c>
      <c r="D3485" t="s">
        <v>297</v>
      </c>
      <c r="F3485" t="s">
        <v>2107</v>
      </c>
      <c r="G3485" t="s">
        <v>4778</v>
      </c>
      <c r="H3485" t="s">
        <v>7156</v>
      </c>
      <c r="I3485" t="s">
        <v>8270</v>
      </c>
      <c r="J3485" t="s">
        <v>9067</v>
      </c>
      <c r="K3485">
        <v>10034</v>
      </c>
      <c r="L3485" t="s">
        <v>9094</v>
      </c>
      <c r="M3485" t="s">
        <v>9095</v>
      </c>
      <c r="P3485" t="s">
        <v>11169</v>
      </c>
      <c r="R3485" t="s">
        <v>11180</v>
      </c>
      <c r="S3485" t="s">
        <v>9096</v>
      </c>
      <c r="T3485" t="s">
        <v>11183</v>
      </c>
      <c r="V3485" t="s">
        <v>297</v>
      </c>
      <c r="W3485">
        <v>0</v>
      </c>
      <c r="X3485" t="s">
        <v>11335</v>
      </c>
      <c r="Y3485" t="s">
        <v>11338</v>
      </c>
      <c r="Z3485" t="s">
        <v>13688</v>
      </c>
      <c r="AB3485" t="s">
        <v>18016</v>
      </c>
      <c r="AC3485">
        <v>22</v>
      </c>
      <c r="AD3485" t="s">
        <v>19566</v>
      </c>
      <c r="AE3485" t="s">
        <v>9144</v>
      </c>
      <c r="AF3485">
        <v>15</v>
      </c>
      <c r="AG3485">
        <v>1</v>
      </c>
      <c r="AH3485">
        <v>0</v>
      </c>
      <c r="AI3485">
        <v>119.23</v>
      </c>
      <c r="AL3485" t="s">
        <v>19615</v>
      </c>
      <c r="AM3485">
        <v>14892</v>
      </c>
      <c r="AS3485">
        <v>2.4</v>
      </c>
      <c r="AT3485" t="s">
        <v>377</v>
      </c>
      <c r="AU3485" t="s">
        <v>130</v>
      </c>
      <c r="AV3485" t="s">
        <v>20733</v>
      </c>
    </row>
    <row r="3486" spans="1:48">
      <c r="A3486" s="1">
        <f>HYPERLINK("https://lsnyc.legalserver.org/matter/dynamic-profile/view/1911355","19-1911355")</f>
        <v>0</v>
      </c>
      <c r="B3486" t="s">
        <v>132</v>
      </c>
      <c r="C3486" t="s">
        <v>256</v>
      </c>
      <c r="D3486" t="s">
        <v>832</v>
      </c>
      <c r="F3486" t="s">
        <v>2107</v>
      </c>
      <c r="G3486" t="s">
        <v>4778</v>
      </c>
      <c r="H3486" t="s">
        <v>7156</v>
      </c>
      <c r="I3486" t="s">
        <v>8270</v>
      </c>
      <c r="J3486" t="s">
        <v>9067</v>
      </c>
      <c r="K3486">
        <v>10034</v>
      </c>
      <c r="L3486" t="s">
        <v>9094</v>
      </c>
      <c r="M3486" t="s">
        <v>9095</v>
      </c>
      <c r="P3486" t="s">
        <v>11169</v>
      </c>
      <c r="R3486" t="s">
        <v>11180</v>
      </c>
      <c r="S3486" t="s">
        <v>9096</v>
      </c>
      <c r="T3486" t="s">
        <v>11183</v>
      </c>
      <c r="V3486" t="s">
        <v>832</v>
      </c>
      <c r="W3486">
        <v>0</v>
      </c>
      <c r="X3486" t="s">
        <v>11335</v>
      </c>
      <c r="Y3486" t="s">
        <v>11338</v>
      </c>
      <c r="Z3486" t="s">
        <v>13688</v>
      </c>
      <c r="AB3486" t="s">
        <v>18016</v>
      </c>
      <c r="AC3486">
        <v>22</v>
      </c>
      <c r="AE3486" t="s">
        <v>19580</v>
      </c>
      <c r="AF3486">
        <v>0</v>
      </c>
      <c r="AG3486">
        <v>1</v>
      </c>
      <c r="AH3486">
        <v>0</v>
      </c>
      <c r="AI3486">
        <v>119.23</v>
      </c>
      <c r="AL3486" t="s">
        <v>19615</v>
      </c>
      <c r="AM3486">
        <v>14892</v>
      </c>
      <c r="AS3486">
        <v>2.5</v>
      </c>
      <c r="AT3486" t="s">
        <v>1135</v>
      </c>
      <c r="AU3486" t="s">
        <v>130</v>
      </c>
      <c r="AV3486" t="s">
        <v>20733</v>
      </c>
    </row>
    <row r="3487" spans="1:48">
      <c r="A3487" s="1">
        <f>HYPERLINK("https://lsnyc.legalserver.org/matter/dynamic-profile/view/1871759","18-1871759")</f>
        <v>0</v>
      </c>
      <c r="B3487" t="s">
        <v>78</v>
      </c>
      <c r="C3487" t="s">
        <v>256</v>
      </c>
      <c r="D3487" t="s">
        <v>686</v>
      </c>
      <c r="F3487" t="s">
        <v>2550</v>
      </c>
      <c r="G3487" t="s">
        <v>3988</v>
      </c>
      <c r="H3487" t="s">
        <v>6453</v>
      </c>
      <c r="I3487" t="s">
        <v>8164</v>
      </c>
      <c r="J3487" t="s">
        <v>9059</v>
      </c>
      <c r="K3487">
        <v>11206</v>
      </c>
      <c r="L3487" t="s">
        <v>9094</v>
      </c>
      <c r="M3487" t="s">
        <v>9095</v>
      </c>
      <c r="N3487" t="s">
        <v>9972</v>
      </c>
      <c r="O3487" t="s">
        <v>11134</v>
      </c>
      <c r="P3487" t="s">
        <v>11168</v>
      </c>
      <c r="R3487" t="s">
        <v>11180</v>
      </c>
      <c r="S3487" t="s">
        <v>9094</v>
      </c>
      <c r="T3487" t="s">
        <v>11183</v>
      </c>
      <c r="V3487" t="s">
        <v>11253</v>
      </c>
      <c r="W3487">
        <v>458.7</v>
      </c>
      <c r="X3487" t="s">
        <v>11332</v>
      </c>
      <c r="Y3487" t="s">
        <v>11346</v>
      </c>
      <c r="Z3487" t="s">
        <v>13689</v>
      </c>
      <c r="AB3487" t="s">
        <v>18017</v>
      </c>
      <c r="AC3487">
        <v>25</v>
      </c>
      <c r="AD3487" t="s">
        <v>19570</v>
      </c>
      <c r="AF3487">
        <v>19</v>
      </c>
      <c r="AG3487">
        <v>1</v>
      </c>
      <c r="AH3487">
        <v>0</v>
      </c>
      <c r="AI3487">
        <v>119.31</v>
      </c>
      <c r="AL3487" t="s">
        <v>19614</v>
      </c>
      <c r="AM3487">
        <v>14484</v>
      </c>
      <c r="AS3487">
        <v>0</v>
      </c>
      <c r="AU3487" t="s">
        <v>20637</v>
      </c>
    </row>
    <row r="3488" spans="1:48">
      <c r="A3488" s="1">
        <f>HYPERLINK("https://lsnyc.legalserver.org/matter/dynamic-profile/view/1908351","19-1908351")</f>
        <v>0</v>
      </c>
      <c r="B3488" t="s">
        <v>55</v>
      </c>
      <c r="C3488" t="s">
        <v>256</v>
      </c>
      <c r="D3488" t="s">
        <v>314</v>
      </c>
      <c r="F3488" t="s">
        <v>2551</v>
      </c>
      <c r="G3488" t="s">
        <v>4779</v>
      </c>
      <c r="H3488" t="s">
        <v>6954</v>
      </c>
      <c r="I3488" t="s">
        <v>8209</v>
      </c>
      <c r="J3488" t="s">
        <v>9050</v>
      </c>
      <c r="K3488">
        <v>11377</v>
      </c>
      <c r="L3488" t="s">
        <v>9094</v>
      </c>
      <c r="M3488" t="s">
        <v>9095</v>
      </c>
      <c r="N3488" t="s">
        <v>10067</v>
      </c>
      <c r="O3488" t="s">
        <v>11134</v>
      </c>
      <c r="P3488" t="s">
        <v>11168</v>
      </c>
      <c r="R3488" t="s">
        <v>11180</v>
      </c>
      <c r="S3488" t="s">
        <v>9094</v>
      </c>
      <c r="T3488" t="s">
        <v>11183</v>
      </c>
      <c r="U3488" t="s">
        <v>11201</v>
      </c>
      <c r="V3488" t="s">
        <v>314</v>
      </c>
      <c r="W3488">
        <v>1624.22</v>
      </c>
      <c r="X3488" t="s">
        <v>11331</v>
      </c>
      <c r="Y3488" t="s">
        <v>11346</v>
      </c>
      <c r="Z3488" t="s">
        <v>13690</v>
      </c>
      <c r="AB3488" t="s">
        <v>18018</v>
      </c>
      <c r="AC3488">
        <v>67</v>
      </c>
      <c r="AD3488" t="s">
        <v>19566</v>
      </c>
      <c r="AE3488" t="s">
        <v>9144</v>
      </c>
      <c r="AF3488">
        <v>0</v>
      </c>
      <c r="AG3488">
        <v>4</v>
      </c>
      <c r="AH3488">
        <v>1</v>
      </c>
      <c r="AI3488">
        <v>119.32</v>
      </c>
      <c r="AL3488" t="s">
        <v>19614</v>
      </c>
      <c r="AM3488">
        <v>36000</v>
      </c>
      <c r="AP3488" t="s">
        <v>11157</v>
      </c>
      <c r="AS3488">
        <v>0.45</v>
      </c>
      <c r="AT3488" t="s">
        <v>297</v>
      </c>
      <c r="AU3488" t="s">
        <v>20620</v>
      </c>
      <c r="AV3488" t="s">
        <v>20733</v>
      </c>
    </row>
    <row r="3489" spans="1:48">
      <c r="A3489" s="1">
        <f>HYPERLINK("https://lsnyc.legalserver.org/matter/dynamic-profile/view/1908355","19-1908355")</f>
        <v>0</v>
      </c>
      <c r="B3489" t="s">
        <v>55</v>
      </c>
      <c r="C3489" t="s">
        <v>256</v>
      </c>
      <c r="D3489" t="s">
        <v>314</v>
      </c>
      <c r="F3489" t="s">
        <v>2551</v>
      </c>
      <c r="G3489" t="s">
        <v>4779</v>
      </c>
      <c r="H3489" t="s">
        <v>6954</v>
      </c>
      <c r="I3489" t="s">
        <v>8209</v>
      </c>
      <c r="J3489" t="s">
        <v>9050</v>
      </c>
      <c r="K3489">
        <v>11377</v>
      </c>
      <c r="L3489" t="s">
        <v>9094</v>
      </c>
      <c r="M3489" t="s">
        <v>9095</v>
      </c>
      <c r="N3489" t="s">
        <v>10068</v>
      </c>
      <c r="O3489" t="s">
        <v>11134</v>
      </c>
      <c r="P3489" t="s">
        <v>11168</v>
      </c>
      <c r="R3489" t="s">
        <v>11180</v>
      </c>
      <c r="S3489" t="s">
        <v>9094</v>
      </c>
      <c r="T3489" t="s">
        <v>11183</v>
      </c>
      <c r="V3489" t="s">
        <v>11267</v>
      </c>
      <c r="W3489">
        <v>1624.22</v>
      </c>
      <c r="X3489" t="s">
        <v>11331</v>
      </c>
      <c r="Y3489" t="s">
        <v>11346</v>
      </c>
      <c r="Z3489" t="s">
        <v>13690</v>
      </c>
      <c r="AB3489" t="s">
        <v>18018</v>
      </c>
      <c r="AC3489">
        <v>66</v>
      </c>
      <c r="AD3489" t="s">
        <v>19566</v>
      </c>
      <c r="AE3489" t="s">
        <v>9144</v>
      </c>
      <c r="AF3489">
        <v>0</v>
      </c>
      <c r="AG3489">
        <v>4</v>
      </c>
      <c r="AH3489">
        <v>1</v>
      </c>
      <c r="AI3489">
        <v>119.32</v>
      </c>
      <c r="AL3489" t="s">
        <v>19614</v>
      </c>
      <c r="AM3489">
        <v>36000</v>
      </c>
      <c r="AS3489">
        <v>0.2</v>
      </c>
      <c r="AT3489" t="s">
        <v>314</v>
      </c>
      <c r="AU3489" t="s">
        <v>20620</v>
      </c>
      <c r="AV3489" t="s">
        <v>20733</v>
      </c>
    </row>
    <row r="3490" spans="1:48">
      <c r="A3490" s="1">
        <f>HYPERLINK("https://lsnyc.legalserver.org/matter/dynamic-profile/view/1899021","19-1899021")</f>
        <v>0</v>
      </c>
      <c r="B3490" t="s">
        <v>185</v>
      </c>
      <c r="C3490" t="s">
        <v>256</v>
      </c>
      <c r="D3490" t="s">
        <v>310</v>
      </c>
      <c r="F3490" t="s">
        <v>2552</v>
      </c>
      <c r="G3490" t="s">
        <v>4780</v>
      </c>
      <c r="H3490" t="s">
        <v>7340</v>
      </c>
      <c r="I3490" t="s">
        <v>8175</v>
      </c>
      <c r="J3490" t="s">
        <v>9065</v>
      </c>
      <c r="K3490">
        <v>10459</v>
      </c>
      <c r="L3490" t="s">
        <v>9094</v>
      </c>
      <c r="M3490" t="s">
        <v>9095</v>
      </c>
      <c r="N3490" t="s">
        <v>10415</v>
      </c>
      <c r="O3490" t="s">
        <v>11129</v>
      </c>
      <c r="P3490" t="s">
        <v>11165</v>
      </c>
      <c r="R3490" t="s">
        <v>11180</v>
      </c>
      <c r="T3490" t="s">
        <v>11183</v>
      </c>
      <c r="U3490" t="s">
        <v>11202</v>
      </c>
      <c r="V3490" t="s">
        <v>486</v>
      </c>
      <c r="W3490">
        <v>860</v>
      </c>
      <c r="X3490" t="s">
        <v>11333</v>
      </c>
      <c r="Y3490" t="s">
        <v>11345</v>
      </c>
      <c r="Z3490" t="s">
        <v>13691</v>
      </c>
      <c r="AC3490">
        <v>0</v>
      </c>
      <c r="AD3490" t="s">
        <v>19566</v>
      </c>
      <c r="AF3490">
        <v>36</v>
      </c>
      <c r="AG3490">
        <v>3</v>
      </c>
      <c r="AH3490">
        <v>2</v>
      </c>
      <c r="AI3490">
        <v>119.32</v>
      </c>
      <c r="AL3490" t="s">
        <v>19614</v>
      </c>
      <c r="AM3490">
        <v>36000</v>
      </c>
      <c r="AN3490" t="s">
        <v>19963</v>
      </c>
      <c r="AS3490">
        <v>10.1</v>
      </c>
      <c r="AT3490" t="s">
        <v>728</v>
      </c>
      <c r="AU3490" t="s">
        <v>20650</v>
      </c>
      <c r="AV3490" t="s">
        <v>20733</v>
      </c>
    </row>
    <row r="3491" spans="1:48">
      <c r="A3491" s="1">
        <f>HYPERLINK("https://lsnyc.legalserver.org/matter/dynamic-profile/view/1837430","17-1837430")</f>
        <v>0</v>
      </c>
      <c r="B3491" t="s">
        <v>169</v>
      </c>
      <c r="C3491" t="s">
        <v>256</v>
      </c>
      <c r="D3491" t="s">
        <v>709</v>
      </c>
      <c r="F3491" t="s">
        <v>1177</v>
      </c>
      <c r="G3491" t="s">
        <v>2782</v>
      </c>
      <c r="H3491" t="s">
        <v>7341</v>
      </c>
      <c r="I3491" t="s">
        <v>8141</v>
      </c>
      <c r="J3491" t="s">
        <v>9059</v>
      </c>
      <c r="K3491">
        <v>11215</v>
      </c>
      <c r="L3491" t="s">
        <v>9094</v>
      </c>
      <c r="M3491" t="s">
        <v>9095</v>
      </c>
      <c r="O3491" t="s">
        <v>11132</v>
      </c>
      <c r="P3491" t="s">
        <v>11165</v>
      </c>
      <c r="R3491" t="s">
        <v>11180</v>
      </c>
      <c r="T3491" t="s">
        <v>11183</v>
      </c>
      <c r="V3491" t="s">
        <v>856</v>
      </c>
      <c r="W3491">
        <v>0</v>
      </c>
      <c r="X3491" t="s">
        <v>11332</v>
      </c>
      <c r="Z3491" t="s">
        <v>13692</v>
      </c>
      <c r="AB3491" t="s">
        <v>18019</v>
      </c>
      <c r="AC3491">
        <v>8</v>
      </c>
      <c r="AF3491">
        <v>0</v>
      </c>
      <c r="AG3491">
        <v>1</v>
      </c>
      <c r="AH3491">
        <v>0</v>
      </c>
      <c r="AI3491">
        <v>119.4</v>
      </c>
      <c r="AL3491" t="s">
        <v>19614</v>
      </c>
      <c r="AM3491">
        <v>14400</v>
      </c>
      <c r="AS3491">
        <v>57.5</v>
      </c>
      <c r="AT3491" t="s">
        <v>292</v>
      </c>
      <c r="AU3491" t="s">
        <v>20637</v>
      </c>
    </row>
    <row r="3492" spans="1:48">
      <c r="A3492" s="1">
        <f>HYPERLINK("https://lsnyc.legalserver.org/matter/dynamic-profile/view/0828915","17-0828915")</f>
        <v>0</v>
      </c>
      <c r="B3492" t="s">
        <v>78</v>
      </c>
      <c r="C3492" t="s">
        <v>256</v>
      </c>
      <c r="D3492" t="s">
        <v>1021</v>
      </c>
      <c r="F3492" t="s">
        <v>1886</v>
      </c>
      <c r="G3492" t="s">
        <v>1299</v>
      </c>
      <c r="H3492" t="s">
        <v>5809</v>
      </c>
      <c r="I3492" t="s">
        <v>8740</v>
      </c>
      <c r="J3492" t="s">
        <v>9059</v>
      </c>
      <c r="K3492">
        <v>11212</v>
      </c>
      <c r="L3492" t="s">
        <v>9094</v>
      </c>
      <c r="M3492" t="s">
        <v>9095</v>
      </c>
      <c r="N3492" t="s">
        <v>10189</v>
      </c>
      <c r="O3492" t="s">
        <v>11135</v>
      </c>
      <c r="P3492" t="s">
        <v>11167</v>
      </c>
      <c r="R3492" t="s">
        <v>11180</v>
      </c>
      <c r="S3492" t="s">
        <v>9094</v>
      </c>
      <c r="T3492" t="s">
        <v>11183</v>
      </c>
      <c r="V3492" t="s">
        <v>1087</v>
      </c>
      <c r="W3492">
        <v>900</v>
      </c>
      <c r="X3492" t="s">
        <v>11332</v>
      </c>
      <c r="Y3492" t="s">
        <v>11157</v>
      </c>
      <c r="Z3492" t="s">
        <v>13676</v>
      </c>
      <c r="AB3492" t="s">
        <v>18004</v>
      </c>
      <c r="AC3492">
        <v>32</v>
      </c>
      <c r="AD3492" t="s">
        <v>19566</v>
      </c>
      <c r="AF3492">
        <v>18</v>
      </c>
      <c r="AG3492">
        <v>1</v>
      </c>
      <c r="AH3492">
        <v>0</v>
      </c>
      <c r="AI3492">
        <v>119.4</v>
      </c>
      <c r="AL3492" t="s">
        <v>19614</v>
      </c>
      <c r="AM3492">
        <v>14400</v>
      </c>
      <c r="AS3492">
        <v>0.25</v>
      </c>
      <c r="AT3492" t="s">
        <v>778</v>
      </c>
      <c r="AU3492" t="s">
        <v>78</v>
      </c>
    </row>
    <row r="3493" spans="1:48">
      <c r="A3493" s="1">
        <f>HYPERLINK("https://lsnyc.legalserver.org/matter/dynamic-profile/view/1836079","17-1836079")</f>
        <v>0</v>
      </c>
      <c r="B3493" t="s">
        <v>93</v>
      </c>
      <c r="C3493" t="s">
        <v>256</v>
      </c>
      <c r="D3493" t="s">
        <v>386</v>
      </c>
      <c r="F3493" t="s">
        <v>1886</v>
      </c>
      <c r="G3493" t="s">
        <v>1299</v>
      </c>
      <c r="H3493" t="s">
        <v>5809</v>
      </c>
      <c r="I3493" t="s">
        <v>8740</v>
      </c>
      <c r="J3493" t="s">
        <v>9059</v>
      </c>
      <c r="K3493">
        <v>11212</v>
      </c>
      <c r="L3493" t="s">
        <v>9094</v>
      </c>
      <c r="M3493" t="s">
        <v>9095</v>
      </c>
      <c r="O3493" t="s">
        <v>11135</v>
      </c>
      <c r="P3493" t="s">
        <v>11168</v>
      </c>
      <c r="R3493" t="s">
        <v>11180</v>
      </c>
      <c r="S3493" t="s">
        <v>9094</v>
      </c>
      <c r="T3493" t="s">
        <v>11183</v>
      </c>
      <c r="V3493" t="s">
        <v>386</v>
      </c>
      <c r="W3493">
        <v>900</v>
      </c>
      <c r="X3493" t="s">
        <v>11332</v>
      </c>
      <c r="Y3493" t="s">
        <v>11340</v>
      </c>
      <c r="Z3493" t="s">
        <v>13676</v>
      </c>
      <c r="AB3493" t="s">
        <v>18004</v>
      </c>
      <c r="AC3493">
        <v>31</v>
      </c>
      <c r="AD3493" t="s">
        <v>19566</v>
      </c>
      <c r="AF3493">
        <v>18</v>
      </c>
      <c r="AG3493">
        <v>1</v>
      </c>
      <c r="AH3493">
        <v>0</v>
      </c>
      <c r="AI3493">
        <v>119.4</v>
      </c>
      <c r="AL3493" t="s">
        <v>19614</v>
      </c>
      <c r="AM3493">
        <v>14400</v>
      </c>
      <c r="AS3493">
        <v>0.1</v>
      </c>
      <c r="AT3493" t="s">
        <v>386</v>
      </c>
      <c r="AU3493" t="s">
        <v>59</v>
      </c>
    </row>
    <row r="3494" spans="1:48">
      <c r="A3494" s="1">
        <f>HYPERLINK("https://lsnyc.legalserver.org/matter/dynamic-profile/view/1847733","17-1847733")</f>
        <v>0</v>
      </c>
      <c r="B3494" t="s">
        <v>75</v>
      </c>
      <c r="C3494" t="s">
        <v>257</v>
      </c>
      <c r="D3494" t="s">
        <v>919</v>
      </c>
      <c r="E3494" t="s">
        <v>1133</v>
      </c>
      <c r="F3494" t="s">
        <v>1336</v>
      </c>
      <c r="G3494" t="s">
        <v>3370</v>
      </c>
      <c r="H3494" t="s">
        <v>7342</v>
      </c>
      <c r="I3494" t="s">
        <v>8530</v>
      </c>
      <c r="J3494" t="s">
        <v>9059</v>
      </c>
      <c r="K3494">
        <v>11208</v>
      </c>
      <c r="L3494" t="s">
        <v>9094</v>
      </c>
      <c r="M3494" t="s">
        <v>9095</v>
      </c>
      <c r="N3494" t="s">
        <v>10416</v>
      </c>
      <c r="O3494" t="s">
        <v>11129</v>
      </c>
      <c r="P3494" t="s">
        <v>11165</v>
      </c>
      <c r="Q3494" t="s">
        <v>11174</v>
      </c>
      <c r="R3494" t="s">
        <v>11180</v>
      </c>
      <c r="S3494" t="s">
        <v>9096</v>
      </c>
      <c r="T3494" t="s">
        <v>11183</v>
      </c>
      <c r="V3494" t="s">
        <v>675</v>
      </c>
      <c r="W3494">
        <v>525</v>
      </c>
      <c r="X3494" t="s">
        <v>11332</v>
      </c>
      <c r="Y3494" t="s">
        <v>11340</v>
      </c>
      <c r="Z3494" t="s">
        <v>13693</v>
      </c>
      <c r="AB3494" t="s">
        <v>18020</v>
      </c>
      <c r="AC3494">
        <v>6</v>
      </c>
      <c r="AD3494" t="s">
        <v>19566</v>
      </c>
      <c r="AF3494">
        <v>35</v>
      </c>
      <c r="AG3494">
        <v>1</v>
      </c>
      <c r="AH3494">
        <v>0</v>
      </c>
      <c r="AI3494">
        <v>119.4</v>
      </c>
      <c r="AL3494" t="s">
        <v>19615</v>
      </c>
      <c r="AM3494">
        <v>14400</v>
      </c>
      <c r="AS3494">
        <v>3</v>
      </c>
      <c r="AT3494" t="s">
        <v>1133</v>
      </c>
      <c r="AU3494" t="s">
        <v>75</v>
      </c>
      <c r="AV3494" t="s">
        <v>20733</v>
      </c>
    </row>
    <row r="3495" spans="1:48">
      <c r="A3495" s="1">
        <f>HYPERLINK("https://lsnyc.legalserver.org/matter/dynamic-profile/view/1842887","17-1842887")</f>
        <v>0</v>
      </c>
      <c r="B3495" t="s">
        <v>122</v>
      </c>
      <c r="C3495" t="s">
        <v>257</v>
      </c>
      <c r="D3495" t="s">
        <v>480</v>
      </c>
      <c r="E3495" t="s">
        <v>414</v>
      </c>
      <c r="F3495" t="s">
        <v>2058</v>
      </c>
      <c r="G3495" t="s">
        <v>3714</v>
      </c>
      <c r="H3495" t="s">
        <v>5911</v>
      </c>
      <c r="I3495" t="s">
        <v>8726</v>
      </c>
      <c r="J3495" t="s">
        <v>9066</v>
      </c>
      <c r="K3495">
        <v>10314</v>
      </c>
      <c r="L3495" t="s">
        <v>9094</v>
      </c>
      <c r="M3495" t="s">
        <v>9095</v>
      </c>
      <c r="N3495" t="s">
        <v>9260</v>
      </c>
      <c r="O3495" t="s">
        <v>11135</v>
      </c>
      <c r="P3495" t="s">
        <v>11168</v>
      </c>
      <c r="Q3495" t="s">
        <v>11177</v>
      </c>
      <c r="R3495" t="s">
        <v>11180</v>
      </c>
      <c r="S3495" t="s">
        <v>9094</v>
      </c>
      <c r="T3495" t="s">
        <v>11183</v>
      </c>
      <c r="U3495" t="s">
        <v>11201</v>
      </c>
      <c r="V3495" t="s">
        <v>712</v>
      </c>
      <c r="W3495">
        <v>871</v>
      </c>
      <c r="X3495" t="s">
        <v>11334</v>
      </c>
      <c r="Y3495" t="s">
        <v>11340</v>
      </c>
      <c r="Z3495" t="s">
        <v>13616</v>
      </c>
      <c r="AB3495" t="s">
        <v>17951</v>
      </c>
      <c r="AC3495">
        <v>96</v>
      </c>
      <c r="AD3495" t="s">
        <v>19566</v>
      </c>
      <c r="AE3495" t="s">
        <v>19587</v>
      </c>
      <c r="AF3495">
        <v>3</v>
      </c>
      <c r="AG3495">
        <v>1</v>
      </c>
      <c r="AH3495">
        <v>0</v>
      </c>
      <c r="AI3495">
        <v>119.4</v>
      </c>
      <c r="AJ3495" t="s">
        <v>19594</v>
      </c>
      <c r="AK3495" t="s">
        <v>19609</v>
      </c>
      <c r="AL3495" t="s">
        <v>19615</v>
      </c>
      <c r="AM3495">
        <v>14400</v>
      </c>
      <c r="AO3495" t="s">
        <v>20293</v>
      </c>
      <c r="AP3495" t="s">
        <v>20316</v>
      </c>
      <c r="AQ3495" t="s">
        <v>20369</v>
      </c>
      <c r="AR3495" t="s">
        <v>20385</v>
      </c>
      <c r="AS3495">
        <v>0.65</v>
      </c>
      <c r="AT3495" t="s">
        <v>414</v>
      </c>
      <c r="AU3495" t="s">
        <v>128</v>
      </c>
      <c r="AV3495" t="s">
        <v>20733</v>
      </c>
    </row>
    <row r="3496" spans="1:48">
      <c r="A3496" s="1">
        <f>HYPERLINK("https://lsnyc.legalserver.org/matter/dynamic-profile/view/0826987","17-0826987")</f>
        <v>0</v>
      </c>
      <c r="B3496" t="s">
        <v>139</v>
      </c>
      <c r="C3496" t="s">
        <v>256</v>
      </c>
      <c r="D3496" t="s">
        <v>858</v>
      </c>
      <c r="F3496" t="s">
        <v>2545</v>
      </c>
      <c r="G3496" t="s">
        <v>4772</v>
      </c>
      <c r="H3496" t="s">
        <v>6363</v>
      </c>
      <c r="I3496" t="s">
        <v>8227</v>
      </c>
      <c r="J3496" t="s">
        <v>9067</v>
      </c>
      <c r="K3496">
        <v>10040</v>
      </c>
      <c r="L3496" t="s">
        <v>9094</v>
      </c>
      <c r="M3496" t="s">
        <v>9095</v>
      </c>
      <c r="N3496" t="s">
        <v>9887</v>
      </c>
      <c r="O3496" t="s">
        <v>11130</v>
      </c>
      <c r="P3496" t="s">
        <v>11165</v>
      </c>
      <c r="R3496" t="s">
        <v>11180</v>
      </c>
      <c r="S3496" t="s">
        <v>9094</v>
      </c>
      <c r="T3496" t="s">
        <v>11183</v>
      </c>
      <c r="V3496" t="s">
        <v>866</v>
      </c>
      <c r="W3496">
        <v>1438.5</v>
      </c>
      <c r="X3496" t="s">
        <v>11335</v>
      </c>
      <c r="Y3496" t="s">
        <v>11339</v>
      </c>
      <c r="Z3496" t="s">
        <v>13677</v>
      </c>
      <c r="AB3496" t="s">
        <v>18005</v>
      </c>
      <c r="AC3496">
        <v>83</v>
      </c>
      <c r="AD3496" t="s">
        <v>19566</v>
      </c>
      <c r="AE3496" t="s">
        <v>9144</v>
      </c>
      <c r="AF3496">
        <v>3</v>
      </c>
      <c r="AG3496">
        <v>1</v>
      </c>
      <c r="AH3496">
        <v>0</v>
      </c>
      <c r="AI3496">
        <v>119.4</v>
      </c>
      <c r="AJ3496" t="s">
        <v>463</v>
      </c>
      <c r="AL3496" t="s">
        <v>19614</v>
      </c>
      <c r="AM3496">
        <v>14400</v>
      </c>
      <c r="AS3496">
        <v>0</v>
      </c>
      <c r="AT3496" t="s">
        <v>537</v>
      </c>
      <c r="AU3496" t="s">
        <v>20657</v>
      </c>
    </row>
    <row r="3497" spans="1:48">
      <c r="A3497" s="1">
        <f>HYPERLINK("https://lsnyc.legalserver.org/matter/dynamic-profile/view/0789844","15-0789844")</f>
        <v>0</v>
      </c>
      <c r="B3497" t="s">
        <v>49</v>
      </c>
      <c r="C3497" t="s">
        <v>256</v>
      </c>
      <c r="D3497" t="s">
        <v>1022</v>
      </c>
      <c r="F3497" t="s">
        <v>2553</v>
      </c>
      <c r="G3497" t="s">
        <v>3970</v>
      </c>
      <c r="H3497" t="s">
        <v>5736</v>
      </c>
      <c r="I3497" t="s">
        <v>8229</v>
      </c>
      <c r="J3497" t="s">
        <v>9055</v>
      </c>
      <c r="K3497">
        <v>11354</v>
      </c>
      <c r="L3497" t="s">
        <v>9094</v>
      </c>
      <c r="M3497" t="s">
        <v>9095</v>
      </c>
      <c r="N3497" t="s">
        <v>9717</v>
      </c>
      <c r="O3497" t="s">
        <v>11135</v>
      </c>
      <c r="P3497" t="s">
        <v>11168</v>
      </c>
      <c r="R3497" t="s">
        <v>11180</v>
      </c>
      <c r="T3497" t="s">
        <v>11183</v>
      </c>
      <c r="V3497" t="s">
        <v>303</v>
      </c>
      <c r="W3497">
        <v>1442</v>
      </c>
      <c r="X3497" t="s">
        <v>11331</v>
      </c>
      <c r="Y3497" t="s">
        <v>11342</v>
      </c>
      <c r="Z3497" t="s">
        <v>13694</v>
      </c>
      <c r="AB3497" t="s">
        <v>18021</v>
      </c>
      <c r="AC3497">
        <v>175</v>
      </c>
      <c r="AD3497" t="s">
        <v>19566</v>
      </c>
      <c r="AE3497" t="s">
        <v>9144</v>
      </c>
      <c r="AF3497">
        <v>15</v>
      </c>
      <c r="AG3497">
        <v>1</v>
      </c>
      <c r="AH3497">
        <v>2</v>
      </c>
      <c r="AI3497">
        <v>119.46</v>
      </c>
      <c r="AL3497" t="s">
        <v>19614</v>
      </c>
      <c r="AM3497">
        <v>24000</v>
      </c>
      <c r="AS3497">
        <v>0.5</v>
      </c>
      <c r="AT3497" t="s">
        <v>448</v>
      </c>
      <c r="AU3497" t="s">
        <v>20621</v>
      </c>
    </row>
    <row r="3498" spans="1:48">
      <c r="A3498" s="1">
        <f>HYPERLINK("https://lsnyc.legalserver.org/matter/dynamic-profile/view/1904363","19-1904363")</f>
        <v>0</v>
      </c>
      <c r="B3498" t="s">
        <v>123</v>
      </c>
      <c r="C3498" t="s">
        <v>257</v>
      </c>
      <c r="D3498" t="s">
        <v>367</v>
      </c>
      <c r="E3498" t="s">
        <v>263</v>
      </c>
      <c r="F3498" t="s">
        <v>1666</v>
      </c>
      <c r="G3498" t="s">
        <v>3411</v>
      </c>
      <c r="H3498" t="s">
        <v>6669</v>
      </c>
      <c r="I3498" t="s">
        <v>8352</v>
      </c>
      <c r="J3498" t="s">
        <v>9066</v>
      </c>
      <c r="K3498">
        <v>10301</v>
      </c>
      <c r="L3498" t="s">
        <v>9094</v>
      </c>
      <c r="M3498" t="s">
        <v>9095</v>
      </c>
      <c r="N3498" t="s">
        <v>10417</v>
      </c>
      <c r="O3498" t="s">
        <v>11129</v>
      </c>
      <c r="P3498" t="s">
        <v>11165</v>
      </c>
      <c r="Q3498" t="s">
        <v>11174</v>
      </c>
      <c r="R3498" t="s">
        <v>11180</v>
      </c>
      <c r="S3498" t="s">
        <v>9096</v>
      </c>
      <c r="T3498" t="s">
        <v>11183</v>
      </c>
      <c r="U3498" t="s">
        <v>11200</v>
      </c>
      <c r="V3498" t="s">
        <v>660</v>
      </c>
      <c r="W3498">
        <v>1717</v>
      </c>
      <c r="X3498" t="s">
        <v>11334</v>
      </c>
      <c r="Y3498" t="s">
        <v>11345</v>
      </c>
      <c r="Z3498" t="s">
        <v>13695</v>
      </c>
      <c r="AB3498" t="s">
        <v>18022</v>
      </c>
      <c r="AC3498">
        <v>454</v>
      </c>
      <c r="AE3498" t="s">
        <v>9144</v>
      </c>
      <c r="AF3498">
        <v>1</v>
      </c>
      <c r="AG3498">
        <v>1</v>
      </c>
      <c r="AH3498">
        <v>2</v>
      </c>
      <c r="AI3498">
        <v>119.46</v>
      </c>
      <c r="AL3498" t="s">
        <v>19614</v>
      </c>
      <c r="AM3498">
        <v>25479.96</v>
      </c>
      <c r="AO3498" t="s">
        <v>20293</v>
      </c>
      <c r="AP3498" t="s">
        <v>20324</v>
      </c>
      <c r="AQ3498" t="s">
        <v>20369</v>
      </c>
      <c r="AR3498" t="s">
        <v>20493</v>
      </c>
      <c r="AS3498">
        <v>28.75</v>
      </c>
      <c r="AT3498" t="s">
        <v>263</v>
      </c>
      <c r="AU3498" t="s">
        <v>20653</v>
      </c>
      <c r="AV3498" t="s">
        <v>20733</v>
      </c>
    </row>
    <row r="3499" spans="1:48">
      <c r="A3499" s="1">
        <f>HYPERLINK("https://lsnyc.legalserver.org/matter/dynamic-profile/view/1835437","17-1835437")</f>
        <v>0</v>
      </c>
      <c r="B3499" t="s">
        <v>141</v>
      </c>
      <c r="C3499" t="s">
        <v>256</v>
      </c>
      <c r="D3499" t="s">
        <v>1023</v>
      </c>
      <c r="F3499" t="s">
        <v>2554</v>
      </c>
      <c r="G3499" t="s">
        <v>4781</v>
      </c>
      <c r="H3499" t="s">
        <v>5952</v>
      </c>
      <c r="I3499" t="s">
        <v>8149</v>
      </c>
      <c r="J3499" t="s">
        <v>9067</v>
      </c>
      <c r="K3499">
        <v>10033</v>
      </c>
      <c r="L3499" t="s">
        <v>9096</v>
      </c>
      <c r="M3499" t="s">
        <v>9095</v>
      </c>
      <c r="N3499" t="s">
        <v>9685</v>
      </c>
      <c r="P3499" t="s">
        <v>11166</v>
      </c>
      <c r="R3499" t="s">
        <v>11180</v>
      </c>
      <c r="S3499" t="s">
        <v>9094</v>
      </c>
      <c r="T3499" t="s">
        <v>11183</v>
      </c>
      <c r="V3499" t="s">
        <v>11209</v>
      </c>
      <c r="W3499">
        <v>830</v>
      </c>
      <c r="X3499" t="s">
        <v>11335</v>
      </c>
      <c r="Y3499" t="s">
        <v>11351</v>
      </c>
      <c r="Z3499" t="s">
        <v>13696</v>
      </c>
      <c r="AB3499" t="s">
        <v>18023</v>
      </c>
      <c r="AC3499">
        <v>24</v>
      </c>
      <c r="AD3499" t="s">
        <v>19566</v>
      </c>
      <c r="AE3499" t="s">
        <v>19587</v>
      </c>
      <c r="AF3499">
        <v>44</v>
      </c>
      <c r="AG3499">
        <v>1</v>
      </c>
      <c r="AH3499">
        <v>0</v>
      </c>
      <c r="AI3499">
        <v>119.5</v>
      </c>
      <c r="AJ3499" t="s">
        <v>973</v>
      </c>
      <c r="AL3499" t="s">
        <v>19615</v>
      </c>
      <c r="AM3499">
        <v>14412</v>
      </c>
      <c r="AS3499">
        <v>0</v>
      </c>
      <c r="AU3499" t="s">
        <v>141</v>
      </c>
    </row>
    <row r="3500" spans="1:48">
      <c r="A3500" s="1">
        <f>HYPERLINK("https://lsnyc.legalserver.org/matter/dynamic-profile/view/1884481","18-1884481")</f>
        <v>0</v>
      </c>
      <c r="B3500" t="s">
        <v>111</v>
      </c>
      <c r="C3500" t="s">
        <v>256</v>
      </c>
      <c r="D3500" t="s">
        <v>511</v>
      </c>
      <c r="F3500" t="s">
        <v>1303</v>
      </c>
      <c r="G3500" t="s">
        <v>4782</v>
      </c>
      <c r="H3500" t="s">
        <v>6417</v>
      </c>
      <c r="I3500" t="s">
        <v>8741</v>
      </c>
      <c r="J3500" t="s">
        <v>9065</v>
      </c>
      <c r="K3500">
        <v>10452</v>
      </c>
      <c r="L3500" t="s">
        <v>9094</v>
      </c>
      <c r="M3500" t="s">
        <v>9095</v>
      </c>
      <c r="O3500" t="s">
        <v>11136</v>
      </c>
      <c r="P3500" t="s">
        <v>11164</v>
      </c>
      <c r="R3500" t="s">
        <v>11180</v>
      </c>
      <c r="S3500" t="s">
        <v>9096</v>
      </c>
      <c r="T3500" t="s">
        <v>11183</v>
      </c>
      <c r="V3500" t="s">
        <v>993</v>
      </c>
      <c r="W3500">
        <v>1300.04</v>
      </c>
      <c r="X3500" t="s">
        <v>11333</v>
      </c>
      <c r="Y3500" t="s">
        <v>11346</v>
      </c>
      <c r="Z3500" t="s">
        <v>13697</v>
      </c>
      <c r="AB3500" t="s">
        <v>18024</v>
      </c>
      <c r="AC3500">
        <v>0</v>
      </c>
      <c r="AD3500" t="s">
        <v>19566</v>
      </c>
      <c r="AF3500">
        <v>0</v>
      </c>
      <c r="AG3500">
        <v>2</v>
      </c>
      <c r="AH3500">
        <v>2</v>
      </c>
      <c r="AI3500">
        <v>119.52</v>
      </c>
      <c r="AL3500" t="s">
        <v>19614</v>
      </c>
      <c r="AM3500">
        <v>30000</v>
      </c>
      <c r="AS3500">
        <v>2.3</v>
      </c>
      <c r="AT3500" t="s">
        <v>516</v>
      </c>
      <c r="AU3500" t="s">
        <v>178</v>
      </c>
      <c r="AV3500" t="s">
        <v>20733</v>
      </c>
    </row>
    <row r="3501" spans="1:48">
      <c r="A3501" s="1">
        <f>HYPERLINK("https://lsnyc.legalserver.org/matter/dynamic-profile/view/1879125","18-1879125")</f>
        <v>0</v>
      </c>
      <c r="B3501" t="s">
        <v>71</v>
      </c>
      <c r="C3501" t="s">
        <v>257</v>
      </c>
      <c r="D3501" t="s">
        <v>572</v>
      </c>
      <c r="E3501" t="s">
        <v>483</v>
      </c>
      <c r="F3501" t="s">
        <v>1406</v>
      </c>
      <c r="G3501" t="s">
        <v>3503</v>
      </c>
      <c r="H3501" t="s">
        <v>7014</v>
      </c>
      <c r="I3501" t="s">
        <v>8154</v>
      </c>
      <c r="J3501" t="s">
        <v>9059</v>
      </c>
      <c r="K3501">
        <v>11207</v>
      </c>
      <c r="L3501" t="s">
        <v>9094</v>
      </c>
      <c r="M3501" t="s">
        <v>9094</v>
      </c>
      <c r="N3501" t="s">
        <v>10127</v>
      </c>
      <c r="O3501" t="s">
        <v>11129</v>
      </c>
      <c r="P3501" t="s">
        <v>11165</v>
      </c>
      <c r="Q3501" t="s">
        <v>11174</v>
      </c>
      <c r="R3501" t="s">
        <v>11180</v>
      </c>
      <c r="S3501" t="s">
        <v>9096</v>
      </c>
      <c r="T3501" t="s">
        <v>11183</v>
      </c>
      <c r="U3501" t="s">
        <v>11199</v>
      </c>
      <c r="V3501" t="s">
        <v>697</v>
      </c>
      <c r="W3501">
        <v>1277</v>
      </c>
      <c r="X3501" t="s">
        <v>11332</v>
      </c>
      <c r="Y3501" t="s">
        <v>11340</v>
      </c>
      <c r="Z3501" t="s">
        <v>13137</v>
      </c>
      <c r="AA3501" t="s">
        <v>15719</v>
      </c>
      <c r="AB3501" t="s">
        <v>17501</v>
      </c>
      <c r="AC3501">
        <v>6</v>
      </c>
      <c r="AD3501" t="s">
        <v>19566</v>
      </c>
      <c r="AE3501" t="s">
        <v>19582</v>
      </c>
      <c r="AF3501">
        <v>23</v>
      </c>
      <c r="AG3501">
        <v>2</v>
      </c>
      <c r="AH3501">
        <v>1</v>
      </c>
      <c r="AI3501">
        <v>119.63</v>
      </c>
      <c r="AL3501" t="s">
        <v>19614</v>
      </c>
      <c r="AM3501">
        <v>24860</v>
      </c>
      <c r="AS3501">
        <v>50.6</v>
      </c>
      <c r="AT3501" t="s">
        <v>614</v>
      </c>
      <c r="AU3501" t="s">
        <v>95</v>
      </c>
      <c r="AV3501" t="s">
        <v>20733</v>
      </c>
    </row>
    <row r="3502" spans="1:48">
      <c r="A3502" s="1">
        <f>HYPERLINK("https://lsnyc.legalserver.org/matter/dynamic-profile/view/1887700","19-1887700")</f>
        <v>0</v>
      </c>
      <c r="B3502" t="s">
        <v>106</v>
      </c>
      <c r="C3502" t="s">
        <v>257</v>
      </c>
      <c r="D3502" t="s">
        <v>650</v>
      </c>
      <c r="E3502" t="s">
        <v>429</v>
      </c>
      <c r="F3502" t="s">
        <v>1231</v>
      </c>
      <c r="G3502" t="s">
        <v>3588</v>
      </c>
      <c r="H3502" t="s">
        <v>6624</v>
      </c>
      <c r="I3502" t="s">
        <v>8485</v>
      </c>
      <c r="J3502" t="s">
        <v>9065</v>
      </c>
      <c r="K3502">
        <v>10458</v>
      </c>
      <c r="L3502" t="s">
        <v>9094</v>
      </c>
      <c r="M3502" t="s">
        <v>9094</v>
      </c>
      <c r="N3502" t="s">
        <v>9825</v>
      </c>
      <c r="O3502" t="s">
        <v>11130</v>
      </c>
      <c r="P3502" t="s">
        <v>11165</v>
      </c>
      <c r="Q3502" t="s">
        <v>11179</v>
      </c>
      <c r="R3502" t="s">
        <v>11180</v>
      </c>
      <c r="S3502" t="s">
        <v>9094</v>
      </c>
      <c r="T3502" t="s">
        <v>11183</v>
      </c>
      <c r="V3502" t="s">
        <v>11212</v>
      </c>
      <c r="W3502">
        <v>1127.78</v>
      </c>
      <c r="X3502" t="s">
        <v>11333</v>
      </c>
      <c r="Y3502" t="s">
        <v>11346</v>
      </c>
      <c r="Z3502" t="s">
        <v>12529</v>
      </c>
      <c r="AA3502" t="s">
        <v>15592</v>
      </c>
      <c r="AB3502" t="s">
        <v>16924</v>
      </c>
      <c r="AC3502">
        <v>0</v>
      </c>
      <c r="AD3502" t="s">
        <v>19566</v>
      </c>
      <c r="AE3502" t="s">
        <v>19582</v>
      </c>
      <c r="AF3502">
        <v>9</v>
      </c>
      <c r="AG3502">
        <v>1</v>
      </c>
      <c r="AH3502">
        <v>2</v>
      </c>
      <c r="AI3502">
        <v>119.71</v>
      </c>
      <c r="AL3502" t="s">
        <v>19615</v>
      </c>
      <c r="AM3502">
        <v>24876.72</v>
      </c>
      <c r="AS3502">
        <v>4.75</v>
      </c>
      <c r="AT3502" t="s">
        <v>429</v>
      </c>
      <c r="AU3502" t="s">
        <v>178</v>
      </c>
      <c r="AV3502" t="s">
        <v>20733</v>
      </c>
    </row>
    <row r="3503" spans="1:48">
      <c r="A3503" s="1">
        <f>HYPERLINK("https://lsnyc.legalserver.org/matter/dynamic-profile/view/0789450","15-0789450")</f>
        <v>0</v>
      </c>
      <c r="B3503" t="s">
        <v>119</v>
      </c>
      <c r="C3503" t="s">
        <v>256</v>
      </c>
      <c r="D3503" t="s">
        <v>580</v>
      </c>
      <c r="F3503" t="s">
        <v>2540</v>
      </c>
      <c r="G3503" t="s">
        <v>4770</v>
      </c>
      <c r="H3503" t="s">
        <v>5897</v>
      </c>
      <c r="I3503" t="s">
        <v>8739</v>
      </c>
      <c r="J3503" t="s">
        <v>9065</v>
      </c>
      <c r="K3503">
        <v>10452</v>
      </c>
      <c r="L3503" t="s">
        <v>9094</v>
      </c>
      <c r="M3503" t="s">
        <v>9095</v>
      </c>
      <c r="N3503" t="s">
        <v>9250</v>
      </c>
      <c r="O3503" t="s">
        <v>11132</v>
      </c>
      <c r="P3503" t="s">
        <v>11165</v>
      </c>
      <c r="R3503" t="s">
        <v>11180</v>
      </c>
      <c r="S3503" t="s">
        <v>9094</v>
      </c>
      <c r="T3503" t="s">
        <v>11183</v>
      </c>
      <c r="V3503" t="s">
        <v>580</v>
      </c>
      <c r="W3503">
        <v>766.61</v>
      </c>
      <c r="X3503" t="s">
        <v>11333</v>
      </c>
      <c r="Y3503" t="s">
        <v>11347</v>
      </c>
      <c r="Z3503" t="s">
        <v>13670</v>
      </c>
      <c r="AB3503" t="s">
        <v>17998</v>
      </c>
      <c r="AC3503">
        <v>0</v>
      </c>
      <c r="AF3503">
        <v>22</v>
      </c>
      <c r="AG3503">
        <v>2</v>
      </c>
      <c r="AH3503">
        <v>4</v>
      </c>
      <c r="AI3503">
        <v>119.74</v>
      </c>
      <c r="AL3503" t="s">
        <v>19614</v>
      </c>
      <c r="AM3503">
        <v>39000</v>
      </c>
      <c r="AS3503">
        <v>0.1</v>
      </c>
      <c r="AT3503" t="s">
        <v>965</v>
      </c>
      <c r="AU3503" t="s">
        <v>109</v>
      </c>
    </row>
    <row r="3504" spans="1:48">
      <c r="A3504" s="1">
        <f>HYPERLINK("https://lsnyc.legalserver.org/matter/dynamic-profile/view/1904920","19-1904920")</f>
        <v>0</v>
      </c>
      <c r="B3504" t="s">
        <v>72</v>
      </c>
      <c r="C3504" t="s">
        <v>256</v>
      </c>
      <c r="D3504" t="s">
        <v>660</v>
      </c>
      <c r="F3504" t="s">
        <v>1861</v>
      </c>
      <c r="G3504" t="s">
        <v>3551</v>
      </c>
      <c r="H3504" t="s">
        <v>6021</v>
      </c>
      <c r="I3504" t="s">
        <v>8411</v>
      </c>
      <c r="J3504" t="s">
        <v>9059</v>
      </c>
      <c r="K3504">
        <v>11233</v>
      </c>
      <c r="L3504" t="s">
        <v>9094</v>
      </c>
      <c r="M3504" t="s">
        <v>9095</v>
      </c>
      <c r="N3504" t="s">
        <v>10418</v>
      </c>
      <c r="O3504" t="s">
        <v>11129</v>
      </c>
      <c r="P3504" t="s">
        <v>11164</v>
      </c>
      <c r="R3504" t="s">
        <v>11180</v>
      </c>
      <c r="S3504" t="s">
        <v>9096</v>
      </c>
      <c r="T3504" t="s">
        <v>11183</v>
      </c>
      <c r="U3504" t="s">
        <v>11201</v>
      </c>
      <c r="V3504" t="s">
        <v>493</v>
      </c>
      <c r="W3504">
        <v>2100</v>
      </c>
      <c r="X3504" t="s">
        <v>11332</v>
      </c>
      <c r="Y3504" t="s">
        <v>11350</v>
      </c>
      <c r="Z3504" t="s">
        <v>13698</v>
      </c>
      <c r="AA3504" t="s">
        <v>15287</v>
      </c>
      <c r="AB3504" t="s">
        <v>18025</v>
      </c>
      <c r="AC3504">
        <v>3</v>
      </c>
      <c r="AD3504" t="s">
        <v>19565</v>
      </c>
      <c r="AE3504" t="s">
        <v>11157</v>
      </c>
      <c r="AF3504">
        <v>1</v>
      </c>
      <c r="AG3504">
        <v>1</v>
      </c>
      <c r="AH3504">
        <v>1</v>
      </c>
      <c r="AI3504">
        <v>119.79</v>
      </c>
      <c r="AL3504" t="s">
        <v>19614</v>
      </c>
      <c r="AM3504">
        <v>20256</v>
      </c>
      <c r="AS3504">
        <v>5.25</v>
      </c>
      <c r="AT3504" t="s">
        <v>498</v>
      </c>
      <c r="AU3504" t="s">
        <v>20672</v>
      </c>
      <c r="AV3504" t="s">
        <v>20733</v>
      </c>
    </row>
    <row r="3505" spans="1:48">
      <c r="A3505" s="1">
        <f>HYPERLINK("https://lsnyc.legalserver.org/matter/dynamic-profile/view/1882190","18-1882190")</f>
        <v>0</v>
      </c>
      <c r="B3505" t="s">
        <v>72</v>
      </c>
      <c r="C3505" t="s">
        <v>256</v>
      </c>
      <c r="D3505" t="s">
        <v>697</v>
      </c>
      <c r="F3505" t="s">
        <v>2555</v>
      </c>
      <c r="G3505" t="s">
        <v>3499</v>
      </c>
      <c r="H3505" t="s">
        <v>7343</v>
      </c>
      <c r="I3505" t="s">
        <v>8191</v>
      </c>
      <c r="J3505" t="s">
        <v>9059</v>
      </c>
      <c r="K3505">
        <v>11239</v>
      </c>
      <c r="L3505" t="s">
        <v>9094</v>
      </c>
      <c r="M3505" t="s">
        <v>9094</v>
      </c>
      <c r="N3505" t="s">
        <v>10419</v>
      </c>
      <c r="O3505" t="s">
        <v>11129</v>
      </c>
      <c r="P3505" t="s">
        <v>11165</v>
      </c>
      <c r="R3505" t="s">
        <v>11180</v>
      </c>
      <c r="T3505" t="s">
        <v>11183</v>
      </c>
      <c r="V3505" t="s">
        <v>697</v>
      </c>
      <c r="W3505">
        <v>689</v>
      </c>
      <c r="X3505" t="s">
        <v>11332</v>
      </c>
      <c r="Y3505" t="s">
        <v>11345</v>
      </c>
      <c r="Z3505" t="s">
        <v>13699</v>
      </c>
      <c r="AB3505" t="s">
        <v>18026</v>
      </c>
      <c r="AC3505">
        <v>10</v>
      </c>
      <c r="AD3505" t="s">
        <v>19566</v>
      </c>
      <c r="AF3505">
        <v>3</v>
      </c>
      <c r="AG3505">
        <v>1</v>
      </c>
      <c r="AH3505">
        <v>0</v>
      </c>
      <c r="AI3505">
        <v>119.8</v>
      </c>
      <c r="AL3505" t="s">
        <v>19614</v>
      </c>
      <c r="AM3505">
        <v>14544</v>
      </c>
      <c r="AN3505" t="s">
        <v>19879</v>
      </c>
      <c r="AS3505">
        <v>37.25</v>
      </c>
      <c r="AT3505" t="s">
        <v>457</v>
      </c>
      <c r="AU3505" t="s">
        <v>20628</v>
      </c>
    </row>
    <row r="3506" spans="1:48">
      <c r="A3506" s="1">
        <f>HYPERLINK("https://lsnyc.legalserver.org/matter/dynamic-profile/view/0818324","16-0818324")</f>
        <v>0</v>
      </c>
      <c r="B3506" t="s">
        <v>136</v>
      </c>
      <c r="C3506" t="s">
        <v>256</v>
      </c>
      <c r="D3506" t="s">
        <v>1024</v>
      </c>
      <c r="F3506" t="s">
        <v>1506</v>
      </c>
      <c r="G3506" t="s">
        <v>4783</v>
      </c>
      <c r="H3506" t="s">
        <v>7148</v>
      </c>
      <c r="I3506" t="s">
        <v>8124</v>
      </c>
      <c r="J3506" t="s">
        <v>9067</v>
      </c>
      <c r="K3506">
        <v>10034</v>
      </c>
      <c r="L3506" t="s">
        <v>9094</v>
      </c>
      <c r="M3506" t="s">
        <v>9095</v>
      </c>
      <c r="O3506" t="s">
        <v>11135</v>
      </c>
      <c r="P3506" t="s">
        <v>11168</v>
      </c>
      <c r="R3506" t="s">
        <v>11180</v>
      </c>
      <c r="S3506" t="s">
        <v>9096</v>
      </c>
      <c r="T3506" t="s">
        <v>11183</v>
      </c>
      <c r="V3506" t="s">
        <v>436</v>
      </c>
      <c r="W3506">
        <v>941.05</v>
      </c>
      <c r="X3506" t="s">
        <v>11335</v>
      </c>
      <c r="Y3506" t="s">
        <v>11338</v>
      </c>
      <c r="Z3506" t="s">
        <v>13700</v>
      </c>
      <c r="AB3506" t="s">
        <v>18027</v>
      </c>
      <c r="AC3506">
        <v>22</v>
      </c>
      <c r="AD3506" t="s">
        <v>19566</v>
      </c>
      <c r="AE3506" t="s">
        <v>9144</v>
      </c>
      <c r="AF3506">
        <v>32</v>
      </c>
      <c r="AG3506">
        <v>3</v>
      </c>
      <c r="AH3506">
        <v>0</v>
      </c>
      <c r="AI3506">
        <v>119.88</v>
      </c>
      <c r="AL3506" t="s">
        <v>19615</v>
      </c>
      <c r="AM3506">
        <v>24168</v>
      </c>
      <c r="AS3506">
        <v>111.32</v>
      </c>
      <c r="AT3506" t="s">
        <v>297</v>
      </c>
      <c r="AU3506" t="s">
        <v>20657</v>
      </c>
    </row>
    <row r="3507" spans="1:48">
      <c r="A3507" s="1">
        <f>HYPERLINK("https://lsnyc.legalserver.org/matter/dynamic-profile/view/1904274","19-1904274")</f>
        <v>0</v>
      </c>
      <c r="B3507" t="s">
        <v>144</v>
      </c>
      <c r="C3507" t="s">
        <v>256</v>
      </c>
      <c r="D3507" t="s">
        <v>265</v>
      </c>
      <c r="F3507" t="s">
        <v>2556</v>
      </c>
      <c r="G3507" t="s">
        <v>4784</v>
      </c>
      <c r="H3507" t="s">
        <v>7344</v>
      </c>
      <c r="I3507" t="s">
        <v>8164</v>
      </c>
      <c r="J3507" t="s">
        <v>9067</v>
      </c>
      <c r="K3507">
        <v>10013</v>
      </c>
      <c r="L3507" t="s">
        <v>9094</v>
      </c>
      <c r="M3507" t="s">
        <v>9095</v>
      </c>
      <c r="N3507" t="s">
        <v>10420</v>
      </c>
      <c r="O3507" t="s">
        <v>11128</v>
      </c>
      <c r="P3507" t="s">
        <v>11169</v>
      </c>
      <c r="R3507" t="s">
        <v>11180</v>
      </c>
      <c r="S3507" t="s">
        <v>9096</v>
      </c>
      <c r="T3507" t="s">
        <v>11183</v>
      </c>
      <c r="W3507">
        <v>0</v>
      </c>
      <c r="X3507" t="s">
        <v>11335</v>
      </c>
      <c r="Z3507" t="s">
        <v>13701</v>
      </c>
      <c r="AB3507" t="s">
        <v>18028</v>
      </c>
      <c r="AC3507">
        <v>0</v>
      </c>
      <c r="AD3507" t="s">
        <v>19570</v>
      </c>
      <c r="AE3507" t="s">
        <v>9144</v>
      </c>
      <c r="AF3507">
        <v>0</v>
      </c>
      <c r="AG3507">
        <v>2</v>
      </c>
      <c r="AH3507">
        <v>0</v>
      </c>
      <c r="AI3507">
        <v>119.93</v>
      </c>
      <c r="AL3507" t="s">
        <v>19628</v>
      </c>
      <c r="AM3507">
        <v>20280</v>
      </c>
      <c r="AS3507">
        <v>1</v>
      </c>
      <c r="AT3507" t="s">
        <v>372</v>
      </c>
      <c r="AU3507" t="s">
        <v>20655</v>
      </c>
      <c r="AV3507" t="s">
        <v>20733</v>
      </c>
    </row>
    <row r="3508" spans="1:48">
      <c r="A3508" s="1">
        <f>HYPERLINK("https://lsnyc.legalserver.org/matter/dynamic-profile/view/1872816","18-1872816")</f>
        <v>0</v>
      </c>
      <c r="B3508" t="s">
        <v>157</v>
      </c>
      <c r="C3508" t="s">
        <v>257</v>
      </c>
      <c r="D3508" t="s">
        <v>869</v>
      </c>
      <c r="E3508" t="s">
        <v>425</v>
      </c>
      <c r="F3508" t="s">
        <v>2557</v>
      </c>
      <c r="G3508" t="s">
        <v>4785</v>
      </c>
      <c r="J3508" t="s">
        <v>9059</v>
      </c>
      <c r="K3508">
        <v>11201</v>
      </c>
      <c r="L3508" t="s">
        <v>9095</v>
      </c>
      <c r="M3508" t="s">
        <v>9095</v>
      </c>
      <c r="P3508" t="s">
        <v>11167</v>
      </c>
      <c r="Q3508" t="s">
        <v>11173</v>
      </c>
      <c r="R3508" t="s">
        <v>11180</v>
      </c>
      <c r="T3508" t="s">
        <v>11193</v>
      </c>
      <c r="W3508">
        <v>0</v>
      </c>
      <c r="X3508" t="s">
        <v>11332</v>
      </c>
      <c r="Z3508" t="s">
        <v>13702</v>
      </c>
      <c r="AB3508" t="s">
        <v>18029</v>
      </c>
      <c r="AC3508">
        <v>0</v>
      </c>
      <c r="AF3508">
        <v>0</v>
      </c>
      <c r="AG3508">
        <v>1</v>
      </c>
      <c r="AH3508">
        <v>0</v>
      </c>
      <c r="AI3508">
        <v>119.97</v>
      </c>
      <c r="AL3508" t="s">
        <v>19614</v>
      </c>
      <c r="AM3508">
        <v>14564</v>
      </c>
      <c r="AS3508">
        <v>13.3</v>
      </c>
      <c r="AT3508" t="s">
        <v>685</v>
      </c>
      <c r="AU3508" t="s">
        <v>157</v>
      </c>
    </row>
    <row r="3509" spans="1:48">
      <c r="A3509" s="1">
        <f>HYPERLINK("https://lsnyc.legalserver.org/matter/dynamic-profile/view/1909626","19-1909626")</f>
        <v>0</v>
      </c>
      <c r="B3509" t="s">
        <v>55</v>
      </c>
      <c r="C3509" t="s">
        <v>256</v>
      </c>
      <c r="D3509" t="s">
        <v>444</v>
      </c>
      <c r="F3509" t="s">
        <v>2232</v>
      </c>
      <c r="G3509" t="s">
        <v>4786</v>
      </c>
      <c r="H3509" t="s">
        <v>7345</v>
      </c>
      <c r="J3509" t="s">
        <v>9076</v>
      </c>
      <c r="K3509">
        <v>11418</v>
      </c>
      <c r="L3509" t="s">
        <v>9094</v>
      </c>
      <c r="M3509" t="s">
        <v>9095</v>
      </c>
      <c r="N3509" t="s">
        <v>10421</v>
      </c>
      <c r="O3509" t="s">
        <v>11128</v>
      </c>
      <c r="P3509" t="s">
        <v>11164</v>
      </c>
      <c r="R3509" t="s">
        <v>11180</v>
      </c>
      <c r="S3509" t="s">
        <v>9096</v>
      </c>
      <c r="T3509" t="s">
        <v>11183</v>
      </c>
      <c r="V3509" t="s">
        <v>444</v>
      </c>
      <c r="W3509">
        <v>400</v>
      </c>
      <c r="X3509" t="s">
        <v>11331</v>
      </c>
      <c r="Y3509" t="s">
        <v>11336</v>
      </c>
      <c r="Z3509" t="s">
        <v>13703</v>
      </c>
      <c r="AA3509" t="s">
        <v>15798</v>
      </c>
      <c r="AB3509" t="s">
        <v>18030</v>
      </c>
      <c r="AC3509">
        <v>2</v>
      </c>
      <c r="AD3509" t="s">
        <v>15441</v>
      </c>
      <c r="AE3509" t="s">
        <v>9144</v>
      </c>
      <c r="AF3509">
        <v>-1</v>
      </c>
      <c r="AG3509">
        <v>1</v>
      </c>
      <c r="AH3509">
        <v>0</v>
      </c>
      <c r="AI3509">
        <v>120.1</v>
      </c>
      <c r="AL3509" t="s">
        <v>19614</v>
      </c>
      <c r="AM3509">
        <v>15000</v>
      </c>
      <c r="AS3509">
        <v>0.3</v>
      </c>
      <c r="AT3509" t="s">
        <v>444</v>
      </c>
      <c r="AU3509" t="s">
        <v>20620</v>
      </c>
      <c r="AV3509" t="s">
        <v>20733</v>
      </c>
    </row>
    <row r="3510" spans="1:48">
      <c r="A3510" s="1">
        <f>HYPERLINK("https://lsnyc.legalserver.org/matter/dynamic-profile/view/1903493","19-1903493")</f>
        <v>0</v>
      </c>
      <c r="B3510" t="s">
        <v>59</v>
      </c>
      <c r="C3510" t="s">
        <v>256</v>
      </c>
      <c r="D3510" t="s">
        <v>302</v>
      </c>
      <c r="F3510" t="s">
        <v>1611</v>
      </c>
      <c r="G3510" t="s">
        <v>3340</v>
      </c>
      <c r="H3510" t="s">
        <v>7346</v>
      </c>
      <c r="I3510" t="s">
        <v>8667</v>
      </c>
      <c r="J3510" t="s">
        <v>9055</v>
      </c>
      <c r="K3510">
        <v>11354</v>
      </c>
      <c r="L3510" t="s">
        <v>9094</v>
      </c>
      <c r="M3510" t="s">
        <v>9095</v>
      </c>
      <c r="N3510" t="s">
        <v>9135</v>
      </c>
      <c r="O3510" t="s">
        <v>11134</v>
      </c>
      <c r="P3510" t="s">
        <v>11168</v>
      </c>
      <c r="R3510" t="s">
        <v>11180</v>
      </c>
      <c r="S3510" t="s">
        <v>9094</v>
      </c>
      <c r="T3510" t="s">
        <v>11183</v>
      </c>
      <c r="U3510" t="s">
        <v>11201</v>
      </c>
      <c r="V3510" t="s">
        <v>302</v>
      </c>
      <c r="W3510">
        <v>1009</v>
      </c>
      <c r="X3510" t="s">
        <v>11331</v>
      </c>
      <c r="Y3510" t="s">
        <v>11341</v>
      </c>
      <c r="Z3510" t="s">
        <v>13704</v>
      </c>
      <c r="AB3510" t="s">
        <v>18031</v>
      </c>
      <c r="AC3510">
        <v>91</v>
      </c>
      <c r="AD3510" t="s">
        <v>19566</v>
      </c>
      <c r="AE3510" t="s">
        <v>9144</v>
      </c>
      <c r="AF3510">
        <v>17</v>
      </c>
      <c r="AG3510">
        <v>1</v>
      </c>
      <c r="AH3510">
        <v>0</v>
      </c>
      <c r="AI3510">
        <v>120.1</v>
      </c>
      <c r="AL3510" t="s">
        <v>19615</v>
      </c>
      <c r="AM3510">
        <v>15000</v>
      </c>
      <c r="AS3510">
        <v>0</v>
      </c>
      <c r="AU3510" t="s">
        <v>59</v>
      </c>
      <c r="AV3510" t="s">
        <v>20733</v>
      </c>
    </row>
    <row r="3511" spans="1:48">
      <c r="A3511" s="1">
        <f>HYPERLINK("https://lsnyc.legalserver.org/matter/dynamic-profile/view/1905904","19-1905904")</f>
        <v>0</v>
      </c>
      <c r="B3511" t="s">
        <v>57</v>
      </c>
      <c r="C3511" t="s">
        <v>256</v>
      </c>
      <c r="D3511" t="s">
        <v>426</v>
      </c>
      <c r="F3511" t="s">
        <v>2558</v>
      </c>
      <c r="G3511" t="s">
        <v>1333</v>
      </c>
      <c r="H3511" t="s">
        <v>7347</v>
      </c>
      <c r="J3511" t="s">
        <v>9055</v>
      </c>
      <c r="K3511">
        <v>11354</v>
      </c>
      <c r="L3511" t="s">
        <v>9094</v>
      </c>
      <c r="M3511" t="s">
        <v>9095</v>
      </c>
      <c r="N3511" t="s">
        <v>10422</v>
      </c>
      <c r="O3511" t="s">
        <v>11162</v>
      </c>
      <c r="P3511" t="s">
        <v>11165</v>
      </c>
      <c r="R3511" t="s">
        <v>11180</v>
      </c>
      <c r="S3511" t="s">
        <v>9096</v>
      </c>
      <c r="T3511" t="s">
        <v>11183</v>
      </c>
      <c r="U3511" t="s">
        <v>11201</v>
      </c>
      <c r="W3511">
        <v>1100</v>
      </c>
      <c r="X3511" t="s">
        <v>11331</v>
      </c>
      <c r="Y3511" t="s">
        <v>11340</v>
      </c>
      <c r="Z3511" t="s">
        <v>12781</v>
      </c>
      <c r="AB3511" t="s">
        <v>18032</v>
      </c>
      <c r="AC3511">
        <v>2</v>
      </c>
      <c r="AD3511" t="s">
        <v>19565</v>
      </c>
      <c r="AE3511" t="s">
        <v>9144</v>
      </c>
      <c r="AF3511">
        <v>1</v>
      </c>
      <c r="AG3511">
        <v>1</v>
      </c>
      <c r="AH3511">
        <v>0</v>
      </c>
      <c r="AI3511">
        <v>120.1</v>
      </c>
      <c r="AL3511" t="s">
        <v>19623</v>
      </c>
      <c r="AM3511">
        <v>15000</v>
      </c>
      <c r="AS3511">
        <v>38</v>
      </c>
      <c r="AT3511" t="s">
        <v>321</v>
      </c>
      <c r="AU3511" t="s">
        <v>20639</v>
      </c>
      <c r="AV3511" t="s">
        <v>20733</v>
      </c>
    </row>
    <row r="3512" spans="1:48">
      <c r="A3512" s="1">
        <f>HYPERLINK("https://lsnyc.legalserver.org/matter/dynamic-profile/view/1906690","19-1906690")</f>
        <v>0</v>
      </c>
      <c r="B3512" t="s">
        <v>193</v>
      </c>
      <c r="C3512" t="s">
        <v>256</v>
      </c>
      <c r="D3512" t="s">
        <v>333</v>
      </c>
      <c r="F3512" t="s">
        <v>2558</v>
      </c>
      <c r="G3512" t="s">
        <v>1333</v>
      </c>
      <c r="H3512" t="s">
        <v>7347</v>
      </c>
      <c r="J3512" t="s">
        <v>9055</v>
      </c>
      <c r="K3512">
        <v>11354</v>
      </c>
      <c r="L3512" t="s">
        <v>9094</v>
      </c>
      <c r="M3512" t="s">
        <v>9095</v>
      </c>
      <c r="N3512" t="s">
        <v>10423</v>
      </c>
      <c r="O3512" t="s">
        <v>11155</v>
      </c>
      <c r="P3512" t="s">
        <v>11168</v>
      </c>
      <c r="R3512" t="s">
        <v>11180</v>
      </c>
      <c r="S3512" t="s">
        <v>9096</v>
      </c>
      <c r="T3512" t="s">
        <v>11183</v>
      </c>
      <c r="U3512" t="s">
        <v>11201</v>
      </c>
      <c r="V3512" t="s">
        <v>333</v>
      </c>
      <c r="W3512">
        <v>1100</v>
      </c>
      <c r="X3512" t="s">
        <v>11331</v>
      </c>
      <c r="Y3512" t="s">
        <v>11340</v>
      </c>
      <c r="Z3512" t="s">
        <v>12781</v>
      </c>
      <c r="AA3512" t="s">
        <v>15274</v>
      </c>
      <c r="AB3512" t="s">
        <v>18032</v>
      </c>
      <c r="AC3512">
        <v>2</v>
      </c>
      <c r="AD3512" t="s">
        <v>19565</v>
      </c>
      <c r="AE3512" t="s">
        <v>9144</v>
      </c>
      <c r="AF3512">
        <v>1</v>
      </c>
      <c r="AG3512">
        <v>1</v>
      </c>
      <c r="AH3512">
        <v>0</v>
      </c>
      <c r="AI3512">
        <v>120.1</v>
      </c>
      <c r="AL3512" t="s">
        <v>19623</v>
      </c>
      <c r="AM3512">
        <v>15000</v>
      </c>
      <c r="AP3512" t="s">
        <v>11157</v>
      </c>
      <c r="AS3512">
        <v>16.15</v>
      </c>
      <c r="AT3512" t="s">
        <v>496</v>
      </c>
      <c r="AU3512" t="s">
        <v>20620</v>
      </c>
      <c r="AV3512" t="s">
        <v>20733</v>
      </c>
    </row>
    <row r="3513" spans="1:48">
      <c r="A3513" s="1">
        <f>HYPERLINK("https://lsnyc.legalserver.org/matter/dynamic-profile/view/1892356","19-1892356")</f>
        <v>0</v>
      </c>
      <c r="B3513" t="s">
        <v>150</v>
      </c>
      <c r="C3513" t="s">
        <v>256</v>
      </c>
      <c r="D3513" t="s">
        <v>635</v>
      </c>
      <c r="F3513" t="s">
        <v>1365</v>
      </c>
      <c r="G3513" t="s">
        <v>4581</v>
      </c>
      <c r="H3513" t="s">
        <v>7348</v>
      </c>
      <c r="I3513" t="s">
        <v>8124</v>
      </c>
      <c r="J3513" t="s">
        <v>9059</v>
      </c>
      <c r="K3513">
        <v>11217</v>
      </c>
      <c r="L3513" t="s">
        <v>9094</v>
      </c>
      <c r="M3513" t="s">
        <v>9094</v>
      </c>
      <c r="N3513" t="s">
        <v>10424</v>
      </c>
      <c r="O3513" t="s">
        <v>11129</v>
      </c>
      <c r="P3513" t="s">
        <v>11167</v>
      </c>
      <c r="R3513" t="s">
        <v>11180</v>
      </c>
      <c r="S3513" t="s">
        <v>9096</v>
      </c>
      <c r="T3513" t="s">
        <v>11183</v>
      </c>
      <c r="U3513" t="s">
        <v>11201</v>
      </c>
      <c r="V3513" t="s">
        <v>756</v>
      </c>
      <c r="W3513">
        <v>431</v>
      </c>
      <c r="X3513" t="s">
        <v>11332</v>
      </c>
      <c r="Y3513" t="s">
        <v>11338</v>
      </c>
      <c r="Z3513" t="s">
        <v>13302</v>
      </c>
      <c r="AA3513" t="s">
        <v>9144</v>
      </c>
      <c r="AB3513" t="s">
        <v>17648</v>
      </c>
      <c r="AC3513">
        <v>7</v>
      </c>
      <c r="AD3513" t="s">
        <v>19566</v>
      </c>
      <c r="AE3513" t="s">
        <v>19580</v>
      </c>
      <c r="AF3513">
        <v>0</v>
      </c>
      <c r="AG3513">
        <v>1</v>
      </c>
      <c r="AH3513">
        <v>0</v>
      </c>
      <c r="AI3513">
        <v>120.1</v>
      </c>
      <c r="AL3513" t="s">
        <v>19614</v>
      </c>
      <c r="AM3513">
        <v>15000</v>
      </c>
      <c r="AS3513">
        <v>0</v>
      </c>
      <c r="AU3513" t="s">
        <v>95</v>
      </c>
    </row>
    <row r="3514" spans="1:48">
      <c r="A3514" s="1">
        <f>HYPERLINK("https://lsnyc.legalserver.org/matter/dynamic-profile/view/1911774","19-1911774")</f>
        <v>0</v>
      </c>
      <c r="B3514" t="s">
        <v>106</v>
      </c>
      <c r="C3514" t="s">
        <v>257</v>
      </c>
      <c r="D3514" t="s">
        <v>290</v>
      </c>
      <c r="E3514" t="s">
        <v>263</v>
      </c>
      <c r="F3514" t="s">
        <v>1468</v>
      </c>
      <c r="G3514" t="s">
        <v>4787</v>
      </c>
      <c r="H3514" t="s">
        <v>7349</v>
      </c>
      <c r="I3514">
        <v>1</v>
      </c>
      <c r="J3514" t="s">
        <v>9065</v>
      </c>
      <c r="K3514">
        <v>10452</v>
      </c>
      <c r="L3514" t="s">
        <v>9094</v>
      </c>
      <c r="M3514" t="s">
        <v>9095</v>
      </c>
      <c r="O3514" t="s">
        <v>11140</v>
      </c>
      <c r="P3514" t="s">
        <v>11164</v>
      </c>
      <c r="Q3514" t="s">
        <v>11172</v>
      </c>
      <c r="R3514" t="s">
        <v>11180</v>
      </c>
      <c r="T3514" t="s">
        <v>11189</v>
      </c>
      <c r="U3514" t="s">
        <v>11201</v>
      </c>
      <c r="W3514">
        <v>0</v>
      </c>
      <c r="X3514" t="s">
        <v>11333</v>
      </c>
      <c r="Z3514" t="s">
        <v>11739</v>
      </c>
      <c r="AB3514" t="s">
        <v>16204</v>
      </c>
      <c r="AC3514">
        <v>0</v>
      </c>
      <c r="AD3514" t="s">
        <v>19565</v>
      </c>
      <c r="AF3514">
        <v>0</v>
      </c>
      <c r="AG3514">
        <v>1</v>
      </c>
      <c r="AH3514">
        <v>0</v>
      </c>
      <c r="AI3514">
        <v>120.1</v>
      </c>
      <c r="AL3514" t="s">
        <v>19615</v>
      </c>
      <c r="AM3514">
        <v>15000</v>
      </c>
      <c r="AS3514">
        <v>0.6</v>
      </c>
      <c r="AT3514" t="s">
        <v>290</v>
      </c>
      <c r="AU3514" t="s">
        <v>106</v>
      </c>
      <c r="AV3514" t="s">
        <v>20733</v>
      </c>
    </row>
    <row r="3515" spans="1:48">
      <c r="A3515" s="1">
        <f>HYPERLINK("https://lsnyc.legalserver.org/matter/dynamic-profile/view/1857558","18-1857558")</f>
        <v>0</v>
      </c>
      <c r="B3515" t="s">
        <v>78</v>
      </c>
      <c r="C3515" t="s">
        <v>256</v>
      </c>
      <c r="D3515" t="s">
        <v>468</v>
      </c>
      <c r="F3515" t="s">
        <v>2550</v>
      </c>
      <c r="G3515" t="s">
        <v>3988</v>
      </c>
      <c r="H3515" t="s">
        <v>6453</v>
      </c>
      <c r="I3515" t="s">
        <v>8164</v>
      </c>
      <c r="J3515" t="s">
        <v>9059</v>
      </c>
      <c r="K3515">
        <v>11206</v>
      </c>
      <c r="L3515" t="s">
        <v>9094</v>
      </c>
      <c r="M3515" t="s">
        <v>9095</v>
      </c>
      <c r="O3515" t="s">
        <v>11130</v>
      </c>
      <c r="P3515" t="s">
        <v>11165</v>
      </c>
      <c r="R3515" t="s">
        <v>11180</v>
      </c>
      <c r="S3515" t="s">
        <v>9094</v>
      </c>
      <c r="T3515" t="s">
        <v>11183</v>
      </c>
      <c r="V3515" t="s">
        <v>970</v>
      </c>
      <c r="W3515">
        <v>458.7</v>
      </c>
      <c r="X3515" t="s">
        <v>11332</v>
      </c>
      <c r="Y3515" t="s">
        <v>11346</v>
      </c>
      <c r="Z3515" t="s">
        <v>13689</v>
      </c>
      <c r="AA3515" t="s">
        <v>9144</v>
      </c>
      <c r="AB3515" t="s">
        <v>18017</v>
      </c>
      <c r="AC3515">
        <v>25</v>
      </c>
      <c r="AD3515" t="s">
        <v>19570</v>
      </c>
      <c r="AE3515" t="s">
        <v>9144</v>
      </c>
      <c r="AF3515">
        <v>19</v>
      </c>
      <c r="AG3515">
        <v>1</v>
      </c>
      <c r="AH3515">
        <v>0</v>
      </c>
      <c r="AI3515">
        <v>120.12</v>
      </c>
      <c r="AL3515" t="s">
        <v>19614</v>
      </c>
      <c r="AM3515">
        <v>14486.4</v>
      </c>
      <c r="AS3515">
        <v>0</v>
      </c>
      <c r="AU3515" t="s">
        <v>95</v>
      </c>
    </row>
    <row r="3516" spans="1:48">
      <c r="A3516" s="1">
        <f>HYPERLINK("https://lsnyc.legalserver.org/matter/dynamic-profile/view/1908290","19-1908290")</f>
        <v>0</v>
      </c>
      <c r="B3516" t="s">
        <v>59</v>
      </c>
      <c r="C3516" t="s">
        <v>257</v>
      </c>
      <c r="D3516" t="s">
        <v>335</v>
      </c>
      <c r="E3516" t="s">
        <v>1076</v>
      </c>
      <c r="F3516" t="s">
        <v>2559</v>
      </c>
      <c r="G3516" t="s">
        <v>4788</v>
      </c>
      <c r="H3516" t="s">
        <v>7350</v>
      </c>
      <c r="I3516" t="s">
        <v>8193</v>
      </c>
      <c r="J3516" t="s">
        <v>9056</v>
      </c>
      <c r="K3516">
        <v>11365</v>
      </c>
      <c r="L3516" t="s">
        <v>9094</v>
      </c>
      <c r="M3516" t="s">
        <v>9095</v>
      </c>
      <c r="N3516" t="s">
        <v>10425</v>
      </c>
      <c r="O3516" t="s">
        <v>11129</v>
      </c>
      <c r="P3516" t="s">
        <v>11167</v>
      </c>
      <c r="Q3516" t="s">
        <v>11173</v>
      </c>
      <c r="R3516" t="s">
        <v>11180</v>
      </c>
      <c r="S3516" t="s">
        <v>9096</v>
      </c>
      <c r="T3516" t="s">
        <v>11183</v>
      </c>
      <c r="U3516" t="s">
        <v>11200</v>
      </c>
      <c r="V3516" t="s">
        <v>1076</v>
      </c>
      <c r="W3516">
        <v>1609</v>
      </c>
      <c r="X3516" t="s">
        <v>11331</v>
      </c>
      <c r="Y3516" t="s">
        <v>11336</v>
      </c>
      <c r="Z3516" t="s">
        <v>13705</v>
      </c>
      <c r="AA3516" t="s">
        <v>15799</v>
      </c>
      <c r="AB3516" t="s">
        <v>18033</v>
      </c>
      <c r="AC3516">
        <v>9</v>
      </c>
      <c r="AD3516" t="s">
        <v>15441</v>
      </c>
      <c r="AE3516" t="s">
        <v>19587</v>
      </c>
      <c r="AF3516">
        <v>28</v>
      </c>
      <c r="AG3516">
        <v>1</v>
      </c>
      <c r="AH3516">
        <v>0</v>
      </c>
      <c r="AI3516">
        <v>120.19</v>
      </c>
      <c r="AL3516" t="s">
        <v>19614</v>
      </c>
      <c r="AM3516">
        <v>15012</v>
      </c>
      <c r="AS3516">
        <v>0.71</v>
      </c>
      <c r="AT3516" t="s">
        <v>1076</v>
      </c>
      <c r="AU3516" t="s">
        <v>20620</v>
      </c>
      <c r="AV3516" t="s">
        <v>20733</v>
      </c>
    </row>
    <row r="3517" spans="1:48">
      <c r="A3517" s="1">
        <f>HYPERLINK("https://lsnyc.legalserver.org/matter/dynamic-profile/view/1881411","18-1881411")</f>
        <v>0</v>
      </c>
      <c r="B3517" t="s">
        <v>101</v>
      </c>
      <c r="C3517" t="s">
        <v>256</v>
      </c>
      <c r="D3517" t="s">
        <v>586</v>
      </c>
      <c r="F3517" t="s">
        <v>1413</v>
      </c>
      <c r="G3517" t="s">
        <v>4789</v>
      </c>
      <c r="H3517" t="s">
        <v>7351</v>
      </c>
      <c r="I3517" t="s">
        <v>8742</v>
      </c>
      <c r="J3517" t="s">
        <v>9065</v>
      </c>
      <c r="K3517">
        <v>10461</v>
      </c>
      <c r="L3517" t="s">
        <v>9094</v>
      </c>
      <c r="M3517" t="s">
        <v>9094</v>
      </c>
      <c r="O3517" t="s">
        <v>11136</v>
      </c>
      <c r="P3517" t="s">
        <v>11167</v>
      </c>
      <c r="R3517" t="s">
        <v>11180</v>
      </c>
      <c r="S3517" t="s">
        <v>9096</v>
      </c>
      <c r="T3517" t="s">
        <v>11190</v>
      </c>
      <c r="V3517" t="s">
        <v>586</v>
      </c>
      <c r="W3517">
        <v>0</v>
      </c>
      <c r="X3517" t="s">
        <v>11333</v>
      </c>
      <c r="Y3517" t="s">
        <v>11340</v>
      </c>
      <c r="Z3517" t="s">
        <v>13706</v>
      </c>
      <c r="AB3517" t="s">
        <v>18034</v>
      </c>
      <c r="AC3517">
        <v>62</v>
      </c>
      <c r="AD3517" t="s">
        <v>19566</v>
      </c>
      <c r="AE3517" t="s">
        <v>19580</v>
      </c>
      <c r="AF3517">
        <v>41</v>
      </c>
      <c r="AG3517">
        <v>1</v>
      </c>
      <c r="AH3517">
        <v>0</v>
      </c>
      <c r="AI3517">
        <v>120.2</v>
      </c>
      <c r="AL3517" t="s">
        <v>19615</v>
      </c>
      <c r="AM3517">
        <v>14592</v>
      </c>
      <c r="AS3517">
        <v>0.8</v>
      </c>
      <c r="AT3517" t="s">
        <v>288</v>
      </c>
      <c r="AU3517" t="s">
        <v>20647</v>
      </c>
    </row>
    <row r="3518" spans="1:48">
      <c r="A3518" s="1">
        <f>HYPERLINK("https://lsnyc.legalserver.org/matter/dynamic-profile/view/1901243","19-1901243")</f>
        <v>0</v>
      </c>
      <c r="B3518" t="s">
        <v>139</v>
      </c>
      <c r="C3518" t="s">
        <v>256</v>
      </c>
      <c r="D3518" t="s">
        <v>422</v>
      </c>
      <c r="F3518" t="s">
        <v>1183</v>
      </c>
      <c r="G3518" t="s">
        <v>4221</v>
      </c>
      <c r="H3518" t="s">
        <v>6579</v>
      </c>
      <c r="I3518">
        <v>45</v>
      </c>
      <c r="J3518" t="s">
        <v>9067</v>
      </c>
      <c r="K3518">
        <v>10032</v>
      </c>
      <c r="L3518" t="s">
        <v>9094</v>
      </c>
      <c r="M3518" t="s">
        <v>9095</v>
      </c>
      <c r="O3518" t="s">
        <v>11136</v>
      </c>
      <c r="P3518" t="s">
        <v>11167</v>
      </c>
      <c r="R3518" t="s">
        <v>11180</v>
      </c>
      <c r="S3518" t="s">
        <v>9096</v>
      </c>
      <c r="T3518" t="s">
        <v>11183</v>
      </c>
      <c r="V3518" t="s">
        <v>422</v>
      </c>
      <c r="W3518">
        <v>0</v>
      </c>
      <c r="X3518" t="s">
        <v>11335</v>
      </c>
      <c r="Y3518" t="s">
        <v>11338</v>
      </c>
      <c r="Z3518" t="s">
        <v>13707</v>
      </c>
      <c r="AC3518">
        <v>30</v>
      </c>
      <c r="AD3518" t="s">
        <v>19566</v>
      </c>
      <c r="AE3518" t="s">
        <v>9144</v>
      </c>
      <c r="AF3518">
        <v>22</v>
      </c>
      <c r="AG3518">
        <v>6</v>
      </c>
      <c r="AH3518">
        <v>0</v>
      </c>
      <c r="AI3518">
        <v>120.27</v>
      </c>
      <c r="AL3518" t="s">
        <v>19615</v>
      </c>
      <c r="AM3518">
        <v>41600</v>
      </c>
      <c r="AS3518">
        <v>0.1</v>
      </c>
      <c r="AT3518" t="s">
        <v>703</v>
      </c>
      <c r="AU3518" t="s">
        <v>130</v>
      </c>
      <c r="AV3518" t="s">
        <v>20733</v>
      </c>
    </row>
    <row r="3519" spans="1:48">
      <c r="A3519" s="1">
        <f>HYPERLINK("https://lsnyc.legalserver.org/matter/dynamic-profile/view/1863281","18-1863281")</f>
        <v>0</v>
      </c>
      <c r="B3519" t="s">
        <v>75</v>
      </c>
      <c r="C3519" t="s">
        <v>257</v>
      </c>
      <c r="D3519" t="s">
        <v>693</v>
      </c>
      <c r="E3519" t="s">
        <v>1132</v>
      </c>
      <c r="F3519" t="s">
        <v>2045</v>
      </c>
      <c r="G3519" t="s">
        <v>3633</v>
      </c>
      <c r="H3519" t="s">
        <v>6011</v>
      </c>
      <c r="I3519">
        <v>137</v>
      </c>
      <c r="J3519" t="s">
        <v>9059</v>
      </c>
      <c r="K3519">
        <v>11208</v>
      </c>
      <c r="L3519" t="s">
        <v>9094</v>
      </c>
      <c r="M3519" t="s">
        <v>9095</v>
      </c>
      <c r="N3519" t="s">
        <v>10426</v>
      </c>
      <c r="O3519" t="s">
        <v>11129</v>
      </c>
      <c r="P3519" t="s">
        <v>11165</v>
      </c>
      <c r="Q3519" t="s">
        <v>11174</v>
      </c>
      <c r="R3519" t="s">
        <v>11180</v>
      </c>
      <c r="S3519" t="s">
        <v>9096</v>
      </c>
      <c r="T3519" t="s">
        <v>11183</v>
      </c>
      <c r="V3519" t="s">
        <v>693</v>
      </c>
      <c r="W3519">
        <v>1450</v>
      </c>
      <c r="X3519" t="s">
        <v>11332</v>
      </c>
      <c r="Y3519" t="s">
        <v>11336</v>
      </c>
      <c r="Z3519" t="s">
        <v>13708</v>
      </c>
      <c r="AA3519" t="s">
        <v>15800</v>
      </c>
      <c r="AB3519" t="s">
        <v>18035</v>
      </c>
      <c r="AC3519">
        <v>266</v>
      </c>
      <c r="AE3519" t="s">
        <v>19586</v>
      </c>
      <c r="AF3519">
        <v>1</v>
      </c>
      <c r="AG3519">
        <v>1</v>
      </c>
      <c r="AH3519">
        <v>2</v>
      </c>
      <c r="AI3519">
        <v>120.31</v>
      </c>
      <c r="AJ3519" t="s">
        <v>752</v>
      </c>
      <c r="AL3519" t="s">
        <v>19614</v>
      </c>
      <c r="AM3519">
        <v>25000</v>
      </c>
      <c r="AS3519">
        <v>10.8</v>
      </c>
      <c r="AT3519" t="s">
        <v>1132</v>
      </c>
      <c r="AU3519" t="s">
        <v>95</v>
      </c>
    </row>
    <row r="3520" spans="1:48">
      <c r="A3520" s="1">
        <f>HYPERLINK("https://lsnyc.legalserver.org/matter/dynamic-profile/view/0817858","16-0817858")</f>
        <v>0</v>
      </c>
      <c r="B3520" t="s">
        <v>120</v>
      </c>
      <c r="C3520" t="s">
        <v>256</v>
      </c>
      <c r="D3520" t="s">
        <v>1025</v>
      </c>
      <c r="F3520" t="s">
        <v>1228</v>
      </c>
      <c r="G3520" t="s">
        <v>4790</v>
      </c>
      <c r="H3520" t="s">
        <v>5898</v>
      </c>
      <c r="I3520" t="s">
        <v>8236</v>
      </c>
      <c r="J3520" t="s">
        <v>9065</v>
      </c>
      <c r="K3520">
        <v>10452</v>
      </c>
      <c r="L3520" t="s">
        <v>9094</v>
      </c>
      <c r="M3520" t="s">
        <v>9095</v>
      </c>
      <c r="P3520" t="s">
        <v>11166</v>
      </c>
      <c r="R3520" t="s">
        <v>11180</v>
      </c>
      <c r="S3520" t="s">
        <v>9094</v>
      </c>
      <c r="T3520" t="s">
        <v>11183</v>
      </c>
      <c r="V3520" t="s">
        <v>1024</v>
      </c>
      <c r="W3520">
        <v>879</v>
      </c>
      <c r="X3520" t="s">
        <v>11333</v>
      </c>
      <c r="Y3520" t="s">
        <v>11338</v>
      </c>
      <c r="Z3520" t="s">
        <v>13709</v>
      </c>
      <c r="AB3520" t="s">
        <v>18036</v>
      </c>
      <c r="AC3520">
        <v>130</v>
      </c>
      <c r="AD3520" t="s">
        <v>19569</v>
      </c>
      <c r="AF3520">
        <v>8</v>
      </c>
      <c r="AG3520">
        <v>1</v>
      </c>
      <c r="AH3520">
        <v>0</v>
      </c>
      <c r="AI3520">
        <v>120.37</v>
      </c>
      <c r="AL3520" t="s">
        <v>19615</v>
      </c>
      <c r="AM3520">
        <v>14300</v>
      </c>
      <c r="AS3520">
        <v>0.5</v>
      </c>
      <c r="AT3520" t="s">
        <v>1025</v>
      </c>
      <c r="AU3520" t="s">
        <v>20643</v>
      </c>
    </row>
    <row r="3521" spans="1:48">
      <c r="A3521" s="1">
        <f>HYPERLINK("https://lsnyc.legalserver.org/matter/dynamic-profile/view/1909092","19-1909092")</f>
        <v>0</v>
      </c>
      <c r="B3521" t="s">
        <v>70</v>
      </c>
      <c r="C3521" t="s">
        <v>256</v>
      </c>
      <c r="D3521" t="s">
        <v>669</v>
      </c>
      <c r="F3521" t="s">
        <v>2000</v>
      </c>
      <c r="G3521" t="s">
        <v>4791</v>
      </c>
      <c r="H3521" t="s">
        <v>6474</v>
      </c>
      <c r="I3521" t="s">
        <v>8743</v>
      </c>
      <c r="J3521" t="s">
        <v>9059</v>
      </c>
      <c r="K3521">
        <v>11233</v>
      </c>
      <c r="L3521" t="s">
        <v>9094</v>
      </c>
      <c r="M3521" t="s">
        <v>9095</v>
      </c>
      <c r="N3521" t="s">
        <v>9147</v>
      </c>
      <c r="O3521" t="s">
        <v>11134</v>
      </c>
      <c r="P3521" t="s">
        <v>11168</v>
      </c>
      <c r="R3521" t="s">
        <v>11180</v>
      </c>
      <c r="S3521" t="s">
        <v>9094</v>
      </c>
      <c r="T3521" t="s">
        <v>11183</v>
      </c>
      <c r="U3521" t="s">
        <v>11201</v>
      </c>
      <c r="V3521" t="s">
        <v>11207</v>
      </c>
      <c r="W3521">
        <v>1059</v>
      </c>
      <c r="X3521" t="s">
        <v>11332</v>
      </c>
      <c r="Y3521" t="s">
        <v>11157</v>
      </c>
      <c r="Z3521" t="s">
        <v>13710</v>
      </c>
      <c r="AC3521">
        <v>359</v>
      </c>
      <c r="AD3521" t="s">
        <v>19566</v>
      </c>
      <c r="AE3521" t="s">
        <v>9144</v>
      </c>
      <c r="AF3521">
        <v>18</v>
      </c>
      <c r="AG3521">
        <v>2</v>
      </c>
      <c r="AH3521">
        <v>2</v>
      </c>
      <c r="AI3521">
        <v>120.39</v>
      </c>
      <c r="AL3521" t="s">
        <v>19614</v>
      </c>
      <c r="AM3521">
        <v>31000</v>
      </c>
      <c r="AN3521" t="s">
        <v>19964</v>
      </c>
      <c r="AS3521">
        <v>0</v>
      </c>
      <c r="AU3521" t="s">
        <v>79</v>
      </c>
      <c r="AV3521" t="s">
        <v>9144</v>
      </c>
    </row>
    <row r="3522" spans="1:48">
      <c r="A3522" s="1">
        <f>HYPERLINK("https://lsnyc.legalserver.org/matter/dynamic-profile/view/1913357","19-1913357")</f>
        <v>0</v>
      </c>
      <c r="B3522" t="s">
        <v>62</v>
      </c>
      <c r="C3522" t="s">
        <v>256</v>
      </c>
      <c r="D3522" t="s">
        <v>286</v>
      </c>
      <c r="F3522" t="s">
        <v>1858</v>
      </c>
      <c r="G3522" t="s">
        <v>3344</v>
      </c>
      <c r="H3522" t="s">
        <v>7352</v>
      </c>
      <c r="I3522" t="s">
        <v>8107</v>
      </c>
      <c r="J3522" t="s">
        <v>9041</v>
      </c>
      <c r="K3522">
        <v>11422</v>
      </c>
      <c r="L3522" t="s">
        <v>9094</v>
      </c>
      <c r="M3522" t="s">
        <v>9095</v>
      </c>
      <c r="N3522" t="s">
        <v>10427</v>
      </c>
      <c r="O3522" t="s">
        <v>11128</v>
      </c>
      <c r="P3522" t="s">
        <v>11164</v>
      </c>
      <c r="R3522" t="s">
        <v>11180</v>
      </c>
      <c r="S3522" t="s">
        <v>9096</v>
      </c>
      <c r="T3522" t="s">
        <v>11183</v>
      </c>
      <c r="W3522">
        <v>1300</v>
      </c>
      <c r="X3522" t="s">
        <v>11331</v>
      </c>
      <c r="Y3522" t="s">
        <v>11336</v>
      </c>
      <c r="Z3522" t="s">
        <v>13711</v>
      </c>
      <c r="AB3522" t="s">
        <v>18037</v>
      </c>
      <c r="AC3522">
        <v>2</v>
      </c>
      <c r="AD3522" t="s">
        <v>19565</v>
      </c>
      <c r="AE3522" t="s">
        <v>19580</v>
      </c>
      <c r="AF3522">
        <v>13</v>
      </c>
      <c r="AG3522">
        <v>1</v>
      </c>
      <c r="AH3522">
        <v>0</v>
      </c>
      <c r="AI3522">
        <v>120.48</v>
      </c>
      <c r="AL3522" t="s">
        <v>19614</v>
      </c>
      <c r="AM3522">
        <v>15048</v>
      </c>
      <c r="AS3522">
        <v>1.72</v>
      </c>
      <c r="AT3522" t="s">
        <v>594</v>
      </c>
      <c r="AU3522" t="s">
        <v>20619</v>
      </c>
      <c r="AV3522" t="s">
        <v>20733</v>
      </c>
    </row>
    <row r="3523" spans="1:48">
      <c r="A3523" s="1">
        <f>HYPERLINK("https://lsnyc.legalserver.org/matter/dynamic-profile/view/1905650","19-1905650")</f>
        <v>0</v>
      </c>
      <c r="B3523" t="s">
        <v>103</v>
      </c>
      <c r="C3523" t="s">
        <v>256</v>
      </c>
      <c r="D3523" t="s">
        <v>328</v>
      </c>
      <c r="F3523" t="s">
        <v>2560</v>
      </c>
      <c r="G3523" t="s">
        <v>4262</v>
      </c>
      <c r="H3523" t="s">
        <v>5887</v>
      </c>
      <c r="I3523" t="s">
        <v>8744</v>
      </c>
      <c r="J3523" t="s">
        <v>9065</v>
      </c>
      <c r="K3523">
        <v>10453</v>
      </c>
      <c r="L3523" t="s">
        <v>9094</v>
      </c>
      <c r="M3523" t="s">
        <v>9095</v>
      </c>
      <c r="N3523" t="s">
        <v>9239</v>
      </c>
      <c r="O3523" t="s">
        <v>11134</v>
      </c>
      <c r="P3523" t="s">
        <v>11168</v>
      </c>
      <c r="R3523" t="s">
        <v>11180</v>
      </c>
      <c r="S3523" t="s">
        <v>9094</v>
      </c>
      <c r="T3523" t="s">
        <v>11183</v>
      </c>
      <c r="V3523" t="s">
        <v>817</v>
      </c>
      <c r="W3523">
        <v>781.77</v>
      </c>
      <c r="X3523" t="s">
        <v>11333</v>
      </c>
      <c r="Y3523" t="s">
        <v>11346</v>
      </c>
      <c r="Z3523" t="s">
        <v>13712</v>
      </c>
      <c r="AC3523">
        <v>170</v>
      </c>
      <c r="AD3523" t="s">
        <v>19566</v>
      </c>
      <c r="AE3523" t="s">
        <v>9144</v>
      </c>
      <c r="AF3523">
        <v>12</v>
      </c>
      <c r="AG3523">
        <v>1</v>
      </c>
      <c r="AH3523">
        <v>1</v>
      </c>
      <c r="AI3523">
        <v>120.64</v>
      </c>
      <c r="AL3523" t="s">
        <v>19615</v>
      </c>
      <c r="AM3523">
        <v>20400</v>
      </c>
      <c r="AS3523">
        <v>0</v>
      </c>
      <c r="AU3523" t="s">
        <v>163</v>
      </c>
      <c r="AV3523" t="s">
        <v>20733</v>
      </c>
    </row>
    <row r="3524" spans="1:48">
      <c r="A3524" s="1">
        <f>HYPERLINK("https://lsnyc.legalserver.org/matter/dynamic-profile/view/1905134","19-1905134")</f>
        <v>0</v>
      </c>
      <c r="B3524" t="s">
        <v>103</v>
      </c>
      <c r="C3524" t="s">
        <v>256</v>
      </c>
      <c r="D3524" t="s">
        <v>367</v>
      </c>
      <c r="F3524" t="s">
        <v>2561</v>
      </c>
      <c r="G3524" t="s">
        <v>3982</v>
      </c>
      <c r="H3524" t="s">
        <v>5884</v>
      </c>
      <c r="I3524" t="s">
        <v>8432</v>
      </c>
      <c r="J3524" t="s">
        <v>9065</v>
      </c>
      <c r="K3524">
        <v>10455</v>
      </c>
      <c r="L3524" t="s">
        <v>9094</v>
      </c>
      <c r="M3524" t="s">
        <v>9095</v>
      </c>
      <c r="O3524" t="s">
        <v>11134</v>
      </c>
      <c r="P3524" t="s">
        <v>11168</v>
      </c>
      <c r="R3524" t="s">
        <v>11180</v>
      </c>
      <c r="S3524" t="s">
        <v>9094</v>
      </c>
      <c r="T3524" t="s">
        <v>11183</v>
      </c>
      <c r="W3524">
        <v>1779</v>
      </c>
      <c r="X3524" t="s">
        <v>11333</v>
      </c>
      <c r="Y3524" t="s">
        <v>11340</v>
      </c>
      <c r="Z3524" t="s">
        <v>13713</v>
      </c>
      <c r="AB3524" t="s">
        <v>18038</v>
      </c>
      <c r="AC3524">
        <v>99</v>
      </c>
      <c r="AD3524" t="s">
        <v>19566</v>
      </c>
      <c r="AE3524" t="s">
        <v>19581</v>
      </c>
      <c r="AF3524">
        <v>2</v>
      </c>
      <c r="AG3524">
        <v>1</v>
      </c>
      <c r="AH3524">
        <v>4</v>
      </c>
      <c r="AI3524">
        <v>120.65</v>
      </c>
      <c r="AL3524" t="s">
        <v>19614</v>
      </c>
      <c r="AM3524">
        <v>36400</v>
      </c>
      <c r="AS3524">
        <v>0</v>
      </c>
      <c r="AU3524" t="s">
        <v>220</v>
      </c>
      <c r="AV3524" t="s">
        <v>20733</v>
      </c>
    </row>
    <row r="3525" spans="1:48">
      <c r="A3525" s="1">
        <f>HYPERLINK("https://lsnyc.legalserver.org/matter/dynamic-profile/view/1899850","19-1899850")</f>
        <v>0</v>
      </c>
      <c r="B3525" t="s">
        <v>103</v>
      </c>
      <c r="C3525" t="s">
        <v>256</v>
      </c>
      <c r="D3525" t="s">
        <v>411</v>
      </c>
      <c r="F3525" t="s">
        <v>2561</v>
      </c>
      <c r="G3525" t="s">
        <v>3982</v>
      </c>
      <c r="H3525" t="s">
        <v>5884</v>
      </c>
      <c r="I3525" t="s">
        <v>8432</v>
      </c>
      <c r="J3525" t="s">
        <v>9065</v>
      </c>
      <c r="K3525">
        <v>10455</v>
      </c>
      <c r="L3525" t="s">
        <v>9094</v>
      </c>
      <c r="M3525" t="s">
        <v>9095</v>
      </c>
      <c r="O3525" t="s">
        <v>11130</v>
      </c>
      <c r="P3525" t="s">
        <v>11164</v>
      </c>
      <c r="R3525" t="s">
        <v>11180</v>
      </c>
      <c r="S3525" t="s">
        <v>9094</v>
      </c>
      <c r="T3525" t="s">
        <v>11183</v>
      </c>
      <c r="W3525">
        <v>1779</v>
      </c>
      <c r="X3525" t="s">
        <v>11333</v>
      </c>
      <c r="Y3525" t="s">
        <v>11346</v>
      </c>
      <c r="Z3525" t="s">
        <v>13713</v>
      </c>
      <c r="AB3525" t="s">
        <v>18038</v>
      </c>
      <c r="AC3525">
        <v>99</v>
      </c>
      <c r="AD3525" t="s">
        <v>19566</v>
      </c>
      <c r="AE3525" t="s">
        <v>19581</v>
      </c>
      <c r="AF3525">
        <v>2</v>
      </c>
      <c r="AG3525">
        <v>1</v>
      </c>
      <c r="AH3525">
        <v>4</v>
      </c>
      <c r="AI3525">
        <v>120.65</v>
      </c>
      <c r="AL3525" t="s">
        <v>19614</v>
      </c>
      <c r="AM3525">
        <v>36400</v>
      </c>
      <c r="AS3525">
        <v>0.1</v>
      </c>
      <c r="AT3525" t="s">
        <v>748</v>
      </c>
      <c r="AU3525" t="s">
        <v>220</v>
      </c>
      <c r="AV3525" t="s">
        <v>20733</v>
      </c>
    </row>
    <row r="3526" spans="1:48">
      <c r="A3526" s="1">
        <f>HYPERLINK("https://lsnyc.legalserver.org/matter/dynamic-profile/view/1887292","19-1887292")</f>
        <v>0</v>
      </c>
      <c r="B3526" t="s">
        <v>115</v>
      </c>
      <c r="C3526" t="s">
        <v>257</v>
      </c>
      <c r="D3526" t="s">
        <v>402</v>
      </c>
      <c r="E3526" t="s">
        <v>410</v>
      </c>
      <c r="F3526" t="s">
        <v>1518</v>
      </c>
      <c r="G3526" t="s">
        <v>4763</v>
      </c>
      <c r="H3526" t="s">
        <v>6092</v>
      </c>
      <c r="I3526" t="s">
        <v>8171</v>
      </c>
      <c r="J3526" t="s">
        <v>9065</v>
      </c>
      <c r="K3526">
        <v>10459</v>
      </c>
      <c r="L3526" t="s">
        <v>9094</v>
      </c>
      <c r="M3526" t="s">
        <v>9094</v>
      </c>
      <c r="O3526" t="s">
        <v>11130</v>
      </c>
      <c r="P3526" t="s">
        <v>11165</v>
      </c>
      <c r="Q3526" t="s">
        <v>11174</v>
      </c>
      <c r="R3526" t="s">
        <v>11180</v>
      </c>
      <c r="S3526" t="s">
        <v>9094</v>
      </c>
      <c r="T3526" t="s">
        <v>11183</v>
      </c>
      <c r="V3526" t="s">
        <v>402</v>
      </c>
      <c r="W3526">
        <v>466</v>
      </c>
      <c r="X3526" t="s">
        <v>11333</v>
      </c>
      <c r="Y3526" t="s">
        <v>11346</v>
      </c>
      <c r="Z3526" t="s">
        <v>13656</v>
      </c>
      <c r="AB3526" t="s">
        <v>17984</v>
      </c>
      <c r="AC3526">
        <v>48</v>
      </c>
      <c r="AD3526" t="s">
        <v>19567</v>
      </c>
      <c r="AE3526" t="s">
        <v>19580</v>
      </c>
      <c r="AF3526">
        <v>1</v>
      </c>
      <c r="AG3526">
        <v>2</v>
      </c>
      <c r="AH3526">
        <v>0</v>
      </c>
      <c r="AI3526">
        <v>120.66</v>
      </c>
      <c r="AL3526" t="s">
        <v>19614</v>
      </c>
      <c r="AM3526">
        <v>19860</v>
      </c>
      <c r="AS3526">
        <v>12.8</v>
      </c>
      <c r="AT3526" t="s">
        <v>410</v>
      </c>
      <c r="AU3526" t="s">
        <v>163</v>
      </c>
    </row>
    <row r="3527" spans="1:48">
      <c r="A3527" s="1">
        <f>HYPERLINK("https://lsnyc.legalserver.org/matter/dynamic-profile/view/1913043","19-1913043")</f>
        <v>0</v>
      </c>
      <c r="B3527" t="s">
        <v>90</v>
      </c>
      <c r="C3527" t="s">
        <v>256</v>
      </c>
      <c r="D3527" t="s">
        <v>833</v>
      </c>
      <c r="F3527" t="s">
        <v>1678</v>
      </c>
      <c r="G3527" t="s">
        <v>4792</v>
      </c>
      <c r="H3527" t="s">
        <v>5805</v>
      </c>
      <c r="I3527" t="s">
        <v>8132</v>
      </c>
      <c r="J3527" t="s">
        <v>9059</v>
      </c>
      <c r="K3527">
        <v>11213</v>
      </c>
      <c r="L3527" t="s">
        <v>9094</v>
      </c>
      <c r="M3527" t="s">
        <v>9095</v>
      </c>
      <c r="N3527" t="s">
        <v>9182</v>
      </c>
      <c r="O3527" t="s">
        <v>11141</v>
      </c>
      <c r="P3527" t="s">
        <v>11170</v>
      </c>
      <c r="R3527" t="s">
        <v>11180</v>
      </c>
      <c r="S3527" t="s">
        <v>9094</v>
      </c>
      <c r="T3527" t="s">
        <v>11185</v>
      </c>
      <c r="U3527" t="s">
        <v>11201</v>
      </c>
      <c r="V3527" t="s">
        <v>563</v>
      </c>
      <c r="W3527">
        <v>850</v>
      </c>
      <c r="X3527" t="s">
        <v>11332</v>
      </c>
      <c r="Y3527" t="s">
        <v>11339</v>
      </c>
      <c r="Z3527" t="s">
        <v>13714</v>
      </c>
      <c r="AA3527" t="s">
        <v>9144</v>
      </c>
      <c r="AB3527" t="s">
        <v>18039</v>
      </c>
      <c r="AC3527">
        <v>19</v>
      </c>
      <c r="AD3527" t="s">
        <v>19566</v>
      </c>
      <c r="AE3527" t="s">
        <v>9144</v>
      </c>
      <c r="AF3527">
        <v>5</v>
      </c>
      <c r="AG3527">
        <v>1</v>
      </c>
      <c r="AH3527">
        <v>2</v>
      </c>
      <c r="AI3527">
        <v>120.68</v>
      </c>
      <c r="AL3527" t="s">
        <v>19614</v>
      </c>
      <c r="AM3527">
        <v>25740</v>
      </c>
      <c r="AN3527" t="s">
        <v>19965</v>
      </c>
      <c r="AS3527">
        <v>3.5</v>
      </c>
      <c r="AT3527" t="s">
        <v>1063</v>
      </c>
      <c r="AU3527" t="s">
        <v>95</v>
      </c>
      <c r="AV3527" t="s">
        <v>20733</v>
      </c>
    </row>
    <row r="3528" spans="1:48">
      <c r="A3528" s="1">
        <f>HYPERLINK("https://lsnyc.legalserver.org/matter/dynamic-profile/view/1904974","19-1904974")</f>
        <v>0</v>
      </c>
      <c r="B3528" t="s">
        <v>134</v>
      </c>
      <c r="C3528" t="s">
        <v>256</v>
      </c>
      <c r="D3528" t="s">
        <v>660</v>
      </c>
      <c r="F3528" t="s">
        <v>2562</v>
      </c>
      <c r="G3528" t="s">
        <v>4746</v>
      </c>
      <c r="H3528" t="s">
        <v>7227</v>
      </c>
      <c r="I3528" t="s">
        <v>8346</v>
      </c>
      <c r="J3528" t="s">
        <v>9067</v>
      </c>
      <c r="K3528">
        <v>10034</v>
      </c>
      <c r="L3528" t="s">
        <v>9094</v>
      </c>
      <c r="M3528" t="s">
        <v>9095</v>
      </c>
      <c r="P3528" t="s">
        <v>11169</v>
      </c>
      <c r="R3528" t="s">
        <v>11180</v>
      </c>
      <c r="S3528" t="s">
        <v>9096</v>
      </c>
      <c r="T3528" t="s">
        <v>11183</v>
      </c>
      <c r="V3528" t="s">
        <v>660</v>
      </c>
      <c r="W3528">
        <v>640</v>
      </c>
      <c r="X3528" t="s">
        <v>11335</v>
      </c>
      <c r="Y3528" t="s">
        <v>11338</v>
      </c>
      <c r="Z3528" t="s">
        <v>13715</v>
      </c>
      <c r="AB3528" t="s">
        <v>18040</v>
      </c>
      <c r="AC3528">
        <v>126</v>
      </c>
      <c r="AD3528" t="s">
        <v>19566</v>
      </c>
      <c r="AE3528" t="s">
        <v>19580</v>
      </c>
      <c r="AF3528">
        <v>15</v>
      </c>
      <c r="AG3528">
        <v>3</v>
      </c>
      <c r="AH3528">
        <v>0</v>
      </c>
      <c r="AI3528">
        <v>120.68</v>
      </c>
      <c r="AL3528" t="s">
        <v>19615</v>
      </c>
      <c r="AM3528">
        <v>25740</v>
      </c>
      <c r="AS3528">
        <v>17.6</v>
      </c>
      <c r="AT3528" t="s">
        <v>476</v>
      </c>
      <c r="AU3528" t="s">
        <v>130</v>
      </c>
      <c r="AV3528" t="s">
        <v>20733</v>
      </c>
    </row>
    <row r="3529" spans="1:48">
      <c r="A3529" s="1">
        <f>HYPERLINK("https://lsnyc.legalserver.org/matter/dynamic-profile/view/1883581","18-1883581")</f>
        <v>0</v>
      </c>
      <c r="B3529" t="s">
        <v>71</v>
      </c>
      <c r="C3529" t="s">
        <v>256</v>
      </c>
      <c r="D3529" t="s">
        <v>963</v>
      </c>
      <c r="F3529" t="s">
        <v>1222</v>
      </c>
      <c r="G3529" t="s">
        <v>4793</v>
      </c>
      <c r="H3529" t="s">
        <v>7353</v>
      </c>
      <c r="I3529">
        <v>212</v>
      </c>
      <c r="J3529" t="s">
        <v>9059</v>
      </c>
      <c r="K3529">
        <v>11239</v>
      </c>
      <c r="L3529" t="s">
        <v>9094</v>
      </c>
      <c r="M3529" t="s">
        <v>9096</v>
      </c>
      <c r="N3529" t="s">
        <v>10428</v>
      </c>
      <c r="O3529" t="s">
        <v>11128</v>
      </c>
      <c r="P3529" t="s">
        <v>11165</v>
      </c>
      <c r="R3529" t="s">
        <v>11180</v>
      </c>
      <c r="S3529" t="s">
        <v>9096</v>
      </c>
      <c r="T3529" t="s">
        <v>11183</v>
      </c>
      <c r="U3529" t="s">
        <v>11201</v>
      </c>
      <c r="V3529" t="s">
        <v>394</v>
      </c>
      <c r="W3529">
        <v>745</v>
      </c>
      <c r="X3529" t="s">
        <v>11332</v>
      </c>
      <c r="Y3529" t="s">
        <v>11338</v>
      </c>
      <c r="Z3529" t="s">
        <v>13716</v>
      </c>
      <c r="AA3529" t="s">
        <v>9144</v>
      </c>
      <c r="AB3529" t="s">
        <v>18041</v>
      </c>
      <c r="AC3529">
        <v>529</v>
      </c>
      <c r="AD3529" t="s">
        <v>19566</v>
      </c>
      <c r="AE3529" t="s">
        <v>9144</v>
      </c>
      <c r="AF3529">
        <v>1</v>
      </c>
      <c r="AG3529">
        <v>3</v>
      </c>
      <c r="AH3529">
        <v>1</v>
      </c>
      <c r="AI3529">
        <v>120.72</v>
      </c>
      <c r="AL3529" t="s">
        <v>19614</v>
      </c>
      <c r="AM3529">
        <v>30300</v>
      </c>
      <c r="AS3529">
        <v>35.5</v>
      </c>
      <c r="AT3529" t="s">
        <v>396</v>
      </c>
      <c r="AU3529" t="s">
        <v>95</v>
      </c>
      <c r="AV3529" t="s">
        <v>20733</v>
      </c>
    </row>
    <row r="3530" spans="1:48">
      <c r="A3530" s="1">
        <f>HYPERLINK("https://lsnyc.legalserver.org/matter/dynamic-profile/view/1903642","19-1903642")</f>
        <v>0</v>
      </c>
      <c r="B3530" t="s">
        <v>86</v>
      </c>
      <c r="C3530" t="s">
        <v>256</v>
      </c>
      <c r="D3530" t="s">
        <v>706</v>
      </c>
      <c r="F3530" t="s">
        <v>2563</v>
      </c>
      <c r="G3530" t="s">
        <v>3058</v>
      </c>
      <c r="H3530" t="s">
        <v>7032</v>
      </c>
      <c r="I3530" t="s">
        <v>8229</v>
      </c>
      <c r="J3530" t="s">
        <v>9059</v>
      </c>
      <c r="K3530">
        <v>11220</v>
      </c>
      <c r="L3530" t="s">
        <v>9094</v>
      </c>
      <c r="M3530" t="s">
        <v>9095</v>
      </c>
      <c r="O3530" t="s">
        <v>11130</v>
      </c>
      <c r="P3530" t="s">
        <v>11165</v>
      </c>
      <c r="R3530" t="s">
        <v>11180</v>
      </c>
      <c r="S3530" t="s">
        <v>9094</v>
      </c>
      <c r="T3530" t="s">
        <v>11183</v>
      </c>
      <c r="V3530" t="s">
        <v>706</v>
      </c>
      <c r="W3530">
        <v>745</v>
      </c>
      <c r="X3530" t="s">
        <v>11332</v>
      </c>
      <c r="Z3530" t="s">
        <v>13373</v>
      </c>
      <c r="AB3530" t="s">
        <v>18042</v>
      </c>
      <c r="AC3530">
        <v>54</v>
      </c>
      <c r="AF3530">
        <v>40</v>
      </c>
      <c r="AG3530">
        <v>3</v>
      </c>
      <c r="AH3530">
        <v>3</v>
      </c>
      <c r="AI3530">
        <v>120.73</v>
      </c>
      <c r="AL3530" t="s">
        <v>19614</v>
      </c>
      <c r="AM3530">
        <v>41760</v>
      </c>
      <c r="AS3530">
        <v>0</v>
      </c>
      <c r="AU3530" t="s">
        <v>215</v>
      </c>
      <c r="AV3530" t="s">
        <v>20733</v>
      </c>
    </row>
    <row r="3531" spans="1:48">
      <c r="A3531" s="1">
        <f>HYPERLINK("https://lsnyc.legalserver.org/matter/dynamic-profile/view/1908797","19-1908797")</f>
        <v>0</v>
      </c>
      <c r="B3531" t="s">
        <v>97</v>
      </c>
      <c r="C3531" t="s">
        <v>256</v>
      </c>
      <c r="D3531" t="s">
        <v>481</v>
      </c>
      <c r="F3531" t="s">
        <v>1145</v>
      </c>
      <c r="G3531" t="s">
        <v>4794</v>
      </c>
      <c r="H3531" t="s">
        <v>7354</v>
      </c>
      <c r="I3531" t="s">
        <v>8218</v>
      </c>
      <c r="J3531" t="s">
        <v>9059</v>
      </c>
      <c r="K3531">
        <v>11208</v>
      </c>
      <c r="L3531" t="s">
        <v>9094</v>
      </c>
      <c r="M3531" t="s">
        <v>9095</v>
      </c>
      <c r="N3531" t="s">
        <v>10429</v>
      </c>
      <c r="O3531" t="s">
        <v>11128</v>
      </c>
      <c r="P3531" t="s">
        <v>11164</v>
      </c>
      <c r="R3531" t="s">
        <v>11180</v>
      </c>
      <c r="S3531" t="s">
        <v>9096</v>
      </c>
      <c r="T3531" t="s">
        <v>11183</v>
      </c>
      <c r="V3531" t="s">
        <v>410</v>
      </c>
      <c r="W3531">
        <v>0</v>
      </c>
      <c r="X3531" t="s">
        <v>11332</v>
      </c>
      <c r="Y3531" t="s">
        <v>11336</v>
      </c>
      <c r="Z3531" t="s">
        <v>13717</v>
      </c>
      <c r="AA3531" t="s">
        <v>15801</v>
      </c>
      <c r="AB3531" t="s">
        <v>18043</v>
      </c>
      <c r="AC3531">
        <v>0</v>
      </c>
      <c r="AF3531">
        <v>0</v>
      </c>
      <c r="AG3531">
        <v>1</v>
      </c>
      <c r="AH3531">
        <v>0</v>
      </c>
      <c r="AI3531">
        <v>120.77</v>
      </c>
      <c r="AL3531" t="s">
        <v>19614</v>
      </c>
      <c r="AM3531">
        <v>15084</v>
      </c>
      <c r="AS3531">
        <v>0</v>
      </c>
      <c r="AU3531" t="s">
        <v>20626</v>
      </c>
      <c r="AV3531" t="s">
        <v>20733</v>
      </c>
    </row>
    <row r="3532" spans="1:48">
      <c r="A3532" s="1">
        <f>HYPERLINK("https://lsnyc.legalserver.org/matter/dynamic-profile/view/1911881","19-1911881")</f>
        <v>0</v>
      </c>
      <c r="B3532" t="s">
        <v>110</v>
      </c>
      <c r="C3532" t="s">
        <v>256</v>
      </c>
      <c r="D3532" t="s">
        <v>284</v>
      </c>
      <c r="F3532" t="s">
        <v>2028</v>
      </c>
      <c r="G3532" t="s">
        <v>4795</v>
      </c>
      <c r="H3532" t="s">
        <v>6608</v>
      </c>
      <c r="I3532" t="s">
        <v>8364</v>
      </c>
      <c r="J3532" t="s">
        <v>9065</v>
      </c>
      <c r="K3532">
        <v>10452</v>
      </c>
      <c r="L3532" t="s">
        <v>9094</v>
      </c>
      <c r="M3532" t="s">
        <v>9095</v>
      </c>
      <c r="O3532" t="s">
        <v>9121</v>
      </c>
      <c r="R3532" t="s">
        <v>11180</v>
      </c>
      <c r="T3532" t="s">
        <v>11183</v>
      </c>
      <c r="W3532">
        <v>678.08</v>
      </c>
      <c r="X3532" t="s">
        <v>11333</v>
      </c>
      <c r="Y3532" t="s">
        <v>11345</v>
      </c>
      <c r="Z3532" t="s">
        <v>13718</v>
      </c>
      <c r="AB3532" t="s">
        <v>18044</v>
      </c>
      <c r="AC3532">
        <v>64</v>
      </c>
      <c r="AD3532" t="s">
        <v>19571</v>
      </c>
      <c r="AE3532" t="s">
        <v>19580</v>
      </c>
      <c r="AF3532">
        <v>16</v>
      </c>
      <c r="AG3532">
        <v>1</v>
      </c>
      <c r="AH3532">
        <v>1</v>
      </c>
      <c r="AI3532">
        <v>120.92</v>
      </c>
      <c r="AL3532" t="s">
        <v>19614</v>
      </c>
      <c r="AM3532">
        <v>20448</v>
      </c>
      <c r="AS3532">
        <v>3.25</v>
      </c>
      <c r="AT3532" t="s">
        <v>488</v>
      </c>
      <c r="AU3532" t="s">
        <v>20632</v>
      </c>
      <c r="AV3532" t="s">
        <v>20733</v>
      </c>
    </row>
    <row r="3533" spans="1:48">
      <c r="A3533" s="1">
        <f>HYPERLINK("https://lsnyc.legalserver.org/matter/dynamic-profile/view/1899623","19-1899623")</f>
        <v>0</v>
      </c>
      <c r="B3533" t="s">
        <v>102</v>
      </c>
      <c r="C3533" t="s">
        <v>256</v>
      </c>
      <c r="D3533" t="s">
        <v>418</v>
      </c>
      <c r="F3533" t="s">
        <v>1750</v>
      </c>
      <c r="G3533" t="s">
        <v>4362</v>
      </c>
      <c r="H3533" t="s">
        <v>7355</v>
      </c>
      <c r="I3533" t="s">
        <v>8212</v>
      </c>
      <c r="J3533" t="s">
        <v>9065</v>
      </c>
      <c r="K3533">
        <v>10456</v>
      </c>
      <c r="L3533" t="s">
        <v>9094</v>
      </c>
      <c r="M3533" t="s">
        <v>9095</v>
      </c>
      <c r="O3533" t="s">
        <v>9121</v>
      </c>
      <c r="P3533" t="s">
        <v>11164</v>
      </c>
      <c r="R3533" t="s">
        <v>11180</v>
      </c>
      <c r="S3533" t="s">
        <v>9096</v>
      </c>
      <c r="T3533" t="s">
        <v>11183</v>
      </c>
      <c r="V3533" t="s">
        <v>11218</v>
      </c>
      <c r="W3533">
        <v>879</v>
      </c>
      <c r="X3533" t="s">
        <v>11333</v>
      </c>
      <c r="Y3533" t="s">
        <v>11339</v>
      </c>
      <c r="Z3533" t="s">
        <v>13719</v>
      </c>
      <c r="AB3533" t="s">
        <v>18045</v>
      </c>
      <c r="AC3533">
        <v>46</v>
      </c>
      <c r="AD3533" t="s">
        <v>19565</v>
      </c>
      <c r="AE3533" t="s">
        <v>9144</v>
      </c>
      <c r="AF3533">
        <v>30</v>
      </c>
      <c r="AG3533">
        <v>1</v>
      </c>
      <c r="AH3533">
        <v>0</v>
      </c>
      <c r="AI3533">
        <v>120.96</v>
      </c>
      <c r="AL3533" t="s">
        <v>19615</v>
      </c>
      <c r="AM3533">
        <v>15108</v>
      </c>
      <c r="AS3533">
        <v>0</v>
      </c>
      <c r="AU3533" t="s">
        <v>20642</v>
      </c>
      <c r="AV3533" t="s">
        <v>20733</v>
      </c>
    </row>
    <row r="3534" spans="1:48">
      <c r="A3534" s="1">
        <f>HYPERLINK("https://lsnyc.legalserver.org/matter/dynamic-profile/view/1895304","19-1895304")</f>
        <v>0</v>
      </c>
      <c r="B3534" t="s">
        <v>139</v>
      </c>
      <c r="C3534" t="s">
        <v>257</v>
      </c>
      <c r="D3534" t="s">
        <v>264</v>
      </c>
      <c r="E3534" t="s">
        <v>703</v>
      </c>
      <c r="F3534" t="s">
        <v>1357</v>
      </c>
      <c r="G3534" t="s">
        <v>3674</v>
      </c>
      <c r="H3534" t="s">
        <v>7356</v>
      </c>
      <c r="I3534" t="s">
        <v>8745</v>
      </c>
      <c r="J3534" t="s">
        <v>9067</v>
      </c>
      <c r="K3534">
        <v>10034</v>
      </c>
      <c r="L3534" t="s">
        <v>9094</v>
      </c>
      <c r="M3534" t="s">
        <v>9095</v>
      </c>
      <c r="N3534" t="s">
        <v>10430</v>
      </c>
      <c r="O3534" t="s">
        <v>11160</v>
      </c>
      <c r="P3534" t="s">
        <v>11167</v>
      </c>
      <c r="Q3534" t="s">
        <v>11172</v>
      </c>
      <c r="R3534" t="s">
        <v>11180</v>
      </c>
      <c r="S3534" t="s">
        <v>9096</v>
      </c>
      <c r="T3534" t="s">
        <v>11183</v>
      </c>
      <c r="U3534" t="s">
        <v>11201</v>
      </c>
      <c r="V3534" t="s">
        <v>264</v>
      </c>
      <c r="W3534">
        <v>789.63</v>
      </c>
      <c r="X3534" t="s">
        <v>11335</v>
      </c>
      <c r="Y3534" t="s">
        <v>11339</v>
      </c>
      <c r="Z3534" t="s">
        <v>13720</v>
      </c>
      <c r="AB3534" t="s">
        <v>18046</v>
      </c>
      <c r="AC3534">
        <v>49</v>
      </c>
      <c r="AD3534" t="s">
        <v>19566</v>
      </c>
      <c r="AE3534" t="s">
        <v>9144</v>
      </c>
      <c r="AF3534">
        <v>41</v>
      </c>
      <c r="AG3534">
        <v>1</v>
      </c>
      <c r="AH3534">
        <v>0</v>
      </c>
      <c r="AI3534">
        <v>121.06</v>
      </c>
      <c r="AL3534" t="s">
        <v>19615</v>
      </c>
      <c r="AM3534">
        <v>15120</v>
      </c>
      <c r="AS3534">
        <v>1.5</v>
      </c>
      <c r="AT3534" t="s">
        <v>264</v>
      </c>
      <c r="AU3534" t="s">
        <v>139</v>
      </c>
    </row>
    <row r="3535" spans="1:48">
      <c r="A3535" s="1">
        <f>HYPERLINK("https://lsnyc.legalserver.org/matter/dynamic-profile/view/1889372","19-1889372")</f>
        <v>0</v>
      </c>
      <c r="B3535" t="s">
        <v>103</v>
      </c>
      <c r="C3535" t="s">
        <v>256</v>
      </c>
      <c r="D3535" t="s">
        <v>348</v>
      </c>
      <c r="F3535" t="s">
        <v>1318</v>
      </c>
      <c r="G3535" t="s">
        <v>3593</v>
      </c>
      <c r="H3535" t="s">
        <v>6413</v>
      </c>
      <c r="I3535" t="s">
        <v>8419</v>
      </c>
      <c r="J3535" t="s">
        <v>9065</v>
      </c>
      <c r="K3535">
        <v>10456</v>
      </c>
      <c r="L3535" t="s">
        <v>9094</v>
      </c>
      <c r="M3535" t="s">
        <v>9094</v>
      </c>
      <c r="N3535" t="s">
        <v>9960</v>
      </c>
      <c r="O3535" t="s">
        <v>11134</v>
      </c>
      <c r="P3535" t="s">
        <v>11168</v>
      </c>
      <c r="R3535" t="s">
        <v>11180</v>
      </c>
      <c r="S3535" t="s">
        <v>9094</v>
      </c>
      <c r="T3535" t="s">
        <v>11183</v>
      </c>
      <c r="V3535" t="s">
        <v>617</v>
      </c>
      <c r="W3535">
        <v>1573</v>
      </c>
      <c r="X3535" t="s">
        <v>11333</v>
      </c>
      <c r="Y3535" t="s">
        <v>11346</v>
      </c>
      <c r="Z3535" t="s">
        <v>13721</v>
      </c>
      <c r="AB3535" t="s">
        <v>18047</v>
      </c>
      <c r="AC3535">
        <v>61</v>
      </c>
      <c r="AD3535" t="s">
        <v>19566</v>
      </c>
      <c r="AE3535" t="s">
        <v>9144</v>
      </c>
      <c r="AF3535">
        <v>6</v>
      </c>
      <c r="AG3535">
        <v>4</v>
      </c>
      <c r="AH3535">
        <v>1</v>
      </c>
      <c r="AI3535">
        <v>121.15</v>
      </c>
      <c r="AL3535" t="s">
        <v>19615</v>
      </c>
      <c r="AM3535">
        <v>36552</v>
      </c>
      <c r="AS3535">
        <v>0</v>
      </c>
      <c r="AU3535" t="s">
        <v>163</v>
      </c>
    </row>
    <row r="3536" spans="1:48">
      <c r="A3536" s="1">
        <f>HYPERLINK("https://lsnyc.legalserver.org/matter/dynamic-profile/view/1908612","19-1908612")</f>
        <v>0</v>
      </c>
      <c r="B3536" t="s">
        <v>55</v>
      </c>
      <c r="C3536" t="s">
        <v>256</v>
      </c>
      <c r="D3536" t="s">
        <v>574</v>
      </c>
      <c r="F3536" t="s">
        <v>2564</v>
      </c>
      <c r="G3536" t="s">
        <v>3419</v>
      </c>
      <c r="H3536" t="s">
        <v>7357</v>
      </c>
      <c r="J3536" t="s">
        <v>9091</v>
      </c>
      <c r="K3536">
        <v>11362</v>
      </c>
      <c r="L3536" t="s">
        <v>9094</v>
      </c>
      <c r="M3536" t="s">
        <v>9095</v>
      </c>
      <c r="N3536" t="s">
        <v>10431</v>
      </c>
      <c r="O3536" t="s">
        <v>11128</v>
      </c>
      <c r="P3536" t="s">
        <v>11164</v>
      </c>
      <c r="R3536" t="s">
        <v>11180</v>
      </c>
      <c r="S3536" t="s">
        <v>9096</v>
      </c>
      <c r="T3536" t="s">
        <v>11183</v>
      </c>
      <c r="V3536" t="s">
        <v>574</v>
      </c>
      <c r="W3536">
        <v>0</v>
      </c>
      <c r="X3536" t="s">
        <v>11331</v>
      </c>
      <c r="Y3536" t="s">
        <v>11336</v>
      </c>
      <c r="Z3536" t="s">
        <v>13722</v>
      </c>
      <c r="AB3536" t="s">
        <v>18048</v>
      </c>
      <c r="AC3536">
        <v>1</v>
      </c>
      <c r="AD3536" t="s">
        <v>15441</v>
      </c>
      <c r="AE3536" t="s">
        <v>9144</v>
      </c>
      <c r="AF3536">
        <v>1</v>
      </c>
      <c r="AG3536">
        <v>4</v>
      </c>
      <c r="AH3536">
        <v>0</v>
      </c>
      <c r="AI3536">
        <v>121.17</v>
      </c>
      <c r="AL3536" t="s">
        <v>19614</v>
      </c>
      <c r="AM3536">
        <v>31200</v>
      </c>
      <c r="AS3536">
        <v>0.51</v>
      </c>
      <c r="AT3536" t="s">
        <v>326</v>
      </c>
      <c r="AU3536" t="s">
        <v>20620</v>
      </c>
      <c r="AV3536" t="s">
        <v>20733</v>
      </c>
    </row>
    <row r="3537" spans="1:48">
      <c r="A3537" s="1">
        <f>HYPERLINK("https://lsnyc.legalserver.org/matter/dynamic-profile/view/1909631","19-1909631")</f>
        <v>0</v>
      </c>
      <c r="B3537" t="s">
        <v>95</v>
      </c>
      <c r="C3537" t="s">
        <v>257</v>
      </c>
      <c r="D3537" t="s">
        <v>549</v>
      </c>
      <c r="E3537" t="s">
        <v>549</v>
      </c>
      <c r="F3537" t="s">
        <v>1146</v>
      </c>
      <c r="G3537" t="s">
        <v>3418</v>
      </c>
      <c r="H3537" t="s">
        <v>7358</v>
      </c>
      <c r="J3537" t="s">
        <v>9059</v>
      </c>
      <c r="K3537">
        <v>11233</v>
      </c>
      <c r="L3537" t="s">
        <v>9096</v>
      </c>
      <c r="M3537" t="s">
        <v>9095</v>
      </c>
      <c r="N3537" t="s">
        <v>9154</v>
      </c>
      <c r="O3537" t="s">
        <v>9121</v>
      </c>
      <c r="P3537" t="s">
        <v>11164</v>
      </c>
      <c r="Q3537" t="s">
        <v>11172</v>
      </c>
      <c r="R3537" t="s">
        <v>11180</v>
      </c>
      <c r="S3537" t="s">
        <v>9096</v>
      </c>
      <c r="T3537" t="s">
        <v>11183</v>
      </c>
      <c r="U3537" t="s">
        <v>11201</v>
      </c>
      <c r="W3537">
        <v>1550</v>
      </c>
      <c r="X3537" t="s">
        <v>11332</v>
      </c>
      <c r="Y3537" t="s">
        <v>11338</v>
      </c>
      <c r="Z3537" t="s">
        <v>12173</v>
      </c>
      <c r="AA3537" t="s">
        <v>10392</v>
      </c>
      <c r="AB3537" t="s">
        <v>18049</v>
      </c>
      <c r="AC3537">
        <v>3</v>
      </c>
      <c r="AD3537" t="s">
        <v>15441</v>
      </c>
      <c r="AE3537" t="s">
        <v>19586</v>
      </c>
      <c r="AF3537">
        <v>4</v>
      </c>
      <c r="AG3537">
        <v>4</v>
      </c>
      <c r="AH3537">
        <v>0</v>
      </c>
      <c r="AI3537">
        <v>121.17</v>
      </c>
      <c r="AL3537" t="s">
        <v>19615</v>
      </c>
      <c r="AM3537">
        <v>31200</v>
      </c>
      <c r="AN3537" t="s">
        <v>19966</v>
      </c>
      <c r="AS3537">
        <v>0.25</v>
      </c>
      <c r="AT3537" t="s">
        <v>549</v>
      </c>
      <c r="AU3537" t="s">
        <v>95</v>
      </c>
      <c r="AV3537" t="s">
        <v>9144</v>
      </c>
    </row>
    <row r="3538" spans="1:48">
      <c r="A3538" s="1">
        <f>HYPERLINK("https://lsnyc.legalserver.org/matter/dynamic-profile/view/1901868","19-1901868")</f>
        <v>0</v>
      </c>
      <c r="B3538" t="s">
        <v>64</v>
      </c>
      <c r="C3538" t="s">
        <v>257</v>
      </c>
      <c r="D3538" t="s">
        <v>298</v>
      </c>
      <c r="E3538" t="s">
        <v>273</v>
      </c>
      <c r="F3538" t="s">
        <v>2565</v>
      </c>
      <c r="G3538" t="s">
        <v>4796</v>
      </c>
      <c r="H3538" t="s">
        <v>7359</v>
      </c>
      <c r="I3538" t="s">
        <v>8633</v>
      </c>
      <c r="J3538" t="s">
        <v>9059</v>
      </c>
      <c r="K3538">
        <v>11219</v>
      </c>
      <c r="L3538" t="s">
        <v>9094</v>
      </c>
      <c r="M3538" t="s">
        <v>9095</v>
      </c>
      <c r="N3538" t="s">
        <v>10432</v>
      </c>
      <c r="O3538" t="s">
        <v>11150</v>
      </c>
      <c r="P3538" t="s">
        <v>11165</v>
      </c>
      <c r="Q3538" t="s">
        <v>11174</v>
      </c>
      <c r="R3538" t="s">
        <v>11180</v>
      </c>
      <c r="S3538" t="s">
        <v>9096</v>
      </c>
      <c r="T3538" t="s">
        <v>11183</v>
      </c>
      <c r="V3538" t="s">
        <v>394</v>
      </c>
      <c r="W3538">
        <v>1000</v>
      </c>
      <c r="X3538" t="s">
        <v>11332</v>
      </c>
      <c r="Y3538" t="s">
        <v>11345</v>
      </c>
      <c r="Z3538" t="s">
        <v>13723</v>
      </c>
      <c r="AB3538" t="s">
        <v>18050</v>
      </c>
      <c r="AC3538">
        <v>35</v>
      </c>
      <c r="AD3538" t="s">
        <v>19566</v>
      </c>
      <c r="AE3538" t="s">
        <v>9144</v>
      </c>
      <c r="AF3538">
        <v>12</v>
      </c>
      <c r="AG3538">
        <v>4</v>
      </c>
      <c r="AH3538">
        <v>0</v>
      </c>
      <c r="AI3538">
        <v>121.17</v>
      </c>
      <c r="AL3538" t="s">
        <v>19615</v>
      </c>
      <c r="AM3538">
        <v>31200</v>
      </c>
      <c r="AO3538" t="s">
        <v>20293</v>
      </c>
      <c r="AP3538" t="s">
        <v>20309</v>
      </c>
      <c r="AQ3538" t="s">
        <v>20369</v>
      </c>
      <c r="AR3538" t="s">
        <v>20387</v>
      </c>
      <c r="AS3538">
        <v>2.7</v>
      </c>
      <c r="AT3538" t="s">
        <v>298</v>
      </c>
      <c r="AU3538" t="s">
        <v>79</v>
      </c>
      <c r="AV3538" t="s">
        <v>20733</v>
      </c>
    </row>
    <row r="3539" spans="1:48">
      <c r="A3539" s="1">
        <f>HYPERLINK("https://lsnyc.legalserver.org/matter/dynamic-profile/view/1901865","19-1901865")</f>
        <v>0</v>
      </c>
      <c r="B3539" t="s">
        <v>64</v>
      </c>
      <c r="C3539" t="s">
        <v>257</v>
      </c>
      <c r="D3539" t="s">
        <v>298</v>
      </c>
      <c r="E3539" t="s">
        <v>273</v>
      </c>
      <c r="F3539" t="s">
        <v>2565</v>
      </c>
      <c r="G3539" t="s">
        <v>4796</v>
      </c>
      <c r="H3539" t="s">
        <v>7359</v>
      </c>
      <c r="I3539" t="s">
        <v>8633</v>
      </c>
      <c r="J3539" t="s">
        <v>9059</v>
      </c>
      <c r="K3539">
        <v>11219</v>
      </c>
      <c r="L3539" t="s">
        <v>9094</v>
      </c>
      <c r="M3539" t="s">
        <v>9095</v>
      </c>
      <c r="N3539" t="s">
        <v>10433</v>
      </c>
      <c r="O3539" t="s">
        <v>11129</v>
      </c>
      <c r="P3539" t="s">
        <v>11165</v>
      </c>
      <c r="Q3539" t="s">
        <v>11174</v>
      </c>
      <c r="R3539" t="s">
        <v>11180</v>
      </c>
      <c r="S3539" t="s">
        <v>9096</v>
      </c>
      <c r="T3539" t="s">
        <v>11183</v>
      </c>
      <c r="V3539" t="s">
        <v>298</v>
      </c>
      <c r="W3539">
        <v>1000</v>
      </c>
      <c r="X3539" t="s">
        <v>11332</v>
      </c>
      <c r="Y3539" t="s">
        <v>11345</v>
      </c>
      <c r="Z3539" t="s">
        <v>13723</v>
      </c>
      <c r="AB3539" t="s">
        <v>18050</v>
      </c>
      <c r="AC3539">
        <v>35</v>
      </c>
      <c r="AD3539" t="s">
        <v>19566</v>
      </c>
      <c r="AE3539" t="s">
        <v>9144</v>
      </c>
      <c r="AF3539">
        <v>12</v>
      </c>
      <c r="AG3539">
        <v>4</v>
      </c>
      <c r="AH3539">
        <v>0</v>
      </c>
      <c r="AI3539">
        <v>121.17</v>
      </c>
      <c r="AL3539" t="s">
        <v>19615</v>
      </c>
      <c r="AM3539">
        <v>31200</v>
      </c>
      <c r="AO3539" t="s">
        <v>20294</v>
      </c>
      <c r="AP3539" t="s">
        <v>20309</v>
      </c>
      <c r="AQ3539" t="s">
        <v>20369</v>
      </c>
      <c r="AR3539" t="s">
        <v>20374</v>
      </c>
      <c r="AS3539">
        <v>4.8</v>
      </c>
      <c r="AT3539" t="s">
        <v>288</v>
      </c>
      <c r="AU3539" t="s">
        <v>79</v>
      </c>
      <c r="AV3539" t="s">
        <v>20733</v>
      </c>
    </row>
    <row r="3540" spans="1:48">
      <c r="A3540" s="1">
        <f>HYPERLINK("https://lsnyc.legalserver.org/matter/dynamic-profile/view/1899084","19-1899084")</f>
        <v>0</v>
      </c>
      <c r="B3540" t="s">
        <v>69</v>
      </c>
      <c r="C3540" t="s">
        <v>257</v>
      </c>
      <c r="D3540" t="s">
        <v>492</v>
      </c>
      <c r="E3540" t="s">
        <v>474</v>
      </c>
      <c r="F3540" t="s">
        <v>2566</v>
      </c>
      <c r="G3540" t="s">
        <v>3411</v>
      </c>
      <c r="H3540" t="s">
        <v>7360</v>
      </c>
      <c r="I3540" t="s">
        <v>8746</v>
      </c>
      <c r="J3540" t="s">
        <v>9059</v>
      </c>
      <c r="K3540">
        <v>11212</v>
      </c>
      <c r="L3540" t="s">
        <v>9096</v>
      </c>
      <c r="M3540" t="s">
        <v>9095</v>
      </c>
      <c r="O3540" t="s">
        <v>11151</v>
      </c>
      <c r="P3540" t="s">
        <v>11164</v>
      </c>
      <c r="Q3540" t="s">
        <v>11172</v>
      </c>
      <c r="R3540" t="s">
        <v>11180</v>
      </c>
      <c r="T3540" t="s">
        <v>11189</v>
      </c>
      <c r="V3540" t="s">
        <v>492</v>
      </c>
      <c r="W3540">
        <v>0</v>
      </c>
      <c r="X3540" t="s">
        <v>11332</v>
      </c>
      <c r="Y3540" t="s">
        <v>11157</v>
      </c>
      <c r="Z3540" t="s">
        <v>13724</v>
      </c>
      <c r="AB3540" t="s">
        <v>18051</v>
      </c>
      <c r="AC3540">
        <v>0</v>
      </c>
      <c r="AF3540">
        <v>0</v>
      </c>
      <c r="AG3540">
        <v>2</v>
      </c>
      <c r="AH3540">
        <v>2</v>
      </c>
      <c r="AI3540">
        <v>121.17</v>
      </c>
      <c r="AL3540" t="s">
        <v>19614</v>
      </c>
      <c r="AM3540">
        <v>31200</v>
      </c>
      <c r="AS3540">
        <v>0.75</v>
      </c>
      <c r="AT3540" t="s">
        <v>474</v>
      </c>
      <c r="AU3540" t="s">
        <v>20631</v>
      </c>
      <c r="AV3540" t="s">
        <v>9144</v>
      </c>
    </row>
    <row r="3541" spans="1:48">
      <c r="A3541" s="1">
        <f>HYPERLINK("https://lsnyc.legalserver.org/matter/dynamic-profile/view/1914573","19-1914573")</f>
        <v>0</v>
      </c>
      <c r="B3541" t="s">
        <v>72</v>
      </c>
      <c r="C3541" t="s">
        <v>256</v>
      </c>
      <c r="D3541" t="s">
        <v>612</v>
      </c>
      <c r="F3541" t="s">
        <v>2567</v>
      </c>
      <c r="G3541" t="s">
        <v>3441</v>
      </c>
      <c r="H3541" t="s">
        <v>7361</v>
      </c>
      <c r="I3541" t="s">
        <v>8141</v>
      </c>
      <c r="J3541" t="s">
        <v>9059</v>
      </c>
      <c r="K3541">
        <v>11208</v>
      </c>
      <c r="L3541" t="s">
        <v>9094</v>
      </c>
      <c r="M3541" t="s">
        <v>9095</v>
      </c>
      <c r="N3541" t="s">
        <v>10434</v>
      </c>
      <c r="O3541" t="s">
        <v>11129</v>
      </c>
      <c r="R3541" t="s">
        <v>11180</v>
      </c>
      <c r="S3541" t="s">
        <v>9096</v>
      </c>
      <c r="T3541" t="s">
        <v>11183</v>
      </c>
      <c r="U3541" t="s">
        <v>11201</v>
      </c>
      <c r="V3541" t="s">
        <v>703</v>
      </c>
      <c r="W3541">
        <v>2850</v>
      </c>
      <c r="X3541" t="s">
        <v>11332</v>
      </c>
      <c r="Y3541" t="s">
        <v>11355</v>
      </c>
      <c r="Z3541" t="s">
        <v>13725</v>
      </c>
      <c r="AA3541" t="s">
        <v>15441</v>
      </c>
      <c r="AB3541" t="s">
        <v>18052</v>
      </c>
      <c r="AC3541">
        <v>6</v>
      </c>
      <c r="AD3541" t="s">
        <v>19566</v>
      </c>
      <c r="AE3541" t="s">
        <v>11157</v>
      </c>
      <c r="AF3541">
        <v>2</v>
      </c>
      <c r="AG3541">
        <v>4</v>
      </c>
      <c r="AH3541">
        <v>0</v>
      </c>
      <c r="AI3541">
        <v>121.17</v>
      </c>
      <c r="AL3541" t="s">
        <v>19614</v>
      </c>
      <c r="AM3541">
        <v>31200</v>
      </c>
      <c r="AS3541">
        <v>0</v>
      </c>
      <c r="AU3541" t="s">
        <v>95</v>
      </c>
      <c r="AV3541" t="s">
        <v>20733</v>
      </c>
    </row>
    <row r="3542" spans="1:48">
      <c r="A3542" s="1">
        <f>HYPERLINK("https://lsnyc.legalserver.org/matter/dynamic-profile/view/1915370","19-1915370")</f>
        <v>0</v>
      </c>
      <c r="B3542" t="s">
        <v>140</v>
      </c>
      <c r="C3542" t="s">
        <v>256</v>
      </c>
      <c r="D3542" t="s">
        <v>487</v>
      </c>
      <c r="F3542" t="s">
        <v>2411</v>
      </c>
      <c r="G3542" t="s">
        <v>4797</v>
      </c>
      <c r="H3542" t="s">
        <v>7362</v>
      </c>
      <c r="I3542" t="s">
        <v>8283</v>
      </c>
      <c r="J3542" t="s">
        <v>9065</v>
      </c>
      <c r="K3542">
        <v>10463</v>
      </c>
      <c r="L3542" t="s">
        <v>9094</v>
      </c>
      <c r="M3542" t="s">
        <v>9095</v>
      </c>
      <c r="O3542" t="s">
        <v>11153</v>
      </c>
      <c r="P3542" t="s">
        <v>11169</v>
      </c>
      <c r="R3542" t="s">
        <v>11180</v>
      </c>
      <c r="S3542" t="s">
        <v>9096</v>
      </c>
      <c r="T3542" t="s">
        <v>11183</v>
      </c>
      <c r="V3542" t="s">
        <v>487</v>
      </c>
      <c r="W3542">
        <v>399</v>
      </c>
      <c r="X3542" t="s">
        <v>11335</v>
      </c>
      <c r="Y3542" t="s">
        <v>11351</v>
      </c>
      <c r="Z3542" t="s">
        <v>13726</v>
      </c>
      <c r="AB3542" t="s">
        <v>18053</v>
      </c>
      <c r="AC3542">
        <v>120</v>
      </c>
      <c r="AD3542" t="s">
        <v>19573</v>
      </c>
      <c r="AE3542" t="s">
        <v>9144</v>
      </c>
      <c r="AF3542">
        <v>51</v>
      </c>
      <c r="AG3542">
        <v>3</v>
      </c>
      <c r="AH3542">
        <v>1</v>
      </c>
      <c r="AI3542">
        <v>121.17</v>
      </c>
      <c r="AL3542" t="s">
        <v>19614</v>
      </c>
      <c r="AM3542">
        <v>31200</v>
      </c>
      <c r="AS3542">
        <v>1</v>
      </c>
      <c r="AT3542" t="s">
        <v>487</v>
      </c>
      <c r="AU3542" t="s">
        <v>130</v>
      </c>
      <c r="AV3542" t="s">
        <v>20733</v>
      </c>
    </row>
    <row r="3543" spans="1:48">
      <c r="A3543" s="1">
        <f>HYPERLINK("https://lsnyc.legalserver.org/matter/dynamic-profile/view/1909549","19-1909549")</f>
        <v>0</v>
      </c>
      <c r="B3543" t="s">
        <v>111</v>
      </c>
      <c r="C3543" t="s">
        <v>256</v>
      </c>
      <c r="D3543" t="s">
        <v>273</v>
      </c>
      <c r="F3543" t="s">
        <v>1143</v>
      </c>
      <c r="G3543" t="s">
        <v>4798</v>
      </c>
      <c r="H3543" t="s">
        <v>6116</v>
      </c>
      <c r="I3543" t="s">
        <v>8149</v>
      </c>
      <c r="J3543" t="s">
        <v>9065</v>
      </c>
      <c r="K3543">
        <v>10452</v>
      </c>
      <c r="L3543" t="s">
        <v>9095</v>
      </c>
      <c r="M3543" t="s">
        <v>9095</v>
      </c>
      <c r="N3543" t="s">
        <v>10435</v>
      </c>
      <c r="O3543" t="s">
        <v>11129</v>
      </c>
      <c r="R3543" t="s">
        <v>11180</v>
      </c>
      <c r="S3543" t="s">
        <v>9096</v>
      </c>
      <c r="T3543" t="s">
        <v>11183</v>
      </c>
      <c r="W3543">
        <v>1839.53</v>
      </c>
      <c r="X3543" t="s">
        <v>11333</v>
      </c>
      <c r="Y3543" t="s">
        <v>11340</v>
      </c>
      <c r="Z3543" t="s">
        <v>13727</v>
      </c>
      <c r="AB3543" t="s">
        <v>18054</v>
      </c>
      <c r="AC3543">
        <v>24</v>
      </c>
      <c r="AD3543" t="s">
        <v>19566</v>
      </c>
      <c r="AE3543" t="s">
        <v>19580</v>
      </c>
      <c r="AF3543">
        <v>4</v>
      </c>
      <c r="AG3543">
        <v>2</v>
      </c>
      <c r="AH3543">
        <v>2</v>
      </c>
      <c r="AI3543">
        <v>121.17</v>
      </c>
      <c r="AL3543" t="s">
        <v>19614</v>
      </c>
      <c r="AM3543">
        <v>31200</v>
      </c>
      <c r="AS3543">
        <v>8.300000000000001</v>
      </c>
      <c r="AT3543" t="s">
        <v>703</v>
      </c>
      <c r="AU3543" t="s">
        <v>20642</v>
      </c>
    </row>
    <row r="3544" spans="1:48">
      <c r="A3544" s="1">
        <f>HYPERLINK("https://lsnyc.legalserver.org/matter/dynamic-profile/view/1898488","19-1898488")</f>
        <v>0</v>
      </c>
      <c r="B3544" t="s">
        <v>64</v>
      </c>
      <c r="C3544" t="s">
        <v>256</v>
      </c>
      <c r="D3544" t="s">
        <v>299</v>
      </c>
      <c r="F3544" t="s">
        <v>1152</v>
      </c>
      <c r="G3544" t="s">
        <v>4799</v>
      </c>
      <c r="H3544" t="s">
        <v>7363</v>
      </c>
      <c r="I3544" t="s">
        <v>8170</v>
      </c>
      <c r="J3544" t="s">
        <v>9059</v>
      </c>
      <c r="K3544">
        <v>11233</v>
      </c>
      <c r="L3544" t="s">
        <v>9094</v>
      </c>
      <c r="M3544" t="s">
        <v>9096</v>
      </c>
      <c r="N3544" t="s">
        <v>10436</v>
      </c>
      <c r="O3544" t="s">
        <v>11129</v>
      </c>
      <c r="P3544" t="s">
        <v>11165</v>
      </c>
      <c r="R3544" t="s">
        <v>11180</v>
      </c>
      <c r="S3544" t="s">
        <v>9096</v>
      </c>
      <c r="T3544" t="s">
        <v>11183</v>
      </c>
      <c r="U3544" t="s">
        <v>11201</v>
      </c>
      <c r="V3544" t="s">
        <v>394</v>
      </c>
      <c r="W3544">
        <v>901</v>
      </c>
      <c r="X3544" t="s">
        <v>11332</v>
      </c>
      <c r="Y3544" t="s">
        <v>11341</v>
      </c>
      <c r="Z3544" t="s">
        <v>11857</v>
      </c>
      <c r="AB3544" t="s">
        <v>18055</v>
      </c>
      <c r="AC3544">
        <v>16</v>
      </c>
      <c r="AD3544" t="s">
        <v>19570</v>
      </c>
      <c r="AE3544" t="s">
        <v>9144</v>
      </c>
      <c r="AF3544">
        <v>9</v>
      </c>
      <c r="AG3544">
        <v>1</v>
      </c>
      <c r="AH3544">
        <v>2</v>
      </c>
      <c r="AI3544">
        <v>121.46</v>
      </c>
      <c r="AL3544" t="s">
        <v>19614</v>
      </c>
      <c r="AM3544">
        <v>25908</v>
      </c>
      <c r="AS3544">
        <v>21.3</v>
      </c>
      <c r="AT3544" t="s">
        <v>1135</v>
      </c>
      <c r="AU3544" t="s">
        <v>79</v>
      </c>
      <c r="AV3544" t="s">
        <v>20733</v>
      </c>
    </row>
    <row r="3545" spans="1:48">
      <c r="A3545" s="1">
        <f>HYPERLINK("https://lsnyc.legalserver.org/matter/dynamic-profile/view/1868991","18-1868991")</f>
        <v>0</v>
      </c>
      <c r="B3545" t="s">
        <v>56</v>
      </c>
      <c r="C3545" t="s">
        <v>256</v>
      </c>
      <c r="D3545" t="s">
        <v>281</v>
      </c>
      <c r="F3545" t="s">
        <v>2568</v>
      </c>
      <c r="G3545" t="s">
        <v>3474</v>
      </c>
      <c r="H3545" t="s">
        <v>5706</v>
      </c>
      <c r="I3545" t="s">
        <v>8191</v>
      </c>
      <c r="J3545" t="s">
        <v>9039</v>
      </c>
      <c r="K3545">
        <v>11432</v>
      </c>
      <c r="L3545" t="s">
        <v>9094</v>
      </c>
      <c r="M3545" t="s">
        <v>9095</v>
      </c>
      <c r="N3545" t="s">
        <v>10437</v>
      </c>
      <c r="O3545" t="s">
        <v>11163</v>
      </c>
      <c r="P3545" t="s">
        <v>11165</v>
      </c>
      <c r="R3545" t="s">
        <v>11180</v>
      </c>
      <c r="S3545" t="s">
        <v>9096</v>
      </c>
      <c r="T3545" t="s">
        <v>11183</v>
      </c>
      <c r="V3545" t="s">
        <v>281</v>
      </c>
      <c r="W3545">
        <v>1175</v>
      </c>
      <c r="X3545" t="s">
        <v>11331</v>
      </c>
      <c r="Y3545" t="s">
        <v>11340</v>
      </c>
      <c r="Z3545" t="s">
        <v>12443</v>
      </c>
      <c r="AB3545" t="s">
        <v>17887</v>
      </c>
      <c r="AC3545">
        <v>180</v>
      </c>
      <c r="AD3545" t="s">
        <v>19566</v>
      </c>
      <c r="AE3545" t="s">
        <v>9144</v>
      </c>
      <c r="AF3545">
        <v>9</v>
      </c>
      <c r="AG3545">
        <v>2</v>
      </c>
      <c r="AH3545">
        <v>0</v>
      </c>
      <c r="AI3545">
        <v>121.51</v>
      </c>
      <c r="AL3545" t="s">
        <v>19616</v>
      </c>
      <c r="AM3545">
        <v>20000</v>
      </c>
      <c r="AS3545">
        <v>87.95999999999999</v>
      </c>
      <c r="AT3545" t="s">
        <v>556</v>
      </c>
      <c r="AU3545" t="s">
        <v>58</v>
      </c>
    </row>
    <row r="3546" spans="1:48">
      <c r="A3546" s="1">
        <f>HYPERLINK("https://lsnyc.legalserver.org/matter/dynamic-profile/view/1887570","19-1887570")</f>
        <v>0</v>
      </c>
      <c r="B3546" t="s">
        <v>71</v>
      </c>
      <c r="C3546" t="s">
        <v>256</v>
      </c>
      <c r="D3546" t="s">
        <v>650</v>
      </c>
      <c r="F3546" t="s">
        <v>1150</v>
      </c>
      <c r="G3546" t="s">
        <v>4768</v>
      </c>
      <c r="H3546" t="s">
        <v>7325</v>
      </c>
      <c r="I3546" t="s">
        <v>8168</v>
      </c>
      <c r="J3546" t="s">
        <v>9059</v>
      </c>
      <c r="K3546">
        <v>11207</v>
      </c>
      <c r="L3546" t="s">
        <v>9094</v>
      </c>
      <c r="M3546" t="s">
        <v>9094</v>
      </c>
      <c r="N3546" t="s">
        <v>10400</v>
      </c>
      <c r="O3546" t="s">
        <v>11129</v>
      </c>
      <c r="P3546" t="s">
        <v>11165</v>
      </c>
      <c r="R3546" t="s">
        <v>11180</v>
      </c>
      <c r="S3546" t="s">
        <v>9096</v>
      </c>
      <c r="T3546" t="s">
        <v>11183</v>
      </c>
      <c r="U3546" t="s">
        <v>11201</v>
      </c>
      <c r="V3546" t="s">
        <v>635</v>
      </c>
      <c r="W3546">
        <v>1337</v>
      </c>
      <c r="X3546" t="s">
        <v>11332</v>
      </c>
      <c r="Y3546" t="s">
        <v>11340</v>
      </c>
      <c r="Z3546" t="s">
        <v>13665</v>
      </c>
      <c r="AA3546" t="s">
        <v>15802</v>
      </c>
      <c r="AB3546" t="s">
        <v>17994</v>
      </c>
      <c r="AC3546">
        <v>25</v>
      </c>
      <c r="AD3546" t="s">
        <v>19566</v>
      </c>
      <c r="AE3546" t="s">
        <v>19580</v>
      </c>
      <c r="AF3546">
        <v>7</v>
      </c>
      <c r="AG3546">
        <v>2</v>
      </c>
      <c r="AH3546">
        <v>0</v>
      </c>
      <c r="AI3546">
        <v>121.51</v>
      </c>
      <c r="AL3546" t="s">
        <v>19614</v>
      </c>
      <c r="AM3546">
        <v>20000</v>
      </c>
      <c r="AS3546">
        <v>13.1</v>
      </c>
      <c r="AT3546" t="s">
        <v>493</v>
      </c>
      <c r="AU3546" t="s">
        <v>95</v>
      </c>
      <c r="AV3546" t="s">
        <v>20733</v>
      </c>
    </row>
    <row r="3547" spans="1:48">
      <c r="A3547" s="1">
        <f>HYPERLINK("https://lsnyc.legalserver.org/matter/dynamic-profile/view/1861099","18-1861099")</f>
        <v>0</v>
      </c>
      <c r="B3547" t="s">
        <v>172</v>
      </c>
      <c r="C3547" t="s">
        <v>257</v>
      </c>
      <c r="D3547" t="s">
        <v>721</v>
      </c>
      <c r="E3547" t="s">
        <v>270</v>
      </c>
      <c r="F3547" t="s">
        <v>1374</v>
      </c>
      <c r="G3547" t="s">
        <v>3916</v>
      </c>
      <c r="H3547" t="s">
        <v>7364</v>
      </c>
      <c r="I3547" t="s">
        <v>8747</v>
      </c>
      <c r="J3547" t="s">
        <v>9067</v>
      </c>
      <c r="K3547">
        <v>10037</v>
      </c>
      <c r="L3547" t="s">
        <v>9094</v>
      </c>
      <c r="M3547" t="s">
        <v>9095</v>
      </c>
      <c r="P3547" t="s">
        <v>11164</v>
      </c>
      <c r="Q3547" t="s">
        <v>11172</v>
      </c>
      <c r="R3547" t="s">
        <v>11180</v>
      </c>
      <c r="T3547" t="s">
        <v>11190</v>
      </c>
      <c r="V3547" t="s">
        <v>673</v>
      </c>
      <c r="W3547">
        <v>989</v>
      </c>
      <c r="X3547" t="s">
        <v>11335</v>
      </c>
      <c r="Y3547" t="s">
        <v>11340</v>
      </c>
      <c r="Z3547" t="s">
        <v>13728</v>
      </c>
      <c r="AB3547" t="s">
        <v>18056</v>
      </c>
      <c r="AC3547">
        <v>0</v>
      </c>
      <c r="AD3547" t="s">
        <v>19572</v>
      </c>
      <c r="AE3547" t="s">
        <v>9144</v>
      </c>
      <c r="AF3547">
        <v>9</v>
      </c>
      <c r="AG3547">
        <v>1</v>
      </c>
      <c r="AH3547">
        <v>1</v>
      </c>
      <c r="AI3547">
        <v>121.51</v>
      </c>
      <c r="AL3547" t="s">
        <v>19614</v>
      </c>
      <c r="AM3547">
        <v>20000</v>
      </c>
      <c r="AS3547">
        <v>0.2</v>
      </c>
      <c r="AT3547" t="s">
        <v>733</v>
      </c>
      <c r="AU3547" t="s">
        <v>20655</v>
      </c>
    </row>
    <row r="3548" spans="1:48">
      <c r="A3548" s="1">
        <f>HYPERLINK("https://lsnyc.legalserver.org/matter/dynamic-profile/view/1863072","18-1863072")</f>
        <v>0</v>
      </c>
      <c r="B3548" t="s">
        <v>183</v>
      </c>
      <c r="C3548" t="s">
        <v>257</v>
      </c>
      <c r="D3548" t="s">
        <v>873</v>
      </c>
      <c r="E3548" t="s">
        <v>1130</v>
      </c>
      <c r="F3548" t="s">
        <v>2539</v>
      </c>
      <c r="G3548" t="s">
        <v>3881</v>
      </c>
      <c r="H3548" t="s">
        <v>7328</v>
      </c>
      <c r="I3548" t="s">
        <v>8168</v>
      </c>
      <c r="J3548" t="s">
        <v>9067</v>
      </c>
      <c r="K3548">
        <v>10029</v>
      </c>
      <c r="L3548" t="s">
        <v>9094</v>
      </c>
      <c r="M3548" t="s">
        <v>9095</v>
      </c>
      <c r="O3548" t="s">
        <v>9121</v>
      </c>
      <c r="P3548" t="s">
        <v>11166</v>
      </c>
      <c r="Q3548" t="s">
        <v>11172</v>
      </c>
      <c r="R3548" t="s">
        <v>11180</v>
      </c>
      <c r="T3548" t="s">
        <v>11193</v>
      </c>
      <c r="V3548" t="s">
        <v>663</v>
      </c>
      <c r="W3548">
        <v>487</v>
      </c>
      <c r="X3548" t="s">
        <v>11335</v>
      </c>
      <c r="Y3548" t="s">
        <v>11350</v>
      </c>
      <c r="Z3548" t="s">
        <v>13669</v>
      </c>
      <c r="AB3548" t="s">
        <v>17997</v>
      </c>
      <c r="AC3548">
        <v>24</v>
      </c>
      <c r="AD3548" t="s">
        <v>19566</v>
      </c>
      <c r="AF3548">
        <v>4</v>
      </c>
      <c r="AG3548">
        <v>2</v>
      </c>
      <c r="AH3548">
        <v>0</v>
      </c>
      <c r="AI3548">
        <v>121.51</v>
      </c>
      <c r="AL3548" t="s">
        <v>19615</v>
      </c>
      <c r="AM3548">
        <v>20000</v>
      </c>
      <c r="AS3548">
        <v>5.2</v>
      </c>
      <c r="AT3548" t="s">
        <v>594</v>
      </c>
      <c r="AU3548" t="s">
        <v>20658</v>
      </c>
      <c r="AV3548" t="s">
        <v>20733</v>
      </c>
    </row>
    <row r="3549" spans="1:48">
      <c r="A3549" s="1">
        <f>HYPERLINK("https://lsnyc.legalserver.org/matter/dynamic-profile/view/1900794","19-1900794")</f>
        <v>0</v>
      </c>
      <c r="B3549" t="s">
        <v>69</v>
      </c>
      <c r="C3549" t="s">
        <v>256</v>
      </c>
      <c r="D3549" t="s">
        <v>315</v>
      </c>
      <c r="F3549" t="s">
        <v>1152</v>
      </c>
      <c r="G3549" t="s">
        <v>4799</v>
      </c>
      <c r="H3549" t="s">
        <v>7363</v>
      </c>
      <c r="I3549" t="s">
        <v>8170</v>
      </c>
      <c r="J3549" t="s">
        <v>9059</v>
      </c>
      <c r="K3549">
        <v>11233</v>
      </c>
      <c r="L3549" t="s">
        <v>9094</v>
      </c>
      <c r="M3549" t="s">
        <v>9095</v>
      </c>
      <c r="N3549" t="s">
        <v>10436</v>
      </c>
      <c r="O3549" t="s">
        <v>11139</v>
      </c>
      <c r="P3549" t="s">
        <v>11168</v>
      </c>
      <c r="R3549" t="s">
        <v>11180</v>
      </c>
      <c r="S3549" t="s">
        <v>9096</v>
      </c>
      <c r="T3549" t="s">
        <v>11184</v>
      </c>
      <c r="V3549" t="s">
        <v>584</v>
      </c>
      <c r="W3549">
        <v>901</v>
      </c>
      <c r="X3549" t="s">
        <v>11332</v>
      </c>
      <c r="Y3549" t="s">
        <v>11341</v>
      </c>
      <c r="Z3549" t="s">
        <v>11857</v>
      </c>
      <c r="AA3549" t="s">
        <v>15287</v>
      </c>
      <c r="AB3549" t="s">
        <v>18055</v>
      </c>
      <c r="AC3549">
        <v>16</v>
      </c>
      <c r="AD3549" t="s">
        <v>19570</v>
      </c>
      <c r="AE3549" t="s">
        <v>9144</v>
      </c>
      <c r="AF3549">
        <v>9</v>
      </c>
      <c r="AG3549">
        <v>1</v>
      </c>
      <c r="AH3549">
        <v>2</v>
      </c>
      <c r="AI3549">
        <v>121.52</v>
      </c>
      <c r="AL3549" t="s">
        <v>19614</v>
      </c>
      <c r="AM3549">
        <v>25920</v>
      </c>
      <c r="AS3549">
        <v>28.75</v>
      </c>
      <c r="AT3549" t="s">
        <v>1130</v>
      </c>
      <c r="AU3549" t="s">
        <v>79</v>
      </c>
      <c r="AV3549" t="s">
        <v>20733</v>
      </c>
    </row>
    <row r="3550" spans="1:48">
      <c r="A3550" s="1">
        <f>HYPERLINK("https://lsnyc.legalserver.org/matter/dynamic-profile/view/1836777","17-1836777")</f>
        <v>0</v>
      </c>
      <c r="B3550" t="s">
        <v>139</v>
      </c>
      <c r="C3550" t="s">
        <v>256</v>
      </c>
      <c r="D3550" t="s">
        <v>740</v>
      </c>
      <c r="F3550" t="s">
        <v>2569</v>
      </c>
      <c r="G3550" t="s">
        <v>3774</v>
      </c>
      <c r="H3550" t="s">
        <v>5948</v>
      </c>
      <c r="I3550" t="s">
        <v>8748</v>
      </c>
      <c r="J3550" t="s">
        <v>9067</v>
      </c>
      <c r="K3550">
        <v>10034</v>
      </c>
      <c r="L3550" t="s">
        <v>9094</v>
      </c>
      <c r="M3550" t="s">
        <v>9095</v>
      </c>
      <c r="O3550" t="s">
        <v>11130</v>
      </c>
      <c r="P3550" t="s">
        <v>11165</v>
      </c>
      <c r="R3550" t="s">
        <v>11180</v>
      </c>
      <c r="S3550" t="s">
        <v>9094</v>
      </c>
      <c r="T3550" t="s">
        <v>11183</v>
      </c>
      <c r="V3550" t="s">
        <v>861</v>
      </c>
      <c r="W3550">
        <v>900</v>
      </c>
      <c r="X3550" t="s">
        <v>11335</v>
      </c>
      <c r="Y3550" t="s">
        <v>11339</v>
      </c>
      <c r="Z3550" t="s">
        <v>13729</v>
      </c>
      <c r="AB3550" t="s">
        <v>18057</v>
      </c>
      <c r="AC3550">
        <v>44</v>
      </c>
      <c r="AD3550" t="s">
        <v>19566</v>
      </c>
      <c r="AE3550" t="s">
        <v>9144</v>
      </c>
      <c r="AF3550">
        <v>16</v>
      </c>
      <c r="AG3550">
        <v>3</v>
      </c>
      <c r="AH3550">
        <v>2</v>
      </c>
      <c r="AI3550">
        <v>121.61</v>
      </c>
      <c r="AL3550" t="s">
        <v>19615</v>
      </c>
      <c r="AM3550">
        <v>35000</v>
      </c>
      <c r="AS3550">
        <v>0.15</v>
      </c>
      <c r="AT3550" t="s">
        <v>746</v>
      </c>
      <c r="AU3550" t="s">
        <v>20657</v>
      </c>
    </row>
    <row r="3551" spans="1:48">
      <c r="A3551" s="1">
        <f>HYPERLINK("https://lsnyc.legalserver.org/matter/dynamic-profile/view/1912771","19-1912771")</f>
        <v>0</v>
      </c>
      <c r="B3551" t="s">
        <v>101</v>
      </c>
      <c r="C3551" t="s">
        <v>257</v>
      </c>
      <c r="D3551" t="s">
        <v>563</v>
      </c>
      <c r="E3551" t="s">
        <v>496</v>
      </c>
      <c r="F3551" t="s">
        <v>2570</v>
      </c>
      <c r="G3551" t="s">
        <v>4322</v>
      </c>
      <c r="H3551" t="s">
        <v>7365</v>
      </c>
      <c r="I3551" t="s">
        <v>8160</v>
      </c>
      <c r="J3551" t="s">
        <v>9065</v>
      </c>
      <c r="K3551">
        <v>10452</v>
      </c>
      <c r="L3551" t="s">
        <v>9094</v>
      </c>
      <c r="M3551" t="s">
        <v>9095</v>
      </c>
      <c r="O3551" t="s">
        <v>11129</v>
      </c>
      <c r="P3551" t="s">
        <v>11167</v>
      </c>
      <c r="Q3551" t="s">
        <v>11173</v>
      </c>
      <c r="R3551" t="s">
        <v>11180</v>
      </c>
      <c r="S3551" t="s">
        <v>9096</v>
      </c>
      <c r="T3551" t="s">
        <v>11183</v>
      </c>
      <c r="V3551" t="s">
        <v>483</v>
      </c>
      <c r="W3551">
        <v>1450</v>
      </c>
      <c r="X3551" t="s">
        <v>11333</v>
      </c>
      <c r="Y3551" t="s">
        <v>11346</v>
      </c>
      <c r="Z3551" t="s">
        <v>13730</v>
      </c>
      <c r="AB3551" t="s">
        <v>18058</v>
      </c>
      <c r="AC3551">
        <v>52</v>
      </c>
      <c r="AD3551" t="s">
        <v>19566</v>
      </c>
      <c r="AE3551" t="s">
        <v>9144</v>
      </c>
      <c r="AF3551">
        <v>6</v>
      </c>
      <c r="AG3551">
        <v>1</v>
      </c>
      <c r="AH3551">
        <v>1</v>
      </c>
      <c r="AI3551">
        <v>121.82</v>
      </c>
      <c r="AL3551" t="s">
        <v>19614</v>
      </c>
      <c r="AM3551">
        <v>20600</v>
      </c>
      <c r="AS3551">
        <v>0.1</v>
      </c>
      <c r="AT3551" t="s">
        <v>496</v>
      </c>
      <c r="AU3551" t="s">
        <v>20642</v>
      </c>
      <c r="AV3551" t="s">
        <v>20733</v>
      </c>
    </row>
    <row r="3552" spans="1:48">
      <c r="A3552" s="1">
        <f>HYPERLINK("https://lsnyc.legalserver.org/matter/dynamic-profile/view/1902685","19-1902685")</f>
        <v>0</v>
      </c>
      <c r="B3552" t="s">
        <v>62</v>
      </c>
      <c r="C3552" t="s">
        <v>256</v>
      </c>
      <c r="D3552" t="s">
        <v>327</v>
      </c>
      <c r="F3552" t="s">
        <v>1165</v>
      </c>
      <c r="G3552" t="s">
        <v>3358</v>
      </c>
      <c r="H3552" t="s">
        <v>5718</v>
      </c>
      <c r="I3552" t="s">
        <v>8117</v>
      </c>
      <c r="J3552" t="s">
        <v>9048</v>
      </c>
      <c r="K3552">
        <v>11385</v>
      </c>
      <c r="L3552" t="s">
        <v>9094</v>
      </c>
      <c r="M3552" t="s">
        <v>9095</v>
      </c>
      <c r="N3552" t="s">
        <v>10438</v>
      </c>
      <c r="O3552" t="s">
        <v>11134</v>
      </c>
      <c r="P3552" t="s">
        <v>11167</v>
      </c>
      <c r="R3552" t="s">
        <v>11180</v>
      </c>
      <c r="S3552" t="s">
        <v>9096</v>
      </c>
      <c r="T3552" t="s">
        <v>11183</v>
      </c>
      <c r="U3552" t="s">
        <v>11201</v>
      </c>
      <c r="V3552" t="s">
        <v>327</v>
      </c>
      <c r="W3552">
        <v>204</v>
      </c>
      <c r="X3552" t="s">
        <v>11331</v>
      </c>
      <c r="Y3552" t="s">
        <v>11340</v>
      </c>
      <c r="Z3552" t="s">
        <v>11386</v>
      </c>
      <c r="AB3552" t="s">
        <v>15928</v>
      </c>
      <c r="AC3552">
        <v>6</v>
      </c>
      <c r="AD3552" t="s">
        <v>19569</v>
      </c>
      <c r="AE3552" t="s">
        <v>9144</v>
      </c>
      <c r="AF3552">
        <v>52</v>
      </c>
      <c r="AG3552">
        <v>2</v>
      </c>
      <c r="AH3552">
        <v>1</v>
      </c>
      <c r="AI3552">
        <v>121.89</v>
      </c>
      <c r="AL3552" t="s">
        <v>19614</v>
      </c>
      <c r="AM3552">
        <v>26000</v>
      </c>
      <c r="AS3552">
        <v>14</v>
      </c>
      <c r="AT3552" t="s">
        <v>425</v>
      </c>
      <c r="AU3552" t="s">
        <v>20619</v>
      </c>
      <c r="AV3552" t="s">
        <v>20733</v>
      </c>
    </row>
    <row r="3553" spans="1:48">
      <c r="A3553" s="1">
        <f>HYPERLINK("https://lsnyc.legalserver.org/matter/dynamic-profile/view/1903966","19-1903966")</f>
        <v>0</v>
      </c>
      <c r="B3553" t="s">
        <v>157</v>
      </c>
      <c r="C3553" t="s">
        <v>257</v>
      </c>
      <c r="D3553" t="s">
        <v>663</v>
      </c>
      <c r="E3553" t="s">
        <v>273</v>
      </c>
      <c r="F3553" t="s">
        <v>2571</v>
      </c>
      <c r="G3553" t="s">
        <v>3673</v>
      </c>
      <c r="H3553" t="s">
        <v>7366</v>
      </c>
      <c r="I3553" t="s">
        <v>8438</v>
      </c>
      <c r="J3553" t="s">
        <v>9059</v>
      </c>
      <c r="K3553">
        <v>11236</v>
      </c>
      <c r="L3553" t="s">
        <v>9094</v>
      </c>
      <c r="M3553" t="s">
        <v>9095</v>
      </c>
      <c r="N3553" t="s">
        <v>10439</v>
      </c>
      <c r="O3553" t="s">
        <v>11141</v>
      </c>
      <c r="P3553" t="s">
        <v>11164</v>
      </c>
      <c r="Q3553" t="s">
        <v>11172</v>
      </c>
      <c r="R3553" t="s">
        <v>11180</v>
      </c>
      <c r="S3553" t="s">
        <v>9096</v>
      </c>
      <c r="T3553" t="s">
        <v>11183</v>
      </c>
      <c r="V3553" t="s">
        <v>663</v>
      </c>
      <c r="W3553">
        <v>720</v>
      </c>
      <c r="X3553" t="s">
        <v>11332</v>
      </c>
      <c r="Y3553" t="s">
        <v>11157</v>
      </c>
      <c r="Z3553" t="s">
        <v>13731</v>
      </c>
      <c r="AB3553" t="s">
        <v>18059</v>
      </c>
      <c r="AC3553">
        <v>6</v>
      </c>
      <c r="AD3553" t="s">
        <v>19565</v>
      </c>
      <c r="AE3553" t="s">
        <v>9144</v>
      </c>
      <c r="AF3553">
        <v>9</v>
      </c>
      <c r="AG3553">
        <v>2</v>
      </c>
      <c r="AH3553">
        <v>1</v>
      </c>
      <c r="AI3553">
        <v>121.89</v>
      </c>
      <c r="AL3553" t="s">
        <v>19614</v>
      </c>
      <c r="AM3553">
        <v>26000</v>
      </c>
      <c r="AS3553">
        <v>2.2</v>
      </c>
      <c r="AT3553" t="s">
        <v>426</v>
      </c>
      <c r="AU3553" t="s">
        <v>20639</v>
      </c>
      <c r="AV3553" t="s">
        <v>20733</v>
      </c>
    </row>
    <row r="3554" spans="1:48">
      <c r="A3554" s="1">
        <f>HYPERLINK("https://lsnyc.legalserver.org/matter/dynamic-profile/view/1904687","19-1904687")</f>
        <v>0</v>
      </c>
      <c r="B3554" t="s">
        <v>119</v>
      </c>
      <c r="C3554" t="s">
        <v>256</v>
      </c>
      <c r="D3554" t="s">
        <v>497</v>
      </c>
      <c r="F3554" t="s">
        <v>2006</v>
      </c>
      <c r="G3554" t="s">
        <v>3341</v>
      </c>
      <c r="H3554" t="s">
        <v>6095</v>
      </c>
      <c r="I3554" t="s">
        <v>8329</v>
      </c>
      <c r="J3554" t="s">
        <v>9065</v>
      </c>
      <c r="K3554">
        <v>10456</v>
      </c>
      <c r="L3554" t="s">
        <v>9094</v>
      </c>
      <c r="M3554" t="s">
        <v>9095</v>
      </c>
      <c r="N3554" t="s">
        <v>9401</v>
      </c>
      <c r="O3554" t="s">
        <v>11134</v>
      </c>
      <c r="P3554" t="s">
        <v>11168</v>
      </c>
      <c r="R3554" t="s">
        <v>11180</v>
      </c>
      <c r="S3554" t="s">
        <v>9094</v>
      </c>
      <c r="T3554" t="s">
        <v>11183</v>
      </c>
      <c r="V3554" t="s">
        <v>11218</v>
      </c>
      <c r="W3554">
        <v>1330</v>
      </c>
      <c r="X3554" t="s">
        <v>11333</v>
      </c>
      <c r="Y3554" t="s">
        <v>11346</v>
      </c>
      <c r="Z3554" t="s">
        <v>13732</v>
      </c>
      <c r="AB3554" t="s">
        <v>18060</v>
      </c>
      <c r="AC3554">
        <v>3</v>
      </c>
      <c r="AD3554" t="s">
        <v>19566</v>
      </c>
      <c r="AE3554" t="s">
        <v>9144</v>
      </c>
      <c r="AF3554">
        <v>3</v>
      </c>
      <c r="AG3554">
        <v>1</v>
      </c>
      <c r="AH3554">
        <v>2</v>
      </c>
      <c r="AI3554">
        <v>121.89</v>
      </c>
      <c r="AL3554" t="s">
        <v>19615</v>
      </c>
      <c r="AM3554">
        <v>26000</v>
      </c>
      <c r="AS3554">
        <v>0</v>
      </c>
      <c r="AU3554" t="s">
        <v>163</v>
      </c>
      <c r="AV3554" t="s">
        <v>20733</v>
      </c>
    </row>
    <row r="3555" spans="1:48">
      <c r="A3555" s="1">
        <f>HYPERLINK("https://lsnyc.legalserver.org/matter/dynamic-profile/view/1915046","19-1915046")</f>
        <v>0</v>
      </c>
      <c r="B3555" t="s">
        <v>119</v>
      </c>
      <c r="C3555" t="s">
        <v>256</v>
      </c>
      <c r="D3555" t="s">
        <v>377</v>
      </c>
      <c r="F3555" t="s">
        <v>2006</v>
      </c>
      <c r="G3555" t="s">
        <v>3341</v>
      </c>
      <c r="H3555" t="s">
        <v>6095</v>
      </c>
      <c r="I3555" t="s">
        <v>8329</v>
      </c>
      <c r="J3555" t="s">
        <v>9065</v>
      </c>
      <c r="K3555">
        <v>10456</v>
      </c>
      <c r="L3555" t="s">
        <v>9095</v>
      </c>
      <c r="M3555" t="s">
        <v>9095</v>
      </c>
      <c r="O3555" t="s">
        <v>11134</v>
      </c>
      <c r="P3555" t="s">
        <v>11166</v>
      </c>
      <c r="R3555" t="s">
        <v>11180</v>
      </c>
      <c r="S3555" t="s">
        <v>9094</v>
      </c>
      <c r="T3555" t="s">
        <v>11183</v>
      </c>
      <c r="W3555">
        <v>1330.07</v>
      </c>
      <c r="X3555" t="s">
        <v>11333</v>
      </c>
      <c r="Y3555" t="s">
        <v>11346</v>
      </c>
      <c r="Z3555" t="s">
        <v>13732</v>
      </c>
      <c r="AB3555" t="s">
        <v>18060</v>
      </c>
      <c r="AC3555">
        <v>131</v>
      </c>
      <c r="AD3555" t="s">
        <v>19566</v>
      </c>
      <c r="AF3555">
        <v>4</v>
      </c>
      <c r="AG3555">
        <v>1</v>
      </c>
      <c r="AH3555">
        <v>2</v>
      </c>
      <c r="AI3555">
        <v>121.89</v>
      </c>
      <c r="AL3555" t="s">
        <v>19615</v>
      </c>
      <c r="AM3555">
        <v>26000</v>
      </c>
      <c r="AS3555">
        <v>0</v>
      </c>
      <c r="AU3555" t="s">
        <v>20647</v>
      </c>
    </row>
    <row r="3556" spans="1:48">
      <c r="A3556" s="1">
        <f>HYPERLINK("https://lsnyc.legalserver.org/matter/dynamic-profile/view/1860448","18-1860448")</f>
        <v>0</v>
      </c>
      <c r="B3556" t="s">
        <v>52</v>
      </c>
      <c r="C3556" t="s">
        <v>256</v>
      </c>
      <c r="D3556" t="s">
        <v>836</v>
      </c>
      <c r="F3556" t="s">
        <v>2572</v>
      </c>
      <c r="G3556" t="s">
        <v>3536</v>
      </c>
      <c r="H3556" t="s">
        <v>6472</v>
      </c>
      <c r="I3556" t="s">
        <v>8749</v>
      </c>
      <c r="J3556" t="s">
        <v>9039</v>
      </c>
      <c r="K3556">
        <v>11432</v>
      </c>
      <c r="L3556" t="s">
        <v>9094</v>
      </c>
      <c r="M3556" t="s">
        <v>9095</v>
      </c>
      <c r="N3556" t="s">
        <v>9703</v>
      </c>
      <c r="O3556" t="s">
        <v>11135</v>
      </c>
      <c r="P3556" t="s">
        <v>11168</v>
      </c>
      <c r="R3556" t="s">
        <v>11180</v>
      </c>
      <c r="S3556" t="s">
        <v>9094</v>
      </c>
      <c r="T3556" t="s">
        <v>11189</v>
      </c>
      <c r="V3556" t="s">
        <v>11249</v>
      </c>
      <c r="W3556">
        <v>1467</v>
      </c>
      <c r="X3556" t="s">
        <v>11331</v>
      </c>
      <c r="Y3556" t="s">
        <v>11340</v>
      </c>
      <c r="Z3556" t="s">
        <v>13733</v>
      </c>
      <c r="AA3556" t="s">
        <v>9675</v>
      </c>
      <c r="AB3556" t="s">
        <v>18061</v>
      </c>
      <c r="AC3556">
        <v>60</v>
      </c>
      <c r="AD3556" t="s">
        <v>19566</v>
      </c>
      <c r="AE3556" t="s">
        <v>9144</v>
      </c>
      <c r="AF3556">
        <v>21</v>
      </c>
      <c r="AG3556">
        <v>3</v>
      </c>
      <c r="AH3556">
        <v>1</v>
      </c>
      <c r="AI3556">
        <v>121.95</v>
      </c>
      <c r="AJ3556" t="s">
        <v>19592</v>
      </c>
      <c r="AL3556" t="s">
        <v>19615</v>
      </c>
      <c r="AM3556">
        <v>30000</v>
      </c>
      <c r="AS3556">
        <v>5.45</v>
      </c>
      <c r="AT3556" t="s">
        <v>848</v>
      </c>
      <c r="AU3556" t="s">
        <v>153</v>
      </c>
    </row>
    <row r="3557" spans="1:48">
      <c r="A3557" s="1">
        <f>HYPERLINK("https://lsnyc.legalserver.org/matter/dynamic-profile/view/1860451","18-1860451")</f>
        <v>0</v>
      </c>
      <c r="B3557" t="s">
        <v>52</v>
      </c>
      <c r="C3557" t="s">
        <v>256</v>
      </c>
      <c r="D3557" t="s">
        <v>836</v>
      </c>
      <c r="F3557" t="s">
        <v>2572</v>
      </c>
      <c r="G3557" t="s">
        <v>3536</v>
      </c>
      <c r="H3557" t="s">
        <v>6472</v>
      </c>
      <c r="I3557" t="s">
        <v>8749</v>
      </c>
      <c r="J3557" t="s">
        <v>9039</v>
      </c>
      <c r="K3557">
        <v>11432</v>
      </c>
      <c r="L3557" t="s">
        <v>9094</v>
      </c>
      <c r="M3557" t="s">
        <v>9095</v>
      </c>
      <c r="N3557" t="s">
        <v>9698</v>
      </c>
      <c r="O3557" t="s">
        <v>11135</v>
      </c>
      <c r="P3557" t="s">
        <v>11168</v>
      </c>
      <c r="R3557" t="s">
        <v>11180</v>
      </c>
      <c r="S3557" t="s">
        <v>9094</v>
      </c>
      <c r="T3557" t="s">
        <v>11189</v>
      </c>
      <c r="V3557" t="s">
        <v>11249</v>
      </c>
      <c r="W3557">
        <v>1467</v>
      </c>
      <c r="X3557" t="s">
        <v>11331</v>
      </c>
      <c r="Y3557" t="s">
        <v>11340</v>
      </c>
      <c r="Z3557" t="s">
        <v>13733</v>
      </c>
      <c r="AA3557" t="s">
        <v>9171</v>
      </c>
      <c r="AB3557" t="s">
        <v>18061</v>
      </c>
      <c r="AC3557">
        <v>60</v>
      </c>
      <c r="AD3557" t="s">
        <v>19566</v>
      </c>
      <c r="AE3557" t="s">
        <v>9144</v>
      </c>
      <c r="AF3557">
        <v>21</v>
      </c>
      <c r="AG3557">
        <v>3</v>
      </c>
      <c r="AH3557">
        <v>1</v>
      </c>
      <c r="AI3557">
        <v>121.95</v>
      </c>
      <c r="AJ3557" t="s">
        <v>19592</v>
      </c>
      <c r="AL3557" t="s">
        <v>19615</v>
      </c>
      <c r="AM3557">
        <v>30000</v>
      </c>
      <c r="AS3557">
        <v>0.2</v>
      </c>
      <c r="AT3557" t="s">
        <v>848</v>
      </c>
      <c r="AU3557" t="s">
        <v>153</v>
      </c>
    </row>
    <row r="3558" spans="1:48">
      <c r="A3558" s="1">
        <f>HYPERLINK("https://lsnyc.legalserver.org/matter/dynamic-profile/view/1909919","19-1909919")</f>
        <v>0</v>
      </c>
      <c r="B3558" t="s">
        <v>135</v>
      </c>
      <c r="C3558" t="s">
        <v>256</v>
      </c>
      <c r="D3558" t="s">
        <v>992</v>
      </c>
      <c r="F3558" t="s">
        <v>1689</v>
      </c>
      <c r="G3558" t="s">
        <v>4800</v>
      </c>
      <c r="H3558" t="s">
        <v>7367</v>
      </c>
      <c r="I3558" t="s">
        <v>8265</v>
      </c>
      <c r="J3558" t="s">
        <v>9067</v>
      </c>
      <c r="K3558">
        <v>10029</v>
      </c>
      <c r="L3558" t="s">
        <v>9094</v>
      </c>
      <c r="M3558" t="s">
        <v>9095</v>
      </c>
      <c r="O3558" t="s">
        <v>11151</v>
      </c>
      <c r="P3558" t="s">
        <v>11168</v>
      </c>
      <c r="R3558" t="s">
        <v>11180</v>
      </c>
      <c r="S3558" t="s">
        <v>9096</v>
      </c>
      <c r="T3558" t="s">
        <v>11183</v>
      </c>
      <c r="U3558" t="s">
        <v>11201</v>
      </c>
      <c r="V3558" t="s">
        <v>290</v>
      </c>
      <c r="W3558">
        <v>900</v>
      </c>
      <c r="X3558" t="s">
        <v>11335</v>
      </c>
      <c r="Y3558" t="s">
        <v>11347</v>
      </c>
      <c r="Z3558" t="s">
        <v>13734</v>
      </c>
      <c r="AB3558" t="s">
        <v>18062</v>
      </c>
      <c r="AC3558">
        <v>272</v>
      </c>
      <c r="AD3558" t="s">
        <v>19567</v>
      </c>
      <c r="AE3558" t="s">
        <v>19580</v>
      </c>
      <c r="AF3558">
        <v>45</v>
      </c>
      <c r="AG3558">
        <v>2</v>
      </c>
      <c r="AH3558">
        <v>0</v>
      </c>
      <c r="AI3558">
        <v>121.99</v>
      </c>
      <c r="AL3558" t="s">
        <v>19614</v>
      </c>
      <c r="AM3558">
        <v>20628</v>
      </c>
      <c r="AS3558">
        <v>21.05</v>
      </c>
      <c r="AT3558" t="s">
        <v>476</v>
      </c>
      <c r="AU3558" t="s">
        <v>20638</v>
      </c>
      <c r="AV3558" t="s">
        <v>20733</v>
      </c>
    </row>
    <row r="3559" spans="1:48">
      <c r="A3559" s="1">
        <f>HYPERLINK("https://lsnyc.legalserver.org/matter/dynamic-profile/view/1903832","19-1903832")</f>
        <v>0</v>
      </c>
      <c r="B3559" t="s">
        <v>96</v>
      </c>
      <c r="C3559" t="s">
        <v>256</v>
      </c>
      <c r="D3559" t="s">
        <v>597</v>
      </c>
      <c r="F3559" t="s">
        <v>1678</v>
      </c>
      <c r="G3559" t="s">
        <v>4801</v>
      </c>
      <c r="H3559" t="s">
        <v>7368</v>
      </c>
      <c r="I3559" t="s">
        <v>8141</v>
      </c>
      <c r="J3559" t="s">
        <v>9059</v>
      </c>
      <c r="K3559">
        <v>11208</v>
      </c>
      <c r="L3559" t="s">
        <v>9096</v>
      </c>
      <c r="M3559" t="s">
        <v>9095</v>
      </c>
      <c r="N3559" t="s">
        <v>9144</v>
      </c>
      <c r="O3559" t="s">
        <v>9121</v>
      </c>
      <c r="P3559" t="s">
        <v>11164</v>
      </c>
      <c r="R3559" t="s">
        <v>11180</v>
      </c>
      <c r="S3559" t="s">
        <v>9096</v>
      </c>
      <c r="T3559" t="s">
        <v>11183</v>
      </c>
      <c r="U3559" t="s">
        <v>11201</v>
      </c>
      <c r="W3559">
        <v>1820</v>
      </c>
      <c r="X3559" t="s">
        <v>11332</v>
      </c>
      <c r="Z3559" t="s">
        <v>13735</v>
      </c>
      <c r="AA3559" t="s">
        <v>15290</v>
      </c>
      <c r="AB3559" t="s">
        <v>18063</v>
      </c>
      <c r="AC3559">
        <v>4</v>
      </c>
      <c r="AD3559" t="s">
        <v>15441</v>
      </c>
      <c r="AE3559" t="s">
        <v>9144</v>
      </c>
      <c r="AF3559">
        <v>1</v>
      </c>
      <c r="AG3559">
        <v>1</v>
      </c>
      <c r="AH3559">
        <v>1</v>
      </c>
      <c r="AI3559">
        <v>122.27</v>
      </c>
      <c r="AL3559" t="s">
        <v>19614</v>
      </c>
      <c r="AM3559">
        <v>20676</v>
      </c>
      <c r="AS3559">
        <v>3.6</v>
      </c>
      <c r="AT3559" t="s">
        <v>570</v>
      </c>
      <c r="AU3559" t="s">
        <v>20660</v>
      </c>
      <c r="AV3559" t="s">
        <v>9144</v>
      </c>
    </row>
    <row r="3560" spans="1:48">
      <c r="A3560" s="1">
        <f>HYPERLINK("https://lsnyc.legalserver.org/matter/dynamic-profile/view/1867579","18-1867579")</f>
        <v>0</v>
      </c>
      <c r="B3560" t="s">
        <v>173</v>
      </c>
      <c r="C3560" t="s">
        <v>256</v>
      </c>
      <c r="D3560" t="s">
        <v>578</v>
      </c>
      <c r="F3560" t="s">
        <v>2573</v>
      </c>
      <c r="G3560" t="s">
        <v>4802</v>
      </c>
      <c r="H3560" t="s">
        <v>5706</v>
      </c>
      <c r="I3560" t="s">
        <v>8750</v>
      </c>
      <c r="J3560" t="s">
        <v>9039</v>
      </c>
      <c r="K3560">
        <v>11432</v>
      </c>
      <c r="L3560" t="s">
        <v>9094</v>
      </c>
      <c r="M3560" t="s">
        <v>9095</v>
      </c>
      <c r="N3560" t="s">
        <v>10440</v>
      </c>
      <c r="O3560" t="s">
        <v>11152</v>
      </c>
      <c r="P3560" t="s">
        <v>11165</v>
      </c>
      <c r="R3560" t="s">
        <v>11180</v>
      </c>
      <c r="S3560" t="s">
        <v>9096</v>
      </c>
      <c r="T3560" t="s">
        <v>11183</v>
      </c>
      <c r="V3560" t="s">
        <v>578</v>
      </c>
      <c r="W3560">
        <v>1226.89</v>
      </c>
      <c r="X3560" t="s">
        <v>11331</v>
      </c>
      <c r="Y3560" t="s">
        <v>11340</v>
      </c>
      <c r="Z3560" t="s">
        <v>11609</v>
      </c>
      <c r="AB3560" t="s">
        <v>18064</v>
      </c>
      <c r="AC3560">
        <v>185</v>
      </c>
      <c r="AD3560" t="s">
        <v>19566</v>
      </c>
      <c r="AE3560" t="s">
        <v>9144</v>
      </c>
      <c r="AF3560">
        <v>5</v>
      </c>
      <c r="AG3560">
        <v>2</v>
      </c>
      <c r="AH3560">
        <v>3</v>
      </c>
      <c r="AI3560">
        <v>122.37</v>
      </c>
      <c r="AJ3560" t="s">
        <v>19592</v>
      </c>
      <c r="AL3560" t="s">
        <v>19616</v>
      </c>
      <c r="AM3560">
        <v>36000</v>
      </c>
      <c r="AS3560">
        <v>134.4</v>
      </c>
      <c r="AT3560" t="s">
        <v>636</v>
      </c>
      <c r="AU3560" t="s">
        <v>20620</v>
      </c>
    </row>
    <row r="3561" spans="1:48">
      <c r="A3561" s="1">
        <f>HYPERLINK("https://lsnyc.legalserver.org/matter/dynamic-profile/view/1867563","18-1867563")</f>
        <v>0</v>
      </c>
      <c r="B3561" t="s">
        <v>173</v>
      </c>
      <c r="C3561" t="s">
        <v>256</v>
      </c>
      <c r="D3561" t="s">
        <v>578</v>
      </c>
      <c r="F3561" t="s">
        <v>2573</v>
      </c>
      <c r="G3561" t="s">
        <v>4802</v>
      </c>
      <c r="H3561" t="s">
        <v>5706</v>
      </c>
      <c r="I3561" t="s">
        <v>8750</v>
      </c>
      <c r="J3561" t="s">
        <v>9039</v>
      </c>
      <c r="K3561">
        <v>11432</v>
      </c>
      <c r="L3561" t="s">
        <v>9094</v>
      </c>
      <c r="M3561" t="s">
        <v>9095</v>
      </c>
      <c r="N3561" t="s">
        <v>10441</v>
      </c>
      <c r="O3561" t="s">
        <v>11141</v>
      </c>
      <c r="P3561" t="s">
        <v>11165</v>
      </c>
      <c r="R3561" t="s">
        <v>11180</v>
      </c>
      <c r="S3561" t="s">
        <v>9096</v>
      </c>
      <c r="T3561" t="s">
        <v>11183</v>
      </c>
      <c r="V3561" t="s">
        <v>578</v>
      </c>
      <c r="W3561">
        <v>1226.89</v>
      </c>
      <c r="X3561" t="s">
        <v>11331</v>
      </c>
      <c r="Y3561" t="s">
        <v>11340</v>
      </c>
      <c r="Z3561" t="s">
        <v>11609</v>
      </c>
      <c r="AB3561" t="s">
        <v>18064</v>
      </c>
      <c r="AC3561">
        <v>185</v>
      </c>
      <c r="AD3561" t="s">
        <v>19566</v>
      </c>
      <c r="AE3561" t="s">
        <v>9144</v>
      </c>
      <c r="AF3561">
        <v>5</v>
      </c>
      <c r="AG3561">
        <v>2</v>
      </c>
      <c r="AH3561">
        <v>3</v>
      </c>
      <c r="AI3561">
        <v>122.37</v>
      </c>
      <c r="AJ3561" t="s">
        <v>19592</v>
      </c>
      <c r="AL3561" t="s">
        <v>19616</v>
      </c>
      <c r="AM3561">
        <v>36000</v>
      </c>
      <c r="AS3561">
        <v>7.75</v>
      </c>
      <c r="AT3561" t="s">
        <v>739</v>
      </c>
      <c r="AU3561" t="s">
        <v>20620</v>
      </c>
    </row>
    <row r="3562" spans="1:48">
      <c r="A3562" s="1">
        <f>HYPERLINK("https://lsnyc.legalserver.org/matter/dynamic-profile/view/1863233","18-1863233")</f>
        <v>0</v>
      </c>
      <c r="B3562" t="s">
        <v>113</v>
      </c>
      <c r="C3562" t="s">
        <v>256</v>
      </c>
      <c r="D3562" t="s">
        <v>693</v>
      </c>
      <c r="F3562" t="s">
        <v>2174</v>
      </c>
      <c r="G3562" t="s">
        <v>4629</v>
      </c>
      <c r="H3562" t="s">
        <v>7369</v>
      </c>
      <c r="I3562" t="s">
        <v>8153</v>
      </c>
      <c r="J3562" t="s">
        <v>9065</v>
      </c>
      <c r="K3562">
        <v>10458</v>
      </c>
      <c r="L3562" t="s">
        <v>9094</v>
      </c>
      <c r="M3562" t="s">
        <v>9095</v>
      </c>
      <c r="N3562" t="s">
        <v>10442</v>
      </c>
      <c r="O3562" t="s">
        <v>11130</v>
      </c>
      <c r="P3562" t="s">
        <v>11165</v>
      </c>
      <c r="R3562" t="s">
        <v>11180</v>
      </c>
      <c r="S3562" t="s">
        <v>9096</v>
      </c>
      <c r="T3562" t="s">
        <v>11183</v>
      </c>
      <c r="V3562" t="s">
        <v>745</v>
      </c>
      <c r="W3562">
        <v>1600</v>
      </c>
      <c r="X3562" t="s">
        <v>11333</v>
      </c>
      <c r="Y3562" t="s">
        <v>11346</v>
      </c>
      <c r="Z3562" t="s">
        <v>13736</v>
      </c>
      <c r="AB3562" t="s">
        <v>18065</v>
      </c>
      <c r="AC3562">
        <v>11</v>
      </c>
      <c r="AD3562" t="s">
        <v>19566</v>
      </c>
      <c r="AE3562" t="s">
        <v>9144</v>
      </c>
      <c r="AF3562">
        <v>3</v>
      </c>
      <c r="AG3562">
        <v>2</v>
      </c>
      <c r="AH3562">
        <v>3</v>
      </c>
      <c r="AI3562">
        <v>122.37</v>
      </c>
      <c r="AL3562" t="s">
        <v>19615</v>
      </c>
      <c r="AM3562">
        <v>36000</v>
      </c>
      <c r="AS3562">
        <v>110.9</v>
      </c>
      <c r="AT3562" t="s">
        <v>288</v>
      </c>
      <c r="AU3562" t="s">
        <v>113</v>
      </c>
    </row>
    <row r="3563" spans="1:48">
      <c r="A3563" s="1">
        <f>HYPERLINK("https://lsnyc.legalserver.org/matter/dynamic-profile/view/0822349","16-0822349")</f>
        <v>0</v>
      </c>
      <c r="B3563" t="s">
        <v>165</v>
      </c>
      <c r="C3563" t="s">
        <v>257</v>
      </c>
      <c r="D3563" t="s">
        <v>665</v>
      </c>
      <c r="E3563" t="s">
        <v>328</v>
      </c>
      <c r="F3563" t="s">
        <v>1221</v>
      </c>
      <c r="G3563" t="s">
        <v>4617</v>
      </c>
      <c r="H3563" t="s">
        <v>7370</v>
      </c>
      <c r="I3563" t="s">
        <v>8119</v>
      </c>
      <c r="J3563" t="s">
        <v>9059</v>
      </c>
      <c r="K3563">
        <v>11212</v>
      </c>
      <c r="L3563" t="s">
        <v>9094</v>
      </c>
      <c r="M3563" t="s">
        <v>9095</v>
      </c>
      <c r="N3563" t="s">
        <v>10443</v>
      </c>
      <c r="O3563" t="s">
        <v>11128</v>
      </c>
      <c r="P3563" t="s">
        <v>11165</v>
      </c>
      <c r="Q3563" t="s">
        <v>11175</v>
      </c>
      <c r="R3563" t="s">
        <v>11180</v>
      </c>
      <c r="S3563" t="s">
        <v>9094</v>
      </c>
      <c r="T3563" t="s">
        <v>11183</v>
      </c>
      <c r="V3563" t="s">
        <v>11231</v>
      </c>
      <c r="W3563">
        <v>1350</v>
      </c>
      <c r="X3563" t="s">
        <v>11332</v>
      </c>
      <c r="Z3563" t="s">
        <v>13353</v>
      </c>
      <c r="AB3563" t="s">
        <v>17695</v>
      </c>
      <c r="AC3563">
        <v>4</v>
      </c>
      <c r="AD3563" t="s">
        <v>19565</v>
      </c>
      <c r="AE3563" t="s">
        <v>9144</v>
      </c>
      <c r="AF3563">
        <v>3</v>
      </c>
      <c r="AG3563">
        <v>1</v>
      </c>
      <c r="AH3563">
        <v>3</v>
      </c>
      <c r="AI3563">
        <v>122.57</v>
      </c>
      <c r="AL3563" t="s">
        <v>19614</v>
      </c>
      <c r="AM3563">
        <v>29784</v>
      </c>
      <c r="AS3563">
        <v>92</v>
      </c>
      <c r="AT3563" t="s">
        <v>328</v>
      </c>
      <c r="AU3563" t="s">
        <v>20636</v>
      </c>
    </row>
    <row r="3564" spans="1:48">
      <c r="A3564" s="1">
        <f>HYPERLINK("https://lsnyc.legalserver.org/matter/dynamic-profile/view/1907786","19-1907786")</f>
        <v>0</v>
      </c>
      <c r="B3564" t="s">
        <v>64</v>
      </c>
      <c r="C3564" t="s">
        <v>257</v>
      </c>
      <c r="D3564" t="s">
        <v>396</v>
      </c>
      <c r="E3564" t="s">
        <v>297</v>
      </c>
      <c r="F3564" t="s">
        <v>2574</v>
      </c>
      <c r="G3564" t="s">
        <v>4803</v>
      </c>
      <c r="H3564" t="s">
        <v>7371</v>
      </c>
      <c r="I3564" t="s">
        <v>8751</v>
      </c>
      <c r="J3564" t="s">
        <v>9059</v>
      </c>
      <c r="K3564">
        <v>11208</v>
      </c>
      <c r="L3564" t="s">
        <v>9096</v>
      </c>
      <c r="M3564" t="s">
        <v>9095</v>
      </c>
      <c r="N3564" t="s">
        <v>9171</v>
      </c>
      <c r="O3564" t="s">
        <v>9121</v>
      </c>
      <c r="P3564" t="s">
        <v>11164</v>
      </c>
      <c r="Q3564" t="s">
        <v>11172</v>
      </c>
      <c r="R3564" t="s">
        <v>11180</v>
      </c>
      <c r="S3564" t="s">
        <v>9096</v>
      </c>
      <c r="T3564" t="s">
        <v>11183</v>
      </c>
      <c r="U3564" t="s">
        <v>11201</v>
      </c>
      <c r="W3564">
        <v>1050</v>
      </c>
      <c r="X3564" t="s">
        <v>11332</v>
      </c>
      <c r="Y3564" t="s">
        <v>11352</v>
      </c>
      <c r="Z3564" t="s">
        <v>11841</v>
      </c>
      <c r="AA3564" t="s">
        <v>9144</v>
      </c>
      <c r="AB3564" t="s">
        <v>18066</v>
      </c>
      <c r="AC3564">
        <v>4</v>
      </c>
      <c r="AE3564" t="s">
        <v>9144</v>
      </c>
      <c r="AF3564">
        <v>14</v>
      </c>
      <c r="AG3564">
        <v>2</v>
      </c>
      <c r="AH3564">
        <v>3</v>
      </c>
      <c r="AI3564">
        <v>122.64</v>
      </c>
      <c r="AL3564" t="s">
        <v>19614</v>
      </c>
      <c r="AM3564">
        <v>37000</v>
      </c>
      <c r="AN3564" t="s">
        <v>19967</v>
      </c>
      <c r="AS3564">
        <v>0.6</v>
      </c>
      <c r="AT3564" t="s">
        <v>899</v>
      </c>
      <c r="AU3564" t="s">
        <v>20631</v>
      </c>
      <c r="AV3564" t="s">
        <v>9144</v>
      </c>
    </row>
    <row r="3565" spans="1:48">
      <c r="A3565" s="1">
        <f>HYPERLINK("https://lsnyc.legalserver.org/matter/dynamic-profile/view/1894868","19-1894868")</f>
        <v>0</v>
      </c>
      <c r="B3565" t="s">
        <v>138</v>
      </c>
      <c r="C3565" t="s">
        <v>256</v>
      </c>
      <c r="D3565" t="s">
        <v>512</v>
      </c>
      <c r="F3565" t="s">
        <v>1421</v>
      </c>
      <c r="G3565" t="s">
        <v>4411</v>
      </c>
      <c r="H3565" t="s">
        <v>6093</v>
      </c>
      <c r="I3565">
        <v>51</v>
      </c>
      <c r="J3565" t="s">
        <v>9067</v>
      </c>
      <c r="K3565">
        <v>10034</v>
      </c>
      <c r="L3565" t="s">
        <v>9094</v>
      </c>
      <c r="M3565" t="s">
        <v>9094</v>
      </c>
      <c r="N3565" t="s">
        <v>9999</v>
      </c>
      <c r="O3565" t="s">
        <v>11130</v>
      </c>
      <c r="P3565" t="s">
        <v>11165</v>
      </c>
      <c r="R3565" t="s">
        <v>11180</v>
      </c>
      <c r="S3565" t="s">
        <v>9094</v>
      </c>
      <c r="T3565" t="s">
        <v>11183</v>
      </c>
      <c r="V3565" t="s">
        <v>512</v>
      </c>
      <c r="W3565">
        <v>1023</v>
      </c>
      <c r="X3565" t="s">
        <v>11335</v>
      </c>
      <c r="Y3565" t="s">
        <v>11338</v>
      </c>
      <c r="Z3565" t="s">
        <v>13737</v>
      </c>
      <c r="AB3565" t="s">
        <v>18067</v>
      </c>
      <c r="AC3565">
        <v>25</v>
      </c>
      <c r="AD3565" t="s">
        <v>19566</v>
      </c>
      <c r="AE3565" t="s">
        <v>9144</v>
      </c>
      <c r="AF3565">
        <v>38</v>
      </c>
      <c r="AG3565">
        <v>4</v>
      </c>
      <c r="AH3565">
        <v>1</v>
      </c>
      <c r="AI3565">
        <v>122.64</v>
      </c>
      <c r="AM3565">
        <v>37000</v>
      </c>
      <c r="AS3565">
        <v>2</v>
      </c>
      <c r="AT3565" t="s">
        <v>1135</v>
      </c>
      <c r="AU3565" t="s">
        <v>20706</v>
      </c>
      <c r="AV3565" t="s">
        <v>20733</v>
      </c>
    </row>
    <row r="3566" spans="1:48">
      <c r="A3566" s="1">
        <f>HYPERLINK("https://lsnyc.legalserver.org/matter/dynamic-profile/view/1863490","18-1863490")</f>
        <v>0</v>
      </c>
      <c r="B3566" t="s">
        <v>86</v>
      </c>
      <c r="C3566" t="s">
        <v>256</v>
      </c>
      <c r="D3566" t="s">
        <v>356</v>
      </c>
      <c r="F3566" t="s">
        <v>1249</v>
      </c>
      <c r="G3566" t="s">
        <v>4804</v>
      </c>
      <c r="H3566" t="s">
        <v>5778</v>
      </c>
      <c r="I3566" t="s">
        <v>8752</v>
      </c>
      <c r="J3566" t="s">
        <v>9059</v>
      </c>
      <c r="K3566">
        <v>11226</v>
      </c>
      <c r="L3566" t="s">
        <v>9094</v>
      </c>
      <c r="M3566" t="s">
        <v>9094</v>
      </c>
      <c r="O3566" t="s">
        <v>11136</v>
      </c>
      <c r="P3566" t="s">
        <v>11166</v>
      </c>
      <c r="R3566" t="s">
        <v>11180</v>
      </c>
      <c r="S3566" t="s">
        <v>9094</v>
      </c>
      <c r="T3566" t="s">
        <v>11183</v>
      </c>
      <c r="V3566" t="s">
        <v>723</v>
      </c>
      <c r="W3566">
        <v>0</v>
      </c>
      <c r="X3566" t="s">
        <v>11332</v>
      </c>
      <c r="Y3566" t="s">
        <v>11340</v>
      </c>
      <c r="Z3566" t="s">
        <v>12583</v>
      </c>
      <c r="AC3566">
        <v>65</v>
      </c>
      <c r="AF3566">
        <v>31</v>
      </c>
      <c r="AG3566">
        <v>3</v>
      </c>
      <c r="AH3566">
        <v>2</v>
      </c>
      <c r="AI3566">
        <v>122.81</v>
      </c>
      <c r="AL3566" t="s">
        <v>19614</v>
      </c>
      <c r="AM3566">
        <v>36132</v>
      </c>
      <c r="AN3566" t="s">
        <v>19968</v>
      </c>
      <c r="AS3566">
        <v>0.7</v>
      </c>
      <c r="AT3566" t="s">
        <v>634</v>
      </c>
      <c r="AU3566" t="s">
        <v>20630</v>
      </c>
    </row>
    <row r="3567" spans="1:48">
      <c r="A3567" s="1">
        <f>HYPERLINK("https://lsnyc.legalserver.org/matter/dynamic-profile/view/1908678","19-1908678")</f>
        <v>0</v>
      </c>
      <c r="B3567" t="s">
        <v>132</v>
      </c>
      <c r="C3567" t="s">
        <v>257</v>
      </c>
      <c r="D3567" t="s">
        <v>326</v>
      </c>
      <c r="E3567" t="s">
        <v>377</v>
      </c>
      <c r="F3567" t="s">
        <v>1875</v>
      </c>
      <c r="G3567" t="s">
        <v>4805</v>
      </c>
      <c r="H3567" t="s">
        <v>7372</v>
      </c>
      <c r="I3567" t="s">
        <v>8212</v>
      </c>
      <c r="J3567" t="s">
        <v>9067</v>
      </c>
      <c r="K3567">
        <v>10040</v>
      </c>
      <c r="L3567" t="s">
        <v>9094</v>
      </c>
      <c r="M3567" t="s">
        <v>9095</v>
      </c>
      <c r="O3567" t="s">
        <v>11128</v>
      </c>
      <c r="P3567" t="s">
        <v>11165</v>
      </c>
      <c r="Q3567" t="s">
        <v>11179</v>
      </c>
      <c r="R3567" t="s">
        <v>11180</v>
      </c>
      <c r="S3567" t="s">
        <v>9096</v>
      </c>
      <c r="T3567" t="s">
        <v>11183</v>
      </c>
      <c r="V3567" t="s">
        <v>326</v>
      </c>
      <c r="W3567">
        <v>294.4</v>
      </c>
      <c r="X3567" t="s">
        <v>11335</v>
      </c>
      <c r="Y3567" t="s">
        <v>11338</v>
      </c>
      <c r="Z3567" t="s">
        <v>13738</v>
      </c>
      <c r="AB3567" t="s">
        <v>18068</v>
      </c>
      <c r="AC3567">
        <v>22</v>
      </c>
      <c r="AD3567" t="s">
        <v>19566</v>
      </c>
      <c r="AE3567" t="s">
        <v>11157</v>
      </c>
      <c r="AF3567">
        <v>20</v>
      </c>
      <c r="AG3567">
        <v>1</v>
      </c>
      <c r="AH3567">
        <v>0</v>
      </c>
      <c r="AI3567">
        <v>122.86</v>
      </c>
      <c r="AL3567" t="s">
        <v>19614</v>
      </c>
      <c r="AM3567">
        <v>15345.6</v>
      </c>
      <c r="AS3567">
        <v>13.3</v>
      </c>
      <c r="AT3567" t="s">
        <v>294</v>
      </c>
      <c r="AU3567" t="s">
        <v>130</v>
      </c>
      <c r="AV3567" t="s">
        <v>20733</v>
      </c>
    </row>
    <row r="3568" spans="1:48">
      <c r="A3568" s="1">
        <f>HYPERLINK("https://lsnyc.legalserver.org/matter/dynamic-profile/view/1914876","19-1914876")</f>
        <v>0</v>
      </c>
      <c r="B3568" t="s">
        <v>138</v>
      </c>
      <c r="C3568" t="s">
        <v>256</v>
      </c>
      <c r="D3568" t="s">
        <v>331</v>
      </c>
      <c r="F3568" t="s">
        <v>2575</v>
      </c>
      <c r="G3568" t="s">
        <v>4806</v>
      </c>
      <c r="H3568" t="s">
        <v>7373</v>
      </c>
      <c r="I3568" t="s">
        <v>8149</v>
      </c>
      <c r="J3568" t="s">
        <v>9067</v>
      </c>
      <c r="K3568">
        <v>10040</v>
      </c>
      <c r="L3568" t="s">
        <v>9094</v>
      </c>
      <c r="M3568" t="s">
        <v>9095</v>
      </c>
      <c r="P3568" t="s">
        <v>11167</v>
      </c>
      <c r="R3568" t="s">
        <v>11180</v>
      </c>
      <c r="S3568" t="s">
        <v>9096</v>
      </c>
      <c r="T3568" t="s">
        <v>11183</v>
      </c>
      <c r="V3568" t="s">
        <v>331</v>
      </c>
      <c r="W3568">
        <v>1754.46</v>
      </c>
      <c r="X3568" t="s">
        <v>11335</v>
      </c>
      <c r="Y3568" t="s">
        <v>11338</v>
      </c>
      <c r="Z3568" t="s">
        <v>13739</v>
      </c>
      <c r="AB3568" t="s">
        <v>18069</v>
      </c>
      <c r="AC3568">
        <v>48</v>
      </c>
      <c r="AD3568" t="s">
        <v>19566</v>
      </c>
      <c r="AE3568" t="s">
        <v>9144</v>
      </c>
      <c r="AF3568">
        <v>15</v>
      </c>
      <c r="AG3568">
        <v>2</v>
      </c>
      <c r="AH3568">
        <v>1</v>
      </c>
      <c r="AI3568">
        <v>122.87</v>
      </c>
      <c r="AL3568" t="s">
        <v>19614</v>
      </c>
      <c r="AM3568">
        <v>26208</v>
      </c>
      <c r="AS3568">
        <v>2</v>
      </c>
      <c r="AT3568" t="s">
        <v>476</v>
      </c>
      <c r="AU3568" t="s">
        <v>130</v>
      </c>
      <c r="AV3568" t="s">
        <v>20733</v>
      </c>
    </row>
    <row r="3569" spans="1:48">
      <c r="A3569" s="1">
        <f>HYPERLINK("https://lsnyc.legalserver.org/matter/dynamic-profile/view/1901547","19-1901547")</f>
        <v>0</v>
      </c>
      <c r="B3569" t="s">
        <v>69</v>
      </c>
      <c r="C3569" t="s">
        <v>257</v>
      </c>
      <c r="D3569" t="s">
        <v>559</v>
      </c>
      <c r="E3569" t="s">
        <v>312</v>
      </c>
      <c r="F3569" t="s">
        <v>2576</v>
      </c>
      <c r="G3569" t="s">
        <v>4590</v>
      </c>
      <c r="H3569" t="s">
        <v>7374</v>
      </c>
      <c r="I3569" t="s">
        <v>8132</v>
      </c>
      <c r="J3569" t="s">
        <v>9059</v>
      </c>
      <c r="K3569">
        <v>11233</v>
      </c>
      <c r="L3569" t="s">
        <v>9094</v>
      </c>
      <c r="M3569" t="s">
        <v>9095</v>
      </c>
      <c r="O3569" t="s">
        <v>9121</v>
      </c>
      <c r="P3569" t="s">
        <v>11164</v>
      </c>
      <c r="Q3569" t="s">
        <v>11172</v>
      </c>
      <c r="R3569" t="s">
        <v>11180</v>
      </c>
      <c r="S3569" t="s">
        <v>9096</v>
      </c>
      <c r="T3569" t="s">
        <v>11183</v>
      </c>
      <c r="U3569" t="s">
        <v>11201</v>
      </c>
      <c r="V3569" t="s">
        <v>312</v>
      </c>
      <c r="W3569">
        <v>1879.2</v>
      </c>
      <c r="X3569" t="s">
        <v>11332</v>
      </c>
      <c r="Y3569" t="s">
        <v>11338</v>
      </c>
      <c r="Z3569" t="s">
        <v>13740</v>
      </c>
      <c r="AA3569" t="s">
        <v>15803</v>
      </c>
      <c r="AB3569" t="s">
        <v>18070</v>
      </c>
      <c r="AC3569">
        <v>13</v>
      </c>
      <c r="AD3569" t="s">
        <v>19566</v>
      </c>
      <c r="AE3569" t="s">
        <v>19581</v>
      </c>
      <c r="AF3569">
        <v>5</v>
      </c>
      <c r="AG3569">
        <v>3</v>
      </c>
      <c r="AH3569">
        <v>2</v>
      </c>
      <c r="AI3569">
        <v>122.98</v>
      </c>
      <c r="AL3569" t="s">
        <v>19614</v>
      </c>
      <c r="AM3569">
        <v>37104</v>
      </c>
      <c r="AS3569">
        <v>1</v>
      </c>
      <c r="AT3569" t="s">
        <v>312</v>
      </c>
      <c r="AU3569" t="s">
        <v>95</v>
      </c>
      <c r="AV3569" t="s">
        <v>20734</v>
      </c>
    </row>
    <row r="3570" spans="1:48">
      <c r="A3570" s="1">
        <f>HYPERLINK("https://lsnyc.legalserver.org/matter/dynamic-profile/view/1905685","19-1905685")</f>
        <v>0</v>
      </c>
      <c r="B3570" t="s">
        <v>82</v>
      </c>
      <c r="C3570" t="s">
        <v>256</v>
      </c>
      <c r="D3570" t="s">
        <v>328</v>
      </c>
      <c r="F3570" t="s">
        <v>1969</v>
      </c>
      <c r="G3570" t="s">
        <v>2154</v>
      </c>
      <c r="H3570" t="s">
        <v>6393</v>
      </c>
      <c r="I3570" t="s">
        <v>8266</v>
      </c>
      <c r="J3570" t="s">
        <v>9059</v>
      </c>
      <c r="K3570">
        <v>11226</v>
      </c>
      <c r="L3570" t="s">
        <v>9094</v>
      </c>
      <c r="M3570" t="s">
        <v>9095</v>
      </c>
      <c r="O3570" t="s">
        <v>11134</v>
      </c>
      <c r="P3570" t="s">
        <v>11168</v>
      </c>
      <c r="R3570" t="s">
        <v>11180</v>
      </c>
      <c r="S3570" t="s">
        <v>9094</v>
      </c>
      <c r="T3570" t="s">
        <v>11183</v>
      </c>
      <c r="V3570" t="s">
        <v>328</v>
      </c>
      <c r="W3570">
        <v>0</v>
      </c>
      <c r="X3570" t="s">
        <v>11332</v>
      </c>
      <c r="Z3570" t="s">
        <v>13741</v>
      </c>
      <c r="AB3570" t="s">
        <v>18071</v>
      </c>
      <c r="AC3570">
        <v>36</v>
      </c>
      <c r="AD3570" t="s">
        <v>19566</v>
      </c>
      <c r="AF3570">
        <v>0</v>
      </c>
      <c r="AG3570">
        <v>2</v>
      </c>
      <c r="AH3570">
        <v>0</v>
      </c>
      <c r="AI3570">
        <v>123</v>
      </c>
      <c r="AL3570" t="s">
        <v>19620</v>
      </c>
      <c r="AM3570">
        <v>20800</v>
      </c>
      <c r="AS3570">
        <v>0.2</v>
      </c>
      <c r="AT3570" t="s">
        <v>328</v>
      </c>
      <c r="AU3570" t="s">
        <v>67</v>
      </c>
    </row>
    <row r="3571" spans="1:48">
      <c r="A3571" s="1">
        <f>HYPERLINK("https://lsnyc.legalserver.org/matter/dynamic-profile/view/1900152","19-1900152")</f>
        <v>0</v>
      </c>
      <c r="B3571" t="s">
        <v>122</v>
      </c>
      <c r="C3571" t="s">
        <v>256</v>
      </c>
      <c r="D3571" t="s">
        <v>854</v>
      </c>
      <c r="F3571" t="s">
        <v>1186</v>
      </c>
      <c r="G3571" t="s">
        <v>4655</v>
      </c>
      <c r="H3571" t="s">
        <v>7192</v>
      </c>
      <c r="I3571" t="s">
        <v>8320</v>
      </c>
      <c r="J3571" t="s">
        <v>9066</v>
      </c>
      <c r="K3571">
        <v>10304</v>
      </c>
      <c r="L3571" t="s">
        <v>9094</v>
      </c>
      <c r="M3571" t="s">
        <v>9095</v>
      </c>
      <c r="N3571" t="s">
        <v>10444</v>
      </c>
      <c r="O3571" t="s">
        <v>11128</v>
      </c>
      <c r="P3571" t="s">
        <v>11165</v>
      </c>
      <c r="R3571" t="s">
        <v>11180</v>
      </c>
      <c r="S3571" t="s">
        <v>9096</v>
      </c>
      <c r="T3571" t="s">
        <v>11183</v>
      </c>
      <c r="U3571" t="s">
        <v>11201</v>
      </c>
      <c r="V3571" t="s">
        <v>854</v>
      </c>
      <c r="W3571">
        <v>2000</v>
      </c>
      <c r="X3571" t="s">
        <v>11334</v>
      </c>
      <c r="Y3571" t="s">
        <v>11341</v>
      </c>
      <c r="Z3571" t="s">
        <v>13420</v>
      </c>
      <c r="AB3571" t="s">
        <v>17757</v>
      </c>
      <c r="AC3571">
        <v>5</v>
      </c>
      <c r="AD3571" t="s">
        <v>19565</v>
      </c>
      <c r="AE3571" t="s">
        <v>9144</v>
      </c>
      <c r="AF3571">
        <v>-1</v>
      </c>
      <c r="AG3571">
        <v>2</v>
      </c>
      <c r="AH3571">
        <v>0</v>
      </c>
      <c r="AI3571">
        <v>123</v>
      </c>
      <c r="AL3571" t="s">
        <v>19614</v>
      </c>
      <c r="AM3571">
        <v>20800</v>
      </c>
      <c r="AS3571">
        <v>15.2</v>
      </c>
      <c r="AT3571" t="s">
        <v>521</v>
      </c>
      <c r="AU3571" t="s">
        <v>20653</v>
      </c>
      <c r="AV3571" t="s">
        <v>20733</v>
      </c>
    </row>
    <row r="3572" spans="1:48">
      <c r="A3572" s="1">
        <f>HYPERLINK("https://lsnyc.legalserver.org/matter/dynamic-profile/view/1859305","18-1859305")</f>
        <v>0</v>
      </c>
      <c r="B3572" t="s">
        <v>120</v>
      </c>
      <c r="C3572" t="s">
        <v>256</v>
      </c>
      <c r="D3572" t="s">
        <v>607</v>
      </c>
      <c r="F3572" t="s">
        <v>1634</v>
      </c>
      <c r="G3572" t="s">
        <v>4807</v>
      </c>
      <c r="H3572" t="s">
        <v>6356</v>
      </c>
      <c r="I3572">
        <v>411</v>
      </c>
      <c r="J3572" t="s">
        <v>9065</v>
      </c>
      <c r="K3572">
        <v>10453</v>
      </c>
      <c r="L3572" t="s">
        <v>9094</v>
      </c>
      <c r="M3572" t="s">
        <v>9095</v>
      </c>
      <c r="O3572" t="s">
        <v>11135</v>
      </c>
      <c r="P3572" t="s">
        <v>11168</v>
      </c>
      <c r="R3572" t="s">
        <v>11180</v>
      </c>
      <c r="S3572" t="s">
        <v>9094</v>
      </c>
      <c r="T3572" t="s">
        <v>11183</v>
      </c>
      <c r="V3572" t="s">
        <v>485</v>
      </c>
      <c r="W3572">
        <v>873.4299999999999</v>
      </c>
      <c r="X3572" t="s">
        <v>11333</v>
      </c>
      <c r="Y3572" t="s">
        <v>11339</v>
      </c>
      <c r="Z3572" t="s">
        <v>13742</v>
      </c>
      <c r="AB3572" t="s">
        <v>18072</v>
      </c>
      <c r="AC3572">
        <v>146</v>
      </c>
      <c r="AD3572" t="s">
        <v>19566</v>
      </c>
      <c r="AE3572" t="s">
        <v>9144</v>
      </c>
      <c r="AF3572">
        <v>6</v>
      </c>
      <c r="AG3572">
        <v>1</v>
      </c>
      <c r="AH3572">
        <v>1</v>
      </c>
      <c r="AI3572">
        <v>123.15</v>
      </c>
      <c r="AL3572" t="s">
        <v>19614</v>
      </c>
      <c r="AM3572">
        <v>20000</v>
      </c>
      <c r="AS3572">
        <v>1.1</v>
      </c>
      <c r="AT3572" t="s">
        <v>959</v>
      </c>
      <c r="AU3572" t="s">
        <v>20647</v>
      </c>
    </row>
    <row r="3573" spans="1:48">
      <c r="A3573" s="1">
        <f>HYPERLINK("https://lsnyc.legalserver.org/matter/dynamic-profile/view/1889425","19-1889425")</f>
        <v>0</v>
      </c>
      <c r="B3573" t="s">
        <v>113</v>
      </c>
      <c r="C3573" t="s">
        <v>256</v>
      </c>
      <c r="D3573" t="s">
        <v>543</v>
      </c>
      <c r="F3573" t="s">
        <v>1693</v>
      </c>
      <c r="G3573" t="s">
        <v>3097</v>
      </c>
      <c r="H3573" t="s">
        <v>6280</v>
      </c>
      <c r="I3573">
        <v>305</v>
      </c>
      <c r="J3573" t="s">
        <v>9065</v>
      </c>
      <c r="K3573">
        <v>10452</v>
      </c>
      <c r="L3573" t="s">
        <v>9094</v>
      </c>
      <c r="M3573" t="s">
        <v>9095</v>
      </c>
      <c r="N3573" t="s">
        <v>10445</v>
      </c>
      <c r="O3573" t="s">
        <v>11128</v>
      </c>
      <c r="P3573" t="s">
        <v>11165</v>
      </c>
      <c r="R3573" t="s">
        <v>11180</v>
      </c>
      <c r="S3573" t="s">
        <v>9096</v>
      </c>
      <c r="T3573" t="s">
        <v>11183</v>
      </c>
      <c r="U3573" t="s">
        <v>11201</v>
      </c>
      <c r="V3573" t="s">
        <v>11218</v>
      </c>
      <c r="W3573">
        <v>995</v>
      </c>
      <c r="X3573" t="s">
        <v>11333</v>
      </c>
      <c r="Y3573" t="s">
        <v>11347</v>
      </c>
      <c r="Z3573" t="s">
        <v>12048</v>
      </c>
      <c r="AA3573" t="s">
        <v>15461</v>
      </c>
      <c r="AB3573" t="s">
        <v>16494</v>
      </c>
      <c r="AC3573">
        <v>163</v>
      </c>
      <c r="AD3573" t="s">
        <v>19566</v>
      </c>
      <c r="AE3573" t="s">
        <v>19580</v>
      </c>
      <c r="AF3573">
        <v>9</v>
      </c>
      <c r="AG3573">
        <v>4</v>
      </c>
      <c r="AH3573">
        <v>0</v>
      </c>
      <c r="AI3573">
        <v>123.26</v>
      </c>
      <c r="AL3573" t="s">
        <v>19615</v>
      </c>
      <c r="AM3573">
        <v>31740</v>
      </c>
      <c r="AN3573" t="s">
        <v>19969</v>
      </c>
      <c r="AS3573">
        <v>57.79</v>
      </c>
      <c r="AT3573" t="s">
        <v>1130</v>
      </c>
      <c r="AU3573" t="s">
        <v>20647</v>
      </c>
      <c r="AV3573" t="s">
        <v>20733</v>
      </c>
    </row>
    <row r="3574" spans="1:48">
      <c r="A3574" s="1">
        <f>HYPERLINK("https://lsnyc.legalserver.org/matter/dynamic-profile/view/1907269","19-1907269")</f>
        <v>0</v>
      </c>
      <c r="B3574" t="s">
        <v>49</v>
      </c>
      <c r="C3574" t="s">
        <v>256</v>
      </c>
      <c r="D3574" t="s">
        <v>415</v>
      </c>
      <c r="F3574" t="s">
        <v>1404</v>
      </c>
      <c r="G3574" t="s">
        <v>4219</v>
      </c>
      <c r="H3574" t="s">
        <v>7375</v>
      </c>
      <c r="I3574" t="s">
        <v>8141</v>
      </c>
      <c r="J3574" t="s">
        <v>9076</v>
      </c>
      <c r="K3574">
        <v>11418</v>
      </c>
      <c r="L3574" t="s">
        <v>9094</v>
      </c>
      <c r="M3574" t="s">
        <v>9095</v>
      </c>
      <c r="N3574" t="s">
        <v>10446</v>
      </c>
      <c r="O3574" t="s">
        <v>11128</v>
      </c>
      <c r="P3574" t="s">
        <v>11165</v>
      </c>
      <c r="R3574" t="s">
        <v>11180</v>
      </c>
      <c r="S3574" t="s">
        <v>9096</v>
      </c>
      <c r="T3574" t="s">
        <v>11183</v>
      </c>
      <c r="U3574" t="s">
        <v>11201</v>
      </c>
      <c r="V3574" t="s">
        <v>415</v>
      </c>
      <c r="W3574">
        <v>1400</v>
      </c>
      <c r="X3574" t="s">
        <v>11331</v>
      </c>
      <c r="Y3574" t="s">
        <v>11336</v>
      </c>
      <c r="Z3574" t="s">
        <v>13743</v>
      </c>
      <c r="AA3574" t="s">
        <v>15804</v>
      </c>
      <c r="AB3574" t="s">
        <v>18073</v>
      </c>
      <c r="AC3574">
        <v>4</v>
      </c>
      <c r="AD3574" t="s">
        <v>19565</v>
      </c>
      <c r="AE3574" t="s">
        <v>9144</v>
      </c>
      <c r="AF3574">
        <v>5</v>
      </c>
      <c r="AG3574">
        <v>1</v>
      </c>
      <c r="AH3574">
        <v>2</v>
      </c>
      <c r="AI3574">
        <v>123.3</v>
      </c>
      <c r="AL3574" t="s">
        <v>19615</v>
      </c>
      <c r="AM3574">
        <v>26300</v>
      </c>
      <c r="AO3574" t="s">
        <v>20292</v>
      </c>
      <c r="AP3574" t="s">
        <v>20309</v>
      </c>
      <c r="AQ3574" t="s">
        <v>20369</v>
      </c>
      <c r="AR3574" t="s">
        <v>20518</v>
      </c>
      <c r="AS3574">
        <v>25.7</v>
      </c>
      <c r="AT3574" t="s">
        <v>476</v>
      </c>
      <c r="AU3574" t="s">
        <v>20620</v>
      </c>
      <c r="AV3574" t="s">
        <v>20733</v>
      </c>
    </row>
    <row r="3575" spans="1:48">
      <c r="A3575" s="1">
        <f>HYPERLINK("https://lsnyc.legalserver.org/matter/dynamic-profile/view/1906107","19-1906107")</f>
        <v>0</v>
      </c>
      <c r="B3575" t="s">
        <v>101</v>
      </c>
      <c r="C3575" t="s">
        <v>256</v>
      </c>
      <c r="D3575" t="s">
        <v>330</v>
      </c>
      <c r="F3575" t="s">
        <v>1229</v>
      </c>
      <c r="G3575" t="s">
        <v>4808</v>
      </c>
      <c r="H3575" t="s">
        <v>7376</v>
      </c>
      <c r="I3575" t="s">
        <v>8169</v>
      </c>
      <c r="J3575" t="s">
        <v>9065</v>
      </c>
      <c r="K3575">
        <v>10458</v>
      </c>
      <c r="L3575" t="s">
        <v>9094</v>
      </c>
      <c r="M3575" t="s">
        <v>9095</v>
      </c>
      <c r="P3575" t="s">
        <v>11166</v>
      </c>
      <c r="R3575" t="s">
        <v>11180</v>
      </c>
      <c r="S3575" t="s">
        <v>9096</v>
      </c>
      <c r="T3575" t="s">
        <v>11183</v>
      </c>
      <c r="W3575">
        <v>1091.27</v>
      </c>
      <c r="X3575" t="s">
        <v>11333</v>
      </c>
      <c r="Y3575" t="s">
        <v>11346</v>
      </c>
      <c r="Z3575" t="s">
        <v>13744</v>
      </c>
      <c r="AC3575">
        <v>50</v>
      </c>
      <c r="AF3575">
        <v>0</v>
      </c>
      <c r="AG3575">
        <v>4</v>
      </c>
      <c r="AH3575">
        <v>0</v>
      </c>
      <c r="AI3575">
        <v>123.5</v>
      </c>
      <c r="AL3575" t="s">
        <v>19614</v>
      </c>
      <c r="AM3575">
        <v>31800</v>
      </c>
      <c r="AS3575">
        <v>0.9</v>
      </c>
      <c r="AT3575" t="s">
        <v>330</v>
      </c>
      <c r="AU3575" t="s">
        <v>101</v>
      </c>
      <c r="AV3575" t="s">
        <v>20733</v>
      </c>
    </row>
    <row r="3576" spans="1:48">
      <c r="A3576" s="1">
        <f>HYPERLINK("https://lsnyc.legalserver.org/matter/dynamic-profile/view/1877963","18-1877963")</f>
        <v>0</v>
      </c>
      <c r="B3576" t="s">
        <v>113</v>
      </c>
      <c r="C3576" t="s">
        <v>256</v>
      </c>
      <c r="D3576" t="s">
        <v>489</v>
      </c>
      <c r="F3576" t="s">
        <v>2577</v>
      </c>
      <c r="G3576" t="s">
        <v>3633</v>
      </c>
      <c r="H3576" t="s">
        <v>5892</v>
      </c>
      <c r="I3576" t="s">
        <v>8175</v>
      </c>
      <c r="J3576" t="s">
        <v>9065</v>
      </c>
      <c r="K3576">
        <v>10453</v>
      </c>
      <c r="L3576" t="s">
        <v>9094</v>
      </c>
      <c r="M3576" t="s">
        <v>9094</v>
      </c>
      <c r="O3576" t="s">
        <v>9121</v>
      </c>
      <c r="P3576" t="s">
        <v>11167</v>
      </c>
      <c r="R3576" t="s">
        <v>11180</v>
      </c>
      <c r="S3576" t="s">
        <v>9094</v>
      </c>
      <c r="T3576" t="s">
        <v>11183</v>
      </c>
      <c r="V3576" t="s">
        <v>11218</v>
      </c>
      <c r="W3576">
        <v>1600</v>
      </c>
      <c r="X3576" t="s">
        <v>11333</v>
      </c>
      <c r="Y3576" t="s">
        <v>11346</v>
      </c>
      <c r="Z3576" t="s">
        <v>13745</v>
      </c>
      <c r="AC3576">
        <v>99</v>
      </c>
      <c r="AD3576" t="s">
        <v>19566</v>
      </c>
      <c r="AE3576" t="s">
        <v>9144</v>
      </c>
      <c r="AF3576">
        <v>2</v>
      </c>
      <c r="AG3576">
        <v>3</v>
      </c>
      <c r="AH3576">
        <v>1</v>
      </c>
      <c r="AI3576">
        <v>123.51</v>
      </c>
      <c r="AL3576" t="s">
        <v>19615</v>
      </c>
      <c r="AM3576">
        <v>31000</v>
      </c>
      <c r="AS3576">
        <v>0</v>
      </c>
      <c r="AU3576" t="s">
        <v>163</v>
      </c>
    </row>
    <row r="3577" spans="1:48">
      <c r="A3577" s="1">
        <f>HYPERLINK("https://lsnyc.legalserver.org/matter/dynamic-profile/view/1887149","19-1887149")</f>
        <v>0</v>
      </c>
      <c r="B3577" t="s">
        <v>113</v>
      </c>
      <c r="C3577" t="s">
        <v>257</v>
      </c>
      <c r="D3577" t="s">
        <v>324</v>
      </c>
      <c r="E3577" t="s">
        <v>326</v>
      </c>
      <c r="F3577" t="s">
        <v>2577</v>
      </c>
      <c r="G3577" t="s">
        <v>3633</v>
      </c>
      <c r="H3577" t="s">
        <v>5892</v>
      </c>
      <c r="I3577" t="s">
        <v>8175</v>
      </c>
      <c r="J3577" t="s">
        <v>9065</v>
      </c>
      <c r="K3577">
        <v>10453</v>
      </c>
      <c r="L3577" t="s">
        <v>9094</v>
      </c>
      <c r="M3577" t="s">
        <v>9095</v>
      </c>
      <c r="O3577" t="s">
        <v>9121</v>
      </c>
      <c r="P3577" t="s">
        <v>11166</v>
      </c>
      <c r="Q3577" t="s">
        <v>11173</v>
      </c>
      <c r="R3577" t="s">
        <v>11180</v>
      </c>
      <c r="S3577" t="s">
        <v>9094</v>
      </c>
      <c r="T3577" t="s">
        <v>11183</v>
      </c>
      <c r="V3577" t="s">
        <v>441</v>
      </c>
      <c r="W3577">
        <v>1600</v>
      </c>
      <c r="X3577" t="s">
        <v>11333</v>
      </c>
      <c r="Y3577" t="s">
        <v>11346</v>
      </c>
      <c r="Z3577" t="s">
        <v>13745</v>
      </c>
      <c r="AC3577">
        <v>99</v>
      </c>
      <c r="AD3577" t="s">
        <v>19566</v>
      </c>
      <c r="AE3577" t="s">
        <v>9144</v>
      </c>
      <c r="AF3577">
        <v>2</v>
      </c>
      <c r="AG3577">
        <v>3</v>
      </c>
      <c r="AH3577">
        <v>1</v>
      </c>
      <c r="AI3577">
        <v>123.51</v>
      </c>
      <c r="AL3577" t="s">
        <v>19615</v>
      </c>
      <c r="AM3577">
        <v>31000</v>
      </c>
      <c r="AN3577" t="s">
        <v>19970</v>
      </c>
      <c r="AS3577">
        <v>0.5</v>
      </c>
      <c r="AT3577" t="s">
        <v>326</v>
      </c>
      <c r="AU3577" t="s">
        <v>20647</v>
      </c>
      <c r="AV3577" t="s">
        <v>20733</v>
      </c>
    </row>
    <row r="3578" spans="1:48">
      <c r="A3578" s="1">
        <f>HYPERLINK("https://lsnyc.legalserver.org/matter/dynamic-profile/view/1871565","18-1871565")</f>
        <v>0</v>
      </c>
      <c r="B3578" t="s">
        <v>138</v>
      </c>
      <c r="C3578" t="s">
        <v>256</v>
      </c>
      <c r="D3578" t="s">
        <v>389</v>
      </c>
      <c r="F3578" t="s">
        <v>2578</v>
      </c>
      <c r="G3578" t="s">
        <v>4809</v>
      </c>
      <c r="H3578" t="s">
        <v>5943</v>
      </c>
      <c r="I3578" t="s">
        <v>8134</v>
      </c>
      <c r="J3578" t="s">
        <v>9067</v>
      </c>
      <c r="K3578">
        <v>10034</v>
      </c>
      <c r="L3578" t="s">
        <v>9094</v>
      </c>
      <c r="M3578" t="s">
        <v>9094</v>
      </c>
      <c r="N3578" t="s">
        <v>9279</v>
      </c>
      <c r="O3578" t="s">
        <v>11130</v>
      </c>
      <c r="P3578" t="s">
        <v>11165</v>
      </c>
      <c r="R3578" t="s">
        <v>11180</v>
      </c>
      <c r="S3578" t="s">
        <v>9094</v>
      </c>
      <c r="T3578" t="s">
        <v>11183</v>
      </c>
      <c r="V3578" t="s">
        <v>389</v>
      </c>
      <c r="W3578">
        <v>693</v>
      </c>
      <c r="X3578" t="s">
        <v>11335</v>
      </c>
      <c r="Y3578" t="s">
        <v>11338</v>
      </c>
      <c r="Z3578" t="s">
        <v>13746</v>
      </c>
      <c r="AC3578">
        <v>67</v>
      </c>
      <c r="AD3578" t="s">
        <v>19566</v>
      </c>
      <c r="AE3578" t="s">
        <v>9144</v>
      </c>
      <c r="AF3578">
        <v>17</v>
      </c>
      <c r="AG3578">
        <v>1</v>
      </c>
      <c r="AH3578">
        <v>0</v>
      </c>
      <c r="AI3578">
        <v>123.56</v>
      </c>
      <c r="AL3578" t="s">
        <v>19614</v>
      </c>
      <c r="AM3578">
        <v>15000</v>
      </c>
      <c r="AS3578">
        <v>1</v>
      </c>
      <c r="AT3578" t="s">
        <v>604</v>
      </c>
      <c r="AU3578" t="s">
        <v>130</v>
      </c>
      <c r="AV3578" t="s">
        <v>20733</v>
      </c>
    </row>
    <row r="3579" spans="1:48">
      <c r="A3579" s="1">
        <f>HYPERLINK("https://lsnyc.legalserver.org/matter/dynamic-profile/view/1873835","18-1873835")</f>
        <v>0</v>
      </c>
      <c r="B3579" t="s">
        <v>132</v>
      </c>
      <c r="C3579" t="s">
        <v>257</v>
      </c>
      <c r="D3579" t="s">
        <v>555</v>
      </c>
      <c r="E3579" t="s">
        <v>331</v>
      </c>
      <c r="F3579" t="s">
        <v>2579</v>
      </c>
      <c r="G3579" t="s">
        <v>3503</v>
      </c>
      <c r="H3579" t="s">
        <v>5953</v>
      </c>
      <c r="I3579" t="s">
        <v>8753</v>
      </c>
      <c r="J3579" t="s">
        <v>9067</v>
      </c>
      <c r="K3579">
        <v>10033</v>
      </c>
      <c r="L3579" t="s">
        <v>9094</v>
      </c>
      <c r="M3579" t="s">
        <v>9094</v>
      </c>
      <c r="O3579" t="s">
        <v>11130</v>
      </c>
      <c r="P3579" t="s">
        <v>11165</v>
      </c>
      <c r="Q3579" t="s">
        <v>11178</v>
      </c>
      <c r="R3579" t="s">
        <v>11180</v>
      </c>
      <c r="S3579" t="s">
        <v>9094</v>
      </c>
      <c r="T3579" t="s">
        <v>11183</v>
      </c>
      <c r="V3579" t="s">
        <v>555</v>
      </c>
      <c r="W3579">
        <v>1454.57</v>
      </c>
      <c r="X3579" t="s">
        <v>11335</v>
      </c>
      <c r="Y3579" t="s">
        <v>11339</v>
      </c>
      <c r="Z3579" t="s">
        <v>13747</v>
      </c>
      <c r="AB3579" t="s">
        <v>18074</v>
      </c>
      <c r="AC3579">
        <v>232</v>
      </c>
      <c r="AD3579" t="s">
        <v>19566</v>
      </c>
      <c r="AE3579" t="s">
        <v>9144</v>
      </c>
      <c r="AF3579">
        <v>10</v>
      </c>
      <c r="AG3579">
        <v>1</v>
      </c>
      <c r="AH3579">
        <v>0</v>
      </c>
      <c r="AI3579">
        <v>123.56</v>
      </c>
      <c r="AL3579" t="s">
        <v>19615</v>
      </c>
      <c r="AM3579">
        <v>15000</v>
      </c>
      <c r="AS3579">
        <v>0.4</v>
      </c>
      <c r="AT3579" t="s">
        <v>521</v>
      </c>
      <c r="AU3579" t="s">
        <v>130</v>
      </c>
      <c r="AV3579" t="s">
        <v>20733</v>
      </c>
    </row>
    <row r="3580" spans="1:48">
      <c r="A3580" s="1">
        <f>HYPERLINK("https://lsnyc.legalserver.org/matter/dynamic-profile/view/1914866","19-1914866")</f>
        <v>0</v>
      </c>
      <c r="B3580" t="s">
        <v>133</v>
      </c>
      <c r="C3580" t="s">
        <v>256</v>
      </c>
      <c r="D3580" t="s">
        <v>331</v>
      </c>
      <c r="F3580" t="s">
        <v>2580</v>
      </c>
      <c r="G3580" t="s">
        <v>3405</v>
      </c>
      <c r="H3580" t="s">
        <v>6625</v>
      </c>
      <c r="I3580">
        <v>54</v>
      </c>
      <c r="J3580" t="s">
        <v>9067</v>
      </c>
      <c r="K3580">
        <v>10034</v>
      </c>
      <c r="L3580" t="s">
        <v>9094</v>
      </c>
      <c r="M3580" t="s">
        <v>9095</v>
      </c>
      <c r="O3580" t="s">
        <v>11133</v>
      </c>
      <c r="P3580" t="s">
        <v>11167</v>
      </c>
      <c r="R3580" t="s">
        <v>11180</v>
      </c>
      <c r="S3580" t="s">
        <v>9096</v>
      </c>
      <c r="T3580" t="s">
        <v>11183</v>
      </c>
      <c r="V3580" t="s">
        <v>331</v>
      </c>
      <c r="W3580">
        <v>932.5700000000001</v>
      </c>
      <c r="X3580" t="s">
        <v>11335</v>
      </c>
      <c r="Y3580" t="s">
        <v>11340</v>
      </c>
      <c r="Z3580" t="s">
        <v>13748</v>
      </c>
      <c r="AB3580" t="s">
        <v>18075</v>
      </c>
      <c r="AC3580">
        <v>25</v>
      </c>
      <c r="AD3580" t="s">
        <v>19566</v>
      </c>
      <c r="AE3580" t="s">
        <v>19587</v>
      </c>
      <c r="AF3580">
        <v>37</v>
      </c>
      <c r="AG3580">
        <v>2</v>
      </c>
      <c r="AH3580">
        <v>0</v>
      </c>
      <c r="AI3580">
        <v>123.62</v>
      </c>
      <c r="AL3580" t="s">
        <v>19615</v>
      </c>
      <c r="AM3580">
        <v>20904</v>
      </c>
      <c r="AS3580">
        <v>2.9</v>
      </c>
      <c r="AT3580" t="s">
        <v>377</v>
      </c>
      <c r="AU3580" t="s">
        <v>130</v>
      </c>
      <c r="AV3580" t="s">
        <v>20733</v>
      </c>
    </row>
    <row r="3581" spans="1:48">
      <c r="A3581" s="1">
        <f>HYPERLINK("https://lsnyc.legalserver.org/matter/dynamic-profile/view/1892836","19-1892836")</f>
        <v>0</v>
      </c>
      <c r="B3581" t="s">
        <v>137</v>
      </c>
      <c r="C3581" t="s">
        <v>256</v>
      </c>
      <c r="D3581" t="s">
        <v>523</v>
      </c>
      <c r="F3581" t="s">
        <v>2464</v>
      </c>
      <c r="G3581" t="s">
        <v>3540</v>
      </c>
      <c r="H3581" t="s">
        <v>6625</v>
      </c>
      <c r="I3581">
        <v>5</v>
      </c>
      <c r="J3581" t="s">
        <v>9067</v>
      </c>
      <c r="K3581">
        <v>10034</v>
      </c>
      <c r="L3581" t="s">
        <v>9094</v>
      </c>
      <c r="M3581" t="s">
        <v>9094</v>
      </c>
      <c r="P3581" t="s">
        <v>11164</v>
      </c>
      <c r="R3581" t="s">
        <v>11180</v>
      </c>
      <c r="S3581" t="s">
        <v>9094</v>
      </c>
      <c r="T3581" t="s">
        <v>11183</v>
      </c>
      <c r="V3581" t="s">
        <v>523</v>
      </c>
      <c r="W3581">
        <v>694.11</v>
      </c>
      <c r="X3581" t="s">
        <v>11335</v>
      </c>
      <c r="Y3581" t="s">
        <v>11340</v>
      </c>
      <c r="Z3581" t="s">
        <v>13526</v>
      </c>
      <c r="AB3581" t="s">
        <v>17863</v>
      </c>
      <c r="AC3581">
        <v>25</v>
      </c>
      <c r="AD3581" t="s">
        <v>19566</v>
      </c>
      <c r="AE3581" t="s">
        <v>19587</v>
      </c>
      <c r="AF3581">
        <v>47</v>
      </c>
      <c r="AG3581">
        <v>2</v>
      </c>
      <c r="AH3581">
        <v>0</v>
      </c>
      <c r="AI3581">
        <v>123.62</v>
      </c>
      <c r="AL3581" t="s">
        <v>19614</v>
      </c>
      <c r="AM3581">
        <v>20904</v>
      </c>
      <c r="AS3581">
        <v>6.2</v>
      </c>
      <c r="AT3581" t="s">
        <v>777</v>
      </c>
      <c r="AU3581" t="s">
        <v>130</v>
      </c>
      <c r="AV3581" t="s">
        <v>20733</v>
      </c>
    </row>
    <row r="3582" spans="1:48">
      <c r="A3582" s="1">
        <f>HYPERLINK("https://lsnyc.legalserver.org/matter/dynamic-profile/view/1872137","18-1872137")</f>
        <v>0</v>
      </c>
      <c r="B3582" t="s">
        <v>111</v>
      </c>
      <c r="C3582" t="s">
        <v>256</v>
      </c>
      <c r="D3582" t="s">
        <v>675</v>
      </c>
      <c r="F3582" t="s">
        <v>1989</v>
      </c>
      <c r="G3582" t="s">
        <v>4177</v>
      </c>
      <c r="H3582" t="s">
        <v>6104</v>
      </c>
      <c r="I3582" t="s">
        <v>8183</v>
      </c>
      <c r="J3582" t="s">
        <v>9065</v>
      </c>
      <c r="K3582">
        <v>10452</v>
      </c>
      <c r="L3582" t="s">
        <v>9094</v>
      </c>
      <c r="M3582" t="s">
        <v>9095</v>
      </c>
      <c r="O3582" t="s">
        <v>11135</v>
      </c>
      <c r="P3582" t="s">
        <v>11168</v>
      </c>
      <c r="R3582" t="s">
        <v>11180</v>
      </c>
      <c r="S3582" t="s">
        <v>9094</v>
      </c>
      <c r="T3582" t="s">
        <v>11183</v>
      </c>
      <c r="V3582" t="s">
        <v>675</v>
      </c>
      <c r="W3582">
        <v>0</v>
      </c>
      <c r="X3582" t="s">
        <v>11333</v>
      </c>
      <c r="Y3582" t="s">
        <v>11340</v>
      </c>
      <c r="Z3582" t="s">
        <v>12575</v>
      </c>
      <c r="AB3582" t="s">
        <v>16968</v>
      </c>
      <c r="AC3582">
        <v>0</v>
      </c>
      <c r="AD3582" t="s">
        <v>19566</v>
      </c>
      <c r="AF3582">
        <v>4</v>
      </c>
      <c r="AG3582">
        <v>2</v>
      </c>
      <c r="AH3582">
        <v>2</v>
      </c>
      <c r="AI3582">
        <v>123.63</v>
      </c>
      <c r="AL3582" t="s">
        <v>19614</v>
      </c>
      <c r="AM3582">
        <v>31032</v>
      </c>
      <c r="AN3582" t="s">
        <v>19971</v>
      </c>
      <c r="AS3582">
        <v>0</v>
      </c>
      <c r="AU3582" t="s">
        <v>20642</v>
      </c>
    </row>
    <row r="3583" spans="1:48">
      <c r="A3583" s="1">
        <f>HYPERLINK("https://lsnyc.legalserver.org/matter/dynamic-profile/view/1864111","18-1864111")</f>
        <v>0</v>
      </c>
      <c r="B3583" t="s">
        <v>148</v>
      </c>
      <c r="C3583" t="s">
        <v>256</v>
      </c>
      <c r="D3583" t="s">
        <v>505</v>
      </c>
      <c r="F3583" t="s">
        <v>2581</v>
      </c>
      <c r="G3583" t="s">
        <v>4810</v>
      </c>
      <c r="H3583" t="s">
        <v>5961</v>
      </c>
      <c r="I3583">
        <v>310</v>
      </c>
      <c r="J3583" t="s">
        <v>9067</v>
      </c>
      <c r="K3583">
        <v>10029</v>
      </c>
      <c r="L3583" t="s">
        <v>9094</v>
      </c>
      <c r="M3583" t="s">
        <v>9094</v>
      </c>
      <c r="N3583" t="s">
        <v>9287</v>
      </c>
      <c r="O3583" t="s">
        <v>11130</v>
      </c>
      <c r="P3583" t="s">
        <v>11165</v>
      </c>
      <c r="R3583" t="s">
        <v>11180</v>
      </c>
      <c r="S3583" t="s">
        <v>9094</v>
      </c>
      <c r="T3583" t="s">
        <v>11183</v>
      </c>
      <c r="U3583" t="s">
        <v>11201</v>
      </c>
      <c r="V3583" t="s">
        <v>505</v>
      </c>
      <c r="W3583">
        <v>0</v>
      </c>
      <c r="X3583" t="s">
        <v>11335</v>
      </c>
      <c r="Y3583" t="s">
        <v>11339</v>
      </c>
      <c r="Z3583" t="s">
        <v>13749</v>
      </c>
      <c r="AC3583">
        <v>108</v>
      </c>
      <c r="AD3583" t="s">
        <v>19567</v>
      </c>
      <c r="AE3583" t="s">
        <v>19580</v>
      </c>
      <c r="AF3583">
        <v>20</v>
      </c>
      <c r="AG3583">
        <v>1</v>
      </c>
      <c r="AH3583">
        <v>1</v>
      </c>
      <c r="AI3583">
        <v>123.68</v>
      </c>
      <c r="AL3583" t="s">
        <v>19615</v>
      </c>
      <c r="AM3583">
        <v>20358</v>
      </c>
      <c r="AS3583">
        <v>0.25</v>
      </c>
      <c r="AT3583" t="s">
        <v>289</v>
      </c>
      <c r="AU3583" t="s">
        <v>20657</v>
      </c>
    </row>
    <row r="3584" spans="1:48">
      <c r="A3584" s="1">
        <f>HYPERLINK("https://lsnyc.legalserver.org/matter/dynamic-profile/view/0792787","15-0792787")</f>
        <v>0</v>
      </c>
      <c r="B3584" t="s">
        <v>49</v>
      </c>
      <c r="C3584" t="s">
        <v>256</v>
      </c>
      <c r="D3584" t="s">
        <v>859</v>
      </c>
      <c r="F3584" t="s">
        <v>2582</v>
      </c>
      <c r="G3584" t="s">
        <v>3916</v>
      </c>
      <c r="H3584" t="s">
        <v>6492</v>
      </c>
      <c r="I3584" t="s">
        <v>8754</v>
      </c>
      <c r="J3584" t="s">
        <v>9055</v>
      </c>
      <c r="K3584">
        <v>11354</v>
      </c>
      <c r="L3584" t="s">
        <v>9094</v>
      </c>
      <c r="M3584" t="s">
        <v>9095</v>
      </c>
      <c r="N3584" t="s">
        <v>9717</v>
      </c>
      <c r="O3584" t="s">
        <v>11135</v>
      </c>
      <c r="P3584" t="s">
        <v>11168</v>
      </c>
      <c r="R3584" t="s">
        <v>11180</v>
      </c>
      <c r="T3584" t="s">
        <v>11183</v>
      </c>
      <c r="V3584" t="s">
        <v>303</v>
      </c>
      <c r="W3584">
        <v>1136</v>
      </c>
      <c r="X3584" t="s">
        <v>11331</v>
      </c>
      <c r="Y3584" t="s">
        <v>11342</v>
      </c>
      <c r="Z3584" t="s">
        <v>13750</v>
      </c>
      <c r="AB3584" t="s">
        <v>18076</v>
      </c>
      <c r="AC3584">
        <v>175</v>
      </c>
      <c r="AD3584" t="s">
        <v>19566</v>
      </c>
      <c r="AE3584" t="s">
        <v>9144</v>
      </c>
      <c r="AF3584">
        <v>25</v>
      </c>
      <c r="AG3584">
        <v>3</v>
      </c>
      <c r="AH3584">
        <v>1</v>
      </c>
      <c r="AI3584">
        <v>123.71</v>
      </c>
      <c r="AL3584" t="s">
        <v>19615</v>
      </c>
      <c r="AM3584">
        <v>30000</v>
      </c>
      <c r="AS3584">
        <v>3.05</v>
      </c>
      <c r="AT3584" t="s">
        <v>510</v>
      </c>
      <c r="AU3584" t="s">
        <v>242</v>
      </c>
    </row>
    <row r="3585" spans="1:48">
      <c r="A3585" s="1">
        <f>HYPERLINK("https://lsnyc.legalserver.org/matter/dynamic-profile/view/0792298","15-0792298")</f>
        <v>0</v>
      </c>
      <c r="B3585" t="s">
        <v>141</v>
      </c>
      <c r="C3585" t="s">
        <v>257</v>
      </c>
      <c r="D3585" t="s">
        <v>580</v>
      </c>
      <c r="E3585" t="s">
        <v>457</v>
      </c>
      <c r="F3585" t="s">
        <v>1842</v>
      </c>
      <c r="G3585" t="s">
        <v>3536</v>
      </c>
      <c r="H3585" t="s">
        <v>7061</v>
      </c>
      <c r="I3585" t="s">
        <v>8132</v>
      </c>
      <c r="J3585" t="s">
        <v>9067</v>
      </c>
      <c r="K3585">
        <v>10035</v>
      </c>
      <c r="L3585" t="s">
        <v>9094</v>
      </c>
      <c r="M3585" t="s">
        <v>9095</v>
      </c>
      <c r="N3585" t="s">
        <v>10447</v>
      </c>
      <c r="O3585" t="s">
        <v>11157</v>
      </c>
      <c r="P3585" t="s">
        <v>11168</v>
      </c>
      <c r="Q3585" t="s">
        <v>11177</v>
      </c>
      <c r="R3585" t="s">
        <v>11180</v>
      </c>
      <c r="S3585" t="s">
        <v>9096</v>
      </c>
      <c r="T3585" t="s">
        <v>11183</v>
      </c>
      <c r="V3585" t="s">
        <v>859</v>
      </c>
      <c r="W3585">
        <v>1575</v>
      </c>
      <c r="X3585" t="s">
        <v>11335</v>
      </c>
      <c r="Y3585" t="s">
        <v>11342</v>
      </c>
      <c r="Z3585" t="s">
        <v>13751</v>
      </c>
      <c r="AB3585" t="s">
        <v>18077</v>
      </c>
      <c r="AC3585">
        <v>10</v>
      </c>
      <c r="AD3585" t="s">
        <v>19566</v>
      </c>
      <c r="AE3585" t="s">
        <v>9144</v>
      </c>
      <c r="AF3585">
        <v>0</v>
      </c>
      <c r="AG3585">
        <v>2</v>
      </c>
      <c r="AH3585">
        <v>2</v>
      </c>
      <c r="AI3585">
        <v>123.71</v>
      </c>
      <c r="AL3585" t="s">
        <v>19614</v>
      </c>
      <c r="AM3585">
        <v>30000</v>
      </c>
      <c r="AS3585">
        <v>113.87</v>
      </c>
      <c r="AT3585" t="s">
        <v>457</v>
      </c>
      <c r="AU3585" t="s">
        <v>20657</v>
      </c>
      <c r="AV3585" t="s">
        <v>20733</v>
      </c>
    </row>
    <row r="3586" spans="1:48">
      <c r="A3586" s="1">
        <f>HYPERLINK("https://lsnyc.legalserver.org/matter/dynamic-profile/view/1900520","19-1900520")</f>
        <v>0</v>
      </c>
      <c r="B3586" t="s">
        <v>113</v>
      </c>
      <c r="C3586" t="s">
        <v>256</v>
      </c>
      <c r="D3586" t="s">
        <v>283</v>
      </c>
      <c r="F3586" t="s">
        <v>1375</v>
      </c>
      <c r="G3586" t="s">
        <v>4811</v>
      </c>
      <c r="H3586" t="s">
        <v>5864</v>
      </c>
      <c r="I3586" t="s">
        <v>8124</v>
      </c>
      <c r="J3586" t="s">
        <v>9065</v>
      </c>
      <c r="K3586">
        <v>10460</v>
      </c>
      <c r="L3586" t="s">
        <v>9094</v>
      </c>
      <c r="M3586" t="s">
        <v>9095</v>
      </c>
      <c r="N3586" t="s">
        <v>9171</v>
      </c>
      <c r="O3586" t="s">
        <v>9121</v>
      </c>
      <c r="P3586" t="s">
        <v>11166</v>
      </c>
      <c r="R3586" t="s">
        <v>11180</v>
      </c>
      <c r="S3586" t="s">
        <v>9094</v>
      </c>
      <c r="T3586" t="s">
        <v>11183</v>
      </c>
      <c r="V3586" t="s">
        <v>11218</v>
      </c>
      <c r="W3586">
        <v>377</v>
      </c>
      <c r="X3586" t="s">
        <v>11333</v>
      </c>
      <c r="Y3586" t="s">
        <v>11340</v>
      </c>
      <c r="Z3586" t="s">
        <v>13752</v>
      </c>
      <c r="AB3586" t="s">
        <v>18078</v>
      </c>
      <c r="AC3586">
        <v>248</v>
      </c>
      <c r="AD3586" t="s">
        <v>15441</v>
      </c>
      <c r="AE3586" t="s">
        <v>11157</v>
      </c>
      <c r="AF3586">
        <v>10</v>
      </c>
      <c r="AG3586">
        <v>1</v>
      </c>
      <c r="AH3586">
        <v>0</v>
      </c>
      <c r="AI3586">
        <v>123.75</v>
      </c>
      <c r="AL3586" t="s">
        <v>19614</v>
      </c>
      <c r="AM3586">
        <v>15456</v>
      </c>
      <c r="AS3586">
        <v>0</v>
      </c>
      <c r="AU3586" t="s">
        <v>20642</v>
      </c>
      <c r="AV3586" t="s">
        <v>20733</v>
      </c>
    </row>
    <row r="3587" spans="1:48">
      <c r="A3587" s="1">
        <f>HYPERLINK("https://lsnyc.legalserver.org/matter/dynamic-profile/view/1896375","19-1896375")</f>
        <v>0</v>
      </c>
      <c r="B3587" t="s">
        <v>65</v>
      </c>
      <c r="C3587" t="s">
        <v>257</v>
      </c>
      <c r="D3587" t="s">
        <v>350</v>
      </c>
      <c r="E3587" t="s">
        <v>265</v>
      </c>
      <c r="F3587" t="s">
        <v>2030</v>
      </c>
      <c r="G3587" t="s">
        <v>4812</v>
      </c>
      <c r="H3587" t="s">
        <v>5744</v>
      </c>
      <c r="I3587">
        <v>2</v>
      </c>
      <c r="J3587" t="s">
        <v>9059</v>
      </c>
      <c r="K3587">
        <v>11238</v>
      </c>
      <c r="L3587" t="s">
        <v>9094</v>
      </c>
      <c r="M3587" t="s">
        <v>9094</v>
      </c>
      <c r="N3587" t="s">
        <v>10448</v>
      </c>
      <c r="O3587" t="s">
        <v>11133</v>
      </c>
      <c r="P3587" t="s">
        <v>11166</v>
      </c>
      <c r="Q3587" t="s">
        <v>11177</v>
      </c>
      <c r="R3587" t="s">
        <v>11180</v>
      </c>
      <c r="S3587" t="s">
        <v>9096</v>
      </c>
      <c r="T3587" t="s">
        <v>11183</v>
      </c>
      <c r="V3587" t="s">
        <v>350</v>
      </c>
      <c r="W3587">
        <v>909</v>
      </c>
      <c r="X3587" t="s">
        <v>11332</v>
      </c>
      <c r="Y3587" t="s">
        <v>11340</v>
      </c>
      <c r="Z3587" t="s">
        <v>13753</v>
      </c>
      <c r="AB3587" t="s">
        <v>18079</v>
      </c>
      <c r="AC3587">
        <v>29</v>
      </c>
      <c r="AD3587" t="s">
        <v>19566</v>
      </c>
      <c r="AF3587">
        <v>10</v>
      </c>
      <c r="AG3587">
        <v>2</v>
      </c>
      <c r="AH3587">
        <v>0</v>
      </c>
      <c r="AI3587">
        <v>123.83</v>
      </c>
      <c r="AL3587" t="s">
        <v>19614</v>
      </c>
      <c r="AM3587">
        <v>20940</v>
      </c>
      <c r="AP3587" t="s">
        <v>20324</v>
      </c>
      <c r="AQ3587" t="s">
        <v>20369</v>
      </c>
      <c r="AR3587" t="s">
        <v>20519</v>
      </c>
      <c r="AS3587">
        <v>5.45</v>
      </c>
      <c r="AT3587" t="s">
        <v>265</v>
      </c>
      <c r="AU3587" t="s">
        <v>65</v>
      </c>
      <c r="AV3587" t="s">
        <v>20733</v>
      </c>
    </row>
    <row r="3588" spans="1:48">
      <c r="A3588" s="1">
        <f>HYPERLINK("https://lsnyc.legalserver.org/matter/dynamic-profile/view/1910716","19-1910716")</f>
        <v>0</v>
      </c>
      <c r="B3588" t="s">
        <v>65</v>
      </c>
      <c r="C3588" t="s">
        <v>256</v>
      </c>
      <c r="D3588" t="s">
        <v>307</v>
      </c>
      <c r="F3588" t="s">
        <v>2030</v>
      </c>
      <c r="G3588" t="s">
        <v>4812</v>
      </c>
      <c r="H3588" t="s">
        <v>5744</v>
      </c>
      <c r="I3588">
        <v>2</v>
      </c>
      <c r="J3588" t="s">
        <v>9059</v>
      </c>
      <c r="K3588">
        <v>11238</v>
      </c>
      <c r="L3588" t="s">
        <v>9094</v>
      </c>
      <c r="M3588" t="s">
        <v>9095</v>
      </c>
      <c r="P3588" t="s">
        <v>11166</v>
      </c>
      <c r="R3588" t="s">
        <v>11180</v>
      </c>
      <c r="S3588" t="s">
        <v>9094</v>
      </c>
      <c r="T3588" t="s">
        <v>11183</v>
      </c>
      <c r="V3588" t="s">
        <v>292</v>
      </c>
      <c r="W3588">
        <v>939.46</v>
      </c>
      <c r="X3588" t="s">
        <v>11332</v>
      </c>
      <c r="Z3588" t="s">
        <v>13753</v>
      </c>
      <c r="AB3588" t="s">
        <v>18079</v>
      </c>
      <c r="AC3588">
        <v>41</v>
      </c>
      <c r="AD3588" t="s">
        <v>19566</v>
      </c>
      <c r="AF3588">
        <v>0</v>
      </c>
      <c r="AG3588">
        <v>2</v>
      </c>
      <c r="AH3588">
        <v>0</v>
      </c>
      <c r="AI3588">
        <v>123.83</v>
      </c>
      <c r="AL3588" t="s">
        <v>19614</v>
      </c>
      <c r="AM3588">
        <v>20940</v>
      </c>
      <c r="AS3588">
        <v>7.9</v>
      </c>
      <c r="AT3588" t="s">
        <v>556</v>
      </c>
      <c r="AU3588" t="s">
        <v>67</v>
      </c>
      <c r="AV3588" t="s">
        <v>20733</v>
      </c>
    </row>
    <row r="3589" spans="1:48">
      <c r="A3589" s="1">
        <f>HYPERLINK("https://lsnyc.legalserver.org/matter/dynamic-profile/view/1868897","18-1868897")</f>
        <v>0</v>
      </c>
      <c r="B3589" t="s">
        <v>183</v>
      </c>
      <c r="C3589" t="s">
        <v>257</v>
      </c>
      <c r="D3589" t="s">
        <v>810</v>
      </c>
      <c r="E3589" t="s">
        <v>286</v>
      </c>
      <c r="F3589" t="s">
        <v>1365</v>
      </c>
      <c r="G3589" t="s">
        <v>4813</v>
      </c>
      <c r="H3589" t="s">
        <v>7377</v>
      </c>
      <c r="J3589" t="s">
        <v>2107</v>
      </c>
      <c r="K3589">
        <v>23669</v>
      </c>
      <c r="L3589" t="s">
        <v>9095</v>
      </c>
      <c r="M3589" t="s">
        <v>9095</v>
      </c>
      <c r="N3589" t="s">
        <v>10449</v>
      </c>
      <c r="P3589" t="s">
        <v>11165</v>
      </c>
      <c r="Q3589" t="s">
        <v>11179</v>
      </c>
      <c r="R3589" t="s">
        <v>11180</v>
      </c>
      <c r="T3589" t="s">
        <v>11183</v>
      </c>
      <c r="V3589" t="s">
        <v>919</v>
      </c>
      <c r="W3589">
        <v>0</v>
      </c>
      <c r="X3589" t="s">
        <v>11335</v>
      </c>
      <c r="Z3589" t="s">
        <v>13754</v>
      </c>
      <c r="AB3589" t="s">
        <v>18080</v>
      </c>
      <c r="AC3589">
        <v>0</v>
      </c>
      <c r="AF3589">
        <v>0</v>
      </c>
      <c r="AG3589">
        <v>1</v>
      </c>
      <c r="AH3589">
        <v>0</v>
      </c>
      <c r="AI3589">
        <v>123.86</v>
      </c>
      <c r="AL3589" t="s">
        <v>19614</v>
      </c>
      <c r="AM3589">
        <v>15036</v>
      </c>
      <c r="AR3589" t="s">
        <v>20471</v>
      </c>
      <c r="AS3589">
        <v>15.5</v>
      </c>
      <c r="AT3589" t="s">
        <v>284</v>
      </c>
      <c r="AU3589" t="s">
        <v>20658</v>
      </c>
    </row>
    <row r="3590" spans="1:48">
      <c r="A3590" s="1">
        <f>HYPERLINK("https://lsnyc.legalserver.org/matter/dynamic-profile/view/0827601","17-0827601")</f>
        <v>0</v>
      </c>
      <c r="B3590" t="s">
        <v>216</v>
      </c>
      <c r="C3590" t="s">
        <v>256</v>
      </c>
      <c r="D3590" t="s">
        <v>887</v>
      </c>
      <c r="F3590" t="s">
        <v>2583</v>
      </c>
      <c r="G3590" t="s">
        <v>4814</v>
      </c>
      <c r="H3590" t="s">
        <v>7378</v>
      </c>
      <c r="I3590" t="s">
        <v>8107</v>
      </c>
      <c r="J3590" t="s">
        <v>9067</v>
      </c>
      <c r="K3590">
        <v>10002</v>
      </c>
      <c r="L3590" t="s">
        <v>9094</v>
      </c>
      <c r="M3590" t="s">
        <v>9095</v>
      </c>
      <c r="O3590" t="s">
        <v>11130</v>
      </c>
      <c r="P3590" t="s">
        <v>11165</v>
      </c>
      <c r="R3590" t="s">
        <v>11180</v>
      </c>
      <c r="T3590" t="s">
        <v>11183</v>
      </c>
      <c r="V3590" t="s">
        <v>673</v>
      </c>
      <c r="W3590">
        <v>0</v>
      </c>
      <c r="X3590" t="s">
        <v>11335</v>
      </c>
      <c r="Z3590" t="s">
        <v>13755</v>
      </c>
      <c r="AB3590" t="s">
        <v>18081</v>
      </c>
      <c r="AC3590">
        <v>0</v>
      </c>
      <c r="AF3590">
        <v>0</v>
      </c>
      <c r="AG3590">
        <v>2</v>
      </c>
      <c r="AH3590">
        <v>0</v>
      </c>
      <c r="AI3590">
        <v>123.92</v>
      </c>
      <c r="AL3590" t="s">
        <v>19628</v>
      </c>
      <c r="AM3590">
        <v>20124</v>
      </c>
      <c r="AS3590">
        <v>169.4</v>
      </c>
      <c r="AT3590" t="s">
        <v>487</v>
      </c>
      <c r="AU3590" t="s">
        <v>20663</v>
      </c>
    </row>
    <row r="3591" spans="1:48">
      <c r="A3591" s="1">
        <f>HYPERLINK("https://lsnyc.legalserver.org/matter/dynamic-profile/view/1904681","19-1904681")</f>
        <v>0</v>
      </c>
      <c r="B3591" t="s">
        <v>54</v>
      </c>
      <c r="C3591" t="s">
        <v>256</v>
      </c>
      <c r="D3591" t="s">
        <v>497</v>
      </c>
      <c r="F3591" t="s">
        <v>1468</v>
      </c>
      <c r="G3591" t="s">
        <v>4815</v>
      </c>
      <c r="H3591" t="s">
        <v>7379</v>
      </c>
      <c r="I3591" t="s">
        <v>8154</v>
      </c>
      <c r="J3591" t="s">
        <v>9045</v>
      </c>
      <c r="K3591">
        <v>11416</v>
      </c>
      <c r="L3591" t="s">
        <v>9094</v>
      </c>
      <c r="M3591" t="s">
        <v>9095</v>
      </c>
      <c r="N3591" t="s">
        <v>10450</v>
      </c>
      <c r="O3591" t="s">
        <v>11128</v>
      </c>
      <c r="P3591" t="s">
        <v>11164</v>
      </c>
      <c r="R3591" t="s">
        <v>11180</v>
      </c>
      <c r="S3591" t="s">
        <v>9096</v>
      </c>
      <c r="T3591" t="s">
        <v>11183</v>
      </c>
      <c r="U3591" t="s">
        <v>11201</v>
      </c>
      <c r="V3591" t="s">
        <v>497</v>
      </c>
      <c r="W3591">
        <v>850</v>
      </c>
      <c r="X3591" t="s">
        <v>11331</v>
      </c>
      <c r="Y3591" t="s">
        <v>11336</v>
      </c>
      <c r="Z3591" t="s">
        <v>13756</v>
      </c>
      <c r="AA3591" t="s">
        <v>15805</v>
      </c>
      <c r="AB3591" t="s">
        <v>18082</v>
      </c>
      <c r="AC3591">
        <v>2</v>
      </c>
      <c r="AD3591" t="s">
        <v>15441</v>
      </c>
      <c r="AE3591" t="s">
        <v>9144</v>
      </c>
      <c r="AF3591">
        <v>1</v>
      </c>
      <c r="AG3591">
        <v>1</v>
      </c>
      <c r="AH3591">
        <v>0</v>
      </c>
      <c r="AI3591">
        <v>124.04</v>
      </c>
      <c r="AL3591" t="s">
        <v>19614</v>
      </c>
      <c r="AM3591">
        <v>15492</v>
      </c>
      <c r="AS3591">
        <v>0.7</v>
      </c>
      <c r="AT3591" t="s">
        <v>321</v>
      </c>
      <c r="AU3591" t="s">
        <v>20620</v>
      </c>
      <c r="AV3591" t="s">
        <v>20733</v>
      </c>
    </row>
    <row r="3592" spans="1:48">
      <c r="A3592" s="1">
        <f>HYPERLINK("https://lsnyc.legalserver.org/matter/dynamic-profile/view/1895760","19-1895760")</f>
        <v>0</v>
      </c>
      <c r="B3592" t="s">
        <v>82</v>
      </c>
      <c r="C3592" t="s">
        <v>256</v>
      </c>
      <c r="D3592" t="s">
        <v>376</v>
      </c>
      <c r="F3592" t="s">
        <v>2584</v>
      </c>
      <c r="G3592" t="s">
        <v>4816</v>
      </c>
      <c r="H3592" t="s">
        <v>7380</v>
      </c>
      <c r="I3592" t="s">
        <v>8183</v>
      </c>
      <c r="J3592" t="s">
        <v>9059</v>
      </c>
      <c r="K3592">
        <v>11226</v>
      </c>
      <c r="L3592" t="s">
        <v>9094</v>
      </c>
      <c r="M3592" t="s">
        <v>9094</v>
      </c>
      <c r="O3592" t="s">
        <v>9121</v>
      </c>
      <c r="P3592" t="s">
        <v>11166</v>
      </c>
      <c r="R3592" t="s">
        <v>11180</v>
      </c>
      <c r="S3592" t="s">
        <v>9096</v>
      </c>
      <c r="T3592" t="s">
        <v>11183</v>
      </c>
      <c r="V3592" t="s">
        <v>278</v>
      </c>
      <c r="W3592">
        <v>950</v>
      </c>
      <c r="X3592" t="s">
        <v>11332</v>
      </c>
      <c r="Y3592" t="s">
        <v>11339</v>
      </c>
      <c r="Z3592" t="s">
        <v>13757</v>
      </c>
      <c r="AB3592" t="s">
        <v>18083</v>
      </c>
      <c r="AC3592">
        <v>54</v>
      </c>
      <c r="AD3592" t="s">
        <v>19566</v>
      </c>
      <c r="AE3592" t="s">
        <v>19580</v>
      </c>
      <c r="AF3592">
        <v>19</v>
      </c>
      <c r="AG3592">
        <v>2</v>
      </c>
      <c r="AH3592">
        <v>3</v>
      </c>
      <c r="AI3592">
        <v>124.1</v>
      </c>
      <c r="AL3592" t="s">
        <v>19614</v>
      </c>
      <c r="AM3592">
        <v>37440</v>
      </c>
      <c r="AS3592">
        <v>2.9</v>
      </c>
      <c r="AT3592" t="s">
        <v>453</v>
      </c>
      <c r="AU3592" t="s">
        <v>215</v>
      </c>
      <c r="AV3592" t="s">
        <v>20733</v>
      </c>
    </row>
    <row r="3593" spans="1:48">
      <c r="A3593" s="1">
        <f>HYPERLINK("https://lsnyc.legalserver.org/matter/dynamic-profile/view/1895582","19-1895582")</f>
        <v>0</v>
      </c>
      <c r="B3593" t="s">
        <v>71</v>
      </c>
      <c r="C3593" t="s">
        <v>257</v>
      </c>
      <c r="D3593" t="s">
        <v>360</v>
      </c>
      <c r="E3593" t="s">
        <v>483</v>
      </c>
      <c r="F3593" t="s">
        <v>2585</v>
      </c>
      <c r="G3593" t="s">
        <v>3497</v>
      </c>
      <c r="H3593" t="s">
        <v>7381</v>
      </c>
      <c r="J3593" t="s">
        <v>9059</v>
      </c>
      <c r="K3593">
        <v>11233</v>
      </c>
      <c r="L3593" t="s">
        <v>9094</v>
      </c>
      <c r="M3593" t="s">
        <v>9096</v>
      </c>
      <c r="N3593" t="s">
        <v>10451</v>
      </c>
      <c r="O3593" t="s">
        <v>11128</v>
      </c>
      <c r="P3593" t="s">
        <v>11164</v>
      </c>
      <c r="Q3593" t="s">
        <v>11173</v>
      </c>
      <c r="R3593" t="s">
        <v>11180</v>
      </c>
      <c r="S3593" t="s">
        <v>9096</v>
      </c>
      <c r="T3593" t="s">
        <v>11183</v>
      </c>
      <c r="U3593" t="s">
        <v>11201</v>
      </c>
      <c r="V3593" t="s">
        <v>750</v>
      </c>
      <c r="W3593">
        <v>750</v>
      </c>
      <c r="X3593" t="s">
        <v>11332</v>
      </c>
      <c r="Y3593" t="s">
        <v>11345</v>
      </c>
      <c r="Z3593" t="s">
        <v>13758</v>
      </c>
      <c r="AA3593" t="s">
        <v>15806</v>
      </c>
      <c r="AB3593" t="s">
        <v>18084</v>
      </c>
      <c r="AC3593">
        <v>2</v>
      </c>
      <c r="AD3593" t="s">
        <v>19565</v>
      </c>
      <c r="AE3593" t="s">
        <v>9144</v>
      </c>
      <c r="AF3593">
        <v>2</v>
      </c>
      <c r="AG3593">
        <v>1</v>
      </c>
      <c r="AH3593">
        <v>0</v>
      </c>
      <c r="AI3593">
        <v>124.11</v>
      </c>
      <c r="AL3593" t="s">
        <v>19614</v>
      </c>
      <c r="AM3593">
        <v>15501.6</v>
      </c>
      <c r="AS3593">
        <v>4.25</v>
      </c>
      <c r="AT3593" t="s">
        <v>750</v>
      </c>
      <c r="AU3593" t="s">
        <v>20638</v>
      </c>
      <c r="AV3593" t="s">
        <v>20734</v>
      </c>
    </row>
    <row r="3594" spans="1:48">
      <c r="A3594" s="1">
        <f>HYPERLINK("https://lsnyc.legalserver.org/matter/dynamic-profile/view/1907460","19-1907460")</f>
        <v>0</v>
      </c>
      <c r="B3594" t="s">
        <v>86</v>
      </c>
      <c r="C3594" t="s">
        <v>256</v>
      </c>
      <c r="D3594" t="s">
        <v>275</v>
      </c>
      <c r="F3594" t="s">
        <v>2586</v>
      </c>
      <c r="G3594" t="s">
        <v>4817</v>
      </c>
      <c r="H3594" t="s">
        <v>5786</v>
      </c>
      <c r="I3594" t="s">
        <v>8168</v>
      </c>
      <c r="J3594" t="s">
        <v>9059</v>
      </c>
      <c r="K3594">
        <v>11225</v>
      </c>
      <c r="L3594" t="s">
        <v>9094</v>
      </c>
      <c r="M3594" t="s">
        <v>9095</v>
      </c>
      <c r="O3594" t="s">
        <v>11137</v>
      </c>
      <c r="P3594" t="s">
        <v>11166</v>
      </c>
      <c r="R3594" t="s">
        <v>11180</v>
      </c>
      <c r="S3594" t="s">
        <v>9094</v>
      </c>
      <c r="T3594" t="s">
        <v>11183</v>
      </c>
      <c r="V3594" t="s">
        <v>275</v>
      </c>
      <c r="W3594">
        <v>0</v>
      </c>
      <c r="X3594" t="s">
        <v>11332</v>
      </c>
      <c r="Z3594" t="s">
        <v>13759</v>
      </c>
      <c r="AB3594" t="s">
        <v>18085</v>
      </c>
      <c r="AC3594">
        <v>46</v>
      </c>
      <c r="AF3594">
        <v>0</v>
      </c>
      <c r="AG3594">
        <v>2</v>
      </c>
      <c r="AH3594">
        <v>0</v>
      </c>
      <c r="AI3594">
        <v>124.19</v>
      </c>
      <c r="AL3594" t="s">
        <v>19614</v>
      </c>
      <c r="AM3594">
        <v>21000</v>
      </c>
      <c r="AS3594">
        <v>0</v>
      </c>
      <c r="AU3594" t="s">
        <v>215</v>
      </c>
      <c r="AV3594" t="s">
        <v>20733</v>
      </c>
    </row>
    <row r="3595" spans="1:48">
      <c r="A3595" s="1">
        <f>HYPERLINK("https://lsnyc.legalserver.org/matter/dynamic-profile/view/1908975","19-1908975")</f>
        <v>0</v>
      </c>
      <c r="B3595" t="s">
        <v>115</v>
      </c>
      <c r="C3595" t="s">
        <v>256</v>
      </c>
      <c r="D3595" t="s">
        <v>806</v>
      </c>
      <c r="F3595" t="s">
        <v>1341</v>
      </c>
      <c r="G3595" t="s">
        <v>3999</v>
      </c>
      <c r="H3595" t="s">
        <v>6513</v>
      </c>
      <c r="I3595" t="s">
        <v>8308</v>
      </c>
      <c r="J3595" t="s">
        <v>9065</v>
      </c>
      <c r="K3595">
        <v>10459</v>
      </c>
      <c r="L3595" t="s">
        <v>9094</v>
      </c>
      <c r="M3595" t="s">
        <v>9095</v>
      </c>
      <c r="O3595" t="s">
        <v>9121</v>
      </c>
      <c r="P3595" t="s">
        <v>11164</v>
      </c>
      <c r="R3595" t="s">
        <v>11180</v>
      </c>
      <c r="S3595" t="s">
        <v>9096</v>
      </c>
      <c r="T3595" t="s">
        <v>11183</v>
      </c>
      <c r="W3595">
        <v>441</v>
      </c>
      <c r="X3595" t="s">
        <v>11333</v>
      </c>
      <c r="Y3595" t="s">
        <v>11346</v>
      </c>
      <c r="Z3595" t="s">
        <v>13760</v>
      </c>
      <c r="AB3595" t="s">
        <v>18086</v>
      </c>
      <c r="AC3595">
        <v>39</v>
      </c>
      <c r="AD3595" t="s">
        <v>19571</v>
      </c>
      <c r="AE3595" t="s">
        <v>19584</v>
      </c>
      <c r="AF3595">
        <v>14</v>
      </c>
      <c r="AG3595">
        <v>2</v>
      </c>
      <c r="AH3595">
        <v>0</v>
      </c>
      <c r="AI3595">
        <v>124.19</v>
      </c>
      <c r="AL3595" t="s">
        <v>19614</v>
      </c>
      <c r="AM3595">
        <v>21000</v>
      </c>
      <c r="AS3595">
        <v>2.4</v>
      </c>
      <c r="AT3595" t="s">
        <v>1130</v>
      </c>
      <c r="AU3595" t="s">
        <v>99</v>
      </c>
      <c r="AV3595" t="s">
        <v>20733</v>
      </c>
    </row>
    <row r="3596" spans="1:48">
      <c r="A3596" s="1">
        <f>HYPERLINK("https://lsnyc.legalserver.org/matter/dynamic-profile/view/1899626","19-1899626")</f>
        <v>0</v>
      </c>
      <c r="B3596" t="s">
        <v>102</v>
      </c>
      <c r="C3596" t="s">
        <v>256</v>
      </c>
      <c r="D3596" t="s">
        <v>418</v>
      </c>
      <c r="F3596" t="s">
        <v>2587</v>
      </c>
      <c r="G3596" t="s">
        <v>4818</v>
      </c>
      <c r="H3596" t="s">
        <v>7382</v>
      </c>
      <c r="I3596" t="s">
        <v>8170</v>
      </c>
      <c r="J3596" t="s">
        <v>9065</v>
      </c>
      <c r="K3596">
        <v>10457</v>
      </c>
      <c r="L3596" t="s">
        <v>9094</v>
      </c>
      <c r="M3596" t="s">
        <v>9095</v>
      </c>
      <c r="O3596" t="s">
        <v>9121</v>
      </c>
      <c r="P3596" t="s">
        <v>11164</v>
      </c>
      <c r="R3596" t="s">
        <v>11180</v>
      </c>
      <c r="S3596" t="s">
        <v>9096</v>
      </c>
      <c r="T3596" t="s">
        <v>11183</v>
      </c>
      <c r="V3596" t="s">
        <v>11218</v>
      </c>
      <c r="W3596">
        <v>1226</v>
      </c>
      <c r="X3596" t="s">
        <v>11333</v>
      </c>
      <c r="Y3596" t="s">
        <v>11339</v>
      </c>
      <c r="Z3596" t="s">
        <v>13761</v>
      </c>
      <c r="AB3596" t="s">
        <v>18087</v>
      </c>
      <c r="AC3596">
        <v>19</v>
      </c>
      <c r="AD3596" t="s">
        <v>19566</v>
      </c>
      <c r="AE3596" t="s">
        <v>9144</v>
      </c>
      <c r="AF3596">
        <v>27</v>
      </c>
      <c r="AG3596">
        <v>1</v>
      </c>
      <c r="AH3596">
        <v>1</v>
      </c>
      <c r="AI3596">
        <v>124.19</v>
      </c>
      <c r="AL3596" t="s">
        <v>19614</v>
      </c>
      <c r="AM3596">
        <v>21000</v>
      </c>
      <c r="AS3596">
        <v>0</v>
      </c>
      <c r="AU3596" t="s">
        <v>20642</v>
      </c>
      <c r="AV3596" t="s">
        <v>20733</v>
      </c>
    </row>
    <row r="3597" spans="1:48">
      <c r="A3597" s="1">
        <f>HYPERLINK("https://lsnyc.legalserver.org/matter/dynamic-profile/view/1891359","19-1891359")</f>
        <v>0</v>
      </c>
      <c r="B3597" t="s">
        <v>103</v>
      </c>
      <c r="C3597" t="s">
        <v>256</v>
      </c>
      <c r="D3597" t="s">
        <v>543</v>
      </c>
      <c r="F3597" t="s">
        <v>1915</v>
      </c>
      <c r="G3597" t="s">
        <v>4819</v>
      </c>
      <c r="H3597" t="s">
        <v>5887</v>
      </c>
      <c r="I3597" t="s">
        <v>8755</v>
      </c>
      <c r="J3597" t="s">
        <v>9065</v>
      </c>
      <c r="K3597">
        <v>10453</v>
      </c>
      <c r="L3597" t="s">
        <v>9094</v>
      </c>
      <c r="M3597" t="s">
        <v>9094</v>
      </c>
      <c r="O3597" t="s">
        <v>11134</v>
      </c>
      <c r="P3597" t="s">
        <v>11168</v>
      </c>
      <c r="R3597" t="s">
        <v>11180</v>
      </c>
      <c r="S3597" t="s">
        <v>9094</v>
      </c>
      <c r="T3597" t="s">
        <v>11183</v>
      </c>
      <c r="V3597" t="s">
        <v>512</v>
      </c>
      <c r="W3597">
        <v>802.4400000000001</v>
      </c>
      <c r="X3597" t="s">
        <v>11333</v>
      </c>
      <c r="Y3597" t="s">
        <v>11346</v>
      </c>
      <c r="Z3597" t="s">
        <v>13762</v>
      </c>
      <c r="AB3597" t="s">
        <v>18088</v>
      </c>
      <c r="AC3597">
        <v>170</v>
      </c>
      <c r="AD3597" t="s">
        <v>19566</v>
      </c>
      <c r="AE3597" t="s">
        <v>9144</v>
      </c>
      <c r="AF3597">
        <v>30</v>
      </c>
      <c r="AG3597">
        <v>2</v>
      </c>
      <c r="AH3597">
        <v>0</v>
      </c>
      <c r="AI3597">
        <v>124.19</v>
      </c>
      <c r="AL3597" t="s">
        <v>19614</v>
      </c>
      <c r="AM3597">
        <v>21000</v>
      </c>
      <c r="AS3597">
        <v>0</v>
      </c>
      <c r="AU3597" t="s">
        <v>163</v>
      </c>
    </row>
    <row r="3598" spans="1:48">
      <c r="A3598" s="1">
        <f>HYPERLINK("https://lsnyc.legalserver.org/matter/dynamic-profile/view/1904931","19-1904931")</f>
        <v>0</v>
      </c>
      <c r="B3598" t="s">
        <v>103</v>
      </c>
      <c r="C3598" t="s">
        <v>256</v>
      </c>
      <c r="D3598" t="s">
        <v>660</v>
      </c>
      <c r="F3598" t="s">
        <v>1915</v>
      </c>
      <c r="G3598" t="s">
        <v>4819</v>
      </c>
      <c r="H3598" t="s">
        <v>5887</v>
      </c>
      <c r="I3598" t="s">
        <v>8755</v>
      </c>
      <c r="J3598" t="s">
        <v>9065</v>
      </c>
      <c r="K3598">
        <v>10453</v>
      </c>
      <c r="L3598" t="s">
        <v>9094</v>
      </c>
      <c r="M3598" t="s">
        <v>9095</v>
      </c>
      <c r="N3598" t="s">
        <v>9239</v>
      </c>
      <c r="O3598" t="s">
        <v>11134</v>
      </c>
      <c r="P3598" t="s">
        <v>11168</v>
      </c>
      <c r="R3598" t="s">
        <v>11180</v>
      </c>
      <c r="S3598" t="s">
        <v>9094</v>
      </c>
      <c r="T3598" t="s">
        <v>11183</v>
      </c>
      <c r="V3598" t="s">
        <v>1061</v>
      </c>
      <c r="W3598">
        <v>802.4400000000001</v>
      </c>
      <c r="X3598" t="s">
        <v>11333</v>
      </c>
      <c r="Y3598" t="s">
        <v>11346</v>
      </c>
      <c r="Z3598" t="s">
        <v>13762</v>
      </c>
      <c r="AB3598" t="s">
        <v>18088</v>
      </c>
      <c r="AC3598">
        <v>170</v>
      </c>
      <c r="AD3598" t="s">
        <v>19566</v>
      </c>
      <c r="AE3598" t="s">
        <v>9144</v>
      </c>
      <c r="AF3598">
        <v>30</v>
      </c>
      <c r="AG3598">
        <v>2</v>
      </c>
      <c r="AH3598">
        <v>0</v>
      </c>
      <c r="AI3598">
        <v>124.19</v>
      </c>
      <c r="AL3598" t="s">
        <v>19614</v>
      </c>
      <c r="AM3598">
        <v>21000</v>
      </c>
      <c r="AS3598">
        <v>0</v>
      </c>
      <c r="AU3598" t="s">
        <v>220</v>
      </c>
      <c r="AV3598" t="s">
        <v>20733</v>
      </c>
    </row>
    <row r="3599" spans="1:48">
      <c r="A3599" s="1">
        <f>HYPERLINK("https://lsnyc.legalserver.org/matter/dynamic-profile/view/1904936","19-1904936")</f>
        <v>0</v>
      </c>
      <c r="B3599" t="s">
        <v>103</v>
      </c>
      <c r="C3599" t="s">
        <v>256</v>
      </c>
      <c r="D3599" t="s">
        <v>660</v>
      </c>
      <c r="F3599" t="s">
        <v>1915</v>
      </c>
      <c r="G3599" t="s">
        <v>4819</v>
      </c>
      <c r="H3599" t="s">
        <v>5887</v>
      </c>
      <c r="I3599" t="s">
        <v>8755</v>
      </c>
      <c r="J3599" t="s">
        <v>9065</v>
      </c>
      <c r="K3599">
        <v>10453</v>
      </c>
      <c r="L3599" t="s">
        <v>9094</v>
      </c>
      <c r="M3599" t="s">
        <v>9095</v>
      </c>
      <c r="N3599" t="s">
        <v>9240</v>
      </c>
      <c r="O3599" t="s">
        <v>11134</v>
      </c>
      <c r="P3599" t="s">
        <v>11168</v>
      </c>
      <c r="R3599" t="s">
        <v>11180</v>
      </c>
      <c r="S3599" t="s">
        <v>9094</v>
      </c>
      <c r="T3599" t="s">
        <v>11183</v>
      </c>
      <c r="V3599" t="s">
        <v>422</v>
      </c>
      <c r="W3599">
        <v>802.4400000000001</v>
      </c>
      <c r="X3599" t="s">
        <v>11333</v>
      </c>
      <c r="Y3599" t="s">
        <v>11346</v>
      </c>
      <c r="Z3599" t="s">
        <v>13762</v>
      </c>
      <c r="AB3599" t="s">
        <v>18088</v>
      </c>
      <c r="AC3599">
        <v>170</v>
      </c>
      <c r="AD3599" t="s">
        <v>19566</v>
      </c>
      <c r="AE3599" t="s">
        <v>9144</v>
      </c>
      <c r="AF3599">
        <v>30</v>
      </c>
      <c r="AG3599">
        <v>2</v>
      </c>
      <c r="AH3599">
        <v>0</v>
      </c>
      <c r="AI3599">
        <v>124.19</v>
      </c>
      <c r="AL3599" t="s">
        <v>19614</v>
      </c>
      <c r="AM3599">
        <v>21000</v>
      </c>
      <c r="AS3599">
        <v>0</v>
      </c>
      <c r="AU3599" t="s">
        <v>220</v>
      </c>
      <c r="AV3599" t="s">
        <v>20733</v>
      </c>
    </row>
    <row r="3600" spans="1:48">
      <c r="A3600" s="1">
        <f>HYPERLINK("https://lsnyc.legalserver.org/matter/dynamic-profile/view/1891355","19-1891355")</f>
        <v>0</v>
      </c>
      <c r="B3600" t="s">
        <v>103</v>
      </c>
      <c r="C3600" t="s">
        <v>256</v>
      </c>
      <c r="D3600" t="s">
        <v>543</v>
      </c>
      <c r="F3600" t="s">
        <v>1915</v>
      </c>
      <c r="G3600" t="s">
        <v>4819</v>
      </c>
      <c r="H3600" t="s">
        <v>5887</v>
      </c>
      <c r="I3600" t="s">
        <v>8755</v>
      </c>
      <c r="J3600" t="s">
        <v>9065</v>
      </c>
      <c r="K3600">
        <v>10453</v>
      </c>
      <c r="L3600" t="s">
        <v>9094</v>
      </c>
      <c r="M3600" t="s">
        <v>9094</v>
      </c>
      <c r="N3600" t="s">
        <v>9352</v>
      </c>
      <c r="O3600" t="s">
        <v>11130</v>
      </c>
      <c r="P3600" t="s">
        <v>11165</v>
      </c>
      <c r="R3600" t="s">
        <v>11180</v>
      </c>
      <c r="S3600" t="s">
        <v>9094</v>
      </c>
      <c r="T3600" t="s">
        <v>11183</v>
      </c>
      <c r="V3600" t="s">
        <v>512</v>
      </c>
      <c r="W3600">
        <v>802.4400000000001</v>
      </c>
      <c r="X3600" t="s">
        <v>11333</v>
      </c>
      <c r="Y3600" t="s">
        <v>11346</v>
      </c>
      <c r="Z3600" t="s">
        <v>13762</v>
      </c>
      <c r="AB3600" t="s">
        <v>18088</v>
      </c>
      <c r="AC3600">
        <v>170</v>
      </c>
      <c r="AD3600" t="s">
        <v>19566</v>
      </c>
      <c r="AE3600" t="s">
        <v>9144</v>
      </c>
      <c r="AF3600">
        <v>30</v>
      </c>
      <c r="AG3600">
        <v>2</v>
      </c>
      <c r="AH3600">
        <v>0</v>
      </c>
      <c r="AI3600">
        <v>124.19</v>
      </c>
      <c r="AL3600" t="s">
        <v>19614</v>
      </c>
      <c r="AM3600">
        <v>21000</v>
      </c>
      <c r="AS3600">
        <v>0.5</v>
      </c>
      <c r="AT3600" t="s">
        <v>264</v>
      </c>
      <c r="AU3600" t="s">
        <v>163</v>
      </c>
    </row>
    <row r="3601" spans="1:48">
      <c r="A3601" s="1">
        <f>HYPERLINK("https://lsnyc.legalserver.org/matter/dynamic-profile/view/1862036","18-1862036")</f>
        <v>0</v>
      </c>
      <c r="B3601" t="s">
        <v>64</v>
      </c>
      <c r="C3601" t="s">
        <v>257</v>
      </c>
      <c r="D3601" t="s">
        <v>677</v>
      </c>
      <c r="E3601" t="s">
        <v>549</v>
      </c>
      <c r="F3601" t="s">
        <v>1872</v>
      </c>
      <c r="G3601" t="s">
        <v>2903</v>
      </c>
      <c r="H3601" t="s">
        <v>7383</v>
      </c>
      <c r="I3601">
        <v>2</v>
      </c>
      <c r="J3601" t="s">
        <v>9059</v>
      </c>
      <c r="K3601">
        <v>11226</v>
      </c>
      <c r="L3601" t="s">
        <v>9096</v>
      </c>
      <c r="M3601" t="s">
        <v>9095</v>
      </c>
      <c r="P3601" t="s">
        <v>11167</v>
      </c>
      <c r="Q3601" t="s">
        <v>11172</v>
      </c>
      <c r="R3601" t="s">
        <v>11180</v>
      </c>
      <c r="T3601" t="s">
        <v>11183</v>
      </c>
      <c r="V3601" t="s">
        <v>364</v>
      </c>
      <c r="W3601">
        <v>2300</v>
      </c>
      <c r="X3601" t="s">
        <v>11332</v>
      </c>
      <c r="Y3601" t="s">
        <v>11352</v>
      </c>
      <c r="Z3601" t="s">
        <v>13763</v>
      </c>
      <c r="AB3601" t="s">
        <v>18089</v>
      </c>
      <c r="AC3601">
        <v>3</v>
      </c>
      <c r="AD3601" t="s">
        <v>19565</v>
      </c>
      <c r="AE3601" t="s">
        <v>9144</v>
      </c>
      <c r="AF3601">
        <v>1</v>
      </c>
      <c r="AG3601">
        <v>4</v>
      </c>
      <c r="AH3601">
        <v>0</v>
      </c>
      <c r="AI3601">
        <v>124.3</v>
      </c>
      <c r="AL3601" t="s">
        <v>19614</v>
      </c>
      <c r="AM3601">
        <v>31200</v>
      </c>
      <c r="AS3601">
        <v>1.5</v>
      </c>
      <c r="AT3601" t="s">
        <v>693</v>
      </c>
      <c r="AU3601" t="s">
        <v>20619</v>
      </c>
    </row>
    <row r="3602" spans="1:48">
      <c r="A3602" s="1">
        <f>HYPERLINK("https://lsnyc.legalserver.org/matter/dynamic-profile/view/1909907","19-1909907")</f>
        <v>0</v>
      </c>
      <c r="B3602" t="s">
        <v>64</v>
      </c>
      <c r="C3602" t="s">
        <v>257</v>
      </c>
      <c r="D3602" t="s">
        <v>992</v>
      </c>
      <c r="E3602" t="s">
        <v>496</v>
      </c>
      <c r="F3602" t="s">
        <v>2588</v>
      </c>
      <c r="G3602" t="s">
        <v>4820</v>
      </c>
      <c r="H3602" t="s">
        <v>7384</v>
      </c>
      <c r="I3602" t="s">
        <v>8168</v>
      </c>
      <c r="J3602" t="s">
        <v>9059</v>
      </c>
      <c r="K3602">
        <v>11233</v>
      </c>
      <c r="L3602" t="s">
        <v>9094</v>
      </c>
      <c r="M3602" t="s">
        <v>9095</v>
      </c>
      <c r="N3602" t="s">
        <v>10452</v>
      </c>
      <c r="O3602" t="s">
        <v>11129</v>
      </c>
      <c r="P3602" t="s">
        <v>11165</v>
      </c>
      <c r="Q3602" t="s">
        <v>11174</v>
      </c>
      <c r="R3602" t="s">
        <v>11180</v>
      </c>
      <c r="S3602" t="s">
        <v>9096</v>
      </c>
      <c r="T3602" t="s">
        <v>11183</v>
      </c>
      <c r="U3602" t="s">
        <v>11200</v>
      </c>
      <c r="V3602" t="s">
        <v>295</v>
      </c>
      <c r="W3602">
        <v>1096.4</v>
      </c>
      <c r="X3602" t="s">
        <v>11332</v>
      </c>
      <c r="Y3602" t="s">
        <v>11346</v>
      </c>
      <c r="Z3602" t="s">
        <v>12567</v>
      </c>
      <c r="AA3602" t="s">
        <v>15807</v>
      </c>
      <c r="AB3602" t="s">
        <v>18090</v>
      </c>
      <c r="AC3602">
        <v>24</v>
      </c>
      <c r="AD3602" t="s">
        <v>19569</v>
      </c>
      <c r="AF3602">
        <v>12</v>
      </c>
      <c r="AG3602">
        <v>2</v>
      </c>
      <c r="AH3602">
        <v>0</v>
      </c>
      <c r="AI3602">
        <v>124.54</v>
      </c>
      <c r="AL3602" t="s">
        <v>19614</v>
      </c>
      <c r="AM3602">
        <v>21060</v>
      </c>
      <c r="AP3602" t="s">
        <v>20309</v>
      </c>
      <c r="AQ3602" t="s">
        <v>20369</v>
      </c>
      <c r="AR3602" t="s">
        <v>20482</v>
      </c>
      <c r="AS3602">
        <v>5.44</v>
      </c>
      <c r="AT3602" t="s">
        <v>395</v>
      </c>
      <c r="AU3602" t="s">
        <v>20656</v>
      </c>
      <c r="AV3602" t="s">
        <v>20734</v>
      </c>
    </row>
    <row r="3603" spans="1:48">
      <c r="A3603" s="1">
        <f>HYPERLINK("https://lsnyc.legalserver.org/matter/dynamic-profile/view/0826270","17-0826270")</f>
        <v>0</v>
      </c>
      <c r="B3603" t="s">
        <v>138</v>
      </c>
      <c r="C3603" t="s">
        <v>256</v>
      </c>
      <c r="D3603" t="s">
        <v>876</v>
      </c>
      <c r="F3603" t="s">
        <v>1524</v>
      </c>
      <c r="G3603" t="s">
        <v>4821</v>
      </c>
      <c r="H3603" t="s">
        <v>7385</v>
      </c>
      <c r="I3603" t="s">
        <v>8176</v>
      </c>
      <c r="J3603" t="s">
        <v>9067</v>
      </c>
      <c r="K3603">
        <v>10034</v>
      </c>
      <c r="L3603" t="s">
        <v>9094</v>
      </c>
      <c r="M3603" t="s">
        <v>9095</v>
      </c>
      <c r="N3603" t="s">
        <v>10453</v>
      </c>
      <c r="O3603" t="s">
        <v>11128</v>
      </c>
      <c r="P3603" t="s">
        <v>11165</v>
      </c>
      <c r="R3603" t="s">
        <v>11180</v>
      </c>
      <c r="S3603" t="s">
        <v>9096</v>
      </c>
      <c r="T3603" t="s">
        <v>11183</v>
      </c>
      <c r="V3603" t="s">
        <v>926</v>
      </c>
      <c r="W3603">
        <v>1000</v>
      </c>
      <c r="X3603" t="s">
        <v>11335</v>
      </c>
      <c r="Y3603" t="s">
        <v>11340</v>
      </c>
      <c r="Z3603" t="s">
        <v>13764</v>
      </c>
      <c r="AB3603" t="s">
        <v>18091</v>
      </c>
      <c r="AC3603">
        <v>43</v>
      </c>
      <c r="AD3603" t="s">
        <v>19566</v>
      </c>
      <c r="AE3603" t="s">
        <v>19587</v>
      </c>
      <c r="AF3603">
        <v>31</v>
      </c>
      <c r="AG3603">
        <v>1</v>
      </c>
      <c r="AH3603">
        <v>0</v>
      </c>
      <c r="AI3603">
        <v>124.58</v>
      </c>
      <c r="AL3603" t="s">
        <v>19614</v>
      </c>
      <c r="AM3603">
        <v>14800</v>
      </c>
      <c r="AS3603">
        <v>113.3</v>
      </c>
      <c r="AT3603" t="s">
        <v>484</v>
      </c>
      <c r="AU3603" t="s">
        <v>20657</v>
      </c>
    </row>
    <row r="3604" spans="1:48">
      <c r="A3604" s="1">
        <f>HYPERLINK("https://lsnyc.legalserver.org/matter/dynamic-profile/view/1904943","19-1904943")</f>
        <v>0</v>
      </c>
      <c r="B3604" t="s">
        <v>57</v>
      </c>
      <c r="C3604" t="s">
        <v>256</v>
      </c>
      <c r="D3604" t="s">
        <v>660</v>
      </c>
      <c r="F3604" t="s">
        <v>2589</v>
      </c>
      <c r="G3604" t="s">
        <v>4822</v>
      </c>
      <c r="H3604" t="s">
        <v>7386</v>
      </c>
      <c r="I3604" t="s">
        <v>8134</v>
      </c>
      <c r="J3604" t="s">
        <v>9050</v>
      </c>
      <c r="K3604">
        <v>11377</v>
      </c>
      <c r="L3604" t="s">
        <v>9094</v>
      </c>
      <c r="M3604" t="s">
        <v>9095</v>
      </c>
      <c r="O3604" t="s">
        <v>9121</v>
      </c>
      <c r="P3604" t="s">
        <v>11167</v>
      </c>
      <c r="R3604" t="s">
        <v>11181</v>
      </c>
      <c r="S3604" t="s">
        <v>9096</v>
      </c>
      <c r="T3604" t="s">
        <v>11188</v>
      </c>
      <c r="U3604" t="s">
        <v>11201</v>
      </c>
      <c r="V3604" t="s">
        <v>660</v>
      </c>
      <c r="W3604">
        <v>400</v>
      </c>
      <c r="X3604" t="s">
        <v>11331</v>
      </c>
      <c r="Y3604" t="s">
        <v>11337</v>
      </c>
      <c r="Z3604" t="s">
        <v>13765</v>
      </c>
      <c r="AB3604" t="s">
        <v>18092</v>
      </c>
      <c r="AC3604">
        <v>72</v>
      </c>
      <c r="AD3604" t="s">
        <v>19573</v>
      </c>
      <c r="AE3604" t="s">
        <v>9144</v>
      </c>
      <c r="AF3604">
        <v>-1</v>
      </c>
      <c r="AG3604">
        <v>1</v>
      </c>
      <c r="AH3604">
        <v>2</v>
      </c>
      <c r="AI3604">
        <v>124.67</v>
      </c>
      <c r="AJ3604" t="s">
        <v>19591</v>
      </c>
      <c r="AK3604" t="s">
        <v>19608</v>
      </c>
      <c r="AL3604" t="s">
        <v>19614</v>
      </c>
      <c r="AM3604">
        <v>26592</v>
      </c>
      <c r="AS3604">
        <v>5.25</v>
      </c>
      <c r="AT3604" t="s">
        <v>481</v>
      </c>
      <c r="AU3604" t="s">
        <v>57</v>
      </c>
      <c r="AV3604" t="s">
        <v>20733</v>
      </c>
    </row>
    <row r="3605" spans="1:48">
      <c r="A3605" s="1">
        <f>HYPERLINK("https://lsnyc.legalserver.org/matter/dynamic-profile/view/1875000","18-1875000")</f>
        <v>0</v>
      </c>
      <c r="B3605" t="s">
        <v>239</v>
      </c>
      <c r="C3605" t="s">
        <v>256</v>
      </c>
      <c r="D3605" t="s">
        <v>754</v>
      </c>
      <c r="F3605" t="s">
        <v>1655</v>
      </c>
      <c r="G3605" t="s">
        <v>4823</v>
      </c>
      <c r="H3605" t="s">
        <v>7387</v>
      </c>
      <c r="I3605" t="s">
        <v>8756</v>
      </c>
      <c r="J3605" t="s">
        <v>9059</v>
      </c>
      <c r="K3605">
        <v>11214</v>
      </c>
      <c r="L3605" t="s">
        <v>9095</v>
      </c>
      <c r="M3605" t="s">
        <v>9095</v>
      </c>
      <c r="O3605" t="s">
        <v>11128</v>
      </c>
      <c r="P3605" t="s">
        <v>11165</v>
      </c>
      <c r="R3605" t="s">
        <v>11180</v>
      </c>
      <c r="S3605" t="s">
        <v>9096</v>
      </c>
      <c r="T3605" t="s">
        <v>11183</v>
      </c>
      <c r="W3605">
        <v>600</v>
      </c>
      <c r="X3605" t="s">
        <v>11332</v>
      </c>
      <c r="Z3605" t="s">
        <v>13766</v>
      </c>
      <c r="AC3605">
        <v>0</v>
      </c>
      <c r="AD3605" t="s">
        <v>19574</v>
      </c>
      <c r="AE3605" t="s">
        <v>9144</v>
      </c>
      <c r="AF3605">
        <v>4</v>
      </c>
      <c r="AG3605">
        <v>2</v>
      </c>
      <c r="AH3605">
        <v>0</v>
      </c>
      <c r="AI3605">
        <v>124.67</v>
      </c>
      <c r="AM3605">
        <v>20520</v>
      </c>
      <c r="AS3605">
        <v>61.95</v>
      </c>
      <c r="AT3605" t="s">
        <v>1130</v>
      </c>
      <c r="AU3605" t="s">
        <v>20679</v>
      </c>
    </row>
    <row r="3606" spans="1:48">
      <c r="A3606" s="1">
        <f>HYPERLINK("https://lsnyc.legalserver.org/matter/dynamic-profile/view/1903659","19-1903659")</f>
        <v>0</v>
      </c>
      <c r="B3606" t="s">
        <v>122</v>
      </c>
      <c r="C3606" t="s">
        <v>256</v>
      </c>
      <c r="D3606" t="s">
        <v>700</v>
      </c>
      <c r="F3606" t="s">
        <v>2590</v>
      </c>
      <c r="G3606" t="s">
        <v>4824</v>
      </c>
      <c r="H3606" t="s">
        <v>5911</v>
      </c>
      <c r="I3606" t="s">
        <v>8757</v>
      </c>
      <c r="J3606" t="s">
        <v>9066</v>
      </c>
      <c r="K3606">
        <v>10314</v>
      </c>
      <c r="L3606" t="s">
        <v>9094</v>
      </c>
      <c r="M3606" t="s">
        <v>9095</v>
      </c>
      <c r="N3606" t="s">
        <v>9580</v>
      </c>
      <c r="O3606" t="s">
        <v>11134</v>
      </c>
      <c r="P3606" t="s">
        <v>11168</v>
      </c>
      <c r="R3606" t="s">
        <v>11180</v>
      </c>
      <c r="S3606" t="s">
        <v>9094</v>
      </c>
      <c r="T3606" t="s">
        <v>11183</v>
      </c>
      <c r="U3606" t="s">
        <v>11201</v>
      </c>
      <c r="V3606" t="s">
        <v>610</v>
      </c>
      <c r="W3606">
        <v>864</v>
      </c>
      <c r="X3606" t="s">
        <v>11334</v>
      </c>
      <c r="Y3606" t="s">
        <v>11340</v>
      </c>
      <c r="Z3606" t="s">
        <v>13767</v>
      </c>
      <c r="AB3606" t="s">
        <v>18093</v>
      </c>
      <c r="AC3606">
        <v>96</v>
      </c>
      <c r="AD3606" t="s">
        <v>19566</v>
      </c>
      <c r="AE3606" t="s">
        <v>19587</v>
      </c>
      <c r="AF3606">
        <v>9</v>
      </c>
      <c r="AG3606">
        <v>1</v>
      </c>
      <c r="AH3606">
        <v>0</v>
      </c>
      <c r="AI3606">
        <v>124.71</v>
      </c>
      <c r="AL3606" t="s">
        <v>19614</v>
      </c>
      <c r="AM3606">
        <v>15576</v>
      </c>
      <c r="AO3606" t="s">
        <v>20293</v>
      </c>
      <c r="AP3606" t="s">
        <v>20316</v>
      </c>
      <c r="AQ3606" t="s">
        <v>20369</v>
      </c>
      <c r="AR3606" t="s">
        <v>20372</v>
      </c>
      <c r="AS3606">
        <v>0.6</v>
      </c>
      <c r="AT3606" t="s">
        <v>270</v>
      </c>
      <c r="AU3606" t="s">
        <v>20653</v>
      </c>
      <c r="AV3606" t="s">
        <v>20733</v>
      </c>
    </row>
    <row r="3607" spans="1:48">
      <c r="A3607" s="1">
        <f>HYPERLINK("https://lsnyc.legalserver.org/matter/dynamic-profile/view/1914793","19-1914793")</f>
        <v>0</v>
      </c>
      <c r="B3607" t="s">
        <v>202</v>
      </c>
      <c r="C3607" t="s">
        <v>256</v>
      </c>
      <c r="D3607" t="s">
        <v>632</v>
      </c>
      <c r="F3607" t="s">
        <v>2591</v>
      </c>
      <c r="G3607" t="s">
        <v>4825</v>
      </c>
      <c r="H3607" t="s">
        <v>6621</v>
      </c>
      <c r="I3607">
        <v>34</v>
      </c>
      <c r="J3607" t="s">
        <v>9059</v>
      </c>
      <c r="K3607">
        <v>11213</v>
      </c>
      <c r="L3607" t="s">
        <v>9094</v>
      </c>
      <c r="M3607" t="s">
        <v>9095</v>
      </c>
      <c r="N3607" t="s">
        <v>10263</v>
      </c>
      <c r="O3607" t="s">
        <v>11132</v>
      </c>
      <c r="P3607" t="s">
        <v>11165</v>
      </c>
      <c r="R3607" t="s">
        <v>11180</v>
      </c>
      <c r="S3607" t="s">
        <v>9094</v>
      </c>
      <c r="T3607" t="s">
        <v>11183</v>
      </c>
      <c r="U3607" t="s">
        <v>11201</v>
      </c>
      <c r="V3607" t="s">
        <v>11243</v>
      </c>
      <c r="W3607">
        <v>881.67</v>
      </c>
      <c r="X3607" t="s">
        <v>11332</v>
      </c>
      <c r="Y3607" t="s">
        <v>11346</v>
      </c>
      <c r="Z3607" t="s">
        <v>13768</v>
      </c>
      <c r="AA3607" t="s">
        <v>9144</v>
      </c>
      <c r="AB3607" t="s">
        <v>18094</v>
      </c>
      <c r="AC3607">
        <v>31</v>
      </c>
      <c r="AD3607" t="s">
        <v>19566</v>
      </c>
      <c r="AE3607" t="s">
        <v>9144</v>
      </c>
      <c r="AF3607">
        <v>17</v>
      </c>
      <c r="AG3607">
        <v>2</v>
      </c>
      <c r="AH3607">
        <v>2</v>
      </c>
      <c r="AI3607">
        <v>124.75</v>
      </c>
      <c r="AL3607" t="s">
        <v>19614</v>
      </c>
      <c r="AM3607">
        <v>32124</v>
      </c>
      <c r="AS3607">
        <v>0</v>
      </c>
      <c r="AU3607" t="s">
        <v>95</v>
      </c>
      <c r="AV3607" t="s">
        <v>20733</v>
      </c>
    </row>
    <row r="3608" spans="1:48">
      <c r="A3608" s="1">
        <f>HYPERLINK("https://lsnyc.legalserver.org/matter/dynamic-profile/view/1914616","19-1914616")</f>
        <v>0</v>
      </c>
      <c r="B3608" t="s">
        <v>76</v>
      </c>
      <c r="C3608" t="s">
        <v>256</v>
      </c>
      <c r="D3608" t="s">
        <v>476</v>
      </c>
      <c r="F3608" t="s">
        <v>2591</v>
      </c>
      <c r="G3608" t="s">
        <v>4825</v>
      </c>
      <c r="H3608" t="s">
        <v>6621</v>
      </c>
      <c r="I3608">
        <v>34</v>
      </c>
      <c r="J3608" t="s">
        <v>9059</v>
      </c>
      <c r="K3608">
        <v>11213</v>
      </c>
      <c r="L3608" t="s">
        <v>9094</v>
      </c>
      <c r="M3608" t="s">
        <v>9095</v>
      </c>
      <c r="N3608" t="s">
        <v>9171</v>
      </c>
      <c r="O3608" t="s">
        <v>11134</v>
      </c>
      <c r="P3608" t="s">
        <v>11168</v>
      </c>
      <c r="R3608" t="s">
        <v>11180</v>
      </c>
      <c r="S3608" t="s">
        <v>9094</v>
      </c>
      <c r="T3608" t="s">
        <v>11183</v>
      </c>
      <c r="U3608" t="s">
        <v>11201</v>
      </c>
      <c r="V3608" t="s">
        <v>612</v>
      </c>
      <c r="W3608">
        <v>881.67</v>
      </c>
      <c r="X3608" t="s">
        <v>11332</v>
      </c>
      <c r="Y3608" t="s">
        <v>11346</v>
      </c>
      <c r="Z3608" t="s">
        <v>13768</v>
      </c>
      <c r="AA3608" t="s">
        <v>9171</v>
      </c>
      <c r="AB3608" t="s">
        <v>18094</v>
      </c>
      <c r="AC3608">
        <v>31</v>
      </c>
      <c r="AD3608" t="s">
        <v>19566</v>
      </c>
      <c r="AE3608" t="s">
        <v>9144</v>
      </c>
      <c r="AF3608">
        <v>17</v>
      </c>
      <c r="AG3608">
        <v>2</v>
      </c>
      <c r="AH3608">
        <v>2</v>
      </c>
      <c r="AI3608">
        <v>124.75</v>
      </c>
      <c r="AL3608" t="s">
        <v>19614</v>
      </c>
      <c r="AM3608">
        <v>32124</v>
      </c>
      <c r="AS3608">
        <v>0</v>
      </c>
      <c r="AU3608" t="s">
        <v>95</v>
      </c>
      <c r="AV3608" t="s">
        <v>20733</v>
      </c>
    </row>
    <row r="3609" spans="1:48">
      <c r="A3609" s="1">
        <f>HYPERLINK("https://lsnyc.legalserver.org/matter/dynamic-profile/view/1914632","19-1914632")</f>
        <v>0</v>
      </c>
      <c r="B3609" t="s">
        <v>76</v>
      </c>
      <c r="C3609" t="s">
        <v>256</v>
      </c>
      <c r="D3609" t="s">
        <v>476</v>
      </c>
      <c r="F3609" t="s">
        <v>2591</v>
      </c>
      <c r="G3609" t="s">
        <v>4825</v>
      </c>
      <c r="H3609" t="s">
        <v>6621</v>
      </c>
      <c r="I3609">
        <v>34</v>
      </c>
      <c r="J3609" t="s">
        <v>9059</v>
      </c>
      <c r="K3609">
        <v>11213</v>
      </c>
      <c r="L3609" t="s">
        <v>9094</v>
      </c>
      <c r="M3609" t="s">
        <v>9095</v>
      </c>
      <c r="N3609" t="s">
        <v>9171</v>
      </c>
      <c r="O3609" t="s">
        <v>11134</v>
      </c>
      <c r="P3609" t="s">
        <v>11168</v>
      </c>
      <c r="R3609" t="s">
        <v>11180</v>
      </c>
      <c r="S3609" t="s">
        <v>9096</v>
      </c>
      <c r="T3609" t="s">
        <v>11183</v>
      </c>
      <c r="U3609" t="s">
        <v>11201</v>
      </c>
      <c r="V3609" t="s">
        <v>413</v>
      </c>
      <c r="W3609">
        <v>881.67</v>
      </c>
      <c r="X3609" t="s">
        <v>11332</v>
      </c>
      <c r="Y3609" t="s">
        <v>11346</v>
      </c>
      <c r="Z3609" t="s">
        <v>13768</v>
      </c>
      <c r="AA3609" t="s">
        <v>9171</v>
      </c>
      <c r="AB3609" t="s">
        <v>18094</v>
      </c>
      <c r="AC3609">
        <v>31</v>
      </c>
      <c r="AD3609" t="s">
        <v>19566</v>
      </c>
      <c r="AE3609" t="s">
        <v>9144</v>
      </c>
      <c r="AF3609">
        <v>17</v>
      </c>
      <c r="AG3609">
        <v>2</v>
      </c>
      <c r="AH3609">
        <v>2</v>
      </c>
      <c r="AI3609">
        <v>124.75</v>
      </c>
      <c r="AL3609" t="s">
        <v>19614</v>
      </c>
      <c r="AM3609">
        <v>32124</v>
      </c>
      <c r="AS3609">
        <v>0</v>
      </c>
      <c r="AU3609" t="s">
        <v>95</v>
      </c>
      <c r="AV3609" t="s">
        <v>20733</v>
      </c>
    </row>
    <row r="3610" spans="1:48">
      <c r="A3610" s="1">
        <f>HYPERLINK("https://lsnyc.legalserver.org/matter/dynamic-profile/view/1900691","19-1900691")</f>
        <v>0</v>
      </c>
      <c r="B3610" t="s">
        <v>70</v>
      </c>
      <c r="C3610" t="s">
        <v>256</v>
      </c>
      <c r="D3610" t="s">
        <v>338</v>
      </c>
      <c r="F3610" t="s">
        <v>2591</v>
      </c>
      <c r="G3610" t="s">
        <v>4825</v>
      </c>
      <c r="H3610" t="s">
        <v>6621</v>
      </c>
      <c r="I3610">
        <v>34</v>
      </c>
      <c r="J3610" t="s">
        <v>9059</v>
      </c>
      <c r="K3610">
        <v>11213</v>
      </c>
      <c r="L3610" t="s">
        <v>9094</v>
      </c>
      <c r="M3610" t="s">
        <v>9095</v>
      </c>
      <c r="N3610" t="s">
        <v>9144</v>
      </c>
      <c r="O3610" t="s">
        <v>9121</v>
      </c>
      <c r="P3610" t="s">
        <v>11167</v>
      </c>
      <c r="R3610" t="s">
        <v>11180</v>
      </c>
      <c r="S3610" t="s">
        <v>9094</v>
      </c>
      <c r="T3610" t="s">
        <v>11183</v>
      </c>
      <c r="U3610" t="s">
        <v>11201</v>
      </c>
      <c r="V3610" t="s">
        <v>291</v>
      </c>
      <c r="W3610">
        <v>881.67</v>
      </c>
      <c r="X3610" t="s">
        <v>11332</v>
      </c>
      <c r="Y3610" t="s">
        <v>11346</v>
      </c>
      <c r="Z3610" t="s">
        <v>13768</v>
      </c>
      <c r="AA3610" t="s">
        <v>9144</v>
      </c>
      <c r="AB3610" t="s">
        <v>18094</v>
      </c>
      <c r="AC3610">
        <v>31</v>
      </c>
      <c r="AD3610" t="s">
        <v>19566</v>
      </c>
      <c r="AE3610" t="s">
        <v>9144</v>
      </c>
      <c r="AF3610">
        <v>17</v>
      </c>
      <c r="AG3610">
        <v>2</v>
      </c>
      <c r="AH3610">
        <v>2</v>
      </c>
      <c r="AI3610">
        <v>124.75</v>
      </c>
      <c r="AL3610" t="s">
        <v>19614</v>
      </c>
      <c r="AM3610">
        <v>32124</v>
      </c>
      <c r="AS3610">
        <v>1.6</v>
      </c>
      <c r="AT3610" t="s">
        <v>483</v>
      </c>
      <c r="AU3610" t="s">
        <v>95</v>
      </c>
      <c r="AV3610" t="s">
        <v>20733</v>
      </c>
    </row>
    <row r="3611" spans="1:48">
      <c r="A3611" s="1">
        <f>HYPERLINK("https://lsnyc.legalserver.org/matter/dynamic-profile/view/1913492","19-1913492")</f>
        <v>0</v>
      </c>
      <c r="B3611" t="s">
        <v>70</v>
      </c>
      <c r="C3611" t="s">
        <v>256</v>
      </c>
      <c r="D3611" t="s">
        <v>483</v>
      </c>
      <c r="F3611" t="s">
        <v>2591</v>
      </c>
      <c r="G3611" t="s">
        <v>4825</v>
      </c>
      <c r="H3611" t="s">
        <v>6621</v>
      </c>
      <c r="I3611">
        <v>34</v>
      </c>
      <c r="J3611" t="s">
        <v>9059</v>
      </c>
      <c r="K3611">
        <v>11213</v>
      </c>
      <c r="L3611" t="s">
        <v>9094</v>
      </c>
      <c r="M3611" t="s">
        <v>9095</v>
      </c>
      <c r="N3611" t="s">
        <v>10454</v>
      </c>
      <c r="O3611" t="s">
        <v>9121</v>
      </c>
      <c r="P3611" t="s">
        <v>11167</v>
      </c>
      <c r="R3611" t="s">
        <v>11180</v>
      </c>
      <c r="S3611" t="s">
        <v>9096</v>
      </c>
      <c r="T3611" t="s">
        <v>11183</v>
      </c>
      <c r="U3611" t="s">
        <v>11201</v>
      </c>
      <c r="V3611" t="s">
        <v>483</v>
      </c>
      <c r="W3611">
        <v>881.67</v>
      </c>
      <c r="X3611" t="s">
        <v>11332</v>
      </c>
      <c r="Y3611" t="s">
        <v>11340</v>
      </c>
      <c r="Z3611" t="s">
        <v>13768</v>
      </c>
      <c r="AA3611" t="s">
        <v>9144</v>
      </c>
      <c r="AB3611" t="s">
        <v>18094</v>
      </c>
      <c r="AC3611">
        <v>31</v>
      </c>
      <c r="AD3611" t="s">
        <v>19566</v>
      </c>
      <c r="AE3611" t="s">
        <v>19587</v>
      </c>
      <c r="AF3611">
        <v>17</v>
      </c>
      <c r="AG3611">
        <v>2</v>
      </c>
      <c r="AH3611">
        <v>2</v>
      </c>
      <c r="AI3611">
        <v>124.75</v>
      </c>
      <c r="AL3611" t="s">
        <v>19614</v>
      </c>
      <c r="AM3611">
        <v>32124</v>
      </c>
      <c r="AS3611">
        <v>0.2</v>
      </c>
      <c r="AT3611" t="s">
        <v>483</v>
      </c>
      <c r="AU3611" t="s">
        <v>70</v>
      </c>
      <c r="AV3611" t="s">
        <v>20733</v>
      </c>
    </row>
    <row r="3612" spans="1:48">
      <c r="A3612" s="1">
        <f>HYPERLINK("https://lsnyc.legalserver.org/matter/dynamic-profile/view/0798326","16-0798326")</f>
        <v>0</v>
      </c>
      <c r="B3612" t="s">
        <v>60</v>
      </c>
      <c r="C3612" t="s">
        <v>256</v>
      </c>
      <c r="D3612" t="s">
        <v>1026</v>
      </c>
      <c r="F3612" t="s">
        <v>2080</v>
      </c>
      <c r="G3612" t="s">
        <v>3364</v>
      </c>
      <c r="H3612" t="s">
        <v>7038</v>
      </c>
      <c r="I3612" t="s">
        <v>8112</v>
      </c>
      <c r="J3612" t="s">
        <v>9063</v>
      </c>
      <c r="K3612">
        <v>11101</v>
      </c>
      <c r="L3612" t="s">
        <v>9094</v>
      </c>
      <c r="M3612" t="s">
        <v>9095</v>
      </c>
      <c r="N3612" t="s">
        <v>10455</v>
      </c>
      <c r="O3612" t="s">
        <v>11129</v>
      </c>
      <c r="P3612" t="s">
        <v>11165</v>
      </c>
      <c r="R3612" t="s">
        <v>11180</v>
      </c>
      <c r="T3612" t="s">
        <v>11183</v>
      </c>
      <c r="V3612" t="s">
        <v>1083</v>
      </c>
      <c r="W3612">
        <v>753.64</v>
      </c>
      <c r="X3612" t="s">
        <v>11331</v>
      </c>
      <c r="Y3612" t="s">
        <v>11349</v>
      </c>
      <c r="Z3612" t="s">
        <v>12471</v>
      </c>
      <c r="AB3612" t="s">
        <v>17532</v>
      </c>
      <c r="AC3612">
        <v>45</v>
      </c>
      <c r="AD3612" t="s">
        <v>19566</v>
      </c>
      <c r="AE3612" t="s">
        <v>9144</v>
      </c>
      <c r="AF3612">
        <v>10</v>
      </c>
      <c r="AG3612">
        <v>1</v>
      </c>
      <c r="AH3612">
        <v>1</v>
      </c>
      <c r="AI3612">
        <v>124.84</v>
      </c>
      <c r="AL3612" t="s">
        <v>19614</v>
      </c>
      <c r="AM3612">
        <v>20000</v>
      </c>
      <c r="AS3612">
        <v>35.1</v>
      </c>
      <c r="AT3612" t="s">
        <v>1075</v>
      </c>
      <c r="AU3612" t="s">
        <v>153</v>
      </c>
    </row>
    <row r="3613" spans="1:48">
      <c r="A3613" s="1">
        <f>HYPERLINK("https://lsnyc.legalserver.org/matter/dynamic-profile/view/1911428","19-1911428")</f>
        <v>0</v>
      </c>
      <c r="B3613" t="s">
        <v>71</v>
      </c>
      <c r="C3613" t="s">
        <v>256</v>
      </c>
      <c r="D3613" t="s">
        <v>832</v>
      </c>
      <c r="F3613" t="s">
        <v>1801</v>
      </c>
      <c r="G3613" t="s">
        <v>2903</v>
      </c>
      <c r="H3613" t="s">
        <v>7388</v>
      </c>
      <c r="J3613" t="s">
        <v>9059</v>
      </c>
      <c r="K3613">
        <v>11233</v>
      </c>
      <c r="L3613" t="s">
        <v>9094</v>
      </c>
      <c r="M3613" t="s">
        <v>9095</v>
      </c>
      <c r="N3613" t="s">
        <v>10456</v>
      </c>
      <c r="O3613" t="s">
        <v>11128</v>
      </c>
      <c r="P3613" t="s">
        <v>11167</v>
      </c>
      <c r="R3613" t="s">
        <v>11180</v>
      </c>
      <c r="S3613" t="s">
        <v>9096</v>
      </c>
      <c r="T3613" t="s">
        <v>11183</v>
      </c>
      <c r="U3613" t="s">
        <v>11201</v>
      </c>
      <c r="V3613" t="s">
        <v>563</v>
      </c>
      <c r="W3613">
        <v>2100</v>
      </c>
      <c r="X3613" t="s">
        <v>11332</v>
      </c>
      <c r="Y3613" t="s">
        <v>11345</v>
      </c>
      <c r="Z3613" t="s">
        <v>13769</v>
      </c>
      <c r="AA3613" t="s">
        <v>15808</v>
      </c>
      <c r="AB3613" t="s">
        <v>18095</v>
      </c>
      <c r="AC3613">
        <v>4</v>
      </c>
      <c r="AD3613" t="s">
        <v>19565</v>
      </c>
      <c r="AE3613" t="s">
        <v>19580</v>
      </c>
      <c r="AF3613">
        <v>3</v>
      </c>
      <c r="AG3613">
        <v>3</v>
      </c>
      <c r="AH3613">
        <v>1</v>
      </c>
      <c r="AI3613">
        <v>124.85</v>
      </c>
      <c r="AL3613" t="s">
        <v>19614</v>
      </c>
      <c r="AM3613">
        <v>32150</v>
      </c>
      <c r="AS3613">
        <v>2</v>
      </c>
      <c r="AT3613" t="s">
        <v>563</v>
      </c>
      <c r="AU3613" t="s">
        <v>95</v>
      </c>
      <c r="AV3613" t="s">
        <v>20733</v>
      </c>
    </row>
    <row r="3614" spans="1:48">
      <c r="A3614" s="1">
        <f>HYPERLINK("https://lsnyc.legalserver.org/matter/dynamic-profile/view/1903617","19-1903617")</f>
        <v>0</v>
      </c>
      <c r="B3614" t="s">
        <v>196</v>
      </c>
      <c r="C3614" t="s">
        <v>256</v>
      </c>
      <c r="D3614" t="s">
        <v>700</v>
      </c>
      <c r="F3614" t="s">
        <v>1711</v>
      </c>
      <c r="G3614" t="s">
        <v>3325</v>
      </c>
      <c r="H3614" t="s">
        <v>7389</v>
      </c>
      <c r="I3614" t="s">
        <v>8178</v>
      </c>
      <c r="J3614" t="s">
        <v>9067</v>
      </c>
      <c r="K3614">
        <v>10033</v>
      </c>
      <c r="L3614" t="s">
        <v>9094</v>
      </c>
      <c r="M3614" t="s">
        <v>9095</v>
      </c>
      <c r="N3614" t="s">
        <v>10457</v>
      </c>
      <c r="O3614" t="s">
        <v>11128</v>
      </c>
      <c r="P3614" t="s">
        <v>11165</v>
      </c>
      <c r="R3614" t="s">
        <v>11180</v>
      </c>
      <c r="S3614" t="s">
        <v>9096</v>
      </c>
      <c r="T3614" t="s">
        <v>11183</v>
      </c>
      <c r="V3614" t="s">
        <v>493</v>
      </c>
      <c r="W3614">
        <v>1123.72</v>
      </c>
      <c r="X3614" t="s">
        <v>11335</v>
      </c>
      <c r="Z3614" t="s">
        <v>13770</v>
      </c>
      <c r="AB3614" t="s">
        <v>18096</v>
      </c>
      <c r="AC3614">
        <v>53</v>
      </c>
      <c r="AF3614">
        <v>29</v>
      </c>
      <c r="AG3614">
        <v>1</v>
      </c>
      <c r="AH3614">
        <v>0</v>
      </c>
      <c r="AI3614">
        <v>124.89</v>
      </c>
      <c r="AL3614" t="s">
        <v>19615</v>
      </c>
      <c r="AM3614">
        <v>15598.8</v>
      </c>
      <c r="AS3614">
        <v>11.05</v>
      </c>
      <c r="AT3614" t="s">
        <v>339</v>
      </c>
      <c r="AU3614" t="s">
        <v>20658</v>
      </c>
      <c r="AV3614" t="s">
        <v>20733</v>
      </c>
    </row>
    <row r="3615" spans="1:48">
      <c r="A3615" s="1">
        <f>HYPERLINK("https://lsnyc.legalserver.org/matter/dynamic-profile/view/1915268","19-1915268")</f>
        <v>0</v>
      </c>
      <c r="B3615" t="s">
        <v>136</v>
      </c>
      <c r="C3615" t="s">
        <v>256</v>
      </c>
      <c r="D3615" t="s">
        <v>321</v>
      </c>
      <c r="F3615" t="s">
        <v>1199</v>
      </c>
      <c r="G3615" t="s">
        <v>4826</v>
      </c>
      <c r="H3615" t="s">
        <v>7390</v>
      </c>
      <c r="I3615" t="s">
        <v>8170</v>
      </c>
      <c r="J3615" t="s">
        <v>9067</v>
      </c>
      <c r="K3615">
        <v>10029</v>
      </c>
      <c r="L3615" t="s">
        <v>9094</v>
      </c>
      <c r="M3615" t="s">
        <v>9095</v>
      </c>
      <c r="O3615" t="s">
        <v>11130</v>
      </c>
      <c r="P3615" t="s">
        <v>11165</v>
      </c>
      <c r="R3615" t="s">
        <v>11180</v>
      </c>
      <c r="S3615" t="s">
        <v>9096</v>
      </c>
      <c r="T3615" t="s">
        <v>11183</v>
      </c>
      <c r="U3615" t="s">
        <v>11201</v>
      </c>
      <c r="V3615" t="s">
        <v>321</v>
      </c>
      <c r="W3615">
        <v>1138</v>
      </c>
      <c r="X3615" t="s">
        <v>11335</v>
      </c>
      <c r="Y3615" t="s">
        <v>11340</v>
      </c>
      <c r="Z3615" t="s">
        <v>12754</v>
      </c>
      <c r="AB3615" t="s">
        <v>18097</v>
      </c>
      <c r="AC3615">
        <v>10</v>
      </c>
      <c r="AD3615" t="s">
        <v>19566</v>
      </c>
      <c r="AE3615" t="s">
        <v>9144</v>
      </c>
      <c r="AF3615">
        <v>15</v>
      </c>
      <c r="AG3615">
        <v>1</v>
      </c>
      <c r="AH3615">
        <v>2</v>
      </c>
      <c r="AI3615">
        <v>124.89</v>
      </c>
      <c r="AL3615" t="s">
        <v>19614</v>
      </c>
      <c r="AM3615">
        <v>26640</v>
      </c>
      <c r="AQ3615" t="s">
        <v>20369</v>
      </c>
      <c r="AR3615" t="s">
        <v>20520</v>
      </c>
      <c r="AS3615">
        <v>0</v>
      </c>
      <c r="AU3615" t="s">
        <v>20657</v>
      </c>
      <c r="AV3615" t="s">
        <v>20733</v>
      </c>
    </row>
    <row r="3616" spans="1:48">
      <c r="A3616" s="1">
        <f>HYPERLINK("https://lsnyc.legalserver.org/matter/dynamic-profile/view/1900479","19-1900479")</f>
        <v>0</v>
      </c>
      <c r="B3616" t="s">
        <v>240</v>
      </c>
      <c r="C3616" t="s">
        <v>256</v>
      </c>
      <c r="D3616" t="s">
        <v>262</v>
      </c>
      <c r="F3616" t="s">
        <v>1199</v>
      </c>
      <c r="G3616" t="s">
        <v>4826</v>
      </c>
      <c r="H3616" t="s">
        <v>7390</v>
      </c>
      <c r="I3616" t="s">
        <v>8170</v>
      </c>
      <c r="J3616" t="s">
        <v>9067</v>
      </c>
      <c r="K3616">
        <v>10029</v>
      </c>
      <c r="L3616" t="s">
        <v>9094</v>
      </c>
      <c r="M3616" t="s">
        <v>9095</v>
      </c>
      <c r="O3616" t="s">
        <v>11131</v>
      </c>
      <c r="P3616" t="s">
        <v>11166</v>
      </c>
      <c r="R3616" t="s">
        <v>11180</v>
      </c>
      <c r="S3616" t="s">
        <v>9096</v>
      </c>
      <c r="T3616" t="s">
        <v>11191</v>
      </c>
      <c r="U3616" t="s">
        <v>11201</v>
      </c>
      <c r="V3616" t="s">
        <v>950</v>
      </c>
      <c r="W3616">
        <v>1138</v>
      </c>
      <c r="X3616" t="s">
        <v>11335</v>
      </c>
      <c r="Z3616" t="s">
        <v>12754</v>
      </c>
      <c r="AB3616" t="s">
        <v>18097</v>
      </c>
      <c r="AC3616">
        <v>10</v>
      </c>
      <c r="AD3616" t="s">
        <v>19566</v>
      </c>
      <c r="AE3616" t="s">
        <v>9144</v>
      </c>
      <c r="AF3616">
        <v>15</v>
      </c>
      <c r="AG3616">
        <v>1</v>
      </c>
      <c r="AH3616">
        <v>2</v>
      </c>
      <c r="AI3616">
        <v>124.89</v>
      </c>
      <c r="AL3616" t="s">
        <v>19614</v>
      </c>
      <c r="AM3616">
        <v>26640</v>
      </c>
      <c r="AS3616">
        <v>8.25</v>
      </c>
      <c r="AT3616" t="s">
        <v>279</v>
      </c>
      <c r="AU3616" t="s">
        <v>20657</v>
      </c>
      <c r="AV3616" t="s">
        <v>20733</v>
      </c>
    </row>
    <row r="3617" spans="1:48">
      <c r="A3617" s="1">
        <f>HYPERLINK("https://lsnyc.legalserver.org/matter/dynamic-profile/view/1889043","19-1889043")</f>
        <v>0</v>
      </c>
      <c r="B3617" t="s">
        <v>54</v>
      </c>
      <c r="C3617" t="s">
        <v>256</v>
      </c>
      <c r="D3617" t="s">
        <v>503</v>
      </c>
      <c r="F3617" t="s">
        <v>2592</v>
      </c>
      <c r="G3617" t="s">
        <v>2930</v>
      </c>
      <c r="H3617" t="s">
        <v>5698</v>
      </c>
      <c r="I3617" t="s">
        <v>8600</v>
      </c>
      <c r="J3617" t="s">
        <v>9038</v>
      </c>
      <c r="K3617">
        <v>11691</v>
      </c>
      <c r="L3617" t="s">
        <v>9094</v>
      </c>
      <c r="M3617" t="s">
        <v>9094</v>
      </c>
      <c r="N3617" t="s">
        <v>10458</v>
      </c>
      <c r="O3617" t="s">
        <v>11137</v>
      </c>
      <c r="P3617" t="s">
        <v>11166</v>
      </c>
      <c r="R3617" t="s">
        <v>11180</v>
      </c>
      <c r="S3617" t="s">
        <v>9096</v>
      </c>
      <c r="T3617" t="s">
        <v>11183</v>
      </c>
      <c r="U3617" t="s">
        <v>11199</v>
      </c>
      <c r="V3617" t="s">
        <v>503</v>
      </c>
      <c r="W3617">
        <v>1020</v>
      </c>
      <c r="X3617" t="s">
        <v>11331</v>
      </c>
      <c r="Y3617" t="s">
        <v>11340</v>
      </c>
      <c r="Z3617" t="s">
        <v>13771</v>
      </c>
      <c r="AB3617" t="s">
        <v>18098</v>
      </c>
      <c r="AC3617">
        <v>231</v>
      </c>
      <c r="AD3617" t="s">
        <v>19568</v>
      </c>
      <c r="AE3617" t="s">
        <v>9144</v>
      </c>
      <c r="AF3617">
        <v>7</v>
      </c>
      <c r="AG3617">
        <v>1</v>
      </c>
      <c r="AH3617">
        <v>0</v>
      </c>
      <c r="AI3617">
        <v>124.9</v>
      </c>
      <c r="AL3617" t="s">
        <v>19614</v>
      </c>
      <c r="AM3617">
        <v>15600</v>
      </c>
      <c r="AS3617">
        <v>1.2</v>
      </c>
      <c r="AT3617" t="s">
        <v>336</v>
      </c>
      <c r="AU3617" t="s">
        <v>20620</v>
      </c>
    </row>
    <row r="3618" spans="1:48">
      <c r="A3618" s="1">
        <f>HYPERLINK("https://lsnyc.legalserver.org/matter/dynamic-profile/view/1907667","19-1907667")</f>
        <v>0</v>
      </c>
      <c r="B3618" t="s">
        <v>82</v>
      </c>
      <c r="C3618" t="s">
        <v>256</v>
      </c>
      <c r="D3618" t="s">
        <v>429</v>
      </c>
      <c r="F3618" t="s">
        <v>1616</v>
      </c>
      <c r="G3618" t="s">
        <v>4827</v>
      </c>
      <c r="H3618" t="s">
        <v>6393</v>
      </c>
      <c r="I3618" t="s">
        <v>8134</v>
      </c>
      <c r="J3618" t="s">
        <v>9059</v>
      </c>
      <c r="K3618">
        <v>11226</v>
      </c>
      <c r="L3618" t="s">
        <v>9094</v>
      </c>
      <c r="M3618" t="s">
        <v>9095</v>
      </c>
      <c r="O3618" t="s">
        <v>11134</v>
      </c>
      <c r="P3618" t="s">
        <v>11168</v>
      </c>
      <c r="R3618" t="s">
        <v>11180</v>
      </c>
      <c r="S3618" t="s">
        <v>9094</v>
      </c>
      <c r="T3618" t="s">
        <v>11183</v>
      </c>
      <c r="V3618" t="s">
        <v>429</v>
      </c>
      <c r="W3618">
        <v>0</v>
      </c>
      <c r="X3618" t="s">
        <v>11332</v>
      </c>
      <c r="Z3618" t="s">
        <v>13772</v>
      </c>
      <c r="AB3618" t="s">
        <v>18099</v>
      </c>
      <c r="AC3618">
        <v>36</v>
      </c>
      <c r="AD3618" t="s">
        <v>19566</v>
      </c>
      <c r="AF3618">
        <v>0</v>
      </c>
      <c r="AG3618">
        <v>1</v>
      </c>
      <c r="AH3618">
        <v>0</v>
      </c>
      <c r="AI3618">
        <v>124.9</v>
      </c>
      <c r="AL3618" t="s">
        <v>19637</v>
      </c>
      <c r="AM3618">
        <v>15600</v>
      </c>
      <c r="AS3618">
        <v>0.2</v>
      </c>
      <c r="AT3618" t="s">
        <v>429</v>
      </c>
      <c r="AU3618" t="s">
        <v>67</v>
      </c>
    </row>
    <row r="3619" spans="1:48">
      <c r="A3619" s="1">
        <f>HYPERLINK("https://lsnyc.legalserver.org/matter/dynamic-profile/view/1900452","19-1900452")</f>
        <v>0</v>
      </c>
      <c r="B3619" t="s">
        <v>82</v>
      </c>
      <c r="C3619" t="s">
        <v>256</v>
      </c>
      <c r="D3619" t="s">
        <v>262</v>
      </c>
      <c r="F3619" t="s">
        <v>1616</v>
      </c>
      <c r="G3619" t="s">
        <v>4827</v>
      </c>
      <c r="H3619" t="s">
        <v>6393</v>
      </c>
      <c r="I3619" t="s">
        <v>8134</v>
      </c>
      <c r="J3619" t="s">
        <v>9059</v>
      </c>
      <c r="K3619">
        <v>11226</v>
      </c>
      <c r="L3619" t="s">
        <v>9094</v>
      </c>
      <c r="M3619" t="s">
        <v>9095</v>
      </c>
      <c r="N3619" t="s">
        <v>9634</v>
      </c>
      <c r="O3619" t="s">
        <v>11130</v>
      </c>
      <c r="P3619" t="s">
        <v>11165</v>
      </c>
      <c r="R3619" t="s">
        <v>11180</v>
      </c>
      <c r="S3619" t="s">
        <v>9094</v>
      </c>
      <c r="T3619" t="s">
        <v>11183</v>
      </c>
      <c r="U3619" t="s">
        <v>11201</v>
      </c>
      <c r="V3619" t="s">
        <v>262</v>
      </c>
      <c r="W3619">
        <v>965</v>
      </c>
      <c r="X3619" t="s">
        <v>11332</v>
      </c>
      <c r="Y3619" t="s">
        <v>11339</v>
      </c>
      <c r="Z3619" t="s">
        <v>13772</v>
      </c>
      <c r="AB3619" t="s">
        <v>18099</v>
      </c>
      <c r="AC3619">
        <v>36</v>
      </c>
      <c r="AD3619" t="s">
        <v>19566</v>
      </c>
      <c r="AF3619">
        <v>1</v>
      </c>
      <c r="AG3619">
        <v>1</v>
      </c>
      <c r="AH3619">
        <v>0</v>
      </c>
      <c r="AI3619">
        <v>124.9</v>
      </c>
      <c r="AL3619" t="s">
        <v>19637</v>
      </c>
      <c r="AM3619">
        <v>15600</v>
      </c>
      <c r="AS3619">
        <v>0.3</v>
      </c>
      <c r="AT3619" t="s">
        <v>262</v>
      </c>
      <c r="AU3619" t="s">
        <v>67</v>
      </c>
    </row>
    <row r="3620" spans="1:48">
      <c r="A3620" s="1">
        <f>HYPERLINK("https://lsnyc.legalserver.org/matter/dynamic-profile/view/1894211","19-1894211")</f>
        <v>0</v>
      </c>
      <c r="B3620" t="s">
        <v>230</v>
      </c>
      <c r="C3620" t="s">
        <v>257</v>
      </c>
      <c r="D3620" t="s">
        <v>507</v>
      </c>
      <c r="E3620" t="s">
        <v>362</v>
      </c>
      <c r="F3620" t="s">
        <v>1227</v>
      </c>
      <c r="G3620" t="s">
        <v>3863</v>
      </c>
      <c r="H3620" t="s">
        <v>6282</v>
      </c>
      <c r="I3620" t="s">
        <v>8365</v>
      </c>
      <c r="J3620" t="s">
        <v>9059</v>
      </c>
      <c r="K3620">
        <v>11208</v>
      </c>
      <c r="L3620" t="s">
        <v>9094</v>
      </c>
      <c r="M3620" t="s">
        <v>9094</v>
      </c>
      <c r="N3620" t="s">
        <v>10459</v>
      </c>
      <c r="O3620" t="s">
        <v>11128</v>
      </c>
      <c r="P3620" t="s">
        <v>11165</v>
      </c>
      <c r="Q3620" t="s">
        <v>11174</v>
      </c>
      <c r="R3620" t="s">
        <v>11180</v>
      </c>
      <c r="S3620" t="s">
        <v>9096</v>
      </c>
      <c r="T3620" t="s">
        <v>11183</v>
      </c>
      <c r="U3620" t="s">
        <v>11201</v>
      </c>
      <c r="V3620" t="s">
        <v>635</v>
      </c>
      <c r="W3620">
        <v>800</v>
      </c>
      <c r="X3620" t="s">
        <v>11332</v>
      </c>
      <c r="Y3620" t="s">
        <v>11336</v>
      </c>
      <c r="Z3620" t="s">
        <v>12051</v>
      </c>
      <c r="AA3620" t="s">
        <v>9144</v>
      </c>
      <c r="AB3620" t="s">
        <v>16497</v>
      </c>
      <c r="AC3620">
        <v>3</v>
      </c>
      <c r="AD3620" t="s">
        <v>19565</v>
      </c>
      <c r="AE3620" t="s">
        <v>19586</v>
      </c>
      <c r="AF3620">
        <v>1</v>
      </c>
      <c r="AG3620">
        <v>1</v>
      </c>
      <c r="AH3620">
        <v>0</v>
      </c>
      <c r="AI3620">
        <v>124.9</v>
      </c>
      <c r="AL3620" t="s">
        <v>19614</v>
      </c>
      <c r="AM3620">
        <v>15600</v>
      </c>
      <c r="AO3620" t="s">
        <v>20293</v>
      </c>
      <c r="AP3620" t="s">
        <v>20317</v>
      </c>
      <c r="AQ3620" t="s">
        <v>20369</v>
      </c>
      <c r="AR3620" t="s">
        <v>20457</v>
      </c>
      <c r="AS3620">
        <v>18.1</v>
      </c>
      <c r="AT3620" t="s">
        <v>362</v>
      </c>
      <c r="AU3620" t="s">
        <v>20626</v>
      </c>
      <c r="AV3620" t="s">
        <v>20733</v>
      </c>
    </row>
    <row r="3621" spans="1:48">
      <c r="A3621" s="1">
        <f>HYPERLINK("https://lsnyc.legalserver.org/matter/dynamic-profile/view/1903399","19-1903399")</f>
        <v>0</v>
      </c>
      <c r="B3621" t="s">
        <v>79</v>
      </c>
      <c r="C3621" t="s">
        <v>257</v>
      </c>
      <c r="D3621" t="s">
        <v>302</v>
      </c>
      <c r="E3621" t="s">
        <v>615</v>
      </c>
      <c r="F3621" t="s">
        <v>2593</v>
      </c>
      <c r="G3621" t="s">
        <v>4828</v>
      </c>
      <c r="H3621" t="s">
        <v>7391</v>
      </c>
      <c r="J3621" t="s">
        <v>9059</v>
      </c>
      <c r="K3621">
        <v>11208</v>
      </c>
      <c r="L3621" t="s">
        <v>9096</v>
      </c>
      <c r="M3621" t="s">
        <v>9095</v>
      </c>
      <c r="N3621" t="s">
        <v>9121</v>
      </c>
      <c r="O3621" t="s">
        <v>9121</v>
      </c>
      <c r="P3621" t="s">
        <v>11164</v>
      </c>
      <c r="Q3621" t="s">
        <v>11172</v>
      </c>
      <c r="R3621" t="s">
        <v>11180</v>
      </c>
      <c r="S3621" t="s">
        <v>9096</v>
      </c>
      <c r="T3621" t="s">
        <v>11183</v>
      </c>
      <c r="W3621">
        <v>710</v>
      </c>
      <c r="X3621" t="s">
        <v>11332</v>
      </c>
      <c r="Y3621" t="s">
        <v>11340</v>
      </c>
      <c r="Z3621" t="s">
        <v>13773</v>
      </c>
      <c r="AB3621" t="s">
        <v>18100</v>
      </c>
      <c r="AC3621">
        <v>2</v>
      </c>
      <c r="AD3621" t="s">
        <v>19565</v>
      </c>
      <c r="AE3621" t="s">
        <v>9144</v>
      </c>
      <c r="AF3621">
        <v>3</v>
      </c>
      <c r="AG3621">
        <v>1</v>
      </c>
      <c r="AH3621">
        <v>0</v>
      </c>
      <c r="AI3621">
        <v>124.9</v>
      </c>
      <c r="AL3621" t="s">
        <v>19614</v>
      </c>
      <c r="AM3621">
        <v>15600</v>
      </c>
      <c r="AN3621" t="s">
        <v>19682</v>
      </c>
      <c r="AS3621">
        <v>0.5</v>
      </c>
      <c r="AT3621" t="s">
        <v>302</v>
      </c>
      <c r="AU3621" t="s">
        <v>20632</v>
      </c>
      <c r="AV3621" t="s">
        <v>9144</v>
      </c>
    </row>
    <row r="3622" spans="1:48">
      <c r="A3622" s="1">
        <f>HYPERLINK("https://lsnyc.legalserver.org/matter/dynamic-profile/view/1900038","19-1900038")</f>
        <v>0</v>
      </c>
      <c r="B3622" t="s">
        <v>113</v>
      </c>
      <c r="C3622" t="s">
        <v>256</v>
      </c>
      <c r="D3622" t="s">
        <v>293</v>
      </c>
      <c r="F3622" t="s">
        <v>1241</v>
      </c>
      <c r="G3622" t="s">
        <v>4829</v>
      </c>
      <c r="H3622" t="s">
        <v>5864</v>
      </c>
      <c r="I3622" t="s">
        <v>8263</v>
      </c>
      <c r="J3622" t="s">
        <v>9065</v>
      </c>
      <c r="K3622">
        <v>10460</v>
      </c>
      <c r="L3622" t="s">
        <v>9094</v>
      </c>
      <c r="M3622" t="s">
        <v>9095</v>
      </c>
      <c r="O3622" t="s">
        <v>9121</v>
      </c>
      <c r="P3622" t="s">
        <v>11166</v>
      </c>
      <c r="R3622" t="s">
        <v>11180</v>
      </c>
      <c r="S3622" t="s">
        <v>9094</v>
      </c>
      <c r="T3622" t="s">
        <v>11183</v>
      </c>
      <c r="V3622" t="s">
        <v>11218</v>
      </c>
      <c r="W3622">
        <v>1600</v>
      </c>
      <c r="X3622" t="s">
        <v>11333</v>
      </c>
      <c r="Y3622" t="s">
        <v>11346</v>
      </c>
      <c r="Z3622" t="s">
        <v>13774</v>
      </c>
      <c r="AB3622" t="s">
        <v>18101</v>
      </c>
      <c r="AC3622">
        <v>168</v>
      </c>
      <c r="AD3622" t="s">
        <v>19566</v>
      </c>
      <c r="AE3622" t="s">
        <v>9144</v>
      </c>
      <c r="AF3622">
        <v>18</v>
      </c>
      <c r="AG3622">
        <v>1</v>
      </c>
      <c r="AH3622">
        <v>0</v>
      </c>
      <c r="AI3622">
        <v>124.9</v>
      </c>
      <c r="AL3622" t="s">
        <v>19614</v>
      </c>
      <c r="AM3622">
        <v>15600</v>
      </c>
      <c r="AS3622">
        <v>4</v>
      </c>
      <c r="AT3622" t="s">
        <v>276</v>
      </c>
      <c r="AU3622" t="s">
        <v>220</v>
      </c>
      <c r="AV3622" t="s">
        <v>20733</v>
      </c>
    </row>
    <row r="3623" spans="1:48">
      <c r="A3623" s="1">
        <f>HYPERLINK("https://lsnyc.legalserver.org/matter/dynamic-profile/view/1900540","19-1900540")</f>
        <v>0</v>
      </c>
      <c r="B3623" t="s">
        <v>241</v>
      </c>
      <c r="C3623" t="s">
        <v>256</v>
      </c>
      <c r="D3623" t="s">
        <v>283</v>
      </c>
      <c r="F3623" t="s">
        <v>1426</v>
      </c>
      <c r="G3623" t="s">
        <v>4830</v>
      </c>
      <c r="H3623" t="s">
        <v>5877</v>
      </c>
      <c r="I3623" t="s">
        <v>8758</v>
      </c>
      <c r="J3623" t="s">
        <v>9065</v>
      </c>
      <c r="K3623">
        <v>10457</v>
      </c>
      <c r="L3623" t="s">
        <v>9094</v>
      </c>
      <c r="M3623" t="s">
        <v>9095</v>
      </c>
      <c r="N3623" t="s">
        <v>10460</v>
      </c>
      <c r="O3623" t="s">
        <v>11129</v>
      </c>
      <c r="P3623" t="s">
        <v>11165</v>
      </c>
      <c r="R3623" t="s">
        <v>11180</v>
      </c>
      <c r="S3623" t="s">
        <v>9096</v>
      </c>
      <c r="T3623" t="s">
        <v>11183</v>
      </c>
      <c r="V3623" t="s">
        <v>283</v>
      </c>
      <c r="W3623">
        <v>3519</v>
      </c>
      <c r="X3623" t="s">
        <v>11333</v>
      </c>
      <c r="Y3623" t="s">
        <v>11345</v>
      </c>
      <c r="Z3623" t="s">
        <v>13775</v>
      </c>
      <c r="AB3623" t="s">
        <v>18102</v>
      </c>
      <c r="AC3623">
        <v>84</v>
      </c>
      <c r="AD3623" t="s">
        <v>19566</v>
      </c>
      <c r="AE3623" t="s">
        <v>19580</v>
      </c>
      <c r="AF3623">
        <v>31</v>
      </c>
      <c r="AG3623">
        <v>1</v>
      </c>
      <c r="AH3623">
        <v>0</v>
      </c>
      <c r="AI3623">
        <v>124.9</v>
      </c>
      <c r="AL3623" t="s">
        <v>19614</v>
      </c>
      <c r="AM3623">
        <v>15600</v>
      </c>
      <c r="AS3623">
        <v>17.9</v>
      </c>
      <c r="AT3623" t="s">
        <v>377</v>
      </c>
      <c r="AU3623" t="s">
        <v>220</v>
      </c>
      <c r="AV3623" t="s">
        <v>20733</v>
      </c>
    </row>
    <row r="3624" spans="1:48">
      <c r="A3624" s="1">
        <f>HYPERLINK("https://lsnyc.legalserver.org/matter/dynamic-profile/view/1891040","19-1891040")</f>
        <v>0</v>
      </c>
      <c r="B3624" t="s">
        <v>126</v>
      </c>
      <c r="C3624" t="s">
        <v>257</v>
      </c>
      <c r="D3624" t="s">
        <v>573</v>
      </c>
      <c r="E3624" t="s">
        <v>669</v>
      </c>
      <c r="F3624" t="s">
        <v>2594</v>
      </c>
      <c r="G3624" t="s">
        <v>4831</v>
      </c>
      <c r="H3624" t="s">
        <v>6444</v>
      </c>
      <c r="I3624" t="s">
        <v>8643</v>
      </c>
      <c r="J3624" t="s">
        <v>9066</v>
      </c>
      <c r="K3624">
        <v>10304</v>
      </c>
      <c r="L3624" t="s">
        <v>9094</v>
      </c>
      <c r="M3624" t="s">
        <v>9095</v>
      </c>
      <c r="N3624" t="s">
        <v>10461</v>
      </c>
      <c r="O3624" t="s">
        <v>11129</v>
      </c>
      <c r="P3624" t="s">
        <v>11165</v>
      </c>
      <c r="Q3624" t="s">
        <v>11174</v>
      </c>
      <c r="R3624" t="s">
        <v>11180</v>
      </c>
      <c r="T3624" t="s">
        <v>11183</v>
      </c>
      <c r="V3624" t="s">
        <v>597</v>
      </c>
      <c r="W3624">
        <v>0</v>
      </c>
      <c r="X3624" t="s">
        <v>11334</v>
      </c>
      <c r="Z3624" t="s">
        <v>13776</v>
      </c>
      <c r="AB3624" t="s">
        <v>18103</v>
      </c>
      <c r="AC3624">
        <v>0</v>
      </c>
      <c r="AF3624">
        <v>0</v>
      </c>
      <c r="AG3624">
        <v>1</v>
      </c>
      <c r="AH3624">
        <v>0</v>
      </c>
      <c r="AI3624">
        <v>124.9</v>
      </c>
      <c r="AL3624" t="s">
        <v>19614</v>
      </c>
      <c r="AM3624">
        <v>15600</v>
      </c>
      <c r="AS3624">
        <v>31.9</v>
      </c>
      <c r="AT3624" t="s">
        <v>335</v>
      </c>
      <c r="AU3624" t="s">
        <v>20652</v>
      </c>
      <c r="AV3624" t="s">
        <v>20733</v>
      </c>
    </row>
    <row r="3625" spans="1:48">
      <c r="A3625" s="1">
        <f>HYPERLINK("https://lsnyc.legalserver.org/matter/dynamic-profile/view/1904208","19-1904208")</f>
        <v>0</v>
      </c>
      <c r="B3625" t="s">
        <v>123</v>
      </c>
      <c r="C3625" t="s">
        <v>256</v>
      </c>
      <c r="D3625" t="s">
        <v>312</v>
      </c>
      <c r="F3625" t="s">
        <v>1260</v>
      </c>
      <c r="G3625" t="s">
        <v>4832</v>
      </c>
      <c r="H3625" t="s">
        <v>7392</v>
      </c>
      <c r="I3625">
        <v>210</v>
      </c>
      <c r="J3625" t="s">
        <v>9066</v>
      </c>
      <c r="K3625">
        <v>10303</v>
      </c>
      <c r="L3625" t="s">
        <v>9094</v>
      </c>
      <c r="M3625" t="s">
        <v>9095</v>
      </c>
      <c r="N3625" t="s">
        <v>10462</v>
      </c>
      <c r="O3625" t="s">
        <v>11128</v>
      </c>
      <c r="P3625" t="s">
        <v>11165</v>
      </c>
      <c r="R3625" t="s">
        <v>11180</v>
      </c>
      <c r="S3625" t="s">
        <v>9096</v>
      </c>
      <c r="T3625" t="s">
        <v>11183</v>
      </c>
      <c r="U3625" t="s">
        <v>11201</v>
      </c>
      <c r="W3625">
        <v>1020</v>
      </c>
      <c r="X3625" t="s">
        <v>11334</v>
      </c>
      <c r="Y3625" t="s">
        <v>11345</v>
      </c>
      <c r="Z3625" t="s">
        <v>13777</v>
      </c>
      <c r="AB3625" t="s">
        <v>18104</v>
      </c>
      <c r="AC3625">
        <v>0</v>
      </c>
      <c r="AD3625" t="s">
        <v>19575</v>
      </c>
      <c r="AE3625" t="s">
        <v>9144</v>
      </c>
      <c r="AF3625">
        <v>3</v>
      </c>
      <c r="AG3625">
        <v>1</v>
      </c>
      <c r="AH3625">
        <v>0</v>
      </c>
      <c r="AI3625">
        <v>124.9</v>
      </c>
      <c r="AL3625" t="s">
        <v>19614</v>
      </c>
      <c r="AM3625">
        <v>15600</v>
      </c>
      <c r="AO3625" t="s">
        <v>20292</v>
      </c>
      <c r="AP3625" t="s">
        <v>20348</v>
      </c>
      <c r="AQ3625" t="s">
        <v>20369</v>
      </c>
      <c r="AR3625" t="s">
        <v>20521</v>
      </c>
      <c r="AS3625">
        <v>37.05</v>
      </c>
      <c r="AT3625" t="s">
        <v>488</v>
      </c>
      <c r="AU3625" t="s">
        <v>20653</v>
      </c>
      <c r="AV3625" t="s">
        <v>20733</v>
      </c>
    </row>
    <row r="3626" spans="1:48">
      <c r="A3626" s="1">
        <f>HYPERLINK("https://lsnyc.legalserver.org/matter/dynamic-profile/view/1901265","19-1901265")</f>
        <v>0</v>
      </c>
      <c r="B3626" t="s">
        <v>212</v>
      </c>
      <c r="C3626" t="s">
        <v>256</v>
      </c>
      <c r="D3626" t="s">
        <v>422</v>
      </c>
      <c r="F3626" t="s">
        <v>2595</v>
      </c>
      <c r="G3626" t="s">
        <v>4833</v>
      </c>
      <c r="H3626" t="s">
        <v>7393</v>
      </c>
      <c r="I3626">
        <v>8</v>
      </c>
      <c r="J3626" t="s">
        <v>9067</v>
      </c>
      <c r="K3626">
        <v>10128</v>
      </c>
      <c r="L3626" t="s">
        <v>9094</v>
      </c>
      <c r="M3626" t="s">
        <v>9095</v>
      </c>
      <c r="N3626" t="s">
        <v>10463</v>
      </c>
      <c r="O3626" t="s">
        <v>11129</v>
      </c>
      <c r="P3626" t="s">
        <v>11164</v>
      </c>
      <c r="R3626" t="s">
        <v>11180</v>
      </c>
      <c r="S3626" t="s">
        <v>9096</v>
      </c>
      <c r="T3626" t="s">
        <v>11183</v>
      </c>
      <c r="U3626" t="s">
        <v>11202</v>
      </c>
      <c r="V3626" t="s">
        <v>422</v>
      </c>
      <c r="W3626">
        <v>1138.34</v>
      </c>
      <c r="X3626" t="s">
        <v>11335</v>
      </c>
      <c r="Y3626" t="s">
        <v>11336</v>
      </c>
      <c r="Z3626" t="s">
        <v>13778</v>
      </c>
      <c r="AC3626">
        <v>20</v>
      </c>
      <c r="AE3626" t="s">
        <v>9144</v>
      </c>
      <c r="AF3626">
        <v>20</v>
      </c>
      <c r="AG3626">
        <v>1</v>
      </c>
      <c r="AH3626">
        <v>0</v>
      </c>
      <c r="AI3626">
        <v>124.9</v>
      </c>
      <c r="AL3626" t="s">
        <v>19614</v>
      </c>
      <c r="AM3626">
        <v>15600</v>
      </c>
      <c r="AS3626">
        <v>1</v>
      </c>
      <c r="AT3626" t="s">
        <v>422</v>
      </c>
      <c r="AU3626" t="s">
        <v>20657</v>
      </c>
      <c r="AV3626" t="s">
        <v>20733</v>
      </c>
    </row>
    <row r="3627" spans="1:48">
      <c r="A3627" s="1">
        <f>HYPERLINK("https://lsnyc.legalserver.org/matter/dynamic-profile/view/1904914","19-1904914")</f>
        <v>0</v>
      </c>
      <c r="B3627" t="s">
        <v>134</v>
      </c>
      <c r="C3627" t="s">
        <v>256</v>
      </c>
      <c r="D3627" t="s">
        <v>660</v>
      </c>
      <c r="F3627" t="s">
        <v>2596</v>
      </c>
      <c r="G3627" t="s">
        <v>3374</v>
      </c>
      <c r="H3627" t="s">
        <v>6449</v>
      </c>
      <c r="I3627">
        <v>4</v>
      </c>
      <c r="J3627" t="s">
        <v>9067</v>
      </c>
      <c r="K3627">
        <v>10033</v>
      </c>
      <c r="L3627" t="s">
        <v>9094</v>
      </c>
      <c r="M3627" t="s">
        <v>9095</v>
      </c>
      <c r="O3627" t="s">
        <v>11136</v>
      </c>
      <c r="P3627" t="s">
        <v>11164</v>
      </c>
      <c r="R3627" t="s">
        <v>11180</v>
      </c>
      <c r="S3627" t="s">
        <v>9096</v>
      </c>
      <c r="T3627" t="s">
        <v>11183</v>
      </c>
      <c r="V3627" t="s">
        <v>660</v>
      </c>
      <c r="W3627">
        <v>529</v>
      </c>
      <c r="X3627" t="s">
        <v>11335</v>
      </c>
      <c r="Y3627" t="s">
        <v>11338</v>
      </c>
      <c r="Z3627" t="s">
        <v>11829</v>
      </c>
      <c r="AB3627" t="s">
        <v>18105</v>
      </c>
      <c r="AC3627">
        <v>20</v>
      </c>
      <c r="AD3627" t="s">
        <v>19566</v>
      </c>
      <c r="AE3627" t="s">
        <v>9144</v>
      </c>
      <c r="AF3627">
        <v>2</v>
      </c>
      <c r="AG3627">
        <v>1</v>
      </c>
      <c r="AH3627">
        <v>0</v>
      </c>
      <c r="AI3627">
        <v>124.9</v>
      </c>
      <c r="AL3627" t="s">
        <v>19614</v>
      </c>
      <c r="AM3627">
        <v>15600</v>
      </c>
      <c r="AS3627">
        <v>1.2</v>
      </c>
      <c r="AT3627" t="s">
        <v>414</v>
      </c>
      <c r="AU3627" t="s">
        <v>130</v>
      </c>
      <c r="AV3627" t="s">
        <v>20733</v>
      </c>
    </row>
    <row r="3628" spans="1:48">
      <c r="A3628" s="1">
        <f>HYPERLINK("https://lsnyc.legalserver.org/matter/dynamic-profile/view/1889088","19-1889088")</f>
        <v>0</v>
      </c>
      <c r="B3628" t="s">
        <v>138</v>
      </c>
      <c r="C3628" t="s">
        <v>256</v>
      </c>
      <c r="D3628" t="s">
        <v>503</v>
      </c>
      <c r="F3628" t="s">
        <v>1404</v>
      </c>
      <c r="G3628" t="s">
        <v>3583</v>
      </c>
      <c r="H3628" t="s">
        <v>5944</v>
      </c>
      <c r="I3628">
        <v>33</v>
      </c>
      <c r="J3628" t="s">
        <v>9067</v>
      </c>
      <c r="K3628">
        <v>10034</v>
      </c>
      <c r="L3628" t="s">
        <v>9094</v>
      </c>
      <c r="M3628" t="s">
        <v>9094</v>
      </c>
      <c r="N3628" t="s">
        <v>10464</v>
      </c>
      <c r="O3628" t="s">
        <v>11129</v>
      </c>
      <c r="P3628" t="s">
        <v>11165</v>
      </c>
      <c r="R3628" t="s">
        <v>11180</v>
      </c>
      <c r="S3628" t="s">
        <v>9096</v>
      </c>
      <c r="T3628" t="s">
        <v>11183</v>
      </c>
      <c r="V3628" t="s">
        <v>503</v>
      </c>
      <c r="W3628">
        <v>1059</v>
      </c>
      <c r="X3628" t="s">
        <v>11335</v>
      </c>
      <c r="Y3628" t="s">
        <v>11340</v>
      </c>
      <c r="Z3628" t="s">
        <v>11656</v>
      </c>
      <c r="AB3628" t="s">
        <v>16132</v>
      </c>
      <c r="AC3628">
        <v>25</v>
      </c>
      <c r="AD3628" t="s">
        <v>19578</v>
      </c>
      <c r="AE3628" t="s">
        <v>19581</v>
      </c>
      <c r="AF3628">
        <v>4</v>
      </c>
      <c r="AG3628">
        <v>1</v>
      </c>
      <c r="AH3628">
        <v>4</v>
      </c>
      <c r="AI3628">
        <v>124.97</v>
      </c>
      <c r="AL3628" t="s">
        <v>19615</v>
      </c>
      <c r="AM3628">
        <v>37704</v>
      </c>
      <c r="AS3628">
        <v>33.35</v>
      </c>
      <c r="AT3628" t="s">
        <v>307</v>
      </c>
      <c r="AU3628" t="s">
        <v>130</v>
      </c>
      <c r="AV3628" t="s">
        <v>20733</v>
      </c>
    </row>
    <row r="3629" spans="1:48">
      <c r="A3629" s="1">
        <f>HYPERLINK("https://lsnyc.legalserver.org/matter/dynamic-profile/view/1889085","19-1889085")</f>
        <v>0</v>
      </c>
      <c r="B3629" t="s">
        <v>138</v>
      </c>
      <c r="C3629" t="s">
        <v>256</v>
      </c>
      <c r="D3629" t="s">
        <v>503</v>
      </c>
      <c r="F3629" t="s">
        <v>1404</v>
      </c>
      <c r="G3629" t="s">
        <v>3583</v>
      </c>
      <c r="H3629" t="s">
        <v>5944</v>
      </c>
      <c r="I3629">
        <v>33</v>
      </c>
      <c r="J3629" t="s">
        <v>9067</v>
      </c>
      <c r="K3629">
        <v>10034</v>
      </c>
      <c r="L3629" t="s">
        <v>9094</v>
      </c>
      <c r="M3629" t="s">
        <v>9094</v>
      </c>
      <c r="O3629" t="s">
        <v>11136</v>
      </c>
      <c r="P3629" t="s">
        <v>11166</v>
      </c>
      <c r="R3629" t="s">
        <v>11180</v>
      </c>
      <c r="S3629" t="s">
        <v>9096</v>
      </c>
      <c r="T3629" t="s">
        <v>11183</v>
      </c>
      <c r="V3629" t="s">
        <v>503</v>
      </c>
      <c r="W3629">
        <v>1059.36</v>
      </c>
      <c r="X3629" t="s">
        <v>11335</v>
      </c>
      <c r="Y3629" t="s">
        <v>11340</v>
      </c>
      <c r="Z3629" t="s">
        <v>11656</v>
      </c>
      <c r="AB3629" t="s">
        <v>16132</v>
      </c>
      <c r="AC3629">
        <v>25</v>
      </c>
      <c r="AD3629" t="s">
        <v>19566</v>
      </c>
      <c r="AE3629" t="s">
        <v>19582</v>
      </c>
      <c r="AF3629">
        <v>4</v>
      </c>
      <c r="AG3629">
        <v>1</v>
      </c>
      <c r="AH3629">
        <v>4</v>
      </c>
      <c r="AI3629">
        <v>124.97</v>
      </c>
      <c r="AL3629" t="s">
        <v>19615</v>
      </c>
      <c r="AM3629">
        <v>37704</v>
      </c>
      <c r="AS3629">
        <v>8</v>
      </c>
      <c r="AT3629" t="s">
        <v>899</v>
      </c>
      <c r="AU3629" t="s">
        <v>130</v>
      </c>
      <c r="AV3629" t="s">
        <v>20733</v>
      </c>
    </row>
    <row r="3630" spans="1:48">
      <c r="A3630" s="1">
        <f>HYPERLINK("https://lsnyc.legalserver.org/matter/dynamic-profile/view/1839206","17-1839206")</f>
        <v>0</v>
      </c>
      <c r="B3630" t="s">
        <v>173</v>
      </c>
      <c r="C3630" t="s">
        <v>256</v>
      </c>
      <c r="D3630" t="s">
        <v>1027</v>
      </c>
      <c r="F3630" t="s">
        <v>2573</v>
      </c>
      <c r="G3630" t="s">
        <v>4802</v>
      </c>
      <c r="H3630" t="s">
        <v>5706</v>
      </c>
      <c r="I3630" t="s">
        <v>8750</v>
      </c>
      <c r="J3630" t="s">
        <v>9039</v>
      </c>
      <c r="K3630">
        <v>11432</v>
      </c>
      <c r="L3630" t="s">
        <v>9094</v>
      </c>
      <c r="M3630" t="s">
        <v>9095</v>
      </c>
      <c r="N3630" t="s">
        <v>9112</v>
      </c>
      <c r="O3630" t="s">
        <v>11132</v>
      </c>
      <c r="P3630" t="s">
        <v>11165</v>
      </c>
      <c r="R3630" t="s">
        <v>11180</v>
      </c>
      <c r="S3630" t="s">
        <v>9094</v>
      </c>
      <c r="T3630" t="s">
        <v>11183</v>
      </c>
      <c r="V3630" t="s">
        <v>878</v>
      </c>
      <c r="W3630">
        <v>1226.89</v>
      </c>
      <c r="X3630" t="s">
        <v>11331</v>
      </c>
      <c r="Y3630" t="s">
        <v>11340</v>
      </c>
      <c r="Z3630" t="s">
        <v>11609</v>
      </c>
      <c r="AA3630" t="s">
        <v>9675</v>
      </c>
      <c r="AB3630" t="s">
        <v>18064</v>
      </c>
      <c r="AC3630">
        <v>185</v>
      </c>
      <c r="AD3630" t="s">
        <v>19566</v>
      </c>
      <c r="AE3630" t="s">
        <v>9144</v>
      </c>
      <c r="AF3630">
        <v>5</v>
      </c>
      <c r="AG3630">
        <v>2</v>
      </c>
      <c r="AH3630">
        <v>3</v>
      </c>
      <c r="AI3630">
        <v>125.09</v>
      </c>
      <c r="AJ3630" t="s">
        <v>19592</v>
      </c>
      <c r="AL3630" t="s">
        <v>19616</v>
      </c>
      <c r="AM3630">
        <v>36000</v>
      </c>
      <c r="AS3630">
        <v>1.7</v>
      </c>
      <c r="AT3630" t="s">
        <v>448</v>
      </c>
      <c r="AU3630" t="s">
        <v>242</v>
      </c>
    </row>
    <row r="3631" spans="1:48">
      <c r="A3631" s="1">
        <f>HYPERLINK("https://lsnyc.legalserver.org/matter/dynamic-profile/view/1868295","18-1868295")</f>
        <v>0</v>
      </c>
      <c r="B3631" t="s">
        <v>48</v>
      </c>
      <c r="C3631" t="s">
        <v>256</v>
      </c>
      <c r="D3631" t="s">
        <v>708</v>
      </c>
      <c r="F3631" t="s">
        <v>1152</v>
      </c>
      <c r="G3631" t="s">
        <v>4472</v>
      </c>
      <c r="H3631" t="s">
        <v>7394</v>
      </c>
      <c r="J3631" t="s">
        <v>9038</v>
      </c>
      <c r="K3631">
        <v>11691</v>
      </c>
      <c r="L3631" t="s">
        <v>9094</v>
      </c>
      <c r="M3631" t="s">
        <v>9094</v>
      </c>
      <c r="N3631" t="s">
        <v>10465</v>
      </c>
      <c r="O3631" t="s">
        <v>11129</v>
      </c>
      <c r="P3631" t="s">
        <v>11164</v>
      </c>
      <c r="R3631" t="s">
        <v>11180</v>
      </c>
      <c r="S3631" t="s">
        <v>9096</v>
      </c>
      <c r="T3631" t="s">
        <v>11183</v>
      </c>
      <c r="U3631" t="s">
        <v>11201</v>
      </c>
      <c r="V3631" t="s">
        <v>950</v>
      </c>
      <c r="W3631">
        <v>1187</v>
      </c>
      <c r="X3631" t="s">
        <v>11331</v>
      </c>
      <c r="Y3631" t="s">
        <v>11336</v>
      </c>
      <c r="Z3631" t="s">
        <v>13779</v>
      </c>
      <c r="AB3631" t="s">
        <v>18106</v>
      </c>
      <c r="AC3631">
        <v>301</v>
      </c>
      <c r="AD3631" t="s">
        <v>15441</v>
      </c>
      <c r="AE3631" t="s">
        <v>9144</v>
      </c>
      <c r="AF3631">
        <v>3</v>
      </c>
      <c r="AG3631">
        <v>1</v>
      </c>
      <c r="AH3631">
        <v>2</v>
      </c>
      <c r="AI3631">
        <v>125.12</v>
      </c>
      <c r="AL3631" t="s">
        <v>19614</v>
      </c>
      <c r="AM3631">
        <v>26000</v>
      </c>
      <c r="AS3631">
        <v>1.5</v>
      </c>
      <c r="AT3631" t="s">
        <v>363</v>
      </c>
      <c r="AU3631" t="s">
        <v>20620</v>
      </c>
    </row>
    <row r="3632" spans="1:48">
      <c r="A3632" s="1">
        <f>HYPERLINK("https://lsnyc.legalserver.org/matter/dynamic-profile/view/1876839","18-1876839")</f>
        <v>0</v>
      </c>
      <c r="B3632" t="s">
        <v>119</v>
      </c>
      <c r="C3632" t="s">
        <v>256</v>
      </c>
      <c r="D3632" t="s">
        <v>930</v>
      </c>
      <c r="F3632" t="s">
        <v>2006</v>
      </c>
      <c r="G3632" t="s">
        <v>3341</v>
      </c>
      <c r="H3632" t="s">
        <v>6095</v>
      </c>
      <c r="I3632" t="s">
        <v>8329</v>
      </c>
      <c r="J3632" t="s">
        <v>9065</v>
      </c>
      <c r="K3632">
        <v>10456</v>
      </c>
      <c r="L3632" t="s">
        <v>9094</v>
      </c>
      <c r="M3632" t="s">
        <v>9094</v>
      </c>
      <c r="N3632" t="s">
        <v>9419</v>
      </c>
      <c r="O3632" t="s">
        <v>11134</v>
      </c>
      <c r="P3632" t="s">
        <v>11168</v>
      </c>
      <c r="R3632" t="s">
        <v>11180</v>
      </c>
      <c r="S3632" t="s">
        <v>9094</v>
      </c>
      <c r="T3632" t="s">
        <v>11183</v>
      </c>
      <c r="V3632" t="s">
        <v>945</v>
      </c>
      <c r="W3632">
        <v>1330.07</v>
      </c>
      <c r="X3632" t="s">
        <v>11333</v>
      </c>
      <c r="Y3632" t="s">
        <v>11346</v>
      </c>
      <c r="Z3632" t="s">
        <v>13732</v>
      </c>
      <c r="AB3632" t="s">
        <v>18060</v>
      </c>
      <c r="AC3632">
        <v>131</v>
      </c>
      <c r="AD3632" t="s">
        <v>19566</v>
      </c>
      <c r="AE3632" t="s">
        <v>9144</v>
      </c>
      <c r="AF3632">
        <v>3</v>
      </c>
      <c r="AG3632">
        <v>1</v>
      </c>
      <c r="AH3632">
        <v>2</v>
      </c>
      <c r="AI3632">
        <v>125.12</v>
      </c>
      <c r="AL3632" t="s">
        <v>19615</v>
      </c>
      <c r="AM3632">
        <v>26000</v>
      </c>
      <c r="AS3632">
        <v>0</v>
      </c>
      <c r="AU3632" t="s">
        <v>163</v>
      </c>
    </row>
    <row r="3633" spans="1:48">
      <c r="A3633" s="1">
        <f>HYPERLINK("https://lsnyc.legalserver.org/matter/dynamic-profile/view/1886865","19-1886865")</f>
        <v>0</v>
      </c>
      <c r="B3633" t="s">
        <v>119</v>
      </c>
      <c r="C3633" t="s">
        <v>256</v>
      </c>
      <c r="D3633" t="s">
        <v>611</v>
      </c>
      <c r="F3633" t="s">
        <v>2006</v>
      </c>
      <c r="G3633" t="s">
        <v>3341</v>
      </c>
      <c r="H3633" t="s">
        <v>6095</v>
      </c>
      <c r="I3633" t="s">
        <v>8329</v>
      </c>
      <c r="J3633" t="s">
        <v>9065</v>
      </c>
      <c r="K3633">
        <v>10456</v>
      </c>
      <c r="L3633" t="s">
        <v>9094</v>
      </c>
      <c r="M3633" t="s">
        <v>9094</v>
      </c>
      <c r="N3633" t="s">
        <v>9401</v>
      </c>
      <c r="O3633" t="s">
        <v>11134</v>
      </c>
      <c r="P3633" t="s">
        <v>11168</v>
      </c>
      <c r="R3633" t="s">
        <v>11180</v>
      </c>
      <c r="S3633" t="s">
        <v>9094</v>
      </c>
      <c r="T3633" t="s">
        <v>11183</v>
      </c>
      <c r="V3633" t="s">
        <v>512</v>
      </c>
      <c r="W3633">
        <v>1330.07</v>
      </c>
      <c r="X3633" t="s">
        <v>11333</v>
      </c>
      <c r="Y3633" t="s">
        <v>11346</v>
      </c>
      <c r="Z3633" t="s">
        <v>13732</v>
      </c>
      <c r="AB3633" t="s">
        <v>18060</v>
      </c>
      <c r="AC3633">
        <v>131</v>
      </c>
      <c r="AD3633" t="s">
        <v>19566</v>
      </c>
      <c r="AE3633" t="s">
        <v>9144</v>
      </c>
      <c r="AF3633">
        <v>3</v>
      </c>
      <c r="AG3633">
        <v>1</v>
      </c>
      <c r="AH3633">
        <v>2</v>
      </c>
      <c r="AI3633">
        <v>125.12</v>
      </c>
      <c r="AL3633" t="s">
        <v>19615</v>
      </c>
      <c r="AM3633">
        <v>26000</v>
      </c>
      <c r="AS3633">
        <v>0</v>
      </c>
      <c r="AU3633" t="s">
        <v>163</v>
      </c>
    </row>
    <row r="3634" spans="1:48">
      <c r="A3634" s="1">
        <f>HYPERLINK("https://lsnyc.legalserver.org/matter/dynamic-profile/view/1876836","18-1876836")</f>
        <v>0</v>
      </c>
      <c r="B3634" t="s">
        <v>119</v>
      </c>
      <c r="C3634" t="s">
        <v>256</v>
      </c>
      <c r="D3634" t="s">
        <v>500</v>
      </c>
      <c r="F3634" t="s">
        <v>2006</v>
      </c>
      <c r="G3634" t="s">
        <v>3341</v>
      </c>
      <c r="H3634" t="s">
        <v>6095</v>
      </c>
      <c r="I3634" t="s">
        <v>8329</v>
      </c>
      <c r="J3634" t="s">
        <v>9065</v>
      </c>
      <c r="K3634">
        <v>10456</v>
      </c>
      <c r="L3634" t="s">
        <v>9094</v>
      </c>
      <c r="M3634" t="s">
        <v>9094</v>
      </c>
      <c r="N3634" t="s">
        <v>10466</v>
      </c>
      <c r="O3634" t="s">
        <v>11130</v>
      </c>
      <c r="P3634" t="s">
        <v>11165</v>
      </c>
      <c r="R3634" t="s">
        <v>11180</v>
      </c>
      <c r="S3634" t="s">
        <v>9094</v>
      </c>
      <c r="T3634" t="s">
        <v>11183</v>
      </c>
      <c r="V3634" t="s">
        <v>500</v>
      </c>
      <c r="W3634">
        <v>1330.07</v>
      </c>
      <c r="X3634" t="s">
        <v>11333</v>
      </c>
      <c r="Y3634" t="s">
        <v>11346</v>
      </c>
      <c r="Z3634" t="s">
        <v>13732</v>
      </c>
      <c r="AB3634" t="s">
        <v>18060</v>
      </c>
      <c r="AC3634">
        <v>131</v>
      </c>
      <c r="AD3634" t="s">
        <v>19566</v>
      </c>
      <c r="AE3634" t="s">
        <v>9144</v>
      </c>
      <c r="AF3634">
        <v>3</v>
      </c>
      <c r="AG3634">
        <v>1</v>
      </c>
      <c r="AH3634">
        <v>2</v>
      </c>
      <c r="AI3634">
        <v>125.12</v>
      </c>
      <c r="AL3634" t="s">
        <v>19615</v>
      </c>
      <c r="AM3634">
        <v>26000</v>
      </c>
      <c r="AS3634">
        <v>0</v>
      </c>
      <c r="AU3634" t="s">
        <v>163</v>
      </c>
    </row>
    <row r="3635" spans="1:48">
      <c r="A3635" s="1">
        <f>HYPERLINK("https://lsnyc.legalserver.org/matter/dynamic-profile/view/1842850","17-1842850")</f>
        <v>0</v>
      </c>
      <c r="B3635" t="s">
        <v>122</v>
      </c>
      <c r="C3635" t="s">
        <v>257</v>
      </c>
      <c r="D3635" t="s">
        <v>712</v>
      </c>
      <c r="E3635" t="s">
        <v>330</v>
      </c>
      <c r="F3635" t="s">
        <v>2590</v>
      </c>
      <c r="G3635" t="s">
        <v>4824</v>
      </c>
      <c r="H3635" t="s">
        <v>5911</v>
      </c>
      <c r="I3635" t="s">
        <v>8757</v>
      </c>
      <c r="J3635" t="s">
        <v>9066</v>
      </c>
      <c r="K3635">
        <v>10314</v>
      </c>
      <c r="L3635" t="s">
        <v>9094</v>
      </c>
      <c r="M3635" t="s">
        <v>9095</v>
      </c>
      <c r="N3635" t="s">
        <v>9260</v>
      </c>
      <c r="O3635" t="s">
        <v>11135</v>
      </c>
      <c r="P3635" t="s">
        <v>11168</v>
      </c>
      <c r="Q3635" t="s">
        <v>11177</v>
      </c>
      <c r="R3635" t="s">
        <v>11180</v>
      </c>
      <c r="S3635" t="s">
        <v>9094</v>
      </c>
      <c r="T3635" t="s">
        <v>11183</v>
      </c>
      <c r="U3635" t="s">
        <v>11201</v>
      </c>
      <c r="V3635" t="s">
        <v>712</v>
      </c>
      <c r="W3635">
        <v>864</v>
      </c>
      <c r="X3635" t="s">
        <v>11334</v>
      </c>
      <c r="Y3635" t="s">
        <v>11340</v>
      </c>
      <c r="Z3635" t="s">
        <v>13767</v>
      </c>
      <c r="AB3635" t="s">
        <v>18093</v>
      </c>
      <c r="AC3635">
        <v>96</v>
      </c>
      <c r="AD3635" t="s">
        <v>19566</v>
      </c>
      <c r="AE3635" t="s">
        <v>19587</v>
      </c>
      <c r="AF3635">
        <v>8</v>
      </c>
      <c r="AG3635">
        <v>1</v>
      </c>
      <c r="AH3635">
        <v>0</v>
      </c>
      <c r="AI3635">
        <v>125.17</v>
      </c>
      <c r="AJ3635" t="s">
        <v>19594</v>
      </c>
      <c r="AL3635" t="s">
        <v>19614</v>
      </c>
      <c r="AM3635">
        <v>15096</v>
      </c>
      <c r="AS3635">
        <v>1.05</v>
      </c>
      <c r="AT3635" t="s">
        <v>330</v>
      </c>
      <c r="AU3635" t="s">
        <v>128</v>
      </c>
      <c r="AV3635" t="s">
        <v>20733</v>
      </c>
    </row>
    <row r="3636" spans="1:48">
      <c r="A3636" s="1">
        <f>HYPERLINK("https://lsnyc.legalserver.org/matter/dynamic-profile/view/1907558","19-1907558")</f>
        <v>0</v>
      </c>
      <c r="B3636" t="s">
        <v>122</v>
      </c>
      <c r="C3636" t="s">
        <v>256</v>
      </c>
      <c r="D3636" t="s">
        <v>335</v>
      </c>
      <c r="F3636" t="s">
        <v>1561</v>
      </c>
      <c r="G3636" t="s">
        <v>4834</v>
      </c>
      <c r="H3636" t="s">
        <v>7395</v>
      </c>
      <c r="I3636" t="s">
        <v>8388</v>
      </c>
      <c r="J3636" t="s">
        <v>9092</v>
      </c>
      <c r="K3636">
        <v>10301</v>
      </c>
      <c r="L3636" t="s">
        <v>9094</v>
      </c>
      <c r="M3636" t="s">
        <v>9095</v>
      </c>
      <c r="N3636" t="s">
        <v>10467</v>
      </c>
      <c r="O3636" t="s">
        <v>11129</v>
      </c>
      <c r="P3636" t="s">
        <v>11165</v>
      </c>
      <c r="R3636" t="s">
        <v>11180</v>
      </c>
      <c r="S3636" t="s">
        <v>9096</v>
      </c>
      <c r="T3636" t="s">
        <v>11183</v>
      </c>
      <c r="U3636" t="s">
        <v>11201</v>
      </c>
      <c r="V3636" t="s">
        <v>335</v>
      </c>
      <c r="W3636">
        <v>1599</v>
      </c>
      <c r="X3636" t="s">
        <v>11334</v>
      </c>
      <c r="Y3636" t="s">
        <v>11353</v>
      </c>
      <c r="Z3636" t="s">
        <v>13780</v>
      </c>
      <c r="AB3636" t="s">
        <v>18107</v>
      </c>
      <c r="AC3636">
        <v>224</v>
      </c>
      <c r="AD3636" t="s">
        <v>19566</v>
      </c>
      <c r="AE3636" t="s">
        <v>9144</v>
      </c>
      <c r="AF3636">
        <v>1</v>
      </c>
      <c r="AG3636">
        <v>2</v>
      </c>
      <c r="AH3636">
        <v>0</v>
      </c>
      <c r="AI3636">
        <v>125.25</v>
      </c>
      <c r="AL3636" t="s">
        <v>19614</v>
      </c>
      <c r="AM3636">
        <v>21180</v>
      </c>
      <c r="AS3636">
        <v>11.4</v>
      </c>
      <c r="AT3636" t="s">
        <v>1130</v>
      </c>
      <c r="AU3636" t="s">
        <v>20653</v>
      </c>
      <c r="AV3636" t="s">
        <v>20733</v>
      </c>
    </row>
    <row r="3637" spans="1:48">
      <c r="A3637" s="1">
        <f>HYPERLINK("https://lsnyc.legalserver.org/matter/dynamic-profile/view/1859460","18-1859460")</f>
        <v>0</v>
      </c>
      <c r="B3637" t="s">
        <v>120</v>
      </c>
      <c r="C3637" t="s">
        <v>256</v>
      </c>
      <c r="D3637" t="s">
        <v>607</v>
      </c>
      <c r="F3637" t="s">
        <v>2597</v>
      </c>
      <c r="G3637" t="s">
        <v>1624</v>
      </c>
      <c r="H3637" t="s">
        <v>6356</v>
      </c>
      <c r="I3637">
        <v>108</v>
      </c>
      <c r="J3637" t="s">
        <v>9065</v>
      </c>
      <c r="K3637">
        <v>10453</v>
      </c>
      <c r="L3637" t="s">
        <v>9094</v>
      </c>
      <c r="M3637" t="s">
        <v>9095</v>
      </c>
      <c r="O3637" t="s">
        <v>11135</v>
      </c>
      <c r="P3637" t="s">
        <v>11168</v>
      </c>
      <c r="R3637" t="s">
        <v>11180</v>
      </c>
      <c r="S3637" t="s">
        <v>9094</v>
      </c>
      <c r="T3637" t="s">
        <v>11183</v>
      </c>
      <c r="V3637" t="s">
        <v>893</v>
      </c>
      <c r="W3637">
        <v>1060</v>
      </c>
      <c r="X3637" t="s">
        <v>11333</v>
      </c>
      <c r="Y3637" t="s">
        <v>11339</v>
      </c>
      <c r="Z3637" t="s">
        <v>13781</v>
      </c>
      <c r="AA3637">
        <v>687441</v>
      </c>
      <c r="AB3637" t="s">
        <v>18108</v>
      </c>
      <c r="AC3637">
        <v>146</v>
      </c>
      <c r="AD3637" t="s">
        <v>19566</v>
      </c>
      <c r="AE3637" t="s">
        <v>9144</v>
      </c>
      <c r="AF3637">
        <v>11</v>
      </c>
      <c r="AG3637">
        <v>3</v>
      </c>
      <c r="AH3637">
        <v>0</v>
      </c>
      <c r="AI3637">
        <v>125.37</v>
      </c>
      <c r="AL3637" t="s">
        <v>19615</v>
      </c>
      <c r="AM3637">
        <v>46400</v>
      </c>
      <c r="AS3637">
        <v>0.1</v>
      </c>
      <c r="AT3637" t="s">
        <v>683</v>
      </c>
      <c r="AU3637" t="s">
        <v>20647</v>
      </c>
    </row>
    <row r="3638" spans="1:48">
      <c r="A3638" s="1">
        <f>HYPERLINK("https://lsnyc.legalserver.org/matter/dynamic-profile/view/1838852","17-1838852")</f>
        <v>0</v>
      </c>
      <c r="B3638" t="s">
        <v>103</v>
      </c>
      <c r="C3638" t="s">
        <v>256</v>
      </c>
      <c r="D3638" t="s">
        <v>796</v>
      </c>
      <c r="F3638" t="s">
        <v>1484</v>
      </c>
      <c r="G3638" t="s">
        <v>4835</v>
      </c>
      <c r="H3638" t="s">
        <v>7246</v>
      </c>
      <c r="I3638" t="s">
        <v>8254</v>
      </c>
      <c r="J3638" t="s">
        <v>9065</v>
      </c>
      <c r="K3638">
        <v>10473</v>
      </c>
      <c r="L3638" t="s">
        <v>9094</v>
      </c>
      <c r="M3638" t="s">
        <v>9095</v>
      </c>
      <c r="N3638" t="s">
        <v>10468</v>
      </c>
      <c r="O3638" t="s">
        <v>11135</v>
      </c>
      <c r="P3638" t="s">
        <v>11168</v>
      </c>
      <c r="R3638" t="s">
        <v>11180</v>
      </c>
      <c r="S3638" t="s">
        <v>9094</v>
      </c>
      <c r="T3638" t="s">
        <v>11183</v>
      </c>
      <c r="V3638" t="s">
        <v>11223</v>
      </c>
      <c r="W3638">
        <v>709</v>
      </c>
      <c r="X3638" t="s">
        <v>11333</v>
      </c>
      <c r="Y3638" t="s">
        <v>11351</v>
      </c>
      <c r="Z3638" t="s">
        <v>13782</v>
      </c>
      <c r="AC3638">
        <v>976</v>
      </c>
      <c r="AD3638" t="s">
        <v>19566</v>
      </c>
      <c r="AE3638" t="s">
        <v>9144</v>
      </c>
      <c r="AF3638">
        <v>0</v>
      </c>
      <c r="AG3638">
        <v>1</v>
      </c>
      <c r="AH3638">
        <v>0</v>
      </c>
      <c r="AI3638">
        <v>125.47</v>
      </c>
      <c r="AJ3638" t="s">
        <v>936</v>
      </c>
      <c r="AL3638" t="s">
        <v>19614</v>
      </c>
      <c r="AM3638">
        <v>15132</v>
      </c>
      <c r="AS3638">
        <v>0</v>
      </c>
      <c r="AU3638" t="s">
        <v>20643</v>
      </c>
    </row>
    <row r="3639" spans="1:48">
      <c r="A3639" s="1">
        <f>HYPERLINK("https://lsnyc.legalserver.org/matter/dynamic-profile/view/1845445","17-1845445")</f>
        <v>0</v>
      </c>
      <c r="B3639" t="s">
        <v>150</v>
      </c>
      <c r="C3639" t="s">
        <v>256</v>
      </c>
      <c r="D3639" t="s">
        <v>646</v>
      </c>
      <c r="F3639" t="s">
        <v>2206</v>
      </c>
      <c r="G3639" t="s">
        <v>4836</v>
      </c>
      <c r="H3639" t="s">
        <v>6649</v>
      </c>
      <c r="I3639" t="s">
        <v>8172</v>
      </c>
      <c r="J3639" t="s">
        <v>9059</v>
      </c>
      <c r="K3639">
        <v>11213</v>
      </c>
      <c r="L3639" t="s">
        <v>9096</v>
      </c>
      <c r="M3639" t="s">
        <v>9095</v>
      </c>
      <c r="O3639" t="s">
        <v>11130</v>
      </c>
      <c r="P3639" t="s">
        <v>11165</v>
      </c>
      <c r="R3639" t="s">
        <v>11180</v>
      </c>
      <c r="S3639" t="s">
        <v>9094</v>
      </c>
      <c r="T3639" t="s">
        <v>11183</v>
      </c>
      <c r="V3639" t="s">
        <v>646</v>
      </c>
      <c r="W3639">
        <v>0</v>
      </c>
      <c r="X3639" t="s">
        <v>11332</v>
      </c>
      <c r="Y3639" t="s">
        <v>11346</v>
      </c>
      <c r="Z3639" t="s">
        <v>13783</v>
      </c>
      <c r="AC3639">
        <v>74</v>
      </c>
      <c r="AD3639" t="s">
        <v>19566</v>
      </c>
      <c r="AF3639">
        <v>0</v>
      </c>
      <c r="AG3639">
        <v>2</v>
      </c>
      <c r="AH3639">
        <v>0</v>
      </c>
      <c r="AI3639">
        <v>125.62</v>
      </c>
      <c r="AJ3639" t="s">
        <v>1108</v>
      </c>
      <c r="AL3639" t="s">
        <v>19614</v>
      </c>
      <c r="AM3639">
        <v>32400</v>
      </c>
      <c r="AS3639">
        <v>0</v>
      </c>
      <c r="AU3639" t="s">
        <v>20636</v>
      </c>
    </row>
    <row r="3640" spans="1:48">
      <c r="A3640" s="1">
        <f>HYPERLINK("https://lsnyc.legalserver.org/matter/dynamic-profile/view/0830504","17-0830504")</f>
        <v>0</v>
      </c>
      <c r="B3640" t="s">
        <v>150</v>
      </c>
      <c r="C3640" t="s">
        <v>256</v>
      </c>
      <c r="D3640" t="s">
        <v>778</v>
      </c>
      <c r="F3640" t="s">
        <v>2206</v>
      </c>
      <c r="G3640" t="s">
        <v>4836</v>
      </c>
      <c r="H3640" t="s">
        <v>6649</v>
      </c>
      <c r="I3640" t="s">
        <v>8172</v>
      </c>
      <c r="J3640" t="s">
        <v>9059</v>
      </c>
      <c r="K3640">
        <v>11213</v>
      </c>
      <c r="L3640" t="s">
        <v>9094</v>
      </c>
      <c r="M3640" t="s">
        <v>9095</v>
      </c>
      <c r="O3640" t="s">
        <v>11137</v>
      </c>
      <c r="P3640" t="s">
        <v>11167</v>
      </c>
      <c r="R3640" t="s">
        <v>11180</v>
      </c>
      <c r="S3640" t="s">
        <v>9094</v>
      </c>
      <c r="T3640" t="s">
        <v>11189</v>
      </c>
      <c r="V3640" t="s">
        <v>1021</v>
      </c>
      <c r="W3640">
        <v>0</v>
      </c>
      <c r="X3640" t="s">
        <v>11332</v>
      </c>
      <c r="Z3640" t="s">
        <v>13783</v>
      </c>
      <c r="AC3640">
        <v>74</v>
      </c>
      <c r="AD3640" t="s">
        <v>19566</v>
      </c>
      <c r="AF3640">
        <v>0</v>
      </c>
      <c r="AG3640">
        <v>2</v>
      </c>
      <c r="AH3640">
        <v>0</v>
      </c>
      <c r="AI3640">
        <v>125.62</v>
      </c>
      <c r="AJ3640" t="s">
        <v>1108</v>
      </c>
      <c r="AL3640" t="s">
        <v>19614</v>
      </c>
      <c r="AM3640">
        <v>20400</v>
      </c>
      <c r="AS3640">
        <v>0</v>
      </c>
      <c r="AU3640" t="s">
        <v>20636</v>
      </c>
    </row>
    <row r="3641" spans="1:48">
      <c r="A3641" s="1">
        <f>HYPERLINK("https://lsnyc.legalserver.org/matter/dynamic-profile/view/1906369","19-1906369")</f>
        <v>0</v>
      </c>
      <c r="B3641" t="s">
        <v>186</v>
      </c>
      <c r="C3641" t="s">
        <v>256</v>
      </c>
      <c r="D3641" t="s">
        <v>493</v>
      </c>
      <c r="F3641" t="s">
        <v>1197</v>
      </c>
      <c r="G3641" t="s">
        <v>3630</v>
      </c>
      <c r="H3641" t="s">
        <v>7396</v>
      </c>
      <c r="I3641" t="s">
        <v>8302</v>
      </c>
      <c r="J3641" t="s">
        <v>9065</v>
      </c>
      <c r="K3641">
        <v>10467</v>
      </c>
      <c r="L3641" t="s">
        <v>9095</v>
      </c>
      <c r="M3641" t="s">
        <v>9095</v>
      </c>
      <c r="O3641" t="s">
        <v>11133</v>
      </c>
      <c r="P3641" t="s">
        <v>11167</v>
      </c>
      <c r="R3641" t="s">
        <v>11180</v>
      </c>
      <c r="S3641" t="s">
        <v>9096</v>
      </c>
      <c r="T3641" t="s">
        <v>11189</v>
      </c>
      <c r="W3641">
        <v>0</v>
      </c>
      <c r="X3641" t="s">
        <v>11333</v>
      </c>
      <c r="Z3641" t="s">
        <v>13784</v>
      </c>
      <c r="AB3641" t="s">
        <v>18109</v>
      </c>
      <c r="AC3641">
        <v>0</v>
      </c>
      <c r="AD3641" t="s">
        <v>19566</v>
      </c>
      <c r="AF3641">
        <v>0</v>
      </c>
      <c r="AG3641">
        <v>2</v>
      </c>
      <c r="AH3641">
        <v>0</v>
      </c>
      <c r="AI3641">
        <v>125.68</v>
      </c>
      <c r="AL3641" t="s">
        <v>19614</v>
      </c>
      <c r="AM3641">
        <v>21252</v>
      </c>
      <c r="AS3641">
        <v>1.85</v>
      </c>
      <c r="AT3641" t="s">
        <v>309</v>
      </c>
      <c r="AU3641" t="s">
        <v>186</v>
      </c>
    </row>
    <row r="3642" spans="1:48">
      <c r="A3642" s="1">
        <f>HYPERLINK("https://lsnyc.legalserver.org/matter/dynamic-profile/view/1894550","19-1894550")</f>
        <v>0</v>
      </c>
      <c r="B3642" t="s">
        <v>99</v>
      </c>
      <c r="C3642" t="s">
        <v>257</v>
      </c>
      <c r="D3642" t="s">
        <v>421</v>
      </c>
      <c r="E3642" t="s">
        <v>362</v>
      </c>
      <c r="F3642" t="s">
        <v>1632</v>
      </c>
      <c r="G3642" t="s">
        <v>4837</v>
      </c>
      <c r="H3642" t="s">
        <v>7193</v>
      </c>
      <c r="J3642" t="s">
        <v>9065</v>
      </c>
      <c r="K3642">
        <v>10453</v>
      </c>
      <c r="L3642" t="s">
        <v>9094</v>
      </c>
      <c r="M3642" t="s">
        <v>9094</v>
      </c>
      <c r="O3642" t="s">
        <v>9121</v>
      </c>
      <c r="P3642" t="s">
        <v>11164</v>
      </c>
      <c r="Q3642" t="s">
        <v>11172</v>
      </c>
      <c r="R3642" t="s">
        <v>11180</v>
      </c>
      <c r="S3642" t="s">
        <v>9096</v>
      </c>
      <c r="T3642" t="s">
        <v>11183</v>
      </c>
      <c r="V3642" t="s">
        <v>421</v>
      </c>
      <c r="W3642">
        <v>1250</v>
      </c>
      <c r="X3642" t="s">
        <v>11333</v>
      </c>
      <c r="Y3642" t="s">
        <v>11346</v>
      </c>
      <c r="Z3642" t="s">
        <v>13785</v>
      </c>
      <c r="AB3642" t="s">
        <v>18110</v>
      </c>
      <c r="AC3642">
        <v>53</v>
      </c>
      <c r="AD3642" t="s">
        <v>19566</v>
      </c>
      <c r="AE3642" t="s">
        <v>9144</v>
      </c>
      <c r="AF3642">
        <v>13</v>
      </c>
      <c r="AG3642">
        <v>3</v>
      </c>
      <c r="AH3642">
        <v>2</v>
      </c>
      <c r="AI3642">
        <v>125.95</v>
      </c>
      <c r="AL3642" t="s">
        <v>19615</v>
      </c>
      <c r="AM3642">
        <v>38000</v>
      </c>
      <c r="AS3642">
        <v>2.18</v>
      </c>
      <c r="AT3642" t="s">
        <v>362</v>
      </c>
      <c r="AU3642" t="s">
        <v>99</v>
      </c>
    </row>
    <row r="3643" spans="1:48">
      <c r="A3643" s="1">
        <f>HYPERLINK("https://lsnyc.legalserver.org/matter/dynamic-profile/view/1877313","18-1877313")</f>
        <v>0</v>
      </c>
      <c r="B3643" t="s">
        <v>48</v>
      </c>
      <c r="C3643" t="s">
        <v>256</v>
      </c>
      <c r="D3643" t="s">
        <v>581</v>
      </c>
      <c r="F3643" t="s">
        <v>1510</v>
      </c>
      <c r="G3643" t="s">
        <v>4838</v>
      </c>
      <c r="H3643" t="s">
        <v>7397</v>
      </c>
      <c r="I3643" t="s">
        <v>8120</v>
      </c>
      <c r="J3643" t="s">
        <v>9038</v>
      </c>
      <c r="K3643">
        <v>11691</v>
      </c>
      <c r="L3643" t="s">
        <v>9094</v>
      </c>
      <c r="M3643" t="s">
        <v>9094</v>
      </c>
      <c r="N3643" t="s">
        <v>10469</v>
      </c>
      <c r="O3643" t="s">
        <v>11128</v>
      </c>
      <c r="P3643" t="s">
        <v>11164</v>
      </c>
      <c r="R3643" t="s">
        <v>11180</v>
      </c>
      <c r="S3643" t="s">
        <v>9096</v>
      </c>
      <c r="T3643" t="s">
        <v>11183</v>
      </c>
      <c r="U3643" t="s">
        <v>11201</v>
      </c>
      <c r="V3643" t="s">
        <v>572</v>
      </c>
      <c r="W3643">
        <v>1500</v>
      </c>
      <c r="X3643" t="s">
        <v>11331</v>
      </c>
      <c r="Y3643" t="s">
        <v>11336</v>
      </c>
      <c r="Z3643" t="s">
        <v>13786</v>
      </c>
      <c r="AB3643" t="s">
        <v>18111</v>
      </c>
      <c r="AC3643">
        <v>2</v>
      </c>
      <c r="AD3643" t="s">
        <v>19565</v>
      </c>
      <c r="AE3643" t="s">
        <v>19580</v>
      </c>
      <c r="AF3643">
        <v>15</v>
      </c>
      <c r="AG3643">
        <v>3</v>
      </c>
      <c r="AH3643">
        <v>0</v>
      </c>
      <c r="AI3643">
        <v>126.29</v>
      </c>
      <c r="AL3643" t="s">
        <v>19614</v>
      </c>
      <c r="AM3643">
        <v>26244</v>
      </c>
      <c r="AS3643">
        <v>2.1</v>
      </c>
      <c r="AT3643" t="s">
        <v>307</v>
      </c>
      <c r="AU3643" t="s">
        <v>153</v>
      </c>
    </row>
    <row r="3644" spans="1:48">
      <c r="A3644" s="1">
        <f>HYPERLINK("https://lsnyc.legalserver.org/matter/dynamic-profile/view/1866560","18-1866560")</f>
        <v>0</v>
      </c>
      <c r="B3644" t="s">
        <v>132</v>
      </c>
      <c r="C3644" t="s">
        <v>256</v>
      </c>
      <c r="D3644" t="s">
        <v>893</v>
      </c>
      <c r="F3644" t="s">
        <v>2150</v>
      </c>
      <c r="G3644" t="s">
        <v>4839</v>
      </c>
      <c r="H3644" t="s">
        <v>7398</v>
      </c>
      <c r="I3644" t="s">
        <v>8197</v>
      </c>
      <c r="J3644" t="s">
        <v>9067</v>
      </c>
      <c r="K3644">
        <v>10034</v>
      </c>
      <c r="L3644" t="s">
        <v>9094</v>
      </c>
      <c r="M3644" t="s">
        <v>9095</v>
      </c>
      <c r="O3644" t="s">
        <v>11128</v>
      </c>
      <c r="P3644" t="s">
        <v>11165</v>
      </c>
      <c r="R3644" t="s">
        <v>11180</v>
      </c>
      <c r="S3644" t="s">
        <v>9096</v>
      </c>
      <c r="T3644" t="s">
        <v>11183</v>
      </c>
      <c r="V3644" t="s">
        <v>893</v>
      </c>
      <c r="W3644">
        <v>855.5599999999999</v>
      </c>
      <c r="X3644" t="s">
        <v>11335</v>
      </c>
      <c r="Y3644" t="s">
        <v>11340</v>
      </c>
      <c r="Z3644" t="s">
        <v>13787</v>
      </c>
      <c r="AB3644" t="s">
        <v>18112</v>
      </c>
      <c r="AC3644">
        <v>31</v>
      </c>
      <c r="AD3644" t="s">
        <v>19566</v>
      </c>
      <c r="AE3644" t="s">
        <v>9144</v>
      </c>
      <c r="AF3644">
        <v>32</v>
      </c>
      <c r="AG3644">
        <v>1</v>
      </c>
      <c r="AH3644">
        <v>1</v>
      </c>
      <c r="AI3644">
        <v>126.37</v>
      </c>
      <c r="AL3644" t="s">
        <v>19614</v>
      </c>
      <c r="AM3644">
        <v>20800</v>
      </c>
      <c r="AS3644">
        <v>345.9</v>
      </c>
      <c r="AT3644" t="s">
        <v>703</v>
      </c>
      <c r="AU3644" t="s">
        <v>130</v>
      </c>
    </row>
    <row r="3645" spans="1:48">
      <c r="A3645" s="1">
        <f>HYPERLINK("https://lsnyc.legalserver.org/matter/dynamic-profile/view/1905955","19-1905955")</f>
        <v>0</v>
      </c>
      <c r="B3645" t="s">
        <v>143</v>
      </c>
      <c r="C3645" t="s">
        <v>257</v>
      </c>
      <c r="D3645" t="s">
        <v>329</v>
      </c>
      <c r="E3645" t="s">
        <v>574</v>
      </c>
      <c r="F3645" t="s">
        <v>2288</v>
      </c>
      <c r="G3645" t="s">
        <v>4840</v>
      </c>
      <c r="H3645" t="s">
        <v>7399</v>
      </c>
      <c r="I3645" t="s">
        <v>8132</v>
      </c>
      <c r="J3645" t="s">
        <v>9067</v>
      </c>
      <c r="K3645">
        <v>10030</v>
      </c>
      <c r="L3645" t="s">
        <v>9094</v>
      </c>
      <c r="M3645" t="s">
        <v>9095</v>
      </c>
      <c r="N3645" t="s">
        <v>10470</v>
      </c>
      <c r="O3645" t="s">
        <v>11128</v>
      </c>
      <c r="P3645" t="s">
        <v>11164</v>
      </c>
      <c r="Q3645" t="s">
        <v>11172</v>
      </c>
      <c r="R3645" t="s">
        <v>11180</v>
      </c>
      <c r="S3645" t="s">
        <v>9096</v>
      </c>
      <c r="T3645" t="s">
        <v>11183</v>
      </c>
      <c r="U3645" t="s">
        <v>11201</v>
      </c>
      <c r="V3645" t="s">
        <v>329</v>
      </c>
      <c r="W3645">
        <v>143</v>
      </c>
      <c r="X3645" t="s">
        <v>11335</v>
      </c>
      <c r="Y3645" t="s">
        <v>11345</v>
      </c>
      <c r="Z3645" t="s">
        <v>13788</v>
      </c>
      <c r="AB3645" t="s">
        <v>18113</v>
      </c>
      <c r="AC3645">
        <v>18</v>
      </c>
      <c r="AD3645" t="s">
        <v>19567</v>
      </c>
      <c r="AE3645" t="s">
        <v>19589</v>
      </c>
      <c r="AF3645">
        <v>40</v>
      </c>
      <c r="AG3645">
        <v>1</v>
      </c>
      <c r="AH3645">
        <v>0</v>
      </c>
      <c r="AI3645">
        <v>126.47</v>
      </c>
      <c r="AL3645" t="s">
        <v>19614</v>
      </c>
      <c r="AM3645">
        <v>15796</v>
      </c>
      <c r="AS3645">
        <v>1</v>
      </c>
      <c r="AT3645" t="s">
        <v>330</v>
      </c>
      <c r="AU3645" t="s">
        <v>20655</v>
      </c>
      <c r="AV3645" t="s">
        <v>20733</v>
      </c>
    </row>
    <row r="3646" spans="1:48">
      <c r="A3646" s="1">
        <f>HYPERLINK("https://lsnyc.legalserver.org/matter/dynamic-profile/view/1880947","18-1880947")</f>
        <v>0</v>
      </c>
      <c r="B3646" t="s">
        <v>115</v>
      </c>
      <c r="C3646" t="s">
        <v>256</v>
      </c>
      <c r="D3646" t="s">
        <v>569</v>
      </c>
      <c r="F3646" t="s">
        <v>2598</v>
      </c>
      <c r="G3646" t="s">
        <v>4426</v>
      </c>
      <c r="H3646" t="s">
        <v>7400</v>
      </c>
      <c r="I3646" t="s">
        <v>8139</v>
      </c>
      <c r="J3646" t="s">
        <v>9065</v>
      </c>
      <c r="K3646">
        <v>10452</v>
      </c>
      <c r="L3646" t="s">
        <v>9094</v>
      </c>
      <c r="M3646" t="s">
        <v>9094</v>
      </c>
      <c r="O3646" t="s">
        <v>11128</v>
      </c>
      <c r="P3646" t="s">
        <v>11165</v>
      </c>
      <c r="R3646" t="s">
        <v>11180</v>
      </c>
      <c r="S3646" t="s">
        <v>9096</v>
      </c>
      <c r="T3646" t="s">
        <v>11183</v>
      </c>
      <c r="U3646" t="s">
        <v>11201</v>
      </c>
      <c r="V3646" t="s">
        <v>11208</v>
      </c>
      <c r="W3646">
        <v>1175</v>
      </c>
      <c r="X3646" t="s">
        <v>11333</v>
      </c>
      <c r="Y3646" t="s">
        <v>11346</v>
      </c>
      <c r="Z3646" t="s">
        <v>13789</v>
      </c>
      <c r="AB3646" t="s">
        <v>18114</v>
      </c>
      <c r="AC3646">
        <v>67</v>
      </c>
      <c r="AD3646" t="s">
        <v>19566</v>
      </c>
      <c r="AE3646" t="s">
        <v>9144</v>
      </c>
      <c r="AF3646">
        <v>3</v>
      </c>
      <c r="AG3646">
        <v>1</v>
      </c>
      <c r="AH3646">
        <v>0</v>
      </c>
      <c r="AI3646">
        <v>126.52</v>
      </c>
      <c r="AL3646" t="s">
        <v>19614</v>
      </c>
      <c r="AM3646">
        <v>15360</v>
      </c>
      <c r="AS3646">
        <v>40.2</v>
      </c>
      <c r="AT3646" t="s">
        <v>425</v>
      </c>
      <c r="AU3646" t="s">
        <v>163</v>
      </c>
    </row>
    <row r="3647" spans="1:48">
      <c r="A3647" s="1">
        <f>HYPERLINK("https://lsnyc.legalserver.org/matter/dynamic-profile/view/1906134","19-1906134")</f>
        <v>0</v>
      </c>
      <c r="B3647" t="s">
        <v>183</v>
      </c>
      <c r="C3647" t="s">
        <v>256</v>
      </c>
      <c r="D3647" t="s">
        <v>330</v>
      </c>
      <c r="F3647" t="s">
        <v>2599</v>
      </c>
      <c r="G3647" t="s">
        <v>3986</v>
      </c>
      <c r="H3647" t="s">
        <v>7401</v>
      </c>
      <c r="I3647" t="s">
        <v>8267</v>
      </c>
      <c r="J3647" t="s">
        <v>9067</v>
      </c>
      <c r="K3647">
        <v>10027</v>
      </c>
      <c r="L3647" t="s">
        <v>9095</v>
      </c>
      <c r="M3647" t="s">
        <v>9095</v>
      </c>
      <c r="R3647" t="s">
        <v>11180</v>
      </c>
      <c r="T3647" t="s">
        <v>11193</v>
      </c>
      <c r="W3647">
        <v>0</v>
      </c>
      <c r="X3647" t="s">
        <v>11335</v>
      </c>
      <c r="Z3647" t="s">
        <v>13615</v>
      </c>
      <c r="AB3647" t="s">
        <v>18115</v>
      </c>
      <c r="AC3647">
        <v>0</v>
      </c>
      <c r="AF3647">
        <v>0</v>
      </c>
      <c r="AG3647">
        <v>1</v>
      </c>
      <c r="AH3647">
        <v>0</v>
      </c>
      <c r="AI3647">
        <v>126.82</v>
      </c>
      <c r="AL3647" t="s">
        <v>19614</v>
      </c>
      <c r="AM3647">
        <v>15840</v>
      </c>
      <c r="AS3647">
        <v>47.7</v>
      </c>
      <c r="AT3647" t="s">
        <v>832</v>
      </c>
      <c r="AU3647" t="s">
        <v>20658</v>
      </c>
    </row>
    <row r="3648" spans="1:48">
      <c r="A3648" s="1">
        <f>HYPERLINK("https://lsnyc.legalserver.org/matter/dynamic-profile/view/1836793","17-1836793")</f>
        <v>0</v>
      </c>
      <c r="B3648" t="s">
        <v>229</v>
      </c>
      <c r="C3648" t="s">
        <v>256</v>
      </c>
      <c r="D3648" t="s">
        <v>740</v>
      </c>
      <c r="F3648" t="s">
        <v>1404</v>
      </c>
      <c r="G3648" t="s">
        <v>4043</v>
      </c>
      <c r="H3648" t="s">
        <v>7402</v>
      </c>
      <c r="I3648" t="s">
        <v>8759</v>
      </c>
      <c r="J3648" t="s">
        <v>9059</v>
      </c>
      <c r="K3648">
        <v>11212</v>
      </c>
      <c r="L3648" t="s">
        <v>9094</v>
      </c>
      <c r="M3648" t="s">
        <v>9095</v>
      </c>
      <c r="N3648" t="s">
        <v>10471</v>
      </c>
      <c r="O3648" t="s">
        <v>11128</v>
      </c>
      <c r="P3648" t="s">
        <v>11165</v>
      </c>
      <c r="R3648" t="s">
        <v>11180</v>
      </c>
      <c r="S3648" t="s">
        <v>9094</v>
      </c>
      <c r="T3648" t="s">
        <v>11183</v>
      </c>
      <c r="V3648" t="s">
        <v>878</v>
      </c>
      <c r="W3648">
        <v>1197</v>
      </c>
      <c r="X3648" t="s">
        <v>11332</v>
      </c>
      <c r="Y3648" t="s">
        <v>11349</v>
      </c>
      <c r="Z3648" t="s">
        <v>12217</v>
      </c>
      <c r="AA3648" t="s">
        <v>9144</v>
      </c>
      <c r="AB3648" t="s">
        <v>18116</v>
      </c>
      <c r="AC3648">
        <v>60</v>
      </c>
      <c r="AD3648" t="s">
        <v>19566</v>
      </c>
      <c r="AE3648" t="s">
        <v>9144</v>
      </c>
      <c r="AF3648">
        <v>16</v>
      </c>
      <c r="AG3648">
        <v>3</v>
      </c>
      <c r="AH3648">
        <v>1</v>
      </c>
      <c r="AI3648">
        <v>126.83</v>
      </c>
      <c r="AK3648" t="s">
        <v>19609</v>
      </c>
      <c r="AL3648" t="s">
        <v>19614</v>
      </c>
      <c r="AM3648">
        <v>31200</v>
      </c>
      <c r="AS3648">
        <v>127.8</v>
      </c>
      <c r="AT3648" t="s">
        <v>636</v>
      </c>
      <c r="AU3648" t="s">
        <v>95</v>
      </c>
    </row>
    <row r="3649" spans="1:48">
      <c r="A3649" s="1">
        <f>HYPERLINK("https://lsnyc.legalserver.org/matter/dynamic-profile/view/1839117","17-1839117")</f>
        <v>0</v>
      </c>
      <c r="B3649" t="s">
        <v>114</v>
      </c>
      <c r="C3649" t="s">
        <v>256</v>
      </c>
      <c r="D3649" t="s">
        <v>1027</v>
      </c>
      <c r="F3649" t="s">
        <v>1886</v>
      </c>
      <c r="G3649" t="s">
        <v>3940</v>
      </c>
      <c r="H3649" t="s">
        <v>7403</v>
      </c>
      <c r="I3649" t="s">
        <v>8176</v>
      </c>
      <c r="J3649" t="s">
        <v>9065</v>
      </c>
      <c r="K3649">
        <v>10453</v>
      </c>
      <c r="L3649" t="s">
        <v>9094</v>
      </c>
      <c r="M3649" t="s">
        <v>9095</v>
      </c>
      <c r="N3649" t="s">
        <v>10472</v>
      </c>
      <c r="O3649" t="s">
        <v>11129</v>
      </c>
      <c r="P3649" t="s">
        <v>11165</v>
      </c>
      <c r="R3649" t="s">
        <v>11180</v>
      </c>
      <c r="S3649" t="s">
        <v>9096</v>
      </c>
      <c r="T3649" t="s">
        <v>11183</v>
      </c>
      <c r="V3649" t="s">
        <v>770</v>
      </c>
      <c r="W3649">
        <v>1054.69</v>
      </c>
      <c r="X3649" t="s">
        <v>11333</v>
      </c>
      <c r="Y3649" t="s">
        <v>11340</v>
      </c>
      <c r="Z3649" t="s">
        <v>13790</v>
      </c>
      <c r="AA3649" t="s">
        <v>15809</v>
      </c>
      <c r="AB3649" t="s">
        <v>18117</v>
      </c>
      <c r="AC3649">
        <v>0</v>
      </c>
      <c r="AD3649" t="s">
        <v>19569</v>
      </c>
      <c r="AE3649" t="s">
        <v>9144</v>
      </c>
      <c r="AF3649">
        <v>6</v>
      </c>
      <c r="AG3649">
        <v>1</v>
      </c>
      <c r="AH3649">
        <v>3</v>
      </c>
      <c r="AI3649">
        <v>126.83</v>
      </c>
      <c r="AL3649" t="s">
        <v>19614</v>
      </c>
      <c r="AM3649">
        <v>31200</v>
      </c>
      <c r="AS3649">
        <v>24.75</v>
      </c>
      <c r="AT3649" t="s">
        <v>721</v>
      </c>
      <c r="AU3649" t="s">
        <v>20643</v>
      </c>
    </row>
    <row r="3650" spans="1:48">
      <c r="A3650" s="1">
        <f>HYPERLINK("https://lsnyc.legalserver.org/matter/dynamic-profile/view/1837382","17-1837382")</f>
        <v>0</v>
      </c>
      <c r="B3650" t="s">
        <v>138</v>
      </c>
      <c r="C3650" t="s">
        <v>256</v>
      </c>
      <c r="D3650" t="s">
        <v>709</v>
      </c>
      <c r="F3650" t="s">
        <v>2600</v>
      </c>
      <c r="G3650" t="s">
        <v>3586</v>
      </c>
      <c r="H3650" t="s">
        <v>7404</v>
      </c>
      <c r="I3650" t="s">
        <v>8193</v>
      </c>
      <c r="J3650" t="s">
        <v>9067</v>
      </c>
      <c r="K3650">
        <v>10034</v>
      </c>
      <c r="L3650" t="s">
        <v>9094</v>
      </c>
      <c r="M3650" t="s">
        <v>9095</v>
      </c>
      <c r="O3650" t="s">
        <v>9121</v>
      </c>
      <c r="P3650" t="s">
        <v>11166</v>
      </c>
      <c r="R3650" t="s">
        <v>11180</v>
      </c>
      <c r="S3650" t="s">
        <v>9096</v>
      </c>
      <c r="T3650" t="s">
        <v>11183</v>
      </c>
      <c r="V3650" t="s">
        <v>709</v>
      </c>
      <c r="W3650">
        <v>1234</v>
      </c>
      <c r="X3650" t="s">
        <v>11335</v>
      </c>
      <c r="Y3650" t="s">
        <v>11352</v>
      </c>
      <c r="Z3650" t="s">
        <v>13791</v>
      </c>
      <c r="AB3650" t="s">
        <v>18118</v>
      </c>
      <c r="AC3650">
        <v>30</v>
      </c>
      <c r="AD3650" t="s">
        <v>19566</v>
      </c>
      <c r="AE3650" t="s">
        <v>19580</v>
      </c>
      <c r="AF3650">
        <v>21</v>
      </c>
      <c r="AG3650">
        <v>3</v>
      </c>
      <c r="AH3650">
        <v>0</v>
      </c>
      <c r="AI3650">
        <v>126.84</v>
      </c>
      <c r="AL3650" t="s">
        <v>19615</v>
      </c>
      <c r="AM3650">
        <v>25900</v>
      </c>
      <c r="AS3650">
        <v>46.7</v>
      </c>
      <c r="AT3650" t="s">
        <v>20603</v>
      </c>
      <c r="AU3650" t="s">
        <v>20665</v>
      </c>
    </row>
    <row r="3651" spans="1:48">
      <c r="A3651" s="1">
        <f>HYPERLINK("https://lsnyc.legalserver.org/matter/dynamic-profile/view/1887246","19-1887246")</f>
        <v>0</v>
      </c>
      <c r="B3651" t="s">
        <v>115</v>
      </c>
      <c r="C3651" t="s">
        <v>256</v>
      </c>
      <c r="D3651" t="s">
        <v>344</v>
      </c>
      <c r="F3651" t="s">
        <v>2601</v>
      </c>
      <c r="G3651" t="s">
        <v>3398</v>
      </c>
      <c r="H3651" t="s">
        <v>7405</v>
      </c>
      <c r="I3651" t="s">
        <v>8270</v>
      </c>
      <c r="J3651" t="s">
        <v>9065</v>
      </c>
      <c r="K3651">
        <v>10457</v>
      </c>
      <c r="L3651" t="s">
        <v>9094</v>
      </c>
      <c r="M3651" t="s">
        <v>9094</v>
      </c>
      <c r="N3651" t="s">
        <v>10473</v>
      </c>
      <c r="O3651" t="s">
        <v>11129</v>
      </c>
      <c r="P3651" t="s">
        <v>11165</v>
      </c>
      <c r="R3651" t="s">
        <v>11180</v>
      </c>
      <c r="S3651" t="s">
        <v>9096</v>
      </c>
      <c r="T3651" t="s">
        <v>11183</v>
      </c>
      <c r="V3651" t="s">
        <v>344</v>
      </c>
      <c r="W3651">
        <v>911.65</v>
      </c>
      <c r="X3651" t="s">
        <v>11333</v>
      </c>
      <c r="Y3651" t="s">
        <v>11345</v>
      </c>
      <c r="Z3651" t="s">
        <v>13792</v>
      </c>
      <c r="AA3651" t="s">
        <v>15810</v>
      </c>
      <c r="AB3651" t="s">
        <v>18119</v>
      </c>
      <c r="AC3651">
        <v>0</v>
      </c>
      <c r="AD3651" t="s">
        <v>19566</v>
      </c>
      <c r="AE3651" t="s">
        <v>9144</v>
      </c>
      <c r="AF3651">
        <v>25</v>
      </c>
      <c r="AG3651">
        <v>1</v>
      </c>
      <c r="AH3651">
        <v>1</v>
      </c>
      <c r="AI3651">
        <v>126.97</v>
      </c>
      <c r="AL3651" t="s">
        <v>19614</v>
      </c>
      <c r="AM3651">
        <v>20900</v>
      </c>
      <c r="AS3651">
        <v>21.2</v>
      </c>
      <c r="AT3651" t="s">
        <v>788</v>
      </c>
      <c r="AU3651" t="s">
        <v>20644</v>
      </c>
    </row>
    <row r="3652" spans="1:48">
      <c r="A3652" s="1">
        <f>HYPERLINK("https://lsnyc.legalserver.org/matter/dynamic-profile/view/0799622","16-0799622")</f>
        <v>0</v>
      </c>
      <c r="B3652" t="s">
        <v>101</v>
      </c>
      <c r="C3652" t="s">
        <v>256</v>
      </c>
      <c r="D3652" t="s">
        <v>656</v>
      </c>
      <c r="F3652" t="s">
        <v>2235</v>
      </c>
      <c r="G3652" t="s">
        <v>3586</v>
      </c>
      <c r="H3652" t="s">
        <v>6041</v>
      </c>
      <c r="I3652" t="s">
        <v>8209</v>
      </c>
      <c r="J3652" t="s">
        <v>9065</v>
      </c>
      <c r="K3652">
        <v>10452</v>
      </c>
      <c r="L3652" t="s">
        <v>9094</v>
      </c>
      <c r="M3652" t="s">
        <v>9095</v>
      </c>
      <c r="N3652" t="s">
        <v>9499</v>
      </c>
      <c r="O3652" t="s">
        <v>11135</v>
      </c>
      <c r="P3652" t="s">
        <v>11168</v>
      </c>
      <c r="R3652" t="s">
        <v>11180</v>
      </c>
      <c r="S3652" t="s">
        <v>9094</v>
      </c>
      <c r="T3652" t="s">
        <v>11183</v>
      </c>
      <c r="V3652" t="s">
        <v>1094</v>
      </c>
      <c r="W3652">
        <v>1233</v>
      </c>
      <c r="X3652" t="s">
        <v>11333</v>
      </c>
      <c r="Y3652" t="s">
        <v>11346</v>
      </c>
      <c r="Z3652" t="s">
        <v>13793</v>
      </c>
      <c r="AB3652" t="s">
        <v>18120</v>
      </c>
      <c r="AC3652">
        <v>61</v>
      </c>
      <c r="AD3652" t="s">
        <v>19566</v>
      </c>
      <c r="AE3652" t="s">
        <v>9144</v>
      </c>
      <c r="AF3652">
        <v>2</v>
      </c>
      <c r="AG3652">
        <v>2</v>
      </c>
      <c r="AH3652">
        <v>0</v>
      </c>
      <c r="AI3652">
        <v>127.24</v>
      </c>
      <c r="AL3652" t="s">
        <v>19632</v>
      </c>
      <c r="AM3652">
        <v>20384</v>
      </c>
      <c r="AS3652">
        <v>0.5</v>
      </c>
      <c r="AT3652" t="s">
        <v>873</v>
      </c>
      <c r="AU3652" t="s">
        <v>109</v>
      </c>
    </row>
    <row r="3653" spans="1:48">
      <c r="A3653" s="1">
        <f>HYPERLINK("https://lsnyc.legalserver.org/matter/dynamic-profile/view/0816953","16-0816953")</f>
        <v>0</v>
      </c>
      <c r="B3653" t="s">
        <v>101</v>
      </c>
      <c r="C3653" t="s">
        <v>256</v>
      </c>
      <c r="D3653" t="s">
        <v>437</v>
      </c>
      <c r="F3653" t="s">
        <v>2235</v>
      </c>
      <c r="G3653" t="s">
        <v>3586</v>
      </c>
      <c r="H3653" t="s">
        <v>6041</v>
      </c>
      <c r="I3653" t="s">
        <v>8209</v>
      </c>
      <c r="J3653" t="s">
        <v>9065</v>
      </c>
      <c r="K3653">
        <v>10452</v>
      </c>
      <c r="L3653" t="s">
        <v>9094</v>
      </c>
      <c r="M3653" t="s">
        <v>9095</v>
      </c>
      <c r="N3653" t="s">
        <v>9500</v>
      </c>
      <c r="O3653" t="s">
        <v>11135</v>
      </c>
      <c r="P3653" t="s">
        <v>11168</v>
      </c>
      <c r="R3653" t="s">
        <v>11180</v>
      </c>
      <c r="S3653" t="s">
        <v>9094</v>
      </c>
      <c r="T3653" t="s">
        <v>11183</v>
      </c>
      <c r="V3653" t="s">
        <v>1024</v>
      </c>
      <c r="W3653">
        <v>1233</v>
      </c>
      <c r="X3653" t="s">
        <v>11333</v>
      </c>
      <c r="Y3653" t="s">
        <v>11346</v>
      </c>
      <c r="Z3653" t="s">
        <v>13793</v>
      </c>
      <c r="AB3653" t="s">
        <v>18120</v>
      </c>
      <c r="AC3653">
        <v>62</v>
      </c>
      <c r="AD3653" t="s">
        <v>19566</v>
      </c>
      <c r="AE3653" t="s">
        <v>9144</v>
      </c>
      <c r="AF3653">
        <v>2</v>
      </c>
      <c r="AG3653">
        <v>2</v>
      </c>
      <c r="AH3653">
        <v>0</v>
      </c>
      <c r="AI3653">
        <v>127.24</v>
      </c>
      <c r="AL3653" t="s">
        <v>19615</v>
      </c>
      <c r="AM3653">
        <v>20384</v>
      </c>
      <c r="AS3653">
        <v>0.8</v>
      </c>
      <c r="AT3653" t="s">
        <v>873</v>
      </c>
      <c r="AU3653" t="s">
        <v>20643</v>
      </c>
    </row>
    <row r="3654" spans="1:48">
      <c r="A3654" s="1">
        <f>HYPERLINK("https://lsnyc.legalserver.org/matter/dynamic-profile/view/0822616","16-0822616")</f>
        <v>0</v>
      </c>
      <c r="B3654" t="s">
        <v>101</v>
      </c>
      <c r="C3654" t="s">
        <v>256</v>
      </c>
      <c r="D3654" t="s">
        <v>657</v>
      </c>
      <c r="F3654" t="s">
        <v>2235</v>
      </c>
      <c r="G3654" t="s">
        <v>3586</v>
      </c>
      <c r="H3654" t="s">
        <v>6041</v>
      </c>
      <c r="I3654" t="s">
        <v>8209</v>
      </c>
      <c r="J3654" t="s">
        <v>9065</v>
      </c>
      <c r="K3654">
        <v>10452</v>
      </c>
      <c r="L3654" t="s">
        <v>9094</v>
      </c>
      <c r="M3654" t="s">
        <v>9095</v>
      </c>
      <c r="N3654" t="s">
        <v>9501</v>
      </c>
      <c r="O3654" t="s">
        <v>11135</v>
      </c>
      <c r="P3654" t="s">
        <v>11168</v>
      </c>
      <c r="R3654" t="s">
        <v>11180</v>
      </c>
      <c r="S3654" t="s">
        <v>9094</v>
      </c>
      <c r="T3654" t="s">
        <v>11183</v>
      </c>
      <c r="V3654" t="s">
        <v>657</v>
      </c>
      <c r="W3654">
        <v>1233</v>
      </c>
      <c r="X3654" t="s">
        <v>11333</v>
      </c>
      <c r="Y3654" t="s">
        <v>11346</v>
      </c>
      <c r="Z3654" t="s">
        <v>13793</v>
      </c>
      <c r="AB3654" t="s">
        <v>18120</v>
      </c>
      <c r="AC3654">
        <v>62</v>
      </c>
      <c r="AD3654" t="s">
        <v>19566</v>
      </c>
      <c r="AE3654" t="s">
        <v>9144</v>
      </c>
      <c r="AF3654">
        <v>2</v>
      </c>
      <c r="AG3654">
        <v>2</v>
      </c>
      <c r="AH3654">
        <v>0</v>
      </c>
      <c r="AI3654">
        <v>127.24</v>
      </c>
      <c r="AL3654" t="s">
        <v>19615</v>
      </c>
      <c r="AM3654">
        <v>20384</v>
      </c>
      <c r="AS3654">
        <v>0.3</v>
      </c>
      <c r="AT3654" t="s">
        <v>873</v>
      </c>
      <c r="AU3654" t="s">
        <v>20643</v>
      </c>
    </row>
    <row r="3655" spans="1:48">
      <c r="A3655" s="1">
        <f>HYPERLINK("https://lsnyc.legalserver.org/matter/dynamic-profile/view/1885677","18-1885677")</f>
        <v>0</v>
      </c>
      <c r="B3655" t="s">
        <v>113</v>
      </c>
      <c r="C3655" t="s">
        <v>257</v>
      </c>
      <c r="D3655" t="s">
        <v>424</v>
      </c>
      <c r="E3655" t="s">
        <v>301</v>
      </c>
      <c r="F3655" t="s">
        <v>1375</v>
      </c>
      <c r="G3655" t="s">
        <v>4811</v>
      </c>
      <c r="H3655" t="s">
        <v>5864</v>
      </c>
      <c r="I3655" t="s">
        <v>8124</v>
      </c>
      <c r="J3655" t="s">
        <v>9065</v>
      </c>
      <c r="K3655">
        <v>10460</v>
      </c>
      <c r="L3655" t="s">
        <v>9094</v>
      </c>
      <c r="M3655" t="s">
        <v>9094</v>
      </c>
      <c r="N3655" t="s">
        <v>9222</v>
      </c>
      <c r="O3655" t="s">
        <v>11130</v>
      </c>
      <c r="P3655" t="s">
        <v>11165</v>
      </c>
      <c r="Q3655" t="s">
        <v>11174</v>
      </c>
      <c r="R3655" t="s">
        <v>11180</v>
      </c>
      <c r="S3655" t="s">
        <v>9094</v>
      </c>
      <c r="T3655" t="s">
        <v>11183</v>
      </c>
      <c r="V3655" t="s">
        <v>512</v>
      </c>
      <c r="W3655">
        <v>377</v>
      </c>
      <c r="X3655" t="s">
        <v>11333</v>
      </c>
      <c r="Y3655" t="s">
        <v>11346</v>
      </c>
      <c r="Z3655" t="s">
        <v>13752</v>
      </c>
      <c r="AB3655" t="s">
        <v>18078</v>
      </c>
      <c r="AC3655">
        <v>168</v>
      </c>
      <c r="AD3655" t="s">
        <v>15441</v>
      </c>
      <c r="AE3655" t="s">
        <v>11157</v>
      </c>
      <c r="AF3655">
        <v>10</v>
      </c>
      <c r="AG3655">
        <v>1</v>
      </c>
      <c r="AH3655">
        <v>0</v>
      </c>
      <c r="AI3655">
        <v>127.31</v>
      </c>
      <c r="AL3655" t="s">
        <v>19614</v>
      </c>
      <c r="AM3655">
        <v>15456</v>
      </c>
      <c r="AS3655">
        <v>0.25</v>
      </c>
      <c r="AT3655" t="s">
        <v>301</v>
      </c>
      <c r="AU3655" t="s">
        <v>20642</v>
      </c>
    </row>
    <row r="3656" spans="1:48">
      <c r="A3656" s="1">
        <f>HYPERLINK("https://lsnyc.legalserver.org/matter/dynamic-profile/view/1850426","17-1850426")</f>
        <v>0</v>
      </c>
      <c r="B3656" t="s">
        <v>122</v>
      </c>
      <c r="C3656" t="s">
        <v>256</v>
      </c>
      <c r="D3656" t="s">
        <v>924</v>
      </c>
      <c r="F3656" t="s">
        <v>1365</v>
      </c>
      <c r="G3656" t="s">
        <v>4841</v>
      </c>
      <c r="H3656" t="s">
        <v>6361</v>
      </c>
      <c r="I3656" t="s">
        <v>8760</v>
      </c>
      <c r="J3656" t="s">
        <v>9066</v>
      </c>
      <c r="K3656">
        <v>10304</v>
      </c>
      <c r="L3656" t="s">
        <v>9094</v>
      </c>
      <c r="M3656" t="s">
        <v>9095</v>
      </c>
      <c r="N3656" t="s">
        <v>10474</v>
      </c>
      <c r="O3656" t="s">
        <v>11129</v>
      </c>
      <c r="P3656" t="s">
        <v>11165</v>
      </c>
      <c r="R3656" t="s">
        <v>11180</v>
      </c>
      <c r="S3656" t="s">
        <v>9096</v>
      </c>
      <c r="T3656" t="s">
        <v>11183</v>
      </c>
      <c r="V3656" t="s">
        <v>924</v>
      </c>
      <c r="W3656">
        <v>839</v>
      </c>
      <c r="X3656" t="s">
        <v>11334</v>
      </c>
      <c r="Y3656" t="s">
        <v>11349</v>
      </c>
      <c r="Z3656" t="s">
        <v>13794</v>
      </c>
      <c r="AB3656" t="s">
        <v>18121</v>
      </c>
      <c r="AC3656">
        <v>350</v>
      </c>
      <c r="AD3656" t="s">
        <v>19567</v>
      </c>
      <c r="AE3656" t="s">
        <v>19580</v>
      </c>
      <c r="AF3656">
        <v>3</v>
      </c>
      <c r="AG3656">
        <v>1</v>
      </c>
      <c r="AH3656">
        <v>2</v>
      </c>
      <c r="AI3656">
        <v>127.33</v>
      </c>
      <c r="AL3656" t="s">
        <v>19614</v>
      </c>
      <c r="AM3656">
        <v>26000</v>
      </c>
      <c r="AS3656">
        <v>7.9</v>
      </c>
      <c r="AT3656" t="s">
        <v>275</v>
      </c>
      <c r="AU3656" t="s">
        <v>20652</v>
      </c>
    </row>
    <row r="3657" spans="1:48">
      <c r="A3657" s="1">
        <f>HYPERLINK("https://lsnyc.legalserver.org/matter/dynamic-profile/view/1900542","19-1900542")</f>
        <v>0</v>
      </c>
      <c r="B3657" t="s">
        <v>113</v>
      </c>
      <c r="C3657" t="s">
        <v>256</v>
      </c>
      <c r="D3657" t="s">
        <v>283</v>
      </c>
      <c r="F3657" t="s">
        <v>2602</v>
      </c>
      <c r="G3657" t="s">
        <v>4842</v>
      </c>
      <c r="H3657" t="s">
        <v>5864</v>
      </c>
      <c r="I3657" t="s">
        <v>8168</v>
      </c>
      <c r="J3657" t="s">
        <v>9065</v>
      </c>
      <c r="K3657">
        <v>10460</v>
      </c>
      <c r="L3657" t="s">
        <v>9094</v>
      </c>
      <c r="M3657" t="s">
        <v>9095</v>
      </c>
      <c r="N3657" t="s">
        <v>9171</v>
      </c>
      <c r="O3657" t="s">
        <v>9121</v>
      </c>
      <c r="P3657" t="s">
        <v>11166</v>
      </c>
      <c r="R3657" t="s">
        <v>11180</v>
      </c>
      <c r="S3657" t="s">
        <v>9094</v>
      </c>
      <c r="T3657" t="s">
        <v>11183</v>
      </c>
      <c r="V3657" t="s">
        <v>11218</v>
      </c>
      <c r="W3657">
        <v>1796</v>
      </c>
      <c r="X3657" t="s">
        <v>11333</v>
      </c>
      <c r="Y3657" t="s">
        <v>11340</v>
      </c>
      <c r="Z3657" t="s">
        <v>13795</v>
      </c>
      <c r="AC3657">
        <v>168</v>
      </c>
      <c r="AD3657" t="s">
        <v>19566</v>
      </c>
      <c r="AE3657" t="s">
        <v>19580</v>
      </c>
      <c r="AF3657">
        <v>23</v>
      </c>
      <c r="AG3657">
        <v>2</v>
      </c>
      <c r="AH3657">
        <v>0</v>
      </c>
      <c r="AI3657">
        <v>127.38</v>
      </c>
      <c r="AL3657" t="s">
        <v>19614</v>
      </c>
      <c r="AM3657">
        <v>21540</v>
      </c>
      <c r="AS3657">
        <v>0</v>
      </c>
      <c r="AU3657" t="s">
        <v>20642</v>
      </c>
      <c r="AV3657" t="s">
        <v>20733</v>
      </c>
    </row>
    <row r="3658" spans="1:48">
      <c r="A3658" s="1">
        <f>HYPERLINK("https://lsnyc.legalserver.org/matter/dynamic-profile/view/1878021","18-1878021")</f>
        <v>0</v>
      </c>
      <c r="B3658" t="s">
        <v>52</v>
      </c>
      <c r="C3658" t="s">
        <v>256</v>
      </c>
      <c r="D3658" t="s">
        <v>846</v>
      </c>
      <c r="F3658" t="s">
        <v>2603</v>
      </c>
      <c r="G3658" t="s">
        <v>4043</v>
      </c>
      <c r="H3658" t="s">
        <v>6422</v>
      </c>
      <c r="I3658">
        <v>807</v>
      </c>
      <c r="J3658" t="s">
        <v>9037</v>
      </c>
      <c r="K3658">
        <v>11692</v>
      </c>
      <c r="L3658" t="s">
        <v>9094</v>
      </c>
      <c r="M3658" t="s">
        <v>9094</v>
      </c>
      <c r="N3658" t="s">
        <v>10475</v>
      </c>
      <c r="O3658" t="s">
        <v>11129</v>
      </c>
      <c r="P3658" t="s">
        <v>11165</v>
      </c>
      <c r="R3658" t="s">
        <v>11180</v>
      </c>
      <c r="S3658" t="s">
        <v>9096</v>
      </c>
      <c r="T3658" t="s">
        <v>11183</v>
      </c>
      <c r="U3658" t="s">
        <v>11199</v>
      </c>
      <c r="V3658" t="s">
        <v>846</v>
      </c>
      <c r="W3658">
        <v>1650</v>
      </c>
      <c r="X3658" t="s">
        <v>11331</v>
      </c>
      <c r="Y3658" t="s">
        <v>11336</v>
      </c>
      <c r="Z3658" t="s">
        <v>13796</v>
      </c>
      <c r="AA3658" t="s">
        <v>15811</v>
      </c>
      <c r="AB3658" t="s">
        <v>18122</v>
      </c>
      <c r="AC3658">
        <v>103</v>
      </c>
      <c r="AD3658" t="s">
        <v>19566</v>
      </c>
      <c r="AE3658" t="s">
        <v>19586</v>
      </c>
      <c r="AF3658">
        <v>1</v>
      </c>
      <c r="AG3658">
        <v>1</v>
      </c>
      <c r="AH3658">
        <v>3</v>
      </c>
      <c r="AI3658">
        <v>127.49</v>
      </c>
      <c r="AL3658" t="s">
        <v>19614</v>
      </c>
      <c r="AM3658">
        <v>32000</v>
      </c>
      <c r="AO3658" t="s">
        <v>20296</v>
      </c>
      <c r="AP3658" t="s">
        <v>20349</v>
      </c>
      <c r="AQ3658" t="s">
        <v>20369</v>
      </c>
      <c r="AR3658" t="s">
        <v>20522</v>
      </c>
      <c r="AS3658">
        <v>6.75</v>
      </c>
      <c r="AT3658" t="s">
        <v>1129</v>
      </c>
      <c r="AU3658" t="s">
        <v>20620</v>
      </c>
    </row>
    <row r="3659" spans="1:48">
      <c r="A3659" s="1">
        <f>HYPERLINK("https://lsnyc.legalserver.org/matter/dynamic-profile/view/1864159","18-1864159")</f>
        <v>0</v>
      </c>
      <c r="B3659" t="s">
        <v>136</v>
      </c>
      <c r="C3659" t="s">
        <v>256</v>
      </c>
      <c r="D3659" t="s">
        <v>505</v>
      </c>
      <c r="F3659" t="s">
        <v>2604</v>
      </c>
      <c r="G3659" t="s">
        <v>3767</v>
      </c>
      <c r="H3659" t="s">
        <v>5961</v>
      </c>
      <c r="I3659">
        <v>505</v>
      </c>
      <c r="J3659" t="s">
        <v>9067</v>
      </c>
      <c r="K3659">
        <v>10029</v>
      </c>
      <c r="L3659" t="s">
        <v>9094</v>
      </c>
      <c r="M3659" t="s">
        <v>9094</v>
      </c>
      <c r="N3659" t="s">
        <v>9287</v>
      </c>
      <c r="O3659" t="s">
        <v>11130</v>
      </c>
      <c r="P3659" t="s">
        <v>11170</v>
      </c>
      <c r="R3659" t="s">
        <v>11180</v>
      </c>
      <c r="S3659" t="s">
        <v>9094</v>
      </c>
      <c r="T3659" t="s">
        <v>11183</v>
      </c>
      <c r="U3659" t="s">
        <v>11201</v>
      </c>
      <c r="V3659" t="s">
        <v>505</v>
      </c>
      <c r="W3659">
        <v>0</v>
      </c>
      <c r="X3659" t="s">
        <v>11335</v>
      </c>
      <c r="Y3659" t="s">
        <v>11339</v>
      </c>
      <c r="Z3659" t="s">
        <v>13797</v>
      </c>
      <c r="AB3659" t="s">
        <v>18123</v>
      </c>
      <c r="AC3659">
        <v>108</v>
      </c>
      <c r="AD3659" t="s">
        <v>19567</v>
      </c>
      <c r="AE3659" t="s">
        <v>19580</v>
      </c>
      <c r="AF3659">
        <v>9</v>
      </c>
      <c r="AG3659">
        <v>2</v>
      </c>
      <c r="AH3659">
        <v>2</v>
      </c>
      <c r="AI3659">
        <v>127.49</v>
      </c>
      <c r="AL3659" t="s">
        <v>19614</v>
      </c>
      <c r="AM3659">
        <v>32000</v>
      </c>
      <c r="AS3659">
        <v>0.35</v>
      </c>
      <c r="AT3659" t="s">
        <v>289</v>
      </c>
      <c r="AU3659" t="s">
        <v>20657</v>
      </c>
    </row>
    <row r="3660" spans="1:48">
      <c r="A3660" s="1">
        <f>HYPERLINK("https://lsnyc.legalserver.org/matter/dynamic-profile/view/1906581","19-1906581")</f>
        <v>0</v>
      </c>
      <c r="B3660" t="s">
        <v>52</v>
      </c>
      <c r="C3660" t="s">
        <v>256</v>
      </c>
      <c r="D3660" t="s">
        <v>333</v>
      </c>
      <c r="F3660" t="s">
        <v>1318</v>
      </c>
      <c r="G3660" t="s">
        <v>4843</v>
      </c>
      <c r="H3660" t="s">
        <v>7406</v>
      </c>
      <c r="I3660" t="s">
        <v>8124</v>
      </c>
      <c r="J3660" t="s">
        <v>9053</v>
      </c>
      <c r="K3660">
        <v>11372</v>
      </c>
      <c r="L3660" t="s">
        <v>9094</v>
      </c>
      <c r="M3660" t="s">
        <v>9095</v>
      </c>
      <c r="N3660" t="s">
        <v>10476</v>
      </c>
      <c r="O3660" t="s">
        <v>11128</v>
      </c>
      <c r="P3660" t="s">
        <v>11165</v>
      </c>
      <c r="R3660" t="s">
        <v>11180</v>
      </c>
      <c r="S3660" t="s">
        <v>9096</v>
      </c>
      <c r="T3660" t="s">
        <v>11183</v>
      </c>
      <c r="U3660" t="s">
        <v>11201</v>
      </c>
      <c r="V3660" t="s">
        <v>333</v>
      </c>
      <c r="W3660">
        <v>1150</v>
      </c>
      <c r="X3660" t="s">
        <v>11331</v>
      </c>
      <c r="Y3660" t="s">
        <v>11336</v>
      </c>
      <c r="Z3660" t="s">
        <v>13798</v>
      </c>
      <c r="AA3660" t="s">
        <v>15812</v>
      </c>
      <c r="AB3660" t="s">
        <v>18124</v>
      </c>
      <c r="AC3660">
        <v>101</v>
      </c>
      <c r="AD3660" t="s">
        <v>19566</v>
      </c>
      <c r="AE3660" t="s">
        <v>9144</v>
      </c>
      <c r="AF3660">
        <v>22</v>
      </c>
      <c r="AG3660">
        <v>3</v>
      </c>
      <c r="AH3660">
        <v>0</v>
      </c>
      <c r="AI3660">
        <v>127.52</v>
      </c>
      <c r="AL3660" t="s">
        <v>19615</v>
      </c>
      <c r="AM3660">
        <v>27200</v>
      </c>
      <c r="AP3660" t="s">
        <v>11157</v>
      </c>
      <c r="AS3660">
        <v>18.45</v>
      </c>
      <c r="AT3660" t="s">
        <v>521</v>
      </c>
      <c r="AU3660" t="s">
        <v>20620</v>
      </c>
      <c r="AV3660" t="s">
        <v>20733</v>
      </c>
    </row>
    <row r="3661" spans="1:48">
      <c r="A3661" s="1">
        <f>HYPERLINK("https://lsnyc.legalserver.org/matter/dynamic-profile/view/1889700","19-1889700")</f>
        <v>0</v>
      </c>
      <c r="B3661" t="s">
        <v>119</v>
      </c>
      <c r="C3661" t="s">
        <v>256</v>
      </c>
      <c r="D3661" t="s">
        <v>784</v>
      </c>
      <c r="F3661" t="s">
        <v>1413</v>
      </c>
      <c r="G3661" t="s">
        <v>3531</v>
      </c>
      <c r="H3661" t="s">
        <v>6095</v>
      </c>
      <c r="I3661" t="s">
        <v>8475</v>
      </c>
      <c r="J3661" t="s">
        <v>9065</v>
      </c>
      <c r="K3661">
        <v>10456</v>
      </c>
      <c r="L3661" t="s">
        <v>9094</v>
      </c>
      <c r="M3661" t="s">
        <v>9094</v>
      </c>
      <c r="O3661" t="s">
        <v>11134</v>
      </c>
      <c r="P3661" t="s">
        <v>11168</v>
      </c>
      <c r="R3661" t="s">
        <v>11180</v>
      </c>
      <c r="S3661" t="s">
        <v>9094</v>
      </c>
      <c r="T3661" t="s">
        <v>11183</v>
      </c>
      <c r="V3661" t="s">
        <v>512</v>
      </c>
      <c r="W3661">
        <v>1200.58</v>
      </c>
      <c r="X3661" t="s">
        <v>11333</v>
      </c>
      <c r="Y3661" t="s">
        <v>11346</v>
      </c>
      <c r="Z3661" t="s">
        <v>13389</v>
      </c>
      <c r="AB3661" t="s">
        <v>17729</v>
      </c>
      <c r="AC3661">
        <v>131</v>
      </c>
      <c r="AD3661" t="s">
        <v>19566</v>
      </c>
      <c r="AE3661" t="s">
        <v>9144</v>
      </c>
      <c r="AF3661">
        <v>7</v>
      </c>
      <c r="AG3661">
        <v>3</v>
      </c>
      <c r="AH3661">
        <v>1</v>
      </c>
      <c r="AI3661">
        <v>127.58</v>
      </c>
      <c r="AL3661" t="s">
        <v>19615</v>
      </c>
      <c r="AM3661">
        <v>32852</v>
      </c>
      <c r="AS3661">
        <v>0</v>
      </c>
      <c r="AU3661" t="s">
        <v>163</v>
      </c>
    </row>
    <row r="3662" spans="1:48">
      <c r="A3662" s="1">
        <f>HYPERLINK("https://lsnyc.legalserver.org/matter/dynamic-profile/view/1915076","19-1915076")</f>
        <v>0</v>
      </c>
      <c r="B3662" t="s">
        <v>119</v>
      </c>
      <c r="C3662" t="s">
        <v>256</v>
      </c>
      <c r="D3662" t="s">
        <v>377</v>
      </c>
      <c r="F3662" t="s">
        <v>1413</v>
      </c>
      <c r="G3662" t="s">
        <v>3531</v>
      </c>
      <c r="H3662" t="s">
        <v>6095</v>
      </c>
      <c r="I3662" t="s">
        <v>8475</v>
      </c>
      <c r="J3662" t="s">
        <v>9065</v>
      </c>
      <c r="K3662">
        <v>10456</v>
      </c>
      <c r="L3662" t="s">
        <v>9096</v>
      </c>
      <c r="M3662" t="s">
        <v>9095</v>
      </c>
      <c r="O3662" t="s">
        <v>11134</v>
      </c>
      <c r="P3662" t="s">
        <v>11166</v>
      </c>
      <c r="R3662" t="s">
        <v>11180</v>
      </c>
      <c r="S3662" t="s">
        <v>9094</v>
      </c>
      <c r="T3662" t="s">
        <v>11183</v>
      </c>
      <c r="W3662">
        <v>1200.58</v>
      </c>
      <c r="X3662" t="s">
        <v>11333</v>
      </c>
      <c r="Y3662" t="s">
        <v>11346</v>
      </c>
      <c r="Z3662" t="s">
        <v>13389</v>
      </c>
      <c r="AB3662" t="s">
        <v>17729</v>
      </c>
      <c r="AC3662">
        <v>131</v>
      </c>
      <c r="AD3662" t="s">
        <v>19566</v>
      </c>
      <c r="AE3662" t="s">
        <v>9144</v>
      </c>
      <c r="AF3662">
        <v>8</v>
      </c>
      <c r="AG3662">
        <v>4</v>
      </c>
      <c r="AH3662">
        <v>0</v>
      </c>
      <c r="AI3662">
        <v>127.58</v>
      </c>
      <c r="AL3662" t="s">
        <v>19615</v>
      </c>
      <c r="AM3662">
        <v>32852</v>
      </c>
      <c r="AS3662">
        <v>0</v>
      </c>
      <c r="AU3662" t="s">
        <v>20647</v>
      </c>
      <c r="AV3662" t="s">
        <v>20733</v>
      </c>
    </row>
    <row r="3663" spans="1:48">
      <c r="A3663" s="1">
        <f>HYPERLINK("https://lsnyc.legalserver.org/matter/dynamic-profile/view/1857591","18-1857591")</f>
        <v>0</v>
      </c>
      <c r="B3663" t="s">
        <v>122</v>
      </c>
      <c r="C3663" t="s">
        <v>257</v>
      </c>
      <c r="D3663" t="s">
        <v>755</v>
      </c>
      <c r="E3663" t="s">
        <v>416</v>
      </c>
      <c r="F3663" t="s">
        <v>1300</v>
      </c>
      <c r="G3663" t="s">
        <v>4844</v>
      </c>
      <c r="H3663" t="s">
        <v>6444</v>
      </c>
      <c r="I3663" t="s">
        <v>8117</v>
      </c>
      <c r="J3663" t="s">
        <v>9066</v>
      </c>
      <c r="K3663">
        <v>10304</v>
      </c>
      <c r="L3663" t="s">
        <v>9094</v>
      </c>
      <c r="M3663" t="s">
        <v>9095</v>
      </c>
      <c r="N3663" t="s">
        <v>9675</v>
      </c>
      <c r="O3663" t="s">
        <v>11137</v>
      </c>
      <c r="P3663" t="s">
        <v>11166</v>
      </c>
      <c r="Q3663" t="s">
        <v>11173</v>
      </c>
      <c r="R3663" t="s">
        <v>11180</v>
      </c>
      <c r="S3663" t="s">
        <v>9094</v>
      </c>
      <c r="T3663" t="s">
        <v>11183</v>
      </c>
      <c r="U3663" t="s">
        <v>11201</v>
      </c>
      <c r="V3663" t="s">
        <v>755</v>
      </c>
      <c r="W3663">
        <v>1407.82</v>
      </c>
      <c r="X3663" t="s">
        <v>11334</v>
      </c>
      <c r="Y3663" t="s">
        <v>11340</v>
      </c>
      <c r="Z3663" t="s">
        <v>13799</v>
      </c>
      <c r="AA3663" t="s">
        <v>15813</v>
      </c>
      <c r="AB3663" t="s">
        <v>18125</v>
      </c>
      <c r="AC3663">
        <v>86</v>
      </c>
      <c r="AD3663" t="s">
        <v>19566</v>
      </c>
      <c r="AE3663" t="s">
        <v>19580</v>
      </c>
      <c r="AF3663">
        <v>8</v>
      </c>
      <c r="AG3663">
        <v>1</v>
      </c>
      <c r="AH3663">
        <v>0</v>
      </c>
      <c r="AI3663">
        <v>127.66</v>
      </c>
      <c r="AL3663" t="s">
        <v>19614</v>
      </c>
      <c r="AM3663">
        <v>15396</v>
      </c>
      <c r="AS3663">
        <v>15</v>
      </c>
      <c r="AT3663" t="s">
        <v>416</v>
      </c>
      <c r="AV3663" t="s">
        <v>20733</v>
      </c>
    </row>
    <row r="3664" spans="1:48">
      <c r="A3664" s="1">
        <f>HYPERLINK("https://lsnyc.legalserver.org/matter/dynamic-profile/view/1901313","19-1901313")</f>
        <v>0</v>
      </c>
      <c r="B3664" t="s">
        <v>90</v>
      </c>
      <c r="C3664" t="s">
        <v>256</v>
      </c>
      <c r="D3664" t="s">
        <v>471</v>
      </c>
      <c r="F3664" t="s">
        <v>2605</v>
      </c>
      <c r="G3664" t="s">
        <v>4845</v>
      </c>
      <c r="H3664" t="s">
        <v>6408</v>
      </c>
      <c r="I3664" t="s">
        <v>8141</v>
      </c>
      <c r="J3664" t="s">
        <v>9059</v>
      </c>
      <c r="K3664">
        <v>11212</v>
      </c>
      <c r="L3664" t="s">
        <v>9094</v>
      </c>
      <c r="M3664" t="s">
        <v>9095</v>
      </c>
      <c r="N3664" t="s">
        <v>9646</v>
      </c>
      <c r="O3664" t="s">
        <v>11132</v>
      </c>
      <c r="P3664" t="s">
        <v>11165</v>
      </c>
      <c r="R3664" t="s">
        <v>11180</v>
      </c>
      <c r="S3664" t="s">
        <v>9094</v>
      </c>
      <c r="T3664" t="s">
        <v>11183</v>
      </c>
      <c r="U3664" t="s">
        <v>11201</v>
      </c>
      <c r="V3664" t="s">
        <v>11231</v>
      </c>
      <c r="W3664">
        <v>1326</v>
      </c>
      <c r="X3664" t="s">
        <v>11332</v>
      </c>
      <c r="Y3664" t="s">
        <v>11340</v>
      </c>
      <c r="Z3664" t="s">
        <v>13800</v>
      </c>
      <c r="AB3664" t="s">
        <v>18126</v>
      </c>
      <c r="AC3664">
        <v>4</v>
      </c>
      <c r="AD3664" t="s">
        <v>15441</v>
      </c>
      <c r="AE3664" t="s">
        <v>9144</v>
      </c>
      <c r="AF3664">
        <v>9</v>
      </c>
      <c r="AG3664">
        <v>2</v>
      </c>
      <c r="AH3664">
        <v>0</v>
      </c>
      <c r="AI3664">
        <v>127.74</v>
      </c>
      <c r="AL3664" t="s">
        <v>19614</v>
      </c>
      <c r="AM3664">
        <v>21600</v>
      </c>
      <c r="AS3664">
        <v>0.5</v>
      </c>
      <c r="AT3664" t="s">
        <v>988</v>
      </c>
      <c r="AU3664" t="s">
        <v>95</v>
      </c>
      <c r="AV3664" t="s">
        <v>20733</v>
      </c>
    </row>
    <row r="3665" spans="1:48">
      <c r="A3665" s="1">
        <f>HYPERLINK("https://lsnyc.legalserver.org/matter/dynamic-profile/view/1910351","19-1910351")</f>
        <v>0</v>
      </c>
      <c r="B3665" t="s">
        <v>90</v>
      </c>
      <c r="C3665" t="s">
        <v>256</v>
      </c>
      <c r="D3665" t="s">
        <v>446</v>
      </c>
      <c r="F3665" t="s">
        <v>2605</v>
      </c>
      <c r="G3665" t="s">
        <v>4845</v>
      </c>
      <c r="H3665" t="s">
        <v>6408</v>
      </c>
      <c r="I3665" t="s">
        <v>8141</v>
      </c>
      <c r="J3665" t="s">
        <v>9059</v>
      </c>
      <c r="K3665">
        <v>11212</v>
      </c>
      <c r="L3665" t="s">
        <v>9094</v>
      </c>
      <c r="M3665" t="s">
        <v>9095</v>
      </c>
      <c r="N3665" t="s">
        <v>9102</v>
      </c>
      <c r="O3665" t="s">
        <v>11137</v>
      </c>
      <c r="P3665" t="s">
        <v>11167</v>
      </c>
      <c r="R3665" t="s">
        <v>11180</v>
      </c>
      <c r="S3665" t="s">
        <v>9094</v>
      </c>
      <c r="T3665" t="s">
        <v>11183</v>
      </c>
      <c r="U3665" t="s">
        <v>11201</v>
      </c>
      <c r="V3665" t="s">
        <v>334</v>
      </c>
      <c r="W3665">
        <v>1326</v>
      </c>
      <c r="X3665" t="s">
        <v>11332</v>
      </c>
      <c r="Y3665" t="s">
        <v>11340</v>
      </c>
      <c r="Z3665" t="s">
        <v>13800</v>
      </c>
      <c r="AA3665" t="s">
        <v>9171</v>
      </c>
      <c r="AB3665" t="s">
        <v>18126</v>
      </c>
      <c r="AC3665">
        <v>4</v>
      </c>
      <c r="AD3665" t="s">
        <v>15441</v>
      </c>
      <c r="AE3665" t="s">
        <v>9144</v>
      </c>
      <c r="AF3665">
        <v>9</v>
      </c>
      <c r="AG3665">
        <v>2</v>
      </c>
      <c r="AH3665">
        <v>0</v>
      </c>
      <c r="AI3665">
        <v>127.74</v>
      </c>
      <c r="AL3665" t="s">
        <v>19614</v>
      </c>
      <c r="AM3665">
        <v>21600</v>
      </c>
      <c r="AS3665">
        <v>0.1</v>
      </c>
      <c r="AT3665" t="s">
        <v>362</v>
      </c>
      <c r="AU3665" t="s">
        <v>95</v>
      </c>
      <c r="AV3665" t="s">
        <v>20733</v>
      </c>
    </row>
    <row r="3666" spans="1:48">
      <c r="A3666" s="1">
        <f>HYPERLINK("https://lsnyc.legalserver.org/matter/dynamic-profile/view/1904539","19-1904539")</f>
        <v>0</v>
      </c>
      <c r="B3666" t="s">
        <v>114</v>
      </c>
      <c r="C3666" t="s">
        <v>257</v>
      </c>
      <c r="D3666" t="s">
        <v>706</v>
      </c>
      <c r="E3666" t="s">
        <v>476</v>
      </c>
      <c r="F3666" t="s">
        <v>2485</v>
      </c>
      <c r="G3666" t="s">
        <v>3991</v>
      </c>
      <c r="H3666" t="s">
        <v>6340</v>
      </c>
      <c r="I3666" t="s">
        <v>8151</v>
      </c>
      <c r="J3666" t="s">
        <v>9065</v>
      </c>
      <c r="K3666">
        <v>10470</v>
      </c>
      <c r="L3666" t="s">
        <v>9094</v>
      </c>
      <c r="M3666" t="s">
        <v>9095</v>
      </c>
      <c r="N3666" t="s">
        <v>9426</v>
      </c>
      <c r="O3666" t="s">
        <v>11130</v>
      </c>
      <c r="P3666" t="s">
        <v>11165</v>
      </c>
      <c r="Q3666" t="s">
        <v>11174</v>
      </c>
      <c r="R3666" t="s">
        <v>11180</v>
      </c>
      <c r="S3666" t="s">
        <v>9094</v>
      </c>
      <c r="T3666" t="s">
        <v>11183</v>
      </c>
      <c r="W3666">
        <v>1734</v>
      </c>
      <c r="X3666" t="s">
        <v>11333</v>
      </c>
      <c r="Y3666" t="s">
        <v>11346</v>
      </c>
      <c r="Z3666" t="s">
        <v>13801</v>
      </c>
      <c r="AA3666" t="s">
        <v>15814</v>
      </c>
      <c r="AC3666">
        <v>63</v>
      </c>
      <c r="AD3666" t="s">
        <v>19565</v>
      </c>
      <c r="AE3666" t="s">
        <v>11157</v>
      </c>
      <c r="AF3666">
        <v>3</v>
      </c>
      <c r="AG3666">
        <v>1</v>
      </c>
      <c r="AH3666">
        <v>1</v>
      </c>
      <c r="AI3666">
        <v>127.74</v>
      </c>
      <c r="AL3666" t="s">
        <v>19614</v>
      </c>
      <c r="AM3666">
        <v>21600</v>
      </c>
      <c r="AS3666">
        <v>0.75</v>
      </c>
      <c r="AT3666" t="s">
        <v>476</v>
      </c>
      <c r="AU3666" t="s">
        <v>163</v>
      </c>
      <c r="AV3666" t="s">
        <v>20733</v>
      </c>
    </row>
    <row r="3667" spans="1:48">
      <c r="A3667" s="1">
        <f>HYPERLINK("https://lsnyc.legalserver.org/matter/dynamic-profile/view/1895440","19-1895440")</f>
        <v>0</v>
      </c>
      <c r="B3667" t="s">
        <v>98</v>
      </c>
      <c r="C3667" t="s">
        <v>256</v>
      </c>
      <c r="D3667" t="s">
        <v>512</v>
      </c>
      <c r="F3667" t="s">
        <v>1147</v>
      </c>
      <c r="G3667" t="s">
        <v>3448</v>
      </c>
      <c r="H3667" t="s">
        <v>7407</v>
      </c>
      <c r="I3667">
        <v>2</v>
      </c>
      <c r="J3667" t="s">
        <v>9065</v>
      </c>
      <c r="K3667">
        <v>10457</v>
      </c>
      <c r="L3667" t="s">
        <v>9094</v>
      </c>
      <c r="M3667" t="s">
        <v>9095</v>
      </c>
      <c r="N3667" t="s">
        <v>10477</v>
      </c>
      <c r="O3667" t="s">
        <v>11155</v>
      </c>
      <c r="P3667" t="s">
        <v>11168</v>
      </c>
      <c r="R3667" t="s">
        <v>11180</v>
      </c>
      <c r="S3667" t="s">
        <v>9096</v>
      </c>
      <c r="T3667" t="s">
        <v>11192</v>
      </c>
      <c r="U3667" t="s">
        <v>11201</v>
      </c>
      <c r="V3667" t="s">
        <v>11212</v>
      </c>
      <c r="W3667">
        <v>0.01</v>
      </c>
      <c r="X3667" t="s">
        <v>11333</v>
      </c>
      <c r="Y3667" t="s">
        <v>11340</v>
      </c>
      <c r="Z3667" t="s">
        <v>13802</v>
      </c>
      <c r="AB3667" t="s">
        <v>18127</v>
      </c>
      <c r="AC3667">
        <v>1</v>
      </c>
      <c r="AD3667" t="s">
        <v>15441</v>
      </c>
      <c r="AE3667" t="s">
        <v>19580</v>
      </c>
      <c r="AF3667">
        <v>0</v>
      </c>
      <c r="AG3667">
        <v>2</v>
      </c>
      <c r="AH3667">
        <v>0</v>
      </c>
      <c r="AI3667">
        <v>127.74</v>
      </c>
      <c r="AL3667" t="s">
        <v>19614</v>
      </c>
      <c r="AM3667">
        <v>21600</v>
      </c>
      <c r="AS3667">
        <v>12.75</v>
      </c>
      <c r="AT3667" t="s">
        <v>307</v>
      </c>
      <c r="AU3667" t="s">
        <v>20642</v>
      </c>
      <c r="AV3667" t="s">
        <v>20733</v>
      </c>
    </row>
    <row r="3668" spans="1:48">
      <c r="A3668" s="1">
        <f>HYPERLINK("https://lsnyc.legalserver.org/matter/dynamic-profile/view/1907929","19-1907929")</f>
        <v>0</v>
      </c>
      <c r="B3668" t="s">
        <v>242</v>
      </c>
      <c r="C3668" t="s">
        <v>257</v>
      </c>
      <c r="D3668" t="s">
        <v>288</v>
      </c>
      <c r="E3668" t="s">
        <v>496</v>
      </c>
      <c r="F3668" t="s">
        <v>2068</v>
      </c>
      <c r="G3668" t="s">
        <v>4846</v>
      </c>
      <c r="H3668" t="s">
        <v>7408</v>
      </c>
      <c r="J3668" t="s">
        <v>9055</v>
      </c>
      <c r="K3668">
        <v>11358</v>
      </c>
      <c r="L3668" t="s">
        <v>9094</v>
      </c>
      <c r="M3668" t="s">
        <v>9095</v>
      </c>
      <c r="N3668" t="s">
        <v>10478</v>
      </c>
      <c r="O3668" t="s">
        <v>11128</v>
      </c>
      <c r="P3668" t="s">
        <v>11165</v>
      </c>
      <c r="Q3668" t="s">
        <v>11174</v>
      </c>
      <c r="R3668" t="s">
        <v>11180</v>
      </c>
      <c r="S3668" t="s">
        <v>9096</v>
      </c>
      <c r="T3668" t="s">
        <v>11183</v>
      </c>
      <c r="U3668" t="s">
        <v>11201</v>
      </c>
      <c r="V3668" t="s">
        <v>288</v>
      </c>
      <c r="W3668">
        <v>1</v>
      </c>
      <c r="X3668" t="s">
        <v>11331</v>
      </c>
      <c r="Y3668" t="s">
        <v>11336</v>
      </c>
      <c r="Z3668" t="s">
        <v>13803</v>
      </c>
      <c r="AA3668" t="s">
        <v>9144</v>
      </c>
      <c r="AB3668" t="s">
        <v>18128</v>
      </c>
      <c r="AC3668">
        <v>1</v>
      </c>
      <c r="AD3668" t="s">
        <v>19565</v>
      </c>
      <c r="AE3668" t="s">
        <v>9144</v>
      </c>
      <c r="AF3668">
        <v>8</v>
      </c>
      <c r="AG3668">
        <v>3</v>
      </c>
      <c r="AH3668">
        <v>1</v>
      </c>
      <c r="AI3668">
        <v>127.77</v>
      </c>
      <c r="AL3668" t="s">
        <v>19639</v>
      </c>
      <c r="AM3668">
        <v>32900</v>
      </c>
      <c r="AO3668" t="s">
        <v>20293</v>
      </c>
      <c r="AP3668" t="s">
        <v>20313</v>
      </c>
      <c r="AQ3668" t="s">
        <v>20369</v>
      </c>
      <c r="AR3668" t="s">
        <v>20523</v>
      </c>
      <c r="AS3668">
        <v>12.15</v>
      </c>
      <c r="AT3668" t="s">
        <v>521</v>
      </c>
      <c r="AU3668" t="s">
        <v>20620</v>
      </c>
      <c r="AV3668" t="s">
        <v>20733</v>
      </c>
    </row>
    <row r="3669" spans="1:48">
      <c r="A3669" s="1">
        <f>HYPERLINK("https://lsnyc.legalserver.org/matter/dynamic-profile/view/1910165","19-1910165")</f>
        <v>0</v>
      </c>
      <c r="B3669" t="s">
        <v>73</v>
      </c>
      <c r="C3669" t="s">
        <v>256</v>
      </c>
      <c r="D3669" t="s">
        <v>442</v>
      </c>
      <c r="F3669" t="s">
        <v>1276</v>
      </c>
      <c r="G3669" t="s">
        <v>3768</v>
      </c>
      <c r="H3669" t="s">
        <v>7409</v>
      </c>
      <c r="J3669" t="s">
        <v>9059</v>
      </c>
      <c r="K3669">
        <v>11212</v>
      </c>
      <c r="L3669" t="s">
        <v>9094</v>
      </c>
      <c r="M3669" t="s">
        <v>9095</v>
      </c>
      <c r="N3669" t="s">
        <v>10479</v>
      </c>
      <c r="O3669" t="s">
        <v>11128</v>
      </c>
      <c r="P3669" t="s">
        <v>11165</v>
      </c>
      <c r="R3669" t="s">
        <v>11180</v>
      </c>
      <c r="S3669" t="s">
        <v>9096</v>
      </c>
      <c r="T3669" t="s">
        <v>11183</v>
      </c>
      <c r="U3669" t="s">
        <v>11201</v>
      </c>
      <c r="V3669" t="s">
        <v>404</v>
      </c>
      <c r="W3669">
        <v>700</v>
      </c>
      <c r="X3669" t="s">
        <v>11332</v>
      </c>
      <c r="Y3669" t="s">
        <v>11338</v>
      </c>
      <c r="Z3669" t="s">
        <v>13804</v>
      </c>
      <c r="AA3669" t="s">
        <v>15287</v>
      </c>
      <c r="AB3669" t="s">
        <v>18129</v>
      </c>
      <c r="AC3669">
        <v>39</v>
      </c>
      <c r="AD3669" t="s">
        <v>19566</v>
      </c>
      <c r="AE3669" t="s">
        <v>19584</v>
      </c>
      <c r="AF3669">
        <v>26</v>
      </c>
      <c r="AG3669">
        <v>3</v>
      </c>
      <c r="AH3669">
        <v>1</v>
      </c>
      <c r="AI3669">
        <v>127.88</v>
      </c>
      <c r="AL3669" t="s">
        <v>19614</v>
      </c>
      <c r="AM3669">
        <v>32928</v>
      </c>
      <c r="AS3669">
        <v>3.2</v>
      </c>
      <c r="AT3669" t="s">
        <v>484</v>
      </c>
      <c r="AU3669" t="s">
        <v>20660</v>
      </c>
      <c r="AV3669" t="s">
        <v>20733</v>
      </c>
    </row>
    <row r="3670" spans="1:48">
      <c r="A3670" s="1">
        <f>HYPERLINK("https://lsnyc.legalserver.org/matter/dynamic-profile/view/1912190","19-1912190")</f>
        <v>0</v>
      </c>
      <c r="B3670" t="s">
        <v>73</v>
      </c>
      <c r="C3670" t="s">
        <v>256</v>
      </c>
      <c r="D3670" t="s">
        <v>570</v>
      </c>
      <c r="F3670" t="s">
        <v>2040</v>
      </c>
      <c r="G3670" t="s">
        <v>3448</v>
      </c>
      <c r="H3670" t="s">
        <v>7409</v>
      </c>
      <c r="I3670" t="s">
        <v>8209</v>
      </c>
      <c r="J3670" t="s">
        <v>9059</v>
      </c>
      <c r="K3670">
        <v>11212</v>
      </c>
      <c r="L3670" t="s">
        <v>9094</v>
      </c>
      <c r="M3670" t="s">
        <v>9095</v>
      </c>
      <c r="N3670" t="s">
        <v>10479</v>
      </c>
      <c r="O3670" t="s">
        <v>11128</v>
      </c>
      <c r="P3670" t="s">
        <v>11165</v>
      </c>
      <c r="R3670" t="s">
        <v>11180</v>
      </c>
      <c r="S3670" t="s">
        <v>9096</v>
      </c>
      <c r="T3670" t="s">
        <v>11183</v>
      </c>
      <c r="U3670" t="s">
        <v>11201</v>
      </c>
      <c r="V3670" t="s">
        <v>404</v>
      </c>
      <c r="W3670">
        <v>700</v>
      </c>
      <c r="X3670" t="s">
        <v>11332</v>
      </c>
      <c r="Y3670" t="s">
        <v>11338</v>
      </c>
      <c r="Z3670" t="s">
        <v>13805</v>
      </c>
      <c r="AA3670" t="s">
        <v>15285</v>
      </c>
      <c r="AB3670" t="s">
        <v>18130</v>
      </c>
      <c r="AC3670">
        <v>39</v>
      </c>
      <c r="AD3670" t="s">
        <v>19566</v>
      </c>
      <c r="AE3670" t="s">
        <v>19584</v>
      </c>
      <c r="AF3670">
        <v>26</v>
      </c>
      <c r="AG3670">
        <v>3</v>
      </c>
      <c r="AH3670">
        <v>1</v>
      </c>
      <c r="AI3670">
        <v>127.88</v>
      </c>
      <c r="AL3670" t="s">
        <v>19614</v>
      </c>
      <c r="AM3670">
        <v>32928</v>
      </c>
      <c r="AS3670">
        <v>0.1</v>
      </c>
      <c r="AT3670" t="s">
        <v>301</v>
      </c>
      <c r="AU3670" t="s">
        <v>79</v>
      </c>
      <c r="AV3670" t="s">
        <v>20733</v>
      </c>
    </row>
    <row r="3671" spans="1:48">
      <c r="A3671" s="1">
        <f>HYPERLINK("https://lsnyc.legalserver.org/matter/dynamic-profile/view/0783028","15-0783028")</f>
        <v>0</v>
      </c>
      <c r="B3671" t="s">
        <v>91</v>
      </c>
      <c r="C3671" t="s">
        <v>256</v>
      </c>
      <c r="D3671" t="s">
        <v>1028</v>
      </c>
      <c r="F3671" t="s">
        <v>1806</v>
      </c>
      <c r="G3671" t="s">
        <v>4847</v>
      </c>
      <c r="H3671" t="s">
        <v>7410</v>
      </c>
      <c r="I3671" t="s">
        <v>8273</v>
      </c>
      <c r="J3671" t="s">
        <v>9059</v>
      </c>
      <c r="K3671">
        <v>11215</v>
      </c>
      <c r="L3671" t="s">
        <v>9096</v>
      </c>
      <c r="M3671" t="s">
        <v>9095</v>
      </c>
      <c r="N3671" t="s">
        <v>10480</v>
      </c>
      <c r="O3671" t="s">
        <v>11130</v>
      </c>
      <c r="P3671" t="s">
        <v>11165</v>
      </c>
      <c r="R3671" t="s">
        <v>11180</v>
      </c>
      <c r="T3671" t="s">
        <v>11183</v>
      </c>
      <c r="W3671">
        <v>822</v>
      </c>
      <c r="X3671" t="s">
        <v>11332</v>
      </c>
      <c r="Z3671" t="s">
        <v>13806</v>
      </c>
      <c r="AC3671">
        <v>8</v>
      </c>
      <c r="AD3671" t="s">
        <v>19566</v>
      </c>
      <c r="AF3671">
        <v>25</v>
      </c>
      <c r="AG3671">
        <v>2</v>
      </c>
      <c r="AH3671">
        <v>0</v>
      </c>
      <c r="AI3671">
        <v>128.06</v>
      </c>
      <c r="AL3671" t="s">
        <v>19615</v>
      </c>
      <c r="AM3671">
        <v>20400</v>
      </c>
      <c r="AS3671">
        <v>229.85</v>
      </c>
      <c r="AT3671" t="s">
        <v>270</v>
      </c>
      <c r="AU3671" t="s">
        <v>75</v>
      </c>
    </row>
    <row r="3672" spans="1:48">
      <c r="A3672" s="1">
        <f>HYPERLINK("https://lsnyc.legalserver.org/matter/dynamic-profile/view/0826586","17-0826586")</f>
        <v>0</v>
      </c>
      <c r="B3672" t="s">
        <v>243</v>
      </c>
      <c r="C3672" t="s">
        <v>257</v>
      </c>
      <c r="D3672" t="s">
        <v>1029</v>
      </c>
      <c r="E3672" t="s">
        <v>329</v>
      </c>
      <c r="F3672" t="s">
        <v>1566</v>
      </c>
      <c r="G3672" t="s">
        <v>3690</v>
      </c>
      <c r="H3672" t="s">
        <v>7411</v>
      </c>
      <c r="I3672" t="s">
        <v>8119</v>
      </c>
      <c r="J3672" t="s">
        <v>9059</v>
      </c>
      <c r="K3672">
        <v>11216</v>
      </c>
      <c r="L3672" t="s">
        <v>9096</v>
      </c>
      <c r="M3672" t="s">
        <v>9095</v>
      </c>
      <c r="O3672" t="s">
        <v>11129</v>
      </c>
      <c r="P3672" t="s">
        <v>11165</v>
      </c>
      <c r="Q3672" t="s">
        <v>11178</v>
      </c>
      <c r="R3672" t="s">
        <v>11180</v>
      </c>
      <c r="T3672" t="s">
        <v>11183</v>
      </c>
      <c r="W3672">
        <v>1106</v>
      </c>
      <c r="X3672" t="s">
        <v>11332</v>
      </c>
      <c r="Y3672" t="s">
        <v>11340</v>
      </c>
      <c r="Z3672" t="s">
        <v>13807</v>
      </c>
      <c r="AB3672" t="s">
        <v>18131</v>
      </c>
      <c r="AC3672">
        <v>25</v>
      </c>
      <c r="AD3672" t="s">
        <v>19566</v>
      </c>
      <c r="AE3672" t="s">
        <v>19580</v>
      </c>
      <c r="AF3672">
        <v>17</v>
      </c>
      <c r="AG3672">
        <v>2</v>
      </c>
      <c r="AH3672">
        <v>0</v>
      </c>
      <c r="AI3672">
        <v>128.08</v>
      </c>
      <c r="AL3672" t="s">
        <v>19614</v>
      </c>
      <c r="AM3672">
        <v>20800</v>
      </c>
      <c r="AS3672">
        <v>158.3</v>
      </c>
      <c r="AT3672" t="s">
        <v>1130</v>
      </c>
      <c r="AU3672" t="s">
        <v>20721</v>
      </c>
    </row>
    <row r="3673" spans="1:48">
      <c r="A3673" s="1">
        <f>HYPERLINK("https://lsnyc.legalserver.org/matter/dynamic-profile/view/1841656","17-1841656")</f>
        <v>0</v>
      </c>
      <c r="B3673" t="s">
        <v>136</v>
      </c>
      <c r="C3673" t="s">
        <v>256</v>
      </c>
      <c r="D3673" t="s">
        <v>885</v>
      </c>
      <c r="F3673" t="s">
        <v>2150</v>
      </c>
      <c r="G3673" t="s">
        <v>4839</v>
      </c>
      <c r="H3673" t="s">
        <v>7398</v>
      </c>
      <c r="I3673" t="s">
        <v>8197</v>
      </c>
      <c r="J3673" t="s">
        <v>9067</v>
      </c>
      <c r="K3673">
        <v>10034</v>
      </c>
      <c r="L3673" t="s">
        <v>9094</v>
      </c>
      <c r="M3673" t="s">
        <v>9095</v>
      </c>
      <c r="N3673" t="s">
        <v>10481</v>
      </c>
      <c r="O3673" t="s">
        <v>11135</v>
      </c>
      <c r="P3673" t="s">
        <v>11165</v>
      </c>
      <c r="R3673" t="s">
        <v>11180</v>
      </c>
      <c r="S3673" t="s">
        <v>9096</v>
      </c>
      <c r="T3673" t="s">
        <v>11183</v>
      </c>
      <c r="V3673" t="s">
        <v>1100</v>
      </c>
      <c r="W3673">
        <v>855.5599999999999</v>
      </c>
      <c r="X3673" t="s">
        <v>11335</v>
      </c>
      <c r="Y3673" t="s">
        <v>11339</v>
      </c>
      <c r="Z3673" t="s">
        <v>13787</v>
      </c>
      <c r="AB3673" t="s">
        <v>18112</v>
      </c>
      <c r="AC3673">
        <v>31</v>
      </c>
      <c r="AD3673" t="s">
        <v>19566</v>
      </c>
      <c r="AE3673" t="s">
        <v>9144</v>
      </c>
      <c r="AF3673">
        <v>32</v>
      </c>
      <c r="AG3673">
        <v>1</v>
      </c>
      <c r="AH3673">
        <v>1</v>
      </c>
      <c r="AI3673">
        <v>128.08</v>
      </c>
      <c r="AL3673" t="s">
        <v>19614</v>
      </c>
      <c r="AM3673">
        <v>20800</v>
      </c>
      <c r="AS3673">
        <v>33.2</v>
      </c>
      <c r="AT3673" t="s">
        <v>457</v>
      </c>
      <c r="AU3673" t="s">
        <v>20722</v>
      </c>
    </row>
    <row r="3674" spans="1:48">
      <c r="A3674" s="1">
        <f>HYPERLINK("https://lsnyc.legalserver.org/matter/dynamic-profile/view/1902930","19-1902930")</f>
        <v>0</v>
      </c>
      <c r="B3674" t="s">
        <v>55</v>
      </c>
      <c r="C3674" t="s">
        <v>256</v>
      </c>
      <c r="D3674" t="s">
        <v>760</v>
      </c>
      <c r="F3674" t="s">
        <v>2606</v>
      </c>
      <c r="G3674" t="s">
        <v>4848</v>
      </c>
      <c r="H3674" t="s">
        <v>7412</v>
      </c>
      <c r="I3674" t="s">
        <v>8302</v>
      </c>
      <c r="J3674" t="s">
        <v>9061</v>
      </c>
      <c r="K3674">
        <v>11106</v>
      </c>
      <c r="L3674" t="s">
        <v>9094</v>
      </c>
      <c r="M3674" t="s">
        <v>9095</v>
      </c>
      <c r="N3674" t="s">
        <v>10482</v>
      </c>
      <c r="O3674" t="s">
        <v>11128</v>
      </c>
      <c r="P3674" t="s">
        <v>11165</v>
      </c>
      <c r="R3674" t="s">
        <v>11180</v>
      </c>
      <c r="S3674" t="s">
        <v>9096</v>
      </c>
      <c r="T3674" t="s">
        <v>11183</v>
      </c>
      <c r="U3674" t="s">
        <v>11202</v>
      </c>
      <c r="V3674" t="s">
        <v>760</v>
      </c>
      <c r="W3674">
        <v>1015</v>
      </c>
      <c r="X3674" t="s">
        <v>11331</v>
      </c>
      <c r="Y3674" t="s">
        <v>11336</v>
      </c>
      <c r="Z3674" t="s">
        <v>13808</v>
      </c>
      <c r="AA3674" t="s">
        <v>15274</v>
      </c>
      <c r="AB3674" t="s">
        <v>18132</v>
      </c>
      <c r="AC3674">
        <v>31</v>
      </c>
      <c r="AD3674" t="s">
        <v>19569</v>
      </c>
      <c r="AE3674" t="s">
        <v>9144</v>
      </c>
      <c r="AF3674">
        <v>53</v>
      </c>
      <c r="AG3674">
        <v>1</v>
      </c>
      <c r="AH3674">
        <v>0</v>
      </c>
      <c r="AI3674">
        <v>128.1</v>
      </c>
      <c r="AL3674" t="s">
        <v>19614</v>
      </c>
      <c r="AM3674">
        <v>16000</v>
      </c>
      <c r="AS3674">
        <v>15.71</v>
      </c>
      <c r="AT3674" t="s">
        <v>612</v>
      </c>
      <c r="AU3674" t="s">
        <v>20619</v>
      </c>
      <c r="AV3674" t="s">
        <v>20733</v>
      </c>
    </row>
    <row r="3675" spans="1:48">
      <c r="A3675" s="1">
        <f>HYPERLINK("https://lsnyc.legalserver.org/matter/dynamic-profile/view/1878449","18-1878449")</f>
        <v>0</v>
      </c>
      <c r="B3675" t="s">
        <v>136</v>
      </c>
      <c r="C3675" t="s">
        <v>256</v>
      </c>
      <c r="D3675" t="s">
        <v>768</v>
      </c>
      <c r="F3675" t="s">
        <v>1199</v>
      </c>
      <c r="G3675" t="s">
        <v>4826</v>
      </c>
      <c r="H3675" t="s">
        <v>7390</v>
      </c>
      <c r="I3675" t="s">
        <v>8170</v>
      </c>
      <c r="J3675" t="s">
        <v>9067</v>
      </c>
      <c r="K3675">
        <v>10029</v>
      </c>
      <c r="L3675" t="s">
        <v>9094</v>
      </c>
      <c r="M3675" t="s">
        <v>9094</v>
      </c>
      <c r="N3675" t="s">
        <v>10483</v>
      </c>
      <c r="O3675" t="s">
        <v>11130</v>
      </c>
      <c r="P3675" t="s">
        <v>11165</v>
      </c>
      <c r="R3675" t="s">
        <v>11180</v>
      </c>
      <c r="S3675" t="s">
        <v>9096</v>
      </c>
      <c r="T3675" t="s">
        <v>11183</v>
      </c>
      <c r="U3675" t="s">
        <v>11201</v>
      </c>
      <c r="V3675" t="s">
        <v>285</v>
      </c>
      <c r="W3675">
        <v>1138</v>
      </c>
      <c r="X3675" t="s">
        <v>11335</v>
      </c>
      <c r="Y3675" t="s">
        <v>11338</v>
      </c>
      <c r="Z3675" t="s">
        <v>12754</v>
      </c>
      <c r="AB3675" t="s">
        <v>18097</v>
      </c>
      <c r="AC3675">
        <v>10</v>
      </c>
      <c r="AD3675" t="s">
        <v>19566</v>
      </c>
      <c r="AE3675" t="s">
        <v>9144</v>
      </c>
      <c r="AF3675">
        <v>15</v>
      </c>
      <c r="AG3675">
        <v>1</v>
      </c>
      <c r="AH3675">
        <v>2</v>
      </c>
      <c r="AI3675">
        <v>128.2</v>
      </c>
      <c r="AL3675" t="s">
        <v>19614</v>
      </c>
      <c r="AM3675">
        <v>26640</v>
      </c>
      <c r="AS3675">
        <v>160.7</v>
      </c>
      <c r="AT3675" t="s">
        <v>301</v>
      </c>
      <c r="AU3675" t="s">
        <v>20629</v>
      </c>
      <c r="AV3675" t="s">
        <v>20733</v>
      </c>
    </row>
    <row r="3676" spans="1:48">
      <c r="A3676" s="1">
        <f>HYPERLINK("https://lsnyc.legalserver.org/matter/dynamic-profile/view/1833135","17-1833135")</f>
        <v>0</v>
      </c>
      <c r="B3676" t="s">
        <v>102</v>
      </c>
      <c r="C3676" t="s">
        <v>256</v>
      </c>
      <c r="D3676" t="s">
        <v>905</v>
      </c>
      <c r="F3676" t="s">
        <v>1806</v>
      </c>
      <c r="G3676" t="s">
        <v>4849</v>
      </c>
      <c r="H3676" t="s">
        <v>7413</v>
      </c>
      <c r="I3676" t="s">
        <v>8193</v>
      </c>
      <c r="J3676" t="s">
        <v>9065</v>
      </c>
      <c r="K3676">
        <v>10467</v>
      </c>
      <c r="L3676" t="s">
        <v>9094</v>
      </c>
      <c r="M3676" t="s">
        <v>9095</v>
      </c>
      <c r="O3676" t="s">
        <v>11154</v>
      </c>
      <c r="P3676" t="s">
        <v>11170</v>
      </c>
      <c r="R3676" t="s">
        <v>11180</v>
      </c>
      <c r="S3676" t="s">
        <v>9096</v>
      </c>
      <c r="T3676" t="s">
        <v>11192</v>
      </c>
      <c r="V3676" t="s">
        <v>770</v>
      </c>
      <c r="W3676">
        <v>983.34</v>
      </c>
      <c r="X3676" t="s">
        <v>11333</v>
      </c>
      <c r="Y3676" t="s">
        <v>11340</v>
      </c>
      <c r="Z3676" t="s">
        <v>13707</v>
      </c>
      <c r="AB3676" t="s">
        <v>18133</v>
      </c>
      <c r="AC3676">
        <v>0</v>
      </c>
      <c r="AD3676" t="s">
        <v>19566</v>
      </c>
      <c r="AE3676" t="s">
        <v>19587</v>
      </c>
      <c r="AF3676">
        <v>9</v>
      </c>
      <c r="AG3676">
        <v>2</v>
      </c>
      <c r="AH3676">
        <v>0</v>
      </c>
      <c r="AI3676">
        <v>128.27</v>
      </c>
      <c r="AL3676" t="s">
        <v>19614</v>
      </c>
      <c r="AM3676">
        <v>23626</v>
      </c>
      <c r="AS3676">
        <v>648.15</v>
      </c>
      <c r="AT3676" t="s">
        <v>413</v>
      </c>
      <c r="AU3676" t="s">
        <v>20704</v>
      </c>
    </row>
    <row r="3677" spans="1:48">
      <c r="A3677" s="1">
        <f>HYPERLINK("https://lsnyc.legalserver.org/matter/dynamic-profile/view/1913453","19-1913453")</f>
        <v>0</v>
      </c>
      <c r="B3677" t="s">
        <v>79</v>
      </c>
      <c r="C3677" t="s">
        <v>256</v>
      </c>
      <c r="D3677" t="s">
        <v>483</v>
      </c>
      <c r="F3677" t="s">
        <v>2607</v>
      </c>
      <c r="G3677" t="s">
        <v>4011</v>
      </c>
      <c r="H3677" t="s">
        <v>6335</v>
      </c>
      <c r="I3677" t="s">
        <v>8761</v>
      </c>
      <c r="J3677" t="s">
        <v>9059</v>
      </c>
      <c r="K3677">
        <v>11239</v>
      </c>
      <c r="L3677" t="s">
        <v>9095</v>
      </c>
      <c r="M3677" t="s">
        <v>9095</v>
      </c>
      <c r="N3677" t="s">
        <v>9121</v>
      </c>
      <c r="O3677" t="s">
        <v>9121</v>
      </c>
      <c r="P3677" t="s">
        <v>11169</v>
      </c>
      <c r="R3677" t="s">
        <v>11180</v>
      </c>
      <c r="S3677" t="s">
        <v>9096</v>
      </c>
      <c r="T3677" t="s">
        <v>11183</v>
      </c>
      <c r="W3677">
        <v>273</v>
      </c>
      <c r="X3677" t="s">
        <v>11332</v>
      </c>
      <c r="Y3677" t="s">
        <v>11340</v>
      </c>
      <c r="Z3677" t="s">
        <v>13268</v>
      </c>
      <c r="AB3677" t="s">
        <v>18134</v>
      </c>
      <c r="AC3677">
        <v>1463</v>
      </c>
      <c r="AD3677" t="s">
        <v>15441</v>
      </c>
      <c r="AE3677" t="s">
        <v>9144</v>
      </c>
      <c r="AF3677">
        <v>43</v>
      </c>
      <c r="AG3677">
        <v>1</v>
      </c>
      <c r="AH3677">
        <v>0</v>
      </c>
      <c r="AI3677">
        <v>128.36</v>
      </c>
      <c r="AL3677" t="s">
        <v>19614</v>
      </c>
      <c r="AM3677">
        <v>16032</v>
      </c>
      <c r="AS3677">
        <v>0</v>
      </c>
      <c r="AU3677" t="s">
        <v>79</v>
      </c>
    </row>
    <row r="3678" spans="1:48">
      <c r="A3678" s="1">
        <f>HYPERLINK("https://lsnyc.legalserver.org/matter/dynamic-profile/view/1861172","18-1861172")</f>
        <v>0</v>
      </c>
      <c r="B3678" t="s">
        <v>113</v>
      </c>
      <c r="C3678" t="s">
        <v>256</v>
      </c>
      <c r="D3678" t="s">
        <v>721</v>
      </c>
      <c r="F3678" t="s">
        <v>1886</v>
      </c>
      <c r="G3678" t="s">
        <v>3940</v>
      </c>
      <c r="H3678" t="s">
        <v>7414</v>
      </c>
      <c r="I3678" t="s">
        <v>8762</v>
      </c>
      <c r="J3678" t="s">
        <v>9065</v>
      </c>
      <c r="K3678">
        <v>10453</v>
      </c>
      <c r="L3678" t="s">
        <v>9094</v>
      </c>
      <c r="M3678" t="s">
        <v>9095</v>
      </c>
      <c r="N3678" t="s">
        <v>10484</v>
      </c>
      <c r="O3678" t="s">
        <v>11129</v>
      </c>
      <c r="P3678" t="s">
        <v>11165</v>
      </c>
      <c r="R3678" t="s">
        <v>11180</v>
      </c>
      <c r="S3678" t="s">
        <v>9096</v>
      </c>
      <c r="T3678" t="s">
        <v>11183</v>
      </c>
      <c r="V3678" t="s">
        <v>882</v>
      </c>
      <c r="W3678">
        <v>1054</v>
      </c>
      <c r="X3678" t="s">
        <v>11333</v>
      </c>
      <c r="Y3678" t="s">
        <v>11342</v>
      </c>
      <c r="Z3678" t="s">
        <v>13790</v>
      </c>
      <c r="AB3678" t="s">
        <v>18117</v>
      </c>
      <c r="AC3678">
        <v>36</v>
      </c>
      <c r="AD3678" t="s">
        <v>19566</v>
      </c>
      <c r="AE3678" t="s">
        <v>9144</v>
      </c>
      <c r="AF3678">
        <v>8</v>
      </c>
      <c r="AG3678">
        <v>1</v>
      </c>
      <c r="AH3678">
        <v>3</v>
      </c>
      <c r="AI3678">
        <v>128.45</v>
      </c>
      <c r="AL3678" t="s">
        <v>19614</v>
      </c>
      <c r="AM3678">
        <v>32240</v>
      </c>
      <c r="AO3678" t="s">
        <v>20290</v>
      </c>
      <c r="AP3678" t="s">
        <v>20331</v>
      </c>
      <c r="AQ3678" t="s">
        <v>20369</v>
      </c>
      <c r="AR3678" t="s">
        <v>20480</v>
      </c>
      <c r="AS3678">
        <v>12.7</v>
      </c>
      <c r="AT3678" t="s">
        <v>503</v>
      </c>
      <c r="AU3678" t="s">
        <v>20631</v>
      </c>
    </row>
    <row r="3679" spans="1:48">
      <c r="A3679" s="1">
        <f>HYPERLINK("https://lsnyc.legalserver.org/matter/dynamic-profile/view/1882610","18-1882610")</f>
        <v>0</v>
      </c>
      <c r="B3679" t="s">
        <v>66</v>
      </c>
      <c r="C3679" t="s">
        <v>256</v>
      </c>
      <c r="D3679" t="s">
        <v>433</v>
      </c>
      <c r="F3679" t="s">
        <v>1173</v>
      </c>
      <c r="G3679" t="s">
        <v>4850</v>
      </c>
      <c r="H3679" t="s">
        <v>5752</v>
      </c>
      <c r="I3679" t="s">
        <v>8763</v>
      </c>
      <c r="J3679" t="s">
        <v>9059</v>
      </c>
      <c r="K3679">
        <v>11233</v>
      </c>
      <c r="L3679" t="s">
        <v>9094</v>
      </c>
      <c r="M3679" t="s">
        <v>9096</v>
      </c>
      <c r="N3679" t="s">
        <v>9149</v>
      </c>
      <c r="O3679" t="s">
        <v>11128</v>
      </c>
      <c r="P3679" t="s">
        <v>11165</v>
      </c>
      <c r="R3679" t="s">
        <v>11180</v>
      </c>
      <c r="S3679" t="s">
        <v>9096</v>
      </c>
      <c r="T3679" t="s">
        <v>11183</v>
      </c>
      <c r="U3679" t="s">
        <v>11202</v>
      </c>
      <c r="V3679" t="s">
        <v>11208</v>
      </c>
      <c r="W3679">
        <v>50</v>
      </c>
      <c r="X3679" t="s">
        <v>11332</v>
      </c>
      <c r="Y3679" t="s">
        <v>11336</v>
      </c>
      <c r="Z3679" t="s">
        <v>12759</v>
      </c>
      <c r="AA3679" t="s">
        <v>15441</v>
      </c>
      <c r="AB3679" t="s">
        <v>18135</v>
      </c>
      <c r="AC3679">
        <v>3</v>
      </c>
      <c r="AD3679" t="s">
        <v>19565</v>
      </c>
      <c r="AE3679" t="s">
        <v>19583</v>
      </c>
      <c r="AF3679">
        <v>0</v>
      </c>
      <c r="AG3679">
        <v>1</v>
      </c>
      <c r="AH3679">
        <v>0</v>
      </c>
      <c r="AI3679">
        <v>128.5</v>
      </c>
      <c r="AL3679" t="s">
        <v>19614</v>
      </c>
      <c r="AM3679">
        <v>15600</v>
      </c>
      <c r="AS3679">
        <v>0.5</v>
      </c>
      <c r="AT3679" t="s">
        <v>358</v>
      </c>
      <c r="AU3679" t="s">
        <v>95</v>
      </c>
    </row>
    <row r="3680" spans="1:48">
      <c r="A3680" s="1">
        <f>HYPERLINK("https://lsnyc.legalserver.org/matter/dynamic-profile/view/1886767","18-1886767")</f>
        <v>0</v>
      </c>
      <c r="B3680" t="s">
        <v>71</v>
      </c>
      <c r="C3680" t="s">
        <v>256</v>
      </c>
      <c r="D3680" t="s">
        <v>738</v>
      </c>
      <c r="F3680" t="s">
        <v>1597</v>
      </c>
      <c r="G3680" t="s">
        <v>4851</v>
      </c>
      <c r="H3680" t="s">
        <v>6388</v>
      </c>
      <c r="I3680" t="s">
        <v>8158</v>
      </c>
      <c r="J3680" t="s">
        <v>9059</v>
      </c>
      <c r="K3680">
        <v>11206</v>
      </c>
      <c r="L3680" t="s">
        <v>9094</v>
      </c>
      <c r="M3680" t="s">
        <v>9094</v>
      </c>
      <c r="N3680" t="s">
        <v>10485</v>
      </c>
      <c r="O3680" t="s">
        <v>11129</v>
      </c>
      <c r="P3680" t="s">
        <v>11165</v>
      </c>
      <c r="R3680" t="s">
        <v>11180</v>
      </c>
      <c r="S3680" t="s">
        <v>9096</v>
      </c>
      <c r="T3680" t="s">
        <v>11183</v>
      </c>
      <c r="V3680" t="s">
        <v>738</v>
      </c>
      <c r="W3680">
        <v>296</v>
      </c>
      <c r="X3680" t="s">
        <v>11332</v>
      </c>
      <c r="Y3680" t="s">
        <v>11340</v>
      </c>
      <c r="Z3680" t="s">
        <v>11661</v>
      </c>
      <c r="AB3680" t="s">
        <v>18136</v>
      </c>
      <c r="AC3680">
        <v>272</v>
      </c>
      <c r="AD3680" t="s">
        <v>19566</v>
      </c>
      <c r="AE3680" t="s">
        <v>19580</v>
      </c>
      <c r="AF3680">
        <v>8</v>
      </c>
      <c r="AG3680">
        <v>1</v>
      </c>
      <c r="AH3680">
        <v>0</v>
      </c>
      <c r="AI3680">
        <v>128.5</v>
      </c>
      <c r="AL3680" t="s">
        <v>19614</v>
      </c>
      <c r="AM3680">
        <v>15600</v>
      </c>
      <c r="AN3680" t="s">
        <v>19680</v>
      </c>
      <c r="AS3680">
        <v>28.8</v>
      </c>
      <c r="AT3680" t="s">
        <v>321</v>
      </c>
      <c r="AU3680" t="s">
        <v>79</v>
      </c>
    </row>
    <row r="3681" spans="1:48">
      <c r="A3681" s="1">
        <f>HYPERLINK("https://lsnyc.legalserver.org/matter/dynamic-profile/view/1886503","18-1886503")</f>
        <v>0</v>
      </c>
      <c r="B3681" t="s">
        <v>113</v>
      </c>
      <c r="C3681" t="s">
        <v>256</v>
      </c>
      <c r="D3681" t="s">
        <v>347</v>
      </c>
      <c r="F3681" t="s">
        <v>1241</v>
      </c>
      <c r="G3681" t="s">
        <v>4829</v>
      </c>
      <c r="H3681" t="s">
        <v>5864</v>
      </c>
      <c r="I3681" t="s">
        <v>8263</v>
      </c>
      <c r="J3681" t="s">
        <v>9065</v>
      </c>
      <c r="K3681">
        <v>10460</v>
      </c>
      <c r="L3681" t="s">
        <v>9094</v>
      </c>
      <c r="M3681" t="s">
        <v>9094</v>
      </c>
      <c r="N3681" t="s">
        <v>9222</v>
      </c>
      <c r="O3681" t="s">
        <v>11130</v>
      </c>
      <c r="P3681" t="s">
        <v>11165</v>
      </c>
      <c r="R3681" t="s">
        <v>11180</v>
      </c>
      <c r="S3681" t="s">
        <v>9094</v>
      </c>
      <c r="T3681" t="s">
        <v>11183</v>
      </c>
      <c r="V3681" t="s">
        <v>512</v>
      </c>
      <c r="W3681">
        <v>1600</v>
      </c>
      <c r="X3681" t="s">
        <v>11333</v>
      </c>
      <c r="Y3681" t="s">
        <v>11346</v>
      </c>
      <c r="Z3681" t="s">
        <v>13774</v>
      </c>
      <c r="AB3681" t="s">
        <v>18101</v>
      </c>
      <c r="AC3681">
        <v>168</v>
      </c>
      <c r="AD3681" t="s">
        <v>19566</v>
      </c>
      <c r="AE3681" t="s">
        <v>9144</v>
      </c>
      <c r="AF3681">
        <v>18</v>
      </c>
      <c r="AG3681">
        <v>1</v>
      </c>
      <c r="AH3681">
        <v>0</v>
      </c>
      <c r="AI3681">
        <v>128.5</v>
      </c>
      <c r="AL3681" t="s">
        <v>19614</v>
      </c>
      <c r="AM3681">
        <v>15600</v>
      </c>
      <c r="AS3681">
        <v>1</v>
      </c>
      <c r="AT3681" t="s">
        <v>676</v>
      </c>
      <c r="AU3681" t="s">
        <v>20642</v>
      </c>
    </row>
    <row r="3682" spans="1:48">
      <c r="A3682" s="1">
        <f>HYPERLINK("https://lsnyc.legalserver.org/matter/dynamic-profile/view/1885564","18-1885564")</f>
        <v>0</v>
      </c>
      <c r="B3682" t="s">
        <v>108</v>
      </c>
      <c r="C3682" t="s">
        <v>256</v>
      </c>
      <c r="D3682" t="s">
        <v>634</v>
      </c>
      <c r="F3682" t="s">
        <v>2608</v>
      </c>
      <c r="G3682" t="s">
        <v>4852</v>
      </c>
      <c r="H3682" t="s">
        <v>7415</v>
      </c>
      <c r="I3682" t="s">
        <v>8124</v>
      </c>
      <c r="J3682" t="s">
        <v>9065</v>
      </c>
      <c r="K3682">
        <v>10459</v>
      </c>
      <c r="L3682" t="s">
        <v>9094</v>
      </c>
      <c r="M3682" t="s">
        <v>9094</v>
      </c>
      <c r="O3682" t="s">
        <v>11136</v>
      </c>
      <c r="P3682" t="s">
        <v>11164</v>
      </c>
      <c r="R3682" t="s">
        <v>11180</v>
      </c>
      <c r="S3682" t="s">
        <v>9096</v>
      </c>
      <c r="T3682" t="s">
        <v>11183</v>
      </c>
      <c r="V3682" t="s">
        <v>634</v>
      </c>
      <c r="W3682">
        <v>186</v>
      </c>
      <c r="X3682" t="s">
        <v>11333</v>
      </c>
      <c r="Y3682" t="s">
        <v>11338</v>
      </c>
      <c r="Z3682" t="s">
        <v>12473</v>
      </c>
      <c r="AB3682" t="s">
        <v>18137</v>
      </c>
      <c r="AC3682">
        <v>21</v>
      </c>
      <c r="AD3682" t="s">
        <v>19567</v>
      </c>
      <c r="AE3682" t="s">
        <v>19580</v>
      </c>
      <c r="AF3682">
        <v>20</v>
      </c>
      <c r="AG3682">
        <v>1</v>
      </c>
      <c r="AH3682">
        <v>0</v>
      </c>
      <c r="AI3682">
        <v>128.5</v>
      </c>
      <c r="AL3682" t="s">
        <v>19614</v>
      </c>
      <c r="AM3682">
        <v>15600</v>
      </c>
      <c r="AS3682">
        <v>0.6</v>
      </c>
      <c r="AT3682" t="s">
        <v>634</v>
      </c>
      <c r="AU3682" t="s">
        <v>108</v>
      </c>
    </row>
    <row r="3683" spans="1:48">
      <c r="A3683" s="1">
        <f>HYPERLINK("https://lsnyc.legalserver.org/matter/dynamic-profile/view/1890504","19-1890504")</f>
        <v>0</v>
      </c>
      <c r="B3683" t="s">
        <v>117</v>
      </c>
      <c r="C3683" t="s">
        <v>256</v>
      </c>
      <c r="D3683" t="s">
        <v>848</v>
      </c>
      <c r="F3683" t="s">
        <v>2609</v>
      </c>
      <c r="G3683" t="s">
        <v>3486</v>
      </c>
      <c r="H3683" t="s">
        <v>5888</v>
      </c>
      <c r="I3683" t="s">
        <v>8149</v>
      </c>
      <c r="J3683" t="s">
        <v>9065</v>
      </c>
      <c r="K3683">
        <v>10453</v>
      </c>
      <c r="L3683" t="s">
        <v>9094</v>
      </c>
      <c r="M3683" t="s">
        <v>9094</v>
      </c>
      <c r="O3683" t="s">
        <v>11134</v>
      </c>
      <c r="P3683" t="s">
        <v>11168</v>
      </c>
      <c r="R3683" t="s">
        <v>11180</v>
      </c>
      <c r="S3683" t="s">
        <v>9094</v>
      </c>
      <c r="T3683" t="s">
        <v>11183</v>
      </c>
      <c r="V3683" t="s">
        <v>512</v>
      </c>
      <c r="W3683">
        <v>1100</v>
      </c>
      <c r="X3683" t="s">
        <v>11333</v>
      </c>
      <c r="Y3683" t="s">
        <v>11346</v>
      </c>
      <c r="Z3683" t="s">
        <v>13809</v>
      </c>
      <c r="AB3683" t="s">
        <v>18138</v>
      </c>
      <c r="AC3683">
        <v>44</v>
      </c>
      <c r="AD3683" t="s">
        <v>19566</v>
      </c>
      <c r="AE3683" t="s">
        <v>9144</v>
      </c>
      <c r="AF3683">
        <v>1</v>
      </c>
      <c r="AG3683">
        <v>1</v>
      </c>
      <c r="AH3683">
        <v>0</v>
      </c>
      <c r="AI3683">
        <v>128.5</v>
      </c>
      <c r="AL3683" t="s">
        <v>19614</v>
      </c>
      <c r="AM3683">
        <v>15600</v>
      </c>
      <c r="AS3683">
        <v>0</v>
      </c>
      <c r="AU3683" t="s">
        <v>163</v>
      </c>
    </row>
    <row r="3684" spans="1:48">
      <c r="A3684" s="1">
        <f>HYPERLINK("https://lsnyc.legalserver.org/matter/dynamic-profile/view/1890503","19-1890503")</f>
        <v>0</v>
      </c>
      <c r="B3684" t="s">
        <v>117</v>
      </c>
      <c r="C3684" t="s">
        <v>257</v>
      </c>
      <c r="D3684" t="s">
        <v>848</v>
      </c>
      <c r="E3684" t="s">
        <v>339</v>
      </c>
      <c r="F3684" t="s">
        <v>2609</v>
      </c>
      <c r="G3684" t="s">
        <v>3486</v>
      </c>
      <c r="H3684" t="s">
        <v>5888</v>
      </c>
      <c r="I3684" t="s">
        <v>8149</v>
      </c>
      <c r="J3684" t="s">
        <v>9065</v>
      </c>
      <c r="K3684">
        <v>10453</v>
      </c>
      <c r="L3684" t="s">
        <v>9094</v>
      </c>
      <c r="M3684" t="s">
        <v>9094</v>
      </c>
      <c r="N3684" t="s">
        <v>9243</v>
      </c>
      <c r="O3684" t="s">
        <v>11130</v>
      </c>
      <c r="P3684" t="s">
        <v>11165</v>
      </c>
      <c r="Q3684" t="s">
        <v>11172</v>
      </c>
      <c r="R3684" t="s">
        <v>11180</v>
      </c>
      <c r="S3684" t="s">
        <v>9094</v>
      </c>
      <c r="T3684" t="s">
        <v>11183</v>
      </c>
      <c r="V3684" t="s">
        <v>512</v>
      </c>
      <c r="W3684">
        <v>1100</v>
      </c>
      <c r="X3684" t="s">
        <v>11333</v>
      </c>
      <c r="Y3684" t="s">
        <v>11346</v>
      </c>
      <c r="Z3684" t="s">
        <v>13809</v>
      </c>
      <c r="AB3684" t="s">
        <v>18138</v>
      </c>
      <c r="AC3684">
        <v>44</v>
      </c>
      <c r="AD3684" t="s">
        <v>19566</v>
      </c>
      <c r="AE3684" t="s">
        <v>9144</v>
      </c>
      <c r="AF3684">
        <v>1</v>
      </c>
      <c r="AG3684">
        <v>1</v>
      </c>
      <c r="AH3684">
        <v>0</v>
      </c>
      <c r="AI3684">
        <v>128.5</v>
      </c>
      <c r="AL3684" t="s">
        <v>19614</v>
      </c>
      <c r="AM3684">
        <v>15600</v>
      </c>
      <c r="AS3684">
        <v>0.2</v>
      </c>
      <c r="AT3684" t="s">
        <v>339</v>
      </c>
      <c r="AU3684" t="s">
        <v>163</v>
      </c>
    </row>
    <row r="3685" spans="1:48">
      <c r="A3685" s="1">
        <f>HYPERLINK("https://lsnyc.legalserver.org/matter/dynamic-profile/view/1890467","18-1890467")</f>
        <v>0</v>
      </c>
      <c r="B3685" t="s">
        <v>117</v>
      </c>
      <c r="C3685" t="s">
        <v>256</v>
      </c>
      <c r="D3685" t="s">
        <v>1030</v>
      </c>
      <c r="F3685" t="s">
        <v>2609</v>
      </c>
      <c r="G3685" t="s">
        <v>3486</v>
      </c>
      <c r="H3685" t="s">
        <v>5888</v>
      </c>
      <c r="I3685" t="s">
        <v>8149</v>
      </c>
      <c r="J3685" t="s">
        <v>9065</v>
      </c>
      <c r="K3685">
        <v>10453</v>
      </c>
      <c r="L3685" t="s">
        <v>9094</v>
      </c>
      <c r="M3685" t="s">
        <v>9094</v>
      </c>
      <c r="O3685" t="s">
        <v>9121</v>
      </c>
      <c r="P3685" t="s">
        <v>11166</v>
      </c>
      <c r="R3685" t="s">
        <v>11180</v>
      </c>
      <c r="S3685" t="s">
        <v>9094</v>
      </c>
      <c r="T3685" t="s">
        <v>11183</v>
      </c>
      <c r="V3685" t="s">
        <v>302</v>
      </c>
      <c r="W3685">
        <v>1100</v>
      </c>
      <c r="X3685" t="s">
        <v>11333</v>
      </c>
      <c r="Y3685" t="s">
        <v>11346</v>
      </c>
      <c r="Z3685" t="s">
        <v>13809</v>
      </c>
      <c r="AB3685" t="s">
        <v>18138</v>
      </c>
      <c r="AC3685">
        <v>44</v>
      </c>
      <c r="AD3685" t="s">
        <v>19566</v>
      </c>
      <c r="AE3685" t="s">
        <v>9144</v>
      </c>
      <c r="AF3685">
        <v>1</v>
      </c>
      <c r="AG3685">
        <v>1</v>
      </c>
      <c r="AH3685">
        <v>0</v>
      </c>
      <c r="AI3685">
        <v>128.5</v>
      </c>
      <c r="AL3685" t="s">
        <v>19614</v>
      </c>
      <c r="AM3685">
        <v>15600</v>
      </c>
      <c r="AS3685">
        <v>0</v>
      </c>
      <c r="AU3685" t="s">
        <v>163</v>
      </c>
      <c r="AV3685" t="s">
        <v>20733</v>
      </c>
    </row>
    <row r="3686" spans="1:48">
      <c r="A3686" s="1">
        <f>HYPERLINK("https://lsnyc.legalserver.org/matter/dynamic-profile/view/1871925","18-1871925")</f>
        <v>0</v>
      </c>
      <c r="B3686" t="s">
        <v>100</v>
      </c>
      <c r="C3686" t="s">
        <v>256</v>
      </c>
      <c r="D3686" t="s">
        <v>515</v>
      </c>
      <c r="F3686" t="s">
        <v>1229</v>
      </c>
      <c r="G3686" t="s">
        <v>4789</v>
      </c>
      <c r="H3686" t="s">
        <v>7416</v>
      </c>
      <c r="I3686" t="s">
        <v>8217</v>
      </c>
      <c r="J3686" t="s">
        <v>9065</v>
      </c>
      <c r="K3686">
        <v>10453</v>
      </c>
      <c r="L3686" t="s">
        <v>9094</v>
      </c>
      <c r="M3686" t="s">
        <v>9094</v>
      </c>
      <c r="N3686" t="s">
        <v>10486</v>
      </c>
      <c r="O3686" t="s">
        <v>11129</v>
      </c>
      <c r="P3686" t="s">
        <v>11165</v>
      </c>
      <c r="R3686" t="s">
        <v>11180</v>
      </c>
      <c r="S3686" t="s">
        <v>9096</v>
      </c>
      <c r="T3686" t="s">
        <v>11183</v>
      </c>
      <c r="U3686" t="s">
        <v>11202</v>
      </c>
      <c r="V3686" t="s">
        <v>561</v>
      </c>
      <c r="W3686">
        <v>1285</v>
      </c>
      <c r="X3686" t="s">
        <v>11333</v>
      </c>
      <c r="Y3686" t="s">
        <v>11352</v>
      </c>
      <c r="Z3686" t="s">
        <v>13810</v>
      </c>
      <c r="AB3686" t="s">
        <v>18139</v>
      </c>
      <c r="AC3686">
        <v>48</v>
      </c>
      <c r="AD3686" t="s">
        <v>19566</v>
      </c>
      <c r="AE3686" t="s">
        <v>9144</v>
      </c>
      <c r="AF3686">
        <v>8</v>
      </c>
      <c r="AG3686">
        <v>1</v>
      </c>
      <c r="AH3686">
        <v>0</v>
      </c>
      <c r="AI3686">
        <v>128.5</v>
      </c>
      <c r="AL3686" t="s">
        <v>19615</v>
      </c>
      <c r="AM3686">
        <v>15600</v>
      </c>
      <c r="AS3686">
        <v>16.35</v>
      </c>
      <c r="AT3686" t="s">
        <v>753</v>
      </c>
      <c r="AU3686" t="s">
        <v>20640</v>
      </c>
    </row>
    <row r="3687" spans="1:48">
      <c r="A3687" s="1">
        <f>HYPERLINK("https://lsnyc.legalserver.org/matter/dynamic-profile/view/1870112","18-1870112")</f>
        <v>0</v>
      </c>
      <c r="B3687" t="s">
        <v>134</v>
      </c>
      <c r="C3687" t="s">
        <v>256</v>
      </c>
      <c r="D3687" t="s">
        <v>1017</v>
      </c>
      <c r="F3687" t="s">
        <v>2610</v>
      </c>
      <c r="G3687" t="s">
        <v>3588</v>
      </c>
      <c r="H3687" t="s">
        <v>7417</v>
      </c>
      <c r="I3687">
        <v>54</v>
      </c>
      <c r="J3687" t="s">
        <v>9067</v>
      </c>
      <c r="K3687">
        <v>10034</v>
      </c>
      <c r="L3687" t="s">
        <v>9094</v>
      </c>
      <c r="M3687" t="s">
        <v>9095</v>
      </c>
      <c r="N3687" t="s">
        <v>10487</v>
      </c>
      <c r="O3687" t="s">
        <v>11130</v>
      </c>
      <c r="P3687" t="s">
        <v>11165</v>
      </c>
      <c r="R3687" t="s">
        <v>11180</v>
      </c>
      <c r="S3687" t="s">
        <v>9096</v>
      </c>
      <c r="T3687" t="s">
        <v>11183</v>
      </c>
      <c r="V3687" t="s">
        <v>945</v>
      </c>
      <c r="W3687">
        <v>819.0700000000001</v>
      </c>
      <c r="X3687" t="s">
        <v>11335</v>
      </c>
      <c r="Y3687" t="s">
        <v>11340</v>
      </c>
      <c r="Z3687" t="s">
        <v>13811</v>
      </c>
      <c r="AB3687" t="s">
        <v>18140</v>
      </c>
      <c r="AC3687">
        <v>53</v>
      </c>
      <c r="AD3687" t="s">
        <v>19566</v>
      </c>
      <c r="AE3687" t="s">
        <v>9144</v>
      </c>
      <c r="AF3687">
        <v>0</v>
      </c>
      <c r="AG3687">
        <v>1</v>
      </c>
      <c r="AH3687">
        <v>0</v>
      </c>
      <c r="AI3687">
        <v>128.5</v>
      </c>
      <c r="AL3687" t="s">
        <v>19614</v>
      </c>
      <c r="AM3687">
        <v>15600</v>
      </c>
      <c r="AS3687">
        <v>33.3</v>
      </c>
      <c r="AT3687" t="s">
        <v>334</v>
      </c>
      <c r="AU3687" t="s">
        <v>130</v>
      </c>
      <c r="AV3687" t="s">
        <v>20733</v>
      </c>
    </row>
    <row r="3688" spans="1:48">
      <c r="A3688" s="1">
        <f>HYPERLINK("https://lsnyc.legalserver.org/matter/dynamic-profile/view/1870852","18-1870852")</f>
        <v>0</v>
      </c>
      <c r="B3688" t="s">
        <v>134</v>
      </c>
      <c r="C3688" t="s">
        <v>256</v>
      </c>
      <c r="D3688" t="s">
        <v>943</v>
      </c>
      <c r="F3688" t="s">
        <v>2610</v>
      </c>
      <c r="G3688" t="s">
        <v>3588</v>
      </c>
      <c r="H3688" t="s">
        <v>7417</v>
      </c>
      <c r="I3688">
        <v>54</v>
      </c>
      <c r="J3688" t="s">
        <v>9067</v>
      </c>
      <c r="K3688">
        <v>10034</v>
      </c>
      <c r="L3688" t="s">
        <v>9094</v>
      </c>
      <c r="M3688" t="s">
        <v>9095</v>
      </c>
      <c r="N3688" t="s">
        <v>10488</v>
      </c>
      <c r="O3688" t="s">
        <v>11129</v>
      </c>
      <c r="P3688" t="s">
        <v>11165</v>
      </c>
      <c r="R3688" t="s">
        <v>11180</v>
      </c>
      <c r="S3688" t="s">
        <v>9096</v>
      </c>
      <c r="T3688" t="s">
        <v>11183</v>
      </c>
      <c r="V3688" t="s">
        <v>943</v>
      </c>
      <c r="W3688">
        <v>856.55</v>
      </c>
      <c r="X3688" t="s">
        <v>11335</v>
      </c>
      <c r="Y3688" t="s">
        <v>11340</v>
      </c>
      <c r="Z3688" t="s">
        <v>13811</v>
      </c>
      <c r="AB3688" t="s">
        <v>18140</v>
      </c>
      <c r="AC3688">
        <v>53</v>
      </c>
      <c r="AD3688" t="s">
        <v>19566</v>
      </c>
      <c r="AE3688" t="s">
        <v>9144</v>
      </c>
      <c r="AF3688">
        <v>15</v>
      </c>
      <c r="AG3688">
        <v>1</v>
      </c>
      <c r="AH3688">
        <v>0</v>
      </c>
      <c r="AI3688">
        <v>128.5</v>
      </c>
      <c r="AL3688" t="s">
        <v>19614</v>
      </c>
      <c r="AM3688">
        <v>15600</v>
      </c>
      <c r="AS3688">
        <v>131.78</v>
      </c>
      <c r="AT3688" t="s">
        <v>435</v>
      </c>
      <c r="AU3688" t="s">
        <v>20723</v>
      </c>
    </row>
    <row r="3689" spans="1:48">
      <c r="A3689" s="1">
        <f>HYPERLINK("https://lsnyc.legalserver.org/matter/dynamic-profile/view/1838603","17-1838603")</f>
        <v>0</v>
      </c>
      <c r="B3689" t="s">
        <v>139</v>
      </c>
      <c r="C3689" t="s">
        <v>256</v>
      </c>
      <c r="D3689" t="s">
        <v>406</v>
      </c>
      <c r="F3689" t="s">
        <v>2150</v>
      </c>
      <c r="G3689" t="s">
        <v>4853</v>
      </c>
      <c r="H3689" t="s">
        <v>5948</v>
      </c>
      <c r="I3689" t="s">
        <v>8764</v>
      </c>
      <c r="J3689" t="s">
        <v>9067</v>
      </c>
      <c r="K3689">
        <v>10034</v>
      </c>
      <c r="L3689" t="s">
        <v>9094</v>
      </c>
      <c r="M3689" t="s">
        <v>9095</v>
      </c>
      <c r="O3689" t="s">
        <v>11130</v>
      </c>
      <c r="P3689" t="s">
        <v>11166</v>
      </c>
      <c r="R3689" t="s">
        <v>11180</v>
      </c>
      <c r="S3689" t="s">
        <v>9094</v>
      </c>
      <c r="T3689" t="s">
        <v>11183</v>
      </c>
      <c r="V3689" t="s">
        <v>837</v>
      </c>
      <c r="W3689">
        <v>1052</v>
      </c>
      <c r="X3689" t="s">
        <v>11335</v>
      </c>
      <c r="Y3689" t="s">
        <v>11339</v>
      </c>
      <c r="Z3689" t="s">
        <v>13812</v>
      </c>
      <c r="AB3689" t="s">
        <v>18141</v>
      </c>
      <c r="AC3689">
        <v>49</v>
      </c>
      <c r="AD3689" t="s">
        <v>19566</v>
      </c>
      <c r="AE3689" t="s">
        <v>9144</v>
      </c>
      <c r="AF3689">
        <v>28</v>
      </c>
      <c r="AG3689">
        <v>5</v>
      </c>
      <c r="AH3689">
        <v>3</v>
      </c>
      <c r="AI3689">
        <v>128.52</v>
      </c>
      <c r="AL3689" t="s">
        <v>19615</v>
      </c>
      <c r="AM3689">
        <v>53104</v>
      </c>
      <c r="AS3689">
        <v>0.1</v>
      </c>
      <c r="AT3689" t="s">
        <v>1100</v>
      </c>
      <c r="AU3689" t="s">
        <v>20657</v>
      </c>
    </row>
    <row r="3690" spans="1:48">
      <c r="A3690" s="1">
        <f>HYPERLINK("https://lsnyc.legalserver.org/matter/dynamic-profile/view/0830913","17-0830913")</f>
        <v>0</v>
      </c>
      <c r="B3690" t="s">
        <v>75</v>
      </c>
      <c r="C3690" t="s">
        <v>257</v>
      </c>
      <c r="D3690" t="s">
        <v>652</v>
      </c>
      <c r="E3690" t="s">
        <v>867</v>
      </c>
      <c r="F3690" t="s">
        <v>2251</v>
      </c>
      <c r="G3690" t="s">
        <v>4854</v>
      </c>
      <c r="H3690" t="s">
        <v>7418</v>
      </c>
      <c r="I3690" t="s">
        <v>8142</v>
      </c>
      <c r="J3690" t="s">
        <v>9059</v>
      </c>
      <c r="K3690">
        <v>11233</v>
      </c>
      <c r="L3690" t="s">
        <v>9094</v>
      </c>
      <c r="M3690" t="s">
        <v>9095</v>
      </c>
      <c r="O3690" t="s">
        <v>9121</v>
      </c>
      <c r="P3690" t="s">
        <v>11165</v>
      </c>
      <c r="Q3690" t="s">
        <v>11174</v>
      </c>
      <c r="R3690" t="s">
        <v>11180</v>
      </c>
      <c r="S3690" t="s">
        <v>9094</v>
      </c>
      <c r="T3690" t="s">
        <v>11183</v>
      </c>
      <c r="V3690" t="s">
        <v>913</v>
      </c>
      <c r="W3690">
        <v>1125</v>
      </c>
      <c r="X3690" t="s">
        <v>11332</v>
      </c>
      <c r="Y3690" t="s">
        <v>11352</v>
      </c>
      <c r="Z3690" t="s">
        <v>13813</v>
      </c>
      <c r="AB3690" t="s">
        <v>18142</v>
      </c>
      <c r="AC3690">
        <v>6</v>
      </c>
      <c r="AD3690" t="s">
        <v>19569</v>
      </c>
      <c r="AE3690" t="s">
        <v>9144</v>
      </c>
      <c r="AF3690">
        <v>10</v>
      </c>
      <c r="AG3690">
        <v>2</v>
      </c>
      <c r="AH3690">
        <v>1</v>
      </c>
      <c r="AI3690">
        <v>128.58</v>
      </c>
      <c r="AL3690" t="s">
        <v>19614</v>
      </c>
      <c r="AM3690">
        <v>26256</v>
      </c>
      <c r="AS3690">
        <v>51.5</v>
      </c>
      <c r="AT3690" t="s">
        <v>867</v>
      </c>
      <c r="AU3690" t="s">
        <v>20724</v>
      </c>
      <c r="AV3690" t="s">
        <v>20733</v>
      </c>
    </row>
    <row r="3691" spans="1:48">
      <c r="A3691" s="1">
        <f>HYPERLINK("https://lsnyc.legalserver.org/matter/dynamic-profile/view/1857722","18-1857722")</f>
        <v>0</v>
      </c>
      <c r="B3691" t="s">
        <v>127</v>
      </c>
      <c r="C3691" t="s">
        <v>257</v>
      </c>
      <c r="D3691" t="s">
        <v>626</v>
      </c>
      <c r="E3691" t="s">
        <v>446</v>
      </c>
      <c r="F3691" t="s">
        <v>1706</v>
      </c>
      <c r="G3691" t="s">
        <v>4855</v>
      </c>
      <c r="H3691" t="s">
        <v>7419</v>
      </c>
      <c r="I3691" t="s">
        <v>8765</v>
      </c>
      <c r="J3691" t="s">
        <v>9066</v>
      </c>
      <c r="K3691">
        <v>10301</v>
      </c>
      <c r="L3691" t="s">
        <v>9094</v>
      </c>
      <c r="M3691" t="s">
        <v>9095</v>
      </c>
      <c r="N3691" t="s">
        <v>10489</v>
      </c>
      <c r="O3691" t="s">
        <v>11128</v>
      </c>
      <c r="P3691" t="s">
        <v>11165</v>
      </c>
      <c r="Q3691" t="s">
        <v>11174</v>
      </c>
      <c r="R3691" t="s">
        <v>11180</v>
      </c>
      <c r="S3691" t="s">
        <v>9094</v>
      </c>
      <c r="T3691" t="s">
        <v>11183</v>
      </c>
      <c r="V3691" t="s">
        <v>626</v>
      </c>
      <c r="W3691">
        <v>927.1799999999999</v>
      </c>
      <c r="X3691" t="s">
        <v>11334</v>
      </c>
      <c r="Y3691" t="s">
        <v>11341</v>
      </c>
      <c r="Z3691" t="s">
        <v>13814</v>
      </c>
      <c r="AA3691" t="s">
        <v>9144</v>
      </c>
      <c r="AB3691" t="s">
        <v>18143</v>
      </c>
      <c r="AC3691">
        <v>100</v>
      </c>
      <c r="AD3691" t="s">
        <v>19566</v>
      </c>
      <c r="AE3691" t="s">
        <v>9144</v>
      </c>
      <c r="AF3691">
        <v>2</v>
      </c>
      <c r="AG3691">
        <v>3</v>
      </c>
      <c r="AH3691">
        <v>3</v>
      </c>
      <c r="AI3691">
        <v>128.58</v>
      </c>
      <c r="AL3691" t="s">
        <v>19616</v>
      </c>
      <c r="AM3691">
        <v>42380</v>
      </c>
      <c r="AS3691">
        <v>33.6</v>
      </c>
      <c r="AT3691" t="s">
        <v>446</v>
      </c>
      <c r="AU3691" t="s">
        <v>20667</v>
      </c>
    </row>
    <row r="3692" spans="1:48">
      <c r="A3692" s="1">
        <f>HYPERLINK("https://lsnyc.legalserver.org/matter/dynamic-profile/view/0793724","15-0793724")</f>
        <v>0</v>
      </c>
      <c r="B3692" t="s">
        <v>49</v>
      </c>
      <c r="C3692" t="s">
        <v>256</v>
      </c>
      <c r="D3692" t="s">
        <v>1031</v>
      </c>
      <c r="F3692" t="s">
        <v>2611</v>
      </c>
      <c r="G3692" t="s">
        <v>4856</v>
      </c>
      <c r="H3692" t="s">
        <v>5736</v>
      </c>
      <c r="I3692" t="s">
        <v>8766</v>
      </c>
      <c r="J3692" t="s">
        <v>9055</v>
      </c>
      <c r="K3692">
        <v>11354</v>
      </c>
      <c r="L3692" t="s">
        <v>9094</v>
      </c>
      <c r="M3692" t="s">
        <v>9095</v>
      </c>
      <c r="N3692" t="s">
        <v>9717</v>
      </c>
      <c r="O3692" t="s">
        <v>11135</v>
      </c>
      <c r="P3692" t="s">
        <v>11168</v>
      </c>
      <c r="R3692" t="s">
        <v>11180</v>
      </c>
      <c r="T3692" t="s">
        <v>11183</v>
      </c>
      <c r="V3692" t="s">
        <v>303</v>
      </c>
      <c r="W3692">
        <v>1000</v>
      </c>
      <c r="X3692" t="s">
        <v>11331</v>
      </c>
      <c r="Y3692" t="s">
        <v>11341</v>
      </c>
      <c r="Z3692" t="s">
        <v>12070</v>
      </c>
      <c r="AB3692" t="s">
        <v>18144</v>
      </c>
      <c r="AC3692">
        <v>175</v>
      </c>
      <c r="AD3692" t="s">
        <v>19566</v>
      </c>
      <c r="AE3692" t="s">
        <v>9144</v>
      </c>
      <c r="AF3692">
        <v>11</v>
      </c>
      <c r="AG3692">
        <v>2</v>
      </c>
      <c r="AH3692">
        <v>2</v>
      </c>
      <c r="AI3692">
        <v>128.66</v>
      </c>
      <c r="AL3692" t="s">
        <v>19623</v>
      </c>
      <c r="AM3692">
        <v>31200</v>
      </c>
      <c r="AS3692">
        <v>1.2</v>
      </c>
      <c r="AT3692" t="s">
        <v>448</v>
      </c>
      <c r="AU3692" t="s">
        <v>20621</v>
      </c>
    </row>
    <row r="3693" spans="1:48">
      <c r="A3693" s="1">
        <f>HYPERLINK("https://lsnyc.legalserver.org/matter/dynamic-profile/view/1865390","18-1865390")</f>
        <v>0</v>
      </c>
      <c r="B3693" t="s">
        <v>113</v>
      </c>
      <c r="C3693" t="s">
        <v>256</v>
      </c>
      <c r="D3693" t="s">
        <v>872</v>
      </c>
      <c r="F3693" t="s">
        <v>2612</v>
      </c>
      <c r="G3693" t="s">
        <v>3720</v>
      </c>
      <c r="H3693" t="s">
        <v>7369</v>
      </c>
      <c r="I3693" t="s">
        <v>8330</v>
      </c>
      <c r="J3693" t="s">
        <v>9065</v>
      </c>
      <c r="K3693">
        <v>10458</v>
      </c>
      <c r="L3693" t="s">
        <v>9094</v>
      </c>
      <c r="M3693" t="s">
        <v>9095</v>
      </c>
      <c r="N3693" t="s">
        <v>10490</v>
      </c>
      <c r="O3693" t="s">
        <v>11135</v>
      </c>
      <c r="P3693" t="s">
        <v>11168</v>
      </c>
      <c r="R3693" t="s">
        <v>11180</v>
      </c>
      <c r="S3693" t="s">
        <v>9094</v>
      </c>
      <c r="T3693" t="s">
        <v>11183</v>
      </c>
      <c r="V3693" t="s">
        <v>11219</v>
      </c>
      <c r="W3693">
        <v>1200</v>
      </c>
      <c r="X3693" t="s">
        <v>11333</v>
      </c>
      <c r="Y3693" t="s">
        <v>11346</v>
      </c>
      <c r="Z3693" t="s">
        <v>13815</v>
      </c>
      <c r="AB3693" t="s">
        <v>18145</v>
      </c>
      <c r="AC3693">
        <v>0</v>
      </c>
      <c r="AD3693" t="s">
        <v>19566</v>
      </c>
      <c r="AE3693" t="s">
        <v>9144</v>
      </c>
      <c r="AF3693">
        <v>3</v>
      </c>
      <c r="AG3693">
        <v>4</v>
      </c>
      <c r="AH3693">
        <v>0</v>
      </c>
      <c r="AI3693">
        <v>128.84</v>
      </c>
      <c r="AL3693" t="s">
        <v>19614</v>
      </c>
      <c r="AM3693">
        <v>32340</v>
      </c>
      <c r="AS3693">
        <v>3</v>
      </c>
      <c r="AT3693" t="s">
        <v>404</v>
      </c>
      <c r="AU3693" t="s">
        <v>20647</v>
      </c>
    </row>
    <row r="3694" spans="1:48">
      <c r="A3694" s="1">
        <f>HYPERLINK("https://lsnyc.legalserver.org/matter/dynamic-profile/view/1867701","18-1867701")</f>
        <v>0</v>
      </c>
      <c r="B3694" t="s">
        <v>113</v>
      </c>
      <c r="C3694" t="s">
        <v>256</v>
      </c>
      <c r="D3694" t="s">
        <v>921</v>
      </c>
      <c r="F3694" t="s">
        <v>2612</v>
      </c>
      <c r="G3694" t="s">
        <v>3720</v>
      </c>
      <c r="H3694" t="s">
        <v>7369</v>
      </c>
      <c r="I3694" t="s">
        <v>8330</v>
      </c>
      <c r="J3694" t="s">
        <v>9065</v>
      </c>
      <c r="K3694">
        <v>10458</v>
      </c>
      <c r="L3694" t="s">
        <v>9094</v>
      </c>
      <c r="M3694" t="s">
        <v>9095</v>
      </c>
      <c r="O3694" t="s">
        <v>11130</v>
      </c>
      <c r="P3694" t="s">
        <v>11165</v>
      </c>
      <c r="R3694" t="s">
        <v>11180</v>
      </c>
      <c r="S3694" t="s">
        <v>9094</v>
      </c>
      <c r="T3694" t="s">
        <v>11183</v>
      </c>
      <c r="V3694" t="s">
        <v>675</v>
      </c>
      <c r="W3694">
        <v>1200</v>
      </c>
      <c r="X3694" t="s">
        <v>11333</v>
      </c>
      <c r="Y3694" t="s">
        <v>11340</v>
      </c>
      <c r="Z3694" t="s">
        <v>13815</v>
      </c>
      <c r="AB3694" t="s">
        <v>18145</v>
      </c>
      <c r="AC3694">
        <v>11</v>
      </c>
      <c r="AD3694" t="s">
        <v>19566</v>
      </c>
      <c r="AE3694" t="s">
        <v>9144</v>
      </c>
      <c r="AF3694">
        <v>3</v>
      </c>
      <c r="AG3694">
        <v>4</v>
      </c>
      <c r="AH3694">
        <v>0</v>
      </c>
      <c r="AI3694">
        <v>128.84</v>
      </c>
      <c r="AL3694" t="s">
        <v>19614</v>
      </c>
      <c r="AM3694">
        <v>32340</v>
      </c>
      <c r="AS3694">
        <v>0</v>
      </c>
      <c r="AU3694" t="s">
        <v>20647</v>
      </c>
    </row>
    <row r="3695" spans="1:48">
      <c r="A3695" s="1">
        <f>HYPERLINK("https://lsnyc.legalserver.org/matter/dynamic-profile/view/1865415","18-1865415")</f>
        <v>0</v>
      </c>
      <c r="B3695" t="s">
        <v>113</v>
      </c>
      <c r="C3695" t="s">
        <v>256</v>
      </c>
      <c r="D3695" t="s">
        <v>1032</v>
      </c>
      <c r="F3695" t="s">
        <v>2612</v>
      </c>
      <c r="G3695" t="s">
        <v>3720</v>
      </c>
      <c r="H3695" t="s">
        <v>7369</v>
      </c>
      <c r="I3695" t="s">
        <v>8330</v>
      </c>
      <c r="J3695" t="s">
        <v>9065</v>
      </c>
      <c r="K3695">
        <v>10458</v>
      </c>
      <c r="L3695" t="s">
        <v>9094</v>
      </c>
      <c r="M3695" t="s">
        <v>9095</v>
      </c>
      <c r="O3695" t="s">
        <v>11137</v>
      </c>
      <c r="P3695" t="s">
        <v>11166</v>
      </c>
      <c r="R3695" t="s">
        <v>11180</v>
      </c>
      <c r="S3695" t="s">
        <v>9094</v>
      </c>
      <c r="T3695" t="s">
        <v>11183</v>
      </c>
      <c r="V3695" t="s">
        <v>637</v>
      </c>
      <c r="W3695">
        <v>1200</v>
      </c>
      <c r="X3695" t="s">
        <v>11333</v>
      </c>
      <c r="Y3695" t="s">
        <v>11348</v>
      </c>
      <c r="Z3695" t="s">
        <v>13815</v>
      </c>
      <c r="AB3695" t="s">
        <v>18145</v>
      </c>
      <c r="AC3695">
        <v>11</v>
      </c>
      <c r="AD3695" t="s">
        <v>19566</v>
      </c>
      <c r="AE3695" t="s">
        <v>9144</v>
      </c>
      <c r="AF3695">
        <v>3</v>
      </c>
      <c r="AG3695">
        <v>4</v>
      </c>
      <c r="AH3695">
        <v>0</v>
      </c>
      <c r="AI3695">
        <v>128.84</v>
      </c>
      <c r="AL3695" t="s">
        <v>19614</v>
      </c>
      <c r="AM3695">
        <v>32340</v>
      </c>
      <c r="AS3695">
        <v>0.2</v>
      </c>
      <c r="AT3695" t="s">
        <v>403</v>
      </c>
      <c r="AU3695" t="s">
        <v>20647</v>
      </c>
    </row>
    <row r="3696" spans="1:48">
      <c r="A3696" s="1">
        <f>HYPERLINK("https://lsnyc.legalserver.org/matter/dynamic-profile/view/1864095","18-1864095")</f>
        <v>0</v>
      </c>
      <c r="B3696" t="s">
        <v>140</v>
      </c>
      <c r="C3696" t="s">
        <v>256</v>
      </c>
      <c r="D3696" t="s">
        <v>505</v>
      </c>
      <c r="F3696" t="s">
        <v>1357</v>
      </c>
      <c r="G3696" t="s">
        <v>3818</v>
      </c>
      <c r="H3696" t="s">
        <v>5999</v>
      </c>
      <c r="I3696" t="s">
        <v>8164</v>
      </c>
      <c r="J3696" t="s">
        <v>9067</v>
      </c>
      <c r="K3696">
        <v>10040</v>
      </c>
      <c r="L3696" t="s">
        <v>9094</v>
      </c>
      <c r="M3696" t="s">
        <v>9095</v>
      </c>
      <c r="N3696" t="s">
        <v>9314</v>
      </c>
      <c r="O3696" t="s">
        <v>11130</v>
      </c>
      <c r="P3696" t="s">
        <v>11165</v>
      </c>
      <c r="R3696" t="s">
        <v>11180</v>
      </c>
      <c r="S3696" t="s">
        <v>9094</v>
      </c>
      <c r="T3696" t="s">
        <v>11183</v>
      </c>
      <c r="V3696" t="s">
        <v>505</v>
      </c>
      <c r="W3696">
        <v>1494.26</v>
      </c>
      <c r="X3696" t="s">
        <v>11335</v>
      </c>
      <c r="Y3696" t="s">
        <v>11340</v>
      </c>
      <c r="Z3696" t="s">
        <v>13816</v>
      </c>
      <c r="AC3696">
        <v>44</v>
      </c>
      <c r="AD3696" t="s">
        <v>19566</v>
      </c>
      <c r="AE3696" t="s">
        <v>9144</v>
      </c>
      <c r="AF3696">
        <v>29</v>
      </c>
      <c r="AG3696">
        <v>3</v>
      </c>
      <c r="AH3696">
        <v>0</v>
      </c>
      <c r="AI3696">
        <v>128.91</v>
      </c>
      <c r="AJ3696" t="s">
        <v>982</v>
      </c>
      <c r="AL3696" t="s">
        <v>19615</v>
      </c>
      <c r="AM3696">
        <v>44788</v>
      </c>
      <c r="AS3696">
        <v>0.11</v>
      </c>
      <c r="AT3696" t="s">
        <v>1135</v>
      </c>
      <c r="AU3696" t="s">
        <v>130</v>
      </c>
    </row>
    <row r="3697" spans="1:48">
      <c r="A3697" s="1">
        <f>HYPERLINK("https://lsnyc.legalserver.org/matter/dynamic-profile/view/1863643","18-1863643")</f>
        <v>0</v>
      </c>
      <c r="B3697" t="s">
        <v>67</v>
      </c>
      <c r="C3697" t="s">
        <v>256</v>
      </c>
      <c r="D3697" t="s">
        <v>651</v>
      </c>
      <c r="F3697" t="s">
        <v>1905</v>
      </c>
      <c r="G3697" t="s">
        <v>4857</v>
      </c>
      <c r="H3697" t="s">
        <v>7420</v>
      </c>
      <c r="I3697" t="s">
        <v>8596</v>
      </c>
      <c r="J3697" t="s">
        <v>9059</v>
      </c>
      <c r="K3697">
        <v>11225</v>
      </c>
      <c r="L3697" t="s">
        <v>9094</v>
      </c>
      <c r="M3697" t="s">
        <v>9094</v>
      </c>
      <c r="O3697" t="s">
        <v>11136</v>
      </c>
      <c r="P3697" t="s">
        <v>11166</v>
      </c>
      <c r="R3697" t="s">
        <v>11180</v>
      </c>
      <c r="T3697" t="s">
        <v>11183</v>
      </c>
      <c r="V3697" t="s">
        <v>489</v>
      </c>
      <c r="W3697">
        <v>1151.62</v>
      </c>
      <c r="X3697" t="s">
        <v>11332</v>
      </c>
      <c r="Y3697" t="s">
        <v>11346</v>
      </c>
      <c r="Z3697" t="s">
        <v>13817</v>
      </c>
      <c r="AB3697" t="s">
        <v>18146</v>
      </c>
      <c r="AC3697">
        <v>21</v>
      </c>
      <c r="AD3697" t="s">
        <v>19569</v>
      </c>
      <c r="AE3697" t="s">
        <v>9144</v>
      </c>
      <c r="AF3697">
        <v>33</v>
      </c>
      <c r="AG3697">
        <v>3</v>
      </c>
      <c r="AH3697">
        <v>0</v>
      </c>
      <c r="AI3697">
        <v>129.07</v>
      </c>
      <c r="AL3697" t="s">
        <v>19614</v>
      </c>
      <c r="AM3697">
        <v>26820</v>
      </c>
      <c r="AS3697">
        <v>1.7</v>
      </c>
      <c r="AT3697" t="s">
        <v>585</v>
      </c>
      <c r="AU3697" t="s">
        <v>20630</v>
      </c>
    </row>
    <row r="3698" spans="1:48">
      <c r="A3698" s="1">
        <f>HYPERLINK("https://lsnyc.legalserver.org/matter/dynamic-profile/view/1861638","18-1861638")</f>
        <v>0</v>
      </c>
      <c r="B3698" t="s">
        <v>111</v>
      </c>
      <c r="C3698" t="s">
        <v>256</v>
      </c>
      <c r="D3698" t="s">
        <v>532</v>
      </c>
      <c r="F3698" t="s">
        <v>2613</v>
      </c>
      <c r="G3698" t="s">
        <v>4858</v>
      </c>
      <c r="H3698" t="s">
        <v>7421</v>
      </c>
      <c r="I3698" t="s">
        <v>8191</v>
      </c>
      <c r="J3698" t="s">
        <v>9065</v>
      </c>
      <c r="K3698">
        <v>10453</v>
      </c>
      <c r="L3698" t="s">
        <v>9094</v>
      </c>
      <c r="M3698" t="s">
        <v>9095</v>
      </c>
      <c r="N3698" t="s">
        <v>10491</v>
      </c>
      <c r="O3698" t="s">
        <v>11129</v>
      </c>
      <c r="P3698" t="s">
        <v>11165</v>
      </c>
      <c r="R3698" t="s">
        <v>11180</v>
      </c>
      <c r="S3698" t="s">
        <v>9096</v>
      </c>
      <c r="T3698" t="s">
        <v>11183</v>
      </c>
      <c r="V3698" t="s">
        <v>874</v>
      </c>
      <c r="W3698">
        <v>1515</v>
      </c>
      <c r="X3698" t="s">
        <v>11333</v>
      </c>
      <c r="Y3698" t="s">
        <v>11348</v>
      </c>
      <c r="Z3698" t="s">
        <v>13818</v>
      </c>
      <c r="AA3698" t="s">
        <v>15815</v>
      </c>
      <c r="AB3698" t="s">
        <v>18147</v>
      </c>
      <c r="AC3698">
        <v>48</v>
      </c>
      <c r="AD3698" t="s">
        <v>19566</v>
      </c>
      <c r="AE3698" t="s">
        <v>19586</v>
      </c>
      <c r="AF3698">
        <v>2</v>
      </c>
      <c r="AG3698">
        <v>2</v>
      </c>
      <c r="AH3698">
        <v>2</v>
      </c>
      <c r="AI3698">
        <v>129.08</v>
      </c>
      <c r="AL3698" t="s">
        <v>19614</v>
      </c>
      <c r="AM3698">
        <v>32400</v>
      </c>
      <c r="AR3698" t="s">
        <v>20405</v>
      </c>
      <c r="AS3698">
        <v>17.05</v>
      </c>
      <c r="AT3698" t="s">
        <v>281</v>
      </c>
      <c r="AU3698" t="s">
        <v>20672</v>
      </c>
    </row>
    <row r="3699" spans="1:48">
      <c r="A3699" s="1">
        <f>HYPERLINK("https://lsnyc.legalserver.org/matter/dynamic-profile/view/1908142","19-1908142")</f>
        <v>0</v>
      </c>
      <c r="B3699" t="s">
        <v>64</v>
      </c>
      <c r="C3699" t="s">
        <v>257</v>
      </c>
      <c r="D3699" t="s">
        <v>899</v>
      </c>
      <c r="E3699" t="s">
        <v>297</v>
      </c>
      <c r="F3699" t="s">
        <v>1489</v>
      </c>
      <c r="G3699" t="s">
        <v>4859</v>
      </c>
      <c r="H3699" t="s">
        <v>7422</v>
      </c>
      <c r="I3699" t="s">
        <v>8154</v>
      </c>
      <c r="J3699" t="s">
        <v>9059</v>
      </c>
      <c r="K3699">
        <v>11223</v>
      </c>
      <c r="L3699" t="s">
        <v>9096</v>
      </c>
      <c r="M3699" t="s">
        <v>9095</v>
      </c>
      <c r="N3699" t="s">
        <v>9171</v>
      </c>
      <c r="O3699" t="s">
        <v>11130</v>
      </c>
      <c r="P3699" t="s">
        <v>11164</v>
      </c>
      <c r="Q3699" t="s">
        <v>11172</v>
      </c>
      <c r="R3699" t="s">
        <v>11180</v>
      </c>
      <c r="S3699" t="s">
        <v>9096</v>
      </c>
      <c r="T3699" t="s">
        <v>11183</v>
      </c>
      <c r="U3699" t="s">
        <v>11201</v>
      </c>
      <c r="W3699">
        <v>1250</v>
      </c>
      <c r="X3699" t="s">
        <v>11332</v>
      </c>
      <c r="Y3699" t="s">
        <v>11350</v>
      </c>
      <c r="Z3699" t="s">
        <v>13819</v>
      </c>
      <c r="AA3699" t="s">
        <v>9171</v>
      </c>
      <c r="AB3699" t="s">
        <v>18148</v>
      </c>
      <c r="AC3699">
        <v>3</v>
      </c>
      <c r="AD3699" t="s">
        <v>19565</v>
      </c>
      <c r="AE3699" t="s">
        <v>9144</v>
      </c>
      <c r="AF3699">
        <v>6</v>
      </c>
      <c r="AG3699">
        <v>1</v>
      </c>
      <c r="AH3699">
        <v>1</v>
      </c>
      <c r="AI3699">
        <v>129.15</v>
      </c>
      <c r="AL3699" t="s">
        <v>19614</v>
      </c>
      <c r="AM3699">
        <v>21840</v>
      </c>
      <c r="AN3699" t="s">
        <v>19972</v>
      </c>
      <c r="AS3699">
        <v>1.1</v>
      </c>
      <c r="AT3699" t="s">
        <v>899</v>
      </c>
      <c r="AU3699" t="s">
        <v>20639</v>
      </c>
      <c r="AV3699" t="s">
        <v>9144</v>
      </c>
    </row>
    <row r="3700" spans="1:48">
      <c r="A3700" s="1">
        <f>HYPERLINK("https://lsnyc.legalserver.org/matter/dynamic-profile/view/1889314","19-1889314")</f>
        <v>0</v>
      </c>
      <c r="B3700" t="s">
        <v>147</v>
      </c>
      <c r="C3700" t="s">
        <v>257</v>
      </c>
      <c r="D3700" t="s">
        <v>695</v>
      </c>
      <c r="E3700" t="s">
        <v>429</v>
      </c>
      <c r="F3700" t="s">
        <v>2614</v>
      </c>
      <c r="G3700" t="s">
        <v>4860</v>
      </c>
      <c r="H3700" t="s">
        <v>6361</v>
      </c>
      <c r="I3700" t="s">
        <v>8643</v>
      </c>
      <c r="J3700" t="s">
        <v>9066</v>
      </c>
      <c r="K3700">
        <v>10304</v>
      </c>
      <c r="L3700" t="s">
        <v>9094</v>
      </c>
      <c r="M3700" t="s">
        <v>9094</v>
      </c>
      <c r="N3700" t="s">
        <v>10492</v>
      </c>
      <c r="O3700" t="s">
        <v>11128</v>
      </c>
      <c r="P3700" t="s">
        <v>11165</v>
      </c>
      <c r="Q3700" t="s">
        <v>11174</v>
      </c>
      <c r="R3700" t="s">
        <v>11180</v>
      </c>
      <c r="S3700" t="s">
        <v>9096</v>
      </c>
      <c r="T3700" t="s">
        <v>11190</v>
      </c>
      <c r="U3700" t="s">
        <v>11201</v>
      </c>
      <c r="V3700" t="s">
        <v>695</v>
      </c>
      <c r="W3700">
        <v>480</v>
      </c>
      <c r="X3700" t="s">
        <v>11334</v>
      </c>
      <c r="Y3700" t="s">
        <v>11157</v>
      </c>
      <c r="Z3700" t="s">
        <v>13820</v>
      </c>
      <c r="AB3700" t="s">
        <v>18149</v>
      </c>
      <c r="AC3700">
        <v>364</v>
      </c>
      <c r="AD3700" t="s">
        <v>19571</v>
      </c>
      <c r="AE3700" t="s">
        <v>9144</v>
      </c>
      <c r="AF3700">
        <v>2</v>
      </c>
      <c r="AG3700">
        <v>1</v>
      </c>
      <c r="AH3700">
        <v>3</v>
      </c>
      <c r="AI3700">
        <v>129.24</v>
      </c>
      <c r="AL3700" t="s">
        <v>19614</v>
      </c>
      <c r="AM3700">
        <v>33279.96</v>
      </c>
      <c r="AS3700">
        <v>22</v>
      </c>
      <c r="AT3700" t="s">
        <v>367</v>
      </c>
      <c r="AU3700" t="s">
        <v>128</v>
      </c>
      <c r="AV3700" t="s">
        <v>20733</v>
      </c>
    </row>
    <row r="3701" spans="1:48">
      <c r="A3701" s="1">
        <f>HYPERLINK("https://lsnyc.legalserver.org/matter/dynamic-profile/view/1895840","19-1895840")</f>
        <v>0</v>
      </c>
      <c r="B3701" t="s">
        <v>52</v>
      </c>
      <c r="C3701" t="s">
        <v>257</v>
      </c>
      <c r="D3701" t="s">
        <v>376</v>
      </c>
      <c r="E3701" t="s">
        <v>1016</v>
      </c>
      <c r="F3701" t="s">
        <v>2615</v>
      </c>
      <c r="G3701" t="s">
        <v>2903</v>
      </c>
      <c r="H3701" t="s">
        <v>5692</v>
      </c>
      <c r="I3701" t="s">
        <v>8767</v>
      </c>
      <c r="J3701" t="s">
        <v>9038</v>
      </c>
      <c r="K3701">
        <v>11691</v>
      </c>
      <c r="L3701" t="s">
        <v>9094</v>
      </c>
      <c r="M3701" t="s">
        <v>9094</v>
      </c>
      <c r="O3701" t="s">
        <v>11134</v>
      </c>
      <c r="P3701" t="s">
        <v>11167</v>
      </c>
      <c r="Q3701" t="s">
        <v>11173</v>
      </c>
      <c r="R3701" t="s">
        <v>11180</v>
      </c>
      <c r="S3701" t="s">
        <v>9094</v>
      </c>
      <c r="T3701" t="s">
        <v>11183</v>
      </c>
      <c r="U3701" t="s">
        <v>11201</v>
      </c>
      <c r="V3701" t="s">
        <v>376</v>
      </c>
      <c r="W3701">
        <v>637</v>
      </c>
      <c r="X3701" t="s">
        <v>11331</v>
      </c>
      <c r="Y3701" t="s">
        <v>11339</v>
      </c>
      <c r="Z3701" t="s">
        <v>13821</v>
      </c>
      <c r="AA3701" t="s">
        <v>15274</v>
      </c>
      <c r="AB3701" t="s">
        <v>18150</v>
      </c>
      <c r="AC3701">
        <v>43</v>
      </c>
      <c r="AD3701" t="s">
        <v>19566</v>
      </c>
      <c r="AE3701" t="s">
        <v>9144</v>
      </c>
      <c r="AF3701">
        <v>30</v>
      </c>
      <c r="AG3701">
        <v>5</v>
      </c>
      <c r="AH3701">
        <v>0</v>
      </c>
      <c r="AI3701">
        <v>129.27</v>
      </c>
      <c r="AL3701" t="s">
        <v>19614</v>
      </c>
      <c r="AM3701">
        <v>39000</v>
      </c>
      <c r="AS3701">
        <v>0.1</v>
      </c>
      <c r="AT3701" t="s">
        <v>1016</v>
      </c>
      <c r="AU3701" t="s">
        <v>20622</v>
      </c>
      <c r="AV3701" t="s">
        <v>20733</v>
      </c>
    </row>
    <row r="3702" spans="1:48">
      <c r="A3702" s="1">
        <f>HYPERLINK("https://lsnyc.legalserver.org/matter/dynamic-profile/view/1895844","19-1895844")</f>
        <v>0</v>
      </c>
      <c r="B3702" t="s">
        <v>52</v>
      </c>
      <c r="C3702" t="s">
        <v>256</v>
      </c>
      <c r="D3702" t="s">
        <v>376</v>
      </c>
      <c r="F3702" t="s">
        <v>2615</v>
      </c>
      <c r="G3702" t="s">
        <v>2903</v>
      </c>
      <c r="H3702" t="s">
        <v>5692</v>
      </c>
      <c r="I3702" t="s">
        <v>8767</v>
      </c>
      <c r="J3702" t="s">
        <v>9038</v>
      </c>
      <c r="K3702">
        <v>11691</v>
      </c>
      <c r="L3702" t="s">
        <v>9094</v>
      </c>
      <c r="M3702" t="s">
        <v>9094</v>
      </c>
      <c r="O3702" t="s">
        <v>11136</v>
      </c>
      <c r="P3702" t="s">
        <v>11167</v>
      </c>
      <c r="R3702" t="s">
        <v>11180</v>
      </c>
      <c r="S3702" t="s">
        <v>9094</v>
      </c>
      <c r="T3702" t="s">
        <v>11183</v>
      </c>
      <c r="V3702" t="s">
        <v>376</v>
      </c>
      <c r="W3702">
        <v>637</v>
      </c>
      <c r="X3702" t="s">
        <v>11331</v>
      </c>
      <c r="Y3702" t="s">
        <v>11339</v>
      </c>
      <c r="Z3702" t="s">
        <v>13821</v>
      </c>
      <c r="AA3702" t="s">
        <v>15274</v>
      </c>
      <c r="AB3702" t="s">
        <v>18150</v>
      </c>
      <c r="AC3702">
        <v>43</v>
      </c>
      <c r="AD3702" t="s">
        <v>19566</v>
      </c>
      <c r="AE3702" t="s">
        <v>9144</v>
      </c>
      <c r="AF3702">
        <v>30</v>
      </c>
      <c r="AG3702">
        <v>5</v>
      </c>
      <c r="AH3702">
        <v>0</v>
      </c>
      <c r="AI3702">
        <v>129.27</v>
      </c>
      <c r="AL3702" t="s">
        <v>19614</v>
      </c>
      <c r="AM3702">
        <v>39000</v>
      </c>
      <c r="AS3702">
        <v>0</v>
      </c>
      <c r="AU3702" t="s">
        <v>20622</v>
      </c>
    </row>
    <row r="3703" spans="1:48">
      <c r="A3703" s="1">
        <f>HYPERLINK("https://lsnyc.legalserver.org/matter/dynamic-profile/view/1851547","17-1851547")</f>
        <v>0</v>
      </c>
      <c r="B3703" t="s">
        <v>58</v>
      </c>
      <c r="C3703" t="s">
        <v>256</v>
      </c>
      <c r="D3703" t="s">
        <v>1033</v>
      </c>
      <c r="F3703" t="s">
        <v>2568</v>
      </c>
      <c r="G3703" t="s">
        <v>3474</v>
      </c>
      <c r="H3703" t="s">
        <v>5706</v>
      </c>
      <c r="I3703" t="s">
        <v>8191</v>
      </c>
      <c r="J3703" t="s">
        <v>9039</v>
      </c>
      <c r="K3703">
        <v>11432</v>
      </c>
      <c r="L3703" t="s">
        <v>9094</v>
      </c>
      <c r="M3703" t="s">
        <v>9095</v>
      </c>
      <c r="N3703" t="s">
        <v>10493</v>
      </c>
      <c r="O3703" t="s">
        <v>11135</v>
      </c>
      <c r="P3703" t="s">
        <v>11168</v>
      </c>
      <c r="R3703" t="s">
        <v>11180</v>
      </c>
      <c r="S3703" t="s">
        <v>9096</v>
      </c>
      <c r="T3703" t="s">
        <v>11183</v>
      </c>
      <c r="V3703" t="s">
        <v>1033</v>
      </c>
      <c r="W3703">
        <v>1175</v>
      </c>
      <c r="X3703" t="s">
        <v>11331</v>
      </c>
      <c r="Y3703" t="s">
        <v>11338</v>
      </c>
      <c r="Z3703" t="s">
        <v>12443</v>
      </c>
      <c r="AA3703" t="s">
        <v>9171</v>
      </c>
      <c r="AB3703" t="s">
        <v>17887</v>
      </c>
      <c r="AC3703">
        <v>190</v>
      </c>
      <c r="AD3703" t="s">
        <v>19566</v>
      </c>
      <c r="AE3703" t="s">
        <v>9144</v>
      </c>
      <c r="AF3703">
        <v>5</v>
      </c>
      <c r="AG3703">
        <v>2</v>
      </c>
      <c r="AH3703">
        <v>0</v>
      </c>
      <c r="AI3703">
        <v>129.31</v>
      </c>
      <c r="AJ3703" t="s">
        <v>19592</v>
      </c>
      <c r="AL3703" t="s">
        <v>19616</v>
      </c>
      <c r="AM3703">
        <v>21000</v>
      </c>
      <c r="AS3703">
        <v>53.45</v>
      </c>
      <c r="AT3703" t="s">
        <v>744</v>
      </c>
      <c r="AU3703" t="s">
        <v>58</v>
      </c>
    </row>
    <row r="3704" spans="1:48">
      <c r="A3704" s="1">
        <f>HYPERLINK("https://lsnyc.legalserver.org/matter/dynamic-profile/view/1837044","17-1837044")</f>
        <v>0</v>
      </c>
      <c r="B3704" t="s">
        <v>93</v>
      </c>
      <c r="C3704" t="s">
        <v>257</v>
      </c>
      <c r="D3704" t="s">
        <v>878</v>
      </c>
      <c r="E3704" t="s">
        <v>867</v>
      </c>
      <c r="F3704" t="s">
        <v>2616</v>
      </c>
      <c r="G3704" t="s">
        <v>4861</v>
      </c>
      <c r="H3704" t="s">
        <v>5830</v>
      </c>
      <c r="I3704" t="s">
        <v>8140</v>
      </c>
      <c r="J3704" t="s">
        <v>9059</v>
      </c>
      <c r="K3704">
        <v>11207</v>
      </c>
      <c r="L3704" t="s">
        <v>9094</v>
      </c>
      <c r="M3704" t="s">
        <v>9095</v>
      </c>
      <c r="N3704" t="s">
        <v>9171</v>
      </c>
      <c r="O3704" t="s">
        <v>11128</v>
      </c>
      <c r="P3704" t="s">
        <v>11165</v>
      </c>
      <c r="Q3704" t="s">
        <v>11174</v>
      </c>
      <c r="R3704" t="s">
        <v>11180</v>
      </c>
      <c r="S3704" t="s">
        <v>9094</v>
      </c>
      <c r="T3704" t="s">
        <v>11183</v>
      </c>
      <c r="V3704" t="s">
        <v>771</v>
      </c>
      <c r="W3704">
        <v>600</v>
      </c>
      <c r="X3704" t="s">
        <v>11332</v>
      </c>
      <c r="Y3704" t="s">
        <v>11339</v>
      </c>
      <c r="Z3704" t="s">
        <v>11532</v>
      </c>
      <c r="AA3704" t="s">
        <v>9171</v>
      </c>
      <c r="AB3704" t="s">
        <v>18151</v>
      </c>
      <c r="AC3704">
        <v>2</v>
      </c>
      <c r="AD3704" t="s">
        <v>19566</v>
      </c>
      <c r="AE3704" t="s">
        <v>9144</v>
      </c>
      <c r="AF3704">
        <v>3</v>
      </c>
      <c r="AG3704">
        <v>1</v>
      </c>
      <c r="AH3704">
        <v>0</v>
      </c>
      <c r="AI3704">
        <v>129.35</v>
      </c>
      <c r="AL3704" t="s">
        <v>19614</v>
      </c>
      <c r="AM3704">
        <v>15600</v>
      </c>
      <c r="AS3704">
        <v>84.25</v>
      </c>
      <c r="AT3704" t="s">
        <v>867</v>
      </c>
      <c r="AU3704" t="s">
        <v>95</v>
      </c>
    </row>
    <row r="3705" spans="1:48">
      <c r="A3705" s="1">
        <f>HYPERLINK("https://lsnyc.legalserver.org/matter/dynamic-profile/view/1846478","17-1846478")</f>
        <v>0</v>
      </c>
      <c r="B3705" t="s">
        <v>92</v>
      </c>
      <c r="C3705" t="s">
        <v>256</v>
      </c>
      <c r="D3705" t="s">
        <v>959</v>
      </c>
      <c r="F3705" t="s">
        <v>2617</v>
      </c>
      <c r="G3705" t="s">
        <v>3497</v>
      </c>
      <c r="H3705" t="s">
        <v>5829</v>
      </c>
      <c r="I3705" t="s">
        <v>8161</v>
      </c>
      <c r="J3705" t="s">
        <v>9059</v>
      </c>
      <c r="K3705">
        <v>11207</v>
      </c>
      <c r="L3705" t="s">
        <v>9094</v>
      </c>
      <c r="M3705" t="s">
        <v>9095</v>
      </c>
      <c r="P3705" t="s">
        <v>11165</v>
      </c>
      <c r="R3705" t="s">
        <v>11180</v>
      </c>
      <c r="S3705" t="s">
        <v>9094</v>
      </c>
      <c r="T3705" t="s">
        <v>11183</v>
      </c>
      <c r="V3705" t="s">
        <v>722</v>
      </c>
      <c r="W3705">
        <v>900</v>
      </c>
      <c r="X3705" t="s">
        <v>11332</v>
      </c>
      <c r="Y3705" t="s">
        <v>11340</v>
      </c>
      <c r="Z3705" t="s">
        <v>13576</v>
      </c>
      <c r="AA3705" t="s">
        <v>15816</v>
      </c>
      <c r="AB3705" t="s">
        <v>18152</v>
      </c>
      <c r="AC3705">
        <v>7</v>
      </c>
      <c r="AD3705" t="s">
        <v>19565</v>
      </c>
      <c r="AE3705" t="s">
        <v>19585</v>
      </c>
      <c r="AF3705">
        <v>0</v>
      </c>
      <c r="AG3705">
        <v>1</v>
      </c>
      <c r="AH3705">
        <v>0</v>
      </c>
      <c r="AI3705">
        <v>129.35</v>
      </c>
      <c r="AL3705" t="s">
        <v>19614</v>
      </c>
      <c r="AM3705">
        <v>15600</v>
      </c>
      <c r="AS3705">
        <v>3.3</v>
      </c>
      <c r="AT3705" t="s">
        <v>270</v>
      </c>
      <c r="AU3705" t="s">
        <v>95</v>
      </c>
    </row>
    <row r="3706" spans="1:48">
      <c r="A3706" s="1">
        <f>HYPERLINK("https://lsnyc.legalserver.org/matter/dynamic-profile/view/1859453","18-1859453")</f>
        <v>0</v>
      </c>
      <c r="B3706" t="s">
        <v>120</v>
      </c>
      <c r="C3706" t="s">
        <v>256</v>
      </c>
      <c r="D3706" t="s">
        <v>607</v>
      </c>
      <c r="F3706" t="s">
        <v>2618</v>
      </c>
      <c r="G3706" t="s">
        <v>4362</v>
      </c>
      <c r="H3706" t="s">
        <v>6356</v>
      </c>
      <c r="I3706">
        <v>123</v>
      </c>
      <c r="J3706" t="s">
        <v>9065</v>
      </c>
      <c r="K3706">
        <v>10453</v>
      </c>
      <c r="L3706" t="s">
        <v>9094</v>
      </c>
      <c r="M3706" t="s">
        <v>9095</v>
      </c>
      <c r="O3706" t="s">
        <v>11135</v>
      </c>
      <c r="P3706" t="s">
        <v>11168</v>
      </c>
      <c r="R3706" t="s">
        <v>11180</v>
      </c>
      <c r="S3706" t="s">
        <v>9094</v>
      </c>
      <c r="T3706" t="s">
        <v>11183</v>
      </c>
      <c r="V3706" t="s">
        <v>595</v>
      </c>
      <c r="W3706">
        <v>990.26</v>
      </c>
      <c r="X3706" t="s">
        <v>11333</v>
      </c>
      <c r="Y3706" t="s">
        <v>11339</v>
      </c>
      <c r="Z3706" t="s">
        <v>13822</v>
      </c>
      <c r="AB3706" t="s">
        <v>18153</v>
      </c>
      <c r="AC3706">
        <v>146</v>
      </c>
      <c r="AD3706" t="s">
        <v>19566</v>
      </c>
      <c r="AE3706" t="s">
        <v>9144</v>
      </c>
      <c r="AF3706">
        <v>6</v>
      </c>
      <c r="AG3706">
        <v>1</v>
      </c>
      <c r="AH3706">
        <v>0</v>
      </c>
      <c r="AI3706">
        <v>129.35</v>
      </c>
      <c r="AL3706" t="s">
        <v>19615</v>
      </c>
      <c r="AM3706">
        <v>15600</v>
      </c>
      <c r="AS3706">
        <v>0.6</v>
      </c>
      <c r="AT3706" t="s">
        <v>674</v>
      </c>
      <c r="AU3706" t="s">
        <v>20647</v>
      </c>
    </row>
    <row r="3707" spans="1:48">
      <c r="A3707" s="1">
        <f>HYPERLINK("https://lsnyc.legalserver.org/matter/dynamic-profile/view/1833962","17-1833962")</f>
        <v>0</v>
      </c>
      <c r="B3707" t="s">
        <v>101</v>
      </c>
      <c r="C3707" t="s">
        <v>256</v>
      </c>
      <c r="D3707" t="s">
        <v>538</v>
      </c>
      <c r="F3707" t="s">
        <v>1953</v>
      </c>
      <c r="G3707" t="s">
        <v>3765</v>
      </c>
      <c r="H3707" t="s">
        <v>5890</v>
      </c>
      <c r="I3707" t="s">
        <v>8723</v>
      </c>
      <c r="J3707" t="s">
        <v>9065</v>
      </c>
      <c r="K3707">
        <v>10453</v>
      </c>
      <c r="L3707" t="s">
        <v>9094</v>
      </c>
      <c r="M3707" t="s">
        <v>9095</v>
      </c>
      <c r="O3707" t="s">
        <v>11130</v>
      </c>
      <c r="P3707" t="s">
        <v>11165</v>
      </c>
      <c r="R3707" t="s">
        <v>11180</v>
      </c>
      <c r="S3707" t="s">
        <v>9094</v>
      </c>
      <c r="T3707" t="s">
        <v>11183</v>
      </c>
      <c r="V3707" t="s">
        <v>11219</v>
      </c>
      <c r="W3707">
        <v>1284</v>
      </c>
      <c r="X3707" t="s">
        <v>11333</v>
      </c>
      <c r="Y3707" t="s">
        <v>11340</v>
      </c>
      <c r="Z3707" t="s">
        <v>13823</v>
      </c>
      <c r="AB3707" t="s">
        <v>18154</v>
      </c>
      <c r="AC3707">
        <v>46</v>
      </c>
      <c r="AD3707" t="s">
        <v>19566</v>
      </c>
      <c r="AE3707" t="s">
        <v>9144</v>
      </c>
      <c r="AF3707">
        <v>3</v>
      </c>
      <c r="AG3707">
        <v>1</v>
      </c>
      <c r="AH3707">
        <v>0</v>
      </c>
      <c r="AI3707">
        <v>129.35</v>
      </c>
      <c r="AL3707" t="s">
        <v>19615</v>
      </c>
      <c r="AM3707">
        <v>15600</v>
      </c>
      <c r="AS3707">
        <v>0</v>
      </c>
      <c r="AU3707" t="s">
        <v>20643</v>
      </c>
    </row>
    <row r="3708" spans="1:48">
      <c r="A3708" s="1">
        <f>HYPERLINK("https://lsnyc.legalserver.org/matter/dynamic-profile/view/1869632","18-1869632")</f>
        <v>0</v>
      </c>
      <c r="B3708" t="s">
        <v>111</v>
      </c>
      <c r="C3708" t="s">
        <v>256</v>
      </c>
      <c r="D3708" t="s">
        <v>1034</v>
      </c>
      <c r="F3708" t="s">
        <v>2619</v>
      </c>
      <c r="G3708" t="s">
        <v>4862</v>
      </c>
      <c r="H3708" t="s">
        <v>7423</v>
      </c>
      <c r="I3708" t="s">
        <v>8768</v>
      </c>
      <c r="J3708" t="s">
        <v>9065</v>
      </c>
      <c r="K3708">
        <v>10453</v>
      </c>
      <c r="L3708" t="s">
        <v>9094</v>
      </c>
      <c r="M3708" t="s">
        <v>9095</v>
      </c>
      <c r="N3708" t="s">
        <v>10494</v>
      </c>
      <c r="O3708" t="s">
        <v>11129</v>
      </c>
      <c r="P3708" t="s">
        <v>11165</v>
      </c>
      <c r="R3708" t="s">
        <v>11180</v>
      </c>
      <c r="S3708" t="s">
        <v>9096</v>
      </c>
      <c r="T3708" t="s">
        <v>11183</v>
      </c>
      <c r="V3708" t="s">
        <v>1096</v>
      </c>
      <c r="W3708">
        <v>1081.66</v>
      </c>
      <c r="X3708" t="s">
        <v>11333</v>
      </c>
      <c r="Y3708" t="s">
        <v>11349</v>
      </c>
      <c r="Z3708" t="s">
        <v>13824</v>
      </c>
      <c r="AB3708" t="s">
        <v>18155</v>
      </c>
      <c r="AC3708">
        <v>20</v>
      </c>
      <c r="AD3708" t="s">
        <v>19566</v>
      </c>
      <c r="AE3708" t="s">
        <v>9144</v>
      </c>
      <c r="AF3708">
        <v>16</v>
      </c>
      <c r="AG3708">
        <v>1</v>
      </c>
      <c r="AH3708">
        <v>0</v>
      </c>
      <c r="AI3708">
        <v>129.36</v>
      </c>
      <c r="AL3708" t="s">
        <v>19615</v>
      </c>
      <c r="AM3708">
        <v>15704</v>
      </c>
      <c r="AS3708">
        <v>29.15</v>
      </c>
      <c r="AT3708" t="s">
        <v>523</v>
      </c>
      <c r="AU3708" t="s">
        <v>20619</v>
      </c>
    </row>
    <row r="3709" spans="1:48">
      <c r="A3709" s="1">
        <f>HYPERLINK("https://lsnyc.legalserver.org/matter/dynamic-profile/view/1891865","19-1891865")</f>
        <v>0</v>
      </c>
      <c r="B3709" t="s">
        <v>70</v>
      </c>
      <c r="C3709" t="s">
        <v>256</v>
      </c>
      <c r="D3709" t="s">
        <v>383</v>
      </c>
      <c r="F3709" t="s">
        <v>1762</v>
      </c>
      <c r="G3709" t="s">
        <v>3933</v>
      </c>
      <c r="H3709" t="s">
        <v>5748</v>
      </c>
      <c r="I3709" t="s">
        <v>8393</v>
      </c>
      <c r="J3709" t="s">
        <v>9059</v>
      </c>
      <c r="K3709">
        <v>11233</v>
      </c>
      <c r="L3709" t="s">
        <v>9094</v>
      </c>
      <c r="M3709" t="s">
        <v>9096</v>
      </c>
      <c r="N3709" t="s">
        <v>9144</v>
      </c>
      <c r="O3709" t="s">
        <v>11137</v>
      </c>
      <c r="P3709" t="s">
        <v>11167</v>
      </c>
      <c r="R3709" t="s">
        <v>11180</v>
      </c>
      <c r="S3709" t="s">
        <v>9094</v>
      </c>
      <c r="T3709" t="s">
        <v>11183</v>
      </c>
      <c r="U3709" t="s">
        <v>11201</v>
      </c>
      <c r="V3709" t="s">
        <v>749</v>
      </c>
      <c r="W3709">
        <v>915</v>
      </c>
      <c r="X3709" t="s">
        <v>11332</v>
      </c>
      <c r="Z3709" t="s">
        <v>12171</v>
      </c>
      <c r="AC3709">
        <v>359</v>
      </c>
      <c r="AD3709" t="s">
        <v>19566</v>
      </c>
      <c r="AE3709" t="s">
        <v>9144</v>
      </c>
      <c r="AF3709">
        <v>6</v>
      </c>
      <c r="AG3709">
        <v>2</v>
      </c>
      <c r="AH3709">
        <v>2</v>
      </c>
      <c r="AI3709">
        <v>129.51</v>
      </c>
      <c r="AL3709" t="s">
        <v>19614</v>
      </c>
      <c r="AM3709">
        <v>33348</v>
      </c>
      <c r="AN3709" t="s">
        <v>19973</v>
      </c>
      <c r="AS3709">
        <v>0</v>
      </c>
      <c r="AU3709" t="s">
        <v>95</v>
      </c>
    </row>
    <row r="3710" spans="1:48">
      <c r="A3710" s="1">
        <f>HYPERLINK("https://lsnyc.legalserver.org/matter/dynamic-profile/view/1861367","18-1861367")</f>
        <v>0</v>
      </c>
      <c r="B3710" t="s">
        <v>52</v>
      </c>
      <c r="C3710" t="s">
        <v>256</v>
      </c>
      <c r="D3710" t="s">
        <v>882</v>
      </c>
      <c r="F3710" t="s">
        <v>1336</v>
      </c>
      <c r="G3710" t="s">
        <v>3674</v>
      </c>
      <c r="H3710" t="s">
        <v>6711</v>
      </c>
      <c r="I3710" t="s">
        <v>8124</v>
      </c>
      <c r="J3710" t="s">
        <v>9039</v>
      </c>
      <c r="K3710">
        <v>11432</v>
      </c>
      <c r="L3710" t="s">
        <v>9094</v>
      </c>
      <c r="M3710" t="s">
        <v>9095</v>
      </c>
      <c r="N3710" t="s">
        <v>9703</v>
      </c>
      <c r="O3710" t="s">
        <v>11135</v>
      </c>
      <c r="P3710" t="s">
        <v>11168</v>
      </c>
      <c r="R3710" t="s">
        <v>11180</v>
      </c>
      <c r="S3710" t="s">
        <v>9094</v>
      </c>
      <c r="T3710" t="s">
        <v>11189</v>
      </c>
      <c r="V3710" t="s">
        <v>882</v>
      </c>
      <c r="W3710">
        <v>877</v>
      </c>
      <c r="X3710" t="s">
        <v>11331</v>
      </c>
      <c r="Y3710" t="s">
        <v>11341</v>
      </c>
      <c r="Z3710" t="s">
        <v>13101</v>
      </c>
      <c r="AA3710" t="s">
        <v>9171</v>
      </c>
      <c r="AB3710" t="s">
        <v>17462</v>
      </c>
      <c r="AC3710">
        <v>60</v>
      </c>
      <c r="AD3710" t="s">
        <v>19566</v>
      </c>
      <c r="AE3710" t="s">
        <v>9144</v>
      </c>
      <c r="AF3710">
        <v>36</v>
      </c>
      <c r="AG3710">
        <v>2</v>
      </c>
      <c r="AH3710">
        <v>0</v>
      </c>
      <c r="AI3710">
        <v>129.7</v>
      </c>
      <c r="AJ3710" t="s">
        <v>19592</v>
      </c>
      <c r="AL3710" t="s">
        <v>19615</v>
      </c>
      <c r="AM3710">
        <v>21348</v>
      </c>
      <c r="AS3710">
        <v>0.2</v>
      </c>
      <c r="AT3710" t="s">
        <v>848</v>
      </c>
      <c r="AU3710" t="s">
        <v>20620</v>
      </c>
    </row>
    <row r="3711" spans="1:48">
      <c r="A3711" s="1">
        <f>HYPERLINK("https://lsnyc.legalserver.org/matter/dynamic-profile/view/1861379","18-1861379")</f>
        <v>0</v>
      </c>
      <c r="B3711" t="s">
        <v>52</v>
      </c>
      <c r="C3711" t="s">
        <v>256</v>
      </c>
      <c r="D3711" t="s">
        <v>882</v>
      </c>
      <c r="F3711" t="s">
        <v>1336</v>
      </c>
      <c r="G3711" t="s">
        <v>3674</v>
      </c>
      <c r="H3711" t="s">
        <v>6711</v>
      </c>
      <c r="I3711" t="s">
        <v>8124</v>
      </c>
      <c r="J3711" t="s">
        <v>9039</v>
      </c>
      <c r="K3711">
        <v>11432</v>
      </c>
      <c r="L3711" t="s">
        <v>9094</v>
      </c>
      <c r="M3711" t="s">
        <v>9095</v>
      </c>
      <c r="N3711" t="s">
        <v>9698</v>
      </c>
      <c r="O3711" t="s">
        <v>11135</v>
      </c>
      <c r="P3711" t="s">
        <v>11168</v>
      </c>
      <c r="R3711" t="s">
        <v>11180</v>
      </c>
      <c r="S3711" t="s">
        <v>9094</v>
      </c>
      <c r="T3711" t="s">
        <v>11189</v>
      </c>
      <c r="V3711" t="s">
        <v>882</v>
      </c>
      <c r="W3711">
        <v>877</v>
      </c>
      <c r="X3711" t="s">
        <v>11331</v>
      </c>
      <c r="Y3711" t="s">
        <v>11341</v>
      </c>
      <c r="Z3711" t="s">
        <v>13101</v>
      </c>
      <c r="AA3711" t="s">
        <v>9171</v>
      </c>
      <c r="AB3711" t="s">
        <v>17462</v>
      </c>
      <c r="AC3711">
        <v>60</v>
      </c>
      <c r="AD3711" t="s">
        <v>19566</v>
      </c>
      <c r="AE3711" t="s">
        <v>9144</v>
      </c>
      <c r="AF3711">
        <v>36</v>
      </c>
      <c r="AG3711">
        <v>2</v>
      </c>
      <c r="AH3711">
        <v>0</v>
      </c>
      <c r="AI3711">
        <v>129.7</v>
      </c>
      <c r="AJ3711" t="s">
        <v>19592</v>
      </c>
      <c r="AL3711" t="s">
        <v>19615</v>
      </c>
      <c r="AM3711">
        <v>21348</v>
      </c>
      <c r="AS3711">
        <v>0.2</v>
      </c>
      <c r="AT3711" t="s">
        <v>848</v>
      </c>
      <c r="AU3711" t="s">
        <v>20620</v>
      </c>
    </row>
    <row r="3712" spans="1:48">
      <c r="A3712" s="1">
        <f>HYPERLINK("https://lsnyc.legalserver.org/matter/dynamic-profile/view/1900774","19-1900774")</f>
        <v>0</v>
      </c>
      <c r="B3712" t="s">
        <v>50</v>
      </c>
      <c r="C3712" t="s">
        <v>256</v>
      </c>
      <c r="D3712" t="s">
        <v>1035</v>
      </c>
      <c r="F3712" t="s">
        <v>2620</v>
      </c>
      <c r="G3712" t="s">
        <v>3652</v>
      </c>
      <c r="H3712" t="s">
        <v>6802</v>
      </c>
      <c r="I3712" t="s">
        <v>8769</v>
      </c>
      <c r="J3712" t="s">
        <v>9054</v>
      </c>
      <c r="K3712">
        <v>11368</v>
      </c>
      <c r="L3712" t="s">
        <v>9094</v>
      </c>
      <c r="M3712" t="s">
        <v>9095</v>
      </c>
      <c r="N3712" t="s">
        <v>9953</v>
      </c>
      <c r="O3712" t="s">
        <v>11134</v>
      </c>
      <c r="P3712" t="s">
        <v>11168</v>
      </c>
      <c r="R3712" t="s">
        <v>11180</v>
      </c>
      <c r="S3712" t="s">
        <v>9094</v>
      </c>
      <c r="T3712" t="s">
        <v>11183</v>
      </c>
      <c r="U3712" t="s">
        <v>11201</v>
      </c>
      <c r="V3712" t="s">
        <v>426</v>
      </c>
      <c r="W3712">
        <v>940</v>
      </c>
      <c r="X3712" t="s">
        <v>11331</v>
      </c>
      <c r="Y3712" t="s">
        <v>11157</v>
      </c>
      <c r="Z3712" t="s">
        <v>13825</v>
      </c>
      <c r="AA3712" t="s">
        <v>15274</v>
      </c>
      <c r="AB3712" t="s">
        <v>18156</v>
      </c>
      <c r="AC3712">
        <v>50</v>
      </c>
      <c r="AD3712" t="s">
        <v>19566</v>
      </c>
      <c r="AE3712" t="s">
        <v>9144</v>
      </c>
      <c r="AF3712">
        <v>19</v>
      </c>
      <c r="AG3712">
        <v>1</v>
      </c>
      <c r="AH3712">
        <v>0</v>
      </c>
      <c r="AI3712">
        <v>129.7</v>
      </c>
      <c r="AL3712" t="s">
        <v>19614</v>
      </c>
      <c r="AM3712">
        <v>16200</v>
      </c>
      <c r="AP3712" t="s">
        <v>11157</v>
      </c>
      <c r="AS3712">
        <v>5.76</v>
      </c>
      <c r="AT3712" t="s">
        <v>669</v>
      </c>
      <c r="AU3712" t="s">
        <v>50</v>
      </c>
      <c r="AV3712" t="s">
        <v>20733</v>
      </c>
    </row>
    <row r="3713" spans="1:48">
      <c r="A3713" s="1">
        <f>HYPERLINK("https://lsnyc.legalserver.org/matter/dynamic-profile/view/0799002","16-0799002")</f>
        <v>0</v>
      </c>
      <c r="B3713" t="s">
        <v>101</v>
      </c>
      <c r="C3713" t="s">
        <v>256</v>
      </c>
      <c r="D3713" t="s">
        <v>1036</v>
      </c>
      <c r="F3713" t="s">
        <v>1961</v>
      </c>
      <c r="G3713" t="s">
        <v>3832</v>
      </c>
      <c r="H3713" t="s">
        <v>6041</v>
      </c>
      <c r="I3713" t="s">
        <v>8199</v>
      </c>
      <c r="J3713" t="s">
        <v>9065</v>
      </c>
      <c r="K3713">
        <v>10452</v>
      </c>
      <c r="L3713" t="s">
        <v>9094</v>
      </c>
      <c r="M3713" t="s">
        <v>9095</v>
      </c>
      <c r="N3713" t="s">
        <v>9499</v>
      </c>
      <c r="O3713" t="s">
        <v>11135</v>
      </c>
      <c r="P3713" t="s">
        <v>11168</v>
      </c>
      <c r="R3713" t="s">
        <v>11180</v>
      </c>
      <c r="S3713" t="s">
        <v>9094</v>
      </c>
      <c r="T3713" t="s">
        <v>11183</v>
      </c>
      <c r="V3713" t="s">
        <v>1094</v>
      </c>
      <c r="W3713">
        <v>405</v>
      </c>
      <c r="X3713" t="s">
        <v>11333</v>
      </c>
      <c r="Y3713" t="s">
        <v>11346</v>
      </c>
      <c r="Z3713" t="s">
        <v>13826</v>
      </c>
      <c r="AB3713" t="s">
        <v>18157</v>
      </c>
      <c r="AC3713">
        <v>0</v>
      </c>
      <c r="AD3713" t="s">
        <v>19566</v>
      </c>
      <c r="AE3713" t="s">
        <v>19580</v>
      </c>
      <c r="AF3713">
        <v>19</v>
      </c>
      <c r="AG3713">
        <v>2</v>
      </c>
      <c r="AH3713">
        <v>0</v>
      </c>
      <c r="AI3713">
        <v>129.84</v>
      </c>
      <c r="AL3713" t="s">
        <v>19614</v>
      </c>
      <c r="AM3713">
        <v>20800</v>
      </c>
      <c r="AS3713">
        <v>0.65</v>
      </c>
      <c r="AT3713" t="s">
        <v>873</v>
      </c>
      <c r="AU3713" t="s">
        <v>109</v>
      </c>
    </row>
    <row r="3714" spans="1:48">
      <c r="A3714" s="1">
        <f>HYPERLINK("https://lsnyc.legalserver.org/matter/dynamic-profile/view/0817133","16-0817133")</f>
        <v>0</v>
      </c>
      <c r="B3714" t="s">
        <v>101</v>
      </c>
      <c r="C3714" t="s">
        <v>256</v>
      </c>
      <c r="D3714" t="s">
        <v>1009</v>
      </c>
      <c r="F3714" t="s">
        <v>1961</v>
      </c>
      <c r="G3714" t="s">
        <v>3832</v>
      </c>
      <c r="H3714" t="s">
        <v>6041</v>
      </c>
      <c r="I3714" t="s">
        <v>8614</v>
      </c>
      <c r="J3714" t="s">
        <v>9065</v>
      </c>
      <c r="K3714">
        <v>10452</v>
      </c>
      <c r="L3714" t="s">
        <v>9094</v>
      </c>
      <c r="M3714" t="s">
        <v>9095</v>
      </c>
      <c r="N3714" t="s">
        <v>9500</v>
      </c>
      <c r="O3714" t="s">
        <v>11135</v>
      </c>
      <c r="P3714" t="s">
        <v>11168</v>
      </c>
      <c r="R3714" t="s">
        <v>11180</v>
      </c>
      <c r="S3714" t="s">
        <v>9094</v>
      </c>
      <c r="T3714" t="s">
        <v>11183</v>
      </c>
      <c r="V3714" t="s">
        <v>1024</v>
      </c>
      <c r="W3714">
        <v>405</v>
      </c>
      <c r="X3714" t="s">
        <v>11333</v>
      </c>
      <c r="Y3714" t="s">
        <v>11346</v>
      </c>
      <c r="Z3714" t="s">
        <v>13826</v>
      </c>
      <c r="AB3714" t="s">
        <v>18157</v>
      </c>
      <c r="AC3714">
        <v>62</v>
      </c>
      <c r="AD3714" t="s">
        <v>19566</v>
      </c>
      <c r="AE3714" t="s">
        <v>19580</v>
      </c>
      <c r="AF3714">
        <v>19</v>
      </c>
      <c r="AG3714">
        <v>2</v>
      </c>
      <c r="AH3714">
        <v>0</v>
      </c>
      <c r="AI3714">
        <v>129.84</v>
      </c>
      <c r="AL3714" t="s">
        <v>19614</v>
      </c>
      <c r="AM3714">
        <v>20800</v>
      </c>
      <c r="AS3714">
        <v>0.8</v>
      </c>
      <c r="AT3714" t="s">
        <v>873</v>
      </c>
      <c r="AU3714" t="s">
        <v>20643</v>
      </c>
    </row>
    <row r="3715" spans="1:48">
      <c r="A3715" s="1">
        <f>HYPERLINK("https://lsnyc.legalserver.org/matter/dynamic-profile/view/0822597","16-0822597")</f>
        <v>0</v>
      </c>
      <c r="B3715" t="s">
        <v>101</v>
      </c>
      <c r="C3715" t="s">
        <v>256</v>
      </c>
      <c r="D3715" t="s">
        <v>657</v>
      </c>
      <c r="F3715" t="s">
        <v>1961</v>
      </c>
      <c r="G3715" t="s">
        <v>3832</v>
      </c>
      <c r="H3715" t="s">
        <v>6041</v>
      </c>
      <c r="I3715" t="s">
        <v>8614</v>
      </c>
      <c r="J3715" t="s">
        <v>9065</v>
      </c>
      <c r="K3715">
        <v>10452</v>
      </c>
      <c r="L3715" t="s">
        <v>9094</v>
      </c>
      <c r="M3715" t="s">
        <v>9095</v>
      </c>
      <c r="N3715" t="s">
        <v>9501</v>
      </c>
      <c r="O3715" t="s">
        <v>11135</v>
      </c>
      <c r="P3715" t="s">
        <v>11168</v>
      </c>
      <c r="R3715" t="s">
        <v>11180</v>
      </c>
      <c r="S3715" t="s">
        <v>9094</v>
      </c>
      <c r="T3715" t="s">
        <v>11183</v>
      </c>
      <c r="V3715" t="s">
        <v>657</v>
      </c>
      <c r="W3715">
        <v>405</v>
      </c>
      <c r="X3715" t="s">
        <v>11333</v>
      </c>
      <c r="Y3715" t="s">
        <v>11346</v>
      </c>
      <c r="Z3715" t="s">
        <v>13826</v>
      </c>
      <c r="AB3715" t="s">
        <v>18157</v>
      </c>
      <c r="AC3715">
        <v>62</v>
      </c>
      <c r="AD3715" t="s">
        <v>19566</v>
      </c>
      <c r="AE3715" t="s">
        <v>19580</v>
      </c>
      <c r="AF3715">
        <v>19</v>
      </c>
      <c r="AG3715">
        <v>2</v>
      </c>
      <c r="AH3715">
        <v>0</v>
      </c>
      <c r="AI3715">
        <v>129.84</v>
      </c>
      <c r="AL3715" t="s">
        <v>19614</v>
      </c>
      <c r="AM3715">
        <v>20800</v>
      </c>
      <c r="AS3715">
        <v>0.3</v>
      </c>
      <c r="AT3715" t="s">
        <v>873</v>
      </c>
      <c r="AU3715" t="s">
        <v>20643</v>
      </c>
    </row>
    <row r="3716" spans="1:48">
      <c r="A3716" s="1">
        <f>HYPERLINK("https://lsnyc.legalserver.org/matter/dynamic-profile/view/1914640","19-1914640")</f>
        <v>0</v>
      </c>
      <c r="B3716" t="s">
        <v>135</v>
      </c>
      <c r="C3716" t="s">
        <v>256</v>
      </c>
      <c r="D3716" t="s">
        <v>476</v>
      </c>
      <c r="F3716" t="s">
        <v>1341</v>
      </c>
      <c r="G3716" t="s">
        <v>4863</v>
      </c>
      <c r="H3716" t="s">
        <v>6177</v>
      </c>
      <c r="I3716">
        <v>407</v>
      </c>
      <c r="J3716" t="s">
        <v>9067</v>
      </c>
      <c r="K3716">
        <v>10029</v>
      </c>
      <c r="L3716" t="s">
        <v>9094</v>
      </c>
      <c r="M3716" t="s">
        <v>9095</v>
      </c>
      <c r="O3716" t="s">
        <v>11130</v>
      </c>
      <c r="P3716" t="s">
        <v>11169</v>
      </c>
      <c r="R3716" t="s">
        <v>11180</v>
      </c>
      <c r="S3716" t="s">
        <v>9094</v>
      </c>
      <c r="T3716" t="s">
        <v>11183</v>
      </c>
      <c r="U3716" t="s">
        <v>11201</v>
      </c>
      <c r="V3716" t="s">
        <v>496</v>
      </c>
      <c r="W3716">
        <v>424</v>
      </c>
      <c r="X3716" t="s">
        <v>11335</v>
      </c>
      <c r="Y3716" t="s">
        <v>11339</v>
      </c>
      <c r="Z3716" t="s">
        <v>13827</v>
      </c>
      <c r="AC3716">
        <v>40</v>
      </c>
      <c r="AD3716" t="s">
        <v>19566</v>
      </c>
      <c r="AE3716" t="s">
        <v>9144</v>
      </c>
      <c r="AF3716">
        <v>36</v>
      </c>
      <c r="AG3716">
        <v>1</v>
      </c>
      <c r="AH3716">
        <v>0</v>
      </c>
      <c r="AI3716">
        <v>129.9</v>
      </c>
      <c r="AL3716" t="s">
        <v>19614</v>
      </c>
      <c r="AM3716">
        <v>16224</v>
      </c>
      <c r="AS3716">
        <v>0</v>
      </c>
      <c r="AU3716" t="s">
        <v>20657</v>
      </c>
      <c r="AV3716" t="s">
        <v>20733</v>
      </c>
    </row>
    <row r="3717" spans="1:48">
      <c r="A3717" s="1">
        <f>HYPERLINK("https://lsnyc.legalserver.org/matter/dynamic-profile/view/1884673","18-1884673")</f>
        <v>0</v>
      </c>
      <c r="B3717" t="s">
        <v>82</v>
      </c>
      <c r="C3717" t="s">
        <v>256</v>
      </c>
      <c r="D3717" t="s">
        <v>622</v>
      </c>
      <c r="F3717" t="s">
        <v>1221</v>
      </c>
      <c r="G3717" t="s">
        <v>4659</v>
      </c>
      <c r="H3717" t="s">
        <v>7424</v>
      </c>
      <c r="I3717" t="s">
        <v>8216</v>
      </c>
      <c r="J3717" t="s">
        <v>9059</v>
      </c>
      <c r="K3717">
        <v>11236</v>
      </c>
      <c r="L3717" t="s">
        <v>9094</v>
      </c>
      <c r="M3717" t="s">
        <v>9094</v>
      </c>
      <c r="N3717" t="s">
        <v>10495</v>
      </c>
      <c r="O3717" t="s">
        <v>11155</v>
      </c>
      <c r="P3717" t="s">
        <v>11168</v>
      </c>
      <c r="R3717" t="s">
        <v>11180</v>
      </c>
      <c r="S3717" t="s">
        <v>9096</v>
      </c>
      <c r="T3717" t="s">
        <v>11183</v>
      </c>
      <c r="V3717" t="s">
        <v>622</v>
      </c>
      <c r="W3717">
        <v>1289.69</v>
      </c>
      <c r="X3717" t="s">
        <v>11332</v>
      </c>
      <c r="Y3717" t="s">
        <v>11340</v>
      </c>
      <c r="Z3717" t="s">
        <v>13828</v>
      </c>
      <c r="AA3717" t="s">
        <v>15817</v>
      </c>
      <c r="AB3717" t="s">
        <v>18158</v>
      </c>
      <c r="AC3717">
        <v>37</v>
      </c>
      <c r="AD3717" t="s">
        <v>19566</v>
      </c>
      <c r="AE3717" t="s">
        <v>19580</v>
      </c>
      <c r="AF3717">
        <v>5</v>
      </c>
      <c r="AG3717">
        <v>1</v>
      </c>
      <c r="AH3717">
        <v>0</v>
      </c>
      <c r="AI3717">
        <v>129.93</v>
      </c>
      <c r="AL3717" t="s">
        <v>19614</v>
      </c>
      <c r="AM3717">
        <v>15774</v>
      </c>
      <c r="AS3717">
        <v>77.2</v>
      </c>
      <c r="AT3717" t="s">
        <v>395</v>
      </c>
      <c r="AU3717" t="s">
        <v>20628</v>
      </c>
    </row>
    <row r="3718" spans="1:48">
      <c r="A3718" s="1">
        <f>HYPERLINK("https://lsnyc.legalserver.org/matter/dynamic-profile/view/1884677","18-1884677")</f>
        <v>0</v>
      </c>
      <c r="B3718" t="s">
        <v>82</v>
      </c>
      <c r="C3718" t="s">
        <v>256</v>
      </c>
      <c r="D3718" t="s">
        <v>622</v>
      </c>
      <c r="F3718" t="s">
        <v>1221</v>
      </c>
      <c r="G3718" t="s">
        <v>4659</v>
      </c>
      <c r="H3718" t="s">
        <v>7424</v>
      </c>
      <c r="I3718" t="s">
        <v>8216</v>
      </c>
      <c r="J3718" t="s">
        <v>9059</v>
      </c>
      <c r="K3718">
        <v>11236</v>
      </c>
      <c r="L3718" t="s">
        <v>9094</v>
      </c>
      <c r="M3718" t="s">
        <v>9094</v>
      </c>
      <c r="O3718" t="s">
        <v>11140</v>
      </c>
      <c r="P3718" t="s">
        <v>11166</v>
      </c>
      <c r="R3718" t="s">
        <v>11180</v>
      </c>
      <c r="S3718" t="s">
        <v>9096</v>
      </c>
      <c r="T3718" t="s">
        <v>11183</v>
      </c>
      <c r="V3718" t="s">
        <v>622</v>
      </c>
      <c r="W3718">
        <v>1289.69</v>
      </c>
      <c r="X3718" t="s">
        <v>11332</v>
      </c>
      <c r="Y3718" t="s">
        <v>11340</v>
      </c>
      <c r="Z3718" t="s">
        <v>13828</v>
      </c>
      <c r="AA3718" t="s">
        <v>15817</v>
      </c>
      <c r="AB3718" t="s">
        <v>18158</v>
      </c>
      <c r="AC3718">
        <v>37</v>
      </c>
      <c r="AD3718" t="s">
        <v>19566</v>
      </c>
      <c r="AE3718" t="s">
        <v>19580</v>
      </c>
      <c r="AF3718">
        <v>5</v>
      </c>
      <c r="AG3718">
        <v>1</v>
      </c>
      <c r="AH3718">
        <v>0</v>
      </c>
      <c r="AI3718">
        <v>129.93</v>
      </c>
      <c r="AL3718" t="s">
        <v>19614</v>
      </c>
      <c r="AM3718">
        <v>15774</v>
      </c>
      <c r="AP3718" t="s">
        <v>20324</v>
      </c>
      <c r="AQ3718" t="s">
        <v>20369</v>
      </c>
      <c r="AR3718" t="s">
        <v>20450</v>
      </c>
      <c r="AS3718">
        <v>17.2</v>
      </c>
      <c r="AT3718" t="s">
        <v>335</v>
      </c>
      <c r="AU3718" t="s">
        <v>20628</v>
      </c>
    </row>
    <row r="3719" spans="1:48">
      <c r="A3719" s="1">
        <f>HYPERLINK("https://lsnyc.legalserver.org/matter/dynamic-profile/view/1904464","19-1904464")</f>
        <v>0</v>
      </c>
      <c r="B3719" t="s">
        <v>114</v>
      </c>
      <c r="C3719" t="s">
        <v>257</v>
      </c>
      <c r="D3719" t="s">
        <v>597</v>
      </c>
      <c r="E3719" t="s">
        <v>476</v>
      </c>
      <c r="F3719" t="s">
        <v>1603</v>
      </c>
      <c r="G3719" t="s">
        <v>4864</v>
      </c>
      <c r="H3719" t="s">
        <v>6132</v>
      </c>
      <c r="J3719" t="s">
        <v>9065</v>
      </c>
      <c r="K3719">
        <v>10470</v>
      </c>
      <c r="L3719" t="s">
        <v>9094</v>
      </c>
      <c r="M3719" t="s">
        <v>9095</v>
      </c>
      <c r="N3719" t="s">
        <v>9426</v>
      </c>
      <c r="O3719" t="s">
        <v>11130</v>
      </c>
      <c r="P3719" t="s">
        <v>11165</v>
      </c>
      <c r="Q3719" t="s">
        <v>11174</v>
      </c>
      <c r="R3719" t="s">
        <v>11180</v>
      </c>
      <c r="S3719" t="s">
        <v>9094</v>
      </c>
      <c r="T3719" t="s">
        <v>11183</v>
      </c>
      <c r="W3719">
        <v>1564</v>
      </c>
      <c r="X3719" t="s">
        <v>11333</v>
      </c>
      <c r="Y3719" t="s">
        <v>11346</v>
      </c>
      <c r="Z3719" t="s">
        <v>13829</v>
      </c>
      <c r="AB3719" t="s">
        <v>18159</v>
      </c>
      <c r="AC3719">
        <v>63</v>
      </c>
      <c r="AD3719" t="s">
        <v>15441</v>
      </c>
      <c r="AE3719" t="s">
        <v>19581</v>
      </c>
      <c r="AF3719">
        <v>4</v>
      </c>
      <c r="AG3719">
        <v>1</v>
      </c>
      <c r="AH3719">
        <v>2</v>
      </c>
      <c r="AI3719">
        <v>129.96</v>
      </c>
      <c r="AL3719" t="s">
        <v>19614</v>
      </c>
      <c r="AM3719">
        <v>27720</v>
      </c>
      <c r="AS3719">
        <v>3</v>
      </c>
      <c r="AT3719" t="s">
        <v>476</v>
      </c>
      <c r="AU3719" t="s">
        <v>163</v>
      </c>
      <c r="AV3719" t="s">
        <v>20733</v>
      </c>
    </row>
    <row r="3720" spans="1:48">
      <c r="A3720" s="1">
        <f>HYPERLINK("https://lsnyc.legalserver.org/matter/dynamic-profile/view/1897702","19-1897702")</f>
        <v>0</v>
      </c>
      <c r="B3720" t="s">
        <v>70</v>
      </c>
      <c r="C3720" t="s">
        <v>256</v>
      </c>
      <c r="D3720" t="s">
        <v>291</v>
      </c>
      <c r="F3720" t="s">
        <v>2621</v>
      </c>
      <c r="G3720" t="s">
        <v>4865</v>
      </c>
      <c r="H3720" t="s">
        <v>6474</v>
      </c>
      <c r="I3720" t="s">
        <v>8770</v>
      </c>
      <c r="J3720" t="s">
        <v>9059</v>
      </c>
      <c r="K3720">
        <v>11233</v>
      </c>
      <c r="L3720" t="s">
        <v>9094</v>
      </c>
      <c r="M3720" t="s">
        <v>9096</v>
      </c>
      <c r="N3720" t="s">
        <v>9146</v>
      </c>
      <c r="O3720" t="s">
        <v>11134</v>
      </c>
      <c r="P3720" t="s">
        <v>11168</v>
      </c>
      <c r="R3720" t="s">
        <v>11180</v>
      </c>
      <c r="S3720" t="s">
        <v>9094</v>
      </c>
      <c r="T3720" t="s">
        <v>11183</v>
      </c>
      <c r="U3720" t="s">
        <v>11201</v>
      </c>
      <c r="V3720" t="s">
        <v>482</v>
      </c>
      <c r="W3720">
        <v>1330</v>
      </c>
      <c r="X3720" t="s">
        <v>11332</v>
      </c>
      <c r="Y3720" t="s">
        <v>11157</v>
      </c>
      <c r="Z3720" t="s">
        <v>13830</v>
      </c>
      <c r="AC3720">
        <v>359</v>
      </c>
      <c r="AD3720" t="s">
        <v>19566</v>
      </c>
      <c r="AF3720">
        <v>24</v>
      </c>
      <c r="AG3720">
        <v>4</v>
      </c>
      <c r="AH3720">
        <v>2</v>
      </c>
      <c r="AI3720">
        <v>130.1</v>
      </c>
      <c r="AL3720" t="s">
        <v>11157</v>
      </c>
      <c r="AM3720">
        <v>45000</v>
      </c>
      <c r="AN3720" t="s">
        <v>19974</v>
      </c>
      <c r="AS3720">
        <v>0</v>
      </c>
      <c r="AU3720" t="s">
        <v>79</v>
      </c>
    </row>
    <row r="3721" spans="1:48">
      <c r="A3721" s="1">
        <f>HYPERLINK("https://lsnyc.legalserver.org/matter/dynamic-profile/view/1897704","19-1897704")</f>
        <v>0</v>
      </c>
      <c r="B3721" t="s">
        <v>70</v>
      </c>
      <c r="C3721" t="s">
        <v>256</v>
      </c>
      <c r="D3721" t="s">
        <v>291</v>
      </c>
      <c r="F3721" t="s">
        <v>2621</v>
      </c>
      <c r="G3721" t="s">
        <v>4865</v>
      </c>
      <c r="H3721" t="s">
        <v>6474</v>
      </c>
      <c r="I3721" t="s">
        <v>8770</v>
      </c>
      <c r="J3721" t="s">
        <v>9059</v>
      </c>
      <c r="K3721">
        <v>11233</v>
      </c>
      <c r="L3721" t="s">
        <v>9094</v>
      </c>
      <c r="M3721" t="s">
        <v>9096</v>
      </c>
      <c r="O3721" t="s">
        <v>11137</v>
      </c>
      <c r="P3721" t="s">
        <v>11167</v>
      </c>
      <c r="R3721" t="s">
        <v>11180</v>
      </c>
      <c r="S3721" t="s">
        <v>9094</v>
      </c>
      <c r="T3721" t="s">
        <v>11183</v>
      </c>
      <c r="U3721" t="s">
        <v>11201</v>
      </c>
      <c r="V3721" t="s">
        <v>749</v>
      </c>
      <c r="W3721">
        <v>1330</v>
      </c>
      <c r="X3721" t="s">
        <v>11332</v>
      </c>
      <c r="Y3721" t="s">
        <v>11157</v>
      </c>
      <c r="Z3721" t="s">
        <v>13830</v>
      </c>
      <c r="AC3721">
        <v>359</v>
      </c>
      <c r="AD3721" t="s">
        <v>19566</v>
      </c>
      <c r="AF3721">
        <v>24</v>
      </c>
      <c r="AG3721">
        <v>4</v>
      </c>
      <c r="AH3721">
        <v>2</v>
      </c>
      <c r="AI3721">
        <v>130.1</v>
      </c>
      <c r="AL3721" t="s">
        <v>11157</v>
      </c>
      <c r="AM3721">
        <v>45000</v>
      </c>
      <c r="AN3721" t="s">
        <v>19975</v>
      </c>
      <c r="AS3721">
        <v>0</v>
      </c>
      <c r="AU3721" t="s">
        <v>79</v>
      </c>
    </row>
    <row r="3722" spans="1:48">
      <c r="A3722" s="1">
        <f>HYPERLINK("https://lsnyc.legalserver.org/matter/dynamic-profile/view/1905941","19-1905941")</f>
        <v>0</v>
      </c>
      <c r="B3722" t="s">
        <v>151</v>
      </c>
      <c r="C3722" t="s">
        <v>256</v>
      </c>
      <c r="D3722" t="s">
        <v>329</v>
      </c>
      <c r="F3722" t="s">
        <v>1144</v>
      </c>
      <c r="G3722" t="s">
        <v>4866</v>
      </c>
      <c r="H3722" t="s">
        <v>7008</v>
      </c>
      <c r="I3722" t="s">
        <v>8771</v>
      </c>
      <c r="J3722" t="s">
        <v>9059</v>
      </c>
      <c r="K3722">
        <v>11213</v>
      </c>
      <c r="L3722" t="s">
        <v>9094</v>
      </c>
      <c r="M3722" t="s">
        <v>9095</v>
      </c>
      <c r="N3722" t="s">
        <v>9154</v>
      </c>
      <c r="O3722" t="s">
        <v>9121</v>
      </c>
      <c r="P3722" t="s">
        <v>11169</v>
      </c>
      <c r="R3722" t="s">
        <v>11180</v>
      </c>
      <c r="S3722" t="s">
        <v>9094</v>
      </c>
      <c r="T3722" t="s">
        <v>11183</v>
      </c>
      <c r="U3722" t="s">
        <v>11201</v>
      </c>
      <c r="V3722" t="s">
        <v>328</v>
      </c>
      <c r="W3722">
        <v>1139.5</v>
      </c>
      <c r="X3722" t="s">
        <v>11332</v>
      </c>
      <c r="Y3722" t="s">
        <v>11346</v>
      </c>
      <c r="Z3722" t="s">
        <v>13831</v>
      </c>
      <c r="AA3722" t="s">
        <v>9171</v>
      </c>
      <c r="AB3722" t="s">
        <v>18160</v>
      </c>
      <c r="AC3722">
        <v>34</v>
      </c>
      <c r="AD3722" t="s">
        <v>19566</v>
      </c>
      <c r="AE3722" t="s">
        <v>9144</v>
      </c>
      <c r="AF3722">
        <v>1</v>
      </c>
      <c r="AG3722">
        <v>1</v>
      </c>
      <c r="AH3722">
        <v>1</v>
      </c>
      <c r="AI3722">
        <v>130.1</v>
      </c>
      <c r="AL3722" t="s">
        <v>19614</v>
      </c>
      <c r="AM3722">
        <v>22000</v>
      </c>
      <c r="AS3722">
        <v>1.25</v>
      </c>
      <c r="AT3722" t="s">
        <v>328</v>
      </c>
      <c r="AU3722" t="s">
        <v>95</v>
      </c>
      <c r="AV3722" t="s">
        <v>20733</v>
      </c>
    </row>
    <row r="3723" spans="1:48">
      <c r="A3723" s="1">
        <f>HYPERLINK("https://lsnyc.legalserver.org/matter/dynamic-profile/view/1889612","19-1889612")</f>
        <v>0</v>
      </c>
      <c r="B3723" t="s">
        <v>72</v>
      </c>
      <c r="C3723" t="s">
        <v>256</v>
      </c>
      <c r="D3723" t="s">
        <v>441</v>
      </c>
      <c r="F3723" t="s">
        <v>2622</v>
      </c>
      <c r="G3723" t="s">
        <v>4867</v>
      </c>
      <c r="H3723" t="s">
        <v>6011</v>
      </c>
      <c r="I3723">
        <v>328</v>
      </c>
      <c r="J3723" t="s">
        <v>9059</v>
      </c>
      <c r="K3723">
        <v>11208</v>
      </c>
      <c r="L3723" t="s">
        <v>9094</v>
      </c>
      <c r="M3723" t="s">
        <v>9094</v>
      </c>
      <c r="N3723" t="s">
        <v>10496</v>
      </c>
      <c r="O3723" t="s">
        <v>11129</v>
      </c>
      <c r="P3723" t="s">
        <v>11164</v>
      </c>
      <c r="R3723" t="s">
        <v>11180</v>
      </c>
      <c r="S3723" t="s">
        <v>9096</v>
      </c>
      <c r="T3723" t="s">
        <v>11183</v>
      </c>
      <c r="U3723" t="s">
        <v>11201</v>
      </c>
      <c r="V3723" t="s">
        <v>441</v>
      </c>
      <c r="W3723">
        <v>1182</v>
      </c>
      <c r="X3723" t="s">
        <v>11332</v>
      </c>
      <c r="Z3723" t="s">
        <v>13832</v>
      </c>
      <c r="AA3723" t="s">
        <v>15290</v>
      </c>
      <c r="AB3723" t="s">
        <v>18161</v>
      </c>
      <c r="AC3723">
        <v>266</v>
      </c>
      <c r="AD3723" t="s">
        <v>19566</v>
      </c>
      <c r="AF3723">
        <v>7</v>
      </c>
      <c r="AG3723">
        <v>1</v>
      </c>
      <c r="AH3723">
        <v>1</v>
      </c>
      <c r="AI3723">
        <v>130.1</v>
      </c>
      <c r="AL3723" t="s">
        <v>19614</v>
      </c>
      <c r="AM3723">
        <v>22000</v>
      </c>
      <c r="AS3723">
        <v>2.5</v>
      </c>
      <c r="AT3723" t="s">
        <v>497</v>
      </c>
      <c r="AU3723" t="s">
        <v>72</v>
      </c>
      <c r="AV3723" t="s">
        <v>20733</v>
      </c>
    </row>
    <row r="3724" spans="1:48">
      <c r="A3724" s="1">
        <f>HYPERLINK("https://lsnyc.legalserver.org/matter/dynamic-profile/view/1907870","19-1907870")</f>
        <v>0</v>
      </c>
      <c r="B3724" t="s">
        <v>142</v>
      </c>
      <c r="C3724" t="s">
        <v>256</v>
      </c>
      <c r="D3724" t="s">
        <v>779</v>
      </c>
      <c r="F3724" t="s">
        <v>1152</v>
      </c>
      <c r="G3724" t="s">
        <v>3507</v>
      </c>
      <c r="H3724" t="s">
        <v>7079</v>
      </c>
      <c r="I3724" t="s">
        <v>8170</v>
      </c>
      <c r="J3724" t="s">
        <v>9067</v>
      </c>
      <c r="K3724">
        <v>10035</v>
      </c>
      <c r="L3724" t="s">
        <v>9094</v>
      </c>
      <c r="M3724" t="s">
        <v>9095</v>
      </c>
      <c r="O3724" t="s">
        <v>9121</v>
      </c>
      <c r="P3724" t="s">
        <v>11167</v>
      </c>
      <c r="R3724" t="s">
        <v>11180</v>
      </c>
      <c r="S3724" t="s">
        <v>9096</v>
      </c>
      <c r="T3724" t="s">
        <v>11183</v>
      </c>
      <c r="U3724" t="s">
        <v>11201</v>
      </c>
      <c r="V3724" t="s">
        <v>779</v>
      </c>
      <c r="W3724">
        <v>1530</v>
      </c>
      <c r="X3724" t="s">
        <v>11335</v>
      </c>
      <c r="Y3724" t="s">
        <v>11157</v>
      </c>
      <c r="Z3724" t="s">
        <v>13241</v>
      </c>
      <c r="AB3724" t="s">
        <v>17593</v>
      </c>
      <c r="AC3724">
        <v>16</v>
      </c>
      <c r="AD3724" t="s">
        <v>19566</v>
      </c>
      <c r="AE3724" t="s">
        <v>9144</v>
      </c>
      <c r="AF3724">
        <v>4</v>
      </c>
      <c r="AG3724">
        <v>1</v>
      </c>
      <c r="AH3724">
        <v>1</v>
      </c>
      <c r="AI3724">
        <v>130.1</v>
      </c>
      <c r="AL3724" t="s">
        <v>19614</v>
      </c>
      <c r="AM3724">
        <v>22000</v>
      </c>
      <c r="AS3724">
        <v>0</v>
      </c>
      <c r="AU3724" t="s">
        <v>20657</v>
      </c>
      <c r="AV3724" t="s">
        <v>20733</v>
      </c>
    </row>
    <row r="3725" spans="1:48">
      <c r="A3725" s="1">
        <f>HYPERLINK("https://lsnyc.legalserver.org/matter/dynamic-profile/view/1869966","18-1869966")</f>
        <v>0</v>
      </c>
      <c r="B3725" t="s">
        <v>119</v>
      </c>
      <c r="C3725" t="s">
        <v>257</v>
      </c>
      <c r="D3725" t="s">
        <v>592</v>
      </c>
      <c r="E3725" t="s">
        <v>301</v>
      </c>
      <c r="F3725" t="s">
        <v>1212</v>
      </c>
      <c r="G3725" t="s">
        <v>4868</v>
      </c>
      <c r="H3725" t="s">
        <v>7425</v>
      </c>
      <c r="I3725" t="s">
        <v>8475</v>
      </c>
      <c r="J3725" t="s">
        <v>9065</v>
      </c>
      <c r="K3725">
        <v>10453</v>
      </c>
      <c r="L3725" t="s">
        <v>9094</v>
      </c>
      <c r="M3725" t="s">
        <v>9095</v>
      </c>
      <c r="N3725" t="s">
        <v>10497</v>
      </c>
      <c r="O3725" t="s">
        <v>11129</v>
      </c>
      <c r="P3725" t="s">
        <v>11165</v>
      </c>
      <c r="Q3725" t="s">
        <v>11174</v>
      </c>
      <c r="R3725" t="s">
        <v>11180</v>
      </c>
      <c r="T3725" t="s">
        <v>11183</v>
      </c>
      <c r="V3725" t="s">
        <v>675</v>
      </c>
      <c r="W3725">
        <v>1488</v>
      </c>
      <c r="X3725" t="s">
        <v>11333</v>
      </c>
      <c r="Z3725" t="s">
        <v>13833</v>
      </c>
      <c r="AB3725" t="s">
        <v>18162</v>
      </c>
      <c r="AC3725">
        <v>0</v>
      </c>
      <c r="AD3725" t="s">
        <v>15441</v>
      </c>
      <c r="AE3725" t="s">
        <v>9144</v>
      </c>
      <c r="AF3725">
        <v>15</v>
      </c>
      <c r="AG3725">
        <v>2</v>
      </c>
      <c r="AH3725">
        <v>0</v>
      </c>
      <c r="AI3725">
        <v>130.13</v>
      </c>
      <c r="AM3725">
        <v>21420</v>
      </c>
      <c r="AS3725">
        <v>55.35</v>
      </c>
      <c r="AT3725" t="s">
        <v>301</v>
      </c>
      <c r="AU3725" t="s">
        <v>20642</v>
      </c>
    </row>
    <row r="3726" spans="1:48">
      <c r="A3726" s="1">
        <f>HYPERLINK("https://lsnyc.legalserver.org/matter/dynamic-profile/view/1899675","19-1899675")</f>
        <v>0</v>
      </c>
      <c r="B3726" t="s">
        <v>82</v>
      </c>
      <c r="C3726" t="s">
        <v>256</v>
      </c>
      <c r="D3726" t="s">
        <v>418</v>
      </c>
      <c r="F3726" t="s">
        <v>1450</v>
      </c>
      <c r="G3726" t="s">
        <v>2008</v>
      </c>
      <c r="H3726" t="s">
        <v>7426</v>
      </c>
      <c r="I3726" t="s">
        <v>8171</v>
      </c>
      <c r="J3726" t="s">
        <v>9059</v>
      </c>
      <c r="K3726">
        <v>11214</v>
      </c>
      <c r="L3726" t="s">
        <v>9094</v>
      </c>
      <c r="M3726" t="s">
        <v>9095</v>
      </c>
      <c r="N3726" t="s">
        <v>9144</v>
      </c>
      <c r="O3726" t="s">
        <v>9121</v>
      </c>
      <c r="P3726" t="s">
        <v>11166</v>
      </c>
      <c r="R3726" t="s">
        <v>11180</v>
      </c>
      <c r="S3726" t="s">
        <v>9096</v>
      </c>
      <c r="T3726" t="s">
        <v>11183</v>
      </c>
      <c r="U3726" t="s">
        <v>11201</v>
      </c>
      <c r="V3726" t="s">
        <v>418</v>
      </c>
      <c r="W3726">
        <v>1997.8</v>
      </c>
      <c r="X3726" t="s">
        <v>11332</v>
      </c>
      <c r="Y3726" t="s">
        <v>11346</v>
      </c>
      <c r="Z3726" t="s">
        <v>13834</v>
      </c>
      <c r="AB3726" t="s">
        <v>18163</v>
      </c>
      <c r="AC3726">
        <v>16</v>
      </c>
      <c r="AD3726" t="s">
        <v>19566</v>
      </c>
      <c r="AE3726" t="s">
        <v>9144</v>
      </c>
      <c r="AF3726">
        <v>7</v>
      </c>
      <c r="AG3726">
        <v>2</v>
      </c>
      <c r="AH3726">
        <v>0</v>
      </c>
      <c r="AI3726">
        <v>130.27</v>
      </c>
      <c r="AL3726" t="s">
        <v>19614</v>
      </c>
      <c r="AM3726">
        <v>22029.13</v>
      </c>
      <c r="AP3726" t="s">
        <v>11157</v>
      </c>
      <c r="AQ3726" t="s">
        <v>20369</v>
      </c>
      <c r="AR3726" t="s">
        <v>20415</v>
      </c>
      <c r="AS3726">
        <v>3.9</v>
      </c>
      <c r="AT3726" t="s">
        <v>806</v>
      </c>
      <c r="AU3726" t="s">
        <v>215</v>
      </c>
      <c r="AV3726" t="s">
        <v>20733</v>
      </c>
    </row>
    <row r="3727" spans="1:48">
      <c r="A3727" s="1">
        <f>HYPERLINK("https://lsnyc.legalserver.org/matter/dynamic-profile/view/1887015","19-1887015")</f>
        <v>0</v>
      </c>
      <c r="B3727" t="s">
        <v>115</v>
      </c>
      <c r="C3727" t="s">
        <v>257</v>
      </c>
      <c r="D3727" t="s">
        <v>582</v>
      </c>
      <c r="E3727" t="s">
        <v>410</v>
      </c>
      <c r="F3727" t="s">
        <v>2497</v>
      </c>
      <c r="G3727" t="s">
        <v>3982</v>
      </c>
      <c r="H3727" t="s">
        <v>6092</v>
      </c>
      <c r="I3727" t="s">
        <v>8134</v>
      </c>
      <c r="J3727" t="s">
        <v>9065</v>
      </c>
      <c r="K3727">
        <v>10459</v>
      </c>
      <c r="L3727" t="s">
        <v>9094</v>
      </c>
      <c r="M3727" t="s">
        <v>9094</v>
      </c>
      <c r="O3727" t="s">
        <v>11130</v>
      </c>
      <c r="P3727" t="s">
        <v>11165</v>
      </c>
      <c r="Q3727" t="s">
        <v>11174</v>
      </c>
      <c r="R3727" t="s">
        <v>11180</v>
      </c>
      <c r="S3727" t="s">
        <v>9094</v>
      </c>
      <c r="T3727" t="s">
        <v>11183</v>
      </c>
      <c r="V3727" t="s">
        <v>402</v>
      </c>
      <c r="W3727">
        <v>520</v>
      </c>
      <c r="X3727" t="s">
        <v>11333</v>
      </c>
      <c r="Y3727" t="s">
        <v>11339</v>
      </c>
      <c r="Z3727" t="s">
        <v>13589</v>
      </c>
      <c r="AB3727" t="s">
        <v>17929</v>
      </c>
      <c r="AC3727">
        <v>48</v>
      </c>
      <c r="AD3727" t="s">
        <v>19567</v>
      </c>
      <c r="AF3727">
        <v>28</v>
      </c>
      <c r="AG3727">
        <v>1</v>
      </c>
      <c r="AH3727">
        <v>1</v>
      </c>
      <c r="AI3727">
        <v>130.32</v>
      </c>
      <c r="AL3727" t="s">
        <v>19614</v>
      </c>
      <c r="AM3727">
        <v>21450</v>
      </c>
      <c r="AS3727">
        <v>6.5</v>
      </c>
      <c r="AT3727" t="s">
        <v>410</v>
      </c>
      <c r="AU3727" t="s">
        <v>163</v>
      </c>
    </row>
    <row r="3728" spans="1:48">
      <c r="A3728" s="1">
        <f>HYPERLINK("https://lsnyc.legalserver.org/matter/dynamic-profile/view/1898326","19-1898326")</f>
        <v>0</v>
      </c>
      <c r="B3728" t="s">
        <v>101</v>
      </c>
      <c r="C3728" t="s">
        <v>256</v>
      </c>
      <c r="D3728" t="s">
        <v>596</v>
      </c>
      <c r="F3728" t="s">
        <v>2623</v>
      </c>
      <c r="G3728" t="s">
        <v>3698</v>
      </c>
      <c r="H3728" t="s">
        <v>6383</v>
      </c>
      <c r="I3728" t="s">
        <v>8283</v>
      </c>
      <c r="J3728" t="s">
        <v>9065</v>
      </c>
      <c r="K3728">
        <v>10467</v>
      </c>
      <c r="L3728" t="s">
        <v>9094</v>
      </c>
      <c r="M3728" t="s">
        <v>9094</v>
      </c>
      <c r="O3728" t="s">
        <v>11134</v>
      </c>
      <c r="P3728" t="s">
        <v>11168</v>
      </c>
      <c r="R3728" t="s">
        <v>11180</v>
      </c>
      <c r="S3728" t="s">
        <v>9094</v>
      </c>
      <c r="T3728" t="s">
        <v>11183</v>
      </c>
      <c r="V3728" t="s">
        <v>11218</v>
      </c>
      <c r="W3728">
        <v>1020</v>
      </c>
      <c r="X3728" t="s">
        <v>11333</v>
      </c>
      <c r="Y3728" t="s">
        <v>11346</v>
      </c>
      <c r="Z3728" t="s">
        <v>13835</v>
      </c>
      <c r="AB3728" t="s">
        <v>18164</v>
      </c>
      <c r="AC3728">
        <v>60</v>
      </c>
      <c r="AD3728" t="s">
        <v>19566</v>
      </c>
      <c r="AE3728" t="s">
        <v>9144</v>
      </c>
      <c r="AF3728">
        <v>20</v>
      </c>
      <c r="AG3728">
        <v>3</v>
      </c>
      <c r="AH3728">
        <v>0</v>
      </c>
      <c r="AI3728">
        <v>130.33</v>
      </c>
      <c r="AL3728" t="s">
        <v>19614</v>
      </c>
      <c r="AM3728">
        <v>27800</v>
      </c>
      <c r="AS3728">
        <v>0</v>
      </c>
      <c r="AU3728" t="s">
        <v>20642</v>
      </c>
      <c r="AV3728" t="s">
        <v>20733</v>
      </c>
    </row>
    <row r="3729" spans="1:48">
      <c r="A3729" s="1">
        <f>HYPERLINK("https://lsnyc.legalserver.org/matter/dynamic-profile/view/1854180","17-1854180")</f>
        <v>0</v>
      </c>
      <c r="B3729" t="s">
        <v>138</v>
      </c>
      <c r="C3729" t="s">
        <v>256</v>
      </c>
      <c r="D3729" t="s">
        <v>789</v>
      </c>
      <c r="F3729" t="s">
        <v>2298</v>
      </c>
      <c r="G3729" t="s">
        <v>4869</v>
      </c>
      <c r="H3729" t="s">
        <v>7427</v>
      </c>
      <c r="I3729" t="s">
        <v>8419</v>
      </c>
      <c r="J3729" t="s">
        <v>9067</v>
      </c>
      <c r="K3729">
        <v>10034</v>
      </c>
      <c r="L3729" t="s">
        <v>9094</v>
      </c>
      <c r="M3729" t="s">
        <v>9095</v>
      </c>
      <c r="O3729" t="s">
        <v>9121</v>
      </c>
      <c r="P3729" t="s">
        <v>11167</v>
      </c>
      <c r="R3729" t="s">
        <v>11180</v>
      </c>
      <c r="S3729" t="s">
        <v>9096</v>
      </c>
      <c r="T3729" t="s">
        <v>11183</v>
      </c>
      <c r="V3729" t="s">
        <v>11285</v>
      </c>
      <c r="W3729">
        <v>2450</v>
      </c>
      <c r="X3729" t="s">
        <v>11335</v>
      </c>
      <c r="Y3729" t="s">
        <v>11338</v>
      </c>
      <c r="Z3729" t="s">
        <v>13836</v>
      </c>
      <c r="AB3729" t="s">
        <v>18165</v>
      </c>
      <c r="AC3729">
        <v>108</v>
      </c>
      <c r="AD3729" t="s">
        <v>19566</v>
      </c>
      <c r="AE3729" t="s">
        <v>19585</v>
      </c>
      <c r="AF3729">
        <v>19</v>
      </c>
      <c r="AG3729">
        <v>1</v>
      </c>
      <c r="AH3729">
        <v>0</v>
      </c>
      <c r="AI3729">
        <v>130.35</v>
      </c>
      <c r="AL3729" t="s">
        <v>19614</v>
      </c>
      <c r="AM3729">
        <v>15720</v>
      </c>
      <c r="AS3729">
        <v>3.5</v>
      </c>
      <c r="AT3729" t="s">
        <v>500</v>
      </c>
      <c r="AU3729" t="s">
        <v>130</v>
      </c>
      <c r="AV3729" t="s">
        <v>20733</v>
      </c>
    </row>
    <row r="3730" spans="1:48">
      <c r="A3730" s="1">
        <f>HYPERLINK("https://lsnyc.legalserver.org/matter/dynamic-profile/view/1915080","19-1915080")</f>
        <v>0</v>
      </c>
      <c r="B3730" t="s">
        <v>62</v>
      </c>
      <c r="C3730" t="s">
        <v>256</v>
      </c>
      <c r="D3730" t="s">
        <v>377</v>
      </c>
      <c r="F3730" t="s">
        <v>1323</v>
      </c>
      <c r="G3730" t="s">
        <v>4870</v>
      </c>
      <c r="H3730" t="s">
        <v>7428</v>
      </c>
      <c r="I3730">
        <v>1039</v>
      </c>
      <c r="J3730" t="s">
        <v>9064</v>
      </c>
      <c r="K3730">
        <v>11101</v>
      </c>
      <c r="L3730" t="s">
        <v>9094</v>
      </c>
      <c r="M3730" t="s">
        <v>9095</v>
      </c>
      <c r="N3730" t="s">
        <v>10498</v>
      </c>
      <c r="O3730" t="s">
        <v>11129</v>
      </c>
      <c r="P3730" t="s">
        <v>11164</v>
      </c>
      <c r="R3730" t="s">
        <v>11180</v>
      </c>
      <c r="S3730" t="s">
        <v>9096</v>
      </c>
      <c r="T3730" t="s">
        <v>11183</v>
      </c>
      <c r="W3730">
        <v>835</v>
      </c>
      <c r="X3730" t="s">
        <v>11331</v>
      </c>
      <c r="Y3730" t="s">
        <v>11336</v>
      </c>
      <c r="Z3730" t="s">
        <v>13837</v>
      </c>
      <c r="AA3730" t="s">
        <v>15818</v>
      </c>
      <c r="AB3730" t="s">
        <v>18166</v>
      </c>
      <c r="AC3730">
        <v>600</v>
      </c>
      <c r="AD3730" t="s">
        <v>19566</v>
      </c>
      <c r="AE3730" t="s">
        <v>19587</v>
      </c>
      <c r="AF3730">
        <v>5</v>
      </c>
      <c r="AG3730">
        <v>1</v>
      </c>
      <c r="AH3730">
        <v>2</v>
      </c>
      <c r="AI3730">
        <v>130.52</v>
      </c>
      <c r="AL3730" t="s">
        <v>19614</v>
      </c>
      <c r="AM3730">
        <v>27840</v>
      </c>
      <c r="AS3730">
        <v>3.08</v>
      </c>
      <c r="AT3730" t="s">
        <v>1135</v>
      </c>
      <c r="AU3730" t="s">
        <v>20619</v>
      </c>
      <c r="AV3730" t="s">
        <v>20734</v>
      </c>
    </row>
    <row r="3731" spans="1:48">
      <c r="A3731" s="1">
        <f>HYPERLINK("https://lsnyc.legalserver.org/matter/dynamic-profile/view/1911002","19-1911002")</f>
        <v>0</v>
      </c>
      <c r="B3731" t="s">
        <v>122</v>
      </c>
      <c r="C3731" t="s">
        <v>256</v>
      </c>
      <c r="D3731" t="s">
        <v>362</v>
      </c>
      <c r="F3731" t="s">
        <v>2624</v>
      </c>
      <c r="G3731" t="s">
        <v>3497</v>
      </c>
      <c r="H3731" t="s">
        <v>6660</v>
      </c>
      <c r="I3731" t="s">
        <v>8772</v>
      </c>
      <c r="J3731" t="s">
        <v>9066</v>
      </c>
      <c r="K3731">
        <v>10304</v>
      </c>
      <c r="L3731" t="s">
        <v>9094</v>
      </c>
      <c r="M3731" t="s">
        <v>9095</v>
      </c>
      <c r="N3731" t="s">
        <v>10499</v>
      </c>
      <c r="O3731" t="s">
        <v>11129</v>
      </c>
      <c r="P3731" t="s">
        <v>11165</v>
      </c>
      <c r="R3731" t="s">
        <v>11180</v>
      </c>
      <c r="S3731" t="s">
        <v>9096</v>
      </c>
      <c r="T3731" t="s">
        <v>11183</v>
      </c>
      <c r="U3731" t="s">
        <v>11201</v>
      </c>
      <c r="V3731" t="s">
        <v>362</v>
      </c>
      <c r="W3731">
        <v>749</v>
      </c>
      <c r="X3731" t="s">
        <v>11334</v>
      </c>
      <c r="Y3731" t="s">
        <v>11340</v>
      </c>
      <c r="Z3731" t="s">
        <v>13838</v>
      </c>
      <c r="AB3731" t="s">
        <v>18167</v>
      </c>
      <c r="AC3731">
        <v>404</v>
      </c>
      <c r="AD3731" t="s">
        <v>19567</v>
      </c>
      <c r="AE3731" t="s">
        <v>19580</v>
      </c>
      <c r="AF3731">
        <v>20</v>
      </c>
      <c r="AG3731">
        <v>3</v>
      </c>
      <c r="AH3731">
        <v>0</v>
      </c>
      <c r="AI3731">
        <v>130.55</v>
      </c>
      <c r="AL3731" t="s">
        <v>19614</v>
      </c>
      <c r="AM3731">
        <v>27846</v>
      </c>
      <c r="AS3731">
        <v>3.95</v>
      </c>
      <c r="AT3731" t="s">
        <v>1130</v>
      </c>
      <c r="AU3731" t="s">
        <v>20653</v>
      </c>
      <c r="AV3731" t="s">
        <v>20733</v>
      </c>
    </row>
    <row r="3732" spans="1:48">
      <c r="A3732" s="1">
        <f>HYPERLINK("https://lsnyc.legalserver.org/matter/dynamic-profile/view/1890900","19-1890900")</f>
        <v>0</v>
      </c>
      <c r="B3732" t="s">
        <v>86</v>
      </c>
      <c r="C3732" t="s">
        <v>256</v>
      </c>
      <c r="D3732" t="s">
        <v>554</v>
      </c>
      <c r="F3732" t="s">
        <v>2625</v>
      </c>
      <c r="G3732" t="s">
        <v>4871</v>
      </c>
      <c r="H3732" t="s">
        <v>5775</v>
      </c>
      <c r="I3732">
        <v>3</v>
      </c>
      <c r="J3732" t="s">
        <v>9059</v>
      </c>
      <c r="K3732">
        <v>11226</v>
      </c>
      <c r="L3732" t="s">
        <v>9094</v>
      </c>
      <c r="M3732" t="s">
        <v>9094</v>
      </c>
      <c r="P3732" t="s">
        <v>11165</v>
      </c>
      <c r="R3732" t="s">
        <v>11180</v>
      </c>
      <c r="S3732" t="s">
        <v>9094</v>
      </c>
      <c r="T3732" t="s">
        <v>11183</v>
      </c>
      <c r="V3732" t="s">
        <v>543</v>
      </c>
      <c r="W3732">
        <v>1407.32</v>
      </c>
      <c r="X3732" t="s">
        <v>11332</v>
      </c>
      <c r="Z3732" t="s">
        <v>11422</v>
      </c>
      <c r="AC3732">
        <v>0</v>
      </c>
      <c r="AF3732">
        <v>19</v>
      </c>
      <c r="AG3732">
        <v>2</v>
      </c>
      <c r="AH3732">
        <v>2</v>
      </c>
      <c r="AI3732">
        <v>130.72</v>
      </c>
      <c r="AL3732" t="s">
        <v>19614</v>
      </c>
      <c r="AM3732">
        <v>33660</v>
      </c>
      <c r="AS3732">
        <v>38.9</v>
      </c>
      <c r="AT3732" t="s">
        <v>410</v>
      </c>
      <c r="AU3732" t="s">
        <v>215</v>
      </c>
    </row>
    <row r="3733" spans="1:48">
      <c r="A3733" s="1">
        <f>HYPERLINK("https://lsnyc.legalserver.org/matter/dynamic-profile/view/1845254","17-1845254")</f>
        <v>0</v>
      </c>
      <c r="B3733" t="s">
        <v>75</v>
      </c>
      <c r="C3733" t="s">
        <v>257</v>
      </c>
      <c r="D3733" t="s">
        <v>399</v>
      </c>
      <c r="E3733" t="s">
        <v>1133</v>
      </c>
      <c r="F3733" t="s">
        <v>1221</v>
      </c>
      <c r="G3733" t="s">
        <v>4659</v>
      </c>
      <c r="H3733" t="s">
        <v>7424</v>
      </c>
      <c r="I3733" t="s">
        <v>8216</v>
      </c>
      <c r="J3733" t="s">
        <v>9059</v>
      </c>
      <c r="K3733">
        <v>11236</v>
      </c>
      <c r="L3733" t="s">
        <v>9094</v>
      </c>
      <c r="M3733" t="s">
        <v>9095</v>
      </c>
      <c r="N3733" t="s">
        <v>10500</v>
      </c>
      <c r="O3733" t="s">
        <v>11128</v>
      </c>
      <c r="P3733" t="s">
        <v>11165</v>
      </c>
      <c r="Q3733" t="s">
        <v>11174</v>
      </c>
      <c r="R3733" t="s">
        <v>11180</v>
      </c>
      <c r="S3733" t="s">
        <v>9096</v>
      </c>
      <c r="T3733" t="s">
        <v>11183</v>
      </c>
      <c r="V3733" t="s">
        <v>948</v>
      </c>
      <c r="W3733">
        <v>1289.69</v>
      </c>
      <c r="X3733" t="s">
        <v>11332</v>
      </c>
      <c r="Y3733" t="s">
        <v>11336</v>
      </c>
      <c r="Z3733" t="s">
        <v>13828</v>
      </c>
      <c r="AA3733" t="s">
        <v>15819</v>
      </c>
      <c r="AB3733" t="s">
        <v>18158</v>
      </c>
      <c r="AC3733">
        <v>37</v>
      </c>
      <c r="AD3733" t="s">
        <v>19566</v>
      </c>
      <c r="AE3733" t="s">
        <v>19580</v>
      </c>
      <c r="AF3733">
        <v>5</v>
      </c>
      <c r="AG3733">
        <v>1</v>
      </c>
      <c r="AH3733">
        <v>0</v>
      </c>
      <c r="AI3733">
        <v>130.8</v>
      </c>
      <c r="AJ3733" t="s">
        <v>11274</v>
      </c>
      <c r="AL3733" t="s">
        <v>19614</v>
      </c>
      <c r="AM3733">
        <v>15774</v>
      </c>
      <c r="AS3733">
        <v>92.7</v>
      </c>
      <c r="AT3733" t="s">
        <v>1133</v>
      </c>
      <c r="AU3733" t="s">
        <v>20636</v>
      </c>
      <c r="AV3733" t="s">
        <v>20733</v>
      </c>
    </row>
    <row r="3734" spans="1:48">
      <c r="A3734" s="1">
        <f>HYPERLINK("https://lsnyc.legalserver.org/matter/dynamic-profile/view/1885716","18-1885716")</f>
        <v>0</v>
      </c>
      <c r="B3734" t="s">
        <v>113</v>
      </c>
      <c r="C3734" t="s">
        <v>257</v>
      </c>
      <c r="D3734" t="s">
        <v>424</v>
      </c>
      <c r="E3734" t="s">
        <v>301</v>
      </c>
      <c r="F3734" t="s">
        <v>2602</v>
      </c>
      <c r="G3734" t="s">
        <v>4842</v>
      </c>
      <c r="H3734" t="s">
        <v>5864</v>
      </c>
      <c r="I3734" t="s">
        <v>8168</v>
      </c>
      <c r="J3734" t="s">
        <v>9065</v>
      </c>
      <c r="K3734">
        <v>10460</v>
      </c>
      <c r="L3734" t="s">
        <v>9094</v>
      </c>
      <c r="M3734" t="s">
        <v>9094</v>
      </c>
      <c r="N3734" t="s">
        <v>9222</v>
      </c>
      <c r="O3734" t="s">
        <v>11130</v>
      </c>
      <c r="P3734" t="s">
        <v>11165</v>
      </c>
      <c r="Q3734" t="s">
        <v>11174</v>
      </c>
      <c r="R3734" t="s">
        <v>11180</v>
      </c>
      <c r="S3734" t="s">
        <v>9094</v>
      </c>
      <c r="T3734" t="s">
        <v>11183</v>
      </c>
      <c r="V3734" t="s">
        <v>512</v>
      </c>
      <c r="W3734">
        <v>1796</v>
      </c>
      <c r="X3734" t="s">
        <v>11333</v>
      </c>
      <c r="Y3734" t="s">
        <v>11346</v>
      </c>
      <c r="Z3734" t="s">
        <v>13795</v>
      </c>
      <c r="AC3734">
        <v>168</v>
      </c>
      <c r="AD3734" t="s">
        <v>19566</v>
      </c>
      <c r="AE3734" t="s">
        <v>19580</v>
      </c>
      <c r="AF3734">
        <v>23</v>
      </c>
      <c r="AG3734">
        <v>2</v>
      </c>
      <c r="AH3734">
        <v>0</v>
      </c>
      <c r="AI3734">
        <v>130.86</v>
      </c>
      <c r="AL3734" t="s">
        <v>19614</v>
      </c>
      <c r="AM3734">
        <v>21540</v>
      </c>
      <c r="AS3734">
        <v>0.25</v>
      </c>
      <c r="AT3734" t="s">
        <v>301</v>
      </c>
      <c r="AU3734" t="s">
        <v>20642</v>
      </c>
    </row>
    <row r="3735" spans="1:48">
      <c r="A3735" s="1">
        <f>HYPERLINK("https://lsnyc.legalserver.org/matter/dynamic-profile/view/1876850","18-1876850")</f>
        <v>0</v>
      </c>
      <c r="B3735" t="s">
        <v>119</v>
      </c>
      <c r="C3735" t="s">
        <v>256</v>
      </c>
      <c r="D3735" t="s">
        <v>930</v>
      </c>
      <c r="F3735" t="s">
        <v>1413</v>
      </c>
      <c r="G3735" t="s">
        <v>3531</v>
      </c>
      <c r="H3735" t="s">
        <v>6095</v>
      </c>
      <c r="I3735" t="s">
        <v>8475</v>
      </c>
      <c r="J3735" t="s">
        <v>9065</v>
      </c>
      <c r="K3735">
        <v>10456</v>
      </c>
      <c r="L3735" t="s">
        <v>9094</v>
      </c>
      <c r="M3735" t="s">
        <v>9094</v>
      </c>
      <c r="N3735" t="s">
        <v>9403</v>
      </c>
      <c r="O3735" t="s">
        <v>11130</v>
      </c>
      <c r="P3735" t="s">
        <v>11165</v>
      </c>
      <c r="R3735" t="s">
        <v>11180</v>
      </c>
      <c r="S3735" t="s">
        <v>9094</v>
      </c>
      <c r="T3735" t="s">
        <v>11183</v>
      </c>
      <c r="V3735" t="s">
        <v>509</v>
      </c>
      <c r="W3735">
        <v>1200.58</v>
      </c>
      <c r="X3735" t="s">
        <v>11333</v>
      </c>
      <c r="Y3735" t="s">
        <v>11346</v>
      </c>
      <c r="Z3735" t="s">
        <v>13389</v>
      </c>
      <c r="AB3735" t="s">
        <v>17729</v>
      </c>
      <c r="AC3735">
        <v>131</v>
      </c>
      <c r="AD3735" t="s">
        <v>19566</v>
      </c>
      <c r="AE3735" t="s">
        <v>9144</v>
      </c>
      <c r="AF3735">
        <v>7</v>
      </c>
      <c r="AG3735">
        <v>3</v>
      </c>
      <c r="AH3735">
        <v>1</v>
      </c>
      <c r="AI3735">
        <v>130.88</v>
      </c>
      <c r="AL3735" t="s">
        <v>19615</v>
      </c>
      <c r="AM3735">
        <v>32852</v>
      </c>
      <c r="AS3735">
        <v>0</v>
      </c>
      <c r="AU3735" t="s">
        <v>163</v>
      </c>
    </row>
    <row r="3736" spans="1:48">
      <c r="A3736" s="1">
        <f>HYPERLINK("https://lsnyc.legalserver.org/matter/dynamic-profile/view/1860417","18-1860417")</f>
        <v>0</v>
      </c>
      <c r="B3736" t="s">
        <v>136</v>
      </c>
      <c r="C3736" t="s">
        <v>256</v>
      </c>
      <c r="D3736" t="s">
        <v>836</v>
      </c>
      <c r="F3736" t="s">
        <v>1370</v>
      </c>
      <c r="G3736" t="s">
        <v>4872</v>
      </c>
      <c r="H3736" t="s">
        <v>6379</v>
      </c>
      <c r="I3736" t="s">
        <v>8223</v>
      </c>
      <c r="J3736" t="s">
        <v>9067</v>
      </c>
      <c r="K3736">
        <v>10031</v>
      </c>
      <c r="L3736" t="s">
        <v>9094</v>
      </c>
      <c r="M3736" t="s">
        <v>9094</v>
      </c>
      <c r="O3736" t="s">
        <v>11130</v>
      </c>
      <c r="P3736" t="s">
        <v>11167</v>
      </c>
      <c r="R3736" t="s">
        <v>11180</v>
      </c>
      <c r="S3736" t="s">
        <v>9094</v>
      </c>
      <c r="T3736" t="s">
        <v>11183</v>
      </c>
      <c r="U3736" t="s">
        <v>11201</v>
      </c>
      <c r="V3736" t="s">
        <v>11286</v>
      </c>
      <c r="W3736">
        <v>347</v>
      </c>
      <c r="X3736" t="s">
        <v>11335</v>
      </c>
      <c r="Y3736" t="s">
        <v>11339</v>
      </c>
      <c r="Z3736" t="s">
        <v>13839</v>
      </c>
      <c r="AB3736" t="s">
        <v>18168</v>
      </c>
      <c r="AC3736">
        <v>42</v>
      </c>
      <c r="AD3736" t="s">
        <v>19567</v>
      </c>
      <c r="AE3736" t="s">
        <v>19580</v>
      </c>
      <c r="AF3736">
        <v>41</v>
      </c>
      <c r="AG3736">
        <v>1</v>
      </c>
      <c r="AH3736">
        <v>0</v>
      </c>
      <c r="AI3736">
        <v>130.88</v>
      </c>
      <c r="AL3736" t="s">
        <v>19614</v>
      </c>
      <c r="AM3736">
        <v>15889</v>
      </c>
      <c r="AQ3736" t="s">
        <v>20369</v>
      </c>
      <c r="AR3736" t="s">
        <v>20524</v>
      </c>
      <c r="AS3736">
        <v>0.25</v>
      </c>
      <c r="AT3736" t="s">
        <v>452</v>
      </c>
      <c r="AU3736" t="s">
        <v>20657</v>
      </c>
      <c r="AV3736" t="s">
        <v>20733</v>
      </c>
    </row>
    <row r="3737" spans="1:48">
      <c r="A3737" s="1">
        <f>HYPERLINK("https://lsnyc.legalserver.org/matter/dynamic-profile/view/1884355","18-1884355")</f>
        <v>0</v>
      </c>
      <c r="B3737" t="s">
        <v>52</v>
      </c>
      <c r="C3737" t="s">
        <v>256</v>
      </c>
      <c r="D3737" t="s">
        <v>343</v>
      </c>
      <c r="F3737" t="s">
        <v>1318</v>
      </c>
      <c r="G3737" t="s">
        <v>4843</v>
      </c>
      <c r="H3737" t="s">
        <v>7406</v>
      </c>
      <c r="I3737" t="s">
        <v>8124</v>
      </c>
      <c r="J3737" t="s">
        <v>9053</v>
      </c>
      <c r="K3737">
        <v>11372</v>
      </c>
      <c r="L3737" t="s">
        <v>9094</v>
      </c>
      <c r="M3737" t="s">
        <v>9094</v>
      </c>
      <c r="N3737" t="s">
        <v>10501</v>
      </c>
      <c r="O3737" t="s">
        <v>11128</v>
      </c>
      <c r="P3737" t="s">
        <v>11165</v>
      </c>
      <c r="R3737" t="s">
        <v>11180</v>
      </c>
      <c r="S3737" t="s">
        <v>9096</v>
      </c>
      <c r="T3737" t="s">
        <v>11183</v>
      </c>
      <c r="U3737" t="s">
        <v>11201</v>
      </c>
      <c r="V3737" t="s">
        <v>11208</v>
      </c>
      <c r="W3737">
        <v>1150</v>
      </c>
      <c r="X3737" t="s">
        <v>11331</v>
      </c>
      <c r="Y3737" t="s">
        <v>11336</v>
      </c>
      <c r="Z3737" t="s">
        <v>13798</v>
      </c>
      <c r="AA3737" t="s">
        <v>15812</v>
      </c>
      <c r="AB3737" t="s">
        <v>18124</v>
      </c>
      <c r="AC3737">
        <v>101</v>
      </c>
      <c r="AD3737" t="s">
        <v>19566</v>
      </c>
      <c r="AE3737" t="s">
        <v>9144</v>
      </c>
      <c r="AF3737">
        <v>22</v>
      </c>
      <c r="AG3737">
        <v>3</v>
      </c>
      <c r="AH3737">
        <v>0</v>
      </c>
      <c r="AI3737">
        <v>130.9</v>
      </c>
      <c r="AL3737" t="s">
        <v>19615</v>
      </c>
      <c r="AM3737">
        <v>27200</v>
      </c>
      <c r="AO3737" t="s">
        <v>20293</v>
      </c>
      <c r="AP3737" t="s">
        <v>20350</v>
      </c>
      <c r="AQ3737" t="s">
        <v>20369</v>
      </c>
      <c r="AR3737" t="s">
        <v>20525</v>
      </c>
      <c r="AS3737">
        <v>13.85</v>
      </c>
      <c r="AT3737" t="s">
        <v>573</v>
      </c>
      <c r="AU3737" t="s">
        <v>20620</v>
      </c>
    </row>
    <row r="3738" spans="1:48">
      <c r="A3738" s="1">
        <f>HYPERLINK("https://lsnyc.legalserver.org/matter/dynamic-profile/view/1896988","19-1896988")</f>
        <v>0</v>
      </c>
      <c r="B3738" t="s">
        <v>86</v>
      </c>
      <c r="C3738" t="s">
        <v>256</v>
      </c>
      <c r="D3738" t="s">
        <v>296</v>
      </c>
      <c r="F3738" t="s">
        <v>2626</v>
      </c>
      <c r="G3738" t="s">
        <v>4873</v>
      </c>
      <c r="H3738" t="s">
        <v>7429</v>
      </c>
      <c r="I3738">
        <v>8</v>
      </c>
      <c r="J3738" t="s">
        <v>9059</v>
      </c>
      <c r="K3738">
        <v>11226</v>
      </c>
      <c r="L3738" t="s">
        <v>9094</v>
      </c>
      <c r="M3738" t="s">
        <v>9094</v>
      </c>
      <c r="O3738" t="s">
        <v>11130</v>
      </c>
      <c r="P3738" t="s">
        <v>11165</v>
      </c>
      <c r="R3738" t="s">
        <v>11180</v>
      </c>
      <c r="T3738" t="s">
        <v>11183</v>
      </c>
      <c r="V3738" t="s">
        <v>296</v>
      </c>
      <c r="W3738">
        <v>763.86</v>
      </c>
      <c r="X3738" t="s">
        <v>11332</v>
      </c>
      <c r="Z3738" t="s">
        <v>13840</v>
      </c>
      <c r="AB3738" t="s">
        <v>18169</v>
      </c>
      <c r="AC3738">
        <v>0</v>
      </c>
      <c r="AF3738">
        <v>18</v>
      </c>
      <c r="AG3738">
        <v>4</v>
      </c>
      <c r="AH3738">
        <v>1</v>
      </c>
      <c r="AI3738">
        <v>130.99</v>
      </c>
      <c r="AL3738" t="s">
        <v>19614</v>
      </c>
      <c r="AM3738">
        <v>39520</v>
      </c>
      <c r="AS3738">
        <v>0.9</v>
      </c>
      <c r="AT3738" t="s">
        <v>268</v>
      </c>
      <c r="AU3738" t="s">
        <v>215</v>
      </c>
    </row>
    <row r="3739" spans="1:48">
      <c r="A3739" s="1">
        <f>HYPERLINK("https://lsnyc.legalserver.org/matter/dynamic-profile/view/1895991","19-1895991")</f>
        <v>0</v>
      </c>
      <c r="B3739" t="s">
        <v>51</v>
      </c>
      <c r="C3739" t="s">
        <v>256</v>
      </c>
      <c r="D3739" t="s">
        <v>300</v>
      </c>
      <c r="F3739" t="s">
        <v>2627</v>
      </c>
      <c r="G3739" t="s">
        <v>4874</v>
      </c>
      <c r="H3739" t="s">
        <v>7430</v>
      </c>
      <c r="I3739" t="s">
        <v>8773</v>
      </c>
      <c r="J3739" t="s">
        <v>9040</v>
      </c>
      <c r="K3739">
        <v>11423</v>
      </c>
      <c r="L3739" t="s">
        <v>9094</v>
      </c>
      <c r="M3739" t="s">
        <v>9094</v>
      </c>
      <c r="N3739" t="s">
        <v>10502</v>
      </c>
      <c r="O3739" t="s">
        <v>11128</v>
      </c>
      <c r="P3739" t="s">
        <v>11164</v>
      </c>
      <c r="R3739" t="s">
        <v>11180</v>
      </c>
      <c r="S3739" t="s">
        <v>9096</v>
      </c>
      <c r="T3739" t="s">
        <v>11183</v>
      </c>
      <c r="U3739" t="s">
        <v>11201</v>
      </c>
      <c r="V3739" t="s">
        <v>300</v>
      </c>
      <c r="W3739">
        <v>1800</v>
      </c>
      <c r="X3739" t="s">
        <v>11331</v>
      </c>
      <c r="Y3739" t="s">
        <v>11336</v>
      </c>
      <c r="Z3739" t="s">
        <v>13841</v>
      </c>
      <c r="AA3739" t="s">
        <v>15274</v>
      </c>
      <c r="AB3739" t="s">
        <v>18170</v>
      </c>
      <c r="AC3739">
        <v>2</v>
      </c>
      <c r="AD3739" t="s">
        <v>19565</v>
      </c>
      <c r="AE3739" t="s">
        <v>11157</v>
      </c>
      <c r="AF3739">
        <v>14</v>
      </c>
      <c r="AG3739">
        <v>1</v>
      </c>
      <c r="AH3739">
        <v>2</v>
      </c>
      <c r="AI3739">
        <v>131.08</v>
      </c>
      <c r="AL3739" t="s">
        <v>19614</v>
      </c>
      <c r="AM3739">
        <v>27960</v>
      </c>
      <c r="AS3739">
        <v>4.95</v>
      </c>
      <c r="AT3739" t="s">
        <v>273</v>
      </c>
      <c r="AU3739" t="s">
        <v>20622</v>
      </c>
      <c r="AV3739" t="s">
        <v>20733</v>
      </c>
    </row>
    <row r="3740" spans="1:48">
      <c r="A3740" s="1">
        <f>HYPERLINK("https://lsnyc.legalserver.org/matter/dynamic-profile/view/1904878","19-1904878")</f>
        <v>0</v>
      </c>
      <c r="B3740" t="s">
        <v>114</v>
      </c>
      <c r="C3740" t="s">
        <v>256</v>
      </c>
      <c r="D3740" t="s">
        <v>748</v>
      </c>
      <c r="F3740" t="s">
        <v>2628</v>
      </c>
      <c r="G3740" t="s">
        <v>3411</v>
      </c>
      <c r="H3740" t="s">
        <v>7431</v>
      </c>
      <c r="I3740" t="s">
        <v>8774</v>
      </c>
      <c r="J3740" t="s">
        <v>9065</v>
      </c>
      <c r="K3740">
        <v>10459</v>
      </c>
      <c r="L3740" t="s">
        <v>9094</v>
      </c>
      <c r="M3740" t="s">
        <v>9095</v>
      </c>
      <c r="N3740" t="s">
        <v>10503</v>
      </c>
      <c r="O3740" t="s">
        <v>11140</v>
      </c>
      <c r="P3740" t="s">
        <v>11165</v>
      </c>
      <c r="R3740" t="s">
        <v>11180</v>
      </c>
      <c r="S3740" t="s">
        <v>9096</v>
      </c>
      <c r="T3740" t="s">
        <v>11190</v>
      </c>
      <c r="V3740" t="s">
        <v>483</v>
      </c>
      <c r="W3740">
        <v>1720</v>
      </c>
      <c r="X3740" t="s">
        <v>11333</v>
      </c>
      <c r="Z3740" t="s">
        <v>13842</v>
      </c>
      <c r="AB3740" t="s">
        <v>18171</v>
      </c>
      <c r="AC3740">
        <v>128</v>
      </c>
      <c r="AD3740" t="s">
        <v>19566</v>
      </c>
      <c r="AE3740" t="s">
        <v>9144</v>
      </c>
      <c r="AF3740">
        <v>11</v>
      </c>
      <c r="AG3740">
        <v>2</v>
      </c>
      <c r="AH3740">
        <v>2</v>
      </c>
      <c r="AI3740">
        <v>131.11</v>
      </c>
      <c r="AL3740" t="s">
        <v>19614</v>
      </c>
      <c r="AM3740">
        <v>33760</v>
      </c>
      <c r="AS3740">
        <v>2.7</v>
      </c>
      <c r="AT3740" t="s">
        <v>290</v>
      </c>
      <c r="AU3740" t="s">
        <v>163</v>
      </c>
      <c r="AV3740" t="s">
        <v>20733</v>
      </c>
    </row>
    <row r="3741" spans="1:48">
      <c r="A3741" s="1">
        <f>HYPERLINK("https://lsnyc.legalserver.org/matter/dynamic-profile/view/1882824","18-1882824")</f>
        <v>0</v>
      </c>
      <c r="B3741" t="s">
        <v>67</v>
      </c>
      <c r="C3741" t="s">
        <v>257</v>
      </c>
      <c r="D3741" t="s">
        <v>490</v>
      </c>
      <c r="E3741" t="s">
        <v>498</v>
      </c>
      <c r="F3741" t="s">
        <v>2504</v>
      </c>
      <c r="G3741" t="s">
        <v>4733</v>
      </c>
      <c r="H3741" t="s">
        <v>6257</v>
      </c>
      <c r="I3741" t="s">
        <v>8193</v>
      </c>
      <c r="J3741" t="s">
        <v>9059</v>
      </c>
      <c r="K3741">
        <v>11225</v>
      </c>
      <c r="L3741" t="s">
        <v>9094</v>
      </c>
      <c r="M3741" t="s">
        <v>9094</v>
      </c>
      <c r="O3741" t="s">
        <v>11133</v>
      </c>
      <c r="P3741" t="s">
        <v>11166</v>
      </c>
      <c r="Q3741" t="s">
        <v>11173</v>
      </c>
      <c r="R3741" t="s">
        <v>11180</v>
      </c>
      <c r="T3741" t="s">
        <v>11183</v>
      </c>
      <c r="V3741" t="s">
        <v>490</v>
      </c>
      <c r="W3741">
        <v>0</v>
      </c>
      <c r="X3741" t="s">
        <v>11332</v>
      </c>
      <c r="Z3741" t="s">
        <v>13600</v>
      </c>
      <c r="AB3741" t="s">
        <v>17938</v>
      </c>
      <c r="AC3741">
        <v>0</v>
      </c>
      <c r="AF3741">
        <v>0</v>
      </c>
      <c r="AG3741">
        <v>1</v>
      </c>
      <c r="AH3741">
        <v>1</v>
      </c>
      <c r="AI3741">
        <v>131.23</v>
      </c>
      <c r="AL3741" t="s">
        <v>19614</v>
      </c>
      <c r="AM3741">
        <v>21600</v>
      </c>
      <c r="AN3741" t="s">
        <v>19976</v>
      </c>
      <c r="AS3741">
        <v>20.6</v>
      </c>
      <c r="AT3741" t="s">
        <v>498</v>
      </c>
      <c r="AU3741" t="s">
        <v>67</v>
      </c>
    </row>
    <row r="3742" spans="1:48">
      <c r="A3742" s="1">
        <f>HYPERLINK("https://lsnyc.legalserver.org/matter/dynamic-profile/view/1905037","19-1905037")</f>
        <v>0</v>
      </c>
      <c r="B3742" t="s">
        <v>100</v>
      </c>
      <c r="C3742" t="s">
        <v>256</v>
      </c>
      <c r="D3742" t="s">
        <v>367</v>
      </c>
      <c r="F3742" t="s">
        <v>1158</v>
      </c>
      <c r="G3742" t="s">
        <v>3720</v>
      </c>
      <c r="H3742" t="s">
        <v>7432</v>
      </c>
      <c r="I3742" t="s">
        <v>8775</v>
      </c>
      <c r="J3742" t="s">
        <v>9065</v>
      </c>
      <c r="K3742">
        <v>10457</v>
      </c>
      <c r="L3742" t="s">
        <v>9094</v>
      </c>
      <c r="M3742" t="s">
        <v>9095</v>
      </c>
      <c r="O3742" t="s">
        <v>9121</v>
      </c>
      <c r="P3742" t="s">
        <v>11167</v>
      </c>
      <c r="R3742" t="s">
        <v>11180</v>
      </c>
      <c r="S3742" t="s">
        <v>9096</v>
      </c>
      <c r="T3742" t="s">
        <v>11183</v>
      </c>
      <c r="V3742" t="s">
        <v>294</v>
      </c>
      <c r="W3742">
        <v>1680</v>
      </c>
      <c r="X3742" t="s">
        <v>11333</v>
      </c>
      <c r="Y3742" t="s">
        <v>11157</v>
      </c>
      <c r="Z3742" t="s">
        <v>13843</v>
      </c>
      <c r="AB3742" t="s">
        <v>18172</v>
      </c>
      <c r="AC3742">
        <v>100</v>
      </c>
      <c r="AD3742" t="s">
        <v>15441</v>
      </c>
      <c r="AE3742" t="s">
        <v>11157</v>
      </c>
      <c r="AF3742">
        <v>16</v>
      </c>
      <c r="AG3742">
        <v>1</v>
      </c>
      <c r="AH3742">
        <v>3</v>
      </c>
      <c r="AI3742">
        <v>131.26</v>
      </c>
      <c r="AL3742" t="s">
        <v>19614</v>
      </c>
      <c r="AM3742">
        <v>33800</v>
      </c>
      <c r="AS3742">
        <v>4.45</v>
      </c>
      <c r="AT3742" t="s">
        <v>294</v>
      </c>
      <c r="AU3742" t="s">
        <v>20632</v>
      </c>
      <c r="AV3742" t="s">
        <v>20733</v>
      </c>
    </row>
    <row r="3743" spans="1:48">
      <c r="A3743" s="1">
        <f>HYPERLINK("https://lsnyc.legalserver.org/matter/dynamic-profile/view/1901139","19-1901139")</f>
        <v>0</v>
      </c>
      <c r="B3743" t="s">
        <v>55</v>
      </c>
      <c r="C3743" t="s">
        <v>256</v>
      </c>
      <c r="D3743" t="s">
        <v>394</v>
      </c>
      <c r="F3743" t="s">
        <v>2629</v>
      </c>
      <c r="G3743" t="s">
        <v>2930</v>
      </c>
      <c r="H3743" t="s">
        <v>7433</v>
      </c>
      <c r="I3743" t="s">
        <v>8133</v>
      </c>
      <c r="J3743" t="s">
        <v>9055</v>
      </c>
      <c r="K3743">
        <v>11354</v>
      </c>
      <c r="L3743" t="s">
        <v>9094</v>
      </c>
      <c r="M3743" t="s">
        <v>9095</v>
      </c>
      <c r="N3743" t="s">
        <v>10504</v>
      </c>
      <c r="O3743" t="s">
        <v>11129</v>
      </c>
      <c r="P3743" t="s">
        <v>11165</v>
      </c>
      <c r="R3743" t="s">
        <v>11180</v>
      </c>
      <c r="S3743" t="s">
        <v>9094</v>
      </c>
      <c r="T3743" t="s">
        <v>11183</v>
      </c>
      <c r="U3743" t="s">
        <v>11201</v>
      </c>
      <c r="V3743" t="s">
        <v>321</v>
      </c>
      <c r="W3743">
        <v>1664.64</v>
      </c>
      <c r="X3743" t="s">
        <v>11331</v>
      </c>
      <c r="Y3743" t="s">
        <v>11346</v>
      </c>
      <c r="Z3743" t="s">
        <v>13844</v>
      </c>
      <c r="AA3743" t="s">
        <v>15279</v>
      </c>
      <c r="AB3743" t="s">
        <v>18173</v>
      </c>
      <c r="AC3743">
        <v>72</v>
      </c>
      <c r="AD3743" t="s">
        <v>19566</v>
      </c>
      <c r="AE3743" t="s">
        <v>9144</v>
      </c>
      <c r="AF3743">
        <v>11</v>
      </c>
      <c r="AG3743">
        <v>3</v>
      </c>
      <c r="AH3743">
        <v>0</v>
      </c>
      <c r="AI3743">
        <v>131.27</v>
      </c>
      <c r="AL3743" t="s">
        <v>19623</v>
      </c>
      <c r="AM3743">
        <v>28000</v>
      </c>
      <c r="AS3743">
        <v>12.35</v>
      </c>
      <c r="AT3743" t="s">
        <v>321</v>
      </c>
      <c r="AU3743" t="s">
        <v>61</v>
      </c>
      <c r="AV3743" t="s">
        <v>20733</v>
      </c>
    </row>
    <row r="3744" spans="1:48">
      <c r="A3744" s="1">
        <f>HYPERLINK("https://lsnyc.legalserver.org/matter/dynamic-profile/view/1895196","19-1895196")</f>
        <v>0</v>
      </c>
      <c r="B3744" t="s">
        <v>67</v>
      </c>
      <c r="C3744" t="s">
        <v>256</v>
      </c>
      <c r="D3744" t="s">
        <v>278</v>
      </c>
      <c r="F3744" t="s">
        <v>1489</v>
      </c>
      <c r="G3744" t="s">
        <v>3452</v>
      </c>
      <c r="H3744" t="s">
        <v>7434</v>
      </c>
      <c r="I3744" t="s">
        <v>8276</v>
      </c>
      <c r="J3744" t="s">
        <v>9059</v>
      </c>
      <c r="K3744">
        <v>11231</v>
      </c>
      <c r="L3744" t="s">
        <v>9094</v>
      </c>
      <c r="M3744" t="s">
        <v>9094</v>
      </c>
      <c r="O3744" t="s">
        <v>11128</v>
      </c>
      <c r="P3744" t="s">
        <v>11164</v>
      </c>
      <c r="R3744" t="s">
        <v>11180</v>
      </c>
      <c r="T3744" t="s">
        <v>11183</v>
      </c>
      <c r="V3744" t="s">
        <v>278</v>
      </c>
      <c r="W3744">
        <v>1150</v>
      </c>
      <c r="X3744" t="s">
        <v>11332</v>
      </c>
      <c r="Z3744" t="s">
        <v>13845</v>
      </c>
      <c r="AB3744" t="s">
        <v>18174</v>
      </c>
      <c r="AC3744">
        <v>0</v>
      </c>
      <c r="AD3744" t="s">
        <v>19565</v>
      </c>
      <c r="AE3744" t="s">
        <v>19580</v>
      </c>
      <c r="AF3744">
        <v>3</v>
      </c>
      <c r="AG3744">
        <v>3</v>
      </c>
      <c r="AH3744">
        <v>0</v>
      </c>
      <c r="AI3744">
        <v>131.27</v>
      </c>
      <c r="AL3744" t="s">
        <v>19614</v>
      </c>
      <c r="AM3744">
        <v>28000</v>
      </c>
      <c r="AS3744">
        <v>1.2</v>
      </c>
      <c r="AT3744" t="s">
        <v>319</v>
      </c>
      <c r="AU3744" t="s">
        <v>67</v>
      </c>
    </row>
    <row r="3745" spans="1:48">
      <c r="A3745" s="1">
        <f>HYPERLINK("https://lsnyc.legalserver.org/matter/dynamic-profile/view/1882352","18-1882352")</f>
        <v>0</v>
      </c>
      <c r="B3745" t="s">
        <v>113</v>
      </c>
      <c r="C3745" t="s">
        <v>257</v>
      </c>
      <c r="D3745" t="s">
        <v>875</v>
      </c>
      <c r="E3745" t="s">
        <v>1130</v>
      </c>
      <c r="F3745" t="s">
        <v>2630</v>
      </c>
      <c r="G3745" t="s">
        <v>3540</v>
      </c>
      <c r="H3745" t="s">
        <v>7435</v>
      </c>
      <c r="I3745" t="s">
        <v>8776</v>
      </c>
      <c r="J3745" t="s">
        <v>9065</v>
      </c>
      <c r="K3745">
        <v>10452</v>
      </c>
      <c r="L3745" t="s">
        <v>9094</v>
      </c>
      <c r="M3745" t="s">
        <v>9095</v>
      </c>
      <c r="N3745" t="s">
        <v>10505</v>
      </c>
      <c r="O3745" t="s">
        <v>11129</v>
      </c>
      <c r="P3745" t="s">
        <v>11165</v>
      </c>
      <c r="Q3745" t="s">
        <v>11178</v>
      </c>
      <c r="R3745" t="s">
        <v>11180</v>
      </c>
      <c r="S3745" t="s">
        <v>9096</v>
      </c>
      <c r="T3745" t="s">
        <v>11183</v>
      </c>
      <c r="U3745" t="s">
        <v>11201</v>
      </c>
      <c r="V3745" t="s">
        <v>11218</v>
      </c>
      <c r="W3745">
        <v>1396</v>
      </c>
      <c r="X3745" t="s">
        <v>11333</v>
      </c>
      <c r="Y3745" t="s">
        <v>11340</v>
      </c>
      <c r="Z3745" t="s">
        <v>11592</v>
      </c>
      <c r="AB3745" t="s">
        <v>18175</v>
      </c>
      <c r="AC3745">
        <v>56</v>
      </c>
      <c r="AD3745" t="s">
        <v>19566</v>
      </c>
      <c r="AF3745">
        <v>26</v>
      </c>
      <c r="AG3745">
        <v>3</v>
      </c>
      <c r="AH3745">
        <v>0</v>
      </c>
      <c r="AI3745">
        <v>131.38</v>
      </c>
      <c r="AL3745" t="s">
        <v>19615</v>
      </c>
      <c r="AM3745">
        <v>27300</v>
      </c>
      <c r="AN3745" t="s">
        <v>19977</v>
      </c>
      <c r="AP3745" t="s">
        <v>20317</v>
      </c>
      <c r="AQ3745" t="s">
        <v>20369</v>
      </c>
      <c r="AR3745" t="s">
        <v>20382</v>
      </c>
      <c r="AS3745">
        <v>41.2</v>
      </c>
      <c r="AT3745" t="s">
        <v>750</v>
      </c>
      <c r="AU3745" t="s">
        <v>20631</v>
      </c>
      <c r="AV3745" t="s">
        <v>20733</v>
      </c>
    </row>
    <row r="3746" spans="1:48">
      <c r="A3746" s="1">
        <f>HYPERLINK("https://lsnyc.legalserver.org/matter/dynamic-profile/view/1905438","19-1905438")</f>
        <v>0</v>
      </c>
      <c r="B3746" t="s">
        <v>98</v>
      </c>
      <c r="C3746" t="s">
        <v>257</v>
      </c>
      <c r="D3746" t="s">
        <v>408</v>
      </c>
      <c r="E3746" t="s">
        <v>372</v>
      </c>
      <c r="F3746" t="s">
        <v>2230</v>
      </c>
      <c r="G3746" t="s">
        <v>4875</v>
      </c>
      <c r="H3746" t="s">
        <v>7123</v>
      </c>
      <c r="I3746" t="s">
        <v>8132</v>
      </c>
      <c r="J3746" t="s">
        <v>9065</v>
      </c>
      <c r="K3746">
        <v>10452</v>
      </c>
      <c r="L3746" t="s">
        <v>9094</v>
      </c>
      <c r="M3746" t="s">
        <v>9095</v>
      </c>
      <c r="N3746" t="s">
        <v>9171</v>
      </c>
      <c r="O3746" t="s">
        <v>9121</v>
      </c>
      <c r="P3746" t="s">
        <v>11167</v>
      </c>
      <c r="Q3746" t="s">
        <v>11173</v>
      </c>
      <c r="R3746" t="s">
        <v>11180</v>
      </c>
      <c r="S3746" t="s">
        <v>9096</v>
      </c>
      <c r="T3746" t="s">
        <v>11183</v>
      </c>
      <c r="V3746" t="s">
        <v>493</v>
      </c>
      <c r="W3746">
        <v>718.41</v>
      </c>
      <c r="X3746" t="s">
        <v>11333</v>
      </c>
      <c r="Y3746" t="s">
        <v>11346</v>
      </c>
      <c r="Z3746" t="s">
        <v>12894</v>
      </c>
      <c r="AB3746" t="s">
        <v>18176</v>
      </c>
      <c r="AC3746">
        <v>61</v>
      </c>
      <c r="AD3746" t="s">
        <v>19566</v>
      </c>
      <c r="AE3746" t="s">
        <v>19587</v>
      </c>
      <c r="AF3746">
        <v>30</v>
      </c>
      <c r="AG3746">
        <v>1</v>
      </c>
      <c r="AH3746">
        <v>0</v>
      </c>
      <c r="AI3746">
        <v>131.43</v>
      </c>
      <c r="AL3746" t="s">
        <v>19614</v>
      </c>
      <c r="AM3746">
        <v>16416</v>
      </c>
      <c r="AS3746">
        <v>1</v>
      </c>
      <c r="AT3746" t="s">
        <v>329</v>
      </c>
      <c r="AU3746" t="s">
        <v>20642</v>
      </c>
      <c r="AV3746" t="s">
        <v>20733</v>
      </c>
    </row>
    <row r="3747" spans="1:48">
      <c r="A3747" s="1">
        <f>HYPERLINK("https://lsnyc.legalserver.org/matter/dynamic-profile/view/0805063","16-0805063")</f>
        <v>0</v>
      </c>
      <c r="B3747" t="s">
        <v>64</v>
      </c>
      <c r="C3747" t="s">
        <v>257</v>
      </c>
      <c r="D3747" t="s">
        <v>849</v>
      </c>
      <c r="E3747" t="s">
        <v>632</v>
      </c>
      <c r="F3747" t="s">
        <v>2631</v>
      </c>
      <c r="G3747" t="s">
        <v>4876</v>
      </c>
      <c r="H3747" t="s">
        <v>6266</v>
      </c>
      <c r="I3747" t="s">
        <v>8768</v>
      </c>
      <c r="J3747" t="s">
        <v>9059</v>
      </c>
      <c r="K3747">
        <v>11208</v>
      </c>
      <c r="L3747" t="s">
        <v>9095</v>
      </c>
      <c r="M3747" t="s">
        <v>9095</v>
      </c>
      <c r="N3747" t="s">
        <v>10506</v>
      </c>
      <c r="O3747" t="s">
        <v>11129</v>
      </c>
      <c r="P3747" t="s">
        <v>11165</v>
      </c>
      <c r="Q3747" t="s">
        <v>11174</v>
      </c>
      <c r="R3747" t="s">
        <v>11180</v>
      </c>
      <c r="T3747" t="s">
        <v>11183</v>
      </c>
      <c r="V3747" t="s">
        <v>11273</v>
      </c>
      <c r="W3747">
        <v>1048</v>
      </c>
      <c r="X3747" t="s">
        <v>11332</v>
      </c>
      <c r="Y3747" t="s">
        <v>11340</v>
      </c>
      <c r="Z3747" t="s">
        <v>13846</v>
      </c>
      <c r="AB3747" t="s">
        <v>18177</v>
      </c>
      <c r="AC3747">
        <v>6</v>
      </c>
      <c r="AD3747" t="s">
        <v>19565</v>
      </c>
      <c r="AE3747" t="s">
        <v>19580</v>
      </c>
      <c r="AF3747">
        <v>9</v>
      </c>
      <c r="AG3747">
        <v>2</v>
      </c>
      <c r="AH3747">
        <v>0</v>
      </c>
      <c r="AI3747">
        <v>131.46</v>
      </c>
      <c r="AL3747" t="s">
        <v>11157</v>
      </c>
      <c r="AM3747">
        <v>21060</v>
      </c>
      <c r="AS3747">
        <v>17.7</v>
      </c>
      <c r="AT3747" t="s">
        <v>20604</v>
      </c>
      <c r="AU3747" t="s">
        <v>64</v>
      </c>
    </row>
    <row r="3748" spans="1:48">
      <c r="A3748" s="1">
        <f>HYPERLINK("https://lsnyc.legalserver.org/matter/dynamic-profile/view/1905933","19-1905933")</f>
        <v>0</v>
      </c>
      <c r="B3748" t="s">
        <v>143</v>
      </c>
      <c r="C3748" t="s">
        <v>257</v>
      </c>
      <c r="D3748" t="s">
        <v>329</v>
      </c>
      <c r="E3748" t="s">
        <v>307</v>
      </c>
      <c r="F3748" t="s">
        <v>2632</v>
      </c>
      <c r="G3748" t="s">
        <v>4877</v>
      </c>
      <c r="H3748" t="s">
        <v>7436</v>
      </c>
      <c r="I3748" t="s">
        <v>8170</v>
      </c>
      <c r="J3748" t="s">
        <v>9067</v>
      </c>
      <c r="K3748">
        <v>10035</v>
      </c>
      <c r="L3748" t="s">
        <v>9094</v>
      </c>
      <c r="M3748" t="s">
        <v>9095</v>
      </c>
      <c r="N3748" t="s">
        <v>10507</v>
      </c>
      <c r="O3748" t="s">
        <v>11128</v>
      </c>
      <c r="P3748" t="s">
        <v>11164</v>
      </c>
      <c r="Q3748" t="s">
        <v>11172</v>
      </c>
      <c r="R3748" t="s">
        <v>11180</v>
      </c>
      <c r="S3748" t="s">
        <v>9096</v>
      </c>
      <c r="T3748" t="s">
        <v>11183</v>
      </c>
      <c r="V3748" t="s">
        <v>329</v>
      </c>
      <c r="W3748">
        <v>1139.4</v>
      </c>
      <c r="X3748" t="s">
        <v>11335</v>
      </c>
      <c r="Y3748" t="s">
        <v>11346</v>
      </c>
      <c r="Z3748" t="s">
        <v>13847</v>
      </c>
      <c r="AB3748" t="s">
        <v>18178</v>
      </c>
      <c r="AC3748">
        <v>13</v>
      </c>
      <c r="AD3748" t="s">
        <v>19566</v>
      </c>
      <c r="AE3748" t="s">
        <v>9144</v>
      </c>
      <c r="AF3748">
        <v>10</v>
      </c>
      <c r="AG3748">
        <v>2</v>
      </c>
      <c r="AH3748">
        <v>1</v>
      </c>
      <c r="AI3748">
        <v>131.65</v>
      </c>
      <c r="AL3748" t="s">
        <v>19615</v>
      </c>
      <c r="AM3748">
        <v>28080</v>
      </c>
      <c r="AS3748">
        <v>0.1</v>
      </c>
      <c r="AT3748" t="s">
        <v>329</v>
      </c>
      <c r="AU3748" t="s">
        <v>20659</v>
      </c>
      <c r="AV3748" t="s">
        <v>20733</v>
      </c>
    </row>
    <row r="3749" spans="1:48">
      <c r="A3749" s="1">
        <f>HYPERLINK("https://lsnyc.legalserver.org/matter/dynamic-profile/view/1871628","18-1871628")</f>
        <v>0</v>
      </c>
      <c r="B3749" t="s">
        <v>78</v>
      </c>
      <c r="C3749" t="s">
        <v>256</v>
      </c>
      <c r="D3749" t="s">
        <v>609</v>
      </c>
      <c r="F3749" t="s">
        <v>2299</v>
      </c>
      <c r="G3749" t="s">
        <v>3344</v>
      </c>
      <c r="H3749" t="s">
        <v>5809</v>
      </c>
      <c r="I3749" t="s">
        <v>8212</v>
      </c>
      <c r="J3749" t="s">
        <v>9059</v>
      </c>
      <c r="K3749">
        <v>11212</v>
      </c>
      <c r="L3749" t="s">
        <v>9094</v>
      </c>
      <c r="M3749" t="s">
        <v>9095</v>
      </c>
      <c r="O3749" t="s">
        <v>9121</v>
      </c>
      <c r="P3749" t="s">
        <v>11167</v>
      </c>
      <c r="R3749" t="s">
        <v>11180</v>
      </c>
      <c r="S3749" t="s">
        <v>9094</v>
      </c>
      <c r="T3749" t="s">
        <v>11183</v>
      </c>
      <c r="V3749" t="s">
        <v>11214</v>
      </c>
      <c r="W3749">
        <v>755</v>
      </c>
      <c r="X3749" t="s">
        <v>11332</v>
      </c>
      <c r="Y3749" t="s">
        <v>11157</v>
      </c>
      <c r="Z3749" t="s">
        <v>12806</v>
      </c>
      <c r="AB3749" t="s">
        <v>17539</v>
      </c>
      <c r="AC3749">
        <v>32</v>
      </c>
      <c r="AD3749" t="s">
        <v>19566</v>
      </c>
      <c r="AE3749" t="s">
        <v>9144</v>
      </c>
      <c r="AF3749">
        <v>30</v>
      </c>
      <c r="AG3749">
        <v>2</v>
      </c>
      <c r="AH3749">
        <v>0</v>
      </c>
      <c r="AI3749">
        <v>131.66</v>
      </c>
      <c r="AL3749" t="s">
        <v>19614</v>
      </c>
      <c r="AM3749">
        <v>21672</v>
      </c>
      <c r="AS3749">
        <v>0</v>
      </c>
      <c r="AU3749" t="s">
        <v>20637</v>
      </c>
    </row>
    <row r="3750" spans="1:48">
      <c r="A3750" s="1">
        <f>HYPERLINK("https://lsnyc.legalserver.org/matter/dynamic-profile/view/0816812","16-0816812")</f>
        <v>0</v>
      </c>
      <c r="B3750" t="s">
        <v>103</v>
      </c>
      <c r="C3750" t="s">
        <v>256</v>
      </c>
      <c r="D3750" t="s">
        <v>436</v>
      </c>
      <c r="F3750" t="s">
        <v>2633</v>
      </c>
      <c r="G3750" t="s">
        <v>4878</v>
      </c>
      <c r="H3750" t="s">
        <v>5873</v>
      </c>
      <c r="J3750" t="s">
        <v>9065</v>
      </c>
      <c r="K3750">
        <v>10457</v>
      </c>
      <c r="L3750" t="s">
        <v>9094</v>
      </c>
      <c r="M3750" t="s">
        <v>9095</v>
      </c>
      <c r="N3750" t="s">
        <v>9229</v>
      </c>
      <c r="O3750" t="s">
        <v>11135</v>
      </c>
      <c r="P3750" t="s">
        <v>11168</v>
      </c>
      <c r="R3750" t="s">
        <v>11180</v>
      </c>
      <c r="S3750" t="s">
        <v>9094</v>
      </c>
      <c r="T3750" t="s">
        <v>11183</v>
      </c>
      <c r="V3750" t="s">
        <v>1024</v>
      </c>
      <c r="W3750">
        <v>1224.96</v>
      </c>
      <c r="X3750" t="s">
        <v>11333</v>
      </c>
      <c r="Y3750" t="s">
        <v>11346</v>
      </c>
      <c r="Z3750" t="s">
        <v>13848</v>
      </c>
      <c r="AB3750" t="s">
        <v>18179</v>
      </c>
      <c r="AC3750">
        <v>100</v>
      </c>
      <c r="AD3750" t="s">
        <v>19566</v>
      </c>
      <c r="AE3750" t="s">
        <v>9144</v>
      </c>
      <c r="AF3750">
        <v>7</v>
      </c>
      <c r="AG3750">
        <v>1</v>
      </c>
      <c r="AH3750">
        <v>0</v>
      </c>
      <c r="AI3750">
        <v>131.75</v>
      </c>
      <c r="AJ3750" t="s">
        <v>11262</v>
      </c>
      <c r="AL3750" t="s">
        <v>19615</v>
      </c>
      <c r="AM3750">
        <v>15652</v>
      </c>
      <c r="AS3750">
        <v>0.5</v>
      </c>
      <c r="AT3750" t="s">
        <v>436</v>
      </c>
      <c r="AU3750" t="s">
        <v>20643</v>
      </c>
    </row>
    <row r="3751" spans="1:48">
      <c r="A3751" s="1">
        <f>HYPERLINK("https://lsnyc.legalserver.org/matter/dynamic-profile/view/1863853","18-1863853")</f>
        <v>0</v>
      </c>
      <c r="B3751" t="s">
        <v>136</v>
      </c>
      <c r="C3751" t="s">
        <v>256</v>
      </c>
      <c r="D3751" t="s">
        <v>504</v>
      </c>
      <c r="F3751" t="s">
        <v>1231</v>
      </c>
      <c r="G3751" t="s">
        <v>3366</v>
      </c>
      <c r="H3751" t="s">
        <v>5961</v>
      </c>
      <c r="I3751">
        <v>815</v>
      </c>
      <c r="J3751" t="s">
        <v>9067</v>
      </c>
      <c r="K3751">
        <v>10029</v>
      </c>
      <c r="L3751" t="s">
        <v>9094</v>
      </c>
      <c r="M3751" t="s">
        <v>9094</v>
      </c>
      <c r="N3751" t="s">
        <v>9287</v>
      </c>
      <c r="O3751" t="s">
        <v>11130</v>
      </c>
      <c r="P3751" t="s">
        <v>11170</v>
      </c>
      <c r="R3751" t="s">
        <v>11180</v>
      </c>
      <c r="S3751" t="s">
        <v>9094</v>
      </c>
      <c r="T3751" t="s">
        <v>11183</v>
      </c>
      <c r="U3751" t="s">
        <v>11201</v>
      </c>
      <c r="V3751" t="s">
        <v>651</v>
      </c>
      <c r="W3751">
        <v>0</v>
      </c>
      <c r="X3751" t="s">
        <v>11335</v>
      </c>
      <c r="Y3751" t="s">
        <v>11339</v>
      </c>
      <c r="Z3751" t="s">
        <v>13439</v>
      </c>
      <c r="AB3751" t="s">
        <v>18180</v>
      </c>
      <c r="AC3751">
        <v>108</v>
      </c>
      <c r="AD3751" t="s">
        <v>19567</v>
      </c>
      <c r="AE3751" t="s">
        <v>19580</v>
      </c>
      <c r="AF3751">
        <v>29</v>
      </c>
      <c r="AG3751">
        <v>1</v>
      </c>
      <c r="AH3751">
        <v>0</v>
      </c>
      <c r="AI3751">
        <v>131.93</v>
      </c>
      <c r="AL3751" t="s">
        <v>19614</v>
      </c>
      <c r="AM3751">
        <v>16016</v>
      </c>
      <c r="AS3751">
        <v>0.5</v>
      </c>
      <c r="AT3751" t="s">
        <v>289</v>
      </c>
      <c r="AU3751" t="s">
        <v>20657</v>
      </c>
    </row>
    <row r="3752" spans="1:48">
      <c r="A3752" s="1">
        <f>HYPERLINK("https://lsnyc.legalserver.org/matter/dynamic-profile/view/1892717","19-1892717")</f>
        <v>0</v>
      </c>
      <c r="B3752" t="s">
        <v>83</v>
      </c>
      <c r="C3752" t="s">
        <v>256</v>
      </c>
      <c r="D3752" t="s">
        <v>553</v>
      </c>
      <c r="F3752" t="s">
        <v>2504</v>
      </c>
      <c r="G3752" t="s">
        <v>4733</v>
      </c>
      <c r="H3752" t="s">
        <v>6257</v>
      </c>
      <c r="I3752" t="s">
        <v>8208</v>
      </c>
      <c r="J3752" t="s">
        <v>9059</v>
      </c>
      <c r="K3752">
        <v>11225</v>
      </c>
      <c r="L3752" t="s">
        <v>9094</v>
      </c>
      <c r="M3752" t="s">
        <v>9094</v>
      </c>
      <c r="O3752" t="s">
        <v>11134</v>
      </c>
      <c r="P3752" t="s">
        <v>11168</v>
      </c>
      <c r="R3752" t="s">
        <v>11180</v>
      </c>
      <c r="S3752" t="s">
        <v>9094</v>
      </c>
      <c r="T3752" t="s">
        <v>11183</v>
      </c>
      <c r="V3752" t="s">
        <v>577</v>
      </c>
      <c r="W3752">
        <v>1526.3</v>
      </c>
      <c r="X3752" t="s">
        <v>11332</v>
      </c>
      <c r="Z3752" t="s">
        <v>13600</v>
      </c>
      <c r="AB3752" t="s">
        <v>17938</v>
      </c>
      <c r="AC3752">
        <v>0</v>
      </c>
      <c r="AF3752">
        <v>6</v>
      </c>
      <c r="AG3752">
        <v>1</v>
      </c>
      <c r="AH3752">
        <v>1</v>
      </c>
      <c r="AI3752">
        <v>131.99</v>
      </c>
      <c r="AL3752" t="s">
        <v>19614</v>
      </c>
      <c r="AM3752">
        <v>22320</v>
      </c>
      <c r="AN3752" t="s">
        <v>19825</v>
      </c>
      <c r="AS3752">
        <v>3.4</v>
      </c>
      <c r="AT3752" t="s">
        <v>442</v>
      </c>
      <c r="AU3752" t="s">
        <v>215</v>
      </c>
    </row>
    <row r="3753" spans="1:48">
      <c r="A3753" s="1">
        <f>HYPERLINK("https://lsnyc.legalserver.org/matter/dynamic-profile/view/1910830","19-1910830")</f>
        <v>0</v>
      </c>
      <c r="B3753" t="s">
        <v>83</v>
      </c>
      <c r="C3753" t="s">
        <v>256</v>
      </c>
      <c r="D3753" t="s">
        <v>308</v>
      </c>
      <c r="F3753" t="s">
        <v>2504</v>
      </c>
      <c r="G3753" t="s">
        <v>4733</v>
      </c>
      <c r="H3753" t="s">
        <v>6257</v>
      </c>
      <c r="I3753" t="s">
        <v>8208</v>
      </c>
      <c r="J3753" t="s">
        <v>9059</v>
      </c>
      <c r="K3753">
        <v>11225</v>
      </c>
      <c r="L3753" t="s">
        <v>9094</v>
      </c>
      <c r="M3753" t="s">
        <v>9095</v>
      </c>
      <c r="P3753" t="s">
        <v>11168</v>
      </c>
      <c r="R3753" t="s">
        <v>11180</v>
      </c>
      <c r="S3753" t="s">
        <v>9094</v>
      </c>
      <c r="T3753" t="s">
        <v>11183</v>
      </c>
      <c r="V3753" t="s">
        <v>435</v>
      </c>
      <c r="W3753">
        <v>0</v>
      </c>
      <c r="X3753" t="s">
        <v>11332</v>
      </c>
      <c r="Z3753" t="s">
        <v>13600</v>
      </c>
      <c r="AB3753" t="s">
        <v>17938</v>
      </c>
      <c r="AC3753">
        <v>11</v>
      </c>
      <c r="AF3753">
        <v>0</v>
      </c>
      <c r="AG3753">
        <v>1</v>
      </c>
      <c r="AH3753">
        <v>1</v>
      </c>
      <c r="AI3753">
        <v>131.99</v>
      </c>
      <c r="AL3753" t="s">
        <v>19614</v>
      </c>
      <c r="AM3753">
        <v>22320</v>
      </c>
      <c r="AS3753">
        <v>2.5</v>
      </c>
      <c r="AT3753" t="s">
        <v>488</v>
      </c>
      <c r="AU3753" t="s">
        <v>215</v>
      </c>
      <c r="AV3753" t="s">
        <v>20733</v>
      </c>
    </row>
    <row r="3754" spans="1:48">
      <c r="A3754" s="1">
        <f>HYPERLINK("https://lsnyc.legalserver.org/matter/dynamic-profile/view/1915057","19-1915057")</f>
        <v>0</v>
      </c>
      <c r="B3754" t="s">
        <v>83</v>
      </c>
      <c r="C3754" t="s">
        <v>256</v>
      </c>
      <c r="D3754" t="s">
        <v>377</v>
      </c>
      <c r="F3754" t="s">
        <v>2504</v>
      </c>
      <c r="G3754" t="s">
        <v>4733</v>
      </c>
      <c r="H3754" t="s">
        <v>6257</v>
      </c>
      <c r="I3754" t="s">
        <v>8208</v>
      </c>
      <c r="J3754" t="s">
        <v>9059</v>
      </c>
      <c r="K3754">
        <v>11225</v>
      </c>
      <c r="L3754" t="s">
        <v>9094</v>
      </c>
      <c r="M3754" t="s">
        <v>9095</v>
      </c>
      <c r="P3754" t="s">
        <v>11165</v>
      </c>
      <c r="R3754" t="s">
        <v>11180</v>
      </c>
      <c r="S3754" t="s">
        <v>9094</v>
      </c>
      <c r="T3754" t="s">
        <v>11183</v>
      </c>
      <c r="V3754" t="s">
        <v>11287</v>
      </c>
      <c r="W3754">
        <v>0</v>
      </c>
      <c r="X3754" t="s">
        <v>11332</v>
      </c>
      <c r="Z3754" t="s">
        <v>13600</v>
      </c>
      <c r="AB3754" t="s">
        <v>17938</v>
      </c>
      <c r="AC3754">
        <v>0</v>
      </c>
      <c r="AF3754">
        <v>0</v>
      </c>
      <c r="AG3754">
        <v>1</v>
      </c>
      <c r="AH3754">
        <v>1</v>
      </c>
      <c r="AI3754">
        <v>131.99</v>
      </c>
      <c r="AL3754" t="s">
        <v>19614</v>
      </c>
      <c r="AM3754">
        <v>22320</v>
      </c>
      <c r="AS3754">
        <v>0</v>
      </c>
      <c r="AU3754" t="s">
        <v>215</v>
      </c>
      <c r="AV3754" t="s">
        <v>20733</v>
      </c>
    </row>
    <row r="3755" spans="1:48">
      <c r="A3755" s="1">
        <f>HYPERLINK("https://lsnyc.legalserver.org/matter/dynamic-profile/view/1901281","19-1901281")</f>
        <v>0</v>
      </c>
      <c r="B3755" t="s">
        <v>55</v>
      </c>
      <c r="C3755" t="s">
        <v>256</v>
      </c>
      <c r="D3755" t="s">
        <v>422</v>
      </c>
      <c r="F3755" t="s">
        <v>1146</v>
      </c>
      <c r="G3755" t="s">
        <v>4879</v>
      </c>
      <c r="H3755" t="s">
        <v>7437</v>
      </c>
      <c r="I3755">
        <v>516</v>
      </c>
      <c r="J3755" t="s">
        <v>9055</v>
      </c>
      <c r="K3755">
        <v>11355</v>
      </c>
      <c r="L3755" t="s">
        <v>9094</v>
      </c>
      <c r="M3755" t="s">
        <v>9095</v>
      </c>
      <c r="N3755" t="s">
        <v>10508</v>
      </c>
      <c r="O3755" t="s">
        <v>11128</v>
      </c>
      <c r="P3755" t="s">
        <v>11165</v>
      </c>
      <c r="R3755" t="s">
        <v>11180</v>
      </c>
      <c r="S3755" t="s">
        <v>9096</v>
      </c>
      <c r="T3755" t="s">
        <v>11183</v>
      </c>
      <c r="U3755" t="s">
        <v>11201</v>
      </c>
      <c r="V3755" t="s">
        <v>612</v>
      </c>
      <c r="W3755">
        <v>1378.85</v>
      </c>
      <c r="X3755" t="s">
        <v>11331</v>
      </c>
      <c r="Y3755" t="s">
        <v>11336</v>
      </c>
      <c r="Z3755" t="s">
        <v>13849</v>
      </c>
      <c r="AB3755" t="s">
        <v>18181</v>
      </c>
      <c r="AC3755">
        <v>50</v>
      </c>
      <c r="AD3755" t="s">
        <v>19566</v>
      </c>
      <c r="AE3755" t="s">
        <v>9144</v>
      </c>
      <c r="AF3755">
        <v>11</v>
      </c>
      <c r="AG3755">
        <v>4</v>
      </c>
      <c r="AH3755">
        <v>0</v>
      </c>
      <c r="AI3755">
        <v>132.04</v>
      </c>
      <c r="AL3755" t="s">
        <v>19614</v>
      </c>
      <c r="AM3755">
        <v>34000</v>
      </c>
      <c r="AS3755">
        <v>10.9</v>
      </c>
      <c r="AT3755" t="s">
        <v>612</v>
      </c>
      <c r="AU3755" t="s">
        <v>50</v>
      </c>
      <c r="AV3755" t="s">
        <v>20733</v>
      </c>
    </row>
    <row r="3756" spans="1:48">
      <c r="A3756" s="1">
        <f>HYPERLINK("https://lsnyc.legalserver.org/matter/dynamic-profile/view/1910172","19-1910172")</f>
        <v>0</v>
      </c>
      <c r="B3756" t="s">
        <v>72</v>
      </c>
      <c r="C3756" t="s">
        <v>256</v>
      </c>
      <c r="D3756" t="s">
        <v>442</v>
      </c>
      <c r="F3756" t="s">
        <v>2634</v>
      </c>
      <c r="G3756" t="s">
        <v>2154</v>
      </c>
      <c r="H3756" t="s">
        <v>7438</v>
      </c>
      <c r="I3756" t="s">
        <v>8171</v>
      </c>
      <c r="J3756" t="s">
        <v>9059</v>
      </c>
      <c r="K3756">
        <v>11212</v>
      </c>
      <c r="L3756" t="s">
        <v>9094</v>
      </c>
      <c r="M3756" t="s">
        <v>9095</v>
      </c>
      <c r="N3756" t="s">
        <v>10509</v>
      </c>
      <c r="O3756" t="s">
        <v>11129</v>
      </c>
      <c r="P3756" t="s">
        <v>11164</v>
      </c>
      <c r="R3756" t="s">
        <v>11180</v>
      </c>
      <c r="S3756" t="s">
        <v>9096</v>
      </c>
      <c r="T3756" t="s">
        <v>11183</v>
      </c>
      <c r="U3756" t="s">
        <v>11201</v>
      </c>
      <c r="V3756" t="s">
        <v>442</v>
      </c>
      <c r="W3756">
        <v>1643.13</v>
      </c>
      <c r="X3756" t="s">
        <v>11332</v>
      </c>
      <c r="Y3756" t="s">
        <v>11340</v>
      </c>
      <c r="Z3756" t="s">
        <v>13850</v>
      </c>
      <c r="AA3756" t="s">
        <v>9144</v>
      </c>
      <c r="AB3756" t="s">
        <v>18182</v>
      </c>
      <c r="AC3756">
        <v>38</v>
      </c>
      <c r="AD3756" t="s">
        <v>19566</v>
      </c>
      <c r="AE3756" t="s">
        <v>9144</v>
      </c>
      <c r="AF3756">
        <v>9</v>
      </c>
      <c r="AG3756">
        <v>4</v>
      </c>
      <c r="AH3756">
        <v>0</v>
      </c>
      <c r="AI3756">
        <v>132.04</v>
      </c>
      <c r="AL3756" t="s">
        <v>19614</v>
      </c>
      <c r="AM3756">
        <v>34000</v>
      </c>
      <c r="AS3756">
        <v>1.25</v>
      </c>
      <c r="AT3756" t="s">
        <v>648</v>
      </c>
      <c r="AU3756" t="s">
        <v>95</v>
      </c>
      <c r="AV3756" t="s">
        <v>20733</v>
      </c>
    </row>
    <row r="3757" spans="1:48">
      <c r="A3757" s="1">
        <f>HYPERLINK("https://lsnyc.legalserver.org/matter/dynamic-profile/view/1883938","18-1883938")</f>
        <v>0</v>
      </c>
      <c r="B3757" t="s">
        <v>101</v>
      </c>
      <c r="C3757" t="s">
        <v>257</v>
      </c>
      <c r="D3757" t="s">
        <v>358</v>
      </c>
      <c r="E3757" t="s">
        <v>275</v>
      </c>
      <c r="F3757" t="s">
        <v>1264</v>
      </c>
      <c r="G3757" t="s">
        <v>4005</v>
      </c>
      <c r="H3757" t="s">
        <v>6262</v>
      </c>
      <c r="I3757" t="s">
        <v>8171</v>
      </c>
      <c r="J3757" t="s">
        <v>9065</v>
      </c>
      <c r="K3757">
        <v>10452</v>
      </c>
      <c r="L3757" t="s">
        <v>9094</v>
      </c>
      <c r="M3757" t="s">
        <v>9094</v>
      </c>
      <c r="O3757" t="s">
        <v>9121</v>
      </c>
      <c r="P3757" t="s">
        <v>11166</v>
      </c>
      <c r="Q3757" t="s">
        <v>11178</v>
      </c>
      <c r="R3757" t="s">
        <v>11180</v>
      </c>
      <c r="S3757" t="s">
        <v>9094</v>
      </c>
      <c r="T3757" t="s">
        <v>11183</v>
      </c>
      <c r="U3757" t="s">
        <v>11201</v>
      </c>
      <c r="V3757" t="s">
        <v>11218</v>
      </c>
      <c r="W3757">
        <v>961</v>
      </c>
      <c r="X3757" t="s">
        <v>11333</v>
      </c>
      <c r="Y3757" t="s">
        <v>11347</v>
      </c>
      <c r="Z3757" t="s">
        <v>13851</v>
      </c>
      <c r="AB3757" t="s">
        <v>18183</v>
      </c>
      <c r="AC3757">
        <v>60</v>
      </c>
      <c r="AD3757" t="s">
        <v>19566</v>
      </c>
      <c r="AE3757" t="s">
        <v>19587</v>
      </c>
      <c r="AF3757">
        <v>50</v>
      </c>
      <c r="AG3757">
        <v>2</v>
      </c>
      <c r="AH3757">
        <v>0</v>
      </c>
      <c r="AI3757">
        <v>132.1</v>
      </c>
      <c r="AL3757" t="s">
        <v>19615</v>
      </c>
      <c r="AM3757">
        <v>21744</v>
      </c>
      <c r="AS3757">
        <v>0.7</v>
      </c>
      <c r="AT3757" t="s">
        <v>275</v>
      </c>
      <c r="AU3757" t="s">
        <v>20647</v>
      </c>
      <c r="AV3757" t="s">
        <v>20733</v>
      </c>
    </row>
    <row r="3758" spans="1:48">
      <c r="A3758" s="1">
        <f>HYPERLINK("https://lsnyc.legalserver.org/matter/dynamic-profile/view/0822317","16-0822317")</f>
        <v>0</v>
      </c>
      <c r="B3758" t="s">
        <v>136</v>
      </c>
      <c r="C3758" t="s">
        <v>256</v>
      </c>
      <c r="D3758" t="s">
        <v>665</v>
      </c>
      <c r="F3758" t="s">
        <v>2635</v>
      </c>
      <c r="G3758" t="s">
        <v>4133</v>
      </c>
      <c r="H3758" t="s">
        <v>7148</v>
      </c>
      <c r="I3758" t="s">
        <v>8134</v>
      </c>
      <c r="J3758" t="s">
        <v>9067</v>
      </c>
      <c r="K3758">
        <v>10034</v>
      </c>
      <c r="L3758" t="s">
        <v>9094</v>
      </c>
      <c r="M3758" t="s">
        <v>9095</v>
      </c>
      <c r="O3758" t="s">
        <v>11135</v>
      </c>
      <c r="P3758" t="s">
        <v>11168</v>
      </c>
      <c r="R3758" t="s">
        <v>11180</v>
      </c>
      <c r="S3758" t="s">
        <v>9094</v>
      </c>
      <c r="T3758" t="s">
        <v>11183</v>
      </c>
      <c r="V3758" t="s">
        <v>11288</v>
      </c>
      <c r="W3758">
        <v>1237</v>
      </c>
      <c r="X3758" t="s">
        <v>11335</v>
      </c>
      <c r="Y3758" t="s">
        <v>11339</v>
      </c>
      <c r="Z3758" t="s">
        <v>13852</v>
      </c>
      <c r="AB3758" t="s">
        <v>18184</v>
      </c>
      <c r="AC3758">
        <v>22</v>
      </c>
      <c r="AD3758" t="s">
        <v>19566</v>
      </c>
      <c r="AE3758" t="s">
        <v>19587</v>
      </c>
      <c r="AF3758">
        <v>7</v>
      </c>
      <c r="AG3758">
        <v>2</v>
      </c>
      <c r="AH3758">
        <v>2</v>
      </c>
      <c r="AI3758">
        <v>132.3</v>
      </c>
      <c r="AL3758" t="s">
        <v>19615</v>
      </c>
      <c r="AM3758">
        <v>41208</v>
      </c>
      <c r="AS3758">
        <v>0.1</v>
      </c>
      <c r="AT3758" t="s">
        <v>816</v>
      </c>
      <c r="AU3758" t="s">
        <v>20657</v>
      </c>
    </row>
    <row r="3759" spans="1:48">
      <c r="A3759" s="1">
        <f>HYPERLINK("https://lsnyc.legalserver.org/matter/dynamic-profile/view/1901019","19-1901019")</f>
        <v>0</v>
      </c>
      <c r="B3759" t="s">
        <v>141</v>
      </c>
      <c r="C3759" t="s">
        <v>257</v>
      </c>
      <c r="D3759" t="s">
        <v>445</v>
      </c>
      <c r="E3759" t="s">
        <v>483</v>
      </c>
      <c r="F3759" t="s">
        <v>2636</v>
      </c>
      <c r="G3759" t="s">
        <v>3419</v>
      </c>
      <c r="H3759" t="s">
        <v>6382</v>
      </c>
      <c r="I3759" t="s">
        <v>8225</v>
      </c>
      <c r="J3759" t="s">
        <v>9067</v>
      </c>
      <c r="K3759">
        <v>10034</v>
      </c>
      <c r="L3759" t="s">
        <v>9094</v>
      </c>
      <c r="M3759" t="s">
        <v>9095</v>
      </c>
      <c r="N3759" t="s">
        <v>10510</v>
      </c>
      <c r="O3759" t="s">
        <v>11132</v>
      </c>
      <c r="P3759" t="s">
        <v>11165</v>
      </c>
      <c r="Q3759" t="s">
        <v>11174</v>
      </c>
      <c r="R3759" t="s">
        <v>11180</v>
      </c>
      <c r="S3759" t="s">
        <v>9096</v>
      </c>
      <c r="T3759" t="s">
        <v>11183</v>
      </c>
      <c r="V3759" t="s">
        <v>445</v>
      </c>
      <c r="W3759">
        <v>1695</v>
      </c>
      <c r="X3759" t="s">
        <v>11335</v>
      </c>
      <c r="Y3759" t="s">
        <v>11340</v>
      </c>
      <c r="Z3759" t="s">
        <v>13853</v>
      </c>
      <c r="AB3759" t="s">
        <v>18185</v>
      </c>
      <c r="AC3759">
        <v>44</v>
      </c>
      <c r="AD3759" t="s">
        <v>19566</v>
      </c>
      <c r="AE3759" t="s">
        <v>9144</v>
      </c>
      <c r="AF3759">
        <v>7</v>
      </c>
      <c r="AG3759">
        <v>1</v>
      </c>
      <c r="AH3759">
        <v>1</v>
      </c>
      <c r="AI3759">
        <v>132.35</v>
      </c>
      <c r="AL3759" t="s">
        <v>19615</v>
      </c>
      <c r="AM3759">
        <v>22380</v>
      </c>
      <c r="AS3759">
        <v>44.8</v>
      </c>
      <c r="AT3759" t="s">
        <v>336</v>
      </c>
      <c r="AU3759" t="s">
        <v>130</v>
      </c>
      <c r="AV3759" t="s">
        <v>20733</v>
      </c>
    </row>
    <row r="3760" spans="1:48">
      <c r="A3760" s="1">
        <f>HYPERLINK("https://lsnyc.legalserver.org/matter/dynamic-profile/view/1912157","19-1912157")</f>
        <v>0</v>
      </c>
      <c r="B3760" t="s">
        <v>134</v>
      </c>
      <c r="C3760" t="s">
        <v>256</v>
      </c>
      <c r="D3760" t="s">
        <v>570</v>
      </c>
      <c r="F3760" t="s">
        <v>1264</v>
      </c>
      <c r="G3760" t="s">
        <v>3881</v>
      </c>
      <c r="H3760" t="s">
        <v>6449</v>
      </c>
      <c r="I3760">
        <v>3</v>
      </c>
      <c r="J3760" t="s">
        <v>9067</v>
      </c>
      <c r="K3760">
        <v>10033</v>
      </c>
      <c r="L3760" t="s">
        <v>9094</v>
      </c>
      <c r="M3760" t="s">
        <v>9095</v>
      </c>
      <c r="O3760" t="s">
        <v>11160</v>
      </c>
      <c r="P3760" t="s">
        <v>11168</v>
      </c>
      <c r="R3760" t="s">
        <v>11180</v>
      </c>
      <c r="S3760" t="s">
        <v>9096</v>
      </c>
      <c r="T3760" t="s">
        <v>11183</v>
      </c>
      <c r="V3760" t="s">
        <v>570</v>
      </c>
      <c r="W3760">
        <v>923</v>
      </c>
      <c r="X3760" t="s">
        <v>11335</v>
      </c>
      <c r="Y3760" t="s">
        <v>11340</v>
      </c>
      <c r="Z3760" t="s">
        <v>13854</v>
      </c>
      <c r="AB3760" t="s">
        <v>18186</v>
      </c>
      <c r="AC3760">
        <v>20</v>
      </c>
      <c r="AD3760" t="s">
        <v>19566</v>
      </c>
      <c r="AE3760" t="s">
        <v>9144</v>
      </c>
      <c r="AF3760">
        <v>48</v>
      </c>
      <c r="AG3760">
        <v>2</v>
      </c>
      <c r="AH3760">
        <v>0</v>
      </c>
      <c r="AI3760">
        <v>132.35</v>
      </c>
      <c r="AL3760" t="s">
        <v>19615</v>
      </c>
      <c r="AM3760">
        <v>22380</v>
      </c>
      <c r="AS3760">
        <v>5.3</v>
      </c>
      <c r="AT3760" t="s">
        <v>276</v>
      </c>
      <c r="AU3760" t="s">
        <v>130</v>
      </c>
      <c r="AV3760" t="s">
        <v>20733</v>
      </c>
    </row>
    <row r="3761" spans="1:48">
      <c r="A3761" s="1">
        <f>HYPERLINK("https://lsnyc.legalserver.org/matter/dynamic-profile/view/1903020","19-1903020")</f>
        <v>0</v>
      </c>
      <c r="B3761" t="s">
        <v>136</v>
      </c>
      <c r="C3761" t="s">
        <v>256</v>
      </c>
      <c r="D3761" t="s">
        <v>403</v>
      </c>
      <c r="F3761" t="s">
        <v>2637</v>
      </c>
      <c r="G3761" t="s">
        <v>4018</v>
      </c>
      <c r="H3761" t="s">
        <v>5961</v>
      </c>
      <c r="I3761">
        <v>709</v>
      </c>
      <c r="J3761" t="s">
        <v>9067</v>
      </c>
      <c r="K3761">
        <v>10029</v>
      </c>
      <c r="L3761" t="s">
        <v>9094</v>
      </c>
      <c r="M3761" t="s">
        <v>9095</v>
      </c>
      <c r="O3761" t="s">
        <v>11130</v>
      </c>
      <c r="P3761" t="s">
        <v>11165</v>
      </c>
      <c r="R3761" t="s">
        <v>11180</v>
      </c>
      <c r="S3761" t="s">
        <v>9094</v>
      </c>
      <c r="T3761" t="s">
        <v>11183</v>
      </c>
      <c r="U3761" t="s">
        <v>11201</v>
      </c>
      <c r="V3761" t="s">
        <v>760</v>
      </c>
      <c r="W3761">
        <v>0</v>
      </c>
      <c r="X3761" t="s">
        <v>11335</v>
      </c>
      <c r="Y3761" t="s">
        <v>11340</v>
      </c>
      <c r="Z3761" t="s">
        <v>13855</v>
      </c>
      <c r="AB3761" t="s">
        <v>18187</v>
      </c>
      <c r="AC3761">
        <v>108</v>
      </c>
      <c r="AD3761" t="s">
        <v>19567</v>
      </c>
      <c r="AE3761" t="s">
        <v>19580</v>
      </c>
      <c r="AF3761">
        <v>32</v>
      </c>
      <c r="AG3761">
        <v>2</v>
      </c>
      <c r="AH3761">
        <v>0</v>
      </c>
      <c r="AI3761">
        <v>132.42</v>
      </c>
      <c r="AL3761" t="s">
        <v>19615</v>
      </c>
      <c r="AM3761">
        <v>22392</v>
      </c>
      <c r="AS3761">
        <v>9.699999999999999</v>
      </c>
      <c r="AT3761" t="s">
        <v>496</v>
      </c>
      <c r="AU3761" t="s">
        <v>20657</v>
      </c>
      <c r="AV3761" t="s">
        <v>20733</v>
      </c>
    </row>
    <row r="3762" spans="1:48">
      <c r="A3762" s="1">
        <f>HYPERLINK("https://lsnyc.legalserver.org/matter/dynamic-profile/view/1843611","17-1843611")</f>
        <v>0</v>
      </c>
      <c r="B3762" t="s">
        <v>111</v>
      </c>
      <c r="C3762" t="s">
        <v>256</v>
      </c>
      <c r="D3762" t="s">
        <v>530</v>
      </c>
      <c r="F3762" t="s">
        <v>1510</v>
      </c>
      <c r="G3762" t="s">
        <v>3332</v>
      </c>
      <c r="H3762" t="s">
        <v>7439</v>
      </c>
      <c r="I3762" t="s">
        <v>8777</v>
      </c>
      <c r="J3762" t="s">
        <v>9065</v>
      </c>
      <c r="K3762">
        <v>10451</v>
      </c>
      <c r="L3762" t="s">
        <v>9094</v>
      </c>
      <c r="M3762" t="s">
        <v>9095</v>
      </c>
      <c r="N3762" t="s">
        <v>9154</v>
      </c>
      <c r="O3762" t="s">
        <v>11157</v>
      </c>
      <c r="P3762" t="s">
        <v>11166</v>
      </c>
      <c r="R3762" t="s">
        <v>11180</v>
      </c>
      <c r="S3762" t="s">
        <v>9094</v>
      </c>
      <c r="T3762" t="s">
        <v>11183</v>
      </c>
      <c r="V3762" t="s">
        <v>1122</v>
      </c>
      <c r="W3762">
        <v>993.78</v>
      </c>
      <c r="X3762" t="s">
        <v>11333</v>
      </c>
      <c r="Y3762" t="s">
        <v>11346</v>
      </c>
      <c r="Z3762" t="s">
        <v>13856</v>
      </c>
      <c r="AC3762">
        <v>936</v>
      </c>
      <c r="AD3762" t="s">
        <v>19568</v>
      </c>
      <c r="AE3762" t="s">
        <v>9144</v>
      </c>
      <c r="AF3762">
        <v>20</v>
      </c>
      <c r="AG3762">
        <v>1</v>
      </c>
      <c r="AH3762">
        <v>0</v>
      </c>
      <c r="AI3762">
        <v>132.44</v>
      </c>
      <c r="AJ3762" t="s">
        <v>19602</v>
      </c>
      <c r="AL3762" t="s">
        <v>19614</v>
      </c>
      <c r="AM3762">
        <v>15972</v>
      </c>
      <c r="AS3762">
        <v>15.2</v>
      </c>
      <c r="AT3762" t="s">
        <v>616</v>
      </c>
      <c r="AU3762" t="s">
        <v>20643</v>
      </c>
    </row>
    <row r="3763" spans="1:48">
      <c r="A3763" s="1">
        <f>HYPERLINK("https://lsnyc.legalserver.org/matter/dynamic-profile/view/0795237","15-0795237")</f>
        <v>0</v>
      </c>
      <c r="B3763" t="s">
        <v>49</v>
      </c>
      <c r="C3763" t="s">
        <v>256</v>
      </c>
      <c r="D3763" t="s">
        <v>895</v>
      </c>
      <c r="F3763" t="s">
        <v>2638</v>
      </c>
      <c r="G3763" t="s">
        <v>4880</v>
      </c>
      <c r="H3763" t="s">
        <v>5736</v>
      </c>
      <c r="I3763" t="s">
        <v>8778</v>
      </c>
      <c r="J3763" t="s">
        <v>9055</v>
      </c>
      <c r="K3763">
        <v>11354</v>
      </c>
      <c r="L3763" t="s">
        <v>9094</v>
      </c>
      <c r="M3763" t="s">
        <v>9095</v>
      </c>
      <c r="N3763" t="s">
        <v>9717</v>
      </c>
      <c r="O3763" t="s">
        <v>11135</v>
      </c>
      <c r="P3763" t="s">
        <v>11168</v>
      </c>
      <c r="R3763" t="s">
        <v>11180</v>
      </c>
      <c r="T3763" t="s">
        <v>11183</v>
      </c>
      <c r="V3763" t="s">
        <v>11206</v>
      </c>
      <c r="W3763">
        <v>790</v>
      </c>
      <c r="X3763" t="s">
        <v>11331</v>
      </c>
      <c r="Y3763" t="s">
        <v>11342</v>
      </c>
      <c r="Z3763" t="s">
        <v>13857</v>
      </c>
      <c r="AB3763" t="s">
        <v>18188</v>
      </c>
      <c r="AC3763">
        <v>175</v>
      </c>
      <c r="AD3763" t="s">
        <v>19566</v>
      </c>
      <c r="AE3763" t="s">
        <v>9144</v>
      </c>
      <c r="AF3763">
        <v>30</v>
      </c>
      <c r="AG3763">
        <v>1</v>
      </c>
      <c r="AH3763">
        <v>0</v>
      </c>
      <c r="AI3763">
        <v>132.54</v>
      </c>
      <c r="AL3763" t="s">
        <v>19615</v>
      </c>
      <c r="AM3763">
        <v>15600</v>
      </c>
      <c r="AS3763">
        <v>0.35</v>
      </c>
      <c r="AT3763" t="s">
        <v>448</v>
      </c>
      <c r="AU3763" t="s">
        <v>20621</v>
      </c>
    </row>
    <row r="3764" spans="1:48">
      <c r="A3764" s="1">
        <f>HYPERLINK("https://lsnyc.legalserver.org/matter/dynamic-profile/view/0780213","15-0780213")</f>
        <v>0</v>
      </c>
      <c r="B3764" t="s">
        <v>180</v>
      </c>
      <c r="C3764" t="s">
        <v>256</v>
      </c>
      <c r="D3764" t="s">
        <v>1037</v>
      </c>
      <c r="F3764" t="s">
        <v>2298</v>
      </c>
      <c r="G3764" t="s">
        <v>4022</v>
      </c>
      <c r="H3764" t="s">
        <v>7440</v>
      </c>
      <c r="I3764" t="s">
        <v>8668</v>
      </c>
      <c r="J3764" t="s">
        <v>9059</v>
      </c>
      <c r="K3764">
        <v>11215</v>
      </c>
      <c r="L3764" t="s">
        <v>9094</v>
      </c>
      <c r="M3764" t="s">
        <v>9095</v>
      </c>
      <c r="N3764" t="s">
        <v>10511</v>
      </c>
      <c r="O3764" t="s">
        <v>11128</v>
      </c>
      <c r="P3764" t="s">
        <v>11165</v>
      </c>
      <c r="R3764" t="s">
        <v>11180</v>
      </c>
      <c r="T3764" t="s">
        <v>11183</v>
      </c>
      <c r="V3764" t="s">
        <v>856</v>
      </c>
      <c r="W3764">
        <v>214</v>
      </c>
      <c r="X3764" t="s">
        <v>11332</v>
      </c>
      <c r="Z3764" t="s">
        <v>13858</v>
      </c>
      <c r="AB3764" t="s">
        <v>18189</v>
      </c>
      <c r="AC3764">
        <v>8</v>
      </c>
      <c r="AD3764" t="s">
        <v>19566</v>
      </c>
      <c r="AF3764">
        <v>31</v>
      </c>
      <c r="AG3764">
        <v>1</v>
      </c>
      <c r="AH3764">
        <v>0</v>
      </c>
      <c r="AI3764">
        <v>132.54</v>
      </c>
      <c r="AL3764" t="s">
        <v>19614</v>
      </c>
      <c r="AM3764">
        <v>15600</v>
      </c>
      <c r="AS3764">
        <v>131.81</v>
      </c>
      <c r="AT3764" t="s">
        <v>496</v>
      </c>
      <c r="AU3764" t="s">
        <v>20630</v>
      </c>
    </row>
    <row r="3765" spans="1:48">
      <c r="A3765" s="1">
        <f>HYPERLINK("https://lsnyc.legalserver.org/matter/dynamic-profile/view/0795748","16-0795748")</f>
        <v>0</v>
      </c>
      <c r="B3765" t="s">
        <v>56</v>
      </c>
      <c r="C3765" t="s">
        <v>256</v>
      </c>
      <c r="D3765" t="s">
        <v>829</v>
      </c>
      <c r="F3765" t="s">
        <v>2639</v>
      </c>
      <c r="G3765" t="s">
        <v>4881</v>
      </c>
      <c r="H3765" t="s">
        <v>7441</v>
      </c>
      <c r="J3765" t="s">
        <v>9063</v>
      </c>
      <c r="K3765">
        <v>11101</v>
      </c>
      <c r="L3765" t="s">
        <v>9096</v>
      </c>
      <c r="M3765" t="s">
        <v>9095</v>
      </c>
      <c r="N3765" t="s">
        <v>10512</v>
      </c>
      <c r="O3765" t="s">
        <v>11129</v>
      </c>
      <c r="P3765" t="s">
        <v>11165</v>
      </c>
      <c r="R3765" t="s">
        <v>11180</v>
      </c>
      <c r="S3765" t="s">
        <v>9096</v>
      </c>
      <c r="T3765" t="s">
        <v>11183</v>
      </c>
      <c r="V3765" t="s">
        <v>829</v>
      </c>
      <c r="W3765">
        <v>1180</v>
      </c>
      <c r="X3765" t="s">
        <v>11331</v>
      </c>
      <c r="Y3765" t="s">
        <v>11340</v>
      </c>
      <c r="Z3765" t="s">
        <v>13859</v>
      </c>
      <c r="AA3765" t="s">
        <v>15754</v>
      </c>
      <c r="AB3765" t="s">
        <v>18190</v>
      </c>
      <c r="AC3765">
        <v>48</v>
      </c>
      <c r="AD3765" t="s">
        <v>19566</v>
      </c>
      <c r="AE3765" t="s">
        <v>9144</v>
      </c>
      <c r="AF3765">
        <v>10</v>
      </c>
      <c r="AG3765">
        <v>1</v>
      </c>
      <c r="AH3765">
        <v>0</v>
      </c>
      <c r="AI3765">
        <v>132.54</v>
      </c>
      <c r="AL3765" t="s">
        <v>19614</v>
      </c>
      <c r="AM3765">
        <v>15600</v>
      </c>
      <c r="AS3765">
        <v>8.800000000000001</v>
      </c>
      <c r="AT3765" t="s">
        <v>20605</v>
      </c>
      <c r="AU3765" t="s">
        <v>153</v>
      </c>
    </row>
    <row r="3766" spans="1:48">
      <c r="A3766" s="1">
        <f>HYPERLINK("https://lsnyc.legalserver.org/matter/dynamic-profile/view/0793991","15-0793991")</f>
        <v>0</v>
      </c>
      <c r="B3766" t="s">
        <v>101</v>
      </c>
      <c r="C3766" t="s">
        <v>256</v>
      </c>
      <c r="D3766" t="s">
        <v>528</v>
      </c>
      <c r="F3766" t="s">
        <v>1953</v>
      </c>
      <c r="G3766" t="s">
        <v>3765</v>
      </c>
      <c r="H3766" t="s">
        <v>5890</v>
      </c>
      <c r="I3766" t="s">
        <v>8723</v>
      </c>
      <c r="J3766" t="s">
        <v>9065</v>
      </c>
      <c r="K3766">
        <v>10453</v>
      </c>
      <c r="L3766" t="s">
        <v>9094</v>
      </c>
      <c r="M3766" t="s">
        <v>9095</v>
      </c>
      <c r="N3766" t="s">
        <v>9458</v>
      </c>
      <c r="O3766" t="s">
        <v>11147</v>
      </c>
      <c r="P3766" t="s">
        <v>11165</v>
      </c>
      <c r="R3766" t="s">
        <v>11180</v>
      </c>
      <c r="S3766" t="s">
        <v>9094</v>
      </c>
      <c r="T3766" t="s">
        <v>11183</v>
      </c>
      <c r="V3766" t="s">
        <v>891</v>
      </c>
      <c r="W3766">
        <v>1284</v>
      </c>
      <c r="X3766" t="s">
        <v>11333</v>
      </c>
      <c r="Y3766" t="s">
        <v>11338</v>
      </c>
      <c r="Z3766" t="s">
        <v>13823</v>
      </c>
      <c r="AB3766" t="s">
        <v>18154</v>
      </c>
      <c r="AC3766">
        <v>46</v>
      </c>
      <c r="AD3766" t="s">
        <v>19566</v>
      </c>
      <c r="AE3766" t="s">
        <v>9144</v>
      </c>
      <c r="AF3766">
        <v>3</v>
      </c>
      <c r="AG3766">
        <v>1</v>
      </c>
      <c r="AH3766">
        <v>0</v>
      </c>
      <c r="AI3766">
        <v>132.54</v>
      </c>
      <c r="AL3766" t="s">
        <v>19615</v>
      </c>
      <c r="AM3766">
        <v>15600</v>
      </c>
      <c r="AS3766">
        <v>0.05</v>
      </c>
      <c r="AT3766" t="s">
        <v>20596</v>
      </c>
      <c r="AU3766" t="s">
        <v>109</v>
      </c>
    </row>
    <row r="3767" spans="1:48">
      <c r="A3767" s="1">
        <f>HYPERLINK("https://lsnyc.legalserver.org/matter/dynamic-profile/view/1882953","18-1882953")</f>
        <v>0</v>
      </c>
      <c r="B3767" t="s">
        <v>106</v>
      </c>
      <c r="C3767" t="s">
        <v>256</v>
      </c>
      <c r="D3767" t="s">
        <v>589</v>
      </c>
      <c r="F3767" t="s">
        <v>2006</v>
      </c>
      <c r="G3767" t="s">
        <v>4392</v>
      </c>
      <c r="H3767" t="s">
        <v>5874</v>
      </c>
      <c r="I3767" t="s">
        <v>8779</v>
      </c>
      <c r="J3767" t="s">
        <v>9065</v>
      </c>
      <c r="K3767">
        <v>10457</v>
      </c>
      <c r="L3767" t="s">
        <v>9094</v>
      </c>
      <c r="M3767" t="s">
        <v>9094</v>
      </c>
      <c r="N3767" t="s">
        <v>9230</v>
      </c>
      <c r="O3767" t="s">
        <v>11134</v>
      </c>
      <c r="P3767" t="s">
        <v>11168</v>
      </c>
      <c r="R3767" t="s">
        <v>11180</v>
      </c>
      <c r="S3767" t="s">
        <v>9094</v>
      </c>
      <c r="T3767" t="s">
        <v>11183</v>
      </c>
      <c r="V3767" t="s">
        <v>738</v>
      </c>
      <c r="W3767">
        <v>902</v>
      </c>
      <c r="X3767" t="s">
        <v>11333</v>
      </c>
      <c r="Y3767" t="s">
        <v>11346</v>
      </c>
      <c r="Z3767" t="s">
        <v>13860</v>
      </c>
      <c r="AB3767" t="s">
        <v>18191</v>
      </c>
      <c r="AC3767">
        <v>47</v>
      </c>
      <c r="AD3767" t="s">
        <v>15441</v>
      </c>
      <c r="AE3767" t="s">
        <v>9144</v>
      </c>
      <c r="AF3767">
        <v>31</v>
      </c>
      <c r="AG3767">
        <v>4</v>
      </c>
      <c r="AH3767">
        <v>1</v>
      </c>
      <c r="AI3767">
        <v>132.56</v>
      </c>
      <c r="AL3767" t="s">
        <v>19615</v>
      </c>
      <c r="AM3767">
        <v>39000</v>
      </c>
      <c r="AS3767">
        <v>1.2</v>
      </c>
      <c r="AT3767" t="s">
        <v>335</v>
      </c>
      <c r="AU3767" t="s">
        <v>20642</v>
      </c>
    </row>
    <row r="3768" spans="1:48">
      <c r="A3768" s="1">
        <f>HYPERLINK("https://lsnyc.legalserver.org/matter/dynamic-profile/view/1882757","18-1882757")</f>
        <v>0</v>
      </c>
      <c r="B3768" t="s">
        <v>106</v>
      </c>
      <c r="C3768" t="s">
        <v>256</v>
      </c>
      <c r="D3768" t="s">
        <v>589</v>
      </c>
      <c r="F3768" t="s">
        <v>2006</v>
      </c>
      <c r="G3768" t="s">
        <v>4392</v>
      </c>
      <c r="H3768" t="s">
        <v>5874</v>
      </c>
      <c r="I3768" t="s">
        <v>8779</v>
      </c>
      <c r="J3768" t="s">
        <v>9065</v>
      </c>
      <c r="K3768">
        <v>10457</v>
      </c>
      <c r="L3768" t="s">
        <v>9094</v>
      </c>
      <c r="M3768" t="s">
        <v>9094</v>
      </c>
      <c r="N3768" t="s">
        <v>9231</v>
      </c>
      <c r="O3768" t="s">
        <v>11130</v>
      </c>
      <c r="P3768" t="s">
        <v>11165</v>
      </c>
      <c r="R3768" t="s">
        <v>11180</v>
      </c>
      <c r="S3768" t="s">
        <v>9094</v>
      </c>
      <c r="T3768" t="s">
        <v>11183</v>
      </c>
      <c r="V3768" t="s">
        <v>738</v>
      </c>
      <c r="W3768">
        <v>902</v>
      </c>
      <c r="X3768" t="s">
        <v>11333</v>
      </c>
      <c r="Y3768" t="s">
        <v>11346</v>
      </c>
      <c r="Z3768" t="s">
        <v>13860</v>
      </c>
      <c r="AB3768" t="s">
        <v>18191</v>
      </c>
      <c r="AC3768">
        <v>47</v>
      </c>
      <c r="AD3768" t="s">
        <v>15441</v>
      </c>
      <c r="AE3768" t="s">
        <v>9144</v>
      </c>
      <c r="AF3768">
        <v>31</v>
      </c>
      <c r="AG3768">
        <v>4</v>
      </c>
      <c r="AH3768">
        <v>1</v>
      </c>
      <c r="AI3768">
        <v>132.56</v>
      </c>
      <c r="AL3768" t="s">
        <v>19615</v>
      </c>
      <c r="AM3768">
        <v>39000</v>
      </c>
      <c r="AS3768">
        <v>0.4</v>
      </c>
      <c r="AT3768" t="s">
        <v>310</v>
      </c>
      <c r="AU3768" t="s">
        <v>20642</v>
      </c>
    </row>
    <row r="3769" spans="1:48">
      <c r="A3769" s="1">
        <f>HYPERLINK("https://lsnyc.legalserver.org/matter/dynamic-profile/view/1911238","19-1911238")</f>
        <v>0</v>
      </c>
      <c r="B3769" t="s">
        <v>132</v>
      </c>
      <c r="C3769" t="s">
        <v>257</v>
      </c>
      <c r="D3769" t="s">
        <v>664</v>
      </c>
      <c r="E3769" t="s">
        <v>521</v>
      </c>
      <c r="F3769" t="s">
        <v>2640</v>
      </c>
      <c r="G3769" t="s">
        <v>3586</v>
      </c>
      <c r="H3769" t="s">
        <v>6126</v>
      </c>
      <c r="I3769" t="s">
        <v>8197</v>
      </c>
      <c r="J3769" t="s">
        <v>9067</v>
      </c>
      <c r="K3769">
        <v>10034</v>
      </c>
      <c r="L3769" t="s">
        <v>9094</v>
      </c>
      <c r="M3769" t="s">
        <v>9095</v>
      </c>
      <c r="O3769" t="s">
        <v>11136</v>
      </c>
      <c r="P3769" t="s">
        <v>11164</v>
      </c>
      <c r="Q3769" t="s">
        <v>11172</v>
      </c>
      <c r="R3769" t="s">
        <v>11180</v>
      </c>
      <c r="S3769" t="s">
        <v>9096</v>
      </c>
      <c r="T3769" t="s">
        <v>11183</v>
      </c>
      <c r="V3769" t="s">
        <v>664</v>
      </c>
      <c r="W3769">
        <v>1162.16</v>
      </c>
      <c r="X3769" t="s">
        <v>11335</v>
      </c>
      <c r="Y3769" t="s">
        <v>11340</v>
      </c>
      <c r="Z3769" t="s">
        <v>13861</v>
      </c>
      <c r="AB3769" t="s">
        <v>18192</v>
      </c>
      <c r="AC3769">
        <v>121</v>
      </c>
      <c r="AD3769" t="s">
        <v>19566</v>
      </c>
      <c r="AE3769" t="s">
        <v>19582</v>
      </c>
      <c r="AF3769">
        <v>12</v>
      </c>
      <c r="AG3769">
        <v>2</v>
      </c>
      <c r="AH3769">
        <v>1</v>
      </c>
      <c r="AI3769">
        <v>132.6</v>
      </c>
      <c r="AL3769" t="s">
        <v>19614</v>
      </c>
      <c r="AM3769">
        <v>28284</v>
      </c>
      <c r="AS3769">
        <v>1.9</v>
      </c>
      <c r="AT3769" t="s">
        <v>521</v>
      </c>
      <c r="AU3769" t="s">
        <v>130</v>
      </c>
      <c r="AV3769" t="s">
        <v>20733</v>
      </c>
    </row>
    <row r="3770" spans="1:48">
      <c r="A3770" s="1">
        <f>HYPERLINK("https://lsnyc.legalserver.org/matter/dynamic-profile/view/1856576","18-1856576")</f>
        <v>0</v>
      </c>
      <c r="B3770" t="s">
        <v>61</v>
      </c>
      <c r="C3770" t="s">
        <v>257</v>
      </c>
      <c r="D3770" t="s">
        <v>812</v>
      </c>
      <c r="E3770" t="s">
        <v>414</v>
      </c>
      <c r="F3770" t="s">
        <v>1405</v>
      </c>
      <c r="G3770" t="s">
        <v>3418</v>
      </c>
      <c r="H3770" t="s">
        <v>7442</v>
      </c>
      <c r="I3770" t="s">
        <v>8112</v>
      </c>
      <c r="J3770" t="s">
        <v>9056</v>
      </c>
      <c r="K3770">
        <v>11365</v>
      </c>
      <c r="L3770" t="s">
        <v>9094</v>
      </c>
      <c r="M3770" t="s">
        <v>9095</v>
      </c>
      <c r="N3770" t="s">
        <v>10513</v>
      </c>
      <c r="O3770" t="s">
        <v>11128</v>
      </c>
      <c r="P3770" t="s">
        <v>11165</v>
      </c>
      <c r="Q3770" t="s">
        <v>11174</v>
      </c>
      <c r="R3770" t="s">
        <v>11180</v>
      </c>
      <c r="S3770" t="s">
        <v>9096</v>
      </c>
      <c r="T3770" t="s">
        <v>11183</v>
      </c>
      <c r="U3770" t="s">
        <v>11201</v>
      </c>
      <c r="V3770" t="s">
        <v>812</v>
      </c>
      <c r="W3770">
        <v>1115.18</v>
      </c>
      <c r="X3770" t="s">
        <v>11331</v>
      </c>
      <c r="Y3770" t="s">
        <v>11336</v>
      </c>
      <c r="Z3770" t="s">
        <v>13862</v>
      </c>
      <c r="AA3770" t="s">
        <v>15279</v>
      </c>
      <c r="AB3770" t="s">
        <v>18193</v>
      </c>
      <c r="AC3770">
        <v>251</v>
      </c>
      <c r="AD3770" t="s">
        <v>19566</v>
      </c>
      <c r="AE3770" t="s">
        <v>19587</v>
      </c>
      <c r="AF3770">
        <v>28</v>
      </c>
      <c r="AG3770">
        <v>2</v>
      </c>
      <c r="AH3770">
        <v>0</v>
      </c>
      <c r="AI3770">
        <v>132.64</v>
      </c>
      <c r="AL3770" t="s">
        <v>19615</v>
      </c>
      <c r="AM3770">
        <v>21540</v>
      </c>
      <c r="AO3770" t="s">
        <v>20290</v>
      </c>
      <c r="AP3770" t="s">
        <v>20351</v>
      </c>
      <c r="AQ3770" t="s">
        <v>20368</v>
      </c>
      <c r="AR3770" t="s">
        <v>20526</v>
      </c>
      <c r="AS3770">
        <v>105.16</v>
      </c>
      <c r="AT3770" t="s">
        <v>367</v>
      </c>
      <c r="AU3770" t="s">
        <v>61</v>
      </c>
      <c r="AV3770" t="s">
        <v>20733</v>
      </c>
    </row>
    <row r="3771" spans="1:48">
      <c r="A3771" s="1">
        <f>HYPERLINK("https://lsnyc.legalserver.org/matter/dynamic-profile/view/1856852","18-1856852")</f>
        <v>0</v>
      </c>
      <c r="B3771" t="s">
        <v>132</v>
      </c>
      <c r="C3771" t="s">
        <v>256</v>
      </c>
      <c r="D3771" t="s">
        <v>844</v>
      </c>
      <c r="F3771" t="s">
        <v>1940</v>
      </c>
      <c r="G3771" t="s">
        <v>4218</v>
      </c>
      <c r="H3771" t="s">
        <v>5936</v>
      </c>
      <c r="I3771" t="s">
        <v>8170</v>
      </c>
      <c r="J3771" t="s">
        <v>9067</v>
      </c>
      <c r="K3771">
        <v>10040</v>
      </c>
      <c r="L3771" t="s">
        <v>9094</v>
      </c>
      <c r="M3771" t="s">
        <v>9095</v>
      </c>
      <c r="O3771" t="s">
        <v>11130</v>
      </c>
      <c r="P3771" t="s">
        <v>11166</v>
      </c>
      <c r="R3771" t="s">
        <v>11180</v>
      </c>
      <c r="S3771" t="s">
        <v>9094</v>
      </c>
      <c r="T3771" t="s">
        <v>11183</v>
      </c>
      <c r="V3771" t="s">
        <v>844</v>
      </c>
      <c r="W3771">
        <v>1165.99</v>
      </c>
      <c r="X3771" t="s">
        <v>11335</v>
      </c>
      <c r="Y3771" t="s">
        <v>11340</v>
      </c>
      <c r="Z3771" t="s">
        <v>12640</v>
      </c>
      <c r="AB3771" t="s">
        <v>17025</v>
      </c>
      <c r="AC3771">
        <v>42</v>
      </c>
      <c r="AD3771" t="s">
        <v>19566</v>
      </c>
      <c r="AE3771" t="s">
        <v>9144</v>
      </c>
      <c r="AF3771">
        <v>29</v>
      </c>
      <c r="AG3771">
        <v>1</v>
      </c>
      <c r="AH3771">
        <v>0</v>
      </c>
      <c r="AI3771">
        <v>132.64</v>
      </c>
      <c r="AJ3771" t="s">
        <v>527</v>
      </c>
      <c r="AL3771" t="s">
        <v>19614</v>
      </c>
      <c r="AM3771">
        <v>15996</v>
      </c>
      <c r="AS3771">
        <v>1.7</v>
      </c>
      <c r="AT3771" t="s">
        <v>1063</v>
      </c>
      <c r="AU3771" t="s">
        <v>130</v>
      </c>
    </row>
    <row r="3772" spans="1:48">
      <c r="A3772" s="1">
        <f>HYPERLINK("https://lsnyc.legalserver.org/matter/dynamic-profile/view/1908419","19-1908419")</f>
        <v>0</v>
      </c>
      <c r="B3772" t="s">
        <v>64</v>
      </c>
      <c r="C3772" t="s">
        <v>256</v>
      </c>
      <c r="D3772" t="s">
        <v>314</v>
      </c>
      <c r="F3772" t="s">
        <v>2565</v>
      </c>
      <c r="G3772" t="s">
        <v>4796</v>
      </c>
      <c r="H3772" t="s">
        <v>7359</v>
      </c>
      <c r="I3772" t="s">
        <v>8633</v>
      </c>
      <c r="J3772" t="s">
        <v>9059</v>
      </c>
      <c r="K3772">
        <v>11219</v>
      </c>
      <c r="L3772" t="s">
        <v>9094</v>
      </c>
      <c r="M3772" t="s">
        <v>9095</v>
      </c>
      <c r="N3772" t="s">
        <v>10514</v>
      </c>
      <c r="O3772" t="s">
        <v>11128</v>
      </c>
      <c r="P3772" t="s">
        <v>11165</v>
      </c>
      <c r="R3772" t="s">
        <v>11180</v>
      </c>
      <c r="S3772" t="s">
        <v>9096</v>
      </c>
      <c r="T3772" t="s">
        <v>11183</v>
      </c>
      <c r="U3772" t="s">
        <v>11201</v>
      </c>
      <c r="V3772" t="s">
        <v>288</v>
      </c>
      <c r="W3772">
        <v>1000</v>
      </c>
      <c r="X3772" t="s">
        <v>11332</v>
      </c>
      <c r="Y3772" t="s">
        <v>11345</v>
      </c>
      <c r="Z3772" t="s">
        <v>13723</v>
      </c>
      <c r="AA3772" t="s">
        <v>9144</v>
      </c>
      <c r="AB3772" t="s">
        <v>18050</v>
      </c>
      <c r="AC3772">
        <v>35</v>
      </c>
      <c r="AD3772" t="s">
        <v>19566</v>
      </c>
      <c r="AE3772" t="s">
        <v>9144</v>
      </c>
      <c r="AF3772">
        <v>12</v>
      </c>
      <c r="AG3772">
        <v>4</v>
      </c>
      <c r="AH3772">
        <v>0</v>
      </c>
      <c r="AI3772">
        <v>132.82</v>
      </c>
      <c r="AL3772" t="s">
        <v>19615</v>
      </c>
      <c r="AM3772">
        <v>34200</v>
      </c>
      <c r="AS3772">
        <v>26.8</v>
      </c>
      <c r="AT3772" t="s">
        <v>594</v>
      </c>
      <c r="AU3772" t="s">
        <v>95</v>
      </c>
      <c r="AV3772" t="s">
        <v>20733</v>
      </c>
    </row>
    <row r="3773" spans="1:48">
      <c r="A3773" s="1">
        <f>HYPERLINK("https://lsnyc.legalserver.org/matter/dynamic-profile/view/0796572","16-0796572")</f>
        <v>0</v>
      </c>
      <c r="B3773" t="s">
        <v>103</v>
      </c>
      <c r="C3773" t="s">
        <v>256</v>
      </c>
      <c r="D3773" t="s">
        <v>1038</v>
      </c>
      <c r="F3773" t="s">
        <v>2633</v>
      </c>
      <c r="G3773" t="s">
        <v>4878</v>
      </c>
      <c r="H3773" t="s">
        <v>5873</v>
      </c>
      <c r="J3773" t="s">
        <v>9065</v>
      </c>
      <c r="K3773">
        <v>10457</v>
      </c>
      <c r="L3773" t="s">
        <v>9094</v>
      </c>
      <c r="M3773" t="s">
        <v>9095</v>
      </c>
      <c r="N3773" t="s">
        <v>10515</v>
      </c>
      <c r="O3773" t="s">
        <v>11132</v>
      </c>
      <c r="P3773" t="s">
        <v>11165</v>
      </c>
      <c r="R3773" t="s">
        <v>11180</v>
      </c>
      <c r="S3773" t="s">
        <v>9094</v>
      </c>
      <c r="T3773" t="s">
        <v>11183</v>
      </c>
      <c r="V3773" t="s">
        <v>1038</v>
      </c>
      <c r="W3773">
        <v>1224.96</v>
      </c>
      <c r="X3773" t="s">
        <v>11333</v>
      </c>
      <c r="Y3773" t="s">
        <v>11346</v>
      </c>
      <c r="Z3773" t="s">
        <v>13848</v>
      </c>
      <c r="AB3773" t="s">
        <v>18179</v>
      </c>
      <c r="AC3773">
        <v>0</v>
      </c>
      <c r="AD3773" t="s">
        <v>19566</v>
      </c>
      <c r="AE3773" t="s">
        <v>9144</v>
      </c>
      <c r="AF3773">
        <v>7</v>
      </c>
      <c r="AG3773">
        <v>1</v>
      </c>
      <c r="AH3773">
        <v>0</v>
      </c>
      <c r="AI3773">
        <v>132.98</v>
      </c>
      <c r="AJ3773" t="s">
        <v>11262</v>
      </c>
      <c r="AL3773" t="s">
        <v>19615</v>
      </c>
      <c r="AM3773">
        <v>15652</v>
      </c>
      <c r="AS3773">
        <v>0</v>
      </c>
      <c r="AU3773" t="s">
        <v>109</v>
      </c>
    </row>
    <row r="3774" spans="1:48">
      <c r="A3774" s="1">
        <f>HYPERLINK("https://lsnyc.legalserver.org/matter/dynamic-profile/view/1907818","19-1907818")</f>
        <v>0</v>
      </c>
      <c r="B3774" t="s">
        <v>55</v>
      </c>
      <c r="C3774" t="s">
        <v>256</v>
      </c>
      <c r="D3774" t="s">
        <v>779</v>
      </c>
      <c r="F3774" t="s">
        <v>2641</v>
      </c>
      <c r="G3774" t="s">
        <v>3630</v>
      </c>
      <c r="H3774" t="s">
        <v>6954</v>
      </c>
      <c r="I3774" t="s">
        <v>8329</v>
      </c>
      <c r="J3774" t="s">
        <v>9050</v>
      </c>
      <c r="K3774">
        <v>11377</v>
      </c>
      <c r="L3774" t="s">
        <v>9094</v>
      </c>
      <c r="M3774" t="s">
        <v>9095</v>
      </c>
      <c r="N3774" t="s">
        <v>10067</v>
      </c>
      <c r="O3774" t="s">
        <v>11134</v>
      </c>
      <c r="P3774" t="s">
        <v>11168</v>
      </c>
      <c r="R3774" t="s">
        <v>11180</v>
      </c>
      <c r="S3774" t="s">
        <v>9094</v>
      </c>
      <c r="T3774" t="s">
        <v>11183</v>
      </c>
      <c r="U3774" t="s">
        <v>11201</v>
      </c>
      <c r="V3774" t="s">
        <v>779</v>
      </c>
      <c r="W3774">
        <v>0</v>
      </c>
      <c r="X3774" t="s">
        <v>11331</v>
      </c>
      <c r="Y3774" t="s">
        <v>11346</v>
      </c>
      <c r="Z3774" t="s">
        <v>13863</v>
      </c>
      <c r="AB3774" t="s">
        <v>18194</v>
      </c>
      <c r="AC3774">
        <v>67</v>
      </c>
      <c r="AD3774" t="s">
        <v>19566</v>
      </c>
      <c r="AE3774" t="s">
        <v>9144</v>
      </c>
      <c r="AF3774">
        <v>8</v>
      </c>
      <c r="AG3774">
        <v>1</v>
      </c>
      <c r="AH3774">
        <v>0</v>
      </c>
      <c r="AI3774">
        <v>133.23</v>
      </c>
      <c r="AL3774" t="s">
        <v>19615</v>
      </c>
      <c r="AM3774">
        <v>16640</v>
      </c>
      <c r="AP3774" t="s">
        <v>11157</v>
      </c>
      <c r="AS3774">
        <v>0.55</v>
      </c>
      <c r="AT3774" t="s">
        <v>297</v>
      </c>
      <c r="AU3774" t="s">
        <v>20620</v>
      </c>
      <c r="AV3774" t="s">
        <v>20733</v>
      </c>
    </row>
    <row r="3775" spans="1:48">
      <c r="A3775" s="1">
        <f>HYPERLINK("https://lsnyc.legalserver.org/matter/dynamic-profile/view/1907829","19-1907829")</f>
        <v>0</v>
      </c>
      <c r="B3775" t="s">
        <v>55</v>
      </c>
      <c r="C3775" t="s">
        <v>256</v>
      </c>
      <c r="D3775" t="s">
        <v>779</v>
      </c>
      <c r="F3775" t="s">
        <v>2641</v>
      </c>
      <c r="G3775" t="s">
        <v>3630</v>
      </c>
      <c r="H3775" t="s">
        <v>6954</v>
      </c>
      <c r="I3775" t="s">
        <v>8329</v>
      </c>
      <c r="J3775" t="s">
        <v>9050</v>
      </c>
      <c r="K3775">
        <v>11377</v>
      </c>
      <c r="L3775" t="s">
        <v>9094</v>
      </c>
      <c r="M3775" t="s">
        <v>9095</v>
      </c>
      <c r="N3775" t="s">
        <v>10068</v>
      </c>
      <c r="O3775" t="s">
        <v>11134</v>
      </c>
      <c r="P3775" t="s">
        <v>11168</v>
      </c>
      <c r="R3775" t="s">
        <v>11180</v>
      </c>
      <c r="S3775" t="s">
        <v>9094</v>
      </c>
      <c r="T3775" t="s">
        <v>11183</v>
      </c>
      <c r="V3775" t="s">
        <v>11267</v>
      </c>
      <c r="W3775">
        <v>0</v>
      </c>
      <c r="X3775" t="s">
        <v>11331</v>
      </c>
      <c r="Y3775" t="s">
        <v>11346</v>
      </c>
      <c r="Z3775" t="s">
        <v>13863</v>
      </c>
      <c r="AB3775" t="s">
        <v>18194</v>
      </c>
      <c r="AC3775">
        <v>66</v>
      </c>
      <c r="AD3775" t="s">
        <v>19566</v>
      </c>
      <c r="AE3775" t="s">
        <v>9144</v>
      </c>
      <c r="AF3775">
        <v>8</v>
      </c>
      <c r="AG3775">
        <v>1</v>
      </c>
      <c r="AH3775">
        <v>0</v>
      </c>
      <c r="AI3775">
        <v>133.23</v>
      </c>
      <c r="AL3775" t="s">
        <v>19615</v>
      </c>
      <c r="AM3775">
        <v>16640</v>
      </c>
      <c r="AS3775">
        <v>0.3</v>
      </c>
      <c r="AT3775" t="s">
        <v>779</v>
      </c>
      <c r="AU3775" t="s">
        <v>20620</v>
      </c>
      <c r="AV3775" t="s">
        <v>20733</v>
      </c>
    </row>
    <row r="3776" spans="1:48">
      <c r="A3776" s="1">
        <f>HYPERLINK("https://lsnyc.legalserver.org/matter/dynamic-profile/view/1897450","19-1897450")</f>
        <v>0</v>
      </c>
      <c r="B3776" t="s">
        <v>73</v>
      </c>
      <c r="C3776" t="s">
        <v>257</v>
      </c>
      <c r="D3776" t="s">
        <v>318</v>
      </c>
      <c r="E3776" t="s">
        <v>372</v>
      </c>
      <c r="F3776" t="s">
        <v>1220</v>
      </c>
      <c r="G3776" t="s">
        <v>3572</v>
      </c>
      <c r="H3776" t="s">
        <v>7443</v>
      </c>
      <c r="I3776" t="s">
        <v>8391</v>
      </c>
      <c r="J3776" t="s">
        <v>9059</v>
      </c>
      <c r="K3776">
        <v>11208</v>
      </c>
      <c r="L3776" t="s">
        <v>9094</v>
      </c>
      <c r="M3776" t="s">
        <v>9096</v>
      </c>
      <c r="N3776" t="s">
        <v>10516</v>
      </c>
      <c r="O3776" t="s">
        <v>11128</v>
      </c>
      <c r="P3776" t="s">
        <v>11165</v>
      </c>
      <c r="Q3776" t="s">
        <v>11174</v>
      </c>
      <c r="R3776" t="s">
        <v>11180</v>
      </c>
      <c r="S3776" t="s">
        <v>9096</v>
      </c>
      <c r="T3776" t="s">
        <v>11183</v>
      </c>
      <c r="U3776" t="s">
        <v>11201</v>
      </c>
      <c r="V3776" t="s">
        <v>608</v>
      </c>
      <c r="W3776">
        <v>1956</v>
      </c>
      <c r="X3776" t="s">
        <v>11332</v>
      </c>
      <c r="Y3776" t="s">
        <v>11157</v>
      </c>
      <c r="Z3776" t="s">
        <v>13864</v>
      </c>
      <c r="AA3776" t="s">
        <v>15287</v>
      </c>
      <c r="AB3776" t="s">
        <v>18195</v>
      </c>
      <c r="AC3776">
        <v>3</v>
      </c>
      <c r="AD3776" t="s">
        <v>19565</v>
      </c>
      <c r="AE3776" t="s">
        <v>19586</v>
      </c>
      <c r="AF3776">
        <v>4</v>
      </c>
      <c r="AG3776">
        <v>1</v>
      </c>
      <c r="AH3776">
        <v>3</v>
      </c>
      <c r="AI3776">
        <v>133.28</v>
      </c>
      <c r="AL3776" t="s">
        <v>19614</v>
      </c>
      <c r="AM3776">
        <v>34320</v>
      </c>
      <c r="AQ3776" t="s">
        <v>20369</v>
      </c>
      <c r="AR3776" t="s">
        <v>20410</v>
      </c>
      <c r="AS3776">
        <v>22.15</v>
      </c>
      <c r="AT3776" t="s">
        <v>367</v>
      </c>
      <c r="AU3776" t="s">
        <v>20631</v>
      </c>
      <c r="AV3776" t="s">
        <v>20733</v>
      </c>
    </row>
    <row r="3777" spans="1:48">
      <c r="A3777" s="1">
        <f>HYPERLINK("https://lsnyc.legalserver.org/matter/dynamic-profile/view/1880305","18-1880305")</f>
        <v>0</v>
      </c>
      <c r="B3777" t="s">
        <v>71</v>
      </c>
      <c r="C3777" t="s">
        <v>256</v>
      </c>
      <c r="D3777" t="s">
        <v>458</v>
      </c>
      <c r="F3777" t="s">
        <v>2031</v>
      </c>
      <c r="G3777" t="s">
        <v>4882</v>
      </c>
      <c r="H3777" t="s">
        <v>7444</v>
      </c>
      <c r="I3777" t="s">
        <v>8193</v>
      </c>
      <c r="J3777" t="s">
        <v>9059</v>
      </c>
      <c r="K3777">
        <v>11233</v>
      </c>
      <c r="L3777" t="s">
        <v>9094</v>
      </c>
      <c r="M3777" t="s">
        <v>9094</v>
      </c>
      <c r="N3777" t="s">
        <v>10517</v>
      </c>
      <c r="O3777" t="s">
        <v>11128</v>
      </c>
      <c r="P3777" t="s">
        <v>11165</v>
      </c>
      <c r="R3777" t="s">
        <v>11180</v>
      </c>
      <c r="S3777" t="s">
        <v>9096</v>
      </c>
      <c r="T3777" t="s">
        <v>11183</v>
      </c>
      <c r="U3777" t="s">
        <v>11201</v>
      </c>
      <c r="V3777" t="s">
        <v>458</v>
      </c>
      <c r="W3777">
        <v>0</v>
      </c>
      <c r="X3777" t="s">
        <v>11332</v>
      </c>
      <c r="Y3777" t="s">
        <v>11336</v>
      </c>
      <c r="Z3777" t="s">
        <v>13865</v>
      </c>
      <c r="AB3777" t="s">
        <v>18196</v>
      </c>
      <c r="AC3777">
        <v>30</v>
      </c>
      <c r="AD3777" t="s">
        <v>19566</v>
      </c>
      <c r="AE3777" t="s">
        <v>19580</v>
      </c>
      <c r="AF3777">
        <v>6</v>
      </c>
      <c r="AG3777">
        <v>2</v>
      </c>
      <c r="AH3777">
        <v>0</v>
      </c>
      <c r="AI3777">
        <v>133.29</v>
      </c>
      <c r="AL3777" t="s">
        <v>19614</v>
      </c>
      <c r="AM3777">
        <v>21939.36</v>
      </c>
      <c r="AS3777">
        <v>69.8</v>
      </c>
      <c r="AT3777" t="s">
        <v>496</v>
      </c>
      <c r="AU3777" t="s">
        <v>20633</v>
      </c>
    </row>
    <row r="3778" spans="1:48">
      <c r="A3778" s="1">
        <f>HYPERLINK("https://lsnyc.legalserver.org/matter/dynamic-profile/view/1904242","19-1904242")</f>
        <v>0</v>
      </c>
      <c r="B3778" t="s">
        <v>78</v>
      </c>
      <c r="C3778" t="s">
        <v>256</v>
      </c>
      <c r="D3778" t="s">
        <v>312</v>
      </c>
      <c r="F3778" t="s">
        <v>2642</v>
      </c>
      <c r="G3778" t="s">
        <v>4883</v>
      </c>
      <c r="H3778" t="s">
        <v>6712</v>
      </c>
      <c r="I3778" t="s">
        <v>8229</v>
      </c>
      <c r="J3778" t="s">
        <v>9059</v>
      </c>
      <c r="K3778">
        <v>11221</v>
      </c>
      <c r="L3778" t="s">
        <v>9094</v>
      </c>
      <c r="M3778" t="s">
        <v>9095</v>
      </c>
      <c r="N3778" t="s">
        <v>9184</v>
      </c>
      <c r="O3778" t="s">
        <v>11137</v>
      </c>
      <c r="P3778" t="s">
        <v>11167</v>
      </c>
      <c r="R3778" t="s">
        <v>11180</v>
      </c>
      <c r="S3778" t="s">
        <v>9094</v>
      </c>
      <c r="T3778" t="s">
        <v>11186</v>
      </c>
      <c r="U3778" t="s">
        <v>11201</v>
      </c>
      <c r="V3778" t="s">
        <v>635</v>
      </c>
      <c r="W3778">
        <v>834</v>
      </c>
      <c r="X3778" t="s">
        <v>11332</v>
      </c>
      <c r="Y3778" t="s">
        <v>11346</v>
      </c>
      <c r="Z3778" t="s">
        <v>13866</v>
      </c>
      <c r="AA3778" t="s">
        <v>9144</v>
      </c>
      <c r="AB3778" t="s">
        <v>18197</v>
      </c>
      <c r="AC3778">
        <v>12</v>
      </c>
      <c r="AD3778" t="s">
        <v>19566</v>
      </c>
      <c r="AE3778" t="s">
        <v>9144</v>
      </c>
      <c r="AF3778">
        <v>26</v>
      </c>
      <c r="AG3778">
        <v>5</v>
      </c>
      <c r="AH3778">
        <v>2</v>
      </c>
      <c r="AI3778">
        <v>133.3</v>
      </c>
      <c r="AL3778" t="s">
        <v>19614</v>
      </c>
      <c r="AM3778">
        <v>52000</v>
      </c>
      <c r="AN3778" t="s">
        <v>19978</v>
      </c>
      <c r="AS3778">
        <v>0</v>
      </c>
      <c r="AU3778" t="s">
        <v>95</v>
      </c>
      <c r="AV3778" t="s">
        <v>20733</v>
      </c>
    </row>
    <row r="3779" spans="1:48">
      <c r="A3779" s="1">
        <f>HYPERLINK("https://lsnyc.legalserver.org/matter/dynamic-profile/view/1904231","19-1904231")</f>
        <v>0</v>
      </c>
      <c r="B3779" t="s">
        <v>74</v>
      </c>
      <c r="C3779" t="s">
        <v>256</v>
      </c>
      <c r="D3779" t="s">
        <v>312</v>
      </c>
      <c r="F3779" t="s">
        <v>2642</v>
      </c>
      <c r="G3779" t="s">
        <v>4883</v>
      </c>
      <c r="H3779" t="s">
        <v>6712</v>
      </c>
      <c r="I3779" t="s">
        <v>8229</v>
      </c>
      <c r="J3779" t="s">
        <v>9059</v>
      </c>
      <c r="K3779">
        <v>11221</v>
      </c>
      <c r="L3779" t="s">
        <v>9094</v>
      </c>
      <c r="M3779" t="s">
        <v>9095</v>
      </c>
      <c r="N3779" t="s">
        <v>10518</v>
      </c>
      <c r="O3779" t="s">
        <v>11129</v>
      </c>
      <c r="P3779" t="s">
        <v>11165</v>
      </c>
      <c r="R3779" t="s">
        <v>11180</v>
      </c>
      <c r="S3779" t="s">
        <v>9094</v>
      </c>
      <c r="T3779" t="s">
        <v>11183</v>
      </c>
      <c r="U3779" t="s">
        <v>11201</v>
      </c>
      <c r="V3779" t="s">
        <v>635</v>
      </c>
      <c r="W3779">
        <v>834</v>
      </c>
      <c r="X3779" t="s">
        <v>11332</v>
      </c>
      <c r="Y3779" t="s">
        <v>11346</v>
      </c>
      <c r="Z3779" t="s">
        <v>13866</v>
      </c>
      <c r="AA3779" t="s">
        <v>9144</v>
      </c>
      <c r="AB3779" t="s">
        <v>18197</v>
      </c>
      <c r="AC3779">
        <v>12</v>
      </c>
      <c r="AD3779" t="s">
        <v>19566</v>
      </c>
      <c r="AE3779" t="s">
        <v>9144</v>
      </c>
      <c r="AF3779">
        <v>26</v>
      </c>
      <c r="AG3779">
        <v>5</v>
      </c>
      <c r="AH3779">
        <v>2</v>
      </c>
      <c r="AI3779">
        <v>133.3</v>
      </c>
      <c r="AL3779" t="s">
        <v>19614</v>
      </c>
      <c r="AM3779">
        <v>52000</v>
      </c>
      <c r="AN3779" t="s">
        <v>19979</v>
      </c>
      <c r="AS3779">
        <v>0</v>
      </c>
      <c r="AU3779" t="s">
        <v>95</v>
      </c>
      <c r="AV3779" t="s">
        <v>20733</v>
      </c>
    </row>
    <row r="3780" spans="1:48">
      <c r="A3780" s="1">
        <f>HYPERLINK("https://lsnyc.legalserver.org/matter/dynamic-profile/view/1895340","19-1895340")</f>
        <v>0</v>
      </c>
      <c r="B3780" t="s">
        <v>74</v>
      </c>
      <c r="C3780" t="s">
        <v>256</v>
      </c>
      <c r="D3780" t="s">
        <v>264</v>
      </c>
      <c r="F3780" t="s">
        <v>2642</v>
      </c>
      <c r="G3780" t="s">
        <v>4883</v>
      </c>
      <c r="H3780" t="s">
        <v>6712</v>
      </c>
      <c r="I3780" t="s">
        <v>8229</v>
      </c>
      <c r="J3780" t="s">
        <v>9059</v>
      </c>
      <c r="K3780">
        <v>11221</v>
      </c>
      <c r="L3780" t="s">
        <v>9094</v>
      </c>
      <c r="M3780" t="s">
        <v>9096</v>
      </c>
      <c r="N3780" t="s">
        <v>9724</v>
      </c>
      <c r="O3780" t="s">
        <v>11141</v>
      </c>
      <c r="P3780" t="s">
        <v>11170</v>
      </c>
      <c r="R3780" t="s">
        <v>11180</v>
      </c>
      <c r="S3780" t="s">
        <v>9094</v>
      </c>
      <c r="T3780" t="s">
        <v>11185</v>
      </c>
      <c r="V3780" t="s">
        <v>264</v>
      </c>
      <c r="W3780">
        <v>834</v>
      </c>
      <c r="X3780" t="s">
        <v>11332</v>
      </c>
      <c r="Y3780" t="s">
        <v>11346</v>
      </c>
      <c r="Z3780" t="s">
        <v>13866</v>
      </c>
      <c r="AA3780" t="s">
        <v>9144</v>
      </c>
      <c r="AB3780" t="s">
        <v>18197</v>
      </c>
      <c r="AC3780">
        <v>12</v>
      </c>
      <c r="AD3780" t="s">
        <v>19566</v>
      </c>
      <c r="AE3780" t="s">
        <v>9144</v>
      </c>
      <c r="AF3780">
        <v>26</v>
      </c>
      <c r="AG3780">
        <v>5</v>
      </c>
      <c r="AH3780">
        <v>2</v>
      </c>
      <c r="AI3780">
        <v>133.3</v>
      </c>
      <c r="AL3780" t="s">
        <v>19614</v>
      </c>
      <c r="AM3780">
        <v>52000</v>
      </c>
      <c r="AN3780" t="s">
        <v>19978</v>
      </c>
      <c r="AS3780">
        <v>3</v>
      </c>
      <c r="AT3780" t="s">
        <v>289</v>
      </c>
      <c r="AU3780" t="s">
        <v>95</v>
      </c>
      <c r="AV3780" t="s">
        <v>20733</v>
      </c>
    </row>
    <row r="3781" spans="1:48">
      <c r="A3781" s="1">
        <f>HYPERLINK("https://lsnyc.legalserver.org/matter/dynamic-profile/view/1880351","18-1880351")</f>
        <v>0</v>
      </c>
      <c r="B3781" t="s">
        <v>139</v>
      </c>
      <c r="C3781" t="s">
        <v>256</v>
      </c>
      <c r="D3781" t="s">
        <v>458</v>
      </c>
      <c r="F3781" t="s">
        <v>1993</v>
      </c>
      <c r="G3781" t="s">
        <v>3448</v>
      </c>
      <c r="H3781" t="s">
        <v>7445</v>
      </c>
      <c r="I3781" t="s">
        <v>8140</v>
      </c>
      <c r="J3781" t="s">
        <v>9067</v>
      </c>
      <c r="K3781">
        <v>10032</v>
      </c>
      <c r="L3781" t="s">
        <v>9094</v>
      </c>
      <c r="M3781" t="s">
        <v>9094</v>
      </c>
      <c r="O3781" t="s">
        <v>11129</v>
      </c>
      <c r="P3781" t="s">
        <v>11165</v>
      </c>
      <c r="R3781" t="s">
        <v>11180</v>
      </c>
      <c r="S3781" t="s">
        <v>9096</v>
      </c>
      <c r="T3781" t="s">
        <v>11183</v>
      </c>
      <c r="V3781" t="s">
        <v>458</v>
      </c>
      <c r="W3781">
        <v>2450</v>
      </c>
      <c r="X3781" t="s">
        <v>11335</v>
      </c>
      <c r="Y3781" t="s">
        <v>11336</v>
      </c>
      <c r="Z3781" t="s">
        <v>13867</v>
      </c>
      <c r="AB3781" t="s">
        <v>18198</v>
      </c>
      <c r="AC3781">
        <v>25</v>
      </c>
      <c r="AD3781" t="s">
        <v>19566</v>
      </c>
      <c r="AE3781" t="s">
        <v>9144</v>
      </c>
      <c r="AF3781">
        <v>2</v>
      </c>
      <c r="AG3781">
        <v>3</v>
      </c>
      <c r="AH3781">
        <v>0</v>
      </c>
      <c r="AI3781">
        <v>133.4</v>
      </c>
      <c r="AL3781" t="s">
        <v>19615</v>
      </c>
      <c r="AM3781">
        <v>27720</v>
      </c>
      <c r="AS3781">
        <v>173.51</v>
      </c>
      <c r="AT3781" t="s">
        <v>594</v>
      </c>
      <c r="AU3781" t="s">
        <v>130</v>
      </c>
      <c r="AV3781" t="s">
        <v>20733</v>
      </c>
    </row>
    <row r="3782" spans="1:48">
      <c r="A3782" s="1">
        <f>HYPERLINK("https://lsnyc.legalserver.org/matter/dynamic-profile/view/1878790","18-1878790")</f>
        <v>0</v>
      </c>
      <c r="B3782" t="s">
        <v>244</v>
      </c>
      <c r="C3782" t="s">
        <v>257</v>
      </c>
      <c r="D3782" t="s">
        <v>701</v>
      </c>
      <c r="E3782" t="s">
        <v>367</v>
      </c>
      <c r="F3782" t="s">
        <v>1146</v>
      </c>
      <c r="G3782" t="s">
        <v>3097</v>
      </c>
      <c r="H3782" t="s">
        <v>7446</v>
      </c>
      <c r="I3782" t="s">
        <v>8140</v>
      </c>
      <c r="J3782" t="s">
        <v>9065</v>
      </c>
      <c r="K3782">
        <v>10468</v>
      </c>
      <c r="L3782" t="s">
        <v>9094</v>
      </c>
      <c r="M3782" t="s">
        <v>9094</v>
      </c>
      <c r="N3782" t="s">
        <v>10519</v>
      </c>
      <c r="O3782" t="s">
        <v>11151</v>
      </c>
      <c r="P3782" t="s">
        <v>11166</v>
      </c>
      <c r="Q3782" t="s">
        <v>11177</v>
      </c>
      <c r="R3782" t="s">
        <v>11180</v>
      </c>
      <c r="S3782" t="s">
        <v>9096</v>
      </c>
      <c r="T3782" t="s">
        <v>11190</v>
      </c>
      <c r="U3782" t="s">
        <v>11201</v>
      </c>
      <c r="V3782" t="s">
        <v>701</v>
      </c>
      <c r="W3782">
        <v>1124.24</v>
      </c>
      <c r="X3782" t="s">
        <v>11333</v>
      </c>
      <c r="Y3782" t="s">
        <v>11336</v>
      </c>
      <c r="Z3782" t="s">
        <v>13868</v>
      </c>
      <c r="AB3782" t="s">
        <v>18199</v>
      </c>
      <c r="AC3782">
        <v>43</v>
      </c>
      <c r="AD3782" t="s">
        <v>19566</v>
      </c>
      <c r="AE3782" t="s">
        <v>19580</v>
      </c>
      <c r="AF3782">
        <v>21</v>
      </c>
      <c r="AG3782">
        <v>1</v>
      </c>
      <c r="AH3782">
        <v>2</v>
      </c>
      <c r="AI3782">
        <v>133.58</v>
      </c>
      <c r="AL3782" t="s">
        <v>19615</v>
      </c>
      <c r="AM3782">
        <v>27757.08</v>
      </c>
      <c r="AS3782">
        <v>9.5</v>
      </c>
      <c r="AT3782" t="s">
        <v>423</v>
      </c>
      <c r="AU3782" t="s">
        <v>20689</v>
      </c>
    </row>
    <row r="3783" spans="1:48">
      <c r="A3783" s="1">
        <f>HYPERLINK("https://lsnyc.legalserver.org/matter/dynamic-profile/view/1890177","19-1890177")</f>
        <v>0</v>
      </c>
      <c r="B3783" t="s">
        <v>70</v>
      </c>
      <c r="C3783" t="s">
        <v>256</v>
      </c>
      <c r="D3783" t="s">
        <v>577</v>
      </c>
      <c r="F3783" t="s">
        <v>1266</v>
      </c>
      <c r="G3783" t="s">
        <v>4884</v>
      </c>
      <c r="H3783" t="s">
        <v>5749</v>
      </c>
      <c r="I3783" t="s">
        <v>8780</v>
      </c>
      <c r="J3783" t="s">
        <v>9059</v>
      </c>
      <c r="K3783">
        <v>11233</v>
      </c>
      <c r="L3783" t="s">
        <v>9094</v>
      </c>
      <c r="M3783" t="s">
        <v>9094</v>
      </c>
      <c r="N3783" t="s">
        <v>9146</v>
      </c>
      <c r="O3783" t="s">
        <v>11134</v>
      </c>
      <c r="P3783" t="s">
        <v>11168</v>
      </c>
      <c r="R3783" t="s">
        <v>11180</v>
      </c>
      <c r="S3783" t="s">
        <v>9094</v>
      </c>
      <c r="T3783" t="s">
        <v>11183</v>
      </c>
      <c r="U3783" t="s">
        <v>11201</v>
      </c>
      <c r="V3783" t="s">
        <v>11289</v>
      </c>
      <c r="W3783">
        <v>841.4299999999999</v>
      </c>
      <c r="X3783" t="s">
        <v>11332</v>
      </c>
      <c r="Y3783" t="s">
        <v>11347</v>
      </c>
      <c r="Z3783" t="s">
        <v>13869</v>
      </c>
      <c r="AA3783" t="s">
        <v>9144</v>
      </c>
      <c r="AB3783" t="s">
        <v>18200</v>
      </c>
      <c r="AC3783">
        <v>764</v>
      </c>
      <c r="AD3783" t="s">
        <v>19566</v>
      </c>
      <c r="AE3783" t="s">
        <v>19580</v>
      </c>
      <c r="AF3783">
        <v>31</v>
      </c>
      <c r="AG3783">
        <v>1</v>
      </c>
      <c r="AH3783">
        <v>0</v>
      </c>
      <c r="AI3783">
        <v>133.64</v>
      </c>
      <c r="AL3783" t="s">
        <v>19614</v>
      </c>
      <c r="AM3783">
        <v>16692</v>
      </c>
      <c r="AS3783">
        <v>0</v>
      </c>
      <c r="AU3783" t="s">
        <v>95</v>
      </c>
    </row>
    <row r="3784" spans="1:48">
      <c r="A3784" s="1">
        <f>HYPERLINK("https://lsnyc.legalserver.org/matter/dynamic-profile/view/1891460","19-1891460")</f>
        <v>0</v>
      </c>
      <c r="B3784" t="s">
        <v>70</v>
      </c>
      <c r="C3784" t="s">
        <v>256</v>
      </c>
      <c r="D3784" t="s">
        <v>316</v>
      </c>
      <c r="F3784" t="s">
        <v>1266</v>
      </c>
      <c r="G3784" t="s">
        <v>4884</v>
      </c>
      <c r="H3784" t="s">
        <v>5749</v>
      </c>
      <c r="I3784" t="s">
        <v>8780</v>
      </c>
      <c r="J3784" t="s">
        <v>9059</v>
      </c>
      <c r="K3784">
        <v>11233</v>
      </c>
      <c r="L3784" t="s">
        <v>9094</v>
      </c>
      <c r="M3784" t="s">
        <v>9095</v>
      </c>
      <c r="O3784" t="s">
        <v>11137</v>
      </c>
      <c r="P3784" t="s">
        <v>11167</v>
      </c>
      <c r="R3784" t="s">
        <v>11180</v>
      </c>
      <c r="S3784" t="s">
        <v>9094</v>
      </c>
      <c r="T3784" t="s">
        <v>11183</v>
      </c>
      <c r="U3784" t="s">
        <v>11201</v>
      </c>
      <c r="V3784" t="s">
        <v>749</v>
      </c>
      <c r="W3784">
        <v>841.4299999999999</v>
      </c>
      <c r="X3784" t="s">
        <v>11332</v>
      </c>
      <c r="Y3784" t="s">
        <v>11347</v>
      </c>
      <c r="Z3784" t="s">
        <v>13869</v>
      </c>
      <c r="AB3784" t="s">
        <v>18200</v>
      </c>
      <c r="AC3784">
        <v>764</v>
      </c>
      <c r="AD3784" t="s">
        <v>19566</v>
      </c>
      <c r="AE3784" t="s">
        <v>19580</v>
      </c>
      <c r="AF3784">
        <v>31</v>
      </c>
      <c r="AG3784">
        <v>1</v>
      </c>
      <c r="AH3784">
        <v>0</v>
      </c>
      <c r="AI3784">
        <v>133.64</v>
      </c>
      <c r="AL3784" t="s">
        <v>19614</v>
      </c>
      <c r="AM3784">
        <v>16692</v>
      </c>
      <c r="AN3784" t="s">
        <v>19980</v>
      </c>
      <c r="AS3784">
        <v>0</v>
      </c>
      <c r="AU3784" t="s">
        <v>79</v>
      </c>
    </row>
    <row r="3785" spans="1:48">
      <c r="A3785" s="1">
        <f>HYPERLINK("https://lsnyc.legalserver.org/matter/dynamic-profile/view/1886991","19-1886991")</f>
        <v>0</v>
      </c>
      <c r="B3785" t="s">
        <v>101</v>
      </c>
      <c r="C3785" t="s">
        <v>256</v>
      </c>
      <c r="D3785" t="s">
        <v>582</v>
      </c>
      <c r="F3785" t="s">
        <v>2623</v>
      </c>
      <c r="G3785" t="s">
        <v>3698</v>
      </c>
      <c r="H3785" t="s">
        <v>6383</v>
      </c>
      <c r="I3785" t="s">
        <v>8283</v>
      </c>
      <c r="J3785" t="s">
        <v>9065</v>
      </c>
      <c r="K3785">
        <v>10467</v>
      </c>
      <c r="L3785" t="s">
        <v>9094</v>
      </c>
      <c r="M3785" t="s">
        <v>9094</v>
      </c>
      <c r="N3785" t="s">
        <v>9642</v>
      </c>
      <c r="O3785" t="s">
        <v>11130</v>
      </c>
      <c r="P3785" t="s">
        <v>11165</v>
      </c>
      <c r="R3785" t="s">
        <v>11180</v>
      </c>
      <c r="S3785" t="s">
        <v>9094</v>
      </c>
      <c r="T3785" t="s">
        <v>11183</v>
      </c>
      <c r="V3785" t="s">
        <v>11212</v>
      </c>
      <c r="W3785">
        <v>1020</v>
      </c>
      <c r="X3785" t="s">
        <v>11333</v>
      </c>
      <c r="Y3785" t="s">
        <v>11346</v>
      </c>
      <c r="Z3785" t="s">
        <v>13835</v>
      </c>
      <c r="AB3785" t="s">
        <v>18164</v>
      </c>
      <c r="AC3785">
        <v>59</v>
      </c>
      <c r="AD3785" t="s">
        <v>19566</v>
      </c>
      <c r="AE3785" t="s">
        <v>9144</v>
      </c>
      <c r="AF3785">
        <v>20</v>
      </c>
      <c r="AG3785">
        <v>3</v>
      </c>
      <c r="AH3785">
        <v>0</v>
      </c>
      <c r="AI3785">
        <v>133.78</v>
      </c>
      <c r="AL3785" t="s">
        <v>19614</v>
      </c>
      <c r="AM3785">
        <v>27800</v>
      </c>
      <c r="AS3785">
        <v>1</v>
      </c>
      <c r="AT3785" t="s">
        <v>611</v>
      </c>
      <c r="AU3785" t="s">
        <v>20647</v>
      </c>
      <c r="AV3785" t="s">
        <v>20733</v>
      </c>
    </row>
    <row r="3786" spans="1:48">
      <c r="A3786" s="1">
        <f>HYPERLINK("https://lsnyc.legalserver.org/matter/dynamic-profile/view/1903996","19-1903996")</f>
        <v>0</v>
      </c>
      <c r="B3786" t="s">
        <v>138</v>
      </c>
      <c r="C3786" t="s">
        <v>256</v>
      </c>
      <c r="D3786" t="s">
        <v>663</v>
      </c>
      <c r="F3786" t="s">
        <v>2643</v>
      </c>
      <c r="G3786" t="s">
        <v>3474</v>
      </c>
      <c r="H3786" t="s">
        <v>7447</v>
      </c>
      <c r="I3786" t="s">
        <v>8267</v>
      </c>
      <c r="J3786" t="s">
        <v>9067</v>
      </c>
      <c r="K3786">
        <v>10033</v>
      </c>
      <c r="L3786" t="s">
        <v>9094</v>
      </c>
      <c r="M3786" t="s">
        <v>9095</v>
      </c>
      <c r="O3786" t="s">
        <v>11141</v>
      </c>
      <c r="P3786" t="s">
        <v>11167</v>
      </c>
      <c r="R3786" t="s">
        <v>11180</v>
      </c>
      <c r="S3786" t="s">
        <v>9096</v>
      </c>
      <c r="T3786" t="s">
        <v>11183</v>
      </c>
      <c r="U3786" t="s">
        <v>11201</v>
      </c>
      <c r="V3786" t="s">
        <v>706</v>
      </c>
      <c r="W3786">
        <v>2500</v>
      </c>
      <c r="X3786" t="s">
        <v>11335</v>
      </c>
      <c r="Y3786" t="s">
        <v>11338</v>
      </c>
      <c r="Z3786" t="s">
        <v>13870</v>
      </c>
      <c r="AB3786" t="s">
        <v>18201</v>
      </c>
      <c r="AC3786">
        <v>95</v>
      </c>
      <c r="AD3786" t="s">
        <v>19565</v>
      </c>
      <c r="AE3786" t="s">
        <v>9144</v>
      </c>
      <c r="AF3786">
        <v>7</v>
      </c>
      <c r="AG3786">
        <v>2</v>
      </c>
      <c r="AH3786">
        <v>1</v>
      </c>
      <c r="AI3786">
        <v>133.9</v>
      </c>
      <c r="AL3786" t="s">
        <v>19614</v>
      </c>
      <c r="AM3786">
        <v>28560</v>
      </c>
      <c r="AS3786">
        <v>13.8</v>
      </c>
      <c r="AT3786" t="s">
        <v>377</v>
      </c>
      <c r="AU3786" t="s">
        <v>20657</v>
      </c>
      <c r="AV3786" t="s">
        <v>20733</v>
      </c>
    </row>
    <row r="3787" spans="1:48">
      <c r="A3787" s="1">
        <f>HYPERLINK("https://lsnyc.legalserver.org/matter/dynamic-profile/view/1863779","18-1863779")</f>
        <v>0</v>
      </c>
      <c r="B3787" t="s">
        <v>172</v>
      </c>
      <c r="C3787" t="s">
        <v>257</v>
      </c>
      <c r="D3787" t="s">
        <v>504</v>
      </c>
      <c r="E3787" t="s">
        <v>326</v>
      </c>
      <c r="F3787" t="s">
        <v>2644</v>
      </c>
      <c r="G3787" t="s">
        <v>4885</v>
      </c>
      <c r="H3787" t="s">
        <v>7448</v>
      </c>
      <c r="I3787" t="s">
        <v>8170</v>
      </c>
      <c r="J3787" t="s">
        <v>9067</v>
      </c>
      <c r="K3787">
        <v>10039</v>
      </c>
      <c r="L3787" t="s">
        <v>9094</v>
      </c>
      <c r="M3787" t="s">
        <v>9095</v>
      </c>
      <c r="N3787" t="s">
        <v>10520</v>
      </c>
      <c r="O3787" t="s">
        <v>11129</v>
      </c>
      <c r="P3787" t="s">
        <v>11164</v>
      </c>
      <c r="Q3787" t="s">
        <v>11172</v>
      </c>
      <c r="R3787" t="s">
        <v>11180</v>
      </c>
      <c r="S3787" t="s">
        <v>9096</v>
      </c>
      <c r="T3787" t="s">
        <v>11183</v>
      </c>
      <c r="V3787" t="s">
        <v>673</v>
      </c>
      <c r="W3787">
        <v>813.37</v>
      </c>
      <c r="X3787" t="s">
        <v>11335</v>
      </c>
      <c r="Y3787" t="s">
        <v>11340</v>
      </c>
      <c r="Z3787" t="s">
        <v>13871</v>
      </c>
      <c r="AB3787" t="s">
        <v>18202</v>
      </c>
      <c r="AC3787">
        <v>67</v>
      </c>
      <c r="AD3787" t="s">
        <v>19566</v>
      </c>
      <c r="AE3787" t="s">
        <v>19582</v>
      </c>
      <c r="AF3787">
        <v>11</v>
      </c>
      <c r="AG3787">
        <v>1</v>
      </c>
      <c r="AH3787">
        <v>1</v>
      </c>
      <c r="AI3787">
        <v>133.95</v>
      </c>
      <c r="AL3787" t="s">
        <v>19614</v>
      </c>
      <c r="AM3787">
        <v>22048</v>
      </c>
      <c r="AS3787">
        <v>1.4</v>
      </c>
      <c r="AT3787" t="s">
        <v>326</v>
      </c>
      <c r="AU3787" t="s">
        <v>20655</v>
      </c>
      <c r="AV3787" t="s">
        <v>20733</v>
      </c>
    </row>
    <row r="3788" spans="1:48">
      <c r="A3788" s="1">
        <f>HYPERLINK("https://lsnyc.legalserver.org/matter/dynamic-profile/view/1863909","18-1863909")</f>
        <v>0</v>
      </c>
      <c r="B3788" t="s">
        <v>136</v>
      </c>
      <c r="C3788" t="s">
        <v>256</v>
      </c>
      <c r="D3788" t="s">
        <v>809</v>
      </c>
      <c r="F3788" t="s">
        <v>2637</v>
      </c>
      <c r="G3788" t="s">
        <v>4018</v>
      </c>
      <c r="H3788" t="s">
        <v>5961</v>
      </c>
      <c r="I3788">
        <v>709</v>
      </c>
      <c r="J3788" t="s">
        <v>9067</v>
      </c>
      <c r="K3788">
        <v>10029</v>
      </c>
      <c r="L3788" t="s">
        <v>9094</v>
      </c>
      <c r="M3788" t="s">
        <v>9094</v>
      </c>
      <c r="N3788" t="s">
        <v>9287</v>
      </c>
      <c r="O3788" t="s">
        <v>11130</v>
      </c>
      <c r="P3788" t="s">
        <v>11165</v>
      </c>
      <c r="R3788" t="s">
        <v>11180</v>
      </c>
      <c r="S3788" t="s">
        <v>9094</v>
      </c>
      <c r="T3788" t="s">
        <v>11183</v>
      </c>
      <c r="U3788" t="s">
        <v>11201</v>
      </c>
      <c r="V3788" t="s">
        <v>809</v>
      </c>
      <c r="W3788">
        <v>0</v>
      </c>
      <c r="X3788" t="s">
        <v>11335</v>
      </c>
      <c r="Y3788" t="s">
        <v>11339</v>
      </c>
      <c r="Z3788" t="s">
        <v>13855</v>
      </c>
      <c r="AB3788" t="s">
        <v>18187</v>
      </c>
      <c r="AC3788">
        <v>108</v>
      </c>
      <c r="AD3788" t="s">
        <v>19567</v>
      </c>
      <c r="AE3788" t="s">
        <v>19580</v>
      </c>
      <c r="AF3788">
        <v>32</v>
      </c>
      <c r="AG3788">
        <v>2</v>
      </c>
      <c r="AH3788">
        <v>0</v>
      </c>
      <c r="AI3788">
        <v>134</v>
      </c>
      <c r="AL3788" t="s">
        <v>19615</v>
      </c>
      <c r="AM3788">
        <v>22056</v>
      </c>
      <c r="AS3788">
        <v>1.1</v>
      </c>
      <c r="AT3788" t="s">
        <v>760</v>
      </c>
      <c r="AU3788" t="s">
        <v>20657</v>
      </c>
    </row>
    <row r="3789" spans="1:48">
      <c r="A3789" s="1">
        <f>HYPERLINK("https://lsnyc.legalserver.org/matter/dynamic-profile/view/1904455","19-1904455")</f>
        <v>0</v>
      </c>
      <c r="B3789" t="s">
        <v>52</v>
      </c>
      <c r="C3789" t="s">
        <v>256</v>
      </c>
      <c r="D3789" t="s">
        <v>736</v>
      </c>
      <c r="F3789" t="s">
        <v>2645</v>
      </c>
      <c r="G3789" t="s">
        <v>4886</v>
      </c>
      <c r="H3789" t="s">
        <v>7449</v>
      </c>
      <c r="I3789" t="s">
        <v>8212</v>
      </c>
      <c r="J3789" t="s">
        <v>9046</v>
      </c>
      <c r="K3789">
        <v>11415</v>
      </c>
      <c r="L3789" t="s">
        <v>9094</v>
      </c>
      <c r="M3789" t="s">
        <v>9095</v>
      </c>
      <c r="N3789" t="s">
        <v>10521</v>
      </c>
      <c r="O3789" t="s">
        <v>11129</v>
      </c>
      <c r="P3789" t="s">
        <v>11165</v>
      </c>
      <c r="R3789" t="s">
        <v>11180</v>
      </c>
      <c r="S3789" t="s">
        <v>9096</v>
      </c>
      <c r="T3789" t="s">
        <v>11183</v>
      </c>
      <c r="U3789" t="s">
        <v>11200</v>
      </c>
      <c r="V3789" t="s">
        <v>736</v>
      </c>
      <c r="W3789">
        <v>1650</v>
      </c>
      <c r="X3789" t="s">
        <v>11331</v>
      </c>
      <c r="Y3789" t="s">
        <v>11345</v>
      </c>
      <c r="Z3789" t="s">
        <v>13872</v>
      </c>
      <c r="AB3789" t="s">
        <v>18203</v>
      </c>
      <c r="AC3789">
        <v>70</v>
      </c>
      <c r="AD3789" t="s">
        <v>19566</v>
      </c>
      <c r="AE3789" t="s">
        <v>9144</v>
      </c>
      <c r="AF3789">
        <v>1</v>
      </c>
      <c r="AG3789">
        <v>1</v>
      </c>
      <c r="AH3789">
        <v>0</v>
      </c>
      <c r="AI3789">
        <v>134.03</v>
      </c>
      <c r="AL3789" t="s">
        <v>19614</v>
      </c>
      <c r="AM3789">
        <v>16740</v>
      </c>
      <c r="AP3789" t="s">
        <v>11157</v>
      </c>
      <c r="AS3789">
        <v>29.06</v>
      </c>
      <c r="AT3789" t="s">
        <v>321</v>
      </c>
      <c r="AU3789" t="s">
        <v>59</v>
      </c>
      <c r="AV3789" t="s">
        <v>20733</v>
      </c>
    </row>
    <row r="3790" spans="1:48">
      <c r="A3790" s="1">
        <f>HYPERLINK("https://lsnyc.legalserver.org/matter/dynamic-profile/view/1867388","18-1867388")</f>
        <v>0</v>
      </c>
      <c r="B3790" t="s">
        <v>56</v>
      </c>
      <c r="C3790" t="s">
        <v>257</v>
      </c>
      <c r="D3790" t="s">
        <v>991</v>
      </c>
      <c r="E3790" t="s">
        <v>425</v>
      </c>
      <c r="F3790" t="s">
        <v>1788</v>
      </c>
      <c r="G3790" t="s">
        <v>4887</v>
      </c>
      <c r="H3790" t="s">
        <v>7450</v>
      </c>
      <c r="I3790">
        <v>1</v>
      </c>
      <c r="J3790" t="s">
        <v>9038</v>
      </c>
      <c r="K3790">
        <v>11691</v>
      </c>
      <c r="L3790" t="s">
        <v>9094</v>
      </c>
      <c r="M3790" t="s">
        <v>9095</v>
      </c>
      <c r="N3790" t="s">
        <v>10522</v>
      </c>
      <c r="O3790" t="s">
        <v>11128</v>
      </c>
      <c r="P3790" t="s">
        <v>11165</v>
      </c>
      <c r="Q3790" t="s">
        <v>11174</v>
      </c>
      <c r="R3790" t="s">
        <v>11180</v>
      </c>
      <c r="S3790" t="s">
        <v>9096</v>
      </c>
      <c r="T3790" t="s">
        <v>11183</v>
      </c>
      <c r="V3790" t="s">
        <v>991</v>
      </c>
      <c r="W3790">
        <v>1300</v>
      </c>
      <c r="X3790" t="s">
        <v>11331</v>
      </c>
      <c r="Y3790" t="s">
        <v>11341</v>
      </c>
      <c r="Z3790" t="s">
        <v>13873</v>
      </c>
      <c r="AA3790" t="s">
        <v>9675</v>
      </c>
      <c r="AB3790" t="s">
        <v>18204</v>
      </c>
      <c r="AC3790">
        <v>1</v>
      </c>
      <c r="AD3790" t="s">
        <v>19565</v>
      </c>
      <c r="AE3790" t="s">
        <v>19580</v>
      </c>
      <c r="AF3790">
        <v>4</v>
      </c>
      <c r="AG3790">
        <v>1</v>
      </c>
      <c r="AH3790">
        <v>0</v>
      </c>
      <c r="AI3790">
        <v>134.07</v>
      </c>
      <c r="AL3790" t="s">
        <v>19614</v>
      </c>
      <c r="AM3790">
        <v>16276</v>
      </c>
      <c r="AO3790" t="s">
        <v>20293</v>
      </c>
      <c r="AP3790" t="s">
        <v>20309</v>
      </c>
      <c r="AQ3790" t="s">
        <v>20369</v>
      </c>
      <c r="AR3790" t="s">
        <v>20527</v>
      </c>
      <c r="AS3790">
        <v>12</v>
      </c>
      <c r="AT3790" t="s">
        <v>425</v>
      </c>
      <c r="AU3790" t="s">
        <v>20620</v>
      </c>
    </row>
    <row r="3791" spans="1:48">
      <c r="A3791" s="1">
        <f>HYPERLINK("https://lsnyc.legalserver.org/matter/dynamic-profile/view/1890310","19-1890310")</f>
        <v>0</v>
      </c>
      <c r="B3791" t="s">
        <v>126</v>
      </c>
      <c r="C3791" t="s">
        <v>257</v>
      </c>
      <c r="D3791" t="s">
        <v>316</v>
      </c>
      <c r="E3791" t="s">
        <v>457</v>
      </c>
      <c r="F3791" t="s">
        <v>2646</v>
      </c>
      <c r="G3791" t="s">
        <v>4888</v>
      </c>
      <c r="H3791" t="s">
        <v>5921</v>
      </c>
      <c r="I3791" t="s">
        <v>8133</v>
      </c>
      <c r="J3791" t="s">
        <v>9066</v>
      </c>
      <c r="K3791">
        <v>10304</v>
      </c>
      <c r="L3791" t="s">
        <v>9094</v>
      </c>
      <c r="M3791" t="s">
        <v>9095</v>
      </c>
      <c r="O3791" t="s">
        <v>11137</v>
      </c>
      <c r="P3791" t="s">
        <v>11167</v>
      </c>
      <c r="Q3791" t="s">
        <v>11173</v>
      </c>
      <c r="R3791" t="s">
        <v>11180</v>
      </c>
      <c r="S3791" t="s">
        <v>9096</v>
      </c>
      <c r="T3791" t="s">
        <v>11183</v>
      </c>
      <c r="U3791" t="s">
        <v>11201</v>
      </c>
      <c r="V3791" t="s">
        <v>457</v>
      </c>
      <c r="W3791">
        <v>0</v>
      </c>
      <c r="X3791" t="s">
        <v>11334</v>
      </c>
      <c r="Z3791" t="s">
        <v>13874</v>
      </c>
      <c r="AB3791" t="s">
        <v>18205</v>
      </c>
      <c r="AC3791">
        <v>403</v>
      </c>
      <c r="AF3791">
        <v>0</v>
      </c>
      <c r="AG3791">
        <v>2</v>
      </c>
      <c r="AH3791">
        <v>0</v>
      </c>
      <c r="AI3791">
        <v>134.07</v>
      </c>
      <c r="AL3791" t="s">
        <v>19614</v>
      </c>
      <c r="AM3791">
        <v>22672</v>
      </c>
      <c r="AP3791" t="s">
        <v>11157</v>
      </c>
      <c r="AS3791">
        <v>3.5</v>
      </c>
      <c r="AT3791" t="s">
        <v>457</v>
      </c>
      <c r="AU3791" t="s">
        <v>20652</v>
      </c>
      <c r="AV3791" t="s">
        <v>20733</v>
      </c>
    </row>
    <row r="3792" spans="1:48">
      <c r="A3792" s="1">
        <f>HYPERLINK("https://lsnyc.legalserver.org/matter/dynamic-profile/view/1895279","19-1895279")</f>
        <v>0</v>
      </c>
      <c r="B3792" t="s">
        <v>90</v>
      </c>
      <c r="C3792" t="s">
        <v>256</v>
      </c>
      <c r="D3792" t="s">
        <v>264</v>
      </c>
      <c r="F3792" t="s">
        <v>1639</v>
      </c>
      <c r="G3792" t="s">
        <v>3797</v>
      </c>
      <c r="H3792" t="s">
        <v>6002</v>
      </c>
      <c r="I3792" t="s">
        <v>8170</v>
      </c>
      <c r="J3792" t="s">
        <v>9059</v>
      </c>
      <c r="K3792">
        <v>11233</v>
      </c>
      <c r="L3792" t="s">
        <v>9094</v>
      </c>
      <c r="M3792" t="s">
        <v>9096</v>
      </c>
      <c r="N3792" t="s">
        <v>9318</v>
      </c>
      <c r="O3792" t="s">
        <v>11141</v>
      </c>
      <c r="P3792" t="s">
        <v>11170</v>
      </c>
      <c r="R3792" t="s">
        <v>11180</v>
      </c>
      <c r="S3792" t="s">
        <v>9094</v>
      </c>
      <c r="T3792" t="s">
        <v>11185</v>
      </c>
      <c r="U3792" t="s">
        <v>11201</v>
      </c>
      <c r="V3792" t="s">
        <v>411</v>
      </c>
      <c r="W3792">
        <v>1275.64</v>
      </c>
      <c r="X3792" t="s">
        <v>11332</v>
      </c>
      <c r="Y3792" t="s">
        <v>11339</v>
      </c>
      <c r="Z3792" t="s">
        <v>11956</v>
      </c>
      <c r="AA3792" t="s">
        <v>9144</v>
      </c>
      <c r="AB3792" t="s">
        <v>16410</v>
      </c>
      <c r="AC3792">
        <v>6</v>
      </c>
      <c r="AD3792" t="s">
        <v>19566</v>
      </c>
      <c r="AE3792" t="s">
        <v>9144</v>
      </c>
      <c r="AF3792">
        <v>16</v>
      </c>
      <c r="AG3792">
        <v>3</v>
      </c>
      <c r="AH3792">
        <v>0</v>
      </c>
      <c r="AI3792">
        <v>134.08</v>
      </c>
      <c r="AL3792" t="s">
        <v>19614</v>
      </c>
      <c r="AM3792">
        <v>28600</v>
      </c>
      <c r="AS3792">
        <v>37.5</v>
      </c>
      <c r="AT3792" t="s">
        <v>556</v>
      </c>
      <c r="AU3792" t="s">
        <v>95</v>
      </c>
      <c r="AV3792" t="s">
        <v>20733</v>
      </c>
    </row>
    <row r="3793" spans="1:48">
      <c r="A3793" s="1">
        <f>HYPERLINK("https://lsnyc.legalserver.org/matter/dynamic-profile/view/1895274","19-1895274")</f>
        <v>0</v>
      </c>
      <c r="B3793" t="s">
        <v>74</v>
      </c>
      <c r="C3793" t="s">
        <v>256</v>
      </c>
      <c r="D3793" t="s">
        <v>264</v>
      </c>
      <c r="F3793" t="s">
        <v>1738</v>
      </c>
      <c r="G3793" t="s">
        <v>4889</v>
      </c>
      <c r="H3793" t="s">
        <v>7451</v>
      </c>
      <c r="I3793" t="s">
        <v>8151</v>
      </c>
      <c r="J3793" t="s">
        <v>9059</v>
      </c>
      <c r="K3793">
        <v>11221</v>
      </c>
      <c r="L3793" t="s">
        <v>9094</v>
      </c>
      <c r="M3793" t="s">
        <v>9094</v>
      </c>
      <c r="N3793" t="s">
        <v>9182</v>
      </c>
      <c r="O3793" t="s">
        <v>11136</v>
      </c>
      <c r="P3793" t="s">
        <v>11170</v>
      </c>
      <c r="R3793" t="s">
        <v>11180</v>
      </c>
      <c r="S3793" t="s">
        <v>9094</v>
      </c>
      <c r="T3793" t="s">
        <v>11183</v>
      </c>
      <c r="V3793" t="s">
        <v>11290</v>
      </c>
      <c r="W3793">
        <v>1292.5</v>
      </c>
      <c r="X3793" t="s">
        <v>11332</v>
      </c>
      <c r="Y3793" t="s">
        <v>11157</v>
      </c>
      <c r="Z3793" t="s">
        <v>13875</v>
      </c>
      <c r="AB3793" t="s">
        <v>18206</v>
      </c>
      <c r="AC3793">
        <v>0</v>
      </c>
      <c r="AE3793" t="s">
        <v>9144</v>
      </c>
      <c r="AF3793">
        <v>13</v>
      </c>
      <c r="AG3793">
        <v>3</v>
      </c>
      <c r="AH3793">
        <v>0</v>
      </c>
      <c r="AI3793">
        <v>134.08</v>
      </c>
      <c r="AL3793" t="s">
        <v>19614</v>
      </c>
      <c r="AM3793">
        <v>28600</v>
      </c>
      <c r="AS3793">
        <v>21.2</v>
      </c>
      <c r="AT3793" t="s">
        <v>341</v>
      </c>
      <c r="AU3793" t="s">
        <v>79</v>
      </c>
      <c r="AV3793" t="s">
        <v>20733</v>
      </c>
    </row>
    <row r="3794" spans="1:48">
      <c r="A3794" s="1">
        <f>HYPERLINK("https://lsnyc.legalserver.org/matter/dynamic-profile/view/1891216","19-1891216")</f>
        <v>0</v>
      </c>
      <c r="B3794" t="s">
        <v>165</v>
      </c>
      <c r="C3794" t="s">
        <v>257</v>
      </c>
      <c r="D3794" t="s">
        <v>491</v>
      </c>
      <c r="E3794" t="s">
        <v>328</v>
      </c>
      <c r="F3794" t="s">
        <v>1740</v>
      </c>
      <c r="G3794" t="s">
        <v>4890</v>
      </c>
      <c r="H3794" t="s">
        <v>7452</v>
      </c>
      <c r="J3794" t="s">
        <v>9059</v>
      </c>
      <c r="K3794">
        <v>11208</v>
      </c>
      <c r="L3794" t="s">
        <v>9094</v>
      </c>
      <c r="M3794" t="s">
        <v>9096</v>
      </c>
      <c r="N3794" t="s">
        <v>10523</v>
      </c>
      <c r="O3794" t="s">
        <v>11128</v>
      </c>
      <c r="P3794" t="s">
        <v>11167</v>
      </c>
      <c r="Q3794" t="s">
        <v>11173</v>
      </c>
      <c r="R3794" t="s">
        <v>11180</v>
      </c>
      <c r="S3794" t="s">
        <v>9096</v>
      </c>
      <c r="T3794" t="s">
        <v>11183</v>
      </c>
      <c r="U3794" t="s">
        <v>11201</v>
      </c>
      <c r="V3794" t="s">
        <v>473</v>
      </c>
      <c r="W3794">
        <v>1574</v>
      </c>
      <c r="X3794" t="s">
        <v>11332</v>
      </c>
      <c r="Y3794" t="s">
        <v>11157</v>
      </c>
      <c r="Z3794" t="s">
        <v>13876</v>
      </c>
      <c r="AA3794" t="s">
        <v>9144</v>
      </c>
      <c r="AB3794" t="s">
        <v>18207</v>
      </c>
      <c r="AC3794">
        <v>2</v>
      </c>
      <c r="AD3794" t="s">
        <v>19565</v>
      </c>
      <c r="AE3794" t="s">
        <v>9144</v>
      </c>
      <c r="AF3794">
        <v>15</v>
      </c>
      <c r="AG3794">
        <v>3</v>
      </c>
      <c r="AH3794">
        <v>0</v>
      </c>
      <c r="AI3794">
        <v>134.08</v>
      </c>
      <c r="AL3794" t="s">
        <v>19614</v>
      </c>
      <c r="AM3794">
        <v>28600</v>
      </c>
      <c r="AS3794">
        <v>3.6</v>
      </c>
      <c r="AT3794" t="s">
        <v>328</v>
      </c>
      <c r="AU3794" t="s">
        <v>79</v>
      </c>
      <c r="AV3794" t="s">
        <v>20733</v>
      </c>
    </row>
    <row r="3795" spans="1:48">
      <c r="A3795" s="1">
        <f>HYPERLINK("https://lsnyc.legalserver.org/matter/dynamic-profile/view/1889748","19-1889748")</f>
        <v>0</v>
      </c>
      <c r="B3795" t="s">
        <v>126</v>
      </c>
      <c r="C3795" t="s">
        <v>256</v>
      </c>
      <c r="D3795" t="s">
        <v>868</v>
      </c>
      <c r="F3795" t="s">
        <v>2647</v>
      </c>
      <c r="G3795" t="s">
        <v>4891</v>
      </c>
      <c r="H3795" t="s">
        <v>6192</v>
      </c>
      <c r="I3795" t="s">
        <v>8781</v>
      </c>
      <c r="J3795" t="s">
        <v>9066</v>
      </c>
      <c r="K3795">
        <v>10301</v>
      </c>
      <c r="L3795" t="s">
        <v>9094</v>
      </c>
      <c r="M3795" t="s">
        <v>9095</v>
      </c>
      <c r="R3795" t="s">
        <v>11180</v>
      </c>
      <c r="T3795" t="s">
        <v>11183</v>
      </c>
      <c r="W3795">
        <v>0</v>
      </c>
      <c r="X3795" t="s">
        <v>11334</v>
      </c>
      <c r="Z3795" t="s">
        <v>13877</v>
      </c>
      <c r="AB3795" t="s">
        <v>18208</v>
      </c>
      <c r="AC3795">
        <v>0</v>
      </c>
      <c r="AF3795">
        <v>0</v>
      </c>
      <c r="AG3795">
        <v>2</v>
      </c>
      <c r="AH3795">
        <v>1</v>
      </c>
      <c r="AI3795">
        <v>134.08</v>
      </c>
      <c r="AL3795" t="s">
        <v>19614</v>
      </c>
      <c r="AM3795">
        <v>28600</v>
      </c>
      <c r="AS3795">
        <v>18.75</v>
      </c>
      <c r="AT3795" t="s">
        <v>273</v>
      </c>
      <c r="AU3795" t="s">
        <v>20652</v>
      </c>
      <c r="AV3795" t="s">
        <v>20733</v>
      </c>
    </row>
    <row r="3796" spans="1:48">
      <c r="A3796" s="1">
        <f>HYPERLINK("https://lsnyc.legalserver.org/matter/dynamic-profile/view/1890366","19-1890366")</f>
        <v>0</v>
      </c>
      <c r="B3796" t="s">
        <v>115</v>
      </c>
      <c r="C3796" t="s">
        <v>256</v>
      </c>
      <c r="D3796" t="s">
        <v>482</v>
      </c>
      <c r="F3796" t="s">
        <v>2648</v>
      </c>
      <c r="G3796" t="s">
        <v>3398</v>
      </c>
      <c r="H3796" t="s">
        <v>7453</v>
      </c>
      <c r="I3796" t="s">
        <v>8119</v>
      </c>
      <c r="J3796" t="s">
        <v>9065</v>
      </c>
      <c r="K3796">
        <v>10457</v>
      </c>
      <c r="L3796" t="s">
        <v>9094</v>
      </c>
      <c r="M3796" t="s">
        <v>9094</v>
      </c>
      <c r="N3796" t="s">
        <v>10524</v>
      </c>
      <c r="O3796" t="s">
        <v>11129</v>
      </c>
      <c r="P3796" t="s">
        <v>11165</v>
      </c>
      <c r="R3796" t="s">
        <v>11180</v>
      </c>
      <c r="S3796" t="s">
        <v>9096</v>
      </c>
      <c r="T3796" t="s">
        <v>11183</v>
      </c>
      <c r="V3796" t="s">
        <v>482</v>
      </c>
      <c r="W3796">
        <v>3123.85</v>
      </c>
      <c r="X3796" t="s">
        <v>11333</v>
      </c>
      <c r="Z3796" t="s">
        <v>13878</v>
      </c>
      <c r="AB3796" t="s">
        <v>18209</v>
      </c>
      <c r="AC3796">
        <v>20</v>
      </c>
      <c r="AE3796" t="s">
        <v>19588</v>
      </c>
      <c r="AF3796">
        <v>7</v>
      </c>
      <c r="AG3796">
        <v>2</v>
      </c>
      <c r="AH3796">
        <v>0</v>
      </c>
      <c r="AI3796">
        <v>134.19</v>
      </c>
      <c r="AL3796" t="s">
        <v>19614</v>
      </c>
      <c r="AM3796">
        <v>22692</v>
      </c>
      <c r="AS3796">
        <v>39.4</v>
      </c>
      <c r="AT3796" t="s">
        <v>1135</v>
      </c>
      <c r="AU3796" t="s">
        <v>220</v>
      </c>
    </row>
    <row r="3797" spans="1:48">
      <c r="A3797" s="1">
        <f>HYPERLINK("https://lsnyc.legalserver.org/matter/dynamic-profile/view/1857389","18-1857389")</f>
        <v>0</v>
      </c>
      <c r="B3797" t="s">
        <v>108</v>
      </c>
      <c r="C3797" t="s">
        <v>256</v>
      </c>
      <c r="D3797" t="s">
        <v>467</v>
      </c>
      <c r="F3797" t="s">
        <v>2061</v>
      </c>
      <c r="G3797" t="s">
        <v>4892</v>
      </c>
      <c r="H3797" t="s">
        <v>5897</v>
      </c>
      <c r="I3797" t="s">
        <v>8699</v>
      </c>
      <c r="J3797" t="s">
        <v>9065</v>
      </c>
      <c r="K3797">
        <v>10452</v>
      </c>
      <c r="L3797" t="s">
        <v>9094</v>
      </c>
      <c r="M3797" t="s">
        <v>9095</v>
      </c>
      <c r="N3797" t="s">
        <v>9253</v>
      </c>
      <c r="O3797" t="s">
        <v>11135</v>
      </c>
      <c r="P3797" t="s">
        <v>11168</v>
      </c>
      <c r="R3797" t="s">
        <v>11180</v>
      </c>
      <c r="S3797" t="s">
        <v>9094</v>
      </c>
      <c r="T3797" t="s">
        <v>11183</v>
      </c>
      <c r="V3797" t="s">
        <v>675</v>
      </c>
      <c r="W3797">
        <v>1081</v>
      </c>
      <c r="X3797" t="s">
        <v>11333</v>
      </c>
      <c r="Y3797" t="s">
        <v>11346</v>
      </c>
      <c r="Z3797" t="s">
        <v>13879</v>
      </c>
      <c r="AB3797" t="s">
        <v>18210</v>
      </c>
      <c r="AC3797">
        <v>122</v>
      </c>
      <c r="AD3797" t="s">
        <v>19566</v>
      </c>
      <c r="AE3797" t="s">
        <v>9144</v>
      </c>
      <c r="AF3797">
        <v>122</v>
      </c>
      <c r="AG3797">
        <v>2</v>
      </c>
      <c r="AH3797">
        <v>0</v>
      </c>
      <c r="AI3797">
        <v>134.24</v>
      </c>
      <c r="AL3797" t="s">
        <v>19614</v>
      </c>
      <c r="AM3797">
        <v>21800.04</v>
      </c>
      <c r="AN3797" t="s">
        <v>19981</v>
      </c>
      <c r="AS3797">
        <v>0</v>
      </c>
      <c r="AU3797" t="s">
        <v>20647</v>
      </c>
    </row>
    <row r="3798" spans="1:48">
      <c r="A3798" s="1">
        <f>HYPERLINK("https://lsnyc.legalserver.org/matter/dynamic-profile/view/1869858","18-1869858")</f>
        <v>0</v>
      </c>
      <c r="B3798" t="s">
        <v>141</v>
      </c>
      <c r="C3798" t="s">
        <v>257</v>
      </c>
      <c r="D3798" t="s">
        <v>743</v>
      </c>
      <c r="E3798" t="s">
        <v>594</v>
      </c>
      <c r="F3798" t="s">
        <v>1267</v>
      </c>
      <c r="G3798" t="s">
        <v>3536</v>
      </c>
      <c r="H3798" t="s">
        <v>6997</v>
      </c>
      <c r="I3798">
        <v>25</v>
      </c>
      <c r="J3798" t="s">
        <v>9067</v>
      </c>
      <c r="K3798">
        <v>10034</v>
      </c>
      <c r="L3798" t="s">
        <v>9094</v>
      </c>
      <c r="M3798" t="s">
        <v>9095</v>
      </c>
      <c r="O3798" t="s">
        <v>11135</v>
      </c>
      <c r="P3798" t="s">
        <v>11167</v>
      </c>
      <c r="Q3798" t="s">
        <v>11173</v>
      </c>
      <c r="R3798" t="s">
        <v>11180</v>
      </c>
      <c r="S3798" t="s">
        <v>9096</v>
      </c>
      <c r="T3798" t="s">
        <v>11183</v>
      </c>
      <c r="V3798" t="s">
        <v>743</v>
      </c>
      <c r="W3798">
        <v>906.26</v>
      </c>
      <c r="X3798" t="s">
        <v>11335</v>
      </c>
      <c r="Y3798" t="s">
        <v>11338</v>
      </c>
      <c r="Z3798" t="s">
        <v>13880</v>
      </c>
      <c r="AC3798">
        <v>0</v>
      </c>
      <c r="AD3798" t="s">
        <v>19566</v>
      </c>
      <c r="AE3798" t="s">
        <v>9144</v>
      </c>
      <c r="AF3798">
        <v>20</v>
      </c>
      <c r="AG3798">
        <v>2</v>
      </c>
      <c r="AH3798">
        <v>0</v>
      </c>
      <c r="AI3798">
        <v>134.26</v>
      </c>
      <c r="AL3798" t="s">
        <v>19614</v>
      </c>
      <c r="AM3798">
        <v>22100</v>
      </c>
      <c r="AS3798">
        <v>34.4</v>
      </c>
      <c r="AT3798" t="s">
        <v>594</v>
      </c>
      <c r="AU3798" t="s">
        <v>130</v>
      </c>
      <c r="AV3798" t="s">
        <v>20733</v>
      </c>
    </row>
    <row r="3799" spans="1:48">
      <c r="A3799" s="1">
        <f>HYPERLINK("https://lsnyc.legalserver.org/matter/dynamic-profile/view/1864440","18-1864440")</f>
        <v>0</v>
      </c>
      <c r="B3799" t="s">
        <v>136</v>
      </c>
      <c r="C3799" t="s">
        <v>256</v>
      </c>
      <c r="D3799" t="s">
        <v>552</v>
      </c>
      <c r="F3799" t="s">
        <v>1812</v>
      </c>
      <c r="G3799" t="s">
        <v>3338</v>
      </c>
      <c r="H3799" t="s">
        <v>5961</v>
      </c>
      <c r="I3799">
        <v>412</v>
      </c>
      <c r="J3799" t="s">
        <v>9067</v>
      </c>
      <c r="K3799">
        <v>10029</v>
      </c>
      <c r="L3799" t="s">
        <v>9094</v>
      </c>
      <c r="M3799" t="s">
        <v>9094</v>
      </c>
      <c r="N3799" t="s">
        <v>9863</v>
      </c>
      <c r="O3799" t="s">
        <v>11130</v>
      </c>
      <c r="P3799" t="s">
        <v>11165</v>
      </c>
      <c r="R3799" t="s">
        <v>11180</v>
      </c>
      <c r="S3799" t="s">
        <v>9094</v>
      </c>
      <c r="T3799" t="s">
        <v>11183</v>
      </c>
      <c r="U3799" t="s">
        <v>11201</v>
      </c>
      <c r="V3799" t="s">
        <v>552</v>
      </c>
      <c r="W3799">
        <v>0</v>
      </c>
      <c r="X3799" t="s">
        <v>11335</v>
      </c>
      <c r="Y3799" t="s">
        <v>11339</v>
      </c>
      <c r="Z3799" t="s">
        <v>12251</v>
      </c>
      <c r="AC3799">
        <v>108</v>
      </c>
      <c r="AD3799" t="s">
        <v>19567</v>
      </c>
      <c r="AE3799" t="s">
        <v>19580</v>
      </c>
      <c r="AF3799">
        <v>4</v>
      </c>
      <c r="AG3799">
        <v>2</v>
      </c>
      <c r="AH3799">
        <v>0</v>
      </c>
      <c r="AI3799">
        <v>134.26</v>
      </c>
      <c r="AL3799" t="s">
        <v>19614</v>
      </c>
      <c r="AM3799">
        <v>22100</v>
      </c>
      <c r="AS3799">
        <v>0.2</v>
      </c>
      <c r="AT3799" t="s">
        <v>594</v>
      </c>
      <c r="AU3799" t="s">
        <v>20657</v>
      </c>
    </row>
    <row r="3800" spans="1:48">
      <c r="A3800" s="1">
        <f>HYPERLINK("https://lsnyc.legalserver.org/matter/dynamic-profile/view/1898822","19-1898822")</f>
        <v>0</v>
      </c>
      <c r="B3800" t="s">
        <v>134</v>
      </c>
      <c r="C3800" t="s">
        <v>257</v>
      </c>
      <c r="D3800" t="s">
        <v>337</v>
      </c>
      <c r="E3800" t="s">
        <v>493</v>
      </c>
      <c r="F3800" t="s">
        <v>2649</v>
      </c>
      <c r="G3800" t="s">
        <v>4893</v>
      </c>
      <c r="H3800" t="s">
        <v>7454</v>
      </c>
      <c r="I3800">
        <v>41</v>
      </c>
      <c r="J3800" t="s">
        <v>9067</v>
      </c>
      <c r="K3800">
        <v>10033</v>
      </c>
      <c r="L3800" t="s">
        <v>9094</v>
      </c>
      <c r="M3800" t="s">
        <v>9094</v>
      </c>
      <c r="O3800" t="s">
        <v>11128</v>
      </c>
      <c r="P3800" t="s">
        <v>11164</v>
      </c>
      <c r="Q3800" t="s">
        <v>11172</v>
      </c>
      <c r="R3800" t="s">
        <v>11180</v>
      </c>
      <c r="S3800" t="s">
        <v>9096</v>
      </c>
      <c r="T3800" t="s">
        <v>11183</v>
      </c>
      <c r="U3800" t="s">
        <v>11201</v>
      </c>
      <c r="V3800" t="s">
        <v>337</v>
      </c>
      <c r="W3800">
        <v>796.84</v>
      </c>
      <c r="X3800" t="s">
        <v>11335</v>
      </c>
      <c r="Y3800" t="s">
        <v>11338</v>
      </c>
      <c r="Z3800" t="s">
        <v>13881</v>
      </c>
      <c r="AB3800" t="s">
        <v>18211</v>
      </c>
      <c r="AC3800">
        <v>25</v>
      </c>
      <c r="AD3800" t="s">
        <v>19566</v>
      </c>
      <c r="AE3800" t="s">
        <v>9144</v>
      </c>
      <c r="AF3800">
        <v>38</v>
      </c>
      <c r="AG3800">
        <v>1</v>
      </c>
      <c r="AH3800">
        <v>0</v>
      </c>
      <c r="AI3800">
        <v>134.32</v>
      </c>
      <c r="AL3800" t="s">
        <v>19614</v>
      </c>
      <c r="AM3800">
        <v>16776</v>
      </c>
      <c r="AS3800">
        <v>3.3</v>
      </c>
      <c r="AT3800" t="s">
        <v>329</v>
      </c>
      <c r="AU3800" t="s">
        <v>130</v>
      </c>
      <c r="AV3800" t="s">
        <v>20733</v>
      </c>
    </row>
    <row r="3801" spans="1:48">
      <c r="A3801" s="1">
        <f>HYPERLINK("https://lsnyc.legalserver.org/matter/dynamic-profile/view/1909521","19-1909521")</f>
        <v>0</v>
      </c>
      <c r="B3801" t="s">
        <v>139</v>
      </c>
      <c r="C3801" t="s">
        <v>257</v>
      </c>
      <c r="D3801" t="s">
        <v>273</v>
      </c>
      <c r="E3801" t="s">
        <v>425</v>
      </c>
      <c r="F3801" t="s">
        <v>2649</v>
      </c>
      <c r="G3801" t="s">
        <v>4893</v>
      </c>
      <c r="H3801" t="s">
        <v>7454</v>
      </c>
      <c r="I3801">
        <v>41</v>
      </c>
      <c r="J3801" t="s">
        <v>9067</v>
      </c>
      <c r="K3801">
        <v>10033</v>
      </c>
      <c r="L3801" t="s">
        <v>9094</v>
      </c>
      <c r="M3801" t="s">
        <v>9095</v>
      </c>
      <c r="O3801" t="s">
        <v>11136</v>
      </c>
      <c r="P3801" t="s">
        <v>11164</v>
      </c>
      <c r="Q3801" t="s">
        <v>11172</v>
      </c>
      <c r="R3801" t="s">
        <v>11180</v>
      </c>
      <c r="S3801" t="s">
        <v>9096</v>
      </c>
      <c r="T3801" t="s">
        <v>11183</v>
      </c>
      <c r="V3801" t="s">
        <v>273</v>
      </c>
      <c r="W3801">
        <v>796.84</v>
      </c>
      <c r="X3801" t="s">
        <v>11335</v>
      </c>
      <c r="Y3801" t="s">
        <v>11340</v>
      </c>
      <c r="Z3801" t="s">
        <v>13881</v>
      </c>
      <c r="AB3801" t="s">
        <v>18211</v>
      </c>
      <c r="AC3801">
        <v>25</v>
      </c>
      <c r="AD3801" t="s">
        <v>19566</v>
      </c>
      <c r="AE3801" t="s">
        <v>9144</v>
      </c>
      <c r="AF3801">
        <v>38</v>
      </c>
      <c r="AG3801">
        <v>1</v>
      </c>
      <c r="AH3801">
        <v>0</v>
      </c>
      <c r="AI3801">
        <v>134.32</v>
      </c>
      <c r="AL3801" t="s">
        <v>19614</v>
      </c>
      <c r="AM3801">
        <v>16776</v>
      </c>
      <c r="AS3801">
        <v>0.1</v>
      </c>
      <c r="AT3801" t="s">
        <v>425</v>
      </c>
      <c r="AU3801" t="s">
        <v>130</v>
      </c>
      <c r="AV3801" t="s">
        <v>20733</v>
      </c>
    </row>
    <row r="3802" spans="1:48">
      <c r="A3802" s="1">
        <f>HYPERLINK("https://lsnyc.legalserver.org/matter/dynamic-profile/view/1908731","19-1908731")</f>
        <v>0</v>
      </c>
      <c r="B3802" t="s">
        <v>140</v>
      </c>
      <c r="C3802" t="s">
        <v>257</v>
      </c>
      <c r="D3802" t="s">
        <v>326</v>
      </c>
      <c r="E3802" t="s">
        <v>290</v>
      </c>
      <c r="F3802" t="s">
        <v>1413</v>
      </c>
      <c r="G3802" t="s">
        <v>4894</v>
      </c>
      <c r="H3802" t="s">
        <v>7455</v>
      </c>
      <c r="I3802" t="s">
        <v>8156</v>
      </c>
      <c r="J3802" t="s">
        <v>9067</v>
      </c>
      <c r="K3802">
        <v>10034</v>
      </c>
      <c r="L3802" t="s">
        <v>9094</v>
      </c>
      <c r="M3802" t="s">
        <v>9095</v>
      </c>
      <c r="P3802" t="s">
        <v>11167</v>
      </c>
      <c r="Q3802" t="s">
        <v>11173</v>
      </c>
      <c r="R3802" t="s">
        <v>11180</v>
      </c>
      <c r="T3802" t="s">
        <v>11183</v>
      </c>
      <c r="W3802">
        <v>0</v>
      </c>
      <c r="X3802" t="s">
        <v>11335</v>
      </c>
      <c r="Z3802" t="s">
        <v>13882</v>
      </c>
      <c r="AB3802" t="s">
        <v>18212</v>
      </c>
      <c r="AC3802">
        <v>0</v>
      </c>
      <c r="AF3802">
        <v>0</v>
      </c>
      <c r="AG3802">
        <v>1</v>
      </c>
      <c r="AH3802">
        <v>0</v>
      </c>
      <c r="AI3802">
        <v>134.41</v>
      </c>
      <c r="AL3802" t="s">
        <v>19614</v>
      </c>
      <c r="AM3802">
        <v>16788</v>
      </c>
      <c r="AS3802">
        <v>0.6</v>
      </c>
      <c r="AT3802" t="s">
        <v>326</v>
      </c>
      <c r="AU3802" t="s">
        <v>20638</v>
      </c>
      <c r="AV3802" t="s">
        <v>20733</v>
      </c>
    </row>
    <row r="3803" spans="1:48">
      <c r="A3803" s="1">
        <f>HYPERLINK("https://lsnyc.legalserver.org/matter/dynamic-profile/view/1912921","19-1912921")</f>
        <v>0</v>
      </c>
      <c r="B3803" t="s">
        <v>98</v>
      </c>
      <c r="C3803" t="s">
        <v>256</v>
      </c>
      <c r="D3803" t="s">
        <v>294</v>
      </c>
      <c r="F3803" t="s">
        <v>1358</v>
      </c>
      <c r="G3803" t="s">
        <v>3690</v>
      </c>
      <c r="H3803" t="s">
        <v>6713</v>
      </c>
      <c r="I3803" t="s">
        <v>8229</v>
      </c>
      <c r="J3803" t="s">
        <v>9065</v>
      </c>
      <c r="K3803">
        <v>10458</v>
      </c>
      <c r="L3803" t="s">
        <v>9094</v>
      </c>
      <c r="M3803" t="s">
        <v>9095</v>
      </c>
      <c r="O3803" t="s">
        <v>11130</v>
      </c>
      <c r="P3803" t="s">
        <v>11165</v>
      </c>
      <c r="R3803" t="s">
        <v>11180</v>
      </c>
      <c r="S3803" t="s">
        <v>9094</v>
      </c>
      <c r="T3803" t="s">
        <v>11183</v>
      </c>
      <c r="W3803">
        <v>475</v>
      </c>
      <c r="X3803" t="s">
        <v>11333</v>
      </c>
      <c r="Y3803" t="s">
        <v>11346</v>
      </c>
      <c r="Z3803" t="s">
        <v>13883</v>
      </c>
      <c r="AB3803" t="s">
        <v>18213</v>
      </c>
      <c r="AC3803">
        <v>94</v>
      </c>
      <c r="AD3803" t="s">
        <v>19567</v>
      </c>
      <c r="AE3803" t="s">
        <v>19580</v>
      </c>
      <c r="AF3803">
        <v>39</v>
      </c>
      <c r="AG3803">
        <v>2</v>
      </c>
      <c r="AH3803">
        <v>0</v>
      </c>
      <c r="AI3803">
        <v>134.48</v>
      </c>
      <c r="AL3803" t="s">
        <v>19614</v>
      </c>
      <c r="AM3803">
        <v>22740</v>
      </c>
      <c r="AS3803">
        <v>0</v>
      </c>
      <c r="AU3803" t="s">
        <v>20642</v>
      </c>
      <c r="AV3803" t="s">
        <v>20733</v>
      </c>
    </row>
    <row r="3804" spans="1:48">
      <c r="A3804" s="1">
        <f>HYPERLINK("https://lsnyc.legalserver.org/matter/dynamic-profile/view/1876956","18-1876956")</f>
        <v>0</v>
      </c>
      <c r="B3804" t="s">
        <v>114</v>
      </c>
      <c r="C3804" t="s">
        <v>256</v>
      </c>
      <c r="D3804" t="s">
        <v>593</v>
      </c>
      <c r="F3804" t="s">
        <v>2628</v>
      </c>
      <c r="G3804" t="s">
        <v>3411</v>
      </c>
      <c r="H3804" t="s">
        <v>7431</v>
      </c>
      <c r="I3804" t="s">
        <v>8774</v>
      </c>
      <c r="J3804" t="s">
        <v>9065</v>
      </c>
      <c r="K3804">
        <v>10459</v>
      </c>
      <c r="L3804" t="s">
        <v>9094</v>
      </c>
      <c r="M3804" t="s">
        <v>9094</v>
      </c>
      <c r="O3804" t="s">
        <v>11128</v>
      </c>
      <c r="P3804" t="s">
        <v>11165</v>
      </c>
      <c r="R3804" t="s">
        <v>11181</v>
      </c>
      <c r="S3804" t="s">
        <v>9096</v>
      </c>
      <c r="T3804" t="s">
        <v>11183</v>
      </c>
      <c r="V3804" t="s">
        <v>593</v>
      </c>
      <c r="W3804">
        <v>1720</v>
      </c>
      <c r="X3804" t="s">
        <v>11333</v>
      </c>
      <c r="Y3804" t="s">
        <v>11337</v>
      </c>
      <c r="Z3804" t="s">
        <v>13842</v>
      </c>
      <c r="AB3804" t="s">
        <v>18171</v>
      </c>
      <c r="AC3804">
        <v>128</v>
      </c>
      <c r="AD3804" t="s">
        <v>19566</v>
      </c>
      <c r="AE3804" t="s">
        <v>9144</v>
      </c>
      <c r="AF3804">
        <v>11</v>
      </c>
      <c r="AG3804">
        <v>2</v>
      </c>
      <c r="AH3804">
        <v>2</v>
      </c>
      <c r="AI3804">
        <v>134.5</v>
      </c>
      <c r="AJ3804" t="s">
        <v>19591</v>
      </c>
      <c r="AK3804" t="s">
        <v>19608</v>
      </c>
      <c r="AL3804" t="s">
        <v>19614</v>
      </c>
      <c r="AM3804">
        <v>33760</v>
      </c>
      <c r="AS3804">
        <v>58.6</v>
      </c>
      <c r="AT3804" t="s">
        <v>487</v>
      </c>
      <c r="AU3804" t="s">
        <v>228</v>
      </c>
    </row>
    <row r="3805" spans="1:48">
      <c r="A3805" s="1">
        <f>HYPERLINK("https://lsnyc.legalserver.org/matter/dynamic-profile/view/1901745","19-1901745")</f>
        <v>0</v>
      </c>
      <c r="B3805" t="s">
        <v>72</v>
      </c>
      <c r="C3805" t="s">
        <v>257</v>
      </c>
      <c r="D3805" t="s">
        <v>610</v>
      </c>
      <c r="E3805" t="s">
        <v>321</v>
      </c>
      <c r="F3805" t="s">
        <v>2650</v>
      </c>
      <c r="G3805" t="s">
        <v>4895</v>
      </c>
      <c r="H3805" t="s">
        <v>7456</v>
      </c>
      <c r="I3805" t="s">
        <v>8119</v>
      </c>
      <c r="J3805" t="s">
        <v>9059</v>
      </c>
      <c r="K3805">
        <v>11233</v>
      </c>
      <c r="L3805" t="s">
        <v>9094</v>
      </c>
      <c r="M3805" t="s">
        <v>9095</v>
      </c>
      <c r="N3805" t="s">
        <v>10525</v>
      </c>
      <c r="O3805" t="s">
        <v>11129</v>
      </c>
      <c r="P3805" t="s">
        <v>11165</v>
      </c>
      <c r="Q3805" t="s">
        <v>11178</v>
      </c>
      <c r="R3805" t="s">
        <v>11180</v>
      </c>
      <c r="S3805" t="s">
        <v>9096</v>
      </c>
      <c r="T3805" t="s">
        <v>11183</v>
      </c>
      <c r="U3805" t="s">
        <v>11201</v>
      </c>
      <c r="V3805" t="s">
        <v>493</v>
      </c>
      <c r="W3805">
        <v>1032</v>
      </c>
      <c r="X3805" t="s">
        <v>11332</v>
      </c>
      <c r="Z3805" t="s">
        <v>13884</v>
      </c>
      <c r="AA3805" t="s">
        <v>9171</v>
      </c>
      <c r="AB3805" t="s">
        <v>18214</v>
      </c>
      <c r="AC3805">
        <v>6</v>
      </c>
      <c r="AD3805" t="s">
        <v>19566</v>
      </c>
      <c r="AE3805" t="s">
        <v>9144</v>
      </c>
      <c r="AF3805">
        <v>3</v>
      </c>
      <c r="AG3805">
        <v>1</v>
      </c>
      <c r="AH3805">
        <v>0</v>
      </c>
      <c r="AI3805">
        <v>134.51</v>
      </c>
      <c r="AL3805" t="s">
        <v>19614</v>
      </c>
      <c r="AM3805">
        <v>16800</v>
      </c>
      <c r="AS3805">
        <v>25.75</v>
      </c>
      <c r="AT3805" t="s">
        <v>321</v>
      </c>
      <c r="AU3805" t="s">
        <v>20627</v>
      </c>
      <c r="AV3805" t="s">
        <v>20733</v>
      </c>
    </row>
    <row r="3806" spans="1:48">
      <c r="A3806" s="1">
        <f>HYPERLINK("https://lsnyc.legalserver.org/matter/dynamic-profile/view/1905528","19-1905528")</f>
        <v>0</v>
      </c>
      <c r="B3806" t="s">
        <v>140</v>
      </c>
      <c r="C3806" t="s">
        <v>257</v>
      </c>
      <c r="D3806" t="s">
        <v>457</v>
      </c>
      <c r="E3806" t="s">
        <v>481</v>
      </c>
      <c r="F3806" t="s">
        <v>1358</v>
      </c>
      <c r="G3806" t="s">
        <v>3448</v>
      </c>
      <c r="H3806" t="s">
        <v>7457</v>
      </c>
      <c r="I3806" t="s">
        <v>8193</v>
      </c>
      <c r="J3806" t="s">
        <v>9065</v>
      </c>
      <c r="K3806">
        <v>10463</v>
      </c>
      <c r="L3806" t="s">
        <v>9094</v>
      </c>
      <c r="M3806" t="s">
        <v>9095</v>
      </c>
      <c r="O3806" t="s">
        <v>11136</v>
      </c>
      <c r="P3806" t="s">
        <v>11164</v>
      </c>
      <c r="Q3806" t="s">
        <v>11172</v>
      </c>
      <c r="R3806" t="s">
        <v>11180</v>
      </c>
      <c r="S3806" t="s">
        <v>9096</v>
      </c>
      <c r="T3806" t="s">
        <v>11183</v>
      </c>
      <c r="V3806" t="s">
        <v>457</v>
      </c>
      <c r="W3806">
        <v>1300</v>
      </c>
      <c r="X3806" t="s">
        <v>11335</v>
      </c>
      <c r="Y3806" t="s">
        <v>11338</v>
      </c>
      <c r="Z3806" t="s">
        <v>13885</v>
      </c>
      <c r="AA3806" t="s">
        <v>15820</v>
      </c>
      <c r="AB3806" t="s">
        <v>18215</v>
      </c>
      <c r="AC3806">
        <v>100</v>
      </c>
      <c r="AD3806" t="s">
        <v>19566</v>
      </c>
      <c r="AE3806" t="s">
        <v>9144</v>
      </c>
      <c r="AF3806">
        <v>8</v>
      </c>
      <c r="AG3806">
        <v>1</v>
      </c>
      <c r="AH3806">
        <v>0</v>
      </c>
      <c r="AI3806">
        <v>134.51</v>
      </c>
      <c r="AL3806" t="s">
        <v>19615</v>
      </c>
      <c r="AM3806">
        <v>16800</v>
      </c>
      <c r="AS3806">
        <v>1</v>
      </c>
      <c r="AT3806" t="s">
        <v>457</v>
      </c>
      <c r="AU3806" t="s">
        <v>130</v>
      </c>
      <c r="AV3806" t="s">
        <v>20734</v>
      </c>
    </row>
    <row r="3807" spans="1:48">
      <c r="A3807" s="1">
        <f>HYPERLINK("https://lsnyc.legalserver.org/matter/dynamic-profile/view/1903670","19-1903670")</f>
        <v>0</v>
      </c>
      <c r="B3807" t="s">
        <v>122</v>
      </c>
      <c r="C3807" t="s">
        <v>256</v>
      </c>
      <c r="D3807" t="s">
        <v>700</v>
      </c>
      <c r="F3807" t="s">
        <v>1252</v>
      </c>
      <c r="G3807" t="s">
        <v>4896</v>
      </c>
      <c r="H3807" t="s">
        <v>5911</v>
      </c>
      <c r="I3807" t="s">
        <v>8782</v>
      </c>
      <c r="J3807" t="s">
        <v>9066</v>
      </c>
      <c r="K3807">
        <v>10314</v>
      </c>
      <c r="L3807" t="s">
        <v>9094</v>
      </c>
      <c r="M3807" t="s">
        <v>9095</v>
      </c>
      <c r="N3807" t="s">
        <v>10526</v>
      </c>
      <c r="O3807" t="s">
        <v>11134</v>
      </c>
      <c r="P3807" t="s">
        <v>11168</v>
      </c>
      <c r="R3807" t="s">
        <v>11180</v>
      </c>
      <c r="S3807" t="s">
        <v>9094</v>
      </c>
      <c r="T3807" t="s">
        <v>11183</v>
      </c>
      <c r="U3807" t="s">
        <v>11201</v>
      </c>
      <c r="W3807">
        <v>1400</v>
      </c>
      <c r="X3807" t="s">
        <v>11334</v>
      </c>
      <c r="Y3807" t="s">
        <v>11340</v>
      </c>
      <c r="Z3807" t="s">
        <v>12892</v>
      </c>
      <c r="AB3807" t="s">
        <v>18216</v>
      </c>
      <c r="AC3807">
        <v>96</v>
      </c>
      <c r="AD3807" t="s">
        <v>19566</v>
      </c>
      <c r="AE3807" t="s">
        <v>19587</v>
      </c>
      <c r="AF3807">
        <v>9</v>
      </c>
      <c r="AG3807">
        <v>1</v>
      </c>
      <c r="AH3807">
        <v>0</v>
      </c>
      <c r="AI3807">
        <v>134.51</v>
      </c>
      <c r="AL3807" t="s">
        <v>19614</v>
      </c>
      <c r="AM3807">
        <v>16800</v>
      </c>
      <c r="AO3807" t="s">
        <v>20293</v>
      </c>
      <c r="AP3807" t="s">
        <v>20316</v>
      </c>
      <c r="AQ3807" t="s">
        <v>20369</v>
      </c>
      <c r="AR3807" t="s">
        <v>20372</v>
      </c>
      <c r="AS3807">
        <v>0.6</v>
      </c>
      <c r="AT3807" t="s">
        <v>321</v>
      </c>
      <c r="AU3807" t="s">
        <v>20653</v>
      </c>
      <c r="AV3807" t="s">
        <v>20733</v>
      </c>
    </row>
    <row r="3808" spans="1:48">
      <c r="A3808" s="1">
        <f>HYPERLINK("https://lsnyc.legalserver.org/matter/dynamic-profile/view/0804515","16-0804515")</f>
        <v>0</v>
      </c>
      <c r="B3808" t="s">
        <v>57</v>
      </c>
      <c r="C3808" t="s">
        <v>256</v>
      </c>
      <c r="D3808" t="s">
        <v>1039</v>
      </c>
      <c r="F3808" t="s">
        <v>2484</v>
      </c>
      <c r="G3808" t="s">
        <v>3827</v>
      </c>
      <c r="H3808" t="s">
        <v>7458</v>
      </c>
      <c r="I3808" t="s">
        <v>8568</v>
      </c>
      <c r="J3808" t="s">
        <v>9039</v>
      </c>
      <c r="K3808">
        <v>11434</v>
      </c>
      <c r="L3808" t="s">
        <v>9094</v>
      </c>
      <c r="M3808" t="s">
        <v>9095</v>
      </c>
      <c r="N3808" t="s">
        <v>10527</v>
      </c>
      <c r="O3808" t="s">
        <v>11129</v>
      </c>
      <c r="P3808" t="s">
        <v>11165</v>
      </c>
      <c r="R3808" t="s">
        <v>11180</v>
      </c>
      <c r="S3808" t="s">
        <v>9096</v>
      </c>
      <c r="T3808" t="s">
        <v>11183</v>
      </c>
      <c r="V3808" t="s">
        <v>734</v>
      </c>
      <c r="W3808">
        <v>1148.98</v>
      </c>
      <c r="X3808" t="s">
        <v>11331</v>
      </c>
      <c r="Y3808" t="s">
        <v>11342</v>
      </c>
      <c r="Z3808" t="s">
        <v>13886</v>
      </c>
      <c r="AA3808" t="s">
        <v>9171</v>
      </c>
      <c r="AB3808" t="s">
        <v>18217</v>
      </c>
      <c r="AC3808">
        <v>100</v>
      </c>
      <c r="AD3808" t="s">
        <v>19568</v>
      </c>
      <c r="AE3808" t="s">
        <v>9144</v>
      </c>
      <c r="AF3808">
        <v>10</v>
      </c>
      <c r="AG3808">
        <v>1</v>
      </c>
      <c r="AH3808">
        <v>0</v>
      </c>
      <c r="AI3808">
        <v>134.68</v>
      </c>
      <c r="AL3808" t="s">
        <v>19614</v>
      </c>
      <c r="AM3808">
        <v>16000</v>
      </c>
      <c r="AN3808" t="s">
        <v>19710</v>
      </c>
      <c r="AS3808">
        <v>55.1</v>
      </c>
      <c r="AT3808" t="s">
        <v>321</v>
      </c>
      <c r="AU3808" t="s">
        <v>60</v>
      </c>
    </row>
    <row r="3809" spans="1:48">
      <c r="A3809" s="1">
        <f>HYPERLINK("https://lsnyc.legalserver.org/matter/dynamic-profile/view/1849148","17-1849148")</f>
        <v>0</v>
      </c>
      <c r="B3809" t="s">
        <v>69</v>
      </c>
      <c r="C3809" t="s">
        <v>257</v>
      </c>
      <c r="D3809" t="s">
        <v>1040</v>
      </c>
      <c r="E3809" t="s">
        <v>1130</v>
      </c>
      <c r="F3809" t="s">
        <v>2206</v>
      </c>
      <c r="G3809" t="s">
        <v>4435</v>
      </c>
      <c r="H3809" t="s">
        <v>6933</v>
      </c>
      <c r="I3809" t="s">
        <v>8124</v>
      </c>
      <c r="J3809" t="s">
        <v>9067</v>
      </c>
      <c r="K3809">
        <v>10035</v>
      </c>
      <c r="L3809" t="s">
        <v>9094</v>
      </c>
      <c r="M3809" t="s">
        <v>9095</v>
      </c>
      <c r="O3809" t="s">
        <v>11131</v>
      </c>
      <c r="P3809" t="s">
        <v>11168</v>
      </c>
      <c r="Q3809" t="s">
        <v>11176</v>
      </c>
      <c r="R3809" t="s">
        <v>11180</v>
      </c>
      <c r="S3809" t="s">
        <v>9096</v>
      </c>
      <c r="T3809" t="s">
        <v>11191</v>
      </c>
      <c r="V3809" t="s">
        <v>1040</v>
      </c>
      <c r="W3809">
        <v>0</v>
      </c>
      <c r="X3809" t="s">
        <v>11335</v>
      </c>
      <c r="Y3809" t="s">
        <v>11347</v>
      </c>
      <c r="Z3809" t="s">
        <v>13005</v>
      </c>
      <c r="AB3809" t="s">
        <v>17369</v>
      </c>
      <c r="AC3809">
        <v>42</v>
      </c>
      <c r="AD3809" t="s">
        <v>19567</v>
      </c>
      <c r="AE3809" t="s">
        <v>19580</v>
      </c>
      <c r="AF3809">
        <v>40</v>
      </c>
      <c r="AG3809">
        <v>3</v>
      </c>
      <c r="AH3809">
        <v>1</v>
      </c>
      <c r="AI3809">
        <v>134.73</v>
      </c>
      <c r="AL3809" t="s">
        <v>19614</v>
      </c>
      <c r="AM3809">
        <v>42840</v>
      </c>
      <c r="AS3809">
        <v>24.25</v>
      </c>
      <c r="AT3809" t="s">
        <v>11246</v>
      </c>
      <c r="AU3809" t="s">
        <v>20657</v>
      </c>
    </row>
    <row r="3810" spans="1:48">
      <c r="A3810" s="1">
        <f>HYPERLINK("https://lsnyc.legalserver.org/matter/dynamic-profile/view/1884410","18-1884410")</f>
        <v>0</v>
      </c>
      <c r="B3810" t="s">
        <v>64</v>
      </c>
      <c r="C3810" t="s">
        <v>257</v>
      </c>
      <c r="D3810" t="s">
        <v>511</v>
      </c>
      <c r="E3810" t="s">
        <v>992</v>
      </c>
      <c r="F3810" t="s">
        <v>2651</v>
      </c>
      <c r="G3810" t="s">
        <v>4897</v>
      </c>
      <c r="H3810" t="s">
        <v>7459</v>
      </c>
      <c r="I3810" t="s">
        <v>8134</v>
      </c>
      <c r="J3810" t="s">
        <v>9059</v>
      </c>
      <c r="K3810">
        <v>11249</v>
      </c>
      <c r="L3810" t="s">
        <v>9095</v>
      </c>
      <c r="M3810" t="s">
        <v>9095</v>
      </c>
      <c r="Q3810" t="s">
        <v>11172</v>
      </c>
      <c r="R3810" t="s">
        <v>11180</v>
      </c>
      <c r="T3810" t="s">
        <v>11183</v>
      </c>
      <c r="W3810">
        <v>4400</v>
      </c>
      <c r="X3810" t="s">
        <v>11332</v>
      </c>
      <c r="Y3810" t="s">
        <v>11350</v>
      </c>
      <c r="Z3810" t="s">
        <v>13887</v>
      </c>
      <c r="AB3810" t="s">
        <v>18218</v>
      </c>
      <c r="AC3810">
        <v>89</v>
      </c>
      <c r="AE3810" t="s">
        <v>9144</v>
      </c>
      <c r="AF3810">
        <v>0</v>
      </c>
      <c r="AG3810">
        <v>2</v>
      </c>
      <c r="AH3810">
        <v>1</v>
      </c>
      <c r="AI3810">
        <v>134.74</v>
      </c>
      <c r="AL3810" t="s">
        <v>19614</v>
      </c>
      <c r="AM3810">
        <v>28000</v>
      </c>
      <c r="AS3810">
        <v>1</v>
      </c>
      <c r="AT3810" t="s">
        <v>511</v>
      </c>
      <c r="AU3810" t="s">
        <v>20639</v>
      </c>
    </row>
    <row r="3811" spans="1:48">
      <c r="A3811" s="1">
        <f>HYPERLINK("https://lsnyc.legalserver.org/matter/dynamic-profile/view/1894012","19-1894012")</f>
        <v>0</v>
      </c>
      <c r="B3811" t="s">
        <v>115</v>
      </c>
      <c r="C3811" t="s">
        <v>256</v>
      </c>
      <c r="D3811" t="s">
        <v>413</v>
      </c>
      <c r="F3811" t="s">
        <v>1287</v>
      </c>
      <c r="G3811" t="s">
        <v>4278</v>
      </c>
      <c r="H3811" t="s">
        <v>6005</v>
      </c>
      <c r="I3811">
        <v>38</v>
      </c>
      <c r="J3811" t="s">
        <v>9065</v>
      </c>
      <c r="K3811">
        <v>10458</v>
      </c>
      <c r="L3811" t="s">
        <v>9094</v>
      </c>
      <c r="M3811" t="s">
        <v>9094</v>
      </c>
      <c r="O3811" t="s">
        <v>11136</v>
      </c>
      <c r="P3811" t="s">
        <v>11164</v>
      </c>
      <c r="R3811" t="s">
        <v>11180</v>
      </c>
      <c r="S3811" t="s">
        <v>9094</v>
      </c>
      <c r="T3811" t="s">
        <v>11183</v>
      </c>
      <c r="V3811" t="s">
        <v>11218</v>
      </c>
      <c r="W3811">
        <v>1648</v>
      </c>
      <c r="X3811" t="s">
        <v>11333</v>
      </c>
      <c r="Y3811" t="s">
        <v>11346</v>
      </c>
      <c r="Z3811" t="s">
        <v>13888</v>
      </c>
      <c r="AC3811">
        <v>48</v>
      </c>
      <c r="AD3811" t="s">
        <v>19566</v>
      </c>
      <c r="AE3811" t="s">
        <v>19580</v>
      </c>
      <c r="AF3811">
        <v>6</v>
      </c>
      <c r="AG3811">
        <v>1</v>
      </c>
      <c r="AH3811">
        <v>0</v>
      </c>
      <c r="AI3811">
        <v>134.89</v>
      </c>
      <c r="AL3811" t="s">
        <v>19614</v>
      </c>
      <c r="AM3811">
        <v>16848</v>
      </c>
      <c r="AS3811">
        <v>1</v>
      </c>
      <c r="AT3811" t="s">
        <v>413</v>
      </c>
      <c r="AU3811" t="s">
        <v>174</v>
      </c>
    </row>
    <row r="3812" spans="1:48">
      <c r="A3812" s="1">
        <f>HYPERLINK("https://lsnyc.legalserver.org/matter/dynamic-profile/view/1914713","19-1914713")</f>
        <v>0</v>
      </c>
      <c r="B3812" t="s">
        <v>71</v>
      </c>
      <c r="C3812" t="s">
        <v>256</v>
      </c>
      <c r="D3812" t="s">
        <v>632</v>
      </c>
      <c r="F3812" t="s">
        <v>1468</v>
      </c>
      <c r="G3812" t="s">
        <v>4898</v>
      </c>
      <c r="H3812" t="s">
        <v>5811</v>
      </c>
      <c r="I3812" t="s">
        <v>8140</v>
      </c>
      <c r="J3812" t="s">
        <v>9059</v>
      </c>
      <c r="K3812">
        <v>11212</v>
      </c>
      <c r="L3812" t="s">
        <v>9096</v>
      </c>
      <c r="M3812" t="s">
        <v>9095</v>
      </c>
      <c r="N3812" t="s">
        <v>10528</v>
      </c>
      <c r="O3812" t="s">
        <v>11129</v>
      </c>
      <c r="R3812" t="s">
        <v>11180</v>
      </c>
      <c r="S3812" t="s">
        <v>9096</v>
      </c>
      <c r="T3812" t="s">
        <v>11183</v>
      </c>
      <c r="U3812" t="s">
        <v>11201</v>
      </c>
      <c r="W3812">
        <v>706</v>
      </c>
      <c r="X3812" t="s">
        <v>11332</v>
      </c>
      <c r="Y3812" t="s">
        <v>11346</v>
      </c>
      <c r="Z3812" t="s">
        <v>13889</v>
      </c>
      <c r="AA3812" t="s">
        <v>9144</v>
      </c>
      <c r="AB3812" t="s">
        <v>18219</v>
      </c>
      <c r="AC3812">
        <v>0</v>
      </c>
      <c r="AD3812" t="s">
        <v>19566</v>
      </c>
      <c r="AE3812" t="s">
        <v>19580</v>
      </c>
      <c r="AF3812">
        <v>10</v>
      </c>
      <c r="AG3812">
        <v>3</v>
      </c>
      <c r="AH3812">
        <v>0</v>
      </c>
      <c r="AI3812">
        <v>135.02</v>
      </c>
      <c r="AL3812" t="s">
        <v>19614</v>
      </c>
      <c r="AM3812">
        <v>28800</v>
      </c>
      <c r="AS3812">
        <v>0</v>
      </c>
      <c r="AU3812" t="s">
        <v>95</v>
      </c>
      <c r="AV3812" t="s">
        <v>9144</v>
      </c>
    </row>
    <row r="3813" spans="1:48">
      <c r="A3813" s="1">
        <f>HYPERLINK("https://lsnyc.legalserver.org/matter/dynamic-profile/view/0777425","15-0777425")</f>
        <v>0</v>
      </c>
      <c r="B3813" t="s">
        <v>167</v>
      </c>
      <c r="C3813" t="s">
        <v>256</v>
      </c>
      <c r="D3813" t="s">
        <v>1041</v>
      </c>
      <c r="F3813" t="s">
        <v>1173</v>
      </c>
      <c r="G3813" t="s">
        <v>4899</v>
      </c>
      <c r="H3813" t="s">
        <v>6174</v>
      </c>
      <c r="I3813" t="s">
        <v>8151</v>
      </c>
      <c r="J3813" t="s">
        <v>9059</v>
      </c>
      <c r="K3813">
        <v>11233</v>
      </c>
      <c r="L3813" t="s">
        <v>9095</v>
      </c>
      <c r="M3813" t="s">
        <v>9095</v>
      </c>
      <c r="N3813" t="s">
        <v>10529</v>
      </c>
      <c r="O3813" t="s">
        <v>11128</v>
      </c>
      <c r="P3813" t="s">
        <v>11165</v>
      </c>
      <c r="R3813" t="s">
        <v>11180</v>
      </c>
      <c r="T3813" t="s">
        <v>11183</v>
      </c>
      <c r="V3813" t="s">
        <v>1041</v>
      </c>
      <c r="W3813">
        <v>300</v>
      </c>
      <c r="X3813" t="s">
        <v>11332</v>
      </c>
      <c r="Y3813" t="s">
        <v>11342</v>
      </c>
      <c r="Z3813" t="s">
        <v>13890</v>
      </c>
      <c r="AB3813" t="s">
        <v>18220</v>
      </c>
      <c r="AC3813">
        <v>0</v>
      </c>
      <c r="AD3813" t="s">
        <v>19566</v>
      </c>
      <c r="AF3813">
        <v>4</v>
      </c>
      <c r="AG3813">
        <v>1</v>
      </c>
      <c r="AH3813">
        <v>0</v>
      </c>
      <c r="AI3813">
        <v>135.19</v>
      </c>
      <c r="AL3813" t="s">
        <v>19614</v>
      </c>
      <c r="AM3813">
        <v>15912</v>
      </c>
      <c r="AS3813">
        <v>70.15000000000001</v>
      </c>
      <c r="AT3813" t="s">
        <v>286</v>
      </c>
      <c r="AU3813" t="s">
        <v>20630</v>
      </c>
    </row>
    <row r="3814" spans="1:48">
      <c r="A3814" s="1">
        <f>HYPERLINK("https://lsnyc.legalserver.org/matter/dynamic-profile/view/1910113","19-1910113")</f>
        <v>0</v>
      </c>
      <c r="B3814" t="s">
        <v>138</v>
      </c>
      <c r="C3814" t="s">
        <v>256</v>
      </c>
      <c r="D3814" t="s">
        <v>435</v>
      </c>
      <c r="F3814" t="s">
        <v>1749</v>
      </c>
      <c r="G3814" t="s">
        <v>3402</v>
      </c>
      <c r="H3814" t="s">
        <v>6231</v>
      </c>
      <c r="J3814" t="s">
        <v>9067</v>
      </c>
      <c r="K3814">
        <v>10033</v>
      </c>
      <c r="L3814" t="s">
        <v>9094</v>
      </c>
      <c r="M3814" t="s">
        <v>9095</v>
      </c>
      <c r="O3814" t="s">
        <v>11130</v>
      </c>
      <c r="P3814" t="s">
        <v>11167</v>
      </c>
      <c r="R3814" t="s">
        <v>11180</v>
      </c>
      <c r="S3814" t="s">
        <v>9094</v>
      </c>
      <c r="T3814" t="s">
        <v>11183</v>
      </c>
      <c r="V3814" t="s">
        <v>435</v>
      </c>
      <c r="W3814">
        <v>650</v>
      </c>
      <c r="X3814" t="s">
        <v>11335</v>
      </c>
      <c r="Y3814" t="s">
        <v>11338</v>
      </c>
      <c r="Z3814" t="s">
        <v>13230</v>
      </c>
      <c r="AB3814" t="s">
        <v>17583</v>
      </c>
      <c r="AC3814">
        <v>24</v>
      </c>
      <c r="AD3814" t="s">
        <v>19566</v>
      </c>
      <c r="AE3814" t="s">
        <v>9144</v>
      </c>
      <c r="AF3814">
        <v>1</v>
      </c>
      <c r="AG3814">
        <v>1</v>
      </c>
      <c r="AH3814">
        <v>0</v>
      </c>
      <c r="AI3814">
        <v>135.31</v>
      </c>
      <c r="AL3814" t="s">
        <v>19614</v>
      </c>
      <c r="AM3814">
        <v>16900</v>
      </c>
      <c r="AS3814">
        <v>0</v>
      </c>
      <c r="AU3814" t="s">
        <v>130</v>
      </c>
      <c r="AV3814" t="s">
        <v>20733</v>
      </c>
    </row>
    <row r="3815" spans="1:48">
      <c r="A3815" s="1">
        <f>HYPERLINK("https://lsnyc.legalserver.org/matter/dynamic-profile/view/1885512","18-1885512")</f>
        <v>0</v>
      </c>
      <c r="B3815" t="s">
        <v>111</v>
      </c>
      <c r="C3815" t="s">
        <v>256</v>
      </c>
      <c r="D3815" t="s">
        <v>685</v>
      </c>
      <c r="F3815" t="s">
        <v>2652</v>
      </c>
      <c r="G3815" t="s">
        <v>1538</v>
      </c>
      <c r="H3815" t="s">
        <v>6370</v>
      </c>
      <c r="I3815" t="s">
        <v>8723</v>
      </c>
      <c r="J3815" t="s">
        <v>9065</v>
      </c>
      <c r="K3815">
        <v>10463</v>
      </c>
      <c r="L3815" t="s">
        <v>9094</v>
      </c>
      <c r="M3815" t="s">
        <v>9094</v>
      </c>
      <c r="N3815" t="s">
        <v>9673</v>
      </c>
      <c r="O3815" t="s">
        <v>11130</v>
      </c>
      <c r="P3815" t="s">
        <v>11165</v>
      </c>
      <c r="R3815" t="s">
        <v>11180</v>
      </c>
      <c r="S3815" t="s">
        <v>9094</v>
      </c>
      <c r="T3815" t="s">
        <v>11183</v>
      </c>
      <c r="V3815" t="s">
        <v>738</v>
      </c>
      <c r="W3815">
        <v>1074</v>
      </c>
      <c r="X3815" t="s">
        <v>11333</v>
      </c>
      <c r="Y3815" t="s">
        <v>11346</v>
      </c>
      <c r="Z3815" t="s">
        <v>13891</v>
      </c>
      <c r="AC3815">
        <v>55</v>
      </c>
      <c r="AD3815" t="s">
        <v>19566</v>
      </c>
      <c r="AE3815" t="s">
        <v>9144</v>
      </c>
      <c r="AF3815">
        <v>7</v>
      </c>
      <c r="AG3815">
        <v>2</v>
      </c>
      <c r="AH3815">
        <v>2</v>
      </c>
      <c r="AI3815">
        <v>135.46</v>
      </c>
      <c r="AL3815" t="s">
        <v>19615</v>
      </c>
      <c r="AM3815">
        <v>34000</v>
      </c>
      <c r="AN3815" t="s">
        <v>19819</v>
      </c>
      <c r="AS3815">
        <v>0</v>
      </c>
      <c r="AU3815" t="s">
        <v>20647</v>
      </c>
    </row>
    <row r="3816" spans="1:48">
      <c r="A3816" s="1">
        <f>HYPERLINK("https://lsnyc.legalserver.org/matter/dynamic-profile/view/1890260","19-1890260")</f>
        <v>0</v>
      </c>
      <c r="B3816" t="s">
        <v>114</v>
      </c>
      <c r="C3816" t="s">
        <v>256</v>
      </c>
      <c r="D3816" t="s">
        <v>633</v>
      </c>
      <c r="F3816" t="s">
        <v>2653</v>
      </c>
      <c r="G3816" t="s">
        <v>2284</v>
      </c>
      <c r="H3816" t="s">
        <v>7460</v>
      </c>
      <c r="I3816" t="s">
        <v>8783</v>
      </c>
      <c r="J3816" t="s">
        <v>9065</v>
      </c>
      <c r="K3816">
        <v>10460</v>
      </c>
      <c r="L3816" t="s">
        <v>9094</v>
      </c>
      <c r="M3816" t="s">
        <v>9095</v>
      </c>
      <c r="O3816" t="s">
        <v>9121</v>
      </c>
      <c r="P3816" t="s">
        <v>11166</v>
      </c>
      <c r="R3816" t="s">
        <v>11180</v>
      </c>
      <c r="S3816" t="s">
        <v>9096</v>
      </c>
      <c r="T3816" t="s">
        <v>11183</v>
      </c>
      <c r="V3816" t="s">
        <v>11218</v>
      </c>
      <c r="W3816">
        <v>1400</v>
      </c>
      <c r="X3816" t="s">
        <v>11333</v>
      </c>
      <c r="Z3816" t="s">
        <v>13892</v>
      </c>
      <c r="AB3816" t="s">
        <v>18221</v>
      </c>
      <c r="AC3816">
        <v>30</v>
      </c>
      <c r="AD3816" t="s">
        <v>19566</v>
      </c>
      <c r="AE3816" t="s">
        <v>9144</v>
      </c>
      <c r="AF3816">
        <v>2</v>
      </c>
      <c r="AG3816">
        <v>1</v>
      </c>
      <c r="AH3816">
        <v>0</v>
      </c>
      <c r="AI3816">
        <v>135.47</v>
      </c>
      <c r="AL3816" t="s">
        <v>19614</v>
      </c>
      <c r="AM3816">
        <v>16920</v>
      </c>
      <c r="AS3816">
        <v>5.2</v>
      </c>
      <c r="AT3816" t="s">
        <v>338</v>
      </c>
      <c r="AU3816" t="s">
        <v>20635</v>
      </c>
      <c r="AV3816" t="s">
        <v>20733</v>
      </c>
    </row>
    <row r="3817" spans="1:48">
      <c r="A3817" s="1">
        <f>HYPERLINK("https://lsnyc.legalserver.org/matter/dynamic-profile/view/0820602","16-0820602")</f>
        <v>0</v>
      </c>
      <c r="B3817" t="s">
        <v>101</v>
      </c>
      <c r="C3817" t="s">
        <v>256</v>
      </c>
      <c r="D3817" t="s">
        <v>461</v>
      </c>
      <c r="F3817" t="s">
        <v>2071</v>
      </c>
      <c r="G3817" t="s">
        <v>4900</v>
      </c>
      <c r="H3817" t="s">
        <v>5898</v>
      </c>
      <c r="I3817" t="s">
        <v>8266</v>
      </c>
      <c r="J3817" t="s">
        <v>9065</v>
      </c>
      <c r="K3817">
        <v>10452</v>
      </c>
      <c r="L3817" t="s">
        <v>9094</v>
      </c>
      <c r="M3817" t="s">
        <v>9095</v>
      </c>
      <c r="N3817" t="s">
        <v>9251</v>
      </c>
      <c r="O3817" t="s">
        <v>11132</v>
      </c>
      <c r="P3817" t="s">
        <v>11165</v>
      </c>
      <c r="R3817" t="s">
        <v>11180</v>
      </c>
      <c r="S3817" t="s">
        <v>9094</v>
      </c>
      <c r="T3817" t="s">
        <v>11183</v>
      </c>
      <c r="V3817" t="s">
        <v>11225</v>
      </c>
      <c r="W3817">
        <v>1068.74</v>
      </c>
      <c r="X3817" t="s">
        <v>11333</v>
      </c>
      <c r="Y3817" t="s">
        <v>11338</v>
      </c>
      <c r="Z3817" t="s">
        <v>13893</v>
      </c>
      <c r="AB3817" t="s">
        <v>18222</v>
      </c>
      <c r="AC3817">
        <v>130</v>
      </c>
      <c r="AD3817" t="s">
        <v>19566</v>
      </c>
      <c r="AF3817">
        <v>8</v>
      </c>
      <c r="AG3817">
        <v>2</v>
      </c>
      <c r="AH3817">
        <v>4</v>
      </c>
      <c r="AI3817">
        <v>135.67</v>
      </c>
      <c r="AL3817" t="s">
        <v>19614</v>
      </c>
      <c r="AM3817">
        <v>88400</v>
      </c>
      <c r="AS3817">
        <v>0</v>
      </c>
      <c r="AU3817" t="s">
        <v>20643</v>
      </c>
    </row>
    <row r="3818" spans="1:48">
      <c r="A3818" s="1">
        <f>HYPERLINK("https://lsnyc.legalserver.org/matter/dynamic-profile/view/1912120","19-1912120")</f>
        <v>0</v>
      </c>
      <c r="B3818" t="s">
        <v>65</v>
      </c>
      <c r="C3818" t="s">
        <v>256</v>
      </c>
      <c r="D3818" t="s">
        <v>404</v>
      </c>
      <c r="F3818" t="s">
        <v>1969</v>
      </c>
      <c r="G3818" t="s">
        <v>4901</v>
      </c>
      <c r="H3818" t="s">
        <v>7461</v>
      </c>
      <c r="I3818" t="s">
        <v>8133</v>
      </c>
      <c r="J3818" t="s">
        <v>9059</v>
      </c>
      <c r="K3818">
        <v>11226</v>
      </c>
      <c r="L3818" t="s">
        <v>9094</v>
      </c>
      <c r="M3818" t="s">
        <v>9095</v>
      </c>
      <c r="O3818" t="s">
        <v>11137</v>
      </c>
      <c r="P3818" t="s">
        <v>11166</v>
      </c>
      <c r="R3818" t="s">
        <v>11180</v>
      </c>
      <c r="S3818" t="s">
        <v>9096</v>
      </c>
      <c r="T3818" t="s">
        <v>11183</v>
      </c>
      <c r="V3818" t="s">
        <v>404</v>
      </c>
      <c r="W3818">
        <v>0</v>
      </c>
      <c r="X3818" t="s">
        <v>11332</v>
      </c>
      <c r="Z3818" t="s">
        <v>13894</v>
      </c>
      <c r="AC3818">
        <v>83</v>
      </c>
      <c r="AF3818">
        <v>8</v>
      </c>
      <c r="AG3818">
        <v>2</v>
      </c>
      <c r="AH3818">
        <v>2</v>
      </c>
      <c r="AI3818">
        <v>135.92</v>
      </c>
      <c r="AL3818" t="s">
        <v>19620</v>
      </c>
      <c r="AM3818">
        <v>35000</v>
      </c>
      <c r="AS3818">
        <v>11.5</v>
      </c>
      <c r="AT3818" t="s">
        <v>270</v>
      </c>
      <c r="AU3818" t="s">
        <v>215</v>
      </c>
      <c r="AV3818" t="s">
        <v>20733</v>
      </c>
    </row>
    <row r="3819" spans="1:48">
      <c r="A3819" s="1">
        <f>HYPERLINK("https://lsnyc.legalserver.org/matter/dynamic-profile/view/1907322","19-1907322")</f>
        <v>0</v>
      </c>
      <c r="B3819" t="s">
        <v>119</v>
      </c>
      <c r="C3819" t="s">
        <v>256</v>
      </c>
      <c r="D3819" t="s">
        <v>302</v>
      </c>
      <c r="F3819" t="s">
        <v>2654</v>
      </c>
      <c r="G3819" t="s">
        <v>3674</v>
      </c>
      <c r="H3819" t="s">
        <v>6797</v>
      </c>
      <c r="I3819">
        <v>10</v>
      </c>
      <c r="J3819" t="s">
        <v>9065</v>
      </c>
      <c r="K3819">
        <v>10451</v>
      </c>
      <c r="L3819" t="s">
        <v>9094</v>
      </c>
      <c r="M3819" t="s">
        <v>9095</v>
      </c>
      <c r="P3819" t="s">
        <v>11164</v>
      </c>
      <c r="R3819" t="s">
        <v>11180</v>
      </c>
      <c r="S3819" t="s">
        <v>9094</v>
      </c>
      <c r="T3819" t="s">
        <v>11183</v>
      </c>
      <c r="U3819" t="s">
        <v>11201</v>
      </c>
      <c r="W3819">
        <v>787</v>
      </c>
      <c r="X3819" t="s">
        <v>11333</v>
      </c>
      <c r="Y3819" t="s">
        <v>11346</v>
      </c>
      <c r="Z3819" t="s">
        <v>13895</v>
      </c>
      <c r="AB3819" t="s">
        <v>18223</v>
      </c>
      <c r="AC3819">
        <v>14</v>
      </c>
      <c r="AD3819" t="s">
        <v>19566</v>
      </c>
      <c r="AE3819" t="s">
        <v>9144</v>
      </c>
      <c r="AF3819">
        <v>30</v>
      </c>
      <c r="AG3819">
        <v>3</v>
      </c>
      <c r="AH3819">
        <v>1</v>
      </c>
      <c r="AI3819">
        <v>135.92</v>
      </c>
      <c r="AL3819" t="s">
        <v>19615</v>
      </c>
      <c r="AM3819">
        <v>35000</v>
      </c>
      <c r="AS3819">
        <v>0</v>
      </c>
      <c r="AU3819" t="s">
        <v>163</v>
      </c>
      <c r="AV3819" t="s">
        <v>20733</v>
      </c>
    </row>
    <row r="3820" spans="1:48">
      <c r="A3820" s="1">
        <f>HYPERLINK("https://lsnyc.legalserver.org/matter/dynamic-profile/view/1909523","19-1909523")</f>
        <v>0</v>
      </c>
      <c r="B3820" t="s">
        <v>139</v>
      </c>
      <c r="C3820" t="s">
        <v>257</v>
      </c>
      <c r="D3820" t="s">
        <v>273</v>
      </c>
      <c r="E3820" t="s">
        <v>425</v>
      </c>
      <c r="F3820" t="s">
        <v>1358</v>
      </c>
      <c r="G3820" t="s">
        <v>3448</v>
      </c>
      <c r="H3820" t="s">
        <v>7462</v>
      </c>
      <c r="I3820" t="s">
        <v>8181</v>
      </c>
      <c r="J3820" t="s">
        <v>9067</v>
      </c>
      <c r="K3820">
        <v>10033</v>
      </c>
      <c r="L3820" t="s">
        <v>9094</v>
      </c>
      <c r="M3820" t="s">
        <v>9095</v>
      </c>
      <c r="O3820" t="s">
        <v>11136</v>
      </c>
      <c r="P3820" t="s">
        <v>11164</v>
      </c>
      <c r="Q3820" t="s">
        <v>11172</v>
      </c>
      <c r="R3820" t="s">
        <v>11180</v>
      </c>
      <c r="S3820" t="s">
        <v>9096</v>
      </c>
      <c r="T3820" t="s">
        <v>11183</v>
      </c>
      <c r="V3820" t="s">
        <v>273</v>
      </c>
      <c r="W3820">
        <v>110.53</v>
      </c>
      <c r="X3820" t="s">
        <v>11335</v>
      </c>
      <c r="Y3820" t="s">
        <v>11338</v>
      </c>
      <c r="Z3820" t="s">
        <v>13896</v>
      </c>
      <c r="AB3820" t="s">
        <v>18224</v>
      </c>
      <c r="AC3820">
        <v>22</v>
      </c>
      <c r="AD3820" t="s">
        <v>15441</v>
      </c>
      <c r="AE3820" t="s">
        <v>9144</v>
      </c>
      <c r="AF3820">
        <v>23</v>
      </c>
      <c r="AG3820">
        <v>3</v>
      </c>
      <c r="AH3820">
        <v>1</v>
      </c>
      <c r="AI3820">
        <v>135.92</v>
      </c>
      <c r="AL3820" t="s">
        <v>19615</v>
      </c>
      <c r="AM3820">
        <v>35000</v>
      </c>
      <c r="AS3820">
        <v>0.1</v>
      </c>
      <c r="AT3820" t="s">
        <v>425</v>
      </c>
      <c r="AU3820" t="s">
        <v>130</v>
      </c>
      <c r="AV3820" t="s">
        <v>20733</v>
      </c>
    </row>
    <row r="3821" spans="1:48">
      <c r="A3821" s="1">
        <f>HYPERLINK("https://lsnyc.legalserver.org/matter/dynamic-profile/view/1886287","18-1886287")</f>
        <v>0</v>
      </c>
      <c r="B3821" t="s">
        <v>51</v>
      </c>
      <c r="C3821" t="s">
        <v>256</v>
      </c>
      <c r="D3821" t="s">
        <v>516</v>
      </c>
      <c r="F3821" t="s">
        <v>2571</v>
      </c>
      <c r="G3821" t="s">
        <v>4902</v>
      </c>
      <c r="H3821" t="s">
        <v>7463</v>
      </c>
      <c r="I3821">
        <v>1</v>
      </c>
      <c r="J3821" t="s">
        <v>9037</v>
      </c>
      <c r="K3821">
        <v>11692</v>
      </c>
      <c r="L3821" t="s">
        <v>9094</v>
      </c>
      <c r="M3821" t="s">
        <v>9094</v>
      </c>
      <c r="N3821" t="s">
        <v>10530</v>
      </c>
      <c r="O3821" t="s">
        <v>11128</v>
      </c>
      <c r="R3821" t="s">
        <v>11180</v>
      </c>
      <c r="S3821" t="s">
        <v>9096</v>
      </c>
      <c r="T3821" t="s">
        <v>11183</v>
      </c>
      <c r="W3821">
        <v>0</v>
      </c>
      <c r="X3821" t="s">
        <v>11331</v>
      </c>
      <c r="Y3821" t="s">
        <v>11336</v>
      </c>
      <c r="Z3821" t="s">
        <v>13897</v>
      </c>
      <c r="AB3821" t="s">
        <v>18225</v>
      </c>
      <c r="AC3821">
        <v>2</v>
      </c>
      <c r="AE3821" t="s">
        <v>9144</v>
      </c>
      <c r="AF3821">
        <v>8</v>
      </c>
      <c r="AG3821">
        <v>4</v>
      </c>
      <c r="AH3821">
        <v>1</v>
      </c>
      <c r="AI3821">
        <v>135.96</v>
      </c>
      <c r="AL3821" t="s">
        <v>19614</v>
      </c>
      <c r="AM3821">
        <v>40000</v>
      </c>
      <c r="AS3821">
        <v>1.15</v>
      </c>
      <c r="AT3821" t="s">
        <v>408</v>
      </c>
      <c r="AU3821" t="s">
        <v>153</v>
      </c>
    </row>
    <row r="3822" spans="1:48">
      <c r="A3822" s="1">
        <f>HYPERLINK("https://lsnyc.legalserver.org/matter/dynamic-profile/view/1896717","19-1896717")</f>
        <v>0</v>
      </c>
      <c r="B3822" t="s">
        <v>84</v>
      </c>
      <c r="C3822" t="s">
        <v>256</v>
      </c>
      <c r="D3822" t="s">
        <v>454</v>
      </c>
      <c r="F3822" t="s">
        <v>2655</v>
      </c>
      <c r="G3822" t="s">
        <v>3520</v>
      </c>
      <c r="H3822" t="s">
        <v>7464</v>
      </c>
      <c r="I3822" t="s">
        <v>8784</v>
      </c>
      <c r="J3822" t="s">
        <v>9059</v>
      </c>
      <c r="K3822">
        <v>11220</v>
      </c>
      <c r="L3822" t="s">
        <v>9096</v>
      </c>
      <c r="M3822" t="s">
        <v>9094</v>
      </c>
      <c r="O3822" t="s">
        <v>11128</v>
      </c>
      <c r="P3822" t="s">
        <v>11169</v>
      </c>
      <c r="R3822" t="s">
        <v>11180</v>
      </c>
      <c r="T3822" t="s">
        <v>11183</v>
      </c>
      <c r="W3822">
        <v>995</v>
      </c>
      <c r="X3822" t="s">
        <v>11332</v>
      </c>
      <c r="Z3822" t="s">
        <v>13898</v>
      </c>
      <c r="AC3822">
        <v>0</v>
      </c>
      <c r="AD3822" t="s">
        <v>19566</v>
      </c>
      <c r="AF3822">
        <v>25</v>
      </c>
      <c r="AG3822">
        <v>3</v>
      </c>
      <c r="AH3822">
        <v>0</v>
      </c>
      <c r="AI3822">
        <v>135.96</v>
      </c>
      <c r="AL3822" t="s">
        <v>19614</v>
      </c>
      <c r="AM3822">
        <v>29000</v>
      </c>
      <c r="AS3822">
        <v>17.3</v>
      </c>
      <c r="AT3822" t="s">
        <v>284</v>
      </c>
      <c r="AU3822" t="s">
        <v>67</v>
      </c>
    </row>
    <row r="3823" spans="1:48">
      <c r="A3823" s="1">
        <f>HYPERLINK("https://lsnyc.legalserver.org/matter/dynamic-profile/view/1896713","19-1896713")</f>
        <v>0</v>
      </c>
      <c r="B3823" t="s">
        <v>84</v>
      </c>
      <c r="C3823" t="s">
        <v>256</v>
      </c>
      <c r="D3823" t="s">
        <v>454</v>
      </c>
      <c r="F3823" t="s">
        <v>2655</v>
      </c>
      <c r="G3823" t="s">
        <v>3520</v>
      </c>
      <c r="H3823" t="s">
        <v>7464</v>
      </c>
      <c r="I3823" t="s">
        <v>8784</v>
      </c>
      <c r="J3823" t="s">
        <v>9059</v>
      </c>
      <c r="K3823">
        <v>11220</v>
      </c>
      <c r="L3823" t="s">
        <v>9094</v>
      </c>
      <c r="M3823" t="s">
        <v>9094</v>
      </c>
      <c r="O3823" t="s">
        <v>11130</v>
      </c>
      <c r="P3823" t="s">
        <v>11165</v>
      </c>
      <c r="R3823" t="s">
        <v>11180</v>
      </c>
      <c r="T3823" t="s">
        <v>11183</v>
      </c>
      <c r="V3823" t="s">
        <v>454</v>
      </c>
      <c r="W3823">
        <v>995</v>
      </c>
      <c r="X3823" t="s">
        <v>11332</v>
      </c>
      <c r="Z3823" t="s">
        <v>13898</v>
      </c>
      <c r="AC3823">
        <v>0</v>
      </c>
      <c r="AD3823" t="s">
        <v>19566</v>
      </c>
      <c r="AF3823">
        <v>25</v>
      </c>
      <c r="AG3823">
        <v>3</v>
      </c>
      <c r="AH3823">
        <v>0</v>
      </c>
      <c r="AI3823">
        <v>135.96</v>
      </c>
      <c r="AL3823" t="s">
        <v>19614</v>
      </c>
      <c r="AM3823">
        <v>29000</v>
      </c>
      <c r="AS3823">
        <v>4.4</v>
      </c>
      <c r="AT3823" t="s">
        <v>833</v>
      </c>
      <c r="AU3823" t="s">
        <v>67</v>
      </c>
    </row>
    <row r="3824" spans="1:48">
      <c r="A3824" s="1">
        <f>HYPERLINK("https://lsnyc.legalserver.org/matter/dynamic-profile/view/1893854","19-1893854")</f>
        <v>0</v>
      </c>
      <c r="B3824" t="s">
        <v>71</v>
      </c>
      <c r="C3824" t="s">
        <v>257</v>
      </c>
      <c r="D3824" t="s">
        <v>413</v>
      </c>
      <c r="E3824" t="s">
        <v>483</v>
      </c>
      <c r="F3824" t="s">
        <v>2656</v>
      </c>
      <c r="G3824" t="s">
        <v>4903</v>
      </c>
      <c r="H3824" t="s">
        <v>7465</v>
      </c>
      <c r="I3824" t="s">
        <v>8107</v>
      </c>
      <c r="J3824" t="s">
        <v>9059</v>
      </c>
      <c r="K3824">
        <v>11208</v>
      </c>
      <c r="L3824" t="s">
        <v>9094</v>
      </c>
      <c r="M3824" t="s">
        <v>9096</v>
      </c>
      <c r="N3824" t="s">
        <v>10531</v>
      </c>
      <c r="O3824" t="s">
        <v>11129</v>
      </c>
      <c r="P3824" t="s">
        <v>11164</v>
      </c>
      <c r="Q3824" t="s">
        <v>11172</v>
      </c>
      <c r="R3824" t="s">
        <v>11180</v>
      </c>
      <c r="S3824" t="s">
        <v>9096</v>
      </c>
      <c r="T3824" t="s">
        <v>11183</v>
      </c>
      <c r="V3824" t="s">
        <v>394</v>
      </c>
      <c r="W3824">
        <v>1550</v>
      </c>
      <c r="X3824" t="s">
        <v>11332</v>
      </c>
      <c r="Z3824" t="s">
        <v>13852</v>
      </c>
      <c r="AB3824" t="s">
        <v>18226</v>
      </c>
      <c r="AC3824">
        <v>2</v>
      </c>
      <c r="AD3824" t="s">
        <v>19565</v>
      </c>
      <c r="AE3824" t="s">
        <v>9144</v>
      </c>
      <c r="AF3824">
        <v>5</v>
      </c>
      <c r="AG3824">
        <v>1</v>
      </c>
      <c r="AH3824">
        <v>2</v>
      </c>
      <c r="AI3824">
        <v>135.96</v>
      </c>
      <c r="AL3824" t="s">
        <v>19614</v>
      </c>
      <c r="AM3824">
        <v>29000</v>
      </c>
      <c r="AS3824">
        <v>1.3</v>
      </c>
      <c r="AT3824" t="s">
        <v>291</v>
      </c>
      <c r="AU3824" t="s">
        <v>79</v>
      </c>
      <c r="AV3824" t="s">
        <v>20733</v>
      </c>
    </row>
    <row r="3825" spans="1:48">
      <c r="A3825" s="1">
        <f>HYPERLINK("https://lsnyc.legalserver.org/matter/dynamic-profile/view/0826416","17-0826416")</f>
        <v>0</v>
      </c>
      <c r="B3825" t="s">
        <v>76</v>
      </c>
      <c r="C3825" t="s">
        <v>257</v>
      </c>
      <c r="D3825" t="s">
        <v>926</v>
      </c>
      <c r="E3825" t="s">
        <v>328</v>
      </c>
      <c r="F3825" t="s">
        <v>1365</v>
      </c>
      <c r="G3825" t="s">
        <v>3714</v>
      </c>
      <c r="H3825" t="s">
        <v>7466</v>
      </c>
      <c r="I3825" t="s">
        <v>8128</v>
      </c>
      <c r="J3825" t="s">
        <v>9059</v>
      </c>
      <c r="K3825">
        <v>11207</v>
      </c>
      <c r="L3825" t="s">
        <v>9094</v>
      </c>
      <c r="M3825" t="s">
        <v>9095</v>
      </c>
      <c r="O3825" t="s">
        <v>11137</v>
      </c>
      <c r="P3825" t="s">
        <v>11167</v>
      </c>
      <c r="Q3825" t="s">
        <v>11172</v>
      </c>
      <c r="R3825" t="s">
        <v>11180</v>
      </c>
      <c r="S3825" t="s">
        <v>9096</v>
      </c>
      <c r="T3825" t="s">
        <v>11183</v>
      </c>
      <c r="W3825">
        <v>900</v>
      </c>
      <c r="X3825" t="s">
        <v>11332</v>
      </c>
      <c r="Y3825" t="s">
        <v>11339</v>
      </c>
      <c r="Z3825" t="s">
        <v>12697</v>
      </c>
      <c r="AA3825">
        <v>6515564</v>
      </c>
      <c r="AB3825" t="s">
        <v>18227</v>
      </c>
      <c r="AC3825">
        <v>6</v>
      </c>
      <c r="AE3825" t="s">
        <v>19582</v>
      </c>
      <c r="AF3825">
        <v>6</v>
      </c>
      <c r="AG3825">
        <v>1</v>
      </c>
      <c r="AH3825">
        <v>1</v>
      </c>
      <c r="AI3825">
        <v>136.01</v>
      </c>
      <c r="AL3825" t="s">
        <v>19614</v>
      </c>
      <c r="AM3825">
        <v>22088</v>
      </c>
      <c r="AN3825" t="s">
        <v>19982</v>
      </c>
      <c r="AS3825">
        <v>1</v>
      </c>
      <c r="AT3825" t="s">
        <v>926</v>
      </c>
      <c r="AU3825" t="s">
        <v>20665</v>
      </c>
      <c r="AV3825" t="s">
        <v>20734</v>
      </c>
    </row>
    <row r="3826" spans="1:48">
      <c r="A3826" s="1">
        <f>HYPERLINK("https://lsnyc.legalserver.org/matter/dynamic-profile/view/1901500","19-1901500")</f>
        <v>0</v>
      </c>
      <c r="B3826" t="s">
        <v>110</v>
      </c>
      <c r="C3826" t="s">
        <v>257</v>
      </c>
      <c r="D3826" t="s">
        <v>559</v>
      </c>
      <c r="E3826" t="s">
        <v>282</v>
      </c>
      <c r="F3826" t="s">
        <v>1749</v>
      </c>
      <c r="G3826" t="s">
        <v>4116</v>
      </c>
      <c r="H3826" t="s">
        <v>6780</v>
      </c>
      <c r="I3826" t="s">
        <v>8266</v>
      </c>
      <c r="J3826" t="s">
        <v>9065</v>
      </c>
      <c r="K3826">
        <v>10451</v>
      </c>
      <c r="L3826" t="s">
        <v>9094</v>
      </c>
      <c r="M3826" t="s">
        <v>9095</v>
      </c>
      <c r="O3826" t="s">
        <v>9121</v>
      </c>
      <c r="P3826" t="s">
        <v>11164</v>
      </c>
      <c r="Q3826" t="s">
        <v>11172</v>
      </c>
      <c r="R3826" t="s">
        <v>11180</v>
      </c>
      <c r="S3826" t="s">
        <v>9096</v>
      </c>
      <c r="T3826" t="s">
        <v>11183</v>
      </c>
      <c r="V3826" t="s">
        <v>11218</v>
      </c>
      <c r="W3826">
        <v>2325</v>
      </c>
      <c r="X3826" t="s">
        <v>11333</v>
      </c>
      <c r="Y3826" t="s">
        <v>11346</v>
      </c>
      <c r="Z3826" t="s">
        <v>13899</v>
      </c>
      <c r="AC3826">
        <v>0</v>
      </c>
      <c r="AD3826" t="s">
        <v>19566</v>
      </c>
      <c r="AE3826" t="s">
        <v>9144</v>
      </c>
      <c r="AF3826">
        <v>5</v>
      </c>
      <c r="AG3826">
        <v>1</v>
      </c>
      <c r="AH3826">
        <v>1</v>
      </c>
      <c r="AI3826">
        <v>136.01</v>
      </c>
      <c r="AL3826" t="s">
        <v>19615</v>
      </c>
      <c r="AM3826">
        <v>23000</v>
      </c>
      <c r="AS3826">
        <v>2</v>
      </c>
      <c r="AT3826" t="s">
        <v>282</v>
      </c>
      <c r="AU3826" t="s">
        <v>110</v>
      </c>
      <c r="AV3826" t="s">
        <v>20733</v>
      </c>
    </row>
    <row r="3827" spans="1:48">
      <c r="A3827" s="1">
        <f>HYPERLINK("https://lsnyc.legalserver.org/matter/dynamic-profile/view/1898384","19-1898384")</f>
        <v>0</v>
      </c>
      <c r="B3827" t="s">
        <v>136</v>
      </c>
      <c r="C3827" t="s">
        <v>256</v>
      </c>
      <c r="D3827" t="s">
        <v>299</v>
      </c>
      <c r="F3827" t="s">
        <v>2657</v>
      </c>
      <c r="G3827" t="s">
        <v>3816</v>
      </c>
      <c r="H3827" t="s">
        <v>6119</v>
      </c>
      <c r="I3827" t="s">
        <v>8267</v>
      </c>
      <c r="J3827" t="s">
        <v>9067</v>
      </c>
      <c r="K3827">
        <v>10031</v>
      </c>
      <c r="L3827" t="s">
        <v>9094</v>
      </c>
      <c r="M3827" t="s">
        <v>9094</v>
      </c>
      <c r="O3827" t="s">
        <v>9121</v>
      </c>
      <c r="P3827" t="s">
        <v>11167</v>
      </c>
      <c r="R3827" t="s">
        <v>11180</v>
      </c>
      <c r="S3827" t="s">
        <v>9094</v>
      </c>
      <c r="T3827" t="s">
        <v>11183</v>
      </c>
      <c r="U3827" t="s">
        <v>11201</v>
      </c>
      <c r="V3827" t="s">
        <v>317</v>
      </c>
      <c r="W3827">
        <v>2100</v>
      </c>
      <c r="X3827" t="s">
        <v>11335</v>
      </c>
      <c r="Y3827" t="s">
        <v>11350</v>
      </c>
      <c r="Z3827" t="s">
        <v>13900</v>
      </c>
      <c r="AB3827" t="s">
        <v>18228</v>
      </c>
      <c r="AC3827">
        <v>44</v>
      </c>
      <c r="AD3827" t="s">
        <v>19566</v>
      </c>
      <c r="AE3827" t="s">
        <v>19580</v>
      </c>
      <c r="AF3827">
        <v>40</v>
      </c>
      <c r="AG3827">
        <v>2</v>
      </c>
      <c r="AH3827">
        <v>0</v>
      </c>
      <c r="AI3827">
        <v>136.01</v>
      </c>
      <c r="AL3827" t="s">
        <v>19614</v>
      </c>
      <c r="AM3827">
        <v>23000</v>
      </c>
      <c r="AS3827">
        <v>0.25</v>
      </c>
      <c r="AT3827" t="s">
        <v>271</v>
      </c>
      <c r="AU3827" t="s">
        <v>20657</v>
      </c>
    </row>
    <row r="3828" spans="1:48">
      <c r="A3828" s="1">
        <f>HYPERLINK("https://lsnyc.legalserver.org/matter/dynamic-profile/view/1914987","19-1914987")</f>
        <v>0</v>
      </c>
      <c r="B3828" t="s">
        <v>136</v>
      </c>
      <c r="C3828" t="s">
        <v>256</v>
      </c>
      <c r="D3828" t="s">
        <v>377</v>
      </c>
      <c r="F3828" t="s">
        <v>2658</v>
      </c>
      <c r="G3828" t="s">
        <v>4726</v>
      </c>
      <c r="H3828" t="s">
        <v>7467</v>
      </c>
      <c r="I3828" t="s">
        <v>8193</v>
      </c>
      <c r="J3828" t="s">
        <v>9067</v>
      </c>
      <c r="K3828">
        <v>10022</v>
      </c>
      <c r="L3828" t="s">
        <v>9094</v>
      </c>
      <c r="M3828" t="s">
        <v>9095</v>
      </c>
      <c r="O3828" t="s">
        <v>9121</v>
      </c>
      <c r="P3828" t="s">
        <v>11169</v>
      </c>
      <c r="R3828" t="s">
        <v>11180</v>
      </c>
      <c r="S3828" t="s">
        <v>9096</v>
      </c>
      <c r="T3828" t="s">
        <v>11183</v>
      </c>
      <c r="U3828" t="s">
        <v>11201</v>
      </c>
      <c r="V3828" t="s">
        <v>377</v>
      </c>
      <c r="W3828">
        <v>878.24</v>
      </c>
      <c r="X3828" t="s">
        <v>11335</v>
      </c>
      <c r="Y3828" t="s">
        <v>11157</v>
      </c>
      <c r="Z3828" t="s">
        <v>13901</v>
      </c>
      <c r="AB3828" t="s">
        <v>18229</v>
      </c>
      <c r="AC3828">
        <v>7</v>
      </c>
      <c r="AD3828" t="s">
        <v>19566</v>
      </c>
      <c r="AE3828" t="s">
        <v>9144</v>
      </c>
      <c r="AF3828">
        <v>18</v>
      </c>
      <c r="AG3828">
        <v>2</v>
      </c>
      <c r="AH3828">
        <v>0</v>
      </c>
      <c r="AI3828">
        <v>136.01</v>
      </c>
      <c r="AL3828" t="s">
        <v>19614</v>
      </c>
      <c r="AM3828">
        <v>23000</v>
      </c>
      <c r="AS3828">
        <v>1.5</v>
      </c>
      <c r="AT3828" t="s">
        <v>377</v>
      </c>
      <c r="AU3828" t="s">
        <v>20657</v>
      </c>
      <c r="AV3828" t="s">
        <v>20733</v>
      </c>
    </row>
    <row r="3829" spans="1:48">
      <c r="A3829" s="1">
        <f>HYPERLINK("https://lsnyc.legalserver.org/matter/dynamic-profile/view/0823541","16-0823541")</f>
        <v>0</v>
      </c>
      <c r="B3829" t="s">
        <v>108</v>
      </c>
      <c r="C3829" t="s">
        <v>256</v>
      </c>
      <c r="D3829" t="s">
        <v>965</v>
      </c>
      <c r="F3829" t="s">
        <v>2061</v>
      </c>
      <c r="G3829" t="s">
        <v>4892</v>
      </c>
      <c r="H3829" t="s">
        <v>5897</v>
      </c>
      <c r="I3829" t="s">
        <v>8699</v>
      </c>
      <c r="J3829" t="s">
        <v>9065</v>
      </c>
      <c r="K3829">
        <v>10452</v>
      </c>
      <c r="L3829" t="s">
        <v>9094</v>
      </c>
      <c r="M3829" t="s">
        <v>9095</v>
      </c>
      <c r="N3829" t="s">
        <v>9252</v>
      </c>
      <c r="O3829" t="s">
        <v>11135</v>
      </c>
      <c r="P3829" t="s">
        <v>11168</v>
      </c>
      <c r="R3829" t="s">
        <v>11180</v>
      </c>
      <c r="S3829" t="s">
        <v>9094</v>
      </c>
      <c r="T3829" t="s">
        <v>11183</v>
      </c>
      <c r="V3829" t="s">
        <v>965</v>
      </c>
      <c r="W3829">
        <v>1081</v>
      </c>
      <c r="X3829" t="s">
        <v>11333</v>
      </c>
      <c r="Y3829" t="s">
        <v>11348</v>
      </c>
      <c r="Z3829" t="s">
        <v>13879</v>
      </c>
      <c r="AB3829" t="s">
        <v>18210</v>
      </c>
      <c r="AC3829">
        <v>122</v>
      </c>
      <c r="AD3829" t="s">
        <v>19566</v>
      </c>
      <c r="AF3829">
        <v>25</v>
      </c>
      <c r="AG3829">
        <v>2</v>
      </c>
      <c r="AH3829">
        <v>0</v>
      </c>
      <c r="AI3829">
        <v>136.08</v>
      </c>
      <c r="AL3829" t="s">
        <v>19614</v>
      </c>
      <c r="AM3829">
        <v>21800</v>
      </c>
      <c r="AS3829">
        <v>0</v>
      </c>
      <c r="AU3829" t="s">
        <v>20647</v>
      </c>
    </row>
    <row r="3830" spans="1:48">
      <c r="A3830" s="1">
        <f>HYPERLINK("https://lsnyc.legalserver.org/matter/dynamic-profile/view/1892227","19-1892227")</f>
        <v>0</v>
      </c>
      <c r="B3830" t="s">
        <v>117</v>
      </c>
      <c r="C3830" t="s">
        <v>256</v>
      </c>
      <c r="D3830" t="s">
        <v>473</v>
      </c>
      <c r="F3830" t="s">
        <v>2061</v>
      </c>
      <c r="G3830" t="s">
        <v>2152</v>
      </c>
      <c r="H3830" t="s">
        <v>5888</v>
      </c>
      <c r="I3830" t="s">
        <v>8302</v>
      </c>
      <c r="J3830" t="s">
        <v>9065</v>
      </c>
      <c r="K3830">
        <v>10453</v>
      </c>
      <c r="L3830" t="s">
        <v>9094</v>
      </c>
      <c r="M3830" t="s">
        <v>9094</v>
      </c>
      <c r="O3830" t="s">
        <v>11134</v>
      </c>
      <c r="P3830" t="s">
        <v>11168</v>
      </c>
      <c r="R3830" t="s">
        <v>11180</v>
      </c>
      <c r="S3830" t="s">
        <v>9094</v>
      </c>
      <c r="T3830" t="s">
        <v>11183</v>
      </c>
      <c r="V3830" t="s">
        <v>512</v>
      </c>
      <c r="W3830">
        <v>968.91</v>
      </c>
      <c r="X3830" t="s">
        <v>11333</v>
      </c>
      <c r="Y3830" t="s">
        <v>11346</v>
      </c>
      <c r="Z3830" t="s">
        <v>13902</v>
      </c>
      <c r="AB3830" t="s">
        <v>18230</v>
      </c>
      <c r="AC3830">
        <v>49</v>
      </c>
      <c r="AD3830" t="s">
        <v>19566</v>
      </c>
      <c r="AE3830" t="s">
        <v>9144</v>
      </c>
      <c r="AF3830">
        <v>14</v>
      </c>
      <c r="AG3830">
        <v>1</v>
      </c>
      <c r="AH3830">
        <v>4</v>
      </c>
      <c r="AI3830">
        <v>136.21</v>
      </c>
      <c r="AL3830" t="s">
        <v>19614</v>
      </c>
      <c r="AM3830">
        <v>41095</v>
      </c>
      <c r="AS3830">
        <v>0</v>
      </c>
      <c r="AU3830" t="s">
        <v>20642</v>
      </c>
    </row>
    <row r="3831" spans="1:48">
      <c r="A3831" s="1">
        <f>HYPERLINK("https://lsnyc.legalserver.org/matter/dynamic-profile/view/1889401","19-1889401")</f>
        <v>0</v>
      </c>
      <c r="B3831" t="s">
        <v>137</v>
      </c>
      <c r="C3831" t="s">
        <v>256</v>
      </c>
      <c r="D3831" t="s">
        <v>348</v>
      </c>
      <c r="F3831" t="s">
        <v>2659</v>
      </c>
      <c r="G3831" t="s">
        <v>4904</v>
      </c>
      <c r="H3831" t="s">
        <v>7468</v>
      </c>
      <c r="I3831" t="s">
        <v>8785</v>
      </c>
      <c r="J3831" t="s">
        <v>9067</v>
      </c>
      <c r="K3831">
        <v>10031</v>
      </c>
      <c r="L3831" t="s">
        <v>9094</v>
      </c>
      <c r="M3831" t="s">
        <v>9095</v>
      </c>
      <c r="P3831" t="s">
        <v>11166</v>
      </c>
      <c r="R3831" t="s">
        <v>11181</v>
      </c>
      <c r="S3831" t="s">
        <v>9096</v>
      </c>
      <c r="T3831" t="s">
        <v>11183</v>
      </c>
      <c r="V3831" t="s">
        <v>784</v>
      </c>
      <c r="W3831">
        <v>975</v>
      </c>
      <c r="X3831" t="s">
        <v>11335</v>
      </c>
      <c r="Y3831" t="s">
        <v>11337</v>
      </c>
      <c r="Z3831" t="s">
        <v>13903</v>
      </c>
      <c r="AC3831">
        <v>118</v>
      </c>
      <c r="AD3831" t="s">
        <v>19566</v>
      </c>
      <c r="AE3831" t="s">
        <v>9144</v>
      </c>
      <c r="AF3831">
        <v>7</v>
      </c>
      <c r="AG3831">
        <v>1</v>
      </c>
      <c r="AH3831">
        <v>1</v>
      </c>
      <c r="AI3831">
        <v>136.25</v>
      </c>
      <c r="AJ3831" t="s">
        <v>19591</v>
      </c>
      <c r="AK3831" t="s">
        <v>19608</v>
      </c>
      <c r="AL3831" t="s">
        <v>19615</v>
      </c>
      <c r="AM3831">
        <v>23040</v>
      </c>
      <c r="AS3831">
        <v>9.15</v>
      </c>
      <c r="AT3831" t="s">
        <v>457</v>
      </c>
      <c r="AU3831" t="s">
        <v>130</v>
      </c>
      <c r="AV3831" t="s">
        <v>20733</v>
      </c>
    </row>
    <row r="3832" spans="1:48">
      <c r="A3832" s="1">
        <f>HYPERLINK("https://lsnyc.legalserver.org/matter/dynamic-profile/view/1900613","19-1900613")</f>
        <v>0</v>
      </c>
      <c r="B3832" t="s">
        <v>99</v>
      </c>
      <c r="C3832" t="s">
        <v>257</v>
      </c>
      <c r="D3832" t="s">
        <v>283</v>
      </c>
      <c r="E3832" t="s">
        <v>728</v>
      </c>
      <c r="F3832" t="s">
        <v>1359</v>
      </c>
      <c r="G3832" t="s">
        <v>3762</v>
      </c>
      <c r="H3832" t="s">
        <v>7469</v>
      </c>
      <c r="I3832" t="s">
        <v>8171</v>
      </c>
      <c r="J3832" t="s">
        <v>9065</v>
      </c>
      <c r="K3832">
        <v>10454</v>
      </c>
      <c r="L3832" t="s">
        <v>9094</v>
      </c>
      <c r="M3832" t="s">
        <v>9095</v>
      </c>
      <c r="N3832" t="s">
        <v>9171</v>
      </c>
      <c r="O3832" t="s">
        <v>9121</v>
      </c>
      <c r="P3832" t="s">
        <v>11164</v>
      </c>
      <c r="Q3832" t="s">
        <v>11172</v>
      </c>
      <c r="R3832" t="s">
        <v>11180</v>
      </c>
      <c r="S3832" t="s">
        <v>9096</v>
      </c>
      <c r="T3832" t="s">
        <v>11183</v>
      </c>
      <c r="V3832" t="s">
        <v>283</v>
      </c>
      <c r="W3832">
        <v>1880.95</v>
      </c>
      <c r="X3832" t="s">
        <v>11333</v>
      </c>
      <c r="Y3832" t="s">
        <v>11346</v>
      </c>
      <c r="Z3832" t="s">
        <v>13904</v>
      </c>
      <c r="AC3832">
        <v>20</v>
      </c>
      <c r="AD3832" t="s">
        <v>19566</v>
      </c>
      <c r="AF3832">
        <v>23</v>
      </c>
      <c r="AG3832">
        <v>3</v>
      </c>
      <c r="AH3832">
        <v>0</v>
      </c>
      <c r="AI3832">
        <v>136.26</v>
      </c>
      <c r="AL3832" t="s">
        <v>19615</v>
      </c>
      <c r="AM3832">
        <v>29064</v>
      </c>
      <c r="AS3832">
        <v>2.3</v>
      </c>
      <c r="AT3832" t="s">
        <v>728</v>
      </c>
      <c r="AU3832" t="s">
        <v>99</v>
      </c>
      <c r="AV3832" t="s">
        <v>20733</v>
      </c>
    </row>
    <row r="3833" spans="1:48">
      <c r="A3833" s="1">
        <f>HYPERLINK("https://lsnyc.legalserver.org/matter/dynamic-profile/view/1904264","19-1904264")</f>
        <v>0</v>
      </c>
      <c r="B3833" t="s">
        <v>101</v>
      </c>
      <c r="C3833" t="s">
        <v>256</v>
      </c>
      <c r="D3833" t="s">
        <v>367</v>
      </c>
      <c r="F3833" t="s">
        <v>1200</v>
      </c>
      <c r="G3833" t="s">
        <v>4116</v>
      </c>
      <c r="H3833" t="s">
        <v>7470</v>
      </c>
      <c r="I3833" t="s">
        <v>8305</v>
      </c>
      <c r="J3833" t="s">
        <v>9065</v>
      </c>
      <c r="K3833">
        <v>10452</v>
      </c>
      <c r="L3833" t="s">
        <v>9094</v>
      </c>
      <c r="M3833" t="s">
        <v>9095</v>
      </c>
      <c r="R3833" t="s">
        <v>11180</v>
      </c>
      <c r="T3833" t="s">
        <v>11183</v>
      </c>
      <c r="W3833">
        <v>1096.48</v>
      </c>
      <c r="X3833" t="s">
        <v>11333</v>
      </c>
      <c r="Y3833" t="s">
        <v>11342</v>
      </c>
      <c r="Z3833" t="s">
        <v>13905</v>
      </c>
      <c r="AB3833" t="s">
        <v>18231</v>
      </c>
      <c r="AC3833">
        <v>77</v>
      </c>
      <c r="AE3833" t="s">
        <v>9144</v>
      </c>
      <c r="AF3833">
        <v>15</v>
      </c>
      <c r="AG3833">
        <v>1</v>
      </c>
      <c r="AH3833">
        <v>3</v>
      </c>
      <c r="AI3833">
        <v>136.31</v>
      </c>
      <c r="AL3833" t="s">
        <v>19614</v>
      </c>
      <c r="AM3833">
        <v>35100</v>
      </c>
      <c r="AS3833">
        <v>2.1</v>
      </c>
      <c r="AT3833" t="s">
        <v>330</v>
      </c>
      <c r="AU3833" t="s">
        <v>20627</v>
      </c>
      <c r="AV3833" t="s">
        <v>20733</v>
      </c>
    </row>
    <row r="3834" spans="1:48">
      <c r="A3834" s="1">
        <f>HYPERLINK("https://lsnyc.legalserver.org/matter/dynamic-profile/view/0823982","17-0823982")</f>
        <v>0</v>
      </c>
      <c r="B3834" t="s">
        <v>188</v>
      </c>
      <c r="C3834" t="s">
        <v>256</v>
      </c>
      <c r="D3834" t="s">
        <v>438</v>
      </c>
      <c r="F3834" t="s">
        <v>1851</v>
      </c>
      <c r="G3834" t="s">
        <v>3993</v>
      </c>
      <c r="H3834" t="s">
        <v>7471</v>
      </c>
      <c r="I3834" t="s">
        <v>8786</v>
      </c>
      <c r="J3834" t="s">
        <v>9067</v>
      </c>
      <c r="K3834">
        <v>10028</v>
      </c>
      <c r="L3834" t="s">
        <v>9094</v>
      </c>
      <c r="M3834" t="s">
        <v>9095</v>
      </c>
      <c r="O3834" t="s">
        <v>11128</v>
      </c>
      <c r="P3834" t="s">
        <v>11165</v>
      </c>
      <c r="R3834" t="s">
        <v>11180</v>
      </c>
      <c r="S3834" t="s">
        <v>9096</v>
      </c>
      <c r="T3834" t="s">
        <v>11183</v>
      </c>
      <c r="V3834" t="s">
        <v>950</v>
      </c>
      <c r="W3834">
        <v>1850</v>
      </c>
      <c r="X3834" t="s">
        <v>11335</v>
      </c>
      <c r="Y3834" t="s">
        <v>11338</v>
      </c>
      <c r="Z3834" t="s">
        <v>13906</v>
      </c>
      <c r="AB3834" t="s">
        <v>18232</v>
      </c>
      <c r="AC3834">
        <v>0</v>
      </c>
      <c r="AD3834" t="s">
        <v>19566</v>
      </c>
      <c r="AE3834" t="s">
        <v>9144</v>
      </c>
      <c r="AF3834">
        <v>27</v>
      </c>
      <c r="AG3834">
        <v>1</v>
      </c>
      <c r="AH3834">
        <v>0</v>
      </c>
      <c r="AI3834">
        <v>136.46</v>
      </c>
      <c r="AL3834" t="s">
        <v>19614</v>
      </c>
      <c r="AM3834">
        <v>16212</v>
      </c>
      <c r="AS3834">
        <v>55.2</v>
      </c>
      <c r="AT3834" t="s">
        <v>321</v>
      </c>
      <c r="AU3834" t="s">
        <v>20663</v>
      </c>
    </row>
    <row r="3835" spans="1:48">
      <c r="A3835" s="1">
        <f>HYPERLINK("https://lsnyc.legalserver.org/matter/dynamic-profile/view/1884826","18-1884826")</f>
        <v>0</v>
      </c>
      <c r="B3835" t="s">
        <v>82</v>
      </c>
      <c r="C3835" t="s">
        <v>256</v>
      </c>
      <c r="D3835" t="s">
        <v>629</v>
      </c>
      <c r="F3835" t="s">
        <v>2591</v>
      </c>
      <c r="G3835" t="s">
        <v>4905</v>
      </c>
      <c r="H3835" t="s">
        <v>7157</v>
      </c>
      <c r="I3835" t="s">
        <v>8208</v>
      </c>
      <c r="J3835" t="s">
        <v>9059</v>
      </c>
      <c r="K3835">
        <v>11226</v>
      </c>
      <c r="L3835" t="s">
        <v>9094</v>
      </c>
      <c r="M3835" t="s">
        <v>9094</v>
      </c>
      <c r="N3835" t="s">
        <v>10532</v>
      </c>
      <c r="O3835" t="s">
        <v>11134</v>
      </c>
      <c r="P3835" t="s">
        <v>11169</v>
      </c>
      <c r="R3835" t="s">
        <v>11180</v>
      </c>
      <c r="S3835" t="s">
        <v>9094</v>
      </c>
      <c r="T3835" t="s">
        <v>11183</v>
      </c>
      <c r="V3835" t="s">
        <v>11236</v>
      </c>
      <c r="W3835">
        <v>1098.97</v>
      </c>
      <c r="X3835" t="s">
        <v>11332</v>
      </c>
      <c r="Y3835" t="s">
        <v>11346</v>
      </c>
      <c r="Z3835" t="s">
        <v>13907</v>
      </c>
      <c r="AB3835" t="s">
        <v>18233</v>
      </c>
      <c r="AC3835">
        <v>48</v>
      </c>
      <c r="AD3835" t="s">
        <v>19566</v>
      </c>
      <c r="AE3835" t="s">
        <v>9144</v>
      </c>
      <c r="AF3835">
        <v>16</v>
      </c>
      <c r="AG3835">
        <v>2</v>
      </c>
      <c r="AH3835">
        <v>1</v>
      </c>
      <c r="AI3835">
        <v>136.48</v>
      </c>
      <c r="AL3835" t="s">
        <v>19614</v>
      </c>
      <c r="AM3835">
        <v>28360.8</v>
      </c>
      <c r="AS3835">
        <v>0.5</v>
      </c>
      <c r="AT3835" t="s">
        <v>746</v>
      </c>
      <c r="AU3835" t="s">
        <v>215</v>
      </c>
    </row>
    <row r="3836" spans="1:48">
      <c r="A3836" s="1">
        <f>HYPERLINK("https://lsnyc.legalserver.org/matter/dynamic-profile/view/1897121","19-1897121")</f>
        <v>0</v>
      </c>
      <c r="B3836" t="s">
        <v>52</v>
      </c>
      <c r="C3836" t="s">
        <v>257</v>
      </c>
      <c r="D3836" t="s">
        <v>317</v>
      </c>
      <c r="E3836" t="s">
        <v>1129</v>
      </c>
      <c r="F3836" t="s">
        <v>1416</v>
      </c>
      <c r="G3836" t="s">
        <v>3588</v>
      </c>
      <c r="H3836" t="s">
        <v>7472</v>
      </c>
      <c r="I3836">
        <v>1</v>
      </c>
      <c r="J3836" t="s">
        <v>9038</v>
      </c>
      <c r="K3836">
        <v>11691</v>
      </c>
      <c r="L3836" t="s">
        <v>9094</v>
      </c>
      <c r="M3836" t="s">
        <v>9094</v>
      </c>
      <c r="N3836" t="s">
        <v>10533</v>
      </c>
      <c r="O3836" t="s">
        <v>11139</v>
      </c>
      <c r="P3836" t="s">
        <v>11167</v>
      </c>
      <c r="Q3836" t="s">
        <v>11173</v>
      </c>
      <c r="R3836" t="s">
        <v>11180</v>
      </c>
      <c r="S3836" t="s">
        <v>9096</v>
      </c>
      <c r="T3836" t="s">
        <v>11183</v>
      </c>
      <c r="V3836" t="s">
        <v>317</v>
      </c>
      <c r="W3836">
        <v>1100</v>
      </c>
      <c r="X3836" t="s">
        <v>11331</v>
      </c>
      <c r="Y3836" t="s">
        <v>11336</v>
      </c>
      <c r="Z3836" t="s">
        <v>13908</v>
      </c>
      <c r="AA3836" t="s">
        <v>15821</v>
      </c>
      <c r="AB3836" t="s">
        <v>18234</v>
      </c>
      <c r="AC3836">
        <v>3</v>
      </c>
      <c r="AD3836" t="s">
        <v>19566</v>
      </c>
      <c r="AE3836" t="s">
        <v>9144</v>
      </c>
      <c r="AF3836">
        <v>1</v>
      </c>
      <c r="AG3836">
        <v>1</v>
      </c>
      <c r="AH3836">
        <v>2</v>
      </c>
      <c r="AI3836">
        <v>136.52</v>
      </c>
      <c r="AL3836" t="s">
        <v>19614</v>
      </c>
      <c r="AM3836">
        <v>29120.04</v>
      </c>
      <c r="AO3836" t="s">
        <v>20293</v>
      </c>
      <c r="AP3836" t="s">
        <v>20330</v>
      </c>
      <c r="AQ3836" t="s">
        <v>20369</v>
      </c>
      <c r="AR3836" t="s">
        <v>20528</v>
      </c>
      <c r="AS3836">
        <v>0.05</v>
      </c>
      <c r="AT3836" t="s">
        <v>1129</v>
      </c>
      <c r="AU3836" t="s">
        <v>52</v>
      </c>
    </row>
    <row r="3837" spans="1:48">
      <c r="A3837" s="1">
        <f>HYPERLINK("https://lsnyc.legalserver.org/matter/dynamic-profile/view/1913069","19-1913069")</f>
        <v>0</v>
      </c>
      <c r="B3837" t="s">
        <v>136</v>
      </c>
      <c r="C3837" t="s">
        <v>256</v>
      </c>
      <c r="D3837" t="s">
        <v>833</v>
      </c>
      <c r="F3837" t="s">
        <v>1146</v>
      </c>
      <c r="G3837" t="s">
        <v>4011</v>
      </c>
      <c r="H3837" t="s">
        <v>5961</v>
      </c>
      <c r="I3837">
        <v>814</v>
      </c>
      <c r="J3837" t="s">
        <v>9067</v>
      </c>
      <c r="K3837">
        <v>10029</v>
      </c>
      <c r="L3837" t="s">
        <v>9094</v>
      </c>
      <c r="M3837" t="s">
        <v>9095</v>
      </c>
      <c r="N3837" t="s">
        <v>10534</v>
      </c>
      <c r="O3837" t="s">
        <v>11129</v>
      </c>
      <c r="P3837" t="s">
        <v>11165</v>
      </c>
      <c r="R3837" t="s">
        <v>11180</v>
      </c>
      <c r="S3837" t="s">
        <v>9096</v>
      </c>
      <c r="T3837" t="s">
        <v>11183</v>
      </c>
      <c r="U3837" t="s">
        <v>11201</v>
      </c>
      <c r="V3837" t="s">
        <v>833</v>
      </c>
      <c r="W3837">
        <v>0</v>
      </c>
      <c r="X3837" t="s">
        <v>11335</v>
      </c>
      <c r="Y3837" t="s">
        <v>11340</v>
      </c>
      <c r="Z3837" t="s">
        <v>13626</v>
      </c>
      <c r="AC3837">
        <v>108</v>
      </c>
      <c r="AD3837" t="s">
        <v>19567</v>
      </c>
      <c r="AE3837" t="s">
        <v>19580</v>
      </c>
      <c r="AF3837">
        <v>34</v>
      </c>
      <c r="AG3837">
        <v>1</v>
      </c>
      <c r="AH3837">
        <v>2</v>
      </c>
      <c r="AI3837">
        <v>136.52</v>
      </c>
      <c r="AL3837" t="s">
        <v>19614</v>
      </c>
      <c r="AM3837">
        <v>29120</v>
      </c>
      <c r="AS3837">
        <v>1.5</v>
      </c>
      <c r="AT3837" t="s">
        <v>833</v>
      </c>
      <c r="AU3837" t="s">
        <v>20657</v>
      </c>
      <c r="AV3837" t="s">
        <v>20733</v>
      </c>
    </row>
    <row r="3838" spans="1:48">
      <c r="A3838" s="1">
        <f>HYPERLINK("https://lsnyc.legalserver.org/matter/dynamic-profile/view/1855152","18-1855152")</f>
        <v>0</v>
      </c>
      <c r="B3838" t="s">
        <v>138</v>
      </c>
      <c r="C3838" t="s">
        <v>256</v>
      </c>
      <c r="D3838" t="s">
        <v>266</v>
      </c>
      <c r="F3838" t="s">
        <v>2201</v>
      </c>
      <c r="G3838" t="s">
        <v>4430</v>
      </c>
      <c r="H3838" t="s">
        <v>6928</v>
      </c>
      <c r="I3838" t="s">
        <v>8192</v>
      </c>
      <c r="J3838" t="s">
        <v>9067</v>
      </c>
      <c r="K3838">
        <v>10034</v>
      </c>
      <c r="L3838" t="s">
        <v>9094</v>
      </c>
      <c r="M3838" t="s">
        <v>9095</v>
      </c>
      <c r="N3838" t="s">
        <v>10535</v>
      </c>
      <c r="O3838" t="s">
        <v>11136</v>
      </c>
      <c r="P3838" t="s">
        <v>11165</v>
      </c>
      <c r="R3838" t="s">
        <v>11180</v>
      </c>
      <c r="S3838" t="s">
        <v>9096</v>
      </c>
      <c r="T3838" t="s">
        <v>11183</v>
      </c>
      <c r="V3838" t="s">
        <v>266</v>
      </c>
      <c r="W3838">
        <v>2300</v>
      </c>
      <c r="X3838" t="s">
        <v>11335</v>
      </c>
      <c r="Y3838" t="s">
        <v>11340</v>
      </c>
      <c r="Z3838" t="s">
        <v>12998</v>
      </c>
      <c r="AB3838" t="s">
        <v>17362</v>
      </c>
      <c r="AC3838">
        <v>22</v>
      </c>
      <c r="AD3838" t="s">
        <v>19566</v>
      </c>
      <c r="AE3838" t="s">
        <v>19587</v>
      </c>
      <c r="AF3838">
        <v>11</v>
      </c>
      <c r="AG3838">
        <v>1</v>
      </c>
      <c r="AH3838">
        <v>1</v>
      </c>
      <c r="AI3838">
        <v>136.55</v>
      </c>
      <c r="AL3838" t="s">
        <v>19614</v>
      </c>
      <c r="AM3838">
        <v>22176</v>
      </c>
      <c r="AS3838">
        <v>86.59999999999999</v>
      </c>
      <c r="AT3838" t="s">
        <v>350</v>
      </c>
      <c r="AU3838" t="s">
        <v>130</v>
      </c>
    </row>
    <row r="3839" spans="1:48">
      <c r="A3839" s="1">
        <f>HYPERLINK("https://lsnyc.legalserver.org/matter/dynamic-profile/view/1879082","18-1879082")</f>
        <v>0</v>
      </c>
      <c r="B3839" t="s">
        <v>78</v>
      </c>
      <c r="C3839" t="s">
        <v>256</v>
      </c>
      <c r="D3839" t="s">
        <v>1042</v>
      </c>
      <c r="F3839" t="s">
        <v>2642</v>
      </c>
      <c r="G3839" t="s">
        <v>4883</v>
      </c>
      <c r="H3839" t="s">
        <v>6712</v>
      </c>
      <c r="I3839" t="s">
        <v>8229</v>
      </c>
      <c r="J3839" t="s">
        <v>9059</v>
      </c>
      <c r="K3839">
        <v>11221</v>
      </c>
      <c r="L3839" t="s">
        <v>9094</v>
      </c>
      <c r="M3839" t="s">
        <v>9094</v>
      </c>
      <c r="O3839" t="s">
        <v>11134</v>
      </c>
      <c r="P3839" t="s">
        <v>11168</v>
      </c>
      <c r="R3839" t="s">
        <v>11180</v>
      </c>
      <c r="S3839" t="s">
        <v>9094</v>
      </c>
      <c r="T3839" t="s">
        <v>11183</v>
      </c>
      <c r="V3839" t="s">
        <v>448</v>
      </c>
      <c r="W3839">
        <v>834</v>
      </c>
      <c r="X3839" t="s">
        <v>11332</v>
      </c>
      <c r="Y3839" t="s">
        <v>11346</v>
      </c>
      <c r="Z3839" t="s">
        <v>13866</v>
      </c>
      <c r="AB3839" t="s">
        <v>18197</v>
      </c>
      <c r="AC3839">
        <v>12</v>
      </c>
      <c r="AD3839" t="s">
        <v>19566</v>
      </c>
      <c r="AE3839" t="s">
        <v>9144</v>
      </c>
      <c r="AF3839">
        <v>26</v>
      </c>
      <c r="AG3839">
        <v>5</v>
      </c>
      <c r="AH3839">
        <v>2</v>
      </c>
      <c r="AI3839">
        <v>136.63</v>
      </c>
      <c r="AL3839" t="s">
        <v>19614</v>
      </c>
      <c r="AM3839">
        <v>52000</v>
      </c>
      <c r="AN3839" t="s">
        <v>19983</v>
      </c>
      <c r="AS3839">
        <v>0.08</v>
      </c>
      <c r="AT3839" t="s">
        <v>563</v>
      </c>
      <c r="AU3839" t="s">
        <v>95</v>
      </c>
    </row>
    <row r="3840" spans="1:48">
      <c r="A3840" s="1">
        <f>HYPERLINK("https://lsnyc.legalserver.org/matter/dynamic-profile/view/1879085","18-1879085")</f>
        <v>0</v>
      </c>
      <c r="B3840" t="s">
        <v>78</v>
      </c>
      <c r="C3840" t="s">
        <v>256</v>
      </c>
      <c r="D3840" t="s">
        <v>1042</v>
      </c>
      <c r="F3840" t="s">
        <v>2642</v>
      </c>
      <c r="G3840" t="s">
        <v>4883</v>
      </c>
      <c r="H3840" t="s">
        <v>6712</v>
      </c>
      <c r="I3840" t="s">
        <v>8229</v>
      </c>
      <c r="J3840" t="s">
        <v>9059</v>
      </c>
      <c r="K3840">
        <v>11221</v>
      </c>
      <c r="L3840" t="s">
        <v>9094</v>
      </c>
      <c r="M3840" t="s">
        <v>9094</v>
      </c>
      <c r="N3840" t="s">
        <v>10536</v>
      </c>
      <c r="O3840" t="s">
        <v>11130</v>
      </c>
      <c r="P3840" t="s">
        <v>11165</v>
      </c>
      <c r="R3840" t="s">
        <v>11180</v>
      </c>
      <c r="S3840" t="s">
        <v>9094</v>
      </c>
      <c r="T3840" t="s">
        <v>11183</v>
      </c>
      <c r="V3840" t="s">
        <v>11291</v>
      </c>
      <c r="W3840">
        <v>834</v>
      </c>
      <c r="X3840" t="s">
        <v>11332</v>
      </c>
      <c r="Y3840" t="s">
        <v>11346</v>
      </c>
      <c r="Z3840" t="s">
        <v>13866</v>
      </c>
      <c r="AB3840" t="s">
        <v>18197</v>
      </c>
      <c r="AC3840">
        <v>12</v>
      </c>
      <c r="AD3840" t="s">
        <v>19566</v>
      </c>
      <c r="AE3840" t="s">
        <v>9144</v>
      </c>
      <c r="AF3840">
        <v>26</v>
      </c>
      <c r="AG3840">
        <v>5</v>
      </c>
      <c r="AH3840">
        <v>2</v>
      </c>
      <c r="AI3840">
        <v>136.63</v>
      </c>
      <c r="AL3840" t="s">
        <v>19614</v>
      </c>
      <c r="AM3840">
        <v>52000</v>
      </c>
      <c r="AN3840" t="s">
        <v>19984</v>
      </c>
      <c r="AS3840">
        <v>1</v>
      </c>
      <c r="AT3840" t="s">
        <v>526</v>
      </c>
      <c r="AU3840" t="s">
        <v>95</v>
      </c>
    </row>
    <row r="3841" spans="1:48">
      <c r="A3841" s="1">
        <f>HYPERLINK("https://lsnyc.legalserver.org/matter/dynamic-profile/view/1879855","18-1879855")</f>
        <v>0</v>
      </c>
      <c r="B3841" t="s">
        <v>111</v>
      </c>
      <c r="C3841" t="s">
        <v>256</v>
      </c>
      <c r="D3841" t="s">
        <v>313</v>
      </c>
      <c r="F3841" t="s">
        <v>1511</v>
      </c>
      <c r="G3841" t="s">
        <v>4258</v>
      </c>
      <c r="H3841" t="s">
        <v>7473</v>
      </c>
      <c r="I3841" t="s">
        <v>8270</v>
      </c>
      <c r="J3841" t="s">
        <v>9065</v>
      </c>
      <c r="K3841">
        <v>10459</v>
      </c>
      <c r="L3841" t="s">
        <v>9094</v>
      </c>
      <c r="M3841" t="s">
        <v>9094</v>
      </c>
      <c r="N3841" t="s">
        <v>10537</v>
      </c>
      <c r="O3841" t="s">
        <v>11128</v>
      </c>
      <c r="P3841" t="s">
        <v>11165</v>
      </c>
      <c r="R3841" t="s">
        <v>11180</v>
      </c>
      <c r="S3841" t="s">
        <v>9096</v>
      </c>
      <c r="T3841" t="s">
        <v>11183</v>
      </c>
      <c r="U3841" t="s">
        <v>11201</v>
      </c>
      <c r="V3841" t="s">
        <v>313</v>
      </c>
      <c r="W3841">
        <v>1477</v>
      </c>
      <c r="X3841" t="s">
        <v>11333</v>
      </c>
      <c r="Y3841" t="s">
        <v>11345</v>
      </c>
      <c r="Z3841" t="s">
        <v>13717</v>
      </c>
      <c r="AB3841" t="s">
        <v>18235</v>
      </c>
      <c r="AC3841">
        <v>26</v>
      </c>
      <c r="AD3841" t="s">
        <v>19566</v>
      </c>
      <c r="AE3841" t="s">
        <v>19580</v>
      </c>
      <c r="AF3841">
        <v>33</v>
      </c>
      <c r="AG3841">
        <v>3</v>
      </c>
      <c r="AH3841">
        <v>0</v>
      </c>
      <c r="AI3841">
        <v>136.63</v>
      </c>
      <c r="AL3841" t="s">
        <v>19615</v>
      </c>
      <c r="AM3841">
        <v>28392</v>
      </c>
      <c r="AS3841">
        <v>82.5</v>
      </c>
      <c r="AT3841" t="s">
        <v>270</v>
      </c>
      <c r="AU3841" t="s">
        <v>20619</v>
      </c>
    </row>
    <row r="3842" spans="1:48">
      <c r="A3842" s="1">
        <f>HYPERLINK("https://lsnyc.legalserver.org/matter/dynamic-profile/view/1909517","19-1909517")</f>
        <v>0</v>
      </c>
      <c r="B3842" t="s">
        <v>139</v>
      </c>
      <c r="C3842" t="s">
        <v>257</v>
      </c>
      <c r="D3842" t="s">
        <v>273</v>
      </c>
      <c r="E3842" t="s">
        <v>425</v>
      </c>
      <c r="F3842" t="s">
        <v>2296</v>
      </c>
      <c r="G3842" t="s">
        <v>3370</v>
      </c>
      <c r="H3842" t="s">
        <v>7474</v>
      </c>
      <c r="I3842">
        <v>23</v>
      </c>
      <c r="J3842" t="s">
        <v>9067</v>
      </c>
      <c r="K3842">
        <v>10033</v>
      </c>
      <c r="L3842" t="s">
        <v>9094</v>
      </c>
      <c r="M3842" t="s">
        <v>9095</v>
      </c>
      <c r="O3842" t="s">
        <v>11136</v>
      </c>
      <c r="P3842" t="s">
        <v>11164</v>
      </c>
      <c r="Q3842" t="s">
        <v>11172</v>
      </c>
      <c r="R3842" t="s">
        <v>11180</v>
      </c>
      <c r="S3842" t="s">
        <v>9096</v>
      </c>
      <c r="T3842" t="s">
        <v>11183</v>
      </c>
      <c r="V3842" t="s">
        <v>273</v>
      </c>
      <c r="W3842">
        <v>1322.53</v>
      </c>
      <c r="X3842" t="s">
        <v>11335</v>
      </c>
      <c r="Y3842" t="s">
        <v>11338</v>
      </c>
      <c r="Z3842" t="s">
        <v>11709</v>
      </c>
      <c r="AB3842" t="s">
        <v>18236</v>
      </c>
      <c r="AC3842">
        <v>48</v>
      </c>
      <c r="AD3842" t="s">
        <v>19566</v>
      </c>
      <c r="AE3842" t="s">
        <v>19580</v>
      </c>
      <c r="AF3842">
        <v>9</v>
      </c>
      <c r="AG3842">
        <v>2</v>
      </c>
      <c r="AH3842">
        <v>0</v>
      </c>
      <c r="AI3842">
        <v>136.68</v>
      </c>
      <c r="AL3842" t="s">
        <v>19615</v>
      </c>
      <c r="AM3842">
        <v>23112</v>
      </c>
      <c r="AS3842">
        <v>0.1</v>
      </c>
      <c r="AT3842" t="s">
        <v>425</v>
      </c>
      <c r="AU3842" t="s">
        <v>130</v>
      </c>
      <c r="AV3842" t="s">
        <v>20733</v>
      </c>
    </row>
    <row r="3843" spans="1:48">
      <c r="A3843" s="1">
        <f>HYPERLINK("https://lsnyc.legalserver.org/matter/dynamic-profile/view/0782387","15-0782387")</f>
        <v>0</v>
      </c>
      <c r="B3843" t="s">
        <v>108</v>
      </c>
      <c r="C3843" t="s">
        <v>256</v>
      </c>
      <c r="D3843" t="s">
        <v>824</v>
      </c>
      <c r="F3843" t="s">
        <v>2061</v>
      </c>
      <c r="G3843" t="s">
        <v>4892</v>
      </c>
      <c r="H3843" t="s">
        <v>5897</v>
      </c>
      <c r="I3843" t="s">
        <v>8699</v>
      </c>
      <c r="J3843" t="s">
        <v>9065</v>
      </c>
      <c r="K3843">
        <v>10452</v>
      </c>
      <c r="L3843" t="s">
        <v>9094</v>
      </c>
      <c r="M3843" t="s">
        <v>9095</v>
      </c>
      <c r="N3843" t="s">
        <v>9250</v>
      </c>
      <c r="O3843" t="s">
        <v>11132</v>
      </c>
      <c r="P3843" t="s">
        <v>11165</v>
      </c>
      <c r="R3843" t="s">
        <v>11180</v>
      </c>
      <c r="S3843" t="s">
        <v>9094</v>
      </c>
      <c r="T3843" t="s">
        <v>11183</v>
      </c>
      <c r="V3843" t="s">
        <v>824</v>
      </c>
      <c r="W3843">
        <v>1081</v>
      </c>
      <c r="X3843" t="s">
        <v>11333</v>
      </c>
      <c r="Y3843" t="s">
        <v>11338</v>
      </c>
      <c r="Z3843" t="s">
        <v>13879</v>
      </c>
      <c r="AB3843" t="s">
        <v>18210</v>
      </c>
      <c r="AC3843">
        <v>0</v>
      </c>
      <c r="AF3843">
        <v>24</v>
      </c>
      <c r="AG3843">
        <v>2</v>
      </c>
      <c r="AH3843">
        <v>0</v>
      </c>
      <c r="AI3843">
        <v>136.85</v>
      </c>
      <c r="AL3843" t="s">
        <v>19614</v>
      </c>
      <c r="AM3843">
        <v>21800</v>
      </c>
      <c r="AS3843">
        <v>0.9</v>
      </c>
      <c r="AT3843" t="s">
        <v>20594</v>
      </c>
      <c r="AU3843" t="s">
        <v>109</v>
      </c>
    </row>
    <row r="3844" spans="1:48">
      <c r="A3844" s="1">
        <f>HYPERLINK("https://lsnyc.legalserver.org/matter/dynamic-profile/view/1885279","18-1885279")</f>
        <v>0</v>
      </c>
      <c r="B3844" t="s">
        <v>136</v>
      </c>
      <c r="C3844" t="s">
        <v>256</v>
      </c>
      <c r="D3844" t="s">
        <v>448</v>
      </c>
      <c r="F3844" t="s">
        <v>2660</v>
      </c>
      <c r="G3844" t="s">
        <v>4906</v>
      </c>
      <c r="H3844" t="s">
        <v>7475</v>
      </c>
      <c r="I3844">
        <v>3</v>
      </c>
      <c r="J3844" t="s">
        <v>9067</v>
      </c>
      <c r="K3844">
        <v>10029</v>
      </c>
      <c r="L3844" t="s">
        <v>9094</v>
      </c>
      <c r="M3844" t="s">
        <v>9094</v>
      </c>
      <c r="N3844" t="s">
        <v>10538</v>
      </c>
      <c r="O3844" t="s">
        <v>11130</v>
      </c>
      <c r="P3844" t="s">
        <v>11165</v>
      </c>
      <c r="R3844" t="s">
        <v>11180</v>
      </c>
      <c r="S3844" t="s">
        <v>9094</v>
      </c>
      <c r="T3844" t="s">
        <v>11183</v>
      </c>
      <c r="U3844" t="s">
        <v>11201</v>
      </c>
      <c r="V3844" t="s">
        <v>448</v>
      </c>
      <c r="W3844">
        <v>1542</v>
      </c>
      <c r="X3844" t="s">
        <v>11335</v>
      </c>
      <c r="Y3844" t="s">
        <v>11339</v>
      </c>
      <c r="Z3844" t="s">
        <v>13909</v>
      </c>
      <c r="AB3844" t="s">
        <v>18237</v>
      </c>
      <c r="AC3844">
        <v>6</v>
      </c>
      <c r="AD3844" t="s">
        <v>19566</v>
      </c>
      <c r="AE3844" t="s">
        <v>9144</v>
      </c>
      <c r="AF3844">
        <v>10</v>
      </c>
      <c r="AG3844">
        <v>3</v>
      </c>
      <c r="AH3844">
        <v>2</v>
      </c>
      <c r="AI3844">
        <v>136.98</v>
      </c>
      <c r="AL3844" t="s">
        <v>19614</v>
      </c>
      <c r="AM3844">
        <v>40300</v>
      </c>
      <c r="AS3844">
        <v>3.5</v>
      </c>
      <c r="AT3844" t="s">
        <v>321</v>
      </c>
      <c r="AU3844" t="s">
        <v>20657</v>
      </c>
    </row>
    <row r="3845" spans="1:48">
      <c r="A3845" s="1">
        <f>HYPERLINK("https://lsnyc.legalserver.org/matter/dynamic-profile/view/1904832","19-1904832")</f>
        <v>0</v>
      </c>
      <c r="B3845" t="s">
        <v>111</v>
      </c>
      <c r="C3845" t="s">
        <v>256</v>
      </c>
      <c r="D3845" t="s">
        <v>748</v>
      </c>
      <c r="F3845" t="s">
        <v>1333</v>
      </c>
      <c r="G3845" t="s">
        <v>3411</v>
      </c>
      <c r="H3845" t="s">
        <v>7476</v>
      </c>
      <c r="I3845" t="s">
        <v>8374</v>
      </c>
      <c r="J3845" t="s">
        <v>9065</v>
      </c>
      <c r="K3845">
        <v>10452</v>
      </c>
      <c r="L3845" t="s">
        <v>9094</v>
      </c>
      <c r="M3845" t="s">
        <v>9095</v>
      </c>
      <c r="N3845" t="s">
        <v>10539</v>
      </c>
      <c r="O3845" t="s">
        <v>11129</v>
      </c>
      <c r="P3845" t="s">
        <v>11165</v>
      </c>
      <c r="R3845" t="s">
        <v>11180</v>
      </c>
      <c r="S3845" t="s">
        <v>9096</v>
      </c>
      <c r="T3845" t="s">
        <v>11183</v>
      </c>
      <c r="U3845" t="s">
        <v>11200</v>
      </c>
      <c r="V3845" t="s">
        <v>11207</v>
      </c>
      <c r="W3845">
        <v>952</v>
      </c>
      <c r="X3845" t="s">
        <v>11333</v>
      </c>
      <c r="Y3845" t="s">
        <v>11340</v>
      </c>
      <c r="Z3845" t="s">
        <v>13910</v>
      </c>
      <c r="AA3845" t="s">
        <v>15822</v>
      </c>
      <c r="AB3845" t="s">
        <v>18238</v>
      </c>
      <c r="AC3845">
        <v>15000</v>
      </c>
      <c r="AD3845" t="s">
        <v>19566</v>
      </c>
      <c r="AE3845" t="s">
        <v>19585</v>
      </c>
      <c r="AF3845">
        <v>31</v>
      </c>
      <c r="AG3845">
        <v>1</v>
      </c>
      <c r="AH3845">
        <v>0</v>
      </c>
      <c r="AI3845">
        <v>137.29</v>
      </c>
      <c r="AL3845" t="s">
        <v>19614</v>
      </c>
      <c r="AM3845">
        <v>17148</v>
      </c>
      <c r="AS3845">
        <v>27.6</v>
      </c>
      <c r="AT3845" t="s">
        <v>832</v>
      </c>
      <c r="AU3845" t="s">
        <v>20639</v>
      </c>
      <c r="AV3845" t="s">
        <v>20734</v>
      </c>
    </row>
    <row r="3846" spans="1:48">
      <c r="A3846" s="1">
        <f>HYPERLINK("https://lsnyc.legalserver.org/matter/dynamic-profile/view/1910692","19-1910692")</f>
        <v>0</v>
      </c>
      <c r="B3846" t="s">
        <v>62</v>
      </c>
      <c r="C3846" t="s">
        <v>256</v>
      </c>
      <c r="D3846" t="s">
        <v>307</v>
      </c>
      <c r="F3846" t="s">
        <v>1181</v>
      </c>
      <c r="G3846" t="s">
        <v>4907</v>
      </c>
      <c r="H3846" t="s">
        <v>7477</v>
      </c>
      <c r="I3846" t="s">
        <v>8209</v>
      </c>
      <c r="J3846" t="s">
        <v>9055</v>
      </c>
      <c r="K3846">
        <v>11354</v>
      </c>
      <c r="L3846" t="s">
        <v>9094</v>
      </c>
      <c r="M3846" t="s">
        <v>9095</v>
      </c>
      <c r="N3846" t="s">
        <v>10540</v>
      </c>
      <c r="O3846" t="s">
        <v>11128</v>
      </c>
      <c r="P3846" t="s">
        <v>11165</v>
      </c>
      <c r="R3846" t="s">
        <v>11180</v>
      </c>
      <c r="S3846" t="s">
        <v>9096</v>
      </c>
      <c r="T3846" t="s">
        <v>11183</v>
      </c>
      <c r="U3846" t="s">
        <v>11201</v>
      </c>
      <c r="V3846" t="s">
        <v>11292</v>
      </c>
      <c r="W3846">
        <v>923</v>
      </c>
      <c r="X3846" t="s">
        <v>11331</v>
      </c>
      <c r="Y3846" t="s">
        <v>11336</v>
      </c>
      <c r="Z3846" t="s">
        <v>13911</v>
      </c>
      <c r="AB3846" t="s">
        <v>18239</v>
      </c>
      <c r="AC3846">
        <v>72</v>
      </c>
      <c r="AD3846" t="s">
        <v>15441</v>
      </c>
      <c r="AE3846" t="s">
        <v>9144</v>
      </c>
      <c r="AF3846">
        <v>42</v>
      </c>
      <c r="AG3846">
        <v>1</v>
      </c>
      <c r="AH3846">
        <v>0</v>
      </c>
      <c r="AI3846">
        <v>137.39</v>
      </c>
      <c r="AL3846" t="s">
        <v>19614</v>
      </c>
      <c r="AM3846">
        <v>17160</v>
      </c>
      <c r="AP3846" t="s">
        <v>11157</v>
      </c>
      <c r="AS3846">
        <v>32.2</v>
      </c>
      <c r="AT3846" t="s">
        <v>321</v>
      </c>
      <c r="AU3846" t="s">
        <v>20620</v>
      </c>
      <c r="AV3846" t="s">
        <v>20733</v>
      </c>
    </row>
    <row r="3847" spans="1:48">
      <c r="A3847" s="1">
        <f>HYPERLINK("https://lsnyc.legalserver.org/matter/dynamic-profile/view/1915295","19-1915295")</f>
        <v>0</v>
      </c>
      <c r="B3847" t="s">
        <v>62</v>
      </c>
      <c r="C3847" t="s">
        <v>256</v>
      </c>
      <c r="D3847" t="s">
        <v>321</v>
      </c>
      <c r="F3847" t="s">
        <v>1181</v>
      </c>
      <c r="G3847" t="s">
        <v>4907</v>
      </c>
      <c r="H3847" t="s">
        <v>7477</v>
      </c>
      <c r="I3847" t="s">
        <v>8209</v>
      </c>
      <c r="J3847" t="s">
        <v>9055</v>
      </c>
      <c r="K3847">
        <v>11354</v>
      </c>
      <c r="L3847" t="s">
        <v>9094</v>
      </c>
      <c r="M3847" t="s">
        <v>9095</v>
      </c>
      <c r="O3847" t="s">
        <v>11130</v>
      </c>
      <c r="P3847" t="s">
        <v>11165</v>
      </c>
      <c r="R3847" t="s">
        <v>11180</v>
      </c>
      <c r="S3847" t="s">
        <v>9096</v>
      </c>
      <c r="T3847" t="s">
        <v>11183</v>
      </c>
      <c r="V3847" t="s">
        <v>321</v>
      </c>
      <c r="W3847">
        <v>923</v>
      </c>
      <c r="X3847" t="s">
        <v>11331</v>
      </c>
      <c r="Y3847" t="s">
        <v>11340</v>
      </c>
      <c r="Z3847" t="s">
        <v>13911</v>
      </c>
      <c r="AB3847" t="s">
        <v>18239</v>
      </c>
      <c r="AC3847">
        <v>72</v>
      </c>
      <c r="AE3847" t="s">
        <v>9144</v>
      </c>
      <c r="AF3847">
        <v>42</v>
      </c>
      <c r="AG3847">
        <v>1</v>
      </c>
      <c r="AH3847">
        <v>0</v>
      </c>
      <c r="AI3847">
        <v>137.39</v>
      </c>
      <c r="AL3847" t="s">
        <v>19614</v>
      </c>
      <c r="AM3847">
        <v>17160</v>
      </c>
      <c r="AS3847">
        <v>0</v>
      </c>
      <c r="AU3847" t="s">
        <v>20620</v>
      </c>
      <c r="AV3847" t="s">
        <v>20733</v>
      </c>
    </row>
    <row r="3848" spans="1:48">
      <c r="A3848" s="1">
        <f>HYPERLINK("https://lsnyc.legalserver.org/matter/dynamic-profile/view/1912519","19-1912519")</f>
        <v>0</v>
      </c>
      <c r="B3848" t="s">
        <v>90</v>
      </c>
      <c r="C3848" t="s">
        <v>256</v>
      </c>
      <c r="D3848" t="s">
        <v>744</v>
      </c>
      <c r="F3848" t="s">
        <v>1436</v>
      </c>
      <c r="G3848" t="s">
        <v>3618</v>
      </c>
      <c r="H3848" t="s">
        <v>5805</v>
      </c>
      <c r="I3848" t="s">
        <v>8112</v>
      </c>
      <c r="J3848" t="s">
        <v>9059</v>
      </c>
      <c r="K3848">
        <v>11213</v>
      </c>
      <c r="L3848" t="s">
        <v>9094</v>
      </c>
      <c r="M3848" t="s">
        <v>9095</v>
      </c>
      <c r="N3848" t="s">
        <v>9318</v>
      </c>
      <c r="O3848" t="s">
        <v>11141</v>
      </c>
      <c r="P3848" t="s">
        <v>11170</v>
      </c>
      <c r="R3848" t="s">
        <v>11180</v>
      </c>
      <c r="S3848" t="s">
        <v>9094</v>
      </c>
      <c r="T3848" t="s">
        <v>11185</v>
      </c>
      <c r="U3848" t="s">
        <v>11201</v>
      </c>
      <c r="V3848" t="s">
        <v>404</v>
      </c>
      <c r="W3848">
        <v>643.12</v>
      </c>
      <c r="X3848" t="s">
        <v>11332</v>
      </c>
      <c r="Y3848" t="s">
        <v>11340</v>
      </c>
      <c r="Z3848" t="s">
        <v>11699</v>
      </c>
      <c r="AA3848" t="s">
        <v>9144</v>
      </c>
      <c r="AB3848" t="s">
        <v>16171</v>
      </c>
      <c r="AC3848">
        <v>19</v>
      </c>
      <c r="AD3848" t="s">
        <v>19566</v>
      </c>
      <c r="AE3848" t="s">
        <v>9144</v>
      </c>
      <c r="AF3848">
        <v>8</v>
      </c>
      <c r="AG3848">
        <v>1</v>
      </c>
      <c r="AH3848">
        <v>1</v>
      </c>
      <c r="AI3848">
        <v>137.5</v>
      </c>
      <c r="AL3848" t="s">
        <v>19614</v>
      </c>
      <c r="AM3848">
        <v>23252</v>
      </c>
      <c r="AS3848">
        <v>1</v>
      </c>
      <c r="AT3848" t="s">
        <v>404</v>
      </c>
      <c r="AU3848" t="s">
        <v>90</v>
      </c>
      <c r="AV3848" t="s">
        <v>20733</v>
      </c>
    </row>
    <row r="3849" spans="1:48">
      <c r="A3849" s="1">
        <f>HYPERLINK("https://lsnyc.legalserver.org/matter/dynamic-profile/view/1882435","18-1882435")</f>
        <v>0</v>
      </c>
      <c r="B3849" t="s">
        <v>54</v>
      </c>
      <c r="C3849" t="s">
        <v>256</v>
      </c>
      <c r="D3849" t="s">
        <v>875</v>
      </c>
      <c r="F3849" t="s">
        <v>2661</v>
      </c>
      <c r="G3849" t="s">
        <v>3498</v>
      </c>
      <c r="H3849" t="s">
        <v>7478</v>
      </c>
      <c r="I3849" t="s">
        <v>8128</v>
      </c>
      <c r="J3849" t="s">
        <v>9048</v>
      </c>
      <c r="K3849">
        <v>11385</v>
      </c>
      <c r="L3849" t="s">
        <v>9094</v>
      </c>
      <c r="M3849" t="s">
        <v>9094</v>
      </c>
      <c r="O3849" t="s">
        <v>11137</v>
      </c>
      <c r="P3849" t="s">
        <v>11166</v>
      </c>
      <c r="R3849" t="s">
        <v>11180</v>
      </c>
      <c r="S3849" t="s">
        <v>9096</v>
      </c>
      <c r="T3849" t="s">
        <v>11184</v>
      </c>
      <c r="U3849" t="s">
        <v>11199</v>
      </c>
      <c r="V3849" t="s">
        <v>313</v>
      </c>
      <c r="W3849">
        <v>1850</v>
      </c>
      <c r="X3849" t="s">
        <v>11331</v>
      </c>
      <c r="Y3849" t="s">
        <v>11336</v>
      </c>
      <c r="Z3849" t="s">
        <v>13912</v>
      </c>
      <c r="AA3849" t="s">
        <v>15274</v>
      </c>
      <c r="AB3849" t="s">
        <v>18240</v>
      </c>
      <c r="AC3849">
        <v>6</v>
      </c>
      <c r="AD3849" t="s">
        <v>19566</v>
      </c>
      <c r="AE3849" t="s">
        <v>9144</v>
      </c>
      <c r="AF3849">
        <v>6</v>
      </c>
      <c r="AG3849">
        <v>1</v>
      </c>
      <c r="AH3849">
        <v>2</v>
      </c>
      <c r="AI3849">
        <v>137.63</v>
      </c>
      <c r="AL3849" t="s">
        <v>19614</v>
      </c>
      <c r="AM3849">
        <v>28600</v>
      </c>
      <c r="AO3849" t="s">
        <v>20294</v>
      </c>
      <c r="AP3849" t="s">
        <v>11157</v>
      </c>
      <c r="AQ3849" t="s">
        <v>20369</v>
      </c>
      <c r="AR3849" t="s">
        <v>20529</v>
      </c>
      <c r="AS3849">
        <v>2</v>
      </c>
      <c r="AT3849" t="s">
        <v>648</v>
      </c>
      <c r="AU3849" t="s">
        <v>164</v>
      </c>
    </row>
    <row r="3850" spans="1:48">
      <c r="A3850" s="1">
        <f>HYPERLINK("https://lsnyc.legalserver.org/matter/dynamic-profile/view/0781269","15-0781269")</f>
        <v>0</v>
      </c>
      <c r="B3850" t="s">
        <v>245</v>
      </c>
      <c r="C3850" t="s">
        <v>256</v>
      </c>
      <c r="D3850" t="s">
        <v>303</v>
      </c>
      <c r="F3850" t="s">
        <v>2662</v>
      </c>
      <c r="G3850" t="s">
        <v>4908</v>
      </c>
      <c r="H3850" t="s">
        <v>7479</v>
      </c>
      <c r="I3850" t="s">
        <v>8132</v>
      </c>
      <c r="J3850" t="s">
        <v>9059</v>
      </c>
      <c r="K3850">
        <v>11216</v>
      </c>
      <c r="L3850" t="s">
        <v>9094</v>
      </c>
      <c r="M3850" t="s">
        <v>9095</v>
      </c>
      <c r="N3850" t="s">
        <v>10541</v>
      </c>
      <c r="O3850" t="s">
        <v>11128</v>
      </c>
      <c r="P3850" t="s">
        <v>11165</v>
      </c>
      <c r="R3850" t="s">
        <v>11180</v>
      </c>
      <c r="T3850" t="s">
        <v>11183</v>
      </c>
      <c r="W3850">
        <v>1244</v>
      </c>
      <c r="X3850" t="s">
        <v>11332</v>
      </c>
      <c r="Y3850" t="s">
        <v>11339</v>
      </c>
      <c r="Z3850" t="s">
        <v>13913</v>
      </c>
      <c r="AB3850" t="s">
        <v>18241</v>
      </c>
      <c r="AC3850">
        <v>0</v>
      </c>
      <c r="AD3850" t="s">
        <v>19566</v>
      </c>
      <c r="AF3850">
        <v>14</v>
      </c>
      <c r="AG3850">
        <v>1</v>
      </c>
      <c r="AH3850">
        <v>2</v>
      </c>
      <c r="AI3850">
        <v>137.7</v>
      </c>
      <c r="AL3850" t="s">
        <v>19614</v>
      </c>
      <c r="AM3850">
        <v>27664</v>
      </c>
      <c r="AS3850">
        <v>172</v>
      </c>
      <c r="AT3850" t="s">
        <v>808</v>
      </c>
      <c r="AU3850" t="s">
        <v>245</v>
      </c>
    </row>
    <row r="3851" spans="1:48">
      <c r="A3851" s="1">
        <f>HYPERLINK("https://lsnyc.legalserver.org/matter/dynamic-profile/view/1888023","19-1888023")</f>
        <v>0</v>
      </c>
      <c r="B3851" t="s">
        <v>178</v>
      </c>
      <c r="C3851" t="s">
        <v>257</v>
      </c>
      <c r="D3851" t="s">
        <v>756</v>
      </c>
      <c r="E3851" t="s">
        <v>483</v>
      </c>
      <c r="F3851" t="s">
        <v>1518</v>
      </c>
      <c r="G3851" t="s">
        <v>4909</v>
      </c>
      <c r="H3851" t="s">
        <v>6435</v>
      </c>
      <c r="I3851">
        <v>606</v>
      </c>
      <c r="J3851" t="s">
        <v>9065</v>
      </c>
      <c r="K3851">
        <v>10457</v>
      </c>
      <c r="L3851" t="s">
        <v>9095</v>
      </c>
      <c r="M3851" t="s">
        <v>9095</v>
      </c>
      <c r="O3851" t="s">
        <v>11136</v>
      </c>
      <c r="P3851" t="s">
        <v>11164</v>
      </c>
      <c r="Q3851" t="s">
        <v>11172</v>
      </c>
      <c r="R3851" t="s">
        <v>11180</v>
      </c>
      <c r="T3851" t="s">
        <v>11183</v>
      </c>
      <c r="W3851">
        <v>833</v>
      </c>
      <c r="X3851" t="s">
        <v>11333</v>
      </c>
      <c r="Z3851" t="s">
        <v>13359</v>
      </c>
      <c r="AB3851" t="s">
        <v>18242</v>
      </c>
      <c r="AC3851">
        <v>88</v>
      </c>
      <c r="AF3851">
        <v>7</v>
      </c>
      <c r="AG3851">
        <v>1</v>
      </c>
      <c r="AH3851">
        <v>0</v>
      </c>
      <c r="AI3851">
        <v>137.73</v>
      </c>
      <c r="AL3851" t="s">
        <v>19614</v>
      </c>
      <c r="AM3851">
        <v>16720</v>
      </c>
      <c r="AN3851" t="s">
        <v>19985</v>
      </c>
      <c r="AS3851">
        <v>2.7</v>
      </c>
      <c r="AT3851" t="s">
        <v>483</v>
      </c>
      <c r="AU3851" t="s">
        <v>20627</v>
      </c>
    </row>
    <row r="3852" spans="1:48">
      <c r="A3852" s="1">
        <f>HYPERLINK("https://lsnyc.legalserver.org/matter/dynamic-profile/view/1894371","19-1894371")</f>
        <v>0</v>
      </c>
      <c r="B3852" t="s">
        <v>122</v>
      </c>
      <c r="C3852" t="s">
        <v>256</v>
      </c>
      <c r="D3852" t="s">
        <v>360</v>
      </c>
      <c r="F3852" t="s">
        <v>1641</v>
      </c>
      <c r="G3852" t="s">
        <v>4910</v>
      </c>
      <c r="H3852" t="s">
        <v>5931</v>
      </c>
      <c r="I3852" t="s">
        <v>8204</v>
      </c>
      <c r="J3852" t="s">
        <v>9066</v>
      </c>
      <c r="K3852">
        <v>10301</v>
      </c>
      <c r="L3852" t="s">
        <v>9094</v>
      </c>
      <c r="M3852" t="s">
        <v>9094</v>
      </c>
      <c r="N3852" t="s">
        <v>10542</v>
      </c>
      <c r="O3852" t="s">
        <v>11129</v>
      </c>
      <c r="P3852" t="s">
        <v>11165</v>
      </c>
      <c r="R3852" t="s">
        <v>11180</v>
      </c>
      <c r="S3852" t="s">
        <v>9096</v>
      </c>
      <c r="T3852" t="s">
        <v>11183</v>
      </c>
      <c r="U3852" t="s">
        <v>11201</v>
      </c>
      <c r="V3852" t="s">
        <v>360</v>
      </c>
      <c r="W3852">
        <v>1153</v>
      </c>
      <c r="X3852" t="s">
        <v>11334</v>
      </c>
      <c r="Y3852" t="s">
        <v>11340</v>
      </c>
      <c r="Z3852" t="s">
        <v>13914</v>
      </c>
      <c r="AB3852" t="s">
        <v>18243</v>
      </c>
      <c r="AC3852">
        <v>122</v>
      </c>
      <c r="AD3852" t="s">
        <v>19566</v>
      </c>
      <c r="AE3852" t="s">
        <v>9144</v>
      </c>
      <c r="AF3852">
        <v>6</v>
      </c>
      <c r="AG3852">
        <v>2</v>
      </c>
      <c r="AH3852">
        <v>0</v>
      </c>
      <c r="AI3852">
        <v>137.76</v>
      </c>
      <c r="AL3852" t="s">
        <v>19614</v>
      </c>
      <c r="AM3852">
        <v>23296</v>
      </c>
      <c r="AS3852">
        <v>24.35</v>
      </c>
      <c r="AT3852" t="s">
        <v>1135</v>
      </c>
      <c r="AU3852" t="s">
        <v>20653</v>
      </c>
      <c r="AV3852" t="s">
        <v>20733</v>
      </c>
    </row>
    <row r="3853" spans="1:48">
      <c r="A3853" s="1">
        <f>HYPERLINK("https://lsnyc.legalserver.org/matter/dynamic-profile/view/1900309","19-1900309")</f>
        <v>0</v>
      </c>
      <c r="B3853" t="s">
        <v>59</v>
      </c>
      <c r="C3853" t="s">
        <v>256</v>
      </c>
      <c r="D3853" t="s">
        <v>854</v>
      </c>
      <c r="F3853" t="s">
        <v>2663</v>
      </c>
      <c r="G3853" t="s">
        <v>4911</v>
      </c>
      <c r="H3853" t="s">
        <v>7480</v>
      </c>
      <c r="I3853" t="s">
        <v>8108</v>
      </c>
      <c r="J3853" t="s">
        <v>9055</v>
      </c>
      <c r="K3853">
        <v>11358</v>
      </c>
      <c r="L3853" t="s">
        <v>9094</v>
      </c>
      <c r="M3853" t="s">
        <v>9095</v>
      </c>
      <c r="N3853" t="s">
        <v>10543</v>
      </c>
      <c r="O3853" t="s">
        <v>11129</v>
      </c>
      <c r="P3853" t="s">
        <v>11165</v>
      </c>
      <c r="R3853" t="s">
        <v>11180</v>
      </c>
      <c r="S3853" t="s">
        <v>9096</v>
      </c>
      <c r="T3853" t="s">
        <v>11183</v>
      </c>
      <c r="U3853" t="s">
        <v>11201</v>
      </c>
      <c r="V3853" t="s">
        <v>283</v>
      </c>
      <c r="W3853">
        <v>2300</v>
      </c>
      <c r="X3853" t="s">
        <v>11331</v>
      </c>
      <c r="Y3853" t="s">
        <v>11157</v>
      </c>
      <c r="Z3853" t="s">
        <v>13915</v>
      </c>
      <c r="AA3853" t="s">
        <v>15274</v>
      </c>
      <c r="AB3853" t="s">
        <v>18244</v>
      </c>
      <c r="AC3853">
        <v>2</v>
      </c>
      <c r="AD3853" t="s">
        <v>19576</v>
      </c>
      <c r="AE3853" t="s">
        <v>9144</v>
      </c>
      <c r="AF3853">
        <v>1</v>
      </c>
      <c r="AG3853">
        <v>3</v>
      </c>
      <c r="AH3853">
        <v>1</v>
      </c>
      <c r="AI3853">
        <v>137.86</v>
      </c>
      <c r="AL3853" t="s">
        <v>19614</v>
      </c>
      <c r="AM3853">
        <v>35500</v>
      </c>
      <c r="AS3853">
        <v>29.8</v>
      </c>
      <c r="AT3853" t="s">
        <v>395</v>
      </c>
      <c r="AU3853" t="s">
        <v>20672</v>
      </c>
      <c r="AV3853" t="s">
        <v>20733</v>
      </c>
    </row>
    <row r="3854" spans="1:48">
      <c r="A3854" s="1">
        <f>HYPERLINK("https://lsnyc.legalserver.org/matter/dynamic-profile/view/1907796","19-1907796")</f>
        <v>0</v>
      </c>
      <c r="B3854" t="s">
        <v>78</v>
      </c>
      <c r="C3854" t="s">
        <v>256</v>
      </c>
      <c r="D3854" t="s">
        <v>396</v>
      </c>
      <c r="F3854" t="s">
        <v>1150</v>
      </c>
      <c r="G3854" t="s">
        <v>3195</v>
      </c>
      <c r="H3854" t="s">
        <v>5984</v>
      </c>
      <c r="I3854" t="s">
        <v>8109</v>
      </c>
      <c r="J3854" t="s">
        <v>9059</v>
      </c>
      <c r="K3854">
        <v>11212</v>
      </c>
      <c r="L3854" t="s">
        <v>9094</v>
      </c>
      <c r="M3854" t="s">
        <v>9095</v>
      </c>
      <c r="N3854" t="s">
        <v>9144</v>
      </c>
      <c r="O3854" t="s">
        <v>11137</v>
      </c>
      <c r="P3854" t="s">
        <v>11167</v>
      </c>
      <c r="R3854" t="s">
        <v>11180</v>
      </c>
      <c r="S3854" t="s">
        <v>9094</v>
      </c>
      <c r="T3854" t="s">
        <v>11183</v>
      </c>
      <c r="U3854" t="s">
        <v>11201</v>
      </c>
      <c r="V3854" t="s">
        <v>493</v>
      </c>
      <c r="W3854">
        <v>430.8</v>
      </c>
      <c r="X3854" t="s">
        <v>11332</v>
      </c>
      <c r="Y3854" t="s">
        <v>11346</v>
      </c>
      <c r="Z3854" t="s">
        <v>13916</v>
      </c>
      <c r="AA3854" t="s">
        <v>15823</v>
      </c>
      <c r="AB3854" t="s">
        <v>18245</v>
      </c>
      <c r="AC3854">
        <v>96</v>
      </c>
      <c r="AD3854" t="s">
        <v>19566</v>
      </c>
      <c r="AE3854" t="s">
        <v>11157</v>
      </c>
      <c r="AF3854">
        <v>4</v>
      </c>
      <c r="AG3854">
        <v>1</v>
      </c>
      <c r="AH3854">
        <v>0</v>
      </c>
      <c r="AI3854">
        <v>137.97</v>
      </c>
      <c r="AL3854" t="s">
        <v>19614</v>
      </c>
      <c r="AM3854">
        <v>17232</v>
      </c>
      <c r="AS3854">
        <v>0.08</v>
      </c>
      <c r="AT3854" t="s">
        <v>664</v>
      </c>
      <c r="AU3854" t="s">
        <v>79</v>
      </c>
      <c r="AV3854" t="s">
        <v>20733</v>
      </c>
    </row>
    <row r="3855" spans="1:48">
      <c r="A3855" s="1">
        <f>HYPERLINK("https://lsnyc.legalserver.org/matter/dynamic-profile/view/1879421","18-1879421")</f>
        <v>0</v>
      </c>
      <c r="B3855" t="s">
        <v>119</v>
      </c>
      <c r="C3855" t="s">
        <v>257</v>
      </c>
      <c r="D3855" t="s">
        <v>306</v>
      </c>
      <c r="E3855" t="s">
        <v>301</v>
      </c>
      <c r="F3855" t="s">
        <v>1382</v>
      </c>
      <c r="G3855" t="s">
        <v>3900</v>
      </c>
      <c r="H3855" t="s">
        <v>7481</v>
      </c>
      <c r="I3855" t="s">
        <v>8213</v>
      </c>
      <c r="J3855" t="s">
        <v>9065</v>
      </c>
      <c r="K3855">
        <v>10459</v>
      </c>
      <c r="L3855" t="s">
        <v>9094</v>
      </c>
      <c r="M3855" t="s">
        <v>9094</v>
      </c>
      <c r="O3855" t="s">
        <v>11136</v>
      </c>
      <c r="P3855" t="s">
        <v>11167</v>
      </c>
      <c r="Q3855" t="s">
        <v>11173</v>
      </c>
      <c r="R3855" t="s">
        <v>11180</v>
      </c>
      <c r="S3855" t="s">
        <v>9096</v>
      </c>
      <c r="T3855" t="s">
        <v>11183</v>
      </c>
      <c r="V3855" t="s">
        <v>306</v>
      </c>
      <c r="W3855">
        <v>795</v>
      </c>
      <c r="X3855" t="s">
        <v>11333</v>
      </c>
      <c r="Y3855" t="s">
        <v>11346</v>
      </c>
      <c r="Z3855" t="s">
        <v>13917</v>
      </c>
      <c r="AB3855" t="s">
        <v>18246</v>
      </c>
      <c r="AC3855">
        <v>72</v>
      </c>
      <c r="AD3855" t="s">
        <v>19566</v>
      </c>
      <c r="AE3855" t="s">
        <v>19587</v>
      </c>
      <c r="AF3855">
        <v>22</v>
      </c>
      <c r="AG3855">
        <v>1</v>
      </c>
      <c r="AH3855">
        <v>0</v>
      </c>
      <c r="AI3855">
        <v>138.09</v>
      </c>
      <c r="AL3855" t="s">
        <v>19614</v>
      </c>
      <c r="AM3855">
        <v>16764</v>
      </c>
      <c r="AS3855">
        <v>2.6</v>
      </c>
      <c r="AT3855" t="s">
        <v>301</v>
      </c>
      <c r="AU3855" t="s">
        <v>20660</v>
      </c>
    </row>
    <row r="3856" spans="1:48">
      <c r="A3856" s="1">
        <f>HYPERLINK("https://lsnyc.legalserver.org/matter/dynamic-profile/view/0792807","15-0792807")</f>
        <v>0</v>
      </c>
      <c r="B3856" t="s">
        <v>49</v>
      </c>
      <c r="C3856" t="s">
        <v>256</v>
      </c>
      <c r="D3856" t="s">
        <v>859</v>
      </c>
      <c r="F3856" t="s">
        <v>1928</v>
      </c>
      <c r="G3856" t="s">
        <v>4912</v>
      </c>
      <c r="H3856" t="s">
        <v>6492</v>
      </c>
      <c r="I3856" t="s">
        <v>8787</v>
      </c>
      <c r="J3856" t="s">
        <v>9055</v>
      </c>
      <c r="K3856">
        <v>11354</v>
      </c>
      <c r="L3856" t="s">
        <v>9094</v>
      </c>
      <c r="M3856" t="s">
        <v>9095</v>
      </c>
      <c r="N3856" t="s">
        <v>9717</v>
      </c>
      <c r="O3856" t="s">
        <v>11135</v>
      </c>
      <c r="P3856" t="s">
        <v>11168</v>
      </c>
      <c r="R3856" t="s">
        <v>11180</v>
      </c>
      <c r="T3856" t="s">
        <v>11183</v>
      </c>
      <c r="V3856" t="s">
        <v>303</v>
      </c>
      <c r="W3856">
        <v>0</v>
      </c>
      <c r="X3856" t="s">
        <v>11331</v>
      </c>
      <c r="Y3856" t="s">
        <v>11342</v>
      </c>
      <c r="Z3856" t="s">
        <v>13918</v>
      </c>
      <c r="AB3856" t="s">
        <v>15274</v>
      </c>
      <c r="AC3856">
        <v>175</v>
      </c>
      <c r="AD3856" t="s">
        <v>19566</v>
      </c>
      <c r="AE3856" t="s">
        <v>9144</v>
      </c>
      <c r="AF3856">
        <v>0</v>
      </c>
      <c r="AG3856">
        <v>2</v>
      </c>
      <c r="AH3856">
        <v>0</v>
      </c>
      <c r="AI3856">
        <v>138.1</v>
      </c>
      <c r="AL3856" t="s">
        <v>19615</v>
      </c>
      <c r="AM3856">
        <v>22000</v>
      </c>
      <c r="AS3856">
        <v>0.65</v>
      </c>
      <c r="AT3856" t="s">
        <v>448</v>
      </c>
      <c r="AU3856" t="s">
        <v>242</v>
      </c>
    </row>
    <row r="3857" spans="1:48">
      <c r="A3857" s="1">
        <f>HYPERLINK("https://lsnyc.legalserver.org/matter/dynamic-profile/view/1904623","19-1904623")</f>
        <v>0</v>
      </c>
      <c r="B3857" t="s">
        <v>221</v>
      </c>
      <c r="C3857" t="s">
        <v>257</v>
      </c>
      <c r="D3857" t="s">
        <v>497</v>
      </c>
      <c r="E3857" t="s">
        <v>669</v>
      </c>
      <c r="F3857" t="s">
        <v>1143</v>
      </c>
      <c r="G3857" t="s">
        <v>4913</v>
      </c>
      <c r="H3857" t="s">
        <v>7482</v>
      </c>
      <c r="I3857">
        <v>5</v>
      </c>
      <c r="J3857" t="s">
        <v>9067</v>
      </c>
      <c r="K3857">
        <v>10009</v>
      </c>
      <c r="L3857" t="s">
        <v>9094</v>
      </c>
      <c r="M3857" t="s">
        <v>9095</v>
      </c>
      <c r="N3857" t="s">
        <v>10544</v>
      </c>
      <c r="O3857" t="s">
        <v>11129</v>
      </c>
      <c r="P3857" t="s">
        <v>11164</v>
      </c>
      <c r="Q3857" t="s">
        <v>11172</v>
      </c>
      <c r="R3857" t="s">
        <v>11180</v>
      </c>
      <c r="S3857" t="s">
        <v>9096</v>
      </c>
      <c r="T3857" t="s">
        <v>11183</v>
      </c>
      <c r="U3857" t="s">
        <v>11201</v>
      </c>
      <c r="V3857" t="s">
        <v>497</v>
      </c>
      <c r="W3857">
        <v>3125</v>
      </c>
      <c r="X3857" t="s">
        <v>11335</v>
      </c>
      <c r="Y3857" t="s">
        <v>11336</v>
      </c>
      <c r="Z3857" t="s">
        <v>13919</v>
      </c>
      <c r="AA3857" t="s">
        <v>15824</v>
      </c>
      <c r="AB3857" t="s">
        <v>18247</v>
      </c>
      <c r="AC3857">
        <v>4</v>
      </c>
      <c r="AD3857" t="s">
        <v>19565</v>
      </c>
      <c r="AE3857" t="s">
        <v>9144</v>
      </c>
      <c r="AF3857">
        <v>27</v>
      </c>
      <c r="AG3857">
        <v>1</v>
      </c>
      <c r="AH3857">
        <v>0</v>
      </c>
      <c r="AI3857">
        <v>138.11</v>
      </c>
      <c r="AL3857" t="s">
        <v>19614</v>
      </c>
      <c r="AM3857">
        <v>17250</v>
      </c>
      <c r="AS3857">
        <v>1</v>
      </c>
      <c r="AT3857" t="s">
        <v>481</v>
      </c>
      <c r="AU3857" t="s">
        <v>20657</v>
      </c>
      <c r="AV3857" t="s">
        <v>20734</v>
      </c>
    </row>
    <row r="3858" spans="1:48">
      <c r="A3858" s="1">
        <f>HYPERLINK("https://lsnyc.legalserver.org/matter/dynamic-profile/view/0806801","16-0806801")</f>
        <v>0</v>
      </c>
      <c r="B3858" t="s">
        <v>170</v>
      </c>
      <c r="C3858" t="s">
        <v>256</v>
      </c>
      <c r="D3858" t="s">
        <v>1043</v>
      </c>
      <c r="F3858" t="s">
        <v>2664</v>
      </c>
      <c r="G3858" t="s">
        <v>1181</v>
      </c>
      <c r="H3858" t="s">
        <v>7082</v>
      </c>
      <c r="I3858" t="s">
        <v>8179</v>
      </c>
      <c r="J3858" t="s">
        <v>9059</v>
      </c>
      <c r="K3858">
        <v>11208</v>
      </c>
      <c r="L3858" t="s">
        <v>9094</v>
      </c>
      <c r="M3858" t="s">
        <v>9095</v>
      </c>
      <c r="N3858" t="s">
        <v>10545</v>
      </c>
      <c r="O3858" t="s">
        <v>11128</v>
      </c>
      <c r="P3858" t="s">
        <v>11165</v>
      </c>
      <c r="R3858" t="s">
        <v>11180</v>
      </c>
      <c r="T3858" t="s">
        <v>11189</v>
      </c>
      <c r="V3858" t="s">
        <v>1043</v>
      </c>
      <c r="W3858">
        <v>878</v>
      </c>
      <c r="X3858" t="s">
        <v>11332</v>
      </c>
      <c r="Y3858" t="s">
        <v>11339</v>
      </c>
      <c r="Z3858" t="s">
        <v>13920</v>
      </c>
      <c r="AB3858" t="s">
        <v>18248</v>
      </c>
      <c r="AC3858">
        <v>176</v>
      </c>
      <c r="AE3858" t="s">
        <v>9144</v>
      </c>
      <c r="AF3858">
        <v>5</v>
      </c>
      <c r="AG3858">
        <v>3</v>
      </c>
      <c r="AH3858">
        <v>1</v>
      </c>
      <c r="AI3858">
        <v>138.27</v>
      </c>
      <c r="AL3858" t="s">
        <v>19614</v>
      </c>
      <c r="AM3858">
        <v>33600</v>
      </c>
      <c r="AS3858">
        <v>177.32</v>
      </c>
      <c r="AT3858" t="s">
        <v>957</v>
      </c>
      <c r="AU3858" t="s">
        <v>226</v>
      </c>
    </row>
    <row r="3859" spans="1:48">
      <c r="A3859" s="1">
        <f>HYPERLINK("https://lsnyc.legalserver.org/matter/dynamic-profile/view/1901897","19-1901897")</f>
        <v>0</v>
      </c>
      <c r="B3859" t="s">
        <v>122</v>
      </c>
      <c r="C3859" t="s">
        <v>256</v>
      </c>
      <c r="D3859" t="s">
        <v>298</v>
      </c>
      <c r="F3859" t="s">
        <v>2332</v>
      </c>
      <c r="G3859" t="s">
        <v>4914</v>
      </c>
      <c r="H3859" t="s">
        <v>5911</v>
      </c>
      <c r="I3859" t="s">
        <v>8788</v>
      </c>
      <c r="J3859" t="s">
        <v>9066</v>
      </c>
      <c r="K3859">
        <v>10314</v>
      </c>
      <c r="L3859" t="s">
        <v>9094</v>
      </c>
      <c r="M3859" t="s">
        <v>9095</v>
      </c>
      <c r="N3859" t="s">
        <v>10526</v>
      </c>
      <c r="O3859" t="s">
        <v>11134</v>
      </c>
      <c r="P3859" t="s">
        <v>11168</v>
      </c>
      <c r="R3859" t="s">
        <v>11180</v>
      </c>
      <c r="S3859" t="s">
        <v>9094</v>
      </c>
      <c r="T3859" t="s">
        <v>11183</v>
      </c>
      <c r="U3859" t="s">
        <v>11201</v>
      </c>
      <c r="W3859">
        <v>0</v>
      </c>
      <c r="X3859" t="s">
        <v>11334</v>
      </c>
      <c r="Y3859" t="s">
        <v>11340</v>
      </c>
      <c r="Z3859" t="s">
        <v>13921</v>
      </c>
      <c r="AB3859" t="s">
        <v>18249</v>
      </c>
      <c r="AC3859">
        <v>96</v>
      </c>
      <c r="AD3859" t="s">
        <v>19566</v>
      </c>
      <c r="AE3859" t="s">
        <v>19587</v>
      </c>
      <c r="AF3859">
        <v>8</v>
      </c>
      <c r="AG3859">
        <v>1</v>
      </c>
      <c r="AH3859">
        <v>0</v>
      </c>
      <c r="AI3859">
        <v>138.34</v>
      </c>
      <c r="AL3859" t="s">
        <v>19614</v>
      </c>
      <c r="AM3859">
        <v>17278.8</v>
      </c>
      <c r="AO3859" t="s">
        <v>20293</v>
      </c>
      <c r="AP3859" t="s">
        <v>20316</v>
      </c>
      <c r="AQ3859" t="s">
        <v>20369</v>
      </c>
      <c r="AR3859" t="s">
        <v>20372</v>
      </c>
      <c r="AS3859">
        <v>0.6</v>
      </c>
      <c r="AT3859" t="s">
        <v>632</v>
      </c>
      <c r="AU3859" t="s">
        <v>20653</v>
      </c>
      <c r="AV3859" t="s">
        <v>20733</v>
      </c>
    </row>
    <row r="3860" spans="1:48">
      <c r="A3860" s="1">
        <f>HYPERLINK("https://lsnyc.legalserver.org/matter/dynamic-profile/view/1889678","19-1889678")</f>
        <v>0</v>
      </c>
      <c r="B3860" t="s">
        <v>108</v>
      </c>
      <c r="C3860" t="s">
        <v>256</v>
      </c>
      <c r="D3860" t="s">
        <v>503</v>
      </c>
      <c r="F3860" t="s">
        <v>2665</v>
      </c>
      <c r="G3860" t="s">
        <v>4915</v>
      </c>
      <c r="H3860" t="s">
        <v>6410</v>
      </c>
      <c r="I3860" t="s">
        <v>8115</v>
      </c>
      <c r="J3860" t="s">
        <v>9065</v>
      </c>
      <c r="K3860">
        <v>10463</v>
      </c>
      <c r="L3860" t="s">
        <v>9094</v>
      </c>
      <c r="M3860" t="s">
        <v>9094</v>
      </c>
      <c r="N3860" t="s">
        <v>10546</v>
      </c>
      <c r="O3860" t="s">
        <v>11136</v>
      </c>
      <c r="P3860" t="s">
        <v>11166</v>
      </c>
      <c r="R3860" t="s">
        <v>11180</v>
      </c>
      <c r="S3860" t="s">
        <v>9096</v>
      </c>
      <c r="T3860" t="s">
        <v>11183</v>
      </c>
      <c r="U3860" t="s">
        <v>11201</v>
      </c>
      <c r="V3860" t="s">
        <v>391</v>
      </c>
      <c r="W3860">
        <v>421.7</v>
      </c>
      <c r="X3860" t="s">
        <v>11333</v>
      </c>
      <c r="Y3860" t="s">
        <v>11346</v>
      </c>
      <c r="Z3860" t="s">
        <v>13922</v>
      </c>
      <c r="AB3860" t="s">
        <v>18250</v>
      </c>
      <c r="AC3860">
        <v>67</v>
      </c>
      <c r="AD3860" t="s">
        <v>19575</v>
      </c>
      <c r="AE3860" t="s">
        <v>19585</v>
      </c>
      <c r="AF3860">
        <v>19</v>
      </c>
      <c r="AG3860">
        <v>1</v>
      </c>
      <c r="AH3860">
        <v>0</v>
      </c>
      <c r="AI3860">
        <v>138.35</v>
      </c>
      <c r="AL3860" t="s">
        <v>19614</v>
      </c>
      <c r="AM3860">
        <v>17280</v>
      </c>
      <c r="AS3860">
        <v>6</v>
      </c>
      <c r="AT3860" t="s">
        <v>316</v>
      </c>
      <c r="AU3860" t="s">
        <v>163</v>
      </c>
    </row>
    <row r="3861" spans="1:48">
      <c r="A3861" s="1">
        <f>HYPERLINK("https://lsnyc.legalserver.org/matter/dynamic-profile/view/1914289","19-1914289")</f>
        <v>0</v>
      </c>
      <c r="B3861" t="s">
        <v>100</v>
      </c>
      <c r="C3861" t="s">
        <v>256</v>
      </c>
      <c r="D3861" t="s">
        <v>496</v>
      </c>
      <c r="F3861" t="s">
        <v>2666</v>
      </c>
      <c r="G3861" t="s">
        <v>3341</v>
      </c>
      <c r="H3861" t="s">
        <v>7483</v>
      </c>
      <c r="I3861" t="s">
        <v>8132</v>
      </c>
      <c r="J3861" t="s">
        <v>9065</v>
      </c>
      <c r="K3861">
        <v>10457</v>
      </c>
      <c r="L3861" t="s">
        <v>9094</v>
      </c>
      <c r="M3861" t="s">
        <v>9095</v>
      </c>
      <c r="O3861" t="s">
        <v>9121</v>
      </c>
      <c r="P3861" t="s">
        <v>11164</v>
      </c>
      <c r="R3861" t="s">
        <v>11180</v>
      </c>
      <c r="S3861" t="s">
        <v>9096</v>
      </c>
      <c r="T3861" t="s">
        <v>11183</v>
      </c>
      <c r="W3861">
        <v>1380.73</v>
      </c>
      <c r="X3861" t="s">
        <v>11333</v>
      </c>
      <c r="Y3861" t="s">
        <v>11340</v>
      </c>
      <c r="Z3861" t="s">
        <v>13923</v>
      </c>
      <c r="AA3861" t="s">
        <v>15825</v>
      </c>
      <c r="AB3861" t="s">
        <v>18251</v>
      </c>
      <c r="AC3861">
        <v>5</v>
      </c>
      <c r="AD3861" t="s">
        <v>19566</v>
      </c>
      <c r="AE3861" t="s">
        <v>19581</v>
      </c>
      <c r="AF3861">
        <v>15</v>
      </c>
      <c r="AG3861">
        <v>1</v>
      </c>
      <c r="AH3861">
        <v>1</v>
      </c>
      <c r="AI3861">
        <v>138.38</v>
      </c>
      <c r="AL3861" t="s">
        <v>19615</v>
      </c>
      <c r="AM3861">
        <v>23400</v>
      </c>
      <c r="AS3861">
        <v>1.26</v>
      </c>
      <c r="AT3861" t="s">
        <v>377</v>
      </c>
      <c r="AU3861" t="s">
        <v>20656</v>
      </c>
      <c r="AV3861" t="s">
        <v>20733</v>
      </c>
    </row>
    <row r="3862" spans="1:48">
      <c r="A3862" s="1">
        <f>HYPERLINK("https://lsnyc.legalserver.org/matter/dynamic-profile/view/1909124","19-1909124")</f>
        <v>0</v>
      </c>
      <c r="B3862" t="s">
        <v>98</v>
      </c>
      <c r="C3862" t="s">
        <v>256</v>
      </c>
      <c r="D3862" t="s">
        <v>472</v>
      </c>
      <c r="F3862" t="s">
        <v>2126</v>
      </c>
      <c r="G3862" t="s">
        <v>4339</v>
      </c>
      <c r="H3862" t="s">
        <v>5879</v>
      </c>
      <c r="I3862" t="s">
        <v>8151</v>
      </c>
      <c r="J3862" t="s">
        <v>9065</v>
      </c>
      <c r="K3862">
        <v>10456</v>
      </c>
      <c r="L3862" t="s">
        <v>9094</v>
      </c>
      <c r="M3862" t="s">
        <v>9095</v>
      </c>
      <c r="O3862" t="s">
        <v>11134</v>
      </c>
      <c r="P3862" t="s">
        <v>11168</v>
      </c>
      <c r="R3862" t="s">
        <v>11180</v>
      </c>
      <c r="S3862" t="s">
        <v>9094</v>
      </c>
      <c r="T3862" t="s">
        <v>11183</v>
      </c>
      <c r="W3862">
        <v>1511.88</v>
      </c>
      <c r="X3862" t="s">
        <v>11333</v>
      </c>
      <c r="Y3862" t="s">
        <v>11346</v>
      </c>
      <c r="Z3862" t="s">
        <v>12846</v>
      </c>
      <c r="AB3862" t="s">
        <v>17226</v>
      </c>
      <c r="AC3862">
        <v>30</v>
      </c>
      <c r="AD3862" t="s">
        <v>19566</v>
      </c>
      <c r="AE3862" t="s">
        <v>9144</v>
      </c>
      <c r="AF3862">
        <v>5</v>
      </c>
      <c r="AG3862">
        <v>1</v>
      </c>
      <c r="AH3862">
        <v>1</v>
      </c>
      <c r="AI3862">
        <v>138.38</v>
      </c>
      <c r="AL3862" t="s">
        <v>19614</v>
      </c>
      <c r="AM3862">
        <v>23400</v>
      </c>
      <c r="AS3862">
        <v>1</v>
      </c>
      <c r="AT3862" t="s">
        <v>549</v>
      </c>
      <c r="AU3862" t="s">
        <v>20642</v>
      </c>
      <c r="AV3862" t="s">
        <v>20733</v>
      </c>
    </row>
    <row r="3863" spans="1:48">
      <c r="A3863" s="1">
        <f>HYPERLINK("https://lsnyc.legalserver.org/matter/dynamic-profile/view/1909118","19-1909118")</f>
        <v>0</v>
      </c>
      <c r="B3863" t="s">
        <v>98</v>
      </c>
      <c r="C3863" t="s">
        <v>256</v>
      </c>
      <c r="D3863" t="s">
        <v>472</v>
      </c>
      <c r="F3863" t="s">
        <v>2126</v>
      </c>
      <c r="G3863" t="s">
        <v>4339</v>
      </c>
      <c r="H3863" t="s">
        <v>5879</v>
      </c>
      <c r="I3863" t="s">
        <v>8151</v>
      </c>
      <c r="J3863" t="s">
        <v>9065</v>
      </c>
      <c r="K3863">
        <v>10456</v>
      </c>
      <c r="L3863" t="s">
        <v>9094</v>
      </c>
      <c r="M3863" t="s">
        <v>9095</v>
      </c>
      <c r="N3863" t="s">
        <v>10547</v>
      </c>
      <c r="O3863" t="s">
        <v>11130</v>
      </c>
      <c r="P3863" t="s">
        <v>11165</v>
      </c>
      <c r="R3863" t="s">
        <v>11180</v>
      </c>
      <c r="S3863" t="s">
        <v>9094</v>
      </c>
      <c r="T3863" t="s">
        <v>11183</v>
      </c>
      <c r="W3863">
        <v>1511.88</v>
      </c>
      <c r="X3863" t="s">
        <v>11333</v>
      </c>
      <c r="Y3863" t="s">
        <v>11346</v>
      </c>
      <c r="Z3863" t="s">
        <v>12846</v>
      </c>
      <c r="AB3863" t="s">
        <v>17226</v>
      </c>
      <c r="AC3863">
        <v>30</v>
      </c>
      <c r="AD3863" t="s">
        <v>19566</v>
      </c>
      <c r="AE3863" t="s">
        <v>9144</v>
      </c>
      <c r="AF3863">
        <v>5</v>
      </c>
      <c r="AG3863">
        <v>1</v>
      </c>
      <c r="AH3863">
        <v>1</v>
      </c>
      <c r="AI3863">
        <v>138.38</v>
      </c>
      <c r="AL3863" t="s">
        <v>19614</v>
      </c>
      <c r="AM3863">
        <v>23400</v>
      </c>
      <c r="AS3863">
        <v>50.8</v>
      </c>
      <c r="AT3863" t="s">
        <v>321</v>
      </c>
      <c r="AU3863" t="s">
        <v>20642</v>
      </c>
      <c r="AV3863" t="s">
        <v>20733</v>
      </c>
    </row>
    <row r="3864" spans="1:48">
      <c r="A3864" s="1">
        <f>HYPERLINK("https://lsnyc.legalserver.org/matter/dynamic-profile/view/1911215","19-1911215")</f>
        <v>0</v>
      </c>
      <c r="B3864" t="s">
        <v>178</v>
      </c>
      <c r="C3864" t="s">
        <v>257</v>
      </c>
      <c r="D3864" t="s">
        <v>336</v>
      </c>
      <c r="E3864" t="s">
        <v>664</v>
      </c>
      <c r="F3864" t="s">
        <v>1152</v>
      </c>
      <c r="G3864" t="s">
        <v>4916</v>
      </c>
      <c r="H3864" t="s">
        <v>7484</v>
      </c>
      <c r="I3864" t="s">
        <v>8266</v>
      </c>
      <c r="J3864" t="s">
        <v>9065</v>
      </c>
      <c r="K3864">
        <v>10456</v>
      </c>
      <c r="L3864" t="s">
        <v>9094</v>
      </c>
      <c r="M3864" t="s">
        <v>9095</v>
      </c>
      <c r="N3864" t="s">
        <v>10548</v>
      </c>
      <c r="O3864" t="s">
        <v>11129</v>
      </c>
      <c r="P3864" t="s">
        <v>11167</v>
      </c>
      <c r="Q3864" t="s">
        <v>11173</v>
      </c>
      <c r="R3864" t="s">
        <v>11180</v>
      </c>
      <c r="S3864" t="s">
        <v>9096</v>
      </c>
      <c r="T3864" t="s">
        <v>11183</v>
      </c>
      <c r="V3864" t="s">
        <v>336</v>
      </c>
      <c r="W3864">
        <v>0</v>
      </c>
      <c r="X3864" t="s">
        <v>11333</v>
      </c>
      <c r="Y3864" t="s">
        <v>11342</v>
      </c>
      <c r="Z3864" t="s">
        <v>13924</v>
      </c>
      <c r="AB3864" t="s">
        <v>18252</v>
      </c>
      <c r="AC3864">
        <v>35</v>
      </c>
      <c r="AE3864" t="s">
        <v>9144</v>
      </c>
      <c r="AF3864">
        <v>11</v>
      </c>
      <c r="AG3864">
        <v>1</v>
      </c>
      <c r="AH3864">
        <v>1</v>
      </c>
      <c r="AI3864">
        <v>138.38</v>
      </c>
      <c r="AL3864" t="s">
        <v>19614</v>
      </c>
      <c r="AM3864">
        <v>23400</v>
      </c>
      <c r="AS3864">
        <v>1</v>
      </c>
      <c r="AT3864" t="s">
        <v>664</v>
      </c>
      <c r="AU3864" t="s">
        <v>178</v>
      </c>
      <c r="AV3864" t="s">
        <v>20733</v>
      </c>
    </row>
    <row r="3865" spans="1:48">
      <c r="A3865" s="1">
        <f>HYPERLINK("https://lsnyc.legalserver.org/matter/dynamic-profile/view/1888941","19-1888941")</f>
        <v>0</v>
      </c>
      <c r="B3865" t="s">
        <v>118</v>
      </c>
      <c r="C3865" t="s">
        <v>256</v>
      </c>
      <c r="D3865" t="s">
        <v>616</v>
      </c>
      <c r="F3865" t="s">
        <v>2667</v>
      </c>
      <c r="G3865" t="s">
        <v>4917</v>
      </c>
      <c r="H3865" t="s">
        <v>6158</v>
      </c>
      <c r="I3865" t="s">
        <v>8189</v>
      </c>
      <c r="J3865" t="s">
        <v>9065</v>
      </c>
      <c r="K3865">
        <v>10452</v>
      </c>
      <c r="L3865" t="s">
        <v>9094</v>
      </c>
      <c r="M3865" t="s">
        <v>9094</v>
      </c>
      <c r="N3865" t="s">
        <v>9447</v>
      </c>
      <c r="O3865" t="s">
        <v>11132</v>
      </c>
      <c r="P3865" t="s">
        <v>11165</v>
      </c>
      <c r="R3865" t="s">
        <v>11180</v>
      </c>
      <c r="S3865" t="s">
        <v>9094</v>
      </c>
      <c r="T3865" t="s">
        <v>11183</v>
      </c>
      <c r="V3865" t="s">
        <v>11212</v>
      </c>
      <c r="W3865">
        <v>1200</v>
      </c>
      <c r="X3865" t="s">
        <v>11333</v>
      </c>
      <c r="Y3865" t="s">
        <v>11346</v>
      </c>
      <c r="Z3865" t="s">
        <v>13925</v>
      </c>
      <c r="AB3865" t="s">
        <v>18253</v>
      </c>
      <c r="AC3865">
        <v>0</v>
      </c>
      <c r="AD3865" t="s">
        <v>19566</v>
      </c>
      <c r="AE3865" t="s">
        <v>9144</v>
      </c>
      <c r="AF3865">
        <v>13</v>
      </c>
      <c r="AG3865">
        <v>2</v>
      </c>
      <c r="AH3865">
        <v>0</v>
      </c>
      <c r="AI3865">
        <v>138.38</v>
      </c>
      <c r="AL3865" t="s">
        <v>19614</v>
      </c>
      <c r="AM3865">
        <v>23400</v>
      </c>
      <c r="AS3865">
        <v>0</v>
      </c>
      <c r="AU3865" t="s">
        <v>174</v>
      </c>
      <c r="AV3865" t="s">
        <v>20733</v>
      </c>
    </row>
    <row r="3866" spans="1:48">
      <c r="A3866" s="1">
        <f>HYPERLINK("https://lsnyc.legalserver.org/matter/dynamic-profile/view/1896178","19-1896178")</f>
        <v>0</v>
      </c>
      <c r="B3866" t="s">
        <v>129</v>
      </c>
      <c r="C3866" t="s">
        <v>256</v>
      </c>
      <c r="D3866" t="s">
        <v>434</v>
      </c>
      <c r="F3866" t="s">
        <v>1394</v>
      </c>
      <c r="G3866" t="s">
        <v>4918</v>
      </c>
      <c r="H3866" t="s">
        <v>6084</v>
      </c>
      <c r="I3866" t="s">
        <v>8155</v>
      </c>
      <c r="J3866" t="s">
        <v>9066</v>
      </c>
      <c r="K3866">
        <v>10304</v>
      </c>
      <c r="L3866" t="s">
        <v>9094</v>
      </c>
      <c r="M3866" t="s">
        <v>9095</v>
      </c>
      <c r="N3866" t="s">
        <v>10549</v>
      </c>
      <c r="O3866" t="s">
        <v>11128</v>
      </c>
      <c r="P3866" t="s">
        <v>11165</v>
      </c>
      <c r="R3866" t="s">
        <v>11180</v>
      </c>
      <c r="S3866" t="s">
        <v>9096</v>
      </c>
      <c r="T3866" t="s">
        <v>11183</v>
      </c>
      <c r="U3866" t="s">
        <v>11201</v>
      </c>
      <c r="W3866">
        <v>225</v>
      </c>
      <c r="X3866" t="s">
        <v>11334</v>
      </c>
      <c r="Y3866" t="s">
        <v>11341</v>
      </c>
      <c r="Z3866" t="s">
        <v>13926</v>
      </c>
      <c r="AB3866" t="s">
        <v>18254</v>
      </c>
      <c r="AC3866">
        <v>132</v>
      </c>
      <c r="AD3866" t="s">
        <v>19567</v>
      </c>
      <c r="AE3866" t="s">
        <v>9144</v>
      </c>
      <c r="AF3866">
        <v>0</v>
      </c>
      <c r="AG3866">
        <v>1</v>
      </c>
      <c r="AH3866">
        <v>1</v>
      </c>
      <c r="AI3866">
        <v>138.38</v>
      </c>
      <c r="AL3866" t="s">
        <v>19614</v>
      </c>
      <c r="AM3866">
        <v>23400</v>
      </c>
      <c r="AS3866">
        <v>39.7</v>
      </c>
      <c r="AT3866" t="s">
        <v>594</v>
      </c>
      <c r="AU3866" t="s">
        <v>20653</v>
      </c>
    </row>
    <row r="3867" spans="1:48">
      <c r="A3867" s="1">
        <f>HYPERLINK("https://lsnyc.legalserver.org/matter/dynamic-profile/view/1882351","18-1882351")</f>
        <v>0</v>
      </c>
      <c r="B3867" t="s">
        <v>113</v>
      </c>
      <c r="C3867" t="s">
        <v>256</v>
      </c>
      <c r="D3867" t="s">
        <v>697</v>
      </c>
      <c r="F3867" t="s">
        <v>2668</v>
      </c>
      <c r="G3867" t="s">
        <v>4919</v>
      </c>
      <c r="H3867" t="s">
        <v>5892</v>
      </c>
      <c r="I3867" t="s">
        <v>8507</v>
      </c>
      <c r="J3867" t="s">
        <v>9065</v>
      </c>
      <c r="K3867">
        <v>10453</v>
      </c>
      <c r="L3867" t="s">
        <v>9094</v>
      </c>
      <c r="M3867" t="s">
        <v>9094</v>
      </c>
      <c r="O3867" t="s">
        <v>9121</v>
      </c>
      <c r="P3867" t="s">
        <v>11167</v>
      </c>
      <c r="R3867" t="s">
        <v>11180</v>
      </c>
      <c r="T3867" t="s">
        <v>11183</v>
      </c>
      <c r="V3867" t="s">
        <v>11218</v>
      </c>
      <c r="W3867">
        <v>1400</v>
      </c>
      <c r="X3867" t="s">
        <v>11333</v>
      </c>
      <c r="Y3867" t="s">
        <v>11346</v>
      </c>
      <c r="Z3867" t="s">
        <v>13927</v>
      </c>
      <c r="AC3867">
        <v>99</v>
      </c>
      <c r="AD3867" t="s">
        <v>19566</v>
      </c>
      <c r="AE3867" t="s">
        <v>19580</v>
      </c>
      <c r="AF3867">
        <v>7</v>
      </c>
      <c r="AG3867">
        <v>1</v>
      </c>
      <c r="AH3867">
        <v>0</v>
      </c>
      <c r="AI3867">
        <v>138.39</v>
      </c>
      <c r="AL3867" t="s">
        <v>19614</v>
      </c>
      <c r="AM3867">
        <v>16800</v>
      </c>
      <c r="AN3867" t="s">
        <v>19986</v>
      </c>
      <c r="AS3867">
        <v>0</v>
      </c>
      <c r="AU3867" t="s">
        <v>163</v>
      </c>
      <c r="AV3867" t="s">
        <v>20733</v>
      </c>
    </row>
    <row r="3868" spans="1:48">
      <c r="A3868" s="1">
        <f>HYPERLINK("https://lsnyc.legalserver.org/matter/dynamic-profile/view/1887264","19-1887264")</f>
        <v>0</v>
      </c>
      <c r="B3868" t="s">
        <v>113</v>
      </c>
      <c r="C3868" t="s">
        <v>257</v>
      </c>
      <c r="D3868" t="s">
        <v>344</v>
      </c>
      <c r="E3868" t="s">
        <v>326</v>
      </c>
      <c r="F3868" t="s">
        <v>2668</v>
      </c>
      <c r="G3868" t="s">
        <v>4919</v>
      </c>
      <c r="H3868" t="s">
        <v>5892</v>
      </c>
      <c r="I3868" t="s">
        <v>8507</v>
      </c>
      <c r="J3868" t="s">
        <v>9065</v>
      </c>
      <c r="K3868">
        <v>10453</v>
      </c>
      <c r="L3868" t="s">
        <v>9094</v>
      </c>
      <c r="M3868" t="s">
        <v>9095</v>
      </c>
      <c r="O3868" t="s">
        <v>9121</v>
      </c>
      <c r="P3868" t="s">
        <v>11166</v>
      </c>
      <c r="Q3868" t="s">
        <v>11173</v>
      </c>
      <c r="R3868" t="s">
        <v>11180</v>
      </c>
      <c r="S3868" t="s">
        <v>9094</v>
      </c>
      <c r="T3868" t="s">
        <v>11183</v>
      </c>
      <c r="V3868" t="s">
        <v>441</v>
      </c>
      <c r="W3868">
        <v>1400</v>
      </c>
      <c r="X3868" t="s">
        <v>11333</v>
      </c>
      <c r="Y3868" t="s">
        <v>11346</v>
      </c>
      <c r="Z3868" t="s">
        <v>13927</v>
      </c>
      <c r="AC3868">
        <v>99</v>
      </c>
      <c r="AD3868" t="s">
        <v>19566</v>
      </c>
      <c r="AE3868" t="s">
        <v>19580</v>
      </c>
      <c r="AF3868">
        <v>7</v>
      </c>
      <c r="AG3868">
        <v>1</v>
      </c>
      <c r="AH3868">
        <v>0</v>
      </c>
      <c r="AI3868">
        <v>138.39</v>
      </c>
      <c r="AL3868" t="s">
        <v>19614</v>
      </c>
      <c r="AM3868">
        <v>16800</v>
      </c>
      <c r="AN3868" t="s">
        <v>19987</v>
      </c>
      <c r="AS3868">
        <v>0.5</v>
      </c>
      <c r="AT3868" t="s">
        <v>326</v>
      </c>
      <c r="AU3868" t="s">
        <v>20647</v>
      </c>
      <c r="AV3868" t="s">
        <v>20733</v>
      </c>
    </row>
    <row r="3869" spans="1:48">
      <c r="A3869" s="1">
        <f>HYPERLINK("https://lsnyc.legalserver.org/matter/dynamic-profile/view/1888492","19-1888492")</f>
        <v>0</v>
      </c>
      <c r="B3869" t="s">
        <v>119</v>
      </c>
      <c r="C3869" t="s">
        <v>257</v>
      </c>
      <c r="D3869" t="s">
        <v>582</v>
      </c>
      <c r="E3869" t="s">
        <v>664</v>
      </c>
      <c r="F3869" t="s">
        <v>2669</v>
      </c>
      <c r="G3869" t="s">
        <v>4920</v>
      </c>
      <c r="H3869" t="s">
        <v>7485</v>
      </c>
      <c r="I3869" t="s">
        <v>8112</v>
      </c>
      <c r="J3869" t="s">
        <v>9065</v>
      </c>
      <c r="K3869">
        <v>10453</v>
      </c>
      <c r="L3869" t="s">
        <v>9094</v>
      </c>
      <c r="M3869" t="s">
        <v>9094</v>
      </c>
      <c r="O3869" t="s">
        <v>9121</v>
      </c>
      <c r="P3869" t="s">
        <v>11167</v>
      </c>
      <c r="Q3869" t="s">
        <v>11173</v>
      </c>
      <c r="R3869" t="s">
        <v>11180</v>
      </c>
      <c r="S3869" t="s">
        <v>9096</v>
      </c>
      <c r="T3869" t="s">
        <v>11183</v>
      </c>
      <c r="V3869" t="s">
        <v>788</v>
      </c>
      <c r="W3869">
        <v>460</v>
      </c>
      <c r="X3869" t="s">
        <v>11333</v>
      </c>
      <c r="Y3869" t="s">
        <v>11346</v>
      </c>
      <c r="Z3869" t="s">
        <v>13928</v>
      </c>
      <c r="AB3869" t="s">
        <v>18255</v>
      </c>
      <c r="AC3869">
        <v>8</v>
      </c>
      <c r="AD3869" t="s">
        <v>19566</v>
      </c>
      <c r="AE3869" t="s">
        <v>19580</v>
      </c>
      <c r="AF3869">
        <v>5</v>
      </c>
      <c r="AG3869">
        <v>1</v>
      </c>
      <c r="AH3869">
        <v>0</v>
      </c>
      <c r="AI3869">
        <v>138.39</v>
      </c>
      <c r="AL3869" t="s">
        <v>19615</v>
      </c>
      <c r="AM3869">
        <v>16800</v>
      </c>
      <c r="AS3869">
        <v>1</v>
      </c>
      <c r="AT3869" t="s">
        <v>788</v>
      </c>
      <c r="AU3869" t="s">
        <v>163</v>
      </c>
      <c r="AV3869" t="s">
        <v>20733</v>
      </c>
    </row>
    <row r="3870" spans="1:48">
      <c r="A3870" s="1">
        <f>HYPERLINK("https://lsnyc.legalserver.org/matter/dynamic-profile/view/1851112","17-1851112")</f>
        <v>0</v>
      </c>
      <c r="B3870" t="s">
        <v>74</v>
      </c>
      <c r="C3870" t="s">
        <v>256</v>
      </c>
      <c r="D3870" t="s">
        <v>935</v>
      </c>
      <c r="F3870" t="s">
        <v>2670</v>
      </c>
      <c r="G3870" t="s">
        <v>4851</v>
      </c>
      <c r="H3870" t="s">
        <v>7486</v>
      </c>
      <c r="I3870" t="s">
        <v>8128</v>
      </c>
      <c r="J3870" t="s">
        <v>9059</v>
      </c>
      <c r="K3870">
        <v>11233</v>
      </c>
      <c r="L3870" t="s">
        <v>9094</v>
      </c>
      <c r="M3870" t="s">
        <v>9095</v>
      </c>
      <c r="N3870" t="s">
        <v>10550</v>
      </c>
      <c r="O3870" t="s">
        <v>11128</v>
      </c>
      <c r="P3870" t="s">
        <v>11165</v>
      </c>
      <c r="R3870" t="s">
        <v>11180</v>
      </c>
      <c r="S3870" t="s">
        <v>9096</v>
      </c>
      <c r="T3870" t="s">
        <v>11183</v>
      </c>
      <c r="V3870" t="s">
        <v>924</v>
      </c>
      <c r="W3870">
        <v>1175</v>
      </c>
      <c r="X3870" t="s">
        <v>11332</v>
      </c>
      <c r="Y3870" t="s">
        <v>11342</v>
      </c>
      <c r="Z3870" t="s">
        <v>13929</v>
      </c>
      <c r="AA3870" t="s">
        <v>9171</v>
      </c>
      <c r="AB3870" t="s">
        <v>18256</v>
      </c>
      <c r="AC3870">
        <v>6</v>
      </c>
      <c r="AD3870" t="s">
        <v>19566</v>
      </c>
      <c r="AE3870" t="s">
        <v>9144</v>
      </c>
      <c r="AF3870">
        <v>8</v>
      </c>
      <c r="AG3870">
        <v>1</v>
      </c>
      <c r="AH3870">
        <v>1</v>
      </c>
      <c r="AI3870">
        <v>138.49</v>
      </c>
      <c r="AL3870" t="s">
        <v>19614</v>
      </c>
      <c r="AM3870">
        <v>22490</v>
      </c>
      <c r="AS3870">
        <v>110.25</v>
      </c>
      <c r="AT3870" t="s">
        <v>488</v>
      </c>
      <c r="AU3870" t="s">
        <v>95</v>
      </c>
    </row>
    <row r="3871" spans="1:48">
      <c r="A3871" s="1">
        <f>HYPERLINK("https://lsnyc.legalserver.org/matter/dynamic-profile/view/1836770","17-1836770")</f>
        <v>0</v>
      </c>
      <c r="B3871" t="s">
        <v>139</v>
      </c>
      <c r="C3871" t="s">
        <v>256</v>
      </c>
      <c r="D3871" t="s">
        <v>740</v>
      </c>
      <c r="F3871" t="s">
        <v>1788</v>
      </c>
      <c r="G3871" t="s">
        <v>3989</v>
      </c>
      <c r="H3871" t="s">
        <v>5948</v>
      </c>
      <c r="I3871" t="s">
        <v>8284</v>
      </c>
      <c r="J3871" t="s">
        <v>9067</v>
      </c>
      <c r="K3871">
        <v>10034</v>
      </c>
      <c r="L3871" t="s">
        <v>9094</v>
      </c>
      <c r="M3871" t="s">
        <v>9095</v>
      </c>
      <c r="O3871" t="s">
        <v>11130</v>
      </c>
      <c r="P3871" t="s">
        <v>11165</v>
      </c>
      <c r="R3871" t="s">
        <v>11180</v>
      </c>
      <c r="S3871" t="s">
        <v>9094</v>
      </c>
      <c r="T3871" t="s">
        <v>11183</v>
      </c>
      <c r="V3871" t="s">
        <v>878</v>
      </c>
      <c r="W3871">
        <v>940</v>
      </c>
      <c r="X3871" t="s">
        <v>11335</v>
      </c>
      <c r="Y3871" t="s">
        <v>11339</v>
      </c>
      <c r="Z3871" t="s">
        <v>13930</v>
      </c>
      <c r="AB3871" t="s">
        <v>18257</v>
      </c>
      <c r="AC3871">
        <v>0</v>
      </c>
      <c r="AD3871" t="s">
        <v>19566</v>
      </c>
      <c r="AE3871" t="s">
        <v>9144</v>
      </c>
      <c r="AF3871">
        <v>16</v>
      </c>
      <c r="AG3871">
        <v>2</v>
      </c>
      <c r="AH3871">
        <v>1</v>
      </c>
      <c r="AI3871">
        <v>138.49</v>
      </c>
      <c r="AL3871" t="s">
        <v>19615</v>
      </c>
      <c r="AM3871">
        <v>28280</v>
      </c>
      <c r="AS3871">
        <v>126.25</v>
      </c>
      <c r="AT3871" t="s">
        <v>746</v>
      </c>
      <c r="AU3871" t="s">
        <v>20657</v>
      </c>
    </row>
    <row r="3872" spans="1:48">
      <c r="A3872" s="1">
        <f>HYPERLINK("https://lsnyc.legalserver.org/matter/dynamic-profile/view/1872017","18-1872017")</f>
        <v>0</v>
      </c>
      <c r="B3872" t="s">
        <v>48</v>
      </c>
      <c r="C3872" t="s">
        <v>256</v>
      </c>
      <c r="D3872" t="s">
        <v>515</v>
      </c>
      <c r="F3872" t="s">
        <v>1280</v>
      </c>
      <c r="G3872" t="s">
        <v>2780</v>
      </c>
      <c r="H3872" t="s">
        <v>7487</v>
      </c>
      <c r="J3872" t="s">
        <v>9038</v>
      </c>
      <c r="K3872">
        <v>11691</v>
      </c>
      <c r="L3872" t="s">
        <v>9094</v>
      </c>
      <c r="M3872" t="s">
        <v>9094</v>
      </c>
      <c r="N3872" t="s">
        <v>10551</v>
      </c>
      <c r="O3872" t="s">
        <v>11128</v>
      </c>
      <c r="P3872" t="s">
        <v>11164</v>
      </c>
      <c r="R3872" t="s">
        <v>11180</v>
      </c>
      <c r="S3872" t="s">
        <v>9096</v>
      </c>
      <c r="T3872" t="s">
        <v>11183</v>
      </c>
      <c r="U3872" t="s">
        <v>11199</v>
      </c>
      <c r="V3872" t="s">
        <v>515</v>
      </c>
      <c r="W3872">
        <v>2100</v>
      </c>
      <c r="X3872" t="s">
        <v>11331</v>
      </c>
      <c r="Y3872" t="s">
        <v>11336</v>
      </c>
      <c r="Z3872" t="s">
        <v>13931</v>
      </c>
      <c r="AA3872" t="s">
        <v>9675</v>
      </c>
      <c r="AB3872" t="s">
        <v>18258</v>
      </c>
      <c r="AC3872">
        <v>20</v>
      </c>
      <c r="AD3872" t="s">
        <v>19565</v>
      </c>
      <c r="AE3872" t="s">
        <v>19580</v>
      </c>
      <c r="AF3872">
        <v>3</v>
      </c>
      <c r="AG3872">
        <v>1</v>
      </c>
      <c r="AH3872">
        <v>3</v>
      </c>
      <c r="AI3872">
        <v>138.65</v>
      </c>
      <c r="AK3872" t="s">
        <v>19610</v>
      </c>
      <c r="AL3872" t="s">
        <v>19614</v>
      </c>
      <c r="AM3872">
        <v>34800</v>
      </c>
      <c r="AS3872">
        <v>1.2</v>
      </c>
      <c r="AT3872" t="s">
        <v>650</v>
      </c>
      <c r="AU3872" t="s">
        <v>20620</v>
      </c>
    </row>
    <row r="3873" spans="1:48">
      <c r="A3873" s="1">
        <f>HYPERLINK("https://lsnyc.legalserver.org/matter/dynamic-profile/view/1904522","19-1904522")</f>
        <v>0</v>
      </c>
      <c r="B3873" t="s">
        <v>55</v>
      </c>
      <c r="C3873" t="s">
        <v>256</v>
      </c>
      <c r="D3873" t="s">
        <v>615</v>
      </c>
      <c r="F3873" t="s">
        <v>2671</v>
      </c>
      <c r="G3873" t="s">
        <v>4921</v>
      </c>
      <c r="H3873" t="s">
        <v>7488</v>
      </c>
      <c r="I3873" t="s">
        <v>8259</v>
      </c>
      <c r="J3873" t="s">
        <v>9062</v>
      </c>
      <c r="K3873">
        <v>11104</v>
      </c>
      <c r="L3873" t="s">
        <v>9094</v>
      </c>
      <c r="M3873" t="s">
        <v>9095</v>
      </c>
      <c r="N3873" t="s">
        <v>10552</v>
      </c>
      <c r="O3873" t="s">
        <v>11128</v>
      </c>
      <c r="P3873" t="s">
        <v>11165</v>
      </c>
      <c r="R3873" t="s">
        <v>11180</v>
      </c>
      <c r="S3873" t="s">
        <v>9096</v>
      </c>
      <c r="T3873" t="s">
        <v>11183</v>
      </c>
      <c r="U3873" t="s">
        <v>11201</v>
      </c>
      <c r="V3873" t="s">
        <v>615</v>
      </c>
      <c r="W3873">
        <v>1241</v>
      </c>
      <c r="X3873" t="s">
        <v>11331</v>
      </c>
      <c r="Y3873" t="s">
        <v>11336</v>
      </c>
      <c r="Z3873" t="s">
        <v>13932</v>
      </c>
      <c r="AB3873" t="s">
        <v>18259</v>
      </c>
      <c r="AC3873">
        <v>60</v>
      </c>
      <c r="AD3873" t="s">
        <v>15441</v>
      </c>
      <c r="AE3873" t="s">
        <v>9144</v>
      </c>
      <c r="AF3873">
        <v>20</v>
      </c>
      <c r="AG3873">
        <v>2</v>
      </c>
      <c r="AH3873">
        <v>0</v>
      </c>
      <c r="AI3873">
        <v>138.65</v>
      </c>
      <c r="AL3873" t="s">
        <v>19616</v>
      </c>
      <c r="AM3873">
        <v>23446.28</v>
      </c>
      <c r="AP3873" t="s">
        <v>20317</v>
      </c>
      <c r="AS3873">
        <v>16.95</v>
      </c>
      <c r="AT3873" t="s">
        <v>292</v>
      </c>
      <c r="AU3873" t="s">
        <v>20620</v>
      </c>
      <c r="AV3873" t="s">
        <v>20733</v>
      </c>
    </row>
    <row r="3874" spans="1:48">
      <c r="A3874" s="1">
        <f>HYPERLINK("https://lsnyc.legalserver.org/matter/dynamic-profile/view/1884862","18-1884862")</f>
        <v>0</v>
      </c>
      <c r="B3874" t="s">
        <v>66</v>
      </c>
      <c r="C3874" t="s">
        <v>256</v>
      </c>
      <c r="D3874" t="s">
        <v>649</v>
      </c>
      <c r="F3874" t="s">
        <v>2626</v>
      </c>
      <c r="G3874" t="s">
        <v>4873</v>
      </c>
      <c r="H3874" t="s">
        <v>7429</v>
      </c>
      <c r="I3874">
        <v>8</v>
      </c>
      <c r="J3874" t="s">
        <v>9059</v>
      </c>
      <c r="K3874">
        <v>11226</v>
      </c>
      <c r="L3874" t="s">
        <v>9094</v>
      </c>
      <c r="M3874" t="s">
        <v>9094</v>
      </c>
      <c r="O3874" t="s">
        <v>11136</v>
      </c>
      <c r="P3874" t="s">
        <v>11166</v>
      </c>
      <c r="R3874" t="s">
        <v>11180</v>
      </c>
      <c r="T3874" t="s">
        <v>11183</v>
      </c>
      <c r="V3874" t="s">
        <v>649</v>
      </c>
      <c r="W3874">
        <v>763.86</v>
      </c>
      <c r="X3874" t="s">
        <v>11332</v>
      </c>
      <c r="Z3874" t="s">
        <v>13840</v>
      </c>
      <c r="AB3874" t="s">
        <v>18169</v>
      </c>
      <c r="AC3874">
        <v>0</v>
      </c>
      <c r="AD3874" t="s">
        <v>19566</v>
      </c>
      <c r="AF3874">
        <v>21</v>
      </c>
      <c r="AG3874">
        <v>4</v>
      </c>
      <c r="AH3874">
        <v>1</v>
      </c>
      <c r="AI3874">
        <v>138.68</v>
      </c>
      <c r="AL3874" t="s">
        <v>19614</v>
      </c>
      <c r="AM3874">
        <v>40800</v>
      </c>
      <c r="AS3874">
        <v>1.7</v>
      </c>
      <c r="AT3874" t="s">
        <v>848</v>
      </c>
      <c r="AU3874" t="s">
        <v>215</v>
      </c>
    </row>
    <row r="3875" spans="1:48">
      <c r="A3875" s="1">
        <f>HYPERLINK("https://lsnyc.legalserver.org/matter/dynamic-profile/view/1847161","17-1847161")</f>
        <v>0</v>
      </c>
      <c r="B3875" t="s">
        <v>136</v>
      </c>
      <c r="C3875" t="s">
        <v>256</v>
      </c>
      <c r="D3875" t="s">
        <v>757</v>
      </c>
      <c r="F3875" t="s">
        <v>1920</v>
      </c>
      <c r="G3875" t="s">
        <v>3419</v>
      </c>
      <c r="H3875" t="s">
        <v>6681</v>
      </c>
      <c r="I3875" t="s">
        <v>8126</v>
      </c>
      <c r="J3875" t="s">
        <v>9067</v>
      </c>
      <c r="K3875">
        <v>10040</v>
      </c>
      <c r="L3875" t="s">
        <v>9094</v>
      </c>
      <c r="M3875" t="s">
        <v>9095</v>
      </c>
      <c r="N3875" t="s">
        <v>10553</v>
      </c>
      <c r="O3875" t="s">
        <v>11135</v>
      </c>
      <c r="P3875" t="s">
        <v>11166</v>
      </c>
      <c r="R3875" t="s">
        <v>11180</v>
      </c>
      <c r="S3875" t="s">
        <v>9096</v>
      </c>
      <c r="T3875" t="s">
        <v>11183</v>
      </c>
      <c r="V3875" t="s">
        <v>757</v>
      </c>
      <c r="W3875">
        <v>1323</v>
      </c>
      <c r="X3875" t="s">
        <v>11335</v>
      </c>
      <c r="Y3875" t="s">
        <v>11340</v>
      </c>
      <c r="Z3875" t="s">
        <v>13933</v>
      </c>
      <c r="AB3875" t="s">
        <v>18260</v>
      </c>
      <c r="AC3875">
        <v>43</v>
      </c>
      <c r="AD3875" t="s">
        <v>19566</v>
      </c>
      <c r="AE3875" t="s">
        <v>19580</v>
      </c>
      <c r="AF3875">
        <v>11</v>
      </c>
      <c r="AG3875">
        <v>1</v>
      </c>
      <c r="AH3875">
        <v>0</v>
      </c>
      <c r="AI3875">
        <v>138.81</v>
      </c>
      <c r="AJ3875" t="s">
        <v>19599</v>
      </c>
      <c r="AL3875" t="s">
        <v>19614</v>
      </c>
      <c r="AM3875">
        <v>16740</v>
      </c>
      <c r="AS3875">
        <v>1.61</v>
      </c>
      <c r="AT3875" t="s">
        <v>532</v>
      </c>
      <c r="AU3875" t="s">
        <v>130</v>
      </c>
    </row>
    <row r="3876" spans="1:48">
      <c r="A3876" s="1">
        <f>HYPERLINK("https://lsnyc.legalserver.org/matter/dynamic-profile/view/1907573","19-1907573")</f>
        <v>0</v>
      </c>
      <c r="B3876" t="s">
        <v>64</v>
      </c>
      <c r="C3876" t="s">
        <v>257</v>
      </c>
      <c r="D3876" t="s">
        <v>416</v>
      </c>
      <c r="E3876" t="s">
        <v>297</v>
      </c>
      <c r="F3876" t="s">
        <v>2672</v>
      </c>
      <c r="G3876" t="s">
        <v>4922</v>
      </c>
      <c r="H3876" t="s">
        <v>7489</v>
      </c>
      <c r="I3876" t="s">
        <v>8789</v>
      </c>
      <c r="J3876" t="s">
        <v>9059</v>
      </c>
      <c r="K3876">
        <v>11210</v>
      </c>
      <c r="L3876" t="s">
        <v>9096</v>
      </c>
      <c r="M3876" t="s">
        <v>9095</v>
      </c>
      <c r="N3876" t="s">
        <v>9171</v>
      </c>
      <c r="O3876" t="s">
        <v>11130</v>
      </c>
      <c r="P3876" t="s">
        <v>11164</v>
      </c>
      <c r="Q3876" t="s">
        <v>11172</v>
      </c>
      <c r="R3876" t="s">
        <v>11180</v>
      </c>
      <c r="S3876" t="s">
        <v>9096</v>
      </c>
      <c r="T3876" t="s">
        <v>11183</v>
      </c>
      <c r="U3876" t="s">
        <v>11201</v>
      </c>
      <c r="W3876">
        <v>2550</v>
      </c>
      <c r="X3876" t="s">
        <v>11332</v>
      </c>
      <c r="Y3876" t="s">
        <v>11352</v>
      </c>
      <c r="Z3876" t="s">
        <v>13934</v>
      </c>
      <c r="AA3876" t="s">
        <v>9171</v>
      </c>
      <c r="AB3876" t="s">
        <v>18261</v>
      </c>
      <c r="AC3876">
        <v>2</v>
      </c>
      <c r="AD3876" t="s">
        <v>19565</v>
      </c>
      <c r="AE3876" t="s">
        <v>9144</v>
      </c>
      <c r="AF3876">
        <v>-1</v>
      </c>
      <c r="AG3876">
        <v>1</v>
      </c>
      <c r="AH3876">
        <v>2</v>
      </c>
      <c r="AI3876">
        <v>138.96</v>
      </c>
      <c r="AL3876" t="s">
        <v>19614</v>
      </c>
      <c r="AM3876">
        <v>29640</v>
      </c>
      <c r="AN3876" t="s">
        <v>19988</v>
      </c>
      <c r="AS3876">
        <v>1</v>
      </c>
      <c r="AT3876" t="s">
        <v>429</v>
      </c>
      <c r="AU3876" t="s">
        <v>20656</v>
      </c>
      <c r="AV3876" t="s">
        <v>9144</v>
      </c>
    </row>
    <row r="3877" spans="1:48">
      <c r="A3877" s="1">
        <f>HYPERLINK("https://lsnyc.legalserver.org/matter/dynamic-profile/view/1890794","19-1890794")</f>
        <v>0</v>
      </c>
      <c r="B3877" t="s">
        <v>134</v>
      </c>
      <c r="C3877" t="s">
        <v>256</v>
      </c>
      <c r="D3877" t="s">
        <v>267</v>
      </c>
      <c r="F3877" t="s">
        <v>2673</v>
      </c>
      <c r="G3877" t="s">
        <v>3520</v>
      </c>
      <c r="H3877" t="s">
        <v>5957</v>
      </c>
      <c r="I3877" t="s">
        <v>8133</v>
      </c>
      <c r="J3877" t="s">
        <v>9067</v>
      </c>
      <c r="K3877">
        <v>10032</v>
      </c>
      <c r="L3877" t="s">
        <v>9094</v>
      </c>
      <c r="M3877" t="s">
        <v>9094</v>
      </c>
      <c r="P3877" t="s">
        <v>11164</v>
      </c>
      <c r="R3877" t="s">
        <v>11180</v>
      </c>
      <c r="S3877" t="s">
        <v>9094</v>
      </c>
      <c r="T3877" t="s">
        <v>11183</v>
      </c>
      <c r="V3877" t="s">
        <v>267</v>
      </c>
      <c r="W3877">
        <v>650</v>
      </c>
      <c r="X3877" t="s">
        <v>11335</v>
      </c>
      <c r="Y3877" t="s">
        <v>11338</v>
      </c>
      <c r="Z3877" t="s">
        <v>13935</v>
      </c>
      <c r="AB3877" t="s">
        <v>18262</v>
      </c>
      <c r="AC3877">
        <v>42</v>
      </c>
      <c r="AD3877" t="s">
        <v>19566</v>
      </c>
      <c r="AE3877" t="s">
        <v>9144</v>
      </c>
      <c r="AF3877">
        <v>25</v>
      </c>
      <c r="AG3877">
        <v>3</v>
      </c>
      <c r="AH3877">
        <v>1</v>
      </c>
      <c r="AI3877">
        <v>139.04</v>
      </c>
      <c r="AL3877" t="s">
        <v>19615</v>
      </c>
      <c r="AM3877">
        <v>35804</v>
      </c>
      <c r="AS3877">
        <v>0</v>
      </c>
      <c r="AU3877" t="s">
        <v>130</v>
      </c>
      <c r="AV3877" t="s">
        <v>20733</v>
      </c>
    </row>
    <row r="3878" spans="1:48">
      <c r="A3878" s="1">
        <f>HYPERLINK("https://lsnyc.legalserver.org/matter/dynamic-profile/view/1904923","19-1904923")</f>
        <v>0</v>
      </c>
      <c r="B3878" t="s">
        <v>50</v>
      </c>
      <c r="C3878" t="s">
        <v>256</v>
      </c>
      <c r="D3878" t="s">
        <v>660</v>
      </c>
      <c r="F3878" t="s">
        <v>2674</v>
      </c>
      <c r="G3878" t="s">
        <v>4923</v>
      </c>
      <c r="H3878" t="s">
        <v>7490</v>
      </c>
      <c r="I3878" t="s">
        <v>8114</v>
      </c>
      <c r="J3878" t="s">
        <v>9041</v>
      </c>
      <c r="K3878">
        <v>11422</v>
      </c>
      <c r="L3878" t="s">
        <v>9094</v>
      </c>
      <c r="M3878" t="s">
        <v>9095</v>
      </c>
      <c r="N3878" t="s">
        <v>10554</v>
      </c>
      <c r="O3878" t="s">
        <v>11128</v>
      </c>
      <c r="P3878" t="s">
        <v>11164</v>
      </c>
      <c r="R3878" t="s">
        <v>11180</v>
      </c>
      <c r="S3878" t="s">
        <v>9096</v>
      </c>
      <c r="T3878" t="s">
        <v>11183</v>
      </c>
      <c r="U3878" t="s">
        <v>11201</v>
      </c>
      <c r="V3878" t="s">
        <v>660</v>
      </c>
      <c r="W3878">
        <v>1800</v>
      </c>
      <c r="X3878" t="s">
        <v>11331</v>
      </c>
      <c r="Y3878" t="s">
        <v>11336</v>
      </c>
      <c r="Z3878" t="s">
        <v>13936</v>
      </c>
      <c r="AB3878" t="s">
        <v>18263</v>
      </c>
      <c r="AC3878">
        <v>2</v>
      </c>
      <c r="AD3878" t="s">
        <v>15441</v>
      </c>
      <c r="AE3878" t="s">
        <v>9144</v>
      </c>
      <c r="AF3878">
        <v>7</v>
      </c>
      <c r="AG3878">
        <v>2</v>
      </c>
      <c r="AH3878">
        <v>3</v>
      </c>
      <c r="AI3878">
        <v>139.21</v>
      </c>
      <c r="AL3878" t="s">
        <v>19614</v>
      </c>
      <c r="AM3878">
        <v>42000</v>
      </c>
      <c r="AS3878">
        <v>1.97</v>
      </c>
      <c r="AT3878" t="s">
        <v>415</v>
      </c>
      <c r="AU3878" t="s">
        <v>20620</v>
      </c>
      <c r="AV3878" t="s">
        <v>20733</v>
      </c>
    </row>
    <row r="3879" spans="1:48">
      <c r="A3879" s="1">
        <f>HYPERLINK("https://lsnyc.legalserver.org/matter/dynamic-profile/view/1912615","19-1912615")</f>
        <v>0</v>
      </c>
      <c r="B3879" t="s">
        <v>95</v>
      </c>
      <c r="C3879" t="s">
        <v>257</v>
      </c>
      <c r="D3879" t="s">
        <v>263</v>
      </c>
      <c r="E3879" t="s">
        <v>1130</v>
      </c>
      <c r="F3879" t="s">
        <v>1847</v>
      </c>
      <c r="G3879" t="s">
        <v>3010</v>
      </c>
      <c r="H3879" t="s">
        <v>7491</v>
      </c>
      <c r="I3879" t="s">
        <v>8154</v>
      </c>
      <c r="J3879" t="s">
        <v>9059</v>
      </c>
      <c r="K3879">
        <v>11233</v>
      </c>
      <c r="L3879" t="s">
        <v>9096</v>
      </c>
      <c r="M3879" t="s">
        <v>9095</v>
      </c>
      <c r="N3879" t="s">
        <v>9171</v>
      </c>
      <c r="O3879" t="s">
        <v>9121</v>
      </c>
      <c r="P3879" t="s">
        <v>11164</v>
      </c>
      <c r="Q3879" t="s">
        <v>11172</v>
      </c>
      <c r="R3879" t="s">
        <v>11180</v>
      </c>
      <c r="S3879" t="s">
        <v>9096</v>
      </c>
      <c r="T3879" t="s">
        <v>11183</v>
      </c>
      <c r="U3879" t="s">
        <v>11201</v>
      </c>
      <c r="W3879">
        <v>1141</v>
      </c>
      <c r="X3879" t="s">
        <v>11332</v>
      </c>
      <c r="Y3879" t="s">
        <v>11338</v>
      </c>
      <c r="Z3879" t="s">
        <v>13151</v>
      </c>
      <c r="AA3879" t="s">
        <v>15355</v>
      </c>
      <c r="AB3879" t="s">
        <v>18264</v>
      </c>
      <c r="AC3879">
        <v>6</v>
      </c>
      <c r="AD3879" t="s">
        <v>19566</v>
      </c>
      <c r="AE3879" t="s">
        <v>19580</v>
      </c>
      <c r="AF3879">
        <v>26</v>
      </c>
      <c r="AG3879">
        <v>1</v>
      </c>
      <c r="AH3879">
        <v>0</v>
      </c>
      <c r="AI3879">
        <v>139.22</v>
      </c>
      <c r="AL3879" t="s">
        <v>19614</v>
      </c>
      <c r="AM3879">
        <v>17388</v>
      </c>
      <c r="AS3879">
        <v>1.25</v>
      </c>
      <c r="AT3879" t="s">
        <v>1130</v>
      </c>
      <c r="AU3879" t="s">
        <v>20660</v>
      </c>
      <c r="AV3879" t="s">
        <v>9144</v>
      </c>
    </row>
    <row r="3880" spans="1:48">
      <c r="A3880" s="1">
        <f>HYPERLINK("https://lsnyc.legalserver.org/matter/dynamic-profile/view/1842886","17-1842886")</f>
        <v>0</v>
      </c>
      <c r="B3880" t="s">
        <v>122</v>
      </c>
      <c r="C3880" t="s">
        <v>257</v>
      </c>
      <c r="D3880" t="s">
        <v>480</v>
      </c>
      <c r="E3880" t="s">
        <v>414</v>
      </c>
      <c r="F3880" t="s">
        <v>1252</v>
      </c>
      <c r="G3880" t="s">
        <v>4896</v>
      </c>
      <c r="H3880" t="s">
        <v>5911</v>
      </c>
      <c r="I3880" t="s">
        <v>8782</v>
      </c>
      <c r="J3880" t="s">
        <v>9066</v>
      </c>
      <c r="K3880">
        <v>10314</v>
      </c>
      <c r="L3880" t="s">
        <v>9094</v>
      </c>
      <c r="M3880" t="s">
        <v>9095</v>
      </c>
      <c r="N3880" t="s">
        <v>9260</v>
      </c>
      <c r="O3880" t="s">
        <v>11135</v>
      </c>
      <c r="P3880" t="s">
        <v>11168</v>
      </c>
      <c r="Q3880" t="s">
        <v>11177</v>
      </c>
      <c r="R3880" t="s">
        <v>11180</v>
      </c>
      <c r="S3880" t="s">
        <v>9094</v>
      </c>
      <c r="T3880" t="s">
        <v>11183</v>
      </c>
      <c r="U3880" t="s">
        <v>11201</v>
      </c>
      <c r="V3880" t="s">
        <v>712</v>
      </c>
      <c r="W3880">
        <v>1400</v>
      </c>
      <c r="X3880" t="s">
        <v>11334</v>
      </c>
      <c r="Y3880" t="s">
        <v>11339</v>
      </c>
      <c r="Z3880" t="s">
        <v>12892</v>
      </c>
      <c r="AB3880" t="s">
        <v>18216</v>
      </c>
      <c r="AC3880">
        <v>96</v>
      </c>
      <c r="AD3880" t="s">
        <v>19566</v>
      </c>
      <c r="AE3880" t="s">
        <v>19587</v>
      </c>
      <c r="AF3880">
        <v>8</v>
      </c>
      <c r="AG3880">
        <v>1</v>
      </c>
      <c r="AH3880">
        <v>0</v>
      </c>
      <c r="AI3880">
        <v>139.3</v>
      </c>
      <c r="AJ3880" t="s">
        <v>19594</v>
      </c>
      <c r="AL3880" t="s">
        <v>19614</v>
      </c>
      <c r="AM3880">
        <v>16800</v>
      </c>
      <c r="AO3880" t="s">
        <v>20293</v>
      </c>
      <c r="AP3880" t="s">
        <v>20316</v>
      </c>
      <c r="AQ3880" t="s">
        <v>20369</v>
      </c>
      <c r="AR3880" t="s">
        <v>20385</v>
      </c>
      <c r="AS3880">
        <v>0.75</v>
      </c>
      <c r="AT3880" t="s">
        <v>414</v>
      </c>
      <c r="AU3880" t="s">
        <v>128</v>
      </c>
      <c r="AV3880" t="s">
        <v>20733</v>
      </c>
    </row>
    <row r="3881" spans="1:48">
      <c r="A3881" s="1">
        <f>HYPERLINK("https://lsnyc.legalserver.org/matter/dynamic-profile/view/1914718","19-1914718")</f>
        <v>0</v>
      </c>
      <c r="B3881" t="s">
        <v>134</v>
      </c>
      <c r="C3881" t="s">
        <v>256</v>
      </c>
      <c r="D3881" t="s">
        <v>632</v>
      </c>
      <c r="F3881" t="s">
        <v>1611</v>
      </c>
      <c r="G3881" t="s">
        <v>4924</v>
      </c>
      <c r="H3881" t="s">
        <v>7492</v>
      </c>
      <c r="I3881" t="s">
        <v>8590</v>
      </c>
      <c r="J3881" t="s">
        <v>9067</v>
      </c>
      <c r="K3881">
        <v>10034</v>
      </c>
      <c r="L3881" t="s">
        <v>9094</v>
      </c>
      <c r="M3881" t="s">
        <v>9095</v>
      </c>
      <c r="O3881" t="s">
        <v>9121</v>
      </c>
      <c r="P3881" t="s">
        <v>11169</v>
      </c>
      <c r="R3881" t="s">
        <v>11180</v>
      </c>
      <c r="S3881" t="s">
        <v>9096</v>
      </c>
      <c r="T3881" t="s">
        <v>11183</v>
      </c>
      <c r="V3881" t="s">
        <v>632</v>
      </c>
      <c r="W3881">
        <v>1275.99</v>
      </c>
      <c r="X3881" t="s">
        <v>11335</v>
      </c>
      <c r="Y3881" t="s">
        <v>11338</v>
      </c>
      <c r="Z3881" t="s">
        <v>13937</v>
      </c>
      <c r="AB3881" t="s">
        <v>18265</v>
      </c>
      <c r="AC3881">
        <v>73</v>
      </c>
      <c r="AD3881" t="s">
        <v>19566</v>
      </c>
      <c r="AE3881" t="s">
        <v>9144</v>
      </c>
      <c r="AF3881">
        <v>39</v>
      </c>
      <c r="AG3881">
        <v>1</v>
      </c>
      <c r="AH3881">
        <v>0</v>
      </c>
      <c r="AI3881">
        <v>139.31</v>
      </c>
      <c r="AL3881" t="s">
        <v>19615</v>
      </c>
      <c r="AM3881">
        <v>17400</v>
      </c>
      <c r="AS3881">
        <v>0.85</v>
      </c>
      <c r="AT3881" t="s">
        <v>632</v>
      </c>
      <c r="AU3881" t="s">
        <v>130</v>
      </c>
      <c r="AV3881" t="s">
        <v>20733</v>
      </c>
    </row>
    <row r="3882" spans="1:48">
      <c r="A3882" s="1">
        <f>HYPERLINK("https://lsnyc.legalserver.org/matter/dynamic-profile/view/1861962","18-1861962")</f>
        <v>0</v>
      </c>
      <c r="B3882" t="s">
        <v>101</v>
      </c>
      <c r="C3882" t="s">
        <v>256</v>
      </c>
      <c r="D3882" t="s">
        <v>451</v>
      </c>
      <c r="F3882" t="s">
        <v>1679</v>
      </c>
      <c r="G3882" t="s">
        <v>4925</v>
      </c>
      <c r="H3882" t="s">
        <v>5890</v>
      </c>
      <c r="I3882" t="s">
        <v>8132</v>
      </c>
      <c r="J3882" t="s">
        <v>9065</v>
      </c>
      <c r="K3882">
        <v>10453</v>
      </c>
      <c r="L3882" t="s">
        <v>9094</v>
      </c>
      <c r="M3882" t="s">
        <v>9094</v>
      </c>
      <c r="N3882" t="s">
        <v>9242</v>
      </c>
      <c r="O3882" t="s">
        <v>11130</v>
      </c>
      <c r="P3882" t="s">
        <v>11165</v>
      </c>
      <c r="R3882" t="s">
        <v>11180</v>
      </c>
      <c r="S3882" t="s">
        <v>9094</v>
      </c>
      <c r="T3882" t="s">
        <v>11183</v>
      </c>
      <c r="V3882" t="s">
        <v>874</v>
      </c>
      <c r="W3882">
        <v>1150</v>
      </c>
      <c r="X3882" t="s">
        <v>11333</v>
      </c>
      <c r="Y3882" t="s">
        <v>11338</v>
      </c>
      <c r="Z3882" t="s">
        <v>13938</v>
      </c>
      <c r="AA3882" t="s">
        <v>15826</v>
      </c>
      <c r="AB3882" t="s">
        <v>18266</v>
      </c>
      <c r="AC3882">
        <v>46</v>
      </c>
      <c r="AD3882" t="s">
        <v>19566</v>
      </c>
      <c r="AE3882" t="s">
        <v>19581</v>
      </c>
      <c r="AF3882">
        <v>7</v>
      </c>
      <c r="AG3882">
        <v>1</v>
      </c>
      <c r="AH3882">
        <v>3</v>
      </c>
      <c r="AI3882">
        <v>139.44</v>
      </c>
      <c r="AL3882" t="s">
        <v>19614</v>
      </c>
      <c r="AM3882">
        <v>35000</v>
      </c>
      <c r="AS3882">
        <v>1.2</v>
      </c>
      <c r="AT3882" t="s">
        <v>458</v>
      </c>
      <c r="AU3882" t="s">
        <v>174</v>
      </c>
    </row>
    <row r="3883" spans="1:48">
      <c r="A3883" s="1">
        <f>HYPERLINK("https://lsnyc.legalserver.org/matter/dynamic-profile/view/1911975","19-1911975")</f>
        <v>0</v>
      </c>
      <c r="B3883" t="s">
        <v>136</v>
      </c>
      <c r="C3883" t="s">
        <v>256</v>
      </c>
      <c r="D3883" t="s">
        <v>292</v>
      </c>
      <c r="F3883" t="s">
        <v>2107</v>
      </c>
      <c r="G3883" t="s">
        <v>3916</v>
      </c>
      <c r="H3883" t="s">
        <v>5961</v>
      </c>
      <c r="I3883">
        <v>614</v>
      </c>
      <c r="J3883" t="s">
        <v>9067</v>
      </c>
      <c r="K3883">
        <v>10029</v>
      </c>
      <c r="L3883" t="s">
        <v>9094</v>
      </c>
      <c r="M3883" t="s">
        <v>9095</v>
      </c>
      <c r="O3883" t="s">
        <v>11130</v>
      </c>
      <c r="P3883" t="s">
        <v>11164</v>
      </c>
      <c r="R3883" t="s">
        <v>11180</v>
      </c>
      <c r="S3883" t="s">
        <v>9096</v>
      </c>
      <c r="T3883" t="s">
        <v>11183</v>
      </c>
      <c r="U3883" t="s">
        <v>11201</v>
      </c>
      <c r="V3883" t="s">
        <v>290</v>
      </c>
      <c r="W3883">
        <v>345</v>
      </c>
      <c r="X3883" t="s">
        <v>11335</v>
      </c>
      <c r="Y3883" t="s">
        <v>11157</v>
      </c>
      <c r="Z3883" t="s">
        <v>13939</v>
      </c>
      <c r="AB3883" t="s">
        <v>18267</v>
      </c>
      <c r="AC3883">
        <v>108</v>
      </c>
      <c r="AD3883" t="s">
        <v>19569</v>
      </c>
      <c r="AE3883" t="s">
        <v>19580</v>
      </c>
      <c r="AF3883">
        <v>32</v>
      </c>
      <c r="AG3883">
        <v>2</v>
      </c>
      <c r="AH3883">
        <v>0</v>
      </c>
      <c r="AI3883">
        <v>139.47</v>
      </c>
      <c r="AL3883" t="s">
        <v>19615</v>
      </c>
      <c r="AM3883">
        <v>23583.84</v>
      </c>
      <c r="AS3883">
        <v>0</v>
      </c>
      <c r="AU3883" t="s">
        <v>20657</v>
      </c>
      <c r="AV3883" t="s">
        <v>20733</v>
      </c>
    </row>
    <row r="3884" spans="1:48">
      <c r="A3884" s="1">
        <f>HYPERLINK("https://lsnyc.legalserver.org/matter/dynamic-profile/view/1887296","19-1887296")</f>
        <v>0</v>
      </c>
      <c r="B3884" t="s">
        <v>127</v>
      </c>
      <c r="C3884" t="s">
        <v>257</v>
      </c>
      <c r="D3884" t="s">
        <v>604</v>
      </c>
      <c r="E3884" t="s">
        <v>444</v>
      </c>
      <c r="F3884" t="s">
        <v>2675</v>
      </c>
      <c r="G3884" t="s">
        <v>4926</v>
      </c>
      <c r="H3884" t="s">
        <v>7493</v>
      </c>
      <c r="I3884" t="s">
        <v>8187</v>
      </c>
      <c r="J3884" t="s">
        <v>9066</v>
      </c>
      <c r="K3884">
        <v>10301</v>
      </c>
      <c r="L3884" t="s">
        <v>9096</v>
      </c>
      <c r="M3884" t="s">
        <v>9094</v>
      </c>
      <c r="N3884" t="s">
        <v>10555</v>
      </c>
      <c r="O3884" t="s">
        <v>11129</v>
      </c>
      <c r="P3884" t="s">
        <v>11165</v>
      </c>
      <c r="Q3884" t="s">
        <v>11174</v>
      </c>
      <c r="R3884" t="s">
        <v>11180</v>
      </c>
      <c r="S3884" t="s">
        <v>9096</v>
      </c>
      <c r="T3884" t="s">
        <v>11190</v>
      </c>
      <c r="U3884" t="s">
        <v>11199</v>
      </c>
      <c r="V3884" t="s">
        <v>604</v>
      </c>
      <c r="W3884">
        <v>684</v>
      </c>
      <c r="X3884" t="s">
        <v>11334</v>
      </c>
      <c r="Y3884" t="s">
        <v>11157</v>
      </c>
      <c r="Z3884" t="s">
        <v>13940</v>
      </c>
      <c r="AB3884" t="s">
        <v>18268</v>
      </c>
      <c r="AC3884">
        <v>0</v>
      </c>
      <c r="AD3884" t="s">
        <v>19567</v>
      </c>
      <c r="AF3884">
        <v>16</v>
      </c>
      <c r="AG3884">
        <v>2</v>
      </c>
      <c r="AH3884">
        <v>1</v>
      </c>
      <c r="AI3884">
        <v>139.56</v>
      </c>
      <c r="AL3884" t="s">
        <v>19614</v>
      </c>
      <c r="AM3884">
        <v>29000</v>
      </c>
      <c r="AO3884" t="s">
        <v>20294</v>
      </c>
      <c r="AP3884" t="s">
        <v>20309</v>
      </c>
      <c r="AQ3884" t="s">
        <v>20369</v>
      </c>
      <c r="AR3884" t="s">
        <v>20463</v>
      </c>
      <c r="AS3884">
        <v>13.66</v>
      </c>
      <c r="AT3884" t="s">
        <v>806</v>
      </c>
      <c r="AU3884" t="s">
        <v>20654</v>
      </c>
      <c r="AV3884" t="s">
        <v>20733</v>
      </c>
    </row>
    <row r="3885" spans="1:48">
      <c r="A3885" s="1">
        <f>HYPERLINK("https://lsnyc.legalserver.org/matter/dynamic-profile/view/1888825","19-1888825")</f>
        <v>0</v>
      </c>
      <c r="B3885" t="s">
        <v>84</v>
      </c>
      <c r="C3885" t="s">
        <v>256</v>
      </c>
      <c r="D3885" t="s">
        <v>325</v>
      </c>
      <c r="F3885" t="s">
        <v>1197</v>
      </c>
      <c r="G3885" t="s">
        <v>3457</v>
      </c>
      <c r="H3885" t="s">
        <v>5801</v>
      </c>
      <c r="J3885" t="s">
        <v>9059</v>
      </c>
      <c r="K3885">
        <v>11215</v>
      </c>
      <c r="L3885" t="s">
        <v>9094</v>
      </c>
      <c r="M3885" t="s">
        <v>9094</v>
      </c>
      <c r="N3885" t="s">
        <v>10556</v>
      </c>
      <c r="O3885" t="s">
        <v>11129</v>
      </c>
      <c r="P3885" t="s">
        <v>11165</v>
      </c>
      <c r="R3885" t="s">
        <v>11180</v>
      </c>
      <c r="S3885" t="s">
        <v>9096</v>
      </c>
      <c r="T3885" t="s">
        <v>11183</v>
      </c>
      <c r="V3885" t="s">
        <v>354</v>
      </c>
      <c r="W3885">
        <v>1252.83</v>
      </c>
      <c r="X3885" t="s">
        <v>11332</v>
      </c>
      <c r="Z3885" t="s">
        <v>11498</v>
      </c>
      <c r="AB3885" t="s">
        <v>16001</v>
      </c>
      <c r="AC3885">
        <v>0</v>
      </c>
      <c r="AF3885">
        <v>23</v>
      </c>
      <c r="AG3885">
        <v>1</v>
      </c>
      <c r="AH3885">
        <v>0</v>
      </c>
      <c r="AI3885">
        <v>139.6</v>
      </c>
      <c r="AL3885" t="s">
        <v>19614</v>
      </c>
      <c r="AM3885">
        <v>17436</v>
      </c>
      <c r="AS3885">
        <v>4.8</v>
      </c>
      <c r="AT3885" t="s">
        <v>993</v>
      </c>
      <c r="AU3885" t="s">
        <v>215</v>
      </c>
    </row>
    <row r="3886" spans="1:48">
      <c r="A3886" s="1">
        <f>HYPERLINK("https://lsnyc.legalserver.org/matter/dynamic-profile/view/1887051","19-1887051")</f>
        <v>0</v>
      </c>
      <c r="B3886" t="s">
        <v>117</v>
      </c>
      <c r="C3886" t="s">
        <v>256</v>
      </c>
      <c r="D3886" t="s">
        <v>324</v>
      </c>
      <c r="F3886" t="s">
        <v>2061</v>
      </c>
      <c r="G3886" t="s">
        <v>2152</v>
      </c>
      <c r="H3886" t="s">
        <v>5888</v>
      </c>
      <c r="I3886" t="s">
        <v>8302</v>
      </c>
      <c r="J3886" t="s">
        <v>9065</v>
      </c>
      <c r="K3886">
        <v>10453</v>
      </c>
      <c r="L3886" t="s">
        <v>9094</v>
      </c>
      <c r="M3886" t="s">
        <v>9094</v>
      </c>
      <c r="N3886" t="s">
        <v>9243</v>
      </c>
      <c r="O3886" t="s">
        <v>11130</v>
      </c>
      <c r="P3886" t="s">
        <v>11165</v>
      </c>
      <c r="R3886" t="s">
        <v>11180</v>
      </c>
      <c r="S3886" t="s">
        <v>9094</v>
      </c>
      <c r="T3886" t="s">
        <v>11183</v>
      </c>
      <c r="V3886" t="s">
        <v>512</v>
      </c>
      <c r="W3886">
        <v>968.91</v>
      </c>
      <c r="X3886" t="s">
        <v>11333</v>
      </c>
      <c r="Y3886" t="s">
        <v>11346</v>
      </c>
      <c r="Z3886" t="s">
        <v>13902</v>
      </c>
      <c r="AB3886" t="s">
        <v>18230</v>
      </c>
      <c r="AC3886">
        <v>49</v>
      </c>
      <c r="AD3886" t="s">
        <v>19566</v>
      </c>
      <c r="AE3886" t="s">
        <v>9144</v>
      </c>
      <c r="AF3886">
        <v>14</v>
      </c>
      <c r="AG3886">
        <v>1</v>
      </c>
      <c r="AH3886">
        <v>4</v>
      </c>
      <c r="AI3886">
        <v>139.68</v>
      </c>
      <c r="AL3886" t="s">
        <v>19614</v>
      </c>
      <c r="AM3886">
        <v>41095</v>
      </c>
      <c r="AS3886">
        <v>0</v>
      </c>
      <c r="AU3886" t="s">
        <v>20642</v>
      </c>
    </row>
    <row r="3887" spans="1:48">
      <c r="A3887" s="1">
        <f>HYPERLINK("https://lsnyc.legalserver.org/matter/dynamic-profile/view/1887071","19-1887071")</f>
        <v>0</v>
      </c>
      <c r="B3887" t="s">
        <v>117</v>
      </c>
      <c r="C3887" t="s">
        <v>256</v>
      </c>
      <c r="D3887" t="s">
        <v>324</v>
      </c>
      <c r="F3887" t="s">
        <v>2061</v>
      </c>
      <c r="G3887" t="s">
        <v>2152</v>
      </c>
      <c r="H3887" t="s">
        <v>5888</v>
      </c>
      <c r="I3887" t="s">
        <v>8302</v>
      </c>
      <c r="J3887" t="s">
        <v>9065</v>
      </c>
      <c r="K3887">
        <v>10453</v>
      </c>
      <c r="L3887" t="s">
        <v>9094</v>
      </c>
      <c r="M3887" t="s">
        <v>9094</v>
      </c>
      <c r="O3887" t="s">
        <v>9121</v>
      </c>
      <c r="P3887" t="s">
        <v>11166</v>
      </c>
      <c r="R3887" t="s">
        <v>11180</v>
      </c>
      <c r="S3887" t="s">
        <v>9094</v>
      </c>
      <c r="T3887" t="s">
        <v>11183</v>
      </c>
      <c r="V3887" t="s">
        <v>746</v>
      </c>
      <c r="W3887">
        <v>968.91</v>
      </c>
      <c r="X3887" t="s">
        <v>11333</v>
      </c>
      <c r="Y3887" t="s">
        <v>11346</v>
      </c>
      <c r="Z3887" t="s">
        <v>13902</v>
      </c>
      <c r="AB3887" t="s">
        <v>18230</v>
      </c>
      <c r="AC3887">
        <v>49</v>
      </c>
      <c r="AD3887" t="s">
        <v>19566</v>
      </c>
      <c r="AE3887" t="s">
        <v>9144</v>
      </c>
      <c r="AF3887">
        <v>14</v>
      </c>
      <c r="AG3887">
        <v>1</v>
      </c>
      <c r="AH3887">
        <v>4</v>
      </c>
      <c r="AI3887">
        <v>139.68</v>
      </c>
      <c r="AL3887" t="s">
        <v>19614</v>
      </c>
      <c r="AM3887">
        <v>41095</v>
      </c>
      <c r="AS3887">
        <v>0</v>
      </c>
      <c r="AU3887" t="s">
        <v>20642</v>
      </c>
    </row>
    <row r="3888" spans="1:48">
      <c r="A3888" s="1">
        <f>HYPERLINK("https://lsnyc.legalserver.org/matter/dynamic-profile/view/1914958","19-1914958")</f>
        <v>0</v>
      </c>
      <c r="B3888" t="s">
        <v>205</v>
      </c>
      <c r="C3888" t="s">
        <v>256</v>
      </c>
      <c r="D3888" t="s">
        <v>331</v>
      </c>
      <c r="F3888" t="s">
        <v>2676</v>
      </c>
      <c r="G3888" t="s">
        <v>4443</v>
      </c>
      <c r="H3888" t="s">
        <v>7494</v>
      </c>
      <c r="I3888">
        <v>447</v>
      </c>
      <c r="J3888" t="s">
        <v>9066</v>
      </c>
      <c r="K3888">
        <v>10304</v>
      </c>
      <c r="L3888" t="s">
        <v>9094</v>
      </c>
      <c r="M3888" t="s">
        <v>9095</v>
      </c>
      <c r="N3888">
        <v>51189</v>
      </c>
      <c r="O3888" t="s">
        <v>11129</v>
      </c>
      <c r="P3888" t="s">
        <v>11165</v>
      </c>
      <c r="R3888" t="s">
        <v>11180</v>
      </c>
      <c r="S3888" t="s">
        <v>9096</v>
      </c>
      <c r="T3888" t="s">
        <v>11183</v>
      </c>
      <c r="U3888" t="s">
        <v>11199</v>
      </c>
      <c r="W3888">
        <v>418</v>
      </c>
      <c r="X3888" t="s">
        <v>11334</v>
      </c>
      <c r="Z3888" t="s">
        <v>13941</v>
      </c>
      <c r="AA3888" t="s">
        <v>15827</v>
      </c>
      <c r="AB3888" t="s">
        <v>18269</v>
      </c>
      <c r="AC3888">
        <v>0</v>
      </c>
      <c r="AD3888" t="s">
        <v>19567</v>
      </c>
      <c r="AF3888">
        <v>3</v>
      </c>
      <c r="AG3888">
        <v>1</v>
      </c>
      <c r="AH3888">
        <v>2</v>
      </c>
      <c r="AI3888">
        <v>139.69</v>
      </c>
      <c r="AL3888" t="s">
        <v>19614</v>
      </c>
      <c r="AM3888">
        <v>29796</v>
      </c>
      <c r="AS3888">
        <v>6.1</v>
      </c>
      <c r="AT3888" t="s">
        <v>1130</v>
      </c>
      <c r="AU3888" t="s">
        <v>205</v>
      </c>
    </row>
    <row r="3889" spans="1:48">
      <c r="A3889" s="1">
        <f>HYPERLINK("https://lsnyc.legalserver.org/matter/dynamic-profile/view/1877546","18-1877546")</f>
        <v>0</v>
      </c>
      <c r="B3889" t="s">
        <v>52</v>
      </c>
      <c r="C3889" t="s">
        <v>256</v>
      </c>
      <c r="D3889" t="s">
        <v>958</v>
      </c>
      <c r="F3889" t="s">
        <v>2578</v>
      </c>
      <c r="G3889" t="s">
        <v>1333</v>
      </c>
      <c r="H3889" t="s">
        <v>7495</v>
      </c>
      <c r="I3889" t="s">
        <v>8209</v>
      </c>
      <c r="J3889" t="s">
        <v>9055</v>
      </c>
      <c r="K3889">
        <v>11354</v>
      </c>
      <c r="L3889" t="s">
        <v>9094</v>
      </c>
      <c r="M3889" t="s">
        <v>9094</v>
      </c>
      <c r="N3889" t="s">
        <v>10557</v>
      </c>
      <c r="O3889" t="s">
        <v>11129</v>
      </c>
      <c r="P3889" t="s">
        <v>11165</v>
      </c>
      <c r="R3889" t="s">
        <v>11180</v>
      </c>
      <c r="S3889" t="s">
        <v>9096</v>
      </c>
      <c r="T3889" t="s">
        <v>11183</v>
      </c>
      <c r="U3889" t="s">
        <v>11201</v>
      </c>
      <c r="V3889" t="s">
        <v>958</v>
      </c>
      <c r="W3889">
        <v>700</v>
      </c>
      <c r="X3889" t="s">
        <v>11331</v>
      </c>
      <c r="Y3889" t="s">
        <v>11336</v>
      </c>
      <c r="Z3889" t="s">
        <v>13942</v>
      </c>
      <c r="AB3889" t="s">
        <v>18270</v>
      </c>
      <c r="AC3889">
        <v>84</v>
      </c>
      <c r="AD3889" t="s">
        <v>19566</v>
      </c>
      <c r="AE3889" t="s">
        <v>9144</v>
      </c>
      <c r="AF3889">
        <v>3</v>
      </c>
      <c r="AG3889">
        <v>2</v>
      </c>
      <c r="AH3889">
        <v>0</v>
      </c>
      <c r="AI3889">
        <v>139.73</v>
      </c>
      <c r="AL3889" t="s">
        <v>19614</v>
      </c>
      <c r="AM3889">
        <v>23000</v>
      </c>
      <c r="AO3889" t="s">
        <v>20296</v>
      </c>
      <c r="AP3889" t="s">
        <v>11157</v>
      </c>
      <c r="AQ3889" t="s">
        <v>20368</v>
      </c>
      <c r="AR3889" t="s">
        <v>20522</v>
      </c>
      <c r="AS3889">
        <v>7.05</v>
      </c>
      <c r="AT3889" t="s">
        <v>1129</v>
      </c>
      <c r="AU3889" t="s">
        <v>81</v>
      </c>
    </row>
    <row r="3890" spans="1:48">
      <c r="A3890" s="1">
        <f>HYPERLINK("https://lsnyc.legalserver.org/matter/dynamic-profile/view/1876323","18-1876323")</f>
        <v>0</v>
      </c>
      <c r="B3890" t="s">
        <v>74</v>
      </c>
      <c r="C3890" t="s">
        <v>256</v>
      </c>
      <c r="D3890" t="s">
        <v>479</v>
      </c>
      <c r="F3890" t="s">
        <v>2677</v>
      </c>
      <c r="G3890" t="s">
        <v>4927</v>
      </c>
      <c r="H3890" t="s">
        <v>7496</v>
      </c>
      <c r="I3890" t="s">
        <v>8172</v>
      </c>
      <c r="J3890" t="s">
        <v>9059</v>
      </c>
      <c r="K3890">
        <v>11212</v>
      </c>
      <c r="L3890" t="s">
        <v>9094</v>
      </c>
      <c r="M3890" t="s">
        <v>9095</v>
      </c>
      <c r="N3890" t="s">
        <v>10558</v>
      </c>
      <c r="O3890" t="s">
        <v>11129</v>
      </c>
      <c r="P3890" t="s">
        <v>11165</v>
      </c>
      <c r="R3890" t="s">
        <v>11180</v>
      </c>
      <c r="S3890" t="s">
        <v>9096</v>
      </c>
      <c r="T3890" t="s">
        <v>11183</v>
      </c>
      <c r="U3890" t="s">
        <v>11201</v>
      </c>
      <c r="V3890" t="s">
        <v>817</v>
      </c>
      <c r="W3890">
        <v>1268.75</v>
      </c>
      <c r="X3890" t="s">
        <v>11332</v>
      </c>
      <c r="Z3890" t="s">
        <v>11554</v>
      </c>
      <c r="AB3890" t="s">
        <v>18271</v>
      </c>
      <c r="AC3890">
        <v>0</v>
      </c>
      <c r="AD3890" t="s">
        <v>19566</v>
      </c>
      <c r="AF3890">
        <v>6</v>
      </c>
      <c r="AG3890">
        <v>2</v>
      </c>
      <c r="AH3890">
        <v>0</v>
      </c>
      <c r="AI3890">
        <v>139.73</v>
      </c>
      <c r="AL3890" t="s">
        <v>19614</v>
      </c>
      <c r="AM3890">
        <v>23000</v>
      </c>
      <c r="AQ3890" t="s">
        <v>20369</v>
      </c>
      <c r="AR3890" t="s">
        <v>20501</v>
      </c>
      <c r="AS3890">
        <v>24.6</v>
      </c>
      <c r="AT3890" t="s">
        <v>307</v>
      </c>
      <c r="AU3890" t="s">
        <v>95</v>
      </c>
      <c r="AV3890" t="s">
        <v>20733</v>
      </c>
    </row>
    <row r="3891" spans="1:48">
      <c r="A3891" s="1">
        <f>HYPERLINK("https://lsnyc.legalserver.org/matter/dynamic-profile/view/1904289","19-1904289")</f>
        <v>0</v>
      </c>
      <c r="B3891" t="s">
        <v>139</v>
      </c>
      <c r="C3891" t="s">
        <v>257</v>
      </c>
      <c r="D3891" t="s">
        <v>265</v>
      </c>
      <c r="E3891" t="s">
        <v>497</v>
      </c>
      <c r="F3891" t="s">
        <v>1491</v>
      </c>
      <c r="G3891" t="s">
        <v>4928</v>
      </c>
      <c r="H3891" t="s">
        <v>7497</v>
      </c>
      <c r="I3891" t="s">
        <v>8338</v>
      </c>
      <c r="J3891" t="s">
        <v>9067</v>
      </c>
      <c r="K3891">
        <v>10040</v>
      </c>
      <c r="L3891" t="s">
        <v>9094</v>
      </c>
      <c r="M3891" t="s">
        <v>9095</v>
      </c>
      <c r="O3891" t="s">
        <v>11136</v>
      </c>
      <c r="P3891" t="s">
        <v>11167</v>
      </c>
      <c r="Q3891" t="s">
        <v>11173</v>
      </c>
      <c r="R3891" t="s">
        <v>11180</v>
      </c>
      <c r="S3891" t="s">
        <v>9096</v>
      </c>
      <c r="T3891" t="s">
        <v>11183</v>
      </c>
      <c r="V3891" t="s">
        <v>265</v>
      </c>
      <c r="W3891">
        <v>1400</v>
      </c>
      <c r="X3891" t="s">
        <v>11335</v>
      </c>
      <c r="Y3891" t="s">
        <v>11338</v>
      </c>
      <c r="Z3891" t="s">
        <v>13943</v>
      </c>
      <c r="AB3891" t="s">
        <v>18272</v>
      </c>
      <c r="AC3891">
        <v>47</v>
      </c>
      <c r="AD3891" t="s">
        <v>19566</v>
      </c>
      <c r="AE3891" t="s">
        <v>9144</v>
      </c>
      <c r="AF3891">
        <v>5</v>
      </c>
      <c r="AG3891">
        <v>2</v>
      </c>
      <c r="AH3891">
        <v>0</v>
      </c>
      <c r="AI3891">
        <v>139.8</v>
      </c>
      <c r="AL3891" t="s">
        <v>19614</v>
      </c>
      <c r="AM3891">
        <v>23640</v>
      </c>
      <c r="AS3891">
        <v>2.1</v>
      </c>
      <c r="AT3891" t="s">
        <v>497</v>
      </c>
      <c r="AU3891" t="s">
        <v>130</v>
      </c>
      <c r="AV3891" t="s">
        <v>20733</v>
      </c>
    </row>
    <row r="3892" spans="1:48">
      <c r="A3892" s="1">
        <f>HYPERLINK("https://lsnyc.legalserver.org/matter/dynamic-profile/view/1863816","18-1863816")</f>
        <v>0</v>
      </c>
      <c r="B3892" t="s">
        <v>141</v>
      </c>
      <c r="C3892" t="s">
        <v>256</v>
      </c>
      <c r="D3892" t="s">
        <v>504</v>
      </c>
      <c r="F3892" t="s">
        <v>1494</v>
      </c>
      <c r="G3892" t="s">
        <v>3706</v>
      </c>
      <c r="H3892" t="s">
        <v>5952</v>
      </c>
      <c r="I3892" t="s">
        <v>8169</v>
      </c>
      <c r="J3892" t="s">
        <v>9067</v>
      </c>
      <c r="K3892">
        <v>10033</v>
      </c>
      <c r="L3892" t="s">
        <v>9094</v>
      </c>
      <c r="M3892" t="s">
        <v>9095</v>
      </c>
      <c r="O3892" t="s">
        <v>11135</v>
      </c>
      <c r="P3892" t="s">
        <v>11168</v>
      </c>
      <c r="R3892" t="s">
        <v>11180</v>
      </c>
      <c r="S3892" t="s">
        <v>9094</v>
      </c>
      <c r="T3892" t="s">
        <v>11183</v>
      </c>
      <c r="V3892" t="s">
        <v>504</v>
      </c>
      <c r="W3892">
        <v>1432.54</v>
      </c>
      <c r="X3892" t="s">
        <v>11335</v>
      </c>
      <c r="Y3892" t="s">
        <v>11340</v>
      </c>
      <c r="Z3892" t="s">
        <v>13944</v>
      </c>
      <c r="AB3892" t="s">
        <v>18273</v>
      </c>
      <c r="AC3892">
        <v>20</v>
      </c>
      <c r="AD3892" t="s">
        <v>19566</v>
      </c>
      <c r="AE3892" t="s">
        <v>9144</v>
      </c>
      <c r="AF3892">
        <v>11</v>
      </c>
      <c r="AG3892">
        <v>1</v>
      </c>
      <c r="AH3892">
        <v>0</v>
      </c>
      <c r="AI3892">
        <v>140.03</v>
      </c>
      <c r="AJ3892" t="s">
        <v>973</v>
      </c>
      <c r="AL3892" t="s">
        <v>19614</v>
      </c>
      <c r="AM3892">
        <v>17000</v>
      </c>
      <c r="AS3892">
        <v>18.7</v>
      </c>
      <c r="AT3892" t="s">
        <v>339</v>
      </c>
      <c r="AU3892" t="s">
        <v>130</v>
      </c>
      <c r="AV3892" t="s">
        <v>20733</v>
      </c>
    </row>
    <row r="3893" spans="1:48">
      <c r="A3893" s="1">
        <f>HYPERLINK("https://lsnyc.legalserver.org/matter/dynamic-profile/view/1863990","18-1863990")</f>
        <v>0</v>
      </c>
      <c r="B3893" t="s">
        <v>136</v>
      </c>
      <c r="C3893" t="s">
        <v>256</v>
      </c>
      <c r="D3893" t="s">
        <v>809</v>
      </c>
      <c r="F3893" t="s">
        <v>1146</v>
      </c>
      <c r="G3893" t="s">
        <v>4042</v>
      </c>
      <c r="H3893" t="s">
        <v>5961</v>
      </c>
      <c r="I3893">
        <v>312</v>
      </c>
      <c r="J3893" t="s">
        <v>9067</v>
      </c>
      <c r="K3893">
        <v>10029</v>
      </c>
      <c r="L3893" t="s">
        <v>9094</v>
      </c>
      <c r="M3893" t="s">
        <v>9094</v>
      </c>
      <c r="N3893" t="s">
        <v>9287</v>
      </c>
      <c r="O3893" t="s">
        <v>11130</v>
      </c>
      <c r="P3893" t="s">
        <v>11165</v>
      </c>
      <c r="R3893" t="s">
        <v>11180</v>
      </c>
      <c r="S3893" t="s">
        <v>9094</v>
      </c>
      <c r="T3893" t="s">
        <v>11183</v>
      </c>
      <c r="U3893" t="s">
        <v>11201</v>
      </c>
      <c r="V3893" t="s">
        <v>809</v>
      </c>
      <c r="W3893">
        <v>0</v>
      </c>
      <c r="X3893" t="s">
        <v>11335</v>
      </c>
      <c r="Y3893" t="s">
        <v>11339</v>
      </c>
      <c r="Z3893" t="s">
        <v>13945</v>
      </c>
      <c r="AB3893" t="s">
        <v>18274</v>
      </c>
      <c r="AC3893">
        <v>108</v>
      </c>
      <c r="AD3893" t="s">
        <v>19567</v>
      </c>
      <c r="AE3893" t="s">
        <v>19580</v>
      </c>
      <c r="AF3893">
        <v>20</v>
      </c>
      <c r="AG3893">
        <v>2</v>
      </c>
      <c r="AH3893">
        <v>0</v>
      </c>
      <c r="AI3893">
        <v>140.1</v>
      </c>
      <c r="AL3893" t="s">
        <v>19615</v>
      </c>
      <c r="AM3893">
        <v>23060</v>
      </c>
      <c r="AS3893">
        <v>2.1</v>
      </c>
      <c r="AT3893" t="s">
        <v>471</v>
      </c>
      <c r="AU3893" t="s">
        <v>20657</v>
      </c>
    </row>
    <row r="3894" spans="1:48">
      <c r="A3894" s="1">
        <f>HYPERLINK("https://lsnyc.legalserver.org/matter/dynamic-profile/view/1885990","18-1885990")</f>
        <v>0</v>
      </c>
      <c r="B3894" t="s">
        <v>52</v>
      </c>
      <c r="C3894" t="s">
        <v>257</v>
      </c>
      <c r="D3894" t="s">
        <v>746</v>
      </c>
      <c r="E3894" t="s">
        <v>1129</v>
      </c>
      <c r="F3894" t="s">
        <v>1416</v>
      </c>
      <c r="G3894" t="s">
        <v>3588</v>
      </c>
      <c r="H3894" t="s">
        <v>7472</v>
      </c>
      <c r="I3894">
        <v>1</v>
      </c>
      <c r="J3894" t="s">
        <v>9038</v>
      </c>
      <c r="K3894">
        <v>11691</v>
      </c>
      <c r="L3894" t="s">
        <v>9094</v>
      </c>
      <c r="M3894" t="s">
        <v>9094</v>
      </c>
      <c r="N3894" t="s">
        <v>10533</v>
      </c>
      <c r="O3894" t="s">
        <v>11129</v>
      </c>
      <c r="P3894" t="s">
        <v>11165</v>
      </c>
      <c r="Q3894" t="s">
        <v>11174</v>
      </c>
      <c r="R3894" t="s">
        <v>11180</v>
      </c>
      <c r="S3894" t="s">
        <v>9096</v>
      </c>
      <c r="T3894" t="s">
        <v>11183</v>
      </c>
      <c r="U3894" t="s">
        <v>11201</v>
      </c>
      <c r="V3894" t="s">
        <v>611</v>
      </c>
      <c r="W3894">
        <v>1100</v>
      </c>
      <c r="X3894" t="s">
        <v>11331</v>
      </c>
      <c r="Y3894" t="s">
        <v>11336</v>
      </c>
      <c r="Z3894" t="s">
        <v>13908</v>
      </c>
      <c r="AA3894" t="s">
        <v>15821</v>
      </c>
      <c r="AB3894" t="s">
        <v>18234</v>
      </c>
      <c r="AC3894">
        <v>3</v>
      </c>
      <c r="AD3894" t="s">
        <v>19566</v>
      </c>
      <c r="AE3894" t="s">
        <v>9144</v>
      </c>
      <c r="AF3894">
        <v>1</v>
      </c>
      <c r="AG3894">
        <v>1</v>
      </c>
      <c r="AH3894">
        <v>2</v>
      </c>
      <c r="AI3894">
        <v>140.13</v>
      </c>
      <c r="AL3894" t="s">
        <v>19614</v>
      </c>
      <c r="AM3894">
        <v>29120</v>
      </c>
      <c r="AO3894" t="s">
        <v>20292</v>
      </c>
      <c r="AP3894" t="s">
        <v>20311</v>
      </c>
      <c r="AQ3894" t="s">
        <v>20369</v>
      </c>
      <c r="AR3894" t="s">
        <v>20528</v>
      </c>
      <c r="AS3894">
        <v>9.07</v>
      </c>
      <c r="AT3894" t="s">
        <v>1129</v>
      </c>
      <c r="AU3894" t="s">
        <v>20620</v>
      </c>
    </row>
    <row r="3895" spans="1:48">
      <c r="A3895" s="1">
        <f>HYPERLINK("https://lsnyc.legalserver.org/matter/dynamic-profile/view/1880616","18-1880616")</f>
        <v>0</v>
      </c>
      <c r="B3895" t="s">
        <v>103</v>
      </c>
      <c r="C3895" t="s">
        <v>256</v>
      </c>
      <c r="D3895" t="s">
        <v>477</v>
      </c>
      <c r="F3895" t="s">
        <v>1554</v>
      </c>
      <c r="G3895" t="s">
        <v>3818</v>
      </c>
      <c r="H3895" t="s">
        <v>6413</v>
      </c>
      <c r="I3895" t="s">
        <v>8264</v>
      </c>
      <c r="J3895" t="s">
        <v>9065</v>
      </c>
      <c r="K3895">
        <v>10456</v>
      </c>
      <c r="L3895" t="s">
        <v>9094</v>
      </c>
      <c r="M3895" t="s">
        <v>9094</v>
      </c>
      <c r="N3895" t="s">
        <v>9732</v>
      </c>
      <c r="O3895" t="s">
        <v>11134</v>
      </c>
      <c r="P3895" t="s">
        <v>11168</v>
      </c>
      <c r="R3895" t="s">
        <v>11180</v>
      </c>
      <c r="S3895" t="s">
        <v>9094</v>
      </c>
      <c r="T3895" t="s">
        <v>11183</v>
      </c>
      <c r="V3895" t="s">
        <v>617</v>
      </c>
      <c r="W3895">
        <v>1380</v>
      </c>
      <c r="X3895" t="s">
        <v>11333</v>
      </c>
      <c r="Y3895" t="s">
        <v>11346</v>
      </c>
      <c r="Z3895" t="s">
        <v>12226</v>
      </c>
      <c r="AB3895" t="s">
        <v>16652</v>
      </c>
      <c r="AC3895">
        <v>61</v>
      </c>
      <c r="AD3895" t="s">
        <v>19566</v>
      </c>
      <c r="AE3895" t="s">
        <v>19580</v>
      </c>
      <c r="AF3895">
        <v>17</v>
      </c>
      <c r="AG3895">
        <v>3</v>
      </c>
      <c r="AH3895">
        <v>0</v>
      </c>
      <c r="AI3895">
        <v>140.13</v>
      </c>
      <c r="AL3895" t="s">
        <v>19615</v>
      </c>
      <c r="AM3895">
        <v>29120</v>
      </c>
      <c r="AS3895">
        <v>0</v>
      </c>
      <c r="AU3895" t="s">
        <v>20642</v>
      </c>
    </row>
    <row r="3896" spans="1:48">
      <c r="A3896" s="1">
        <f>HYPERLINK("https://lsnyc.legalserver.org/matter/dynamic-profile/view/1903272","19-1903272")</f>
        <v>0</v>
      </c>
      <c r="B3896" t="s">
        <v>106</v>
      </c>
      <c r="C3896" t="s">
        <v>257</v>
      </c>
      <c r="D3896" t="s">
        <v>280</v>
      </c>
      <c r="E3896" t="s">
        <v>362</v>
      </c>
      <c r="F3896" t="s">
        <v>1245</v>
      </c>
      <c r="G3896" t="s">
        <v>4929</v>
      </c>
      <c r="H3896" t="s">
        <v>7498</v>
      </c>
      <c r="I3896" t="s">
        <v>8133</v>
      </c>
      <c r="J3896" t="s">
        <v>9065</v>
      </c>
      <c r="K3896">
        <v>10459</v>
      </c>
      <c r="L3896" t="s">
        <v>9094</v>
      </c>
      <c r="M3896" t="s">
        <v>9095</v>
      </c>
      <c r="N3896" t="s">
        <v>10559</v>
      </c>
      <c r="O3896" t="s">
        <v>11129</v>
      </c>
      <c r="P3896" t="s">
        <v>11165</v>
      </c>
      <c r="Q3896" t="s">
        <v>11174</v>
      </c>
      <c r="R3896" t="s">
        <v>11180</v>
      </c>
      <c r="S3896" t="s">
        <v>9096</v>
      </c>
      <c r="T3896" t="s">
        <v>11183</v>
      </c>
      <c r="U3896" t="s">
        <v>11202</v>
      </c>
      <c r="V3896" t="s">
        <v>11218</v>
      </c>
      <c r="W3896">
        <v>1000.12</v>
      </c>
      <c r="X3896" t="s">
        <v>11333</v>
      </c>
      <c r="Y3896" t="s">
        <v>11336</v>
      </c>
      <c r="Z3896" t="s">
        <v>13946</v>
      </c>
      <c r="AA3896" t="s">
        <v>15828</v>
      </c>
      <c r="AB3896" t="s">
        <v>18275</v>
      </c>
      <c r="AC3896">
        <v>40</v>
      </c>
      <c r="AD3896" t="s">
        <v>15441</v>
      </c>
      <c r="AE3896" t="s">
        <v>19588</v>
      </c>
      <c r="AF3896">
        <v>9</v>
      </c>
      <c r="AG3896">
        <v>2</v>
      </c>
      <c r="AH3896">
        <v>0</v>
      </c>
      <c r="AI3896">
        <v>140.56</v>
      </c>
      <c r="AL3896" t="s">
        <v>19614</v>
      </c>
      <c r="AM3896">
        <v>23769.32</v>
      </c>
      <c r="AO3896" t="s">
        <v>20291</v>
      </c>
      <c r="AP3896" t="s">
        <v>20329</v>
      </c>
      <c r="AQ3896" t="s">
        <v>20369</v>
      </c>
      <c r="AR3896" t="s">
        <v>20471</v>
      </c>
      <c r="AS3896">
        <v>11.4</v>
      </c>
      <c r="AT3896" t="s">
        <v>396</v>
      </c>
      <c r="AU3896" t="s">
        <v>20647</v>
      </c>
      <c r="AV3896" t="s">
        <v>20733</v>
      </c>
    </row>
    <row r="3897" spans="1:48">
      <c r="A3897" s="1">
        <f>HYPERLINK("https://lsnyc.legalserver.org/matter/dynamic-profile/view/0820503","16-0820503")</f>
        <v>0</v>
      </c>
      <c r="B3897" t="s">
        <v>118</v>
      </c>
      <c r="C3897" t="s">
        <v>256</v>
      </c>
      <c r="D3897" t="s">
        <v>889</v>
      </c>
      <c r="F3897" t="s">
        <v>1199</v>
      </c>
      <c r="G3897" t="s">
        <v>4930</v>
      </c>
      <c r="H3897" t="s">
        <v>5898</v>
      </c>
      <c r="I3897" t="s">
        <v>8790</v>
      </c>
      <c r="J3897" t="s">
        <v>9065</v>
      </c>
      <c r="K3897">
        <v>10452</v>
      </c>
      <c r="L3897" t="s">
        <v>9094</v>
      </c>
      <c r="M3897" t="s">
        <v>9095</v>
      </c>
      <c r="N3897" t="s">
        <v>9251</v>
      </c>
      <c r="O3897" t="s">
        <v>11132</v>
      </c>
      <c r="P3897" t="s">
        <v>11165</v>
      </c>
      <c r="R3897" t="s">
        <v>11180</v>
      </c>
      <c r="S3897" t="s">
        <v>9094</v>
      </c>
      <c r="T3897" t="s">
        <v>11183</v>
      </c>
      <c r="V3897" t="s">
        <v>11225</v>
      </c>
      <c r="W3897">
        <v>1109</v>
      </c>
      <c r="X3897" t="s">
        <v>11333</v>
      </c>
      <c r="Y3897" t="s">
        <v>11338</v>
      </c>
      <c r="Z3897" t="s">
        <v>13947</v>
      </c>
      <c r="AB3897" t="s">
        <v>18276</v>
      </c>
      <c r="AC3897">
        <v>130</v>
      </c>
      <c r="AD3897" t="s">
        <v>19566</v>
      </c>
      <c r="AE3897" t="s">
        <v>9144</v>
      </c>
      <c r="AF3897">
        <v>3</v>
      </c>
      <c r="AG3897">
        <v>1</v>
      </c>
      <c r="AH3897">
        <v>2</v>
      </c>
      <c r="AI3897">
        <v>140.58</v>
      </c>
      <c r="AL3897" t="s">
        <v>19614</v>
      </c>
      <c r="AM3897">
        <v>28340</v>
      </c>
      <c r="AS3897">
        <v>709.62</v>
      </c>
      <c r="AT3897" t="s">
        <v>496</v>
      </c>
      <c r="AU3897" t="s">
        <v>20643</v>
      </c>
    </row>
    <row r="3898" spans="1:48">
      <c r="A3898" s="1">
        <f>HYPERLINK("https://lsnyc.legalserver.org/matter/dynamic-profile/view/1907946","19-1907946")</f>
        <v>0</v>
      </c>
      <c r="B3898" t="s">
        <v>49</v>
      </c>
      <c r="C3898" t="s">
        <v>256</v>
      </c>
      <c r="D3898" t="s">
        <v>288</v>
      </c>
      <c r="F3898" t="s">
        <v>1625</v>
      </c>
      <c r="G3898" t="s">
        <v>3714</v>
      </c>
      <c r="H3898" t="s">
        <v>7499</v>
      </c>
      <c r="I3898" t="s">
        <v>8435</v>
      </c>
      <c r="J3898" t="s">
        <v>9041</v>
      </c>
      <c r="K3898">
        <v>11422</v>
      </c>
      <c r="L3898" t="s">
        <v>9094</v>
      </c>
      <c r="M3898" t="s">
        <v>9095</v>
      </c>
      <c r="N3898" t="s">
        <v>10560</v>
      </c>
      <c r="O3898" t="s">
        <v>11128</v>
      </c>
      <c r="P3898" t="s">
        <v>11165</v>
      </c>
      <c r="R3898" t="s">
        <v>11180</v>
      </c>
      <c r="S3898" t="s">
        <v>9096</v>
      </c>
      <c r="T3898" t="s">
        <v>11183</v>
      </c>
      <c r="U3898" t="s">
        <v>11201</v>
      </c>
      <c r="V3898" t="s">
        <v>288</v>
      </c>
      <c r="W3898">
        <v>800</v>
      </c>
      <c r="X3898" t="s">
        <v>11331</v>
      </c>
      <c r="Y3898" t="s">
        <v>11336</v>
      </c>
      <c r="Z3898" t="s">
        <v>13948</v>
      </c>
      <c r="AB3898" t="s">
        <v>18277</v>
      </c>
      <c r="AC3898">
        <v>2</v>
      </c>
      <c r="AD3898" t="s">
        <v>19565</v>
      </c>
      <c r="AE3898" t="s">
        <v>9144</v>
      </c>
      <c r="AF3898">
        <v>-1</v>
      </c>
      <c r="AG3898">
        <v>1</v>
      </c>
      <c r="AH3898">
        <v>2</v>
      </c>
      <c r="AI3898">
        <v>140.65</v>
      </c>
      <c r="AL3898" t="s">
        <v>19614</v>
      </c>
      <c r="AM3898">
        <v>30000</v>
      </c>
      <c r="AP3898" t="s">
        <v>11157</v>
      </c>
      <c r="AS3898">
        <v>17.5</v>
      </c>
      <c r="AT3898" t="s">
        <v>1130</v>
      </c>
      <c r="AU3898" t="s">
        <v>20620</v>
      </c>
      <c r="AV3898" t="s">
        <v>20733</v>
      </c>
    </row>
    <row r="3899" spans="1:48">
      <c r="A3899" s="1">
        <f>HYPERLINK("https://lsnyc.legalserver.org/matter/dynamic-profile/view/1904745","19-1904745")</f>
        <v>0</v>
      </c>
      <c r="B3899" t="s">
        <v>119</v>
      </c>
      <c r="C3899" t="s">
        <v>256</v>
      </c>
      <c r="D3899" t="s">
        <v>497</v>
      </c>
      <c r="F3899" t="s">
        <v>2678</v>
      </c>
      <c r="G3899" t="s">
        <v>4931</v>
      </c>
      <c r="H3899" t="s">
        <v>6095</v>
      </c>
      <c r="I3899" t="s">
        <v>8225</v>
      </c>
      <c r="J3899" t="s">
        <v>9065</v>
      </c>
      <c r="K3899">
        <v>10456</v>
      </c>
      <c r="L3899" t="s">
        <v>9094</v>
      </c>
      <c r="M3899" t="s">
        <v>9095</v>
      </c>
      <c r="N3899" t="s">
        <v>9401</v>
      </c>
      <c r="O3899" t="s">
        <v>11134</v>
      </c>
      <c r="P3899" t="s">
        <v>11168</v>
      </c>
      <c r="R3899" t="s">
        <v>11180</v>
      </c>
      <c r="S3899" t="s">
        <v>9094</v>
      </c>
      <c r="T3899" t="s">
        <v>11183</v>
      </c>
      <c r="V3899" t="s">
        <v>11218</v>
      </c>
      <c r="W3899">
        <v>560</v>
      </c>
      <c r="X3899" t="s">
        <v>11333</v>
      </c>
      <c r="Y3899" t="s">
        <v>11346</v>
      </c>
      <c r="Z3899" t="s">
        <v>13949</v>
      </c>
      <c r="AB3899" t="s">
        <v>18278</v>
      </c>
      <c r="AC3899">
        <v>131</v>
      </c>
      <c r="AD3899" t="s">
        <v>19566</v>
      </c>
      <c r="AE3899" t="s">
        <v>9144</v>
      </c>
      <c r="AF3899">
        <v>25</v>
      </c>
      <c r="AG3899">
        <v>3</v>
      </c>
      <c r="AH3899">
        <v>0</v>
      </c>
      <c r="AI3899">
        <v>140.65</v>
      </c>
      <c r="AL3899" t="s">
        <v>19614</v>
      </c>
      <c r="AM3899">
        <v>30000</v>
      </c>
      <c r="AS3899">
        <v>0</v>
      </c>
      <c r="AU3899" t="s">
        <v>163</v>
      </c>
      <c r="AV3899" t="s">
        <v>20733</v>
      </c>
    </row>
    <row r="3900" spans="1:48">
      <c r="A3900" s="1">
        <f>HYPERLINK("https://lsnyc.legalserver.org/matter/dynamic-profile/view/1915368","19-1915368")</f>
        <v>0</v>
      </c>
      <c r="B3900" t="s">
        <v>119</v>
      </c>
      <c r="C3900" t="s">
        <v>256</v>
      </c>
      <c r="D3900" t="s">
        <v>487</v>
      </c>
      <c r="F3900" t="s">
        <v>2678</v>
      </c>
      <c r="G3900" t="s">
        <v>4931</v>
      </c>
      <c r="H3900" t="s">
        <v>6095</v>
      </c>
      <c r="I3900" t="s">
        <v>8225</v>
      </c>
      <c r="J3900" t="s">
        <v>9065</v>
      </c>
      <c r="K3900">
        <v>10456</v>
      </c>
      <c r="L3900" t="s">
        <v>9094</v>
      </c>
      <c r="M3900" t="s">
        <v>9095</v>
      </c>
      <c r="O3900" t="s">
        <v>11134</v>
      </c>
      <c r="P3900" t="s">
        <v>11166</v>
      </c>
      <c r="R3900" t="s">
        <v>11180</v>
      </c>
      <c r="S3900" t="s">
        <v>9094</v>
      </c>
      <c r="T3900" t="s">
        <v>11183</v>
      </c>
      <c r="W3900">
        <v>560</v>
      </c>
      <c r="X3900" t="s">
        <v>11333</v>
      </c>
      <c r="Y3900" t="s">
        <v>11346</v>
      </c>
      <c r="Z3900" t="s">
        <v>13949</v>
      </c>
      <c r="AB3900" t="s">
        <v>18278</v>
      </c>
      <c r="AC3900">
        <v>131</v>
      </c>
      <c r="AD3900" t="s">
        <v>19566</v>
      </c>
      <c r="AE3900" t="s">
        <v>9144</v>
      </c>
      <c r="AF3900">
        <v>25</v>
      </c>
      <c r="AG3900">
        <v>3</v>
      </c>
      <c r="AH3900">
        <v>0</v>
      </c>
      <c r="AI3900">
        <v>140.65</v>
      </c>
      <c r="AL3900" t="s">
        <v>19614</v>
      </c>
      <c r="AM3900">
        <v>30000</v>
      </c>
      <c r="AS3900">
        <v>0.25</v>
      </c>
      <c r="AT3900" t="s">
        <v>487</v>
      </c>
      <c r="AU3900" t="s">
        <v>163</v>
      </c>
      <c r="AV3900" t="s">
        <v>20733</v>
      </c>
    </row>
    <row r="3901" spans="1:48">
      <c r="A3901" s="1">
        <f>HYPERLINK("https://lsnyc.legalserver.org/matter/dynamic-profile/view/1892316","19-1892316")</f>
        <v>0</v>
      </c>
      <c r="B3901" t="s">
        <v>103</v>
      </c>
      <c r="C3901" t="s">
        <v>256</v>
      </c>
      <c r="D3901" t="s">
        <v>473</v>
      </c>
      <c r="F3901" t="s">
        <v>1358</v>
      </c>
      <c r="G3901" t="s">
        <v>4042</v>
      </c>
      <c r="H3901" t="s">
        <v>6785</v>
      </c>
      <c r="I3901" t="s">
        <v>8791</v>
      </c>
      <c r="J3901" t="s">
        <v>9065</v>
      </c>
      <c r="K3901">
        <v>10453</v>
      </c>
      <c r="L3901" t="s">
        <v>9094</v>
      </c>
      <c r="M3901" t="s">
        <v>9094</v>
      </c>
      <c r="O3901" t="s">
        <v>11134</v>
      </c>
      <c r="P3901" t="s">
        <v>11168</v>
      </c>
      <c r="R3901" t="s">
        <v>11180</v>
      </c>
      <c r="S3901" t="s">
        <v>9094</v>
      </c>
      <c r="T3901" t="s">
        <v>11183</v>
      </c>
      <c r="V3901" t="s">
        <v>512</v>
      </c>
      <c r="W3901">
        <v>1110.63</v>
      </c>
      <c r="X3901" t="s">
        <v>11333</v>
      </c>
      <c r="Y3901" t="s">
        <v>11339</v>
      </c>
      <c r="Z3901" t="s">
        <v>11576</v>
      </c>
      <c r="AC3901">
        <v>170</v>
      </c>
      <c r="AD3901" t="s">
        <v>19566</v>
      </c>
      <c r="AE3901" t="s">
        <v>9144</v>
      </c>
      <c r="AF3901">
        <v>9</v>
      </c>
      <c r="AG3901">
        <v>1</v>
      </c>
      <c r="AH3901">
        <v>2</v>
      </c>
      <c r="AI3901">
        <v>140.65</v>
      </c>
      <c r="AL3901" t="s">
        <v>19615</v>
      </c>
      <c r="AM3901">
        <v>30000</v>
      </c>
      <c r="AS3901">
        <v>0</v>
      </c>
      <c r="AU3901" t="s">
        <v>220</v>
      </c>
    </row>
    <row r="3902" spans="1:48">
      <c r="A3902" s="1">
        <f>HYPERLINK("https://lsnyc.legalserver.org/matter/dynamic-profile/view/1905096","19-1905096")</f>
        <v>0</v>
      </c>
      <c r="B3902" t="s">
        <v>103</v>
      </c>
      <c r="C3902" t="s">
        <v>256</v>
      </c>
      <c r="D3902" t="s">
        <v>367</v>
      </c>
      <c r="F3902" t="s">
        <v>1358</v>
      </c>
      <c r="G3902" t="s">
        <v>4042</v>
      </c>
      <c r="H3902" t="s">
        <v>6785</v>
      </c>
      <c r="I3902" t="s">
        <v>8791</v>
      </c>
      <c r="J3902" t="s">
        <v>9065</v>
      </c>
      <c r="K3902">
        <v>10453</v>
      </c>
      <c r="L3902" t="s">
        <v>9094</v>
      </c>
      <c r="M3902" t="s">
        <v>9095</v>
      </c>
      <c r="N3902" t="s">
        <v>9239</v>
      </c>
      <c r="O3902" t="s">
        <v>11134</v>
      </c>
      <c r="P3902" t="s">
        <v>11168</v>
      </c>
      <c r="R3902" t="s">
        <v>11180</v>
      </c>
      <c r="S3902" t="s">
        <v>9094</v>
      </c>
      <c r="T3902" t="s">
        <v>11183</v>
      </c>
      <c r="V3902" t="s">
        <v>1061</v>
      </c>
      <c r="W3902">
        <v>1110.63</v>
      </c>
      <c r="X3902" t="s">
        <v>11333</v>
      </c>
      <c r="Y3902" t="s">
        <v>11346</v>
      </c>
      <c r="Z3902" t="s">
        <v>11576</v>
      </c>
      <c r="AC3902">
        <v>170</v>
      </c>
      <c r="AD3902" t="s">
        <v>19566</v>
      </c>
      <c r="AE3902" t="s">
        <v>9144</v>
      </c>
      <c r="AF3902">
        <v>9</v>
      </c>
      <c r="AG3902">
        <v>1</v>
      </c>
      <c r="AH3902">
        <v>2</v>
      </c>
      <c r="AI3902">
        <v>140.65</v>
      </c>
      <c r="AL3902" t="s">
        <v>19615</v>
      </c>
      <c r="AM3902">
        <v>30000</v>
      </c>
      <c r="AS3902">
        <v>0</v>
      </c>
      <c r="AU3902" t="s">
        <v>220</v>
      </c>
      <c r="AV3902" t="s">
        <v>20733</v>
      </c>
    </row>
    <row r="3903" spans="1:48">
      <c r="A3903" s="1">
        <f>HYPERLINK("https://lsnyc.legalserver.org/matter/dynamic-profile/view/1905099","19-1905099")</f>
        <v>0</v>
      </c>
      <c r="B3903" t="s">
        <v>103</v>
      </c>
      <c r="C3903" t="s">
        <v>256</v>
      </c>
      <c r="D3903" t="s">
        <v>367</v>
      </c>
      <c r="F3903" t="s">
        <v>1358</v>
      </c>
      <c r="G3903" t="s">
        <v>4042</v>
      </c>
      <c r="H3903" t="s">
        <v>6785</v>
      </c>
      <c r="I3903" t="s">
        <v>8791</v>
      </c>
      <c r="J3903" t="s">
        <v>9065</v>
      </c>
      <c r="K3903">
        <v>10453</v>
      </c>
      <c r="L3903" t="s">
        <v>9094</v>
      </c>
      <c r="M3903" t="s">
        <v>9095</v>
      </c>
      <c r="N3903" t="s">
        <v>9240</v>
      </c>
      <c r="O3903" t="s">
        <v>11134</v>
      </c>
      <c r="P3903" t="s">
        <v>11168</v>
      </c>
      <c r="R3903" t="s">
        <v>11180</v>
      </c>
      <c r="S3903" t="s">
        <v>9094</v>
      </c>
      <c r="T3903" t="s">
        <v>11183</v>
      </c>
      <c r="V3903" t="s">
        <v>422</v>
      </c>
      <c r="W3903">
        <v>1110.63</v>
      </c>
      <c r="X3903" t="s">
        <v>11333</v>
      </c>
      <c r="Y3903" t="s">
        <v>11346</v>
      </c>
      <c r="Z3903" t="s">
        <v>11576</v>
      </c>
      <c r="AC3903">
        <v>170</v>
      </c>
      <c r="AD3903" t="s">
        <v>19566</v>
      </c>
      <c r="AE3903" t="s">
        <v>9144</v>
      </c>
      <c r="AF3903">
        <v>9</v>
      </c>
      <c r="AG3903">
        <v>1</v>
      </c>
      <c r="AH3903">
        <v>2</v>
      </c>
      <c r="AI3903">
        <v>140.65</v>
      </c>
      <c r="AL3903" t="s">
        <v>19615</v>
      </c>
      <c r="AM3903">
        <v>30000</v>
      </c>
      <c r="AS3903">
        <v>0</v>
      </c>
      <c r="AU3903" t="s">
        <v>220</v>
      </c>
      <c r="AV3903" t="s">
        <v>20733</v>
      </c>
    </row>
    <row r="3904" spans="1:48">
      <c r="A3904" s="1">
        <f>HYPERLINK("https://lsnyc.legalserver.org/matter/dynamic-profile/view/1891850","19-1891850")</f>
        <v>0</v>
      </c>
      <c r="B3904" t="s">
        <v>103</v>
      </c>
      <c r="C3904" t="s">
        <v>256</v>
      </c>
      <c r="D3904" t="s">
        <v>868</v>
      </c>
      <c r="F3904" t="s">
        <v>1358</v>
      </c>
      <c r="G3904" t="s">
        <v>4042</v>
      </c>
      <c r="H3904" t="s">
        <v>6785</v>
      </c>
      <c r="I3904" t="s">
        <v>8791</v>
      </c>
      <c r="J3904" t="s">
        <v>9065</v>
      </c>
      <c r="K3904">
        <v>10453</v>
      </c>
      <c r="L3904" t="s">
        <v>9094</v>
      </c>
      <c r="M3904" t="s">
        <v>9094</v>
      </c>
      <c r="N3904" t="s">
        <v>9352</v>
      </c>
      <c r="O3904" t="s">
        <v>11130</v>
      </c>
      <c r="P3904" t="s">
        <v>11165</v>
      </c>
      <c r="R3904" t="s">
        <v>11180</v>
      </c>
      <c r="S3904" t="s">
        <v>9094</v>
      </c>
      <c r="T3904" t="s">
        <v>11183</v>
      </c>
      <c r="V3904" t="s">
        <v>512</v>
      </c>
      <c r="W3904">
        <v>1110.63</v>
      </c>
      <c r="X3904" t="s">
        <v>11333</v>
      </c>
      <c r="Y3904" t="s">
        <v>11339</v>
      </c>
      <c r="Z3904" t="s">
        <v>11576</v>
      </c>
      <c r="AC3904">
        <v>170</v>
      </c>
      <c r="AD3904" t="s">
        <v>19566</v>
      </c>
      <c r="AE3904" t="s">
        <v>9144</v>
      </c>
      <c r="AF3904">
        <v>9</v>
      </c>
      <c r="AG3904">
        <v>1</v>
      </c>
      <c r="AH3904">
        <v>2</v>
      </c>
      <c r="AI3904">
        <v>140.65</v>
      </c>
      <c r="AL3904" t="s">
        <v>19615</v>
      </c>
      <c r="AM3904">
        <v>30000</v>
      </c>
      <c r="AS3904">
        <v>0</v>
      </c>
      <c r="AU3904" t="s">
        <v>220</v>
      </c>
    </row>
    <row r="3905" spans="1:48">
      <c r="A3905" s="1">
        <f>HYPERLINK("https://lsnyc.legalserver.org/matter/dynamic-profile/view/1899145","19-1899145")</f>
        <v>0</v>
      </c>
      <c r="B3905" t="s">
        <v>98</v>
      </c>
      <c r="C3905" t="s">
        <v>257</v>
      </c>
      <c r="D3905" t="s">
        <v>492</v>
      </c>
      <c r="E3905" t="s">
        <v>574</v>
      </c>
      <c r="F3905" t="s">
        <v>2679</v>
      </c>
      <c r="G3905" t="s">
        <v>4932</v>
      </c>
      <c r="H3905" t="s">
        <v>6081</v>
      </c>
      <c r="I3905" t="s">
        <v>8176</v>
      </c>
      <c r="J3905" t="s">
        <v>9065</v>
      </c>
      <c r="K3905">
        <v>10452</v>
      </c>
      <c r="L3905" t="s">
        <v>9094</v>
      </c>
      <c r="M3905" t="s">
        <v>9095</v>
      </c>
      <c r="O3905" t="s">
        <v>11134</v>
      </c>
      <c r="P3905" t="s">
        <v>11167</v>
      </c>
      <c r="Q3905" t="s">
        <v>11173</v>
      </c>
      <c r="R3905" t="s">
        <v>11180</v>
      </c>
      <c r="S3905" t="s">
        <v>9094</v>
      </c>
      <c r="T3905" t="s">
        <v>11183</v>
      </c>
      <c r="V3905" t="s">
        <v>299</v>
      </c>
      <c r="W3905">
        <v>1087.54</v>
      </c>
      <c r="X3905" t="s">
        <v>11333</v>
      </c>
      <c r="Y3905" t="s">
        <v>11346</v>
      </c>
      <c r="Z3905" t="s">
        <v>13950</v>
      </c>
      <c r="AB3905" t="s">
        <v>18279</v>
      </c>
      <c r="AC3905">
        <v>41</v>
      </c>
      <c r="AD3905" t="s">
        <v>19566</v>
      </c>
      <c r="AE3905" t="s">
        <v>9144</v>
      </c>
      <c r="AF3905">
        <v>15</v>
      </c>
      <c r="AG3905">
        <v>1</v>
      </c>
      <c r="AH3905">
        <v>2</v>
      </c>
      <c r="AI3905">
        <v>140.65</v>
      </c>
      <c r="AL3905" t="s">
        <v>19614</v>
      </c>
      <c r="AM3905">
        <v>30000</v>
      </c>
      <c r="AS3905">
        <v>0.25</v>
      </c>
      <c r="AT3905" t="s">
        <v>335</v>
      </c>
      <c r="AU3905" t="s">
        <v>20642</v>
      </c>
      <c r="AV3905" t="s">
        <v>20733</v>
      </c>
    </row>
    <row r="3906" spans="1:48">
      <c r="A3906" s="1">
        <f>HYPERLINK("https://lsnyc.legalserver.org/matter/dynamic-profile/view/0826234","17-0826234")</f>
        <v>0</v>
      </c>
      <c r="B3906" t="s">
        <v>139</v>
      </c>
      <c r="C3906" t="s">
        <v>256</v>
      </c>
      <c r="D3906" t="s">
        <v>876</v>
      </c>
      <c r="F3906" t="s">
        <v>2680</v>
      </c>
      <c r="G3906" t="s">
        <v>4313</v>
      </c>
      <c r="H3906" t="s">
        <v>6363</v>
      </c>
      <c r="I3906" t="s">
        <v>8270</v>
      </c>
      <c r="J3906" t="s">
        <v>9067</v>
      </c>
      <c r="K3906">
        <v>10040</v>
      </c>
      <c r="L3906" t="s">
        <v>9094</v>
      </c>
      <c r="M3906" t="s">
        <v>9095</v>
      </c>
      <c r="N3906" t="s">
        <v>10561</v>
      </c>
      <c r="O3906" t="s">
        <v>11130</v>
      </c>
      <c r="P3906" t="s">
        <v>11165</v>
      </c>
      <c r="R3906" t="s">
        <v>11180</v>
      </c>
      <c r="S3906" t="s">
        <v>9094</v>
      </c>
      <c r="T3906" t="s">
        <v>11183</v>
      </c>
      <c r="V3906" t="s">
        <v>866</v>
      </c>
      <c r="W3906">
        <v>1115.91</v>
      </c>
      <c r="X3906" t="s">
        <v>11335</v>
      </c>
      <c r="Y3906" t="s">
        <v>11339</v>
      </c>
      <c r="Z3906" t="s">
        <v>13951</v>
      </c>
      <c r="AB3906" t="s">
        <v>18280</v>
      </c>
      <c r="AC3906">
        <v>83</v>
      </c>
      <c r="AD3906" t="s">
        <v>19566</v>
      </c>
      <c r="AE3906" t="s">
        <v>9144</v>
      </c>
      <c r="AF3906">
        <v>20</v>
      </c>
      <c r="AG3906">
        <v>2</v>
      </c>
      <c r="AH3906">
        <v>3</v>
      </c>
      <c r="AI3906">
        <v>140.65</v>
      </c>
      <c r="AJ3906" t="s">
        <v>463</v>
      </c>
      <c r="AL3906" t="s">
        <v>19615</v>
      </c>
      <c r="AM3906">
        <v>40000</v>
      </c>
      <c r="AS3906">
        <v>0</v>
      </c>
      <c r="AT3906" t="s">
        <v>537</v>
      </c>
      <c r="AU3906" t="s">
        <v>20657</v>
      </c>
    </row>
    <row r="3907" spans="1:48">
      <c r="A3907" s="1">
        <f>HYPERLINK("https://lsnyc.legalserver.org/matter/dynamic-profile/view/1915053","19-1915053")</f>
        <v>0</v>
      </c>
      <c r="B3907" t="s">
        <v>142</v>
      </c>
      <c r="C3907" t="s">
        <v>256</v>
      </c>
      <c r="D3907" t="s">
        <v>377</v>
      </c>
      <c r="F3907" t="s">
        <v>2681</v>
      </c>
      <c r="G3907" t="s">
        <v>4933</v>
      </c>
      <c r="H3907" t="s">
        <v>6596</v>
      </c>
      <c r="I3907" t="s">
        <v>8375</v>
      </c>
      <c r="J3907" t="s">
        <v>9067</v>
      </c>
      <c r="K3907">
        <v>10035</v>
      </c>
      <c r="L3907" t="s">
        <v>9094</v>
      </c>
      <c r="M3907" t="s">
        <v>9095</v>
      </c>
      <c r="O3907" t="s">
        <v>11134</v>
      </c>
      <c r="P3907" t="s">
        <v>11165</v>
      </c>
      <c r="R3907" t="s">
        <v>11180</v>
      </c>
      <c r="S3907" t="s">
        <v>9094</v>
      </c>
      <c r="T3907" t="s">
        <v>11183</v>
      </c>
      <c r="U3907" t="s">
        <v>11201</v>
      </c>
      <c r="V3907" t="s">
        <v>377</v>
      </c>
      <c r="W3907">
        <v>1033.5</v>
      </c>
      <c r="X3907" t="s">
        <v>11335</v>
      </c>
      <c r="Y3907" t="s">
        <v>11340</v>
      </c>
      <c r="Z3907" t="s">
        <v>13952</v>
      </c>
      <c r="AB3907" t="s">
        <v>18281</v>
      </c>
      <c r="AC3907">
        <v>60</v>
      </c>
      <c r="AD3907" t="s">
        <v>19566</v>
      </c>
      <c r="AE3907" t="s">
        <v>19580</v>
      </c>
      <c r="AF3907">
        <v>15</v>
      </c>
      <c r="AG3907">
        <v>3</v>
      </c>
      <c r="AH3907">
        <v>0</v>
      </c>
      <c r="AI3907">
        <v>140.65</v>
      </c>
      <c r="AL3907" t="s">
        <v>19615</v>
      </c>
      <c r="AM3907">
        <v>30000</v>
      </c>
      <c r="AS3907">
        <v>0</v>
      </c>
      <c r="AU3907" t="s">
        <v>20657</v>
      </c>
      <c r="AV3907" t="s">
        <v>20733</v>
      </c>
    </row>
    <row r="3908" spans="1:48">
      <c r="A3908" s="1">
        <f>HYPERLINK("https://lsnyc.legalserver.org/matter/dynamic-profile/view/1911992","19-1911992")</f>
        <v>0</v>
      </c>
      <c r="B3908" t="s">
        <v>142</v>
      </c>
      <c r="C3908" t="s">
        <v>256</v>
      </c>
      <c r="D3908" t="s">
        <v>292</v>
      </c>
      <c r="F3908" t="s">
        <v>2681</v>
      </c>
      <c r="G3908" t="s">
        <v>4933</v>
      </c>
      <c r="H3908" t="s">
        <v>6596</v>
      </c>
      <c r="I3908" t="s">
        <v>8375</v>
      </c>
      <c r="J3908" t="s">
        <v>9067</v>
      </c>
      <c r="K3908">
        <v>10035</v>
      </c>
      <c r="L3908" t="s">
        <v>9094</v>
      </c>
      <c r="M3908" t="s">
        <v>9095</v>
      </c>
      <c r="N3908" t="s">
        <v>10562</v>
      </c>
      <c r="O3908" t="s">
        <v>11130</v>
      </c>
      <c r="P3908" t="s">
        <v>11165</v>
      </c>
      <c r="R3908" t="s">
        <v>11180</v>
      </c>
      <c r="S3908" t="s">
        <v>9094</v>
      </c>
      <c r="T3908" t="s">
        <v>11183</v>
      </c>
      <c r="U3908" t="s">
        <v>11201</v>
      </c>
      <c r="V3908" t="s">
        <v>292</v>
      </c>
      <c r="W3908">
        <v>1033.5</v>
      </c>
      <c r="X3908" t="s">
        <v>11335</v>
      </c>
      <c r="Y3908" t="s">
        <v>11339</v>
      </c>
      <c r="Z3908" t="s">
        <v>13952</v>
      </c>
      <c r="AB3908" t="s">
        <v>18281</v>
      </c>
      <c r="AC3908">
        <v>60</v>
      </c>
      <c r="AD3908" t="s">
        <v>19566</v>
      </c>
      <c r="AE3908" t="s">
        <v>19580</v>
      </c>
      <c r="AF3908">
        <v>15</v>
      </c>
      <c r="AG3908">
        <v>3</v>
      </c>
      <c r="AH3908">
        <v>0</v>
      </c>
      <c r="AI3908">
        <v>140.65</v>
      </c>
      <c r="AL3908" t="s">
        <v>19615</v>
      </c>
      <c r="AM3908">
        <v>30000</v>
      </c>
      <c r="AS3908">
        <v>0</v>
      </c>
      <c r="AU3908" t="s">
        <v>20657</v>
      </c>
      <c r="AV3908" t="s">
        <v>20733</v>
      </c>
    </row>
    <row r="3909" spans="1:48">
      <c r="A3909" s="1">
        <f>HYPERLINK("https://lsnyc.legalserver.org/matter/dynamic-profile/view/1914769","19-1914769")</f>
        <v>0</v>
      </c>
      <c r="B3909" t="s">
        <v>142</v>
      </c>
      <c r="C3909" t="s">
        <v>256</v>
      </c>
      <c r="D3909" t="s">
        <v>632</v>
      </c>
      <c r="F3909" t="s">
        <v>2681</v>
      </c>
      <c r="G3909" t="s">
        <v>4933</v>
      </c>
      <c r="H3909" t="s">
        <v>6596</v>
      </c>
      <c r="I3909" t="s">
        <v>8375</v>
      </c>
      <c r="J3909" t="s">
        <v>9067</v>
      </c>
      <c r="K3909">
        <v>10035</v>
      </c>
      <c r="L3909" t="s">
        <v>9094</v>
      </c>
      <c r="M3909" t="s">
        <v>9095</v>
      </c>
      <c r="O3909" t="s">
        <v>9121</v>
      </c>
      <c r="P3909" t="s">
        <v>11167</v>
      </c>
      <c r="R3909" t="s">
        <v>11180</v>
      </c>
      <c r="S3909" t="s">
        <v>9094</v>
      </c>
      <c r="T3909" t="s">
        <v>11183</v>
      </c>
      <c r="U3909" t="s">
        <v>11201</v>
      </c>
      <c r="V3909" t="s">
        <v>632</v>
      </c>
      <c r="W3909">
        <v>1033.5</v>
      </c>
      <c r="X3909" t="s">
        <v>11335</v>
      </c>
      <c r="Y3909" t="s">
        <v>11340</v>
      </c>
      <c r="Z3909" t="s">
        <v>13952</v>
      </c>
      <c r="AB3909" t="s">
        <v>18281</v>
      </c>
      <c r="AC3909">
        <v>60</v>
      </c>
      <c r="AD3909" t="s">
        <v>19566</v>
      </c>
      <c r="AE3909" t="s">
        <v>19580</v>
      </c>
      <c r="AF3909">
        <v>15</v>
      </c>
      <c r="AG3909">
        <v>3</v>
      </c>
      <c r="AH3909">
        <v>0</v>
      </c>
      <c r="AI3909">
        <v>140.65</v>
      </c>
      <c r="AL3909" t="s">
        <v>19615</v>
      </c>
      <c r="AM3909">
        <v>30000</v>
      </c>
      <c r="AS3909">
        <v>0</v>
      </c>
      <c r="AU3909" t="s">
        <v>20657</v>
      </c>
      <c r="AV3909" t="s">
        <v>20733</v>
      </c>
    </row>
    <row r="3910" spans="1:48">
      <c r="A3910" s="1">
        <f>HYPERLINK("https://lsnyc.legalserver.org/matter/dynamic-profile/view/0821880","16-0821880")</f>
        <v>0</v>
      </c>
      <c r="B3910" t="s">
        <v>139</v>
      </c>
      <c r="C3910" t="s">
        <v>256</v>
      </c>
      <c r="D3910" t="s">
        <v>462</v>
      </c>
      <c r="F3910" t="s">
        <v>1349</v>
      </c>
      <c r="G3910" t="s">
        <v>3448</v>
      </c>
      <c r="H3910" t="s">
        <v>5959</v>
      </c>
      <c r="I3910">
        <v>65</v>
      </c>
      <c r="J3910" t="s">
        <v>9067</v>
      </c>
      <c r="K3910">
        <v>10032</v>
      </c>
      <c r="L3910" t="s">
        <v>9096</v>
      </c>
      <c r="M3910" t="s">
        <v>9095</v>
      </c>
      <c r="N3910" t="s">
        <v>10563</v>
      </c>
      <c r="O3910" t="s">
        <v>11130</v>
      </c>
      <c r="P3910" t="s">
        <v>11165</v>
      </c>
      <c r="R3910" t="s">
        <v>11180</v>
      </c>
      <c r="S3910" t="s">
        <v>9094</v>
      </c>
      <c r="T3910" t="s">
        <v>11183</v>
      </c>
      <c r="V3910" t="s">
        <v>896</v>
      </c>
      <c r="W3910">
        <v>904.48</v>
      </c>
      <c r="X3910" t="s">
        <v>11335</v>
      </c>
      <c r="Y3910" t="s">
        <v>11339</v>
      </c>
      <c r="Z3910" t="s">
        <v>13953</v>
      </c>
      <c r="AB3910" t="s">
        <v>18282</v>
      </c>
      <c r="AC3910">
        <v>35</v>
      </c>
      <c r="AD3910" t="s">
        <v>19566</v>
      </c>
      <c r="AE3910" t="s">
        <v>9144</v>
      </c>
      <c r="AF3910">
        <v>36</v>
      </c>
      <c r="AG3910">
        <v>3</v>
      </c>
      <c r="AH3910">
        <v>2</v>
      </c>
      <c r="AI3910">
        <v>140.65</v>
      </c>
      <c r="AL3910" t="s">
        <v>19614</v>
      </c>
      <c r="AM3910">
        <v>40000</v>
      </c>
      <c r="AS3910">
        <v>2.7</v>
      </c>
      <c r="AT3910" t="s">
        <v>318</v>
      </c>
      <c r="AU3910" t="s">
        <v>20657</v>
      </c>
    </row>
    <row r="3911" spans="1:48">
      <c r="A3911" s="1">
        <f>HYPERLINK("https://lsnyc.legalserver.org/matter/dynamic-profile/view/1900463","19-1900463")</f>
        <v>0</v>
      </c>
      <c r="B3911" t="s">
        <v>134</v>
      </c>
      <c r="C3911" t="s">
        <v>257</v>
      </c>
      <c r="D3911" t="s">
        <v>262</v>
      </c>
      <c r="E3911" t="s">
        <v>457</v>
      </c>
      <c r="F3911" t="s">
        <v>1323</v>
      </c>
      <c r="G3911" t="s">
        <v>3473</v>
      </c>
      <c r="H3911" t="s">
        <v>5957</v>
      </c>
      <c r="I3911" t="s">
        <v>8160</v>
      </c>
      <c r="J3911" t="s">
        <v>9067</v>
      </c>
      <c r="K3911">
        <v>10032</v>
      </c>
      <c r="L3911" t="s">
        <v>9094</v>
      </c>
      <c r="M3911" t="s">
        <v>9095</v>
      </c>
      <c r="N3911" t="s">
        <v>10564</v>
      </c>
      <c r="O3911" t="s">
        <v>11129</v>
      </c>
      <c r="P3911" t="s">
        <v>11165</v>
      </c>
      <c r="Q3911" t="s">
        <v>11174</v>
      </c>
      <c r="R3911" t="s">
        <v>11180</v>
      </c>
      <c r="S3911" t="s">
        <v>9096</v>
      </c>
      <c r="T3911" t="s">
        <v>11183</v>
      </c>
      <c r="V3911" t="s">
        <v>262</v>
      </c>
      <c r="W3911">
        <v>775</v>
      </c>
      <c r="X3911" t="s">
        <v>11335</v>
      </c>
      <c r="Y3911" t="s">
        <v>11338</v>
      </c>
      <c r="Z3911" t="s">
        <v>13954</v>
      </c>
      <c r="AB3911" t="s">
        <v>18283</v>
      </c>
      <c r="AC3911">
        <v>48</v>
      </c>
      <c r="AD3911" t="s">
        <v>19566</v>
      </c>
      <c r="AE3911" t="s">
        <v>9144</v>
      </c>
      <c r="AF3911">
        <v>21</v>
      </c>
      <c r="AG3911">
        <v>3</v>
      </c>
      <c r="AH3911">
        <v>0</v>
      </c>
      <c r="AI3911">
        <v>140.65</v>
      </c>
      <c r="AL3911" t="s">
        <v>19614</v>
      </c>
      <c r="AM3911">
        <v>30000</v>
      </c>
      <c r="AQ3911" t="s">
        <v>20369</v>
      </c>
      <c r="AR3911" t="s">
        <v>20530</v>
      </c>
      <c r="AS3911">
        <v>0.65</v>
      </c>
      <c r="AT3911" t="s">
        <v>298</v>
      </c>
      <c r="AU3911" t="s">
        <v>130</v>
      </c>
      <c r="AV3911" t="s">
        <v>20733</v>
      </c>
    </row>
    <row r="3912" spans="1:48">
      <c r="A3912" s="1">
        <f>HYPERLINK("https://lsnyc.legalserver.org/matter/dynamic-profile/view/1891939","19-1891939")</f>
        <v>0</v>
      </c>
      <c r="B3912" t="s">
        <v>59</v>
      </c>
      <c r="C3912" t="s">
        <v>257</v>
      </c>
      <c r="D3912" t="s">
        <v>868</v>
      </c>
      <c r="E3912" t="s">
        <v>396</v>
      </c>
      <c r="F3912" t="s">
        <v>2682</v>
      </c>
      <c r="G3912" t="s">
        <v>4246</v>
      </c>
      <c r="H3912" t="s">
        <v>7500</v>
      </c>
      <c r="I3912" t="s">
        <v>8149</v>
      </c>
      <c r="J3912" t="s">
        <v>9038</v>
      </c>
      <c r="K3912">
        <v>11691</v>
      </c>
      <c r="L3912" t="s">
        <v>9094</v>
      </c>
      <c r="M3912" t="s">
        <v>9094</v>
      </c>
      <c r="N3912" t="s">
        <v>10565</v>
      </c>
      <c r="O3912" t="s">
        <v>11128</v>
      </c>
      <c r="P3912" t="s">
        <v>11165</v>
      </c>
      <c r="Q3912" t="s">
        <v>11174</v>
      </c>
      <c r="R3912" t="s">
        <v>11180</v>
      </c>
      <c r="S3912" t="s">
        <v>9096</v>
      </c>
      <c r="T3912" t="s">
        <v>11183</v>
      </c>
      <c r="U3912" t="s">
        <v>11201</v>
      </c>
      <c r="V3912" t="s">
        <v>791</v>
      </c>
      <c r="W3912">
        <v>700</v>
      </c>
      <c r="X3912" t="s">
        <v>11331</v>
      </c>
      <c r="Y3912" t="s">
        <v>11336</v>
      </c>
      <c r="Z3912" t="s">
        <v>12342</v>
      </c>
      <c r="AA3912" t="s">
        <v>15829</v>
      </c>
      <c r="AB3912" t="s">
        <v>18284</v>
      </c>
      <c r="AC3912">
        <v>54</v>
      </c>
      <c r="AD3912" t="s">
        <v>15441</v>
      </c>
      <c r="AE3912" t="s">
        <v>9144</v>
      </c>
      <c r="AF3912">
        <v>1</v>
      </c>
      <c r="AG3912">
        <v>1</v>
      </c>
      <c r="AH3912">
        <v>0</v>
      </c>
      <c r="AI3912">
        <v>140.66</v>
      </c>
      <c r="AL3912" t="s">
        <v>19614</v>
      </c>
      <c r="AM3912">
        <v>17568</v>
      </c>
      <c r="AO3912" t="s">
        <v>20293</v>
      </c>
      <c r="AP3912" t="s">
        <v>20309</v>
      </c>
      <c r="AQ3912" t="s">
        <v>20368</v>
      </c>
      <c r="AR3912" t="s">
        <v>20471</v>
      </c>
      <c r="AS3912">
        <v>16.7</v>
      </c>
      <c r="AT3912" t="s">
        <v>396</v>
      </c>
      <c r="AU3912" t="s">
        <v>20620</v>
      </c>
      <c r="AV3912" t="s">
        <v>20733</v>
      </c>
    </row>
    <row r="3913" spans="1:48">
      <c r="A3913" s="1">
        <f>HYPERLINK("https://lsnyc.legalserver.org/matter/dynamic-profile/view/1854883","17-1854883")</f>
        <v>0</v>
      </c>
      <c r="B3913" t="s">
        <v>101</v>
      </c>
      <c r="C3913" t="s">
        <v>256</v>
      </c>
      <c r="D3913" t="s">
        <v>558</v>
      </c>
      <c r="F3913" t="s">
        <v>1961</v>
      </c>
      <c r="G3913" t="s">
        <v>3832</v>
      </c>
      <c r="H3913" t="s">
        <v>6041</v>
      </c>
      <c r="I3913" t="s">
        <v>8614</v>
      </c>
      <c r="J3913" t="s">
        <v>9065</v>
      </c>
      <c r="K3913">
        <v>10452</v>
      </c>
      <c r="L3913" t="s">
        <v>9094</v>
      </c>
      <c r="M3913" t="s">
        <v>9095</v>
      </c>
      <c r="N3913" t="s">
        <v>9356</v>
      </c>
      <c r="O3913" t="s">
        <v>11135</v>
      </c>
      <c r="P3913" t="s">
        <v>11168</v>
      </c>
      <c r="R3913" t="s">
        <v>11180</v>
      </c>
      <c r="S3913" t="s">
        <v>9094</v>
      </c>
      <c r="T3913" t="s">
        <v>11183</v>
      </c>
      <c r="V3913" t="s">
        <v>1122</v>
      </c>
      <c r="W3913">
        <v>405</v>
      </c>
      <c r="X3913" t="s">
        <v>11333</v>
      </c>
      <c r="Y3913" t="s">
        <v>11346</v>
      </c>
      <c r="Z3913" t="s">
        <v>13826</v>
      </c>
      <c r="AB3913" t="s">
        <v>18157</v>
      </c>
      <c r="AC3913">
        <v>62</v>
      </c>
      <c r="AD3913" t="s">
        <v>19566</v>
      </c>
      <c r="AE3913" t="s">
        <v>19580</v>
      </c>
      <c r="AF3913">
        <v>19</v>
      </c>
      <c r="AG3913">
        <v>2</v>
      </c>
      <c r="AH3913">
        <v>0</v>
      </c>
      <c r="AI3913">
        <v>140.78</v>
      </c>
      <c r="AL3913" t="s">
        <v>19614</v>
      </c>
      <c r="AM3913">
        <v>22862.4</v>
      </c>
      <c r="AS3913">
        <v>0.4</v>
      </c>
      <c r="AT3913" t="s">
        <v>558</v>
      </c>
      <c r="AU3913" t="s">
        <v>174</v>
      </c>
    </row>
    <row r="3914" spans="1:48">
      <c r="A3914" s="1">
        <f>HYPERLINK("https://lsnyc.legalserver.org/matter/dynamic-profile/view/1855239","18-1855239")</f>
        <v>0</v>
      </c>
      <c r="B3914" t="s">
        <v>101</v>
      </c>
      <c r="C3914" t="s">
        <v>256</v>
      </c>
      <c r="D3914" t="s">
        <v>654</v>
      </c>
      <c r="F3914" t="s">
        <v>1961</v>
      </c>
      <c r="G3914" t="s">
        <v>3832</v>
      </c>
      <c r="H3914" t="s">
        <v>6041</v>
      </c>
      <c r="I3914" t="s">
        <v>8614</v>
      </c>
      <c r="J3914" t="s">
        <v>9065</v>
      </c>
      <c r="K3914">
        <v>10452</v>
      </c>
      <c r="L3914" t="s">
        <v>9094</v>
      </c>
      <c r="M3914" t="s">
        <v>9095</v>
      </c>
      <c r="N3914" t="s">
        <v>9496</v>
      </c>
      <c r="O3914" t="s">
        <v>11135</v>
      </c>
      <c r="P3914" t="s">
        <v>11168</v>
      </c>
      <c r="R3914" t="s">
        <v>11180</v>
      </c>
      <c r="S3914" t="s">
        <v>9094</v>
      </c>
      <c r="T3914" t="s">
        <v>11183</v>
      </c>
      <c r="V3914" t="s">
        <v>1122</v>
      </c>
      <c r="W3914">
        <v>405</v>
      </c>
      <c r="X3914" t="s">
        <v>11333</v>
      </c>
      <c r="Y3914" t="s">
        <v>11346</v>
      </c>
      <c r="Z3914" t="s">
        <v>13826</v>
      </c>
      <c r="AB3914" t="s">
        <v>18157</v>
      </c>
      <c r="AC3914">
        <v>62</v>
      </c>
      <c r="AD3914" t="s">
        <v>19566</v>
      </c>
      <c r="AE3914" t="s">
        <v>19580</v>
      </c>
      <c r="AF3914">
        <v>19</v>
      </c>
      <c r="AG3914">
        <v>2</v>
      </c>
      <c r="AH3914">
        <v>0</v>
      </c>
      <c r="AI3914">
        <v>140.78</v>
      </c>
      <c r="AL3914" t="s">
        <v>19614</v>
      </c>
      <c r="AM3914">
        <v>22862.4</v>
      </c>
      <c r="AS3914">
        <v>0</v>
      </c>
      <c r="AU3914" t="s">
        <v>20643</v>
      </c>
    </row>
    <row r="3915" spans="1:48">
      <c r="A3915" s="1">
        <f>HYPERLINK("https://lsnyc.legalserver.org/matter/dynamic-profile/view/1860067","18-1860067")</f>
        <v>0</v>
      </c>
      <c r="B3915" t="s">
        <v>114</v>
      </c>
      <c r="C3915" t="s">
        <v>256</v>
      </c>
      <c r="D3915" t="s">
        <v>1044</v>
      </c>
      <c r="F3915" t="s">
        <v>2368</v>
      </c>
      <c r="G3915" t="s">
        <v>4934</v>
      </c>
      <c r="H3915" t="s">
        <v>6356</v>
      </c>
      <c r="I3915">
        <v>211</v>
      </c>
      <c r="J3915" t="s">
        <v>9065</v>
      </c>
      <c r="K3915">
        <v>10453</v>
      </c>
      <c r="L3915" t="s">
        <v>9094</v>
      </c>
      <c r="M3915" t="s">
        <v>9095</v>
      </c>
      <c r="N3915" t="s">
        <v>10566</v>
      </c>
      <c r="O3915" t="s">
        <v>11129</v>
      </c>
      <c r="P3915" t="s">
        <v>11170</v>
      </c>
      <c r="R3915" t="s">
        <v>11180</v>
      </c>
      <c r="T3915" t="s">
        <v>11183</v>
      </c>
      <c r="V3915" t="s">
        <v>745</v>
      </c>
      <c r="W3915">
        <v>1021.63</v>
      </c>
      <c r="X3915" t="s">
        <v>11333</v>
      </c>
      <c r="Z3915" t="s">
        <v>13955</v>
      </c>
      <c r="AB3915" t="s">
        <v>18285</v>
      </c>
      <c r="AC3915">
        <v>0</v>
      </c>
      <c r="AD3915" t="s">
        <v>19566</v>
      </c>
      <c r="AF3915">
        <v>40</v>
      </c>
      <c r="AG3915">
        <v>1</v>
      </c>
      <c r="AH3915">
        <v>1</v>
      </c>
      <c r="AI3915">
        <v>140.89</v>
      </c>
      <c r="AL3915" t="s">
        <v>19614</v>
      </c>
      <c r="AM3915">
        <v>22880</v>
      </c>
      <c r="AN3915" t="s">
        <v>19699</v>
      </c>
      <c r="AO3915" t="s">
        <v>20290</v>
      </c>
      <c r="AP3915" t="s">
        <v>20317</v>
      </c>
      <c r="AQ3915" t="s">
        <v>20369</v>
      </c>
      <c r="AR3915" t="s">
        <v>20531</v>
      </c>
      <c r="AS3915">
        <v>7.6</v>
      </c>
      <c r="AT3915" t="s">
        <v>715</v>
      </c>
      <c r="AU3915" t="s">
        <v>20638</v>
      </c>
    </row>
    <row r="3916" spans="1:48">
      <c r="A3916" s="1">
        <f>HYPERLINK("https://lsnyc.legalserver.org/matter/dynamic-profile/view/1905357","19-1905357")</f>
        <v>0</v>
      </c>
      <c r="B3916" t="s">
        <v>57</v>
      </c>
      <c r="C3916" t="s">
        <v>256</v>
      </c>
      <c r="D3916" t="s">
        <v>621</v>
      </c>
      <c r="F3916" t="s">
        <v>1948</v>
      </c>
      <c r="G3916" t="s">
        <v>4935</v>
      </c>
      <c r="H3916" t="s">
        <v>7501</v>
      </c>
      <c r="I3916" t="s">
        <v>8229</v>
      </c>
      <c r="J3916" t="s">
        <v>9078</v>
      </c>
      <c r="K3916">
        <v>11372</v>
      </c>
      <c r="L3916" t="s">
        <v>9094</v>
      </c>
      <c r="M3916" t="s">
        <v>9095</v>
      </c>
      <c r="N3916" t="s">
        <v>10567</v>
      </c>
      <c r="O3916" t="s">
        <v>11128</v>
      </c>
      <c r="P3916" t="s">
        <v>11165</v>
      </c>
      <c r="R3916" t="s">
        <v>11180</v>
      </c>
      <c r="S3916" t="s">
        <v>9094</v>
      </c>
      <c r="T3916" t="s">
        <v>11183</v>
      </c>
      <c r="U3916" t="s">
        <v>11202</v>
      </c>
      <c r="W3916">
        <v>890.4</v>
      </c>
      <c r="X3916" t="s">
        <v>11331</v>
      </c>
      <c r="Y3916" t="s">
        <v>11336</v>
      </c>
      <c r="Z3916" t="s">
        <v>13956</v>
      </c>
      <c r="AB3916" t="s">
        <v>18286</v>
      </c>
      <c r="AC3916">
        <v>6</v>
      </c>
      <c r="AD3916" t="s">
        <v>19566</v>
      </c>
      <c r="AE3916" t="s">
        <v>19587</v>
      </c>
      <c r="AF3916">
        <v>33</v>
      </c>
      <c r="AG3916">
        <v>1</v>
      </c>
      <c r="AH3916">
        <v>0</v>
      </c>
      <c r="AI3916">
        <v>140.91</v>
      </c>
      <c r="AL3916" t="s">
        <v>19614</v>
      </c>
      <c r="AM3916">
        <v>17600</v>
      </c>
      <c r="AS3916">
        <v>27.2</v>
      </c>
      <c r="AT3916" t="s">
        <v>832</v>
      </c>
      <c r="AU3916" t="s">
        <v>20619</v>
      </c>
      <c r="AV3916" t="s">
        <v>20733</v>
      </c>
    </row>
    <row r="3917" spans="1:48">
      <c r="A3917" s="1">
        <f>HYPERLINK("https://lsnyc.legalserver.org/matter/dynamic-profile/view/1834670","17-1834670")</f>
        <v>0</v>
      </c>
      <c r="B3917" t="s">
        <v>141</v>
      </c>
      <c r="C3917" t="s">
        <v>257</v>
      </c>
      <c r="D3917" t="s">
        <v>550</v>
      </c>
      <c r="E3917" t="s">
        <v>442</v>
      </c>
      <c r="F3917" t="s">
        <v>1494</v>
      </c>
      <c r="G3917" t="s">
        <v>3706</v>
      </c>
      <c r="H3917" t="s">
        <v>5952</v>
      </c>
      <c r="I3917" t="s">
        <v>8169</v>
      </c>
      <c r="J3917" t="s">
        <v>9067</v>
      </c>
      <c r="K3917">
        <v>10033</v>
      </c>
      <c r="L3917" t="s">
        <v>9094</v>
      </c>
      <c r="M3917" t="s">
        <v>9095</v>
      </c>
      <c r="O3917" t="s">
        <v>11156</v>
      </c>
      <c r="P3917" t="s">
        <v>11168</v>
      </c>
      <c r="Q3917" t="s">
        <v>11177</v>
      </c>
      <c r="R3917" t="s">
        <v>11180</v>
      </c>
      <c r="S3917" t="s">
        <v>9094</v>
      </c>
      <c r="T3917" t="s">
        <v>11183</v>
      </c>
      <c r="V3917" t="s">
        <v>345</v>
      </c>
      <c r="W3917">
        <v>1432.54</v>
      </c>
      <c r="X3917" t="s">
        <v>11335</v>
      </c>
      <c r="Y3917" t="s">
        <v>11339</v>
      </c>
      <c r="Z3917" t="s">
        <v>13944</v>
      </c>
      <c r="AB3917" t="s">
        <v>18273</v>
      </c>
      <c r="AC3917">
        <v>24</v>
      </c>
      <c r="AD3917" t="s">
        <v>19566</v>
      </c>
      <c r="AE3917" t="s">
        <v>9144</v>
      </c>
      <c r="AF3917">
        <v>11</v>
      </c>
      <c r="AG3917">
        <v>1</v>
      </c>
      <c r="AH3917">
        <v>0</v>
      </c>
      <c r="AI3917">
        <v>140.96</v>
      </c>
      <c r="AJ3917" t="s">
        <v>973</v>
      </c>
      <c r="AL3917" t="s">
        <v>19614</v>
      </c>
      <c r="AM3917">
        <v>17000</v>
      </c>
      <c r="AS3917">
        <v>13.7</v>
      </c>
      <c r="AT3917" t="s">
        <v>442</v>
      </c>
      <c r="AU3917" t="s">
        <v>20657</v>
      </c>
      <c r="AV3917" t="s">
        <v>20733</v>
      </c>
    </row>
    <row r="3918" spans="1:48">
      <c r="A3918" s="1">
        <f>HYPERLINK("https://lsnyc.legalserver.org/matter/dynamic-profile/view/1912865","19-1912865")</f>
        <v>0</v>
      </c>
      <c r="B3918" t="s">
        <v>215</v>
      </c>
      <c r="C3918" t="s">
        <v>256</v>
      </c>
      <c r="D3918" t="s">
        <v>563</v>
      </c>
      <c r="F3918" t="s">
        <v>2683</v>
      </c>
      <c r="G3918" t="s">
        <v>4936</v>
      </c>
      <c r="H3918" t="s">
        <v>7502</v>
      </c>
      <c r="I3918" t="s">
        <v>8129</v>
      </c>
      <c r="J3918" t="s">
        <v>9059</v>
      </c>
      <c r="K3918">
        <v>11237</v>
      </c>
      <c r="L3918" t="s">
        <v>9094</v>
      </c>
      <c r="M3918" t="s">
        <v>9095</v>
      </c>
      <c r="O3918" t="s">
        <v>9121</v>
      </c>
      <c r="P3918" t="s">
        <v>11166</v>
      </c>
      <c r="R3918" t="s">
        <v>11180</v>
      </c>
      <c r="S3918" t="s">
        <v>9096</v>
      </c>
      <c r="T3918" t="s">
        <v>11183</v>
      </c>
      <c r="V3918" t="s">
        <v>563</v>
      </c>
      <c r="W3918">
        <v>0</v>
      </c>
      <c r="X3918" t="s">
        <v>11332</v>
      </c>
      <c r="Z3918" t="s">
        <v>13957</v>
      </c>
      <c r="AB3918" t="s">
        <v>18287</v>
      </c>
      <c r="AC3918">
        <v>0</v>
      </c>
      <c r="AF3918">
        <v>7</v>
      </c>
      <c r="AG3918">
        <v>5</v>
      </c>
      <c r="AH3918">
        <v>2</v>
      </c>
      <c r="AI3918">
        <v>140.99</v>
      </c>
      <c r="AL3918" t="s">
        <v>19615</v>
      </c>
      <c r="AM3918">
        <v>55000</v>
      </c>
      <c r="AS3918">
        <v>0</v>
      </c>
      <c r="AU3918" t="s">
        <v>215</v>
      </c>
      <c r="AV3918" t="s">
        <v>20733</v>
      </c>
    </row>
    <row r="3919" spans="1:48">
      <c r="A3919" s="1">
        <f>HYPERLINK("https://lsnyc.legalserver.org/matter/dynamic-profile/view/1883131","18-1883131")</f>
        <v>0</v>
      </c>
      <c r="B3919" t="s">
        <v>71</v>
      </c>
      <c r="C3919" t="s">
        <v>256</v>
      </c>
      <c r="D3919" t="s">
        <v>407</v>
      </c>
      <c r="F3919" t="s">
        <v>1535</v>
      </c>
      <c r="G3919" t="s">
        <v>4937</v>
      </c>
      <c r="H3919" t="s">
        <v>6049</v>
      </c>
      <c r="I3919">
        <v>7</v>
      </c>
      <c r="J3919" t="s">
        <v>9059</v>
      </c>
      <c r="K3919">
        <v>11233</v>
      </c>
      <c r="L3919" t="s">
        <v>9094</v>
      </c>
      <c r="M3919" t="s">
        <v>9094</v>
      </c>
      <c r="N3919" t="s">
        <v>10568</v>
      </c>
      <c r="O3919" t="s">
        <v>11129</v>
      </c>
      <c r="P3919" t="s">
        <v>11165</v>
      </c>
      <c r="R3919" t="s">
        <v>11180</v>
      </c>
      <c r="S3919" t="s">
        <v>9096</v>
      </c>
      <c r="T3919" t="s">
        <v>11183</v>
      </c>
      <c r="U3919" t="s">
        <v>11201</v>
      </c>
      <c r="V3919" t="s">
        <v>407</v>
      </c>
      <c r="W3919">
        <v>1473.42</v>
      </c>
      <c r="X3919" t="s">
        <v>11332</v>
      </c>
      <c r="Y3919" t="s">
        <v>11340</v>
      </c>
      <c r="Z3919" t="s">
        <v>13958</v>
      </c>
      <c r="AA3919" t="s">
        <v>15830</v>
      </c>
      <c r="AB3919" t="s">
        <v>18288</v>
      </c>
      <c r="AC3919">
        <v>8</v>
      </c>
      <c r="AD3919" t="s">
        <v>19566</v>
      </c>
      <c r="AE3919" t="s">
        <v>19587</v>
      </c>
      <c r="AF3919">
        <v>9</v>
      </c>
      <c r="AG3919">
        <v>2</v>
      </c>
      <c r="AH3919">
        <v>1</v>
      </c>
      <c r="AI3919">
        <v>141.19</v>
      </c>
      <c r="AL3919" t="s">
        <v>19614</v>
      </c>
      <c r="AM3919">
        <v>29340</v>
      </c>
      <c r="AN3919" t="s">
        <v>19989</v>
      </c>
      <c r="AS3919">
        <v>23.8</v>
      </c>
      <c r="AT3919" t="s">
        <v>263</v>
      </c>
      <c r="AU3919" t="s">
        <v>95</v>
      </c>
    </row>
    <row r="3920" spans="1:48">
      <c r="A3920" s="1">
        <f>HYPERLINK("https://lsnyc.legalserver.org/matter/dynamic-profile/view/1904795","19-1904795")</f>
        <v>0</v>
      </c>
      <c r="B3920" t="s">
        <v>109</v>
      </c>
      <c r="C3920" t="s">
        <v>257</v>
      </c>
      <c r="D3920" t="s">
        <v>748</v>
      </c>
      <c r="E3920" t="s">
        <v>832</v>
      </c>
      <c r="F3920" t="s">
        <v>1264</v>
      </c>
      <c r="G3920" t="s">
        <v>3366</v>
      </c>
      <c r="H3920" t="s">
        <v>7503</v>
      </c>
      <c r="I3920" t="s">
        <v>8792</v>
      </c>
      <c r="J3920" t="s">
        <v>9065</v>
      </c>
      <c r="K3920">
        <v>10457</v>
      </c>
      <c r="L3920" t="s">
        <v>9094</v>
      </c>
      <c r="M3920" t="s">
        <v>9095</v>
      </c>
      <c r="N3920" t="s">
        <v>9171</v>
      </c>
      <c r="O3920" t="s">
        <v>11137</v>
      </c>
      <c r="P3920" t="s">
        <v>11167</v>
      </c>
      <c r="Q3920" t="s">
        <v>11173</v>
      </c>
      <c r="R3920" t="s">
        <v>11180</v>
      </c>
      <c r="S3920" t="s">
        <v>9096</v>
      </c>
      <c r="T3920" t="s">
        <v>11183</v>
      </c>
      <c r="V3920" t="s">
        <v>664</v>
      </c>
      <c r="W3920">
        <v>1476.04</v>
      </c>
      <c r="X3920" t="s">
        <v>11333</v>
      </c>
      <c r="Y3920" t="s">
        <v>11346</v>
      </c>
      <c r="Z3920" t="s">
        <v>13959</v>
      </c>
      <c r="AB3920" t="s">
        <v>18289</v>
      </c>
      <c r="AC3920">
        <v>222</v>
      </c>
      <c r="AD3920" t="s">
        <v>19566</v>
      </c>
      <c r="AE3920" t="s">
        <v>9144</v>
      </c>
      <c r="AF3920">
        <v>8</v>
      </c>
      <c r="AG3920">
        <v>4</v>
      </c>
      <c r="AH3920">
        <v>0</v>
      </c>
      <c r="AI3920">
        <v>141.36</v>
      </c>
      <c r="AL3920" t="s">
        <v>19615</v>
      </c>
      <c r="AM3920">
        <v>36400</v>
      </c>
      <c r="AS3920">
        <v>3.75</v>
      </c>
      <c r="AT3920" t="s">
        <v>832</v>
      </c>
      <c r="AU3920" t="s">
        <v>20642</v>
      </c>
      <c r="AV3920" t="s">
        <v>20733</v>
      </c>
    </row>
    <row r="3921" spans="1:48">
      <c r="A3921" s="1">
        <f>HYPERLINK("https://lsnyc.legalserver.org/matter/dynamic-profile/view/1902748","19-1902748")</f>
        <v>0</v>
      </c>
      <c r="B3921" t="s">
        <v>240</v>
      </c>
      <c r="C3921" t="s">
        <v>256</v>
      </c>
      <c r="D3921" t="s">
        <v>279</v>
      </c>
      <c r="F3921" t="s">
        <v>2684</v>
      </c>
      <c r="G3921" t="s">
        <v>4938</v>
      </c>
      <c r="H3921" t="s">
        <v>6596</v>
      </c>
      <c r="I3921" t="s">
        <v>8164</v>
      </c>
      <c r="J3921" t="s">
        <v>9067</v>
      </c>
      <c r="K3921">
        <v>10035</v>
      </c>
      <c r="L3921" t="s">
        <v>9094</v>
      </c>
      <c r="M3921" t="s">
        <v>9095</v>
      </c>
      <c r="O3921" t="s">
        <v>11131</v>
      </c>
      <c r="P3921" t="s">
        <v>11166</v>
      </c>
      <c r="R3921" t="s">
        <v>11180</v>
      </c>
      <c r="S3921" t="s">
        <v>9096</v>
      </c>
      <c r="T3921" t="s">
        <v>11191</v>
      </c>
      <c r="U3921" t="s">
        <v>11201</v>
      </c>
      <c r="V3921" t="s">
        <v>279</v>
      </c>
      <c r="W3921">
        <v>847</v>
      </c>
      <c r="X3921" t="s">
        <v>11335</v>
      </c>
      <c r="Y3921" t="s">
        <v>11347</v>
      </c>
      <c r="Z3921" t="s">
        <v>13960</v>
      </c>
      <c r="AB3921" t="s">
        <v>18290</v>
      </c>
      <c r="AC3921">
        <v>60</v>
      </c>
      <c r="AD3921" t="s">
        <v>19566</v>
      </c>
      <c r="AE3921" t="s">
        <v>19580</v>
      </c>
      <c r="AF3921">
        <v>14</v>
      </c>
      <c r="AG3921">
        <v>1</v>
      </c>
      <c r="AH3921">
        <v>3</v>
      </c>
      <c r="AI3921">
        <v>141.36</v>
      </c>
      <c r="AL3921" t="s">
        <v>19614</v>
      </c>
      <c r="AM3921">
        <v>36400</v>
      </c>
      <c r="AS3921">
        <v>30</v>
      </c>
      <c r="AT3921" t="s">
        <v>442</v>
      </c>
      <c r="AU3921" t="s">
        <v>20657</v>
      </c>
      <c r="AV3921" t="s">
        <v>20733</v>
      </c>
    </row>
    <row r="3922" spans="1:48">
      <c r="A3922" s="1">
        <f>HYPERLINK("https://lsnyc.legalserver.org/matter/dynamic-profile/view/1865344","18-1865344")</f>
        <v>0</v>
      </c>
      <c r="B3922" t="s">
        <v>113</v>
      </c>
      <c r="C3922" t="s">
        <v>256</v>
      </c>
      <c r="D3922" t="s">
        <v>872</v>
      </c>
      <c r="F3922" t="s">
        <v>2174</v>
      </c>
      <c r="G3922" t="s">
        <v>4629</v>
      </c>
      <c r="H3922" t="s">
        <v>7369</v>
      </c>
      <c r="I3922" t="s">
        <v>8153</v>
      </c>
      <c r="J3922" t="s">
        <v>9065</v>
      </c>
      <c r="K3922">
        <v>10458</v>
      </c>
      <c r="L3922" t="s">
        <v>9094</v>
      </c>
      <c r="M3922" t="s">
        <v>9095</v>
      </c>
      <c r="N3922" t="s">
        <v>10490</v>
      </c>
      <c r="O3922" t="s">
        <v>11135</v>
      </c>
      <c r="P3922" t="s">
        <v>11168</v>
      </c>
      <c r="R3922" t="s">
        <v>11180</v>
      </c>
      <c r="S3922" t="s">
        <v>9094</v>
      </c>
      <c r="T3922" t="s">
        <v>11183</v>
      </c>
      <c r="V3922" t="s">
        <v>11219</v>
      </c>
      <c r="W3922">
        <v>1600</v>
      </c>
      <c r="X3922" t="s">
        <v>11333</v>
      </c>
      <c r="Y3922" t="s">
        <v>11346</v>
      </c>
      <c r="Z3922" t="s">
        <v>13736</v>
      </c>
      <c r="AB3922" t="s">
        <v>18065</v>
      </c>
      <c r="AC3922">
        <v>11</v>
      </c>
      <c r="AD3922" t="s">
        <v>19566</v>
      </c>
      <c r="AF3922">
        <v>3</v>
      </c>
      <c r="AG3922">
        <v>3</v>
      </c>
      <c r="AH3922">
        <v>2</v>
      </c>
      <c r="AI3922">
        <v>141.4</v>
      </c>
      <c r="AL3922" t="s">
        <v>19615</v>
      </c>
      <c r="AM3922">
        <v>41600</v>
      </c>
      <c r="AS3922">
        <v>27.8</v>
      </c>
      <c r="AT3922" t="s">
        <v>308</v>
      </c>
      <c r="AU3922" t="s">
        <v>20647</v>
      </c>
    </row>
    <row r="3923" spans="1:48">
      <c r="A3923" s="1">
        <f>HYPERLINK("https://lsnyc.legalserver.org/matter/dynamic-profile/view/1867669","18-1867669")</f>
        <v>0</v>
      </c>
      <c r="B3923" t="s">
        <v>113</v>
      </c>
      <c r="C3923" t="s">
        <v>256</v>
      </c>
      <c r="D3923" t="s">
        <v>921</v>
      </c>
      <c r="F3923" t="s">
        <v>2174</v>
      </c>
      <c r="G3923" t="s">
        <v>4629</v>
      </c>
      <c r="H3923" t="s">
        <v>7369</v>
      </c>
      <c r="I3923" t="s">
        <v>8153</v>
      </c>
      <c r="J3923" t="s">
        <v>9065</v>
      </c>
      <c r="K3923">
        <v>10458</v>
      </c>
      <c r="L3923" t="s">
        <v>9094</v>
      </c>
      <c r="M3923" t="s">
        <v>9095</v>
      </c>
      <c r="N3923" t="s">
        <v>10569</v>
      </c>
      <c r="O3923" t="s">
        <v>11129</v>
      </c>
      <c r="P3923" t="s">
        <v>11165</v>
      </c>
      <c r="R3923" t="s">
        <v>11180</v>
      </c>
      <c r="S3923" t="s">
        <v>9094</v>
      </c>
      <c r="T3923" t="s">
        <v>11183</v>
      </c>
      <c r="V3923" t="s">
        <v>675</v>
      </c>
      <c r="W3923">
        <v>1600</v>
      </c>
      <c r="X3923" t="s">
        <v>11333</v>
      </c>
      <c r="Y3923" t="s">
        <v>11340</v>
      </c>
      <c r="Z3923" t="s">
        <v>13736</v>
      </c>
      <c r="AB3923" t="s">
        <v>18065</v>
      </c>
      <c r="AC3923">
        <v>11</v>
      </c>
      <c r="AD3923" t="s">
        <v>19566</v>
      </c>
      <c r="AE3923" t="s">
        <v>9144</v>
      </c>
      <c r="AF3923">
        <v>3</v>
      </c>
      <c r="AG3923">
        <v>3</v>
      </c>
      <c r="AH3923">
        <v>2</v>
      </c>
      <c r="AI3923">
        <v>141.4</v>
      </c>
      <c r="AL3923" t="s">
        <v>19615</v>
      </c>
      <c r="AM3923">
        <v>41600</v>
      </c>
      <c r="AS3923">
        <v>100.9</v>
      </c>
      <c r="AT3923" t="s">
        <v>294</v>
      </c>
      <c r="AU3923" t="s">
        <v>20647</v>
      </c>
    </row>
    <row r="3924" spans="1:48">
      <c r="A3924" s="1">
        <f>HYPERLINK("https://lsnyc.legalserver.org/matter/dynamic-profile/view/1860896","18-1860896")</f>
        <v>0</v>
      </c>
      <c r="B3924" t="s">
        <v>101</v>
      </c>
      <c r="C3924" t="s">
        <v>256</v>
      </c>
      <c r="D3924" t="s">
        <v>450</v>
      </c>
      <c r="F3924" t="s">
        <v>1489</v>
      </c>
      <c r="G3924" t="s">
        <v>4090</v>
      </c>
      <c r="H3924" t="s">
        <v>5890</v>
      </c>
      <c r="I3924" t="s">
        <v>8735</v>
      </c>
      <c r="J3924" t="s">
        <v>9065</v>
      </c>
      <c r="K3924">
        <v>10453</v>
      </c>
      <c r="L3924" t="s">
        <v>9094</v>
      </c>
      <c r="M3924" t="s">
        <v>9095</v>
      </c>
      <c r="N3924" t="s">
        <v>9242</v>
      </c>
      <c r="O3924" t="s">
        <v>11130</v>
      </c>
      <c r="P3924" t="s">
        <v>11165</v>
      </c>
      <c r="R3924" t="s">
        <v>11180</v>
      </c>
      <c r="S3924" t="s">
        <v>9094</v>
      </c>
      <c r="T3924" t="s">
        <v>11183</v>
      </c>
      <c r="V3924" t="s">
        <v>874</v>
      </c>
      <c r="W3924">
        <v>1418</v>
      </c>
      <c r="X3924" t="s">
        <v>11333</v>
      </c>
      <c r="Y3924" t="s">
        <v>11338</v>
      </c>
      <c r="Z3924" t="s">
        <v>13961</v>
      </c>
      <c r="AB3924" t="s">
        <v>18291</v>
      </c>
      <c r="AC3924">
        <v>46</v>
      </c>
      <c r="AD3924" t="s">
        <v>19566</v>
      </c>
      <c r="AE3924" t="s">
        <v>9144</v>
      </c>
      <c r="AF3924">
        <v>6</v>
      </c>
      <c r="AG3924">
        <v>2</v>
      </c>
      <c r="AH3924">
        <v>3</v>
      </c>
      <c r="AI3924">
        <v>141.4</v>
      </c>
      <c r="AL3924" t="s">
        <v>19615</v>
      </c>
      <c r="AM3924">
        <v>91600</v>
      </c>
      <c r="AS3924">
        <v>0.6</v>
      </c>
      <c r="AT3924" t="s">
        <v>450</v>
      </c>
      <c r="AU3924" t="s">
        <v>174</v>
      </c>
    </row>
    <row r="3925" spans="1:48">
      <c r="A3925" s="1">
        <f>HYPERLINK("https://lsnyc.legalserver.org/matter/dynamic-profile/view/1896160","19-1896160")</f>
        <v>0</v>
      </c>
      <c r="B3925" t="s">
        <v>52</v>
      </c>
      <c r="C3925" t="s">
        <v>257</v>
      </c>
      <c r="D3925" t="s">
        <v>374</v>
      </c>
      <c r="E3925" t="s">
        <v>1016</v>
      </c>
      <c r="F3925" t="s">
        <v>1270</v>
      </c>
      <c r="G3925" t="s">
        <v>4939</v>
      </c>
      <c r="H3925" t="s">
        <v>5692</v>
      </c>
      <c r="I3925" t="s">
        <v>8793</v>
      </c>
      <c r="J3925" t="s">
        <v>9038</v>
      </c>
      <c r="K3925">
        <v>11691</v>
      </c>
      <c r="L3925" t="s">
        <v>9094</v>
      </c>
      <c r="M3925" t="s">
        <v>9094</v>
      </c>
      <c r="O3925" t="s">
        <v>11134</v>
      </c>
      <c r="P3925" t="s">
        <v>11167</v>
      </c>
      <c r="Q3925" t="s">
        <v>11173</v>
      </c>
      <c r="R3925" t="s">
        <v>11180</v>
      </c>
      <c r="S3925" t="s">
        <v>9094</v>
      </c>
      <c r="T3925" t="s">
        <v>11183</v>
      </c>
      <c r="U3925" t="s">
        <v>11201</v>
      </c>
      <c r="V3925" t="s">
        <v>374</v>
      </c>
      <c r="W3925">
        <v>675</v>
      </c>
      <c r="X3925" t="s">
        <v>11331</v>
      </c>
      <c r="Y3925" t="s">
        <v>11336</v>
      </c>
      <c r="Z3925" t="s">
        <v>13962</v>
      </c>
      <c r="AA3925" t="s">
        <v>15274</v>
      </c>
      <c r="AB3925" t="s">
        <v>18292</v>
      </c>
      <c r="AC3925">
        <v>43</v>
      </c>
      <c r="AD3925" t="s">
        <v>19566</v>
      </c>
      <c r="AE3925" t="s">
        <v>9144</v>
      </c>
      <c r="AF3925">
        <v>5</v>
      </c>
      <c r="AG3925">
        <v>2</v>
      </c>
      <c r="AH3925">
        <v>0</v>
      </c>
      <c r="AI3925">
        <v>141.45</v>
      </c>
      <c r="AL3925" t="s">
        <v>19614</v>
      </c>
      <c r="AM3925">
        <v>23920</v>
      </c>
      <c r="AS3925">
        <v>0.1</v>
      </c>
      <c r="AT3925" t="s">
        <v>1016</v>
      </c>
      <c r="AU3925" t="s">
        <v>20622</v>
      </c>
      <c r="AV3925" t="s">
        <v>20733</v>
      </c>
    </row>
    <row r="3926" spans="1:48">
      <c r="A3926" s="1">
        <f>HYPERLINK("https://lsnyc.legalserver.org/matter/dynamic-profile/view/1896172","19-1896172")</f>
        <v>0</v>
      </c>
      <c r="B3926" t="s">
        <v>52</v>
      </c>
      <c r="C3926" t="s">
        <v>256</v>
      </c>
      <c r="D3926" t="s">
        <v>374</v>
      </c>
      <c r="F3926" t="s">
        <v>1270</v>
      </c>
      <c r="G3926" t="s">
        <v>4939</v>
      </c>
      <c r="H3926" t="s">
        <v>5692</v>
      </c>
      <c r="I3926" t="s">
        <v>8793</v>
      </c>
      <c r="J3926" t="s">
        <v>9038</v>
      </c>
      <c r="K3926">
        <v>11691</v>
      </c>
      <c r="L3926" t="s">
        <v>9094</v>
      </c>
      <c r="M3926" t="s">
        <v>9094</v>
      </c>
      <c r="O3926" t="s">
        <v>11136</v>
      </c>
      <c r="P3926" t="s">
        <v>11167</v>
      </c>
      <c r="R3926" t="s">
        <v>11180</v>
      </c>
      <c r="S3926" t="s">
        <v>9094</v>
      </c>
      <c r="T3926" t="s">
        <v>11183</v>
      </c>
      <c r="V3926" t="s">
        <v>374</v>
      </c>
      <c r="W3926">
        <v>675</v>
      </c>
      <c r="X3926" t="s">
        <v>11331</v>
      </c>
      <c r="Y3926" t="s">
        <v>11339</v>
      </c>
      <c r="Z3926" t="s">
        <v>13962</v>
      </c>
      <c r="AA3926" t="s">
        <v>15274</v>
      </c>
      <c r="AB3926" t="s">
        <v>18292</v>
      </c>
      <c r="AC3926">
        <v>43</v>
      </c>
      <c r="AD3926" t="s">
        <v>19566</v>
      </c>
      <c r="AE3926" t="s">
        <v>9144</v>
      </c>
      <c r="AF3926">
        <v>5</v>
      </c>
      <c r="AG3926">
        <v>2</v>
      </c>
      <c r="AH3926">
        <v>0</v>
      </c>
      <c r="AI3926">
        <v>141.45</v>
      </c>
      <c r="AL3926" t="s">
        <v>19614</v>
      </c>
      <c r="AM3926">
        <v>23920</v>
      </c>
      <c r="AS3926">
        <v>0</v>
      </c>
      <c r="AU3926" t="s">
        <v>20622</v>
      </c>
    </row>
    <row r="3927" spans="1:48">
      <c r="A3927" s="1">
        <f>HYPERLINK("https://lsnyc.legalserver.org/matter/dynamic-profile/view/1879577","18-1879577")</f>
        <v>0</v>
      </c>
      <c r="B3927" t="s">
        <v>165</v>
      </c>
      <c r="C3927" t="s">
        <v>256</v>
      </c>
      <c r="D3927" t="s">
        <v>452</v>
      </c>
      <c r="F3927" t="s">
        <v>1221</v>
      </c>
      <c r="G3927" t="s">
        <v>4617</v>
      </c>
      <c r="H3927" t="s">
        <v>7151</v>
      </c>
      <c r="I3927" t="s">
        <v>8119</v>
      </c>
      <c r="J3927" t="s">
        <v>9059</v>
      </c>
      <c r="K3927">
        <v>11212</v>
      </c>
      <c r="L3927" t="s">
        <v>9094</v>
      </c>
      <c r="M3927" t="s">
        <v>9094</v>
      </c>
      <c r="O3927" t="s">
        <v>11132</v>
      </c>
      <c r="P3927" t="s">
        <v>11165</v>
      </c>
      <c r="R3927" t="s">
        <v>11180</v>
      </c>
      <c r="T3927" t="s">
        <v>11183</v>
      </c>
      <c r="V3927" t="s">
        <v>818</v>
      </c>
      <c r="W3927">
        <v>1350</v>
      </c>
      <c r="X3927" t="s">
        <v>11332</v>
      </c>
      <c r="Y3927" t="s">
        <v>11340</v>
      </c>
      <c r="Z3927" t="s">
        <v>13353</v>
      </c>
      <c r="AB3927" t="s">
        <v>17695</v>
      </c>
      <c r="AC3927">
        <v>6</v>
      </c>
      <c r="AD3927" t="s">
        <v>19566</v>
      </c>
      <c r="AF3927">
        <v>4</v>
      </c>
      <c r="AG3927">
        <v>2</v>
      </c>
      <c r="AH3927">
        <v>2</v>
      </c>
      <c r="AI3927">
        <v>141.61</v>
      </c>
      <c r="AL3927" t="s">
        <v>19614</v>
      </c>
      <c r="AM3927">
        <v>35543</v>
      </c>
      <c r="AS3927">
        <v>0.7</v>
      </c>
      <c r="AT3927" t="s">
        <v>328</v>
      </c>
      <c r="AU3927" t="s">
        <v>95</v>
      </c>
    </row>
    <row r="3928" spans="1:48">
      <c r="A3928" s="1">
        <f>HYPERLINK("https://lsnyc.legalserver.org/matter/dynamic-profile/view/1859560","18-1859560")</f>
        <v>0</v>
      </c>
      <c r="B3928" t="s">
        <v>111</v>
      </c>
      <c r="C3928" t="s">
        <v>256</v>
      </c>
      <c r="D3928" t="s">
        <v>638</v>
      </c>
      <c r="F3928" t="s">
        <v>1158</v>
      </c>
      <c r="G3928" t="s">
        <v>3699</v>
      </c>
      <c r="H3928" t="s">
        <v>7504</v>
      </c>
      <c r="I3928">
        <v>44</v>
      </c>
      <c r="J3928" t="s">
        <v>9065</v>
      </c>
      <c r="K3928">
        <v>10452</v>
      </c>
      <c r="L3928" t="s">
        <v>9094</v>
      </c>
      <c r="M3928" t="s">
        <v>9095</v>
      </c>
      <c r="N3928" t="s">
        <v>10570</v>
      </c>
      <c r="O3928" t="s">
        <v>11129</v>
      </c>
      <c r="P3928" t="s">
        <v>11165</v>
      </c>
      <c r="R3928" t="s">
        <v>11180</v>
      </c>
      <c r="S3928" t="s">
        <v>9096</v>
      </c>
      <c r="T3928" t="s">
        <v>11183</v>
      </c>
      <c r="V3928" t="s">
        <v>836</v>
      </c>
      <c r="W3928">
        <v>1120</v>
      </c>
      <c r="X3928" t="s">
        <v>11333</v>
      </c>
      <c r="Y3928" t="s">
        <v>11349</v>
      </c>
      <c r="Z3928" t="s">
        <v>13963</v>
      </c>
      <c r="AA3928" t="s">
        <v>15831</v>
      </c>
      <c r="AB3928" t="s">
        <v>18293</v>
      </c>
      <c r="AC3928">
        <v>64</v>
      </c>
      <c r="AD3928" t="s">
        <v>19566</v>
      </c>
      <c r="AE3928" t="s">
        <v>9144</v>
      </c>
      <c r="AF3928">
        <v>5</v>
      </c>
      <c r="AG3928">
        <v>2</v>
      </c>
      <c r="AH3928">
        <v>2</v>
      </c>
      <c r="AI3928">
        <v>141.63</v>
      </c>
      <c r="AL3928" t="s">
        <v>19615</v>
      </c>
      <c r="AM3928">
        <v>34840</v>
      </c>
      <c r="AR3928" t="s">
        <v>20405</v>
      </c>
      <c r="AS3928">
        <v>16.61</v>
      </c>
      <c r="AT3928" t="s">
        <v>637</v>
      </c>
      <c r="AU3928" t="s">
        <v>20619</v>
      </c>
    </row>
    <row r="3929" spans="1:48">
      <c r="A3929" s="1">
        <f>HYPERLINK("https://lsnyc.legalserver.org/matter/dynamic-profile/view/1907576","19-1907576")</f>
        <v>0</v>
      </c>
      <c r="B3929" t="s">
        <v>138</v>
      </c>
      <c r="C3929" t="s">
        <v>256</v>
      </c>
      <c r="D3929" t="s">
        <v>416</v>
      </c>
      <c r="F3929" t="s">
        <v>2091</v>
      </c>
      <c r="G3929" t="s">
        <v>4085</v>
      </c>
      <c r="H3929" t="s">
        <v>7505</v>
      </c>
      <c r="I3929" t="s">
        <v>8794</v>
      </c>
      <c r="J3929" t="s">
        <v>9067</v>
      </c>
      <c r="K3929">
        <v>10034</v>
      </c>
      <c r="L3929" t="s">
        <v>9094</v>
      </c>
      <c r="M3929" t="s">
        <v>9095</v>
      </c>
      <c r="P3929" t="s">
        <v>11167</v>
      </c>
      <c r="R3929" t="s">
        <v>11180</v>
      </c>
      <c r="S3929" t="s">
        <v>9096</v>
      </c>
      <c r="T3929" t="s">
        <v>11183</v>
      </c>
      <c r="V3929" t="s">
        <v>416</v>
      </c>
      <c r="W3929">
        <v>0</v>
      </c>
      <c r="X3929" t="s">
        <v>11335</v>
      </c>
      <c r="Y3929" t="s">
        <v>11338</v>
      </c>
      <c r="Z3929" t="s">
        <v>13964</v>
      </c>
      <c r="AB3929" t="s">
        <v>18294</v>
      </c>
      <c r="AC3929">
        <v>25</v>
      </c>
      <c r="AD3929" t="s">
        <v>19566</v>
      </c>
      <c r="AE3929" t="s">
        <v>9144</v>
      </c>
      <c r="AF3929">
        <v>14</v>
      </c>
      <c r="AG3929">
        <v>3</v>
      </c>
      <c r="AH3929">
        <v>0</v>
      </c>
      <c r="AI3929">
        <v>141.77</v>
      </c>
      <c r="AL3929" t="s">
        <v>19615</v>
      </c>
      <c r="AM3929">
        <v>30240</v>
      </c>
      <c r="AS3929">
        <v>1.7</v>
      </c>
      <c r="AT3929" t="s">
        <v>442</v>
      </c>
      <c r="AU3929" t="s">
        <v>130</v>
      </c>
      <c r="AV3929" t="s">
        <v>20733</v>
      </c>
    </row>
    <row r="3930" spans="1:48">
      <c r="A3930" s="1">
        <f>HYPERLINK("https://lsnyc.legalserver.org/matter/dynamic-profile/view/1865606","18-1865606")</f>
        <v>0</v>
      </c>
      <c r="B3930" t="s">
        <v>78</v>
      </c>
      <c r="C3930" t="s">
        <v>256</v>
      </c>
      <c r="D3930" t="s">
        <v>975</v>
      </c>
      <c r="F3930" t="s">
        <v>2685</v>
      </c>
      <c r="G3930" t="s">
        <v>4587</v>
      </c>
      <c r="H3930" t="s">
        <v>5759</v>
      </c>
      <c r="I3930" t="s">
        <v>8141</v>
      </c>
      <c r="J3930" t="s">
        <v>9059</v>
      </c>
      <c r="K3930">
        <v>11233</v>
      </c>
      <c r="L3930" t="s">
        <v>9094</v>
      </c>
      <c r="M3930" t="s">
        <v>9095</v>
      </c>
      <c r="N3930" t="s">
        <v>9121</v>
      </c>
      <c r="P3930" t="s">
        <v>11167</v>
      </c>
      <c r="R3930" t="s">
        <v>11180</v>
      </c>
      <c r="S3930" t="s">
        <v>9094</v>
      </c>
      <c r="T3930" t="s">
        <v>11183</v>
      </c>
      <c r="V3930" t="s">
        <v>975</v>
      </c>
      <c r="W3930">
        <v>1023.63</v>
      </c>
      <c r="X3930" t="s">
        <v>11332</v>
      </c>
      <c r="Y3930" t="s">
        <v>11341</v>
      </c>
      <c r="Z3930" t="s">
        <v>13389</v>
      </c>
      <c r="AB3930" t="s">
        <v>18295</v>
      </c>
      <c r="AC3930">
        <v>8</v>
      </c>
      <c r="AF3930">
        <v>28</v>
      </c>
      <c r="AG3930">
        <v>5</v>
      </c>
      <c r="AH3930">
        <v>1</v>
      </c>
      <c r="AI3930">
        <v>141.79</v>
      </c>
      <c r="AL3930" t="s">
        <v>19614</v>
      </c>
      <c r="AM3930">
        <v>47840</v>
      </c>
      <c r="AS3930">
        <v>30.33</v>
      </c>
      <c r="AT3930" t="s">
        <v>20606</v>
      </c>
      <c r="AU3930" t="s">
        <v>95</v>
      </c>
    </row>
    <row r="3931" spans="1:48">
      <c r="A3931" s="1">
        <f>HYPERLINK("https://lsnyc.legalserver.org/matter/dynamic-profile/view/1900930","19-1900930")</f>
        <v>0</v>
      </c>
      <c r="B3931" t="s">
        <v>59</v>
      </c>
      <c r="C3931" t="s">
        <v>256</v>
      </c>
      <c r="D3931" t="s">
        <v>315</v>
      </c>
      <c r="F3931" t="s">
        <v>1404</v>
      </c>
      <c r="G3931" t="s">
        <v>3513</v>
      </c>
      <c r="H3931" t="s">
        <v>7506</v>
      </c>
      <c r="I3931" t="s">
        <v>8795</v>
      </c>
      <c r="J3931" t="s">
        <v>9055</v>
      </c>
      <c r="K3931">
        <v>11354</v>
      </c>
      <c r="L3931" t="s">
        <v>9094</v>
      </c>
      <c r="M3931" t="s">
        <v>9095</v>
      </c>
      <c r="N3931" t="s">
        <v>9135</v>
      </c>
      <c r="O3931" t="s">
        <v>11134</v>
      </c>
      <c r="P3931" t="s">
        <v>11168</v>
      </c>
      <c r="R3931" t="s">
        <v>11180</v>
      </c>
      <c r="S3931" t="s">
        <v>9094</v>
      </c>
      <c r="T3931" t="s">
        <v>11183</v>
      </c>
      <c r="U3931" t="s">
        <v>11201</v>
      </c>
      <c r="V3931" t="s">
        <v>315</v>
      </c>
      <c r="W3931">
        <v>1000</v>
      </c>
      <c r="X3931" t="s">
        <v>11331</v>
      </c>
      <c r="Y3931" t="s">
        <v>11351</v>
      </c>
      <c r="Z3931" t="s">
        <v>13965</v>
      </c>
      <c r="AA3931" t="s">
        <v>15274</v>
      </c>
      <c r="AB3931" t="s">
        <v>15274</v>
      </c>
      <c r="AC3931">
        <v>91</v>
      </c>
      <c r="AD3931" t="s">
        <v>19566</v>
      </c>
      <c r="AE3931" t="s">
        <v>9144</v>
      </c>
      <c r="AF3931">
        <v>25</v>
      </c>
      <c r="AG3931">
        <v>2</v>
      </c>
      <c r="AH3931">
        <v>0</v>
      </c>
      <c r="AI3931">
        <v>141.93</v>
      </c>
      <c r="AL3931" t="s">
        <v>19615</v>
      </c>
      <c r="AM3931">
        <v>24000</v>
      </c>
      <c r="AS3931">
        <v>26.05</v>
      </c>
      <c r="AT3931" t="s">
        <v>321</v>
      </c>
      <c r="AU3931" t="s">
        <v>59</v>
      </c>
      <c r="AV3931" t="s">
        <v>20733</v>
      </c>
    </row>
    <row r="3932" spans="1:48">
      <c r="A3932" s="1">
        <f>HYPERLINK("https://lsnyc.legalserver.org/matter/dynamic-profile/view/1914982","19-1914982")</f>
        <v>0</v>
      </c>
      <c r="B3932" t="s">
        <v>133</v>
      </c>
      <c r="C3932" t="s">
        <v>256</v>
      </c>
      <c r="D3932" t="s">
        <v>377</v>
      </c>
      <c r="F3932" t="s">
        <v>1457</v>
      </c>
      <c r="G3932" t="s">
        <v>3536</v>
      </c>
      <c r="H3932" t="s">
        <v>7507</v>
      </c>
      <c r="I3932" t="s">
        <v>8170</v>
      </c>
      <c r="J3932" t="s">
        <v>9067</v>
      </c>
      <c r="K3932">
        <v>10040</v>
      </c>
      <c r="L3932" t="s">
        <v>9094</v>
      </c>
      <c r="M3932" t="s">
        <v>9095</v>
      </c>
      <c r="O3932" t="s">
        <v>11133</v>
      </c>
      <c r="P3932" t="s">
        <v>11167</v>
      </c>
      <c r="R3932" t="s">
        <v>11180</v>
      </c>
      <c r="S3932" t="s">
        <v>9096</v>
      </c>
      <c r="T3932" t="s">
        <v>11183</v>
      </c>
      <c r="V3932" t="s">
        <v>377</v>
      </c>
      <c r="W3932">
        <v>1353.72</v>
      </c>
      <c r="X3932" t="s">
        <v>11335</v>
      </c>
      <c r="Y3932" t="s">
        <v>11340</v>
      </c>
      <c r="Z3932" t="s">
        <v>13966</v>
      </c>
      <c r="AB3932" t="s">
        <v>18296</v>
      </c>
      <c r="AC3932">
        <v>45</v>
      </c>
      <c r="AD3932" t="s">
        <v>19566</v>
      </c>
      <c r="AE3932" t="s">
        <v>19587</v>
      </c>
      <c r="AF3932">
        <v>34</v>
      </c>
      <c r="AG3932">
        <v>2</v>
      </c>
      <c r="AH3932">
        <v>0</v>
      </c>
      <c r="AI3932">
        <v>141.93</v>
      </c>
      <c r="AL3932" t="s">
        <v>19615</v>
      </c>
      <c r="AM3932">
        <v>24000</v>
      </c>
      <c r="AS3932">
        <v>2.9</v>
      </c>
      <c r="AT3932" t="s">
        <v>377</v>
      </c>
      <c r="AU3932" t="s">
        <v>130</v>
      </c>
      <c r="AV3932" t="s">
        <v>20733</v>
      </c>
    </row>
    <row r="3933" spans="1:48">
      <c r="A3933" s="1">
        <f>HYPERLINK("https://lsnyc.legalserver.org/matter/dynamic-profile/view/1908662","19-1908662")</f>
        <v>0</v>
      </c>
      <c r="B3933" t="s">
        <v>142</v>
      </c>
      <c r="C3933" t="s">
        <v>256</v>
      </c>
      <c r="D3933" t="s">
        <v>326</v>
      </c>
      <c r="F3933" t="s">
        <v>1534</v>
      </c>
      <c r="G3933" t="s">
        <v>3910</v>
      </c>
      <c r="H3933" t="s">
        <v>6326</v>
      </c>
      <c r="I3933" t="s">
        <v>8262</v>
      </c>
      <c r="J3933" t="s">
        <v>9067</v>
      </c>
      <c r="K3933">
        <v>10035</v>
      </c>
      <c r="L3933" t="s">
        <v>9094</v>
      </c>
      <c r="M3933" t="s">
        <v>9095</v>
      </c>
      <c r="N3933" t="s">
        <v>10571</v>
      </c>
      <c r="O3933" t="s">
        <v>11130</v>
      </c>
      <c r="P3933" t="s">
        <v>11165</v>
      </c>
      <c r="R3933" t="s">
        <v>11180</v>
      </c>
      <c r="S3933" t="s">
        <v>9094</v>
      </c>
      <c r="T3933" t="s">
        <v>11183</v>
      </c>
      <c r="U3933" t="s">
        <v>11201</v>
      </c>
      <c r="V3933" t="s">
        <v>326</v>
      </c>
      <c r="W3933">
        <v>1133.6</v>
      </c>
      <c r="X3933" t="s">
        <v>11335</v>
      </c>
      <c r="Y3933" t="s">
        <v>11339</v>
      </c>
      <c r="Z3933" t="s">
        <v>13967</v>
      </c>
      <c r="AB3933" t="s">
        <v>18297</v>
      </c>
      <c r="AC3933">
        <v>72</v>
      </c>
      <c r="AD3933" t="s">
        <v>19566</v>
      </c>
      <c r="AE3933" t="s">
        <v>9144</v>
      </c>
      <c r="AF3933">
        <v>9</v>
      </c>
      <c r="AG3933">
        <v>2</v>
      </c>
      <c r="AH3933">
        <v>0</v>
      </c>
      <c r="AI3933">
        <v>141.93</v>
      </c>
      <c r="AL3933" t="s">
        <v>19614</v>
      </c>
      <c r="AM3933">
        <v>24000</v>
      </c>
      <c r="AS3933">
        <v>0</v>
      </c>
      <c r="AU3933" t="s">
        <v>20657</v>
      </c>
      <c r="AV3933" t="s">
        <v>20733</v>
      </c>
    </row>
    <row r="3934" spans="1:48">
      <c r="A3934" s="1">
        <f>HYPERLINK("https://lsnyc.legalserver.org/matter/dynamic-profile/view/1903544","19-1903544")</f>
        <v>0</v>
      </c>
      <c r="B3934" t="s">
        <v>133</v>
      </c>
      <c r="C3934" t="s">
        <v>256</v>
      </c>
      <c r="D3934" t="s">
        <v>750</v>
      </c>
      <c r="F3934" t="s">
        <v>2464</v>
      </c>
      <c r="G3934" t="s">
        <v>3540</v>
      </c>
      <c r="H3934" t="s">
        <v>6625</v>
      </c>
      <c r="I3934">
        <v>5</v>
      </c>
      <c r="J3934" t="s">
        <v>9067</v>
      </c>
      <c r="K3934">
        <v>10034</v>
      </c>
      <c r="L3934" t="s">
        <v>9094</v>
      </c>
      <c r="M3934" t="s">
        <v>9095</v>
      </c>
      <c r="O3934" t="s">
        <v>11133</v>
      </c>
      <c r="P3934" t="s">
        <v>11167</v>
      </c>
      <c r="R3934" t="s">
        <v>11180</v>
      </c>
      <c r="S3934" t="s">
        <v>9096</v>
      </c>
      <c r="T3934" t="s">
        <v>11183</v>
      </c>
      <c r="V3934" t="s">
        <v>750</v>
      </c>
      <c r="W3934">
        <v>694.16</v>
      </c>
      <c r="X3934" t="s">
        <v>11335</v>
      </c>
      <c r="Y3934" t="s">
        <v>11340</v>
      </c>
      <c r="Z3934" t="s">
        <v>13526</v>
      </c>
      <c r="AB3934" t="s">
        <v>17863</v>
      </c>
      <c r="AC3934">
        <v>25</v>
      </c>
      <c r="AE3934" t="s">
        <v>19587</v>
      </c>
      <c r="AF3934">
        <v>0</v>
      </c>
      <c r="AG3934">
        <v>2</v>
      </c>
      <c r="AH3934">
        <v>0</v>
      </c>
      <c r="AI3934">
        <v>141.93</v>
      </c>
      <c r="AL3934" t="s">
        <v>19614</v>
      </c>
      <c r="AM3934">
        <v>24000</v>
      </c>
      <c r="AS3934">
        <v>8.300000000000001</v>
      </c>
      <c r="AT3934" t="s">
        <v>270</v>
      </c>
      <c r="AU3934" t="s">
        <v>130</v>
      </c>
      <c r="AV3934" t="s">
        <v>20733</v>
      </c>
    </row>
    <row r="3935" spans="1:48">
      <c r="A3935" s="1">
        <f>HYPERLINK("https://lsnyc.legalserver.org/matter/dynamic-profile/view/1912300","19-1912300")</f>
        <v>0</v>
      </c>
      <c r="B3935" t="s">
        <v>130</v>
      </c>
      <c r="C3935" t="s">
        <v>256</v>
      </c>
      <c r="D3935" t="s">
        <v>309</v>
      </c>
      <c r="F3935" t="s">
        <v>2164</v>
      </c>
      <c r="G3935" t="s">
        <v>4940</v>
      </c>
      <c r="H3935" t="s">
        <v>7508</v>
      </c>
      <c r="I3935">
        <v>204</v>
      </c>
      <c r="J3935" t="s">
        <v>9067</v>
      </c>
      <c r="K3935">
        <v>10019</v>
      </c>
      <c r="L3935" t="s">
        <v>9095</v>
      </c>
      <c r="M3935" t="s">
        <v>9095</v>
      </c>
      <c r="R3935" t="s">
        <v>11181</v>
      </c>
      <c r="S3935" t="s">
        <v>9096</v>
      </c>
      <c r="T3935" t="s">
        <v>11183</v>
      </c>
      <c r="W3935">
        <v>0</v>
      </c>
      <c r="X3935" t="s">
        <v>11335</v>
      </c>
      <c r="Z3935" t="s">
        <v>13968</v>
      </c>
      <c r="AB3935" t="s">
        <v>18298</v>
      </c>
      <c r="AC3935">
        <v>0</v>
      </c>
      <c r="AF3935">
        <v>0</v>
      </c>
      <c r="AG3935">
        <v>1</v>
      </c>
      <c r="AH3935">
        <v>1</v>
      </c>
      <c r="AI3935">
        <v>141.93</v>
      </c>
      <c r="AJ3935" t="s">
        <v>19591</v>
      </c>
      <c r="AK3935" t="s">
        <v>19608</v>
      </c>
      <c r="AL3935" t="s">
        <v>19614</v>
      </c>
      <c r="AM3935">
        <v>24000</v>
      </c>
      <c r="AS3935">
        <v>0</v>
      </c>
      <c r="AU3935" t="s">
        <v>130</v>
      </c>
    </row>
    <row r="3936" spans="1:48">
      <c r="A3936" s="1">
        <f>HYPERLINK("https://lsnyc.legalserver.org/matter/dynamic-profile/view/1883827","18-1883827")</f>
        <v>0</v>
      </c>
      <c r="B3936" t="s">
        <v>234</v>
      </c>
      <c r="C3936" t="s">
        <v>256</v>
      </c>
      <c r="D3936" t="s">
        <v>511</v>
      </c>
      <c r="F3936" t="s">
        <v>2686</v>
      </c>
      <c r="G3936" t="s">
        <v>3762</v>
      </c>
      <c r="H3936" t="s">
        <v>7509</v>
      </c>
      <c r="I3936">
        <v>905</v>
      </c>
      <c r="J3936" t="s">
        <v>9067</v>
      </c>
      <c r="K3936">
        <v>10029</v>
      </c>
      <c r="L3936" t="s">
        <v>9094</v>
      </c>
      <c r="M3936" t="s">
        <v>9096</v>
      </c>
      <c r="O3936" t="s">
        <v>11156</v>
      </c>
      <c r="P3936" t="s">
        <v>11166</v>
      </c>
      <c r="R3936" t="s">
        <v>11180</v>
      </c>
      <c r="S3936" t="s">
        <v>9096</v>
      </c>
      <c r="T3936" t="s">
        <v>11183</v>
      </c>
      <c r="V3936" t="s">
        <v>511</v>
      </c>
      <c r="W3936">
        <v>860</v>
      </c>
      <c r="X3936" t="s">
        <v>11335</v>
      </c>
      <c r="Y3936" t="s">
        <v>11340</v>
      </c>
      <c r="Z3936" t="s">
        <v>13969</v>
      </c>
      <c r="AB3936" t="s">
        <v>18299</v>
      </c>
      <c r="AC3936">
        <v>31</v>
      </c>
      <c r="AD3936" t="s">
        <v>19570</v>
      </c>
      <c r="AE3936" t="s">
        <v>9144</v>
      </c>
      <c r="AF3936">
        <v>40</v>
      </c>
      <c r="AG3936">
        <v>1</v>
      </c>
      <c r="AH3936">
        <v>0</v>
      </c>
      <c r="AI3936">
        <v>141.94</v>
      </c>
      <c r="AL3936" t="s">
        <v>19615</v>
      </c>
      <c r="AM3936">
        <v>17232</v>
      </c>
      <c r="AS3936">
        <v>33.3</v>
      </c>
      <c r="AT3936" t="s">
        <v>703</v>
      </c>
      <c r="AU3936" t="s">
        <v>20655</v>
      </c>
    </row>
    <row r="3937" spans="1:48">
      <c r="A3937" s="1">
        <f>HYPERLINK("https://lsnyc.legalserver.org/matter/dynamic-profile/view/1889819","19-1889819")</f>
        <v>0</v>
      </c>
      <c r="B3937" t="s">
        <v>103</v>
      </c>
      <c r="C3937" t="s">
        <v>257</v>
      </c>
      <c r="D3937" t="s">
        <v>391</v>
      </c>
      <c r="E3937" t="s">
        <v>597</v>
      </c>
      <c r="F3937" t="s">
        <v>1346</v>
      </c>
      <c r="G3937" t="s">
        <v>3448</v>
      </c>
      <c r="H3937" t="s">
        <v>7510</v>
      </c>
      <c r="J3937" t="s">
        <v>9065</v>
      </c>
      <c r="K3937">
        <v>10463</v>
      </c>
      <c r="L3937" t="s">
        <v>9094</v>
      </c>
      <c r="M3937" t="s">
        <v>9094</v>
      </c>
      <c r="O3937" t="s">
        <v>11128</v>
      </c>
      <c r="P3937" t="s">
        <v>11164</v>
      </c>
      <c r="Q3937" t="s">
        <v>11172</v>
      </c>
      <c r="R3937" t="s">
        <v>11180</v>
      </c>
      <c r="S3937" t="s">
        <v>9096</v>
      </c>
      <c r="T3937" t="s">
        <v>11183</v>
      </c>
      <c r="V3937" t="s">
        <v>11218</v>
      </c>
      <c r="W3937">
        <v>900</v>
      </c>
      <c r="X3937" t="s">
        <v>11333</v>
      </c>
      <c r="Y3937" t="s">
        <v>11346</v>
      </c>
      <c r="Z3937" t="s">
        <v>11719</v>
      </c>
      <c r="AB3937" t="s">
        <v>18300</v>
      </c>
      <c r="AC3937">
        <v>61</v>
      </c>
      <c r="AD3937" t="s">
        <v>15441</v>
      </c>
      <c r="AE3937" t="s">
        <v>9144</v>
      </c>
      <c r="AF3937">
        <v>10</v>
      </c>
      <c r="AG3937">
        <v>2</v>
      </c>
      <c r="AH3937">
        <v>1</v>
      </c>
      <c r="AI3937">
        <v>142.09</v>
      </c>
      <c r="AL3937" t="s">
        <v>19615</v>
      </c>
      <c r="AM3937">
        <v>30308</v>
      </c>
      <c r="AS3937">
        <v>0.1</v>
      </c>
      <c r="AT3937" t="s">
        <v>597</v>
      </c>
      <c r="AU3937" t="s">
        <v>20642</v>
      </c>
      <c r="AV3937" t="s">
        <v>20733</v>
      </c>
    </row>
    <row r="3938" spans="1:48">
      <c r="A3938" s="1">
        <f>HYPERLINK("https://lsnyc.legalserver.org/matter/dynamic-profile/view/1864302","18-1864302")</f>
        <v>0</v>
      </c>
      <c r="B3938" t="s">
        <v>118</v>
      </c>
      <c r="C3938" t="s">
        <v>257</v>
      </c>
      <c r="D3938" t="s">
        <v>989</v>
      </c>
      <c r="E3938" t="s">
        <v>367</v>
      </c>
      <c r="F3938" t="s">
        <v>2667</v>
      </c>
      <c r="G3938" t="s">
        <v>4917</v>
      </c>
      <c r="H3938" t="s">
        <v>6158</v>
      </c>
      <c r="I3938" t="s">
        <v>8189</v>
      </c>
      <c r="J3938" t="s">
        <v>9065</v>
      </c>
      <c r="K3938">
        <v>10452</v>
      </c>
      <c r="L3938" t="s">
        <v>9094</v>
      </c>
      <c r="M3938" t="s">
        <v>9095</v>
      </c>
      <c r="O3938" t="s">
        <v>11137</v>
      </c>
      <c r="P3938" t="s">
        <v>11166</v>
      </c>
      <c r="Q3938" t="s">
        <v>11173</v>
      </c>
      <c r="R3938" t="s">
        <v>11180</v>
      </c>
      <c r="S3938" t="s">
        <v>9094</v>
      </c>
      <c r="T3938" t="s">
        <v>11183</v>
      </c>
      <c r="V3938" t="s">
        <v>745</v>
      </c>
      <c r="W3938">
        <v>1200</v>
      </c>
      <c r="X3938" t="s">
        <v>11333</v>
      </c>
      <c r="Y3938" t="s">
        <v>11346</v>
      </c>
      <c r="Z3938" t="s">
        <v>13925</v>
      </c>
      <c r="AB3938" t="s">
        <v>18253</v>
      </c>
      <c r="AC3938">
        <v>0</v>
      </c>
      <c r="AD3938" t="s">
        <v>19566</v>
      </c>
      <c r="AE3938" t="s">
        <v>9144</v>
      </c>
      <c r="AF3938">
        <v>12</v>
      </c>
      <c r="AG3938">
        <v>2</v>
      </c>
      <c r="AH3938">
        <v>0</v>
      </c>
      <c r="AI3938">
        <v>142.16</v>
      </c>
      <c r="AL3938" t="s">
        <v>19614</v>
      </c>
      <c r="AM3938">
        <v>23400</v>
      </c>
      <c r="AS3938">
        <v>1.3</v>
      </c>
      <c r="AT3938" t="s">
        <v>367</v>
      </c>
      <c r="AU3938" t="s">
        <v>174</v>
      </c>
      <c r="AV3938" t="s">
        <v>20733</v>
      </c>
    </row>
    <row r="3939" spans="1:48">
      <c r="A3939" s="1">
        <f>HYPERLINK("https://lsnyc.legalserver.org/matter/dynamic-profile/view/1850144","17-1850144")</f>
        <v>0</v>
      </c>
      <c r="B3939" t="s">
        <v>221</v>
      </c>
      <c r="C3939" t="s">
        <v>257</v>
      </c>
      <c r="D3939" t="s">
        <v>877</v>
      </c>
      <c r="E3939" t="s">
        <v>396</v>
      </c>
      <c r="F3939" t="s">
        <v>2687</v>
      </c>
      <c r="G3939" t="s">
        <v>4941</v>
      </c>
      <c r="H3939" t="s">
        <v>7511</v>
      </c>
      <c r="I3939">
        <v>9</v>
      </c>
      <c r="J3939" t="s">
        <v>9067</v>
      </c>
      <c r="K3939">
        <v>10032</v>
      </c>
      <c r="L3939" t="s">
        <v>9094</v>
      </c>
      <c r="M3939" t="s">
        <v>9095</v>
      </c>
      <c r="O3939" t="s">
        <v>11135</v>
      </c>
      <c r="P3939" t="s">
        <v>11166</v>
      </c>
      <c r="Q3939" t="s">
        <v>11177</v>
      </c>
      <c r="R3939" t="s">
        <v>11180</v>
      </c>
      <c r="T3939" t="s">
        <v>11183</v>
      </c>
      <c r="V3939" t="s">
        <v>734</v>
      </c>
      <c r="W3939">
        <v>768.64</v>
      </c>
      <c r="X3939" t="s">
        <v>11335</v>
      </c>
      <c r="Y3939" t="s">
        <v>11340</v>
      </c>
      <c r="Z3939" t="s">
        <v>13970</v>
      </c>
      <c r="AB3939" t="s">
        <v>18301</v>
      </c>
      <c r="AC3939">
        <v>0</v>
      </c>
      <c r="AD3939" t="s">
        <v>15441</v>
      </c>
      <c r="AE3939" t="s">
        <v>9144</v>
      </c>
      <c r="AF3939">
        <v>13</v>
      </c>
      <c r="AG3939">
        <v>2</v>
      </c>
      <c r="AH3939">
        <v>0</v>
      </c>
      <c r="AI3939">
        <v>142.19</v>
      </c>
      <c r="AL3939" t="s">
        <v>19615</v>
      </c>
      <c r="AM3939">
        <v>23092</v>
      </c>
      <c r="AS3939">
        <v>33.1</v>
      </c>
      <c r="AT3939" t="s">
        <v>402</v>
      </c>
      <c r="AU3939" t="s">
        <v>20655</v>
      </c>
    </row>
    <row r="3940" spans="1:48">
      <c r="A3940" s="1">
        <f>HYPERLINK("https://lsnyc.legalserver.org/matter/dynamic-profile/view/1878495","18-1878495")</f>
        <v>0</v>
      </c>
      <c r="B3940" t="s">
        <v>136</v>
      </c>
      <c r="C3940" t="s">
        <v>257</v>
      </c>
      <c r="D3940" t="s">
        <v>768</v>
      </c>
      <c r="E3940" t="s">
        <v>706</v>
      </c>
      <c r="F3940" t="s">
        <v>2075</v>
      </c>
      <c r="G3940" t="s">
        <v>3630</v>
      </c>
      <c r="H3940" t="s">
        <v>7512</v>
      </c>
      <c r="I3940" t="s">
        <v>8151</v>
      </c>
      <c r="J3940" t="s">
        <v>9067</v>
      </c>
      <c r="K3940">
        <v>10035</v>
      </c>
      <c r="L3940" t="s">
        <v>9094</v>
      </c>
      <c r="M3940" t="s">
        <v>9094</v>
      </c>
      <c r="N3940" t="s">
        <v>10572</v>
      </c>
      <c r="O3940" t="s">
        <v>11129</v>
      </c>
      <c r="P3940" t="s">
        <v>11165</v>
      </c>
      <c r="Q3940" t="s">
        <v>11174</v>
      </c>
      <c r="R3940" t="s">
        <v>11180</v>
      </c>
      <c r="S3940" t="s">
        <v>9096</v>
      </c>
      <c r="T3940" t="s">
        <v>11183</v>
      </c>
      <c r="U3940" t="s">
        <v>11201</v>
      </c>
      <c r="V3940" t="s">
        <v>846</v>
      </c>
      <c r="W3940">
        <v>648</v>
      </c>
      <c r="X3940" t="s">
        <v>11335</v>
      </c>
      <c r="Y3940" t="s">
        <v>11338</v>
      </c>
      <c r="Z3940" t="s">
        <v>13971</v>
      </c>
      <c r="AB3940" t="s">
        <v>18302</v>
      </c>
      <c r="AC3940">
        <v>11</v>
      </c>
      <c r="AD3940" t="s">
        <v>19566</v>
      </c>
      <c r="AE3940" t="s">
        <v>19587</v>
      </c>
      <c r="AF3940">
        <v>38</v>
      </c>
      <c r="AG3940">
        <v>2</v>
      </c>
      <c r="AH3940">
        <v>1</v>
      </c>
      <c r="AI3940">
        <v>142.23</v>
      </c>
      <c r="AL3940" t="s">
        <v>19614</v>
      </c>
      <c r="AM3940">
        <v>29556</v>
      </c>
      <c r="AO3940" t="s">
        <v>20290</v>
      </c>
      <c r="AS3940">
        <v>66.90000000000001</v>
      </c>
      <c r="AT3940" t="s">
        <v>700</v>
      </c>
      <c r="AU3940" t="s">
        <v>20657</v>
      </c>
      <c r="AV3940" t="s">
        <v>20733</v>
      </c>
    </row>
    <row r="3941" spans="1:48">
      <c r="A3941" s="1">
        <f>HYPERLINK("https://lsnyc.legalserver.org/matter/dynamic-profile/view/1833789","17-1833789")</f>
        <v>0</v>
      </c>
      <c r="B3941" t="s">
        <v>145</v>
      </c>
      <c r="C3941" t="s">
        <v>257</v>
      </c>
      <c r="D3941" t="s">
        <v>888</v>
      </c>
      <c r="E3941" t="s">
        <v>290</v>
      </c>
      <c r="F3941" t="s">
        <v>2688</v>
      </c>
      <c r="G3941" t="s">
        <v>4576</v>
      </c>
      <c r="H3941" t="s">
        <v>7334</v>
      </c>
      <c r="I3941" t="s">
        <v>8176</v>
      </c>
      <c r="J3941" t="s">
        <v>9067</v>
      </c>
      <c r="K3941">
        <v>10029</v>
      </c>
      <c r="L3941" t="s">
        <v>9094</v>
      </c>
      <c r="M3941" t="s">
        <v>9095</v>
      </c>
      <c r="N3941" t="s">
        <v>10573</v>
      </c>
      <c r="O3941" t="s">
        <v>11129</v>
      </c>
      <c r="P3941" t="s">
        <v>11165</v>
      </c>
      <c r="Q3941" t="s">
        <v>11174</v>
      </c>
      <c r="R3941" t="s">
        <v>11180</v>
      </c>
      <c r="S3941" t="s">
        <v>9096</v>
      </c>
      <c r="T3941" t="s">
        <v>11183</v>
      </c>
      <c r="V3941" t="s">
        <v>537</v>
      </c>
      <c r="W3941">
        <v>1447</v>
      </c>
      <c r="X3941" t="s">
        <v>11335</v>
      </c>
      <c r="Y3941" t="s">
        <v>11349</v>
      </c>
      <c r="Z3941" t="s">
        <v>13972</v>
      </c>
      <c r="AA3941" t="s">
        <v>15832</v>
      </c>
      <c r="AB3941" t="s">
        <v>18303</v>
      </c>
      <c r="AC3941">
        <v>8</v>
      </c>
      <c r="AD3941" t="s">
        <v>19566</v>
      </c>
      <c r="AE3941" t="s">
        <v>9144</v>
      </c>
      <c r="AF3941">
        <v>6</v>
      </c>
      <c r="AG3941">
        <v>2</v>
      </c>
      <c r="AH3941">
        <v>2</v>
      </c>
      <c r="AI3941">
        <v>142.28</v>
      </c>
      <c r="AL3941" t="s">
        <v>19614</v>
      </c>
      <c r="AM3941">
        <v>35000</v>
      </c>
      <c r="AS3941">
        <v>94.53</v>
      </c>
      <c r="AT3941" t="s">
        <v>20607</v>
      </c>
      <c r="AU3941" t="s">
        <v>20657</v>
      </c>
      <c r="AV3941" t="s">
        <v>20734</v>
      </c>
    </row>
    <row r="3942" spans="1:48">
      <c r="A3942" s="1">
        <f>HYPERLINK("https://lsnyc.legalserver.org/matter/dynamic-profile/view/1906974","19-1906974")</f>
        <v>0</v>
      </c>
      <c r="B3942" t="s">
        <v>100</v>
      </c>
      <c r="C3942" t="s">
        <v>256</v>
      </c>
      <c r="D3942" t="s">
        <v>676</v>
      </c>
      <c r="F3942" t="s">
        <v>2689</v>
      </c>
      <c r="G3942" t="s">
        <v>4602</v>
      </c>
      <c r="H3942" t="s">
        <v>7513</v>
      </c>
      <c r="I3942" t="s">
        <v>8149</v>
      </c>
      <c r="J3942" t="s">
        <v>9065</v>
      </c>
      <c r="K3942">
        <v>10460</v>
      </c>
      <c r="L3942" t="s">
        <v>9094</v>
      </c>
      <c r="M3942" t="s">
        <v>9095</v>
      </c>
      <c r="N3942" t="s">
        <v>9144</v>
      </c>
      <c r="O3942" t="s">
        <v>11129</v>
      </c>
      <c r="P3942" t="s">
        <v>11169</v>
      </c>
      <c r="R3942" t="s">
        <v>11180</v>
      </c>
      <c r="S3942" t="s">
        <v>9096</v>
      </c>
      <c r="T3942" t="s">
        <v>11183</v>
      </c>
      <c r="U3942" t="s">
        <v>11202</v>
      </c>
      <c r="W3942">
        <v>0</v>
      </c>
      <c r="X3942" t="s">
        <v>11333</v>
      </c>
      <c r="Z3942" t="s">
        <v>13973</v>
      </c>
      <c r="AC3942">
        <v>25</v>
      </c>
      <c r="AD3942" t="s">
        <v>19566</v>
      </c>
      <c r="AE3942" t="s">
        <v>19581</v>
      </c>
      <c r="AF3942">
        <v>4</v>
      </c>
      <c r="AG3942">
        <v>1</v>
      </c>
      <c r="AH3942">
        <v>0</v>
      </c>
      <c r="AI3942">
        <v>142.39</v>
      </c>
      <c r="AL3942" t="s">
        <v>19614</v>
      </c>
      <c r="AM3942">
        <v>17784</v>
      </c>
      <c r="AS3942">
        <v>3.75</v>
      </c>
      <c r="AT3942" t="s">
        <v>472</v>
      </c>
      <c r="AU3942" t="s">
        <v>20647</v>
      </c>
      <c r="AV3942" t="s">
        <v>20733</v>
      </c>
    </row>
    <row r="3943" spans="1:48">
      <c r="A3943" s="1">
        <f>HYPERLINK("https://lsnyc.legalserver.org/matter/dynamic-profile/view/1909025","19-1909025")</f>
        <v>0</v>
      </c>
      <c r="B3943" t="s">
        <v>59</v>
      </c>
      <c r="C3943" t="s">
        <v>257</v>
      </c>
      <c r="D3943" t="s">
        <v>669</v>
      </c>
      <c r="E3943" t="s">
        <v>446</v>
      </c>
      <c r="F3943" t="s">
        <v>1144</v>
      </c>
      <c r="G3943" t="s">
        <v>4942</v>
      </c>
      <c r="H3943" t="s">
        <v>7514</v>
      </c>
      <c r="I3943">
        <v>1611</v>
      </c>
      <c r="J3943" t="s">
        <v>9037</v>
      </c>
      <c r="K3943">
        <v>11692</v>
      </c>
      <c r="L3943" t="s">
        <v>9094</v>
      </c>
      <c r="M3943" t="s">
        <v>9095</v>
      </c>
      <c r="O3943" t="s">
        <v>11140</v>
      </c>
      <c r="P3943" t="s">
        <v>11164</v>
      </c>
      <c r="Q3943" t="s">
        <v>11172</v>
      </c>
      <c r="R3943" t="s">
        <v>11180</v>
      </c>
      <c r="S3943" t="s">
        <v>9096</v>
      </c>
      <c r="T3943" t="s">
        <v>11183</v>
      </c>
      <c r="V3943" t="s">
        <v>425</v>
      </c>
      <c r="W3943">
        <v>1981</v>
      </c>
      <c r="X3943" t="s">
        <v>11331</v>
      </c>
      <c r="Y3943" t="s">
        <v>11340</v>
      </c>
      <c r="Z3943" t="s">
        <v>13974</v>
      </c>
      <c r="AB3943" t="s">
        <v>18304</v>
      </c>
      <c r="AC3943">
        <v>209</v>
      </c>
      <c r="AE3943" t="s">
        <v>19580</v>
      </c>
      <c r="AF3943">
        <v>4</v>
      </c>
      <c r="AG3943">
        <v>2</v>
      </c>
      <c r="AH3943">
        <v>0</v>
      </c>
      <c r="AI3943">
        <v>142.42</v>
      </c>
      <c r="AL3943" t="s">
        <v>19614</v>
      </c>
      <c r="AM3943">
        <v>24084</v>
      </c>
      <c r="AS3943">
        <v>2.95</v>
      </c>
      <c r="AT3943" t="s">
        <v>446</v>
      </c>
      <c r="AU3943" t="s">
        <v>20627</v>
      </c>
      <c r="AV3943" t="s">
        <v>20733</v>
      </c>
    </row>
    <row r="3944" spans="1:48">
      <c r="A3944" s="1">
        <f>HYPERLINK("https://lsnyc.legalserver.org/matter/dynamic-profile/view/1897516","19-1897516")</f>
        <v>0</v>
      </c>
      <c r="B3944" t="s">
        <v>70</v>
      </c>
      <c r="C3944" t="s">
        <v>256</v>
      </c>
      <c r="D3944" t="s">
        <v>318</v>
      </c>
      <c r="F3944" t="s">
        <v>2690</v>
      </c>
      <c r="G3944" t="s">
        <v>4943</v>
      </c>
      <c r="H3944" t="s">
        <v>5748</v>
      </c>
      <c r="I3944" t="s">
        <v>8626</v>
      </c>
      <c r="J3944" t="s">
        <v>9059</v>
      </c>
      <c r="K3944">
        <v>11233</v>
      </c>
      <c r="L3944" t="s">
        <v>9094</v>
      </c>
      <c r="M3944" t="s">
        <v>9096</v>
      </c>
      <c r="N3944" t="s">
        <v>9145</v>
      </c>
      <c r="O3944" t="s">
        <v>11134</v>
      </c>
      <c r="P3944" t="s">
        <v>11168</v>
      </c>
      <c r="R3944" t="s">
        <v>11180</v>
      </c>
      <c r="S3944" t="s">
        <v>9094</v>
      </c>
      <c r="T3944" t="s">
        <v>11183</v>
      </c>
      <c r="U3944" t="s">
        <v>11201</v>
      </c>
      <c r="V3944" t="s">
        <v>482</v>
      </c>
      <c r="W3944">
        <v>0</v>
      </c>
      <c r="X3944" t="s">
        <v>11332</v>
      </c>
      <c r="Z3944" t="s">
        <v>13975</v>
      </c>
      <c r="AC3944">
        <v>359</v>
      </c>
      <c r="AD3944" t="s">
        <v>19566</v>
      </c>
      <c r="AF3944">
        <v>0</v>
      </c>
      <c r="AG3944">
        <v>2</v>
      </c>
      <c r="AH3944">
        <v>3</v>
      </c>
      <c r="AI3944">
        <v>142.53</v>
      </c>
      <c r="AL3944" t="s">
        <v>11157</v>
      </c>
      <c r="AM3944">
        <v>43000</v>
      </c>
      <c r="AN3944" t="s">
        <v>19644</v>
      </c>
      <c r="AS3944">
        <v>0</v>
      </c>
      <c r="AU3944" t="s">
        <v>95</v>
      </c>
    </row>
    <row r="3945" spans="1:48">
      <c r="A3945" s="1">
        <f>HYPERLINK("https://lsnyc.legalserver.org/matter/dynamic-profile/view/1897517","19-1897517")</f>
        <v>0</v>
      </c>
      <c r="B3945" t="s">
        <v>70</v>
      </c>
      <c r="C3945" t="s">
        <v>256</v>
      </c>
      <c r="D3945" t="s">
        <v>318</v>
      </c>
      <c r="F3945" t="s">
        <v>2690</v>
      </c>
      <c r="G3945" t="s">
        <v>4943</v>
      </c>
      <c r="H3945" t="s">
        <v>5748</v>
      </c>
      <c r="I3945" t="s">
        <v>8626</v>
      </c>
      <c r="J3945" t="s">
        <v>9059</v>
      </c>
      <c r="K3945">
        <v>11233</v>
      </c>
      <c r="L3945" t="s">
        <v>9094</v>
      </c>
      <c r="M3945" t="s">
        <v>9096</v>
      </c>
      <c r="O3945" t="s">
        <v>11137</v>
      </c>
      <c r="P3945" t="s">
        <v>11167</v>
      </c>
      <c r="R3945" t="s">
        <v>11180</v>
      </c>
      <c r="S3945" t="s">
        <v>9096</v>
      </c>
      <c r="T3945" t="s">
        <v>11183</v>
      </c>
      <c r="U3945" t="s">
        <v>11201</v>
      </c>
      <c r="V3945" t="s">
        <v>749</v>
      </c>
      <c r="W3945">
        <v>0</v>
      </c>
      <c r="X3945" t="s">
        <v>11332</v>
      </c>
      <c r="Z3945" t="s">
        <v>13975</v>
      </c>
      <c r="AC3945">
        <v>359</v>
      </c>
      <c r="AD3945" t="s">
        <v>19566</v>
      </c>
      <c r="AF3945">
        <v>0</v>
      </c>
      <c r="AG3945">
        <v>2</v>
      </c>
      <c r="AH3945">
        <v>3</v>
      </c>
      <c r="AI3945">
        <v>142.53</v>
      </c>
      <c r="AL3945" t="s">
        <v>11157</v>
      </c>
      <c r="AM3945">
        <v>43000</v>
      </c>
      <c r="AN3945" t="s">
        <v>19990</v>
      </c>
      <c r="AS3945">
        <v>0</v>
      </c>
      <c r="AU3945" t="s">
        <v>95</v>
      </c>
    </row>
    <row r="3946" spans="1:48">
      <c r="A3946" s="1">
        <f>HYPERLINK("https://lsnyc.legalserver.org/matter/dynamic-profile/view/1852418","17-1852418")</f>
        <v>0</v>
      </c>
      <c r="B3946" t="s">
        <v>103</v>
      </c>
      <c r="C3946" t="s">
        <v>256</v>
      </c>
      <c r="D3946" t="s">
        <v>924</v>
      </c>
      <c r="F3946" t="s">
        <v>1554</v>
      </c>
      <c r="G3946" t="s">
        <v>3818</v>
      </c>
      <c r="H3946" t="s">
        <v>6413</v>
      </c>
      <c r="I3946" t="s">
        <v>8264</v>
      </c>
      <c r="J3946" t="s">
        <v>9065</v>
      </c>
      <c r="K3946">
        <v>10456</v>
      </c>
      <c r="L3946" t="s">
        <v>9094</v>
      </c>
      <c r="M3946" t="s">
        <v>9095</v>
      </c>
      <c r="N3946" t="s">
        <v>9740</v>
      </c>
      <c r="O3946" t="s">
        <v>11135</v>
      </c>
      <c r="P3946" t="s">
        <v>11168</v>
      </c>
      <c r="R3946" t="s">
        <v>11180</v>
      </c>
      <c r="S3946" t="s">
        <v>9094</v>
      </c>
      <c r="T3946" t="s">
        <v>11183</v>
      </c>
      <c r="V3946" t="s">
        <v>924</v>
      </c>
      <c r="W3946">
        <v>1380</v>
      </c>
      <c r="X3946" t="s">
        <v>11333</v>
      </c>
      <c r="Y3946" t="s">
        <v>11346</v>
      </c>
      <c r="Z3946" t="s">
        <v>12226</v>
      </c>
      <c r="AB3946" t="s">
        <v>16652</v>
      </c>
      <c r="AC3946">
        <v>61</v>
      </c>
      <c r="AD3946" t="s">
        <v>19566</v>
      </c>
      <c r="AE3946" t="s">
        <v>19580</v>
      </c>
      <c r="AF3946">
        <v>17</v>
      </c>
      <c r="AG3946">
        <v>3</v>
      </c>
      <c r="AH3946">
        <v>0</v>
      </c>
      <c r="AI3946">
        <v>142.61</v>
      </c>
      <c r="AJ3946" t="s">
        <v>19597</v>
      </c>
      <c r="AL3946" t="s">
        <v>19615</v>
      </c>
      <c r="AM3946">
        <v>29120</v>
      </c>
      <c r="AS3946">
        <v>0.75</v>
      </c>
      <c r="AT3946" t="s">
        <v>734</v>
      </c>
      <c r="AU3946" t="s">
        <v>20642</v>
      </c>
    </row>
    <row r="3947" spans="1:48">
      <c r="A3947" s="1">
        <f>HYPERLINK("https://lsnyc.legalserver.org/matter/dynamic-profile/view/1873786","18-1873786")</f>
        <v>0</v>
      </c>
      <c r="B3947" t="s">
        <v>138</v>
      </c>
      <c r="C3947" t="s">
        <v>256</v>
      </c>
      <c r="D3947" t="s">
        <v>555</v>
      </c>
      <c r="F3947" t="s">
        <v>2150</v>
      </c>
      <c r="G3947" t="s">
        <v>3536</v>
      </c>
      <c r="H3947" t="s">
        <v>7515</v>
      </c>
      <c r="I3947" t="s">
        <v>8160</v>
      </c>
      <c r="J3947" t="s">
        <v>9067</v>
      </c>
      <c r="K3947">
        <v>10033</v>
      </c>
      <c r="L3947" t="s">
        <v>9094</v>
      </c>
      <c r="M3947" t="s">
        <v>9094</v>
      </c>
      <c r="N3947" t="s">
        <v>10574</v>
      </c>
      <c r="O3947" t="s">
        <v>11129</v>
      </c>
      <c r="P3947" t="s">
        <v>11165</v>
      </c>
      <c r="R3947" t="s">
        <v>11180</v>
      </c>
      <c r="S3947" t="s">
        <v>9096</v>
      </c>
      <c r="T3947" t="s">
        <v>11183</v>
      </c>
      <c r="V3947" t="s">
        <v>555</v>
      </c>
      <c r="W3947">
        <v>787.03</v>
      </c>
      <c r="X3947" t="s">
        <v>11335</v>
      </c>
      <c r="Y3947" t="s">
        <v>11338</v>
      </c>
      <c r="Z3947" t="s">
        <v>13976</v>
      </c>
      <c r="AA3947" t="s">
        <v>15833</v>
      </c>
      <c r="AB3947" t="s">
        <v>18305</v>
      </c>
      <c r="AC3947">
        <v>16</v>
      </c>
      <c r="AD3947" t="s">
        <v>19566</v>
      </c>
      <c r="AE3947" t="s">
        <v>19587</v>
      </c>
      <c r="AF3947">
        <v>10</v>
      </c>
      <c r="AG3947">
        <v>2</v>
      </c>
      <c r="AH3947">
        <v>0</v>
      </c>
      <c r="AI3947">
        <v>142.75</v>
      </c>
      <c r="AL3947" t="s">
        <v>19614</v>
      </c>
      <c r="AM3947">
        <v>23496</v>
      </c>
      <c r="AS3947">
        <v>27</v>
      </c>
      <c r="AT3947" t="s">
        <v>282</v>
      </c>
      <c r="AU3947" t="s">
        <v>130</v>
      </c>
      <c r="AV3947" t="s">
        <v>20733</v>
      </c>
    </row>
    <row r="3948" spans="1:48">
      <c r="A3948" s="1">
        <f>HYPERLINK("https://lsnyc.legalserver.org/matter/dynamic-profile/view/1875981","18-1875981")</f>
        <v>0</v>
      </c>
      <c r="B3948" t="s">
        <v>103</v>
      </c>
      <c r="C3948" t="s">
        <v>256</v>
      </c>
      <c r="D3948" t="s">
        <v>349</v>
      </c>
      <c r="F3948" t="s">
        <v>1928</v>
      </c>
      <c r="G3948" t="s">
        <v>3405</v>
      </c>
      <c r="H3948" t="s">
        <v>6413</v>
      </c>
      <c r="I3948" t="s">
        <v>8139</v>
      </c>
      <c r="J3948" t="s">
        <v>9065</v>
      </c>
      <c r="K3948">
        <v>10456</v>
      </c>
      <c r="L3948" t="s">
        <v>9094</v>
      </c>
      <c r="M3948" t="s">
        <v>9094</v>
      </c>
      <c r="N3948" t="s">
        <v>9648</v>
      </c>
      <c r="O3948" t="s">
        <v>11134</v>
      </c>
      <c r="P3948" t="s">
        <v>11168</v>
      </c>
      <c r="R3948" t="s">
        <v>11180</v>
      </c>
      <c r="S3948" t="s">
        <v>9094</v>
      </c>
      <c r="T3948" t="s">
        <v>11183</v>
      </c>
      <c r="V3948" t="s">
        <v>945</v>
      </c>
      <c r="W3948">
        <v>1800</v>
      </c>
      <c r="X3948" t="s">
        <v>11333</v>
      </c>
      <c r="Y3948" t="s">
        <v>11346</v>
      </c>
      <c r="Z3948" t="s">
        <v>13977</v>
      </c>
      <c r="AB3948" t="s">
        <v>18306</v>
      </c>
      <c r="AC3948">
        <v>61</v>
      </c>
      <c r="AD3948" t="s">
        <v>19566</v>
      </c>
      <c r="AE3948" t="s">
        <v>9144</v>
      </c>
      <c r="AF3948">
        <v>1</v>
      </c>
      <c r="AG3948">
        <v>2</v>
      </c>
      <c r="AH3948">
        <v>3</v>
      </c>
      <c r="AI3948">
        <v>142.76</v>
      </c>
      <c r="AL3948" t="s">
        <v>19615</v>
      </c>
      <c r="AM3948">
        <v>42000</v>
      </c>
      <c r="AS3948">
        <v>0</v>
      </c>
      <c r="AU3948" t="s">
        <v>163</v>
      </c>
    </row>
    <row r="3949" spans="1:48">
      <c r="A3949" s="1">
        <f>HYPERLINK("https://lsnyc.legalserver.org/matter/dynamic-profile/view/1880612","18-1880612")</f>
        <v>0</v>
      </c>
      <c r="B3949" t="s">
        <v>103</v>
      </c>
      <c r="C3949" t="s">
        <v>256</v>
      </c>
      <c r="D3949" t="s">
        <v>477</v>
      </c>
      <c r="F3949" t="s">
        <v>1928</v>
      </c>
      <c r="G3949" t="s">
        <v>3405</v>
      </c>
      <c r="H3949" t="s">
        <v>6413</v>
      </c>
      <c r="I3949" t="s">
        <v>8139</v>
      </c>
      <c r="J3949" t="s">
        <v>9065</v>
      </c>
      <c r="K3949">
        <v>10456</v>
      </c>
      <c r="L3949" t="s">
        <v>9094</v>
      </c>
      <c r="M3949" t="s">
        <v>9094</v>
      </c>
      <c r="N3949" t="s">
        <v>9732</v>
      </c>
      <c r="O3949" t="s">
        <v>11134</v>
      </c>
      <c r="P3949" t="s">
        <v>11168</v>
      </c>
      <c r="R3949" t="s">
        <v>11180</v>
      </c>
      <c r="S3949" t="s">
        <v>9094</v>
      </c>
      <c r="T3949" t="s">
        <v>11183</v>
      </c>
      <c r="V3949" t="s">
        <v>617</v>
      </c>
      <c r="W3949">
        <v>1800</v>
      </c>
      <c r="X3949" t="s">
        <v>11333</v>
      </c>
      <c r="Y3949" t="s">
        <v>11346</v>
      </c>
      <c r="Z3949" t="s">
        <v>13977</v>
      </c>
      <c r="AB3949" t="s">
        <v>18306</v>
      </c>
      <c r="AC3949">
        <v>61</v>
      </c>
      <c r="AD3949" t="s">
        <v>19566</v>
      </c>
      <c r="AE3949" t="s">
        <v>9144</v>
      </c>
      <c r="AF3949">
        <v>2</v>
      </c>
      <c r="AG3949">
        <v>2</v>
      </c>
      <c r="AH3949">
        <v>3</v>
      </c>
      <c r="AI3949">
        <v>142.76</v>
      </c>
      <c r="AL3949" t="s">
        <v>19615</v>
      </c>
      <c r="AM3949">
        <v>42000</v>
      </c>
      <c r="AS3949">
        <v>0</v>
      </c>
      <c r="AU3949" t="s">
        <v>20642</v>
      </c>
    </row>
    <row r="3950" spans="1:48">
      <c r="A3950" s="1">
        <f>HYPERLINK("https://lsnyc.legalserver.org/matter/dynamic-profile/view/1909043","19-1909043")</f>
        <v>0</v>
      </c>
      <c r="B3950" t="s">
        <v>183</v>
      </c>
      <c r="C3950" t="s">
        <v>256</v>
      </c>
      <c r="D3950" t="s">
        <v>669</v>
      </c>
      <c r="F3950" t="s">
        <v>2691</v>
      </c>
      <c r="G3950" t="s">
        <v>4944</v>
      </c>
      <c r="H3950" t="s">
        <v>7516</v>
      </c>
      <c r="I3950" t="s">
        <v>8124</v>
      </c>
      <c r="J3950" t="s">
        <v>9067</v>
      </c>
      <c r="K3950">
        <v>10027</v>
      </c>
      <c r="L3950" t="s">
        <v>9095</v>
      </c>
      <c r="M3950" t="s">
        <v>9095</v>
      </c>
      <c r="R3950" t="s">
        <v>11180</v>
      </c>
      <c r="T3950" t="s">
        <v>11193</v>
      </c>
      <c r="W3950">
        <v>0</v>
      </c>
      <c r="X3950" t="s">
        <v>11335</v>
      </c>
      <c r="Z3950" t="s">
        <v>13978</v>
      </c>
      <c r="AB3950" t="s">
        <v>18307</v>
      </c>
      <c r="AC3950">
        <v>0</v>
      </c>
      <c r="AF3950">
        <v>0</v>
      </c>
      <c r="AG3950">
        <v>7</v>
      </c>
      <c r="AH3950">
        <v>1</v>
      </c>
      <c r="AI3950">
        <v>142.76</v>
      </c>
      <c r="AL3950" t="s">
        <v>19614</v>
      </c>
      <c r="AM3950">
        <v>62000</v>
      </c>
      <c r="AS3950">
        <v>1.5</v>
      </c>
      <c r="AT3950" t="s">
        <v>446</v>
      </c>
      <c r="AU3950" t="s">
        <v>183</v>
      </c>
    </row>
    <row r="3951" spans="1:48">
      <c r="A3951" s="1">
        <f>HYPERLINK("https://lsnyc.legalserver.org/matter/dynamic-profile/view/1845341","17-1845341")</f>
        <v>0</v>
      </c>
      <c r="B3951" t="s">
        <v>150</v>
      </c>
      <c r="C3951" t="s">
        <v>256</v>
      </c>
      <c r="D3951" t="s">
        <v>1045</v>
      </c>
      <c r="F3951" t="s">
        <v>2692</v>
      </c>
      <c r="G3951" t="s">
        <v>4945</v>
      </c>
      <c r="H3951" t="s">
        <v>6649</v>
      </c>
      <c r="I3951" t="s">
        <v>8172</v>
      </c>
      <c r="J3951" t="s">
        <v>9059</v>
      </c>
      <c r="K3951">
        <v>11213</v>
      </c>
      <c r="L3951" t="s">
        <v>9094</v>
      </c>
      <c r="M3951" t="s">
        <v>9095</v>
      </c>
      <c r="O3951" t="s">
        <v>11130</v>
      </c>
      <c r="P3951" t="s">
        <v>11165</v>
      </c>
      <c r="R3951" t="s">
        <v>11180</v>
      </c>
      <c r="S3951" t="s">
        <v>9094</v>
      </c>
      <c r="T3951" t="s">
        <v>11183</v>
      </c>
      <c r="V3951" t="s">
        <v>837</v>
      </c>
      <c r="W3951">
        <v>0</v>
      </c>
      <c r="X3951" t="s">
        <v>11332</v>
      </c>
      <c r="Z3951" t="s">
        <v>12215</v>
      </c>
      <c r="AC3951">
        <v>74</v>
      </c>
      <c r="AD3951" t="s">
        <v>19566</v>
      </c>
      <c r="AF3951">
        <v>0</v>
      </c>
      <c r="AG3951">
        <v>2</v>
      </c>
      <c r="AH3951">
        <v>1</v>
      </c>
      <c r="AI3951">
        <v>142.86</v>
      </c>
      <c r="AJ3951" t="s">
        <v>1108</v>
      </c>
      <c r="AL3951" t="s">
        <v>19614</v>
      </c>
      <c r="AM3951">
        <v>29172</v>
      </c>
      <c r="AS3951">
        <v>0</v>
      </c>
      <c r="AU3951" t="s">
        <v>20636</v>
      </c>
    </row>
    <row r="3952" spans="1:48">
      <c r="A3952" s="1">
        <f>HYPERLINK("https://lsnyc.legalserver.org/matter/dynamic-profile/view/1905014","19-1905014")</f>
        <v>0</v>
      </c>
      <c r="B3952" t="s">
        <v>52</v>
      </c>
      <c r="C3952" t="s">
        <v>256</v>
      </c>
      <c r="D3952" t="s">
        <v>660</v>
      </c>
      <c r="F3952" t="s">
        <v>2693</v>
      </c>
      <c r="G3952" t="s">
        <v>4946</v>
      </c>
      <c r="H3952" t="s">
        <v>7517</v>
      </c>
      <c r="I3952" t="s">
        <v>8275</v>
      </c>
      <c r="J3952" t="s">
        <v>9076</v>
      </c>
      <c r="K3952">
        <v>11418</v>
      </c>
      <c r="L3952" t="s">
        <v>9094</v>
      </c>
      <c r="M3952" t="s">
        <v>9095</v>
      </c>
      <c r="N3952" t="s">
        <v>10575</v>
      </c>
      <c r="O3952" t="s">
        <v>11128</v>
      </c>
      <c r="P3952" t="s">
        <v>11165</v>
      </c>
      <c r="R3952" t="s">
        <v>11180</v>
      </c>
      <c r="S3952" t="s">
        <v>9094</v>
      </c>
      <c r="T3952" t="s">
        <v>11183</v>
      </c>
      <c r="U3952" t="s">
        <v>11201</v>
      </c>
      <c r="V3952" t="s">
        <v>660</v>
      </c>
      <c r="W3952">
        <v>850</v>
      </c>
      <c r="X3952" t="s">
        <v>11331</v>
      </c>
      <c r="Y3952" t="s">
        <v>11336</v>
      </c>
      <c r="Z3952" t="s">
        <v>13979</v>
      </c>
      <c r="AA3952" t="s">
        <v>15834</v>
      </c>
      <c r="AB3952" t="s">
        <v>18308</v>
      </c>
      <c r="AC3952">
        <v>3</v>
      </c>
      <c r="AD3952" t="s">
        <v>19569</v>
      </c>
      <c r="AE3952" t="s">
        <v>11157</v>
      </c>
      <c r="AF3952">
        <v>25</v>
      </c>
      <c r="AG3952">
        <v>2</v>
      </c>
      <c r="AH3952">
        <v>0</v>
      </c>
      <c r="AI3952">
        <v>143.06</v>
      </c>
      <c r="AL3952" t="s">
        <v>19614</v>
      </c>
      <c r="AM3952">
        <v>24192</v>
      </c>
      <c r="AP3952" t="s">
        <v>11157</v>
      </c>
      <c r="AS3952">
        <v>5.05</v>
      </c>
      <c r="AT3952" t="s">
        <v>396</v>
      </c>
      <c r="AU3952" t="s">
        <v>20619</v>
      </c>
      <c r="AV3952" t="s">
        <v>20733</v>
      </c>
    </row>
    <row r="3953" spans="1:48">
      <c r="A3953" s="1">
        <f>HYPERLINK("https://lsnyc.legalserver.org/matter/dynamic-profile/view/1915356","19-1915356")</f>
        <v>0</v>
      </c>
      <c r="B3953" t="s">
        <v>135</v>
      </c>
      <c r="C3953" t="s">
        <v>256</v>
      </c>
      <c r="D3953" t="s">
        <v>487</v>
      </c>
      <c r="F3953" t="s">
        <v>1146</v>
      </c>
      <c r="G3953" t="s">
        <v>4290</v>
      </c>
      <c r="H3953" t="s">
        <v>7518</v>
      </c>
      <c r="I3953">
        <v>610</v>
      </c>
      <c r="J3953" t="s">
        <v>9067</v>
      </c>
      <c r="K3953">
        <v>10029</v>
      </c>
      <c r="L3953" t="s">
        <v>9094</v>
      </c>
      <c r="M3953" t="s">
        <v>9095</v>
      </c>
      <c r="O3953" t="s">
        <v>11130</v>
      </c>
      <c r="P3953" t="s">
        <v>11165</v>
      </c>
      <c r="R3953" t="s">
        <v>11180</v>
      </c>
      <c r="S3953" t="s">
        <v>9094</v>
      </c>
      <c r="T3953" t="s">
        <v>11183</v>
      </c>
      <c r="U3953" t="s">
        <v>11201</v>
      </c>
      <c r="V3953" t="s">
        <v>487</v>
      </c>
      <c r="W3953">
        <v>713</v>
      </c>
      <c r="X3953" t="s">
        <v>11335</v>
      </c>
      <c r="Y3953" t="s">
        <v>11340</v>
      </c>
      <c r="Z3953" t="s">
        <v>13980</v>
      </c>
      <c r="AC3953">
        <v>135</v>
      </c>
      <c r="AD3953" t="s">
        <v>19569</v>
      </c>
      <c r="AE3953" t="s">
        <v>9144</v>
      </c>
      <c r="AF3953">
        <v>36</v>
      </c>
      <c r="AG3953">
        <v>2</v>
      </c>
      <c r="AH3953">
        <v>2</v>
      </c>
      <c r="AI3953">
        <v>143.07</v>
      </c>
      <c r="AL3953" t="s">
        <v>19615</v>
      </c>
      <c r="AM3953">
        <v>36840</v>
      </c>
      <c r="AS3953">
        <v>0</v>
      </c>
      <c r="AU3953" t="s">
        <v>20657</v>
      </c>
      <c r="AV3953" t="s">
        <v>20733</v>
      </c>
    </row>
    <row r="3954" spans="1:48">
      <c r="A3954" s="1">
        <f>HYPERLINK("https://lsnyc.legalserver.org/matter/dynamic-profile/view/1913787","19-1913787")</f>
        <v>0</v>
      </c>
      <c r="B3954" t="s">
        <v>135</v>
      </c>
      <c r="C3954" t="s">
        <v>256</v>
      </c>
      <c r="D3954" t="s">
        <v>301</v>
      </c>
      <c r="F3954" t="s">
        <v>1146</v>
      </c>
      <c r="G3954" t="s">
        <v>4290</v>
      </c>
      <c r="H3954" t="s">
        <v>7518</v>
      </c>
      <c r="I3954">
        <v>610</v>
      </c>
      <c r="J3954" t="s">
        <v>9067</v>
      </c>
      <c r="K3954">
        <v>10029</v>
      </c>
      <c r="L3954" t="s">
        <v>9094</v>
      </c>
      <c r="M3954" t="s">
        <v>9095</v>
      </c>
      <c r="O3954" t="s">
        <v>9121</v>
      </c>
      <c r="P3954" t="s">
        <v>11167</v>
      </c>
      <c r="R3954" t="s">
        <v>11180</v>
      </c>
      <c r="S3954" t="s">
        <v>9094</v>
      </c>
      <c r="T3954" t="s">
        <v>11183</v>
      </c>
      <c r="U3954" t="s">
        <v>11201</v>
      </c>
      <c r="V3954" t="s">
        <v>484</v>
      </c>
      <c r="W3954">
        <v>713</v>
      </c>
      <c r="X3954" t="s">
        <v>11335</v>
      </c>
      <c r="Y3954" t="s">
        <v>11339</v>
      </c>
      <c r="Z3954" t="s">
        <v>13980</v>
      </c>
      <c r="AC3954">
        <v>135</v>
      </c>
      <c r="AD3954" t="s">
        <v>19569</v>
      </c>
      <c r="AE3954" t="s">
        <v>9144</v>
      </c>
      <c r="AF3954">
        <v>36</v>
      </c>
      <c r="AG3954">
        <v>2</v>
      </c>
      <c r="AH3954">
        <v>2</v>
      </c>
      <c r="AI3954">
        <v>143.07</v>
      </c>
      <c r="AL3954" t="s">
        <v>19615</v>
      </c>
      <c r="AM3954">
        <v>36840</v>
      </c>
      <c r="AS3954">
        <v>5</v>
      </c>
      <c r="AT3954" t="s">
        <v>377</v>
      </c>
      <c r="AU3954" t="s">
        <v>20657</v>
      </c>
      <c r="AV3954" t="s">
        <v>20733</v>
      </c>
    </row>
    <row r="3955" spans="1:48">
      <c r="A3955" s="1">
        <f>HYPERLINK("https://lsnyc.legalserver.org/matter/dynamic-profile/view/1914714","19-1914714")</f>
        <v>0</v>
      </c>
      <c r="B3955" t="s">
        <v>135</v>
      </c>
      <c r="C3955" t="s">
        <v>256</v>
      </c>
      <c r="D3955" t="s">
        <v>632</v>
      </c>
      <c r="F3955" t="s">
        <v>1146</v>
      </c>
      <c r="G3955" t="s">
        <v>4290</v>
      </c>
      <c r="H3955" t="s">
        <v>7518</v>
      </c>
      <c r="I3955">
        <v>610</v>
      </c>
      <c r="J3955" t="s">
        <v>9067</v>
      </c>
      <c r="K3955">
        <v>10029</v>
      </c>
      <c r="L3955" t="s">
        <v>9094</v>
      </c>
      <c r="M3955" t="s">
        <v>9095</v>
      </c>
      <c r="N3955" t="s">
        <v>10576</v>
      </c>
      <c r="O3955" t="s">
        <v>11129</v>
      </c>
      <c r="P3955" t="s">
        <v>11165</v>
      </c>
      <c r="R3955" t="s">
        <v>11180</v>
      </c>
      <c r="S3955" t="s">
        <v>9096</v>
      </c>
      <c r="T3955" t="s">
        <v>11183</v>
      </c>
      <c r="U3955" t="s">
        <v>11201</v>
      </c>
      <c r="V3955" t="s">
        <v>476</v>
      </c>
      <c r="W3955">
        <v>713</v>
      </c>
      <c r="X3955" t="s">
        <v>11335</v>
      </c>
      <c r="Y3955" t="s">
        <v>11340</v>
      </c>
      <c r="Z3955" t="s">
        <v>13980</v>
      </c>
      <c r="AC3955">
        <v>135</v>
      </c>
      <c r="AD3955" t="s">
        <v>19569</v>
      </c>
      <c r="AE3955" t="s">
        <v>9144</v>
      </c>
      <c r="AF3955">
        <v>36</v>
      </c>
      <c r="AG3955">
        <v>2</v>
      </c>
      <c r="AH3955">
        <v>2</v>
      </c>
      <c r="AI3955">
        <v>143.07</v>
      </c>
      <c r="AL3955" t="s">
        <v>19615</v>
      </c>
      <c r="AM3955">
        <v>36840</v>
      </c>
      <c r="AS3955">
        <v>0</v>
      </c>
      <c r="AU3955" t="s">
        <v>20657</v>
      </c>
      <c r="AV3955" t="s">
        <v>20733</v>
      </c>
    </row>
    <row r="3956" spans="1:48">
      <c r="A3956" s="1">
        <f>HYPERLINK("https://lsnyc.legalserver.org/matter/dynamic-profile/view/1842928","17-1842928")</f>
        <v>0</v>
      </c>
      <c r="B3956" t="s">
        <v>122</v>
      </c>
      <c r="C3956" t="s">
        <v>257</v>
      </c>
      <c r="D3956" t="s">
        <v>480</v>
      </c>
      <c r="E3956" t="s">
        <v>414</v>
      </c>
      <c r="F3956" t="s">
        <v>2332</v>
      </c>
      <c r="G3956" t="s">
        <v>4914</v>
      </c>
      <c r="H3956" t="s">
        <v>5911</v>
      </c>
      <c r="I3956" t="s">
        <v>8788</v>
      </c>
      <c r="J3956" t="s">
        <v>9066</v>
      </c>
      <c r="K3956">
        <v>10314</v>
      </c>
      <c r="L3956" t="s">
        <v>9094</v>
      </c>
      <c r="M3956" t="s">
        <v>9095</v>
      </c>
      <c r="N3956" t="s">
        <v>9260</v>
      </c>
      <c r="O3956" t="s">
        <v>11135</v>
      </c>
      <c r="P3956" t="s">
        <v>11168</v>
      </c>
      <c r="Q3956" t="s">
        <v>11177</v>
      </c>
      <c r="R3956" t="s">
        <v>11180</v>
      </c>
      <c r="S3956" t="s">
        <v>9094</v>
      </c>
      <c r="T3956" t="s">
        <v>11183</v>
      </c>
      <c r="U3956" t="s">
        <v>11201</v>
      </c>
      <c r="V3956" t="s">
        <v>712</v>
      </c>
      <c r="W3956">
        <v>807</v>
      </c>
      <c r="X3956" t="s">
        <v>11334</v>
      </c>
      <c r="Y3956" t="s">
        <v>11339</v>
      </c>
      <c r="Z3956" t="s">
        <v>13921</v>
      </c>
      <c r="AB3956" t="s">
        <v>18249</v>
      </c>
      <c r="AC3956">
        <v>96</v>
      </c>
      <c r="AD3956" t="s">
        <v>19566</v>
      </c>
      <c r="AE3956" t="s">
        <v>19587</v>
      </c>
      <c r="AF3956">
        <v>6</v>
      </c>
      <c r="AG3956">
        <v>1</v>
      </c>
      <c r="AH3956">
        <v>0</v>
      </c>
      <c r="AI3956">
        <v>143.27</v>
      </c>
      <c r="AJ3956" t="s">
        <v>19594</v>
      </c>
      <c r="AL3956" t="s">
        <v>19614</v>
      </c>
      <c r="AM3956">
        <v>17278.8</v>
      </c>
      <c r="AO3956" t="s">
        <v>20293</v>
      </c>
      <c r="AP3956" t="s">
        <v>20316</v>
      </c>
      <c r="AQ3956" t="s">
        <v>20369</v>
      </c>
      <c r="AR3956" t="s">
        <v>20385</v>
      </c>
      <c r="AS3956">
        <v>0.65</v>
      </c>
      <c r="AT3956" t="s">
        <v>414</v>
      </c>
      <c r="AU3956" t="s">
        <v>128</v>
      </c>
      <c r="AV3956" t="s">
        <v>20733</v>
      </c>
    </row>
    <row r="3957" spans="1:48">
      <c r="A3957" s="1">
        <f>HYPERLINK("https://lsnyc.legalserver.org/matter/dynamic-profile/view/1870607","18-1870607")</f>
        <v>0</v>
      </c>
      <c r="B3957" t="s">
        <v>138</v>
      </c>
      <c r="C3957" t="s">
        <v>256</v>
      </c>
      <c r="D3957" t="s">
        <v>707</v>
      </c>
      <c r="F3957" t="s">
        <v>2694</v>
      </c>
      <c r="G3957" t="s">
        <v>4947</v>
      </c>
      <c r="H3957" t="s">
        <v>7519</v>
      </c>
      <c r="I3957" t="s">
        <v>8796</v>
      </c>
      <c r="J3957" t="s">
        <v>9067</v>
      </c>
      <c r="K3957">
        <v>10040</v>
      </c>
      <c r="L3957" t="s">
        <v>9094</v>
      </c>
      <c r="M3957" t="s">
        <v>9095</v>
      </c>
      <c r="P3957" t="s">
        <v>11165</v>
      </c>
      <c r="R3957" t="s">
        <v>11180</v>
      </c>
      <c r="S3957" t="s">
        <v>9096</v>
      </c>
      <c r="T3957" t="s">
        <v>11183</v>
      </c>
      <c r="V3957" t="s">
        <v>707</v>
      </c>
      <c r="W3957">
        <v>1225</v>
      </c>
      <c r="X3957" t="s">
        <v>11335</v>
      </c>
      <c r="Y3957" t="s">
        <v>11338</v>
      </c>
      <c r="Z3957" t="s">
        <v>13981</v>
      </c>
      <c r="AB3957" t="s">
        <v>18309</v>
      </c>
      <c r="AC3957">
        <v>0</v>
      </c>
      <c r="AD3957" t="s">
        <v>19566</v>
      </c>
      <c r="AE3957" t="s">
        <v>9144</v>
      </c>
      <c r="AF3957">
        <v>7</v>
      </c>
      <c r="AG3957">
        <v>2</v>
      </c>
      <c r="AH3957">
        <v>2</v>
      </c>
      <c r="AI3957">
        <v>143.43</v>
      </c>
      <c r="AL3957" t="s">
        <v>19615</v>
      </c>
      <c r="AM3957">
        <v>36000</v>
      </c>
      <c r="AS3957">
        <v>98.40000000000001</v>
      </c>
      <c r="AT3957" t="s">
        <v>377</v>
      </c>
      <c r="AU3957" t="s">
        <v>130</v>
      </c>
    </row>
    <row r="3958" spans="1:48">
      <c r="A3958" s="1">
        <f>HYPERLINK("https://lsnyc.legalserver.org/matter/dynamic-profile/view/0824533","17-0824533")</f>
        <v>0</v>
      </c>
      <c r="B3958" t="s">
        <v>92</v>
      </c>
      <c r="C3958" t="s">
        <v>257</v>
      </c>
      <c r="D3958" t="s">
        <v>964</v>
      </c>
      <c r="E3958" t="s">
        <v>414</v>
      </c>
      <c r="F3958" t="s">
        <v>1221</v>
      </c>
      <c r="G3958" t="s">
        <v>4659</v>
      </c>
      <c r="H3958" t="s">
        <v>7424</v>
      </c>
      <c r="I3958" t="s">
        <v>8216</v>
      </c>
      <c r="J3958" t="s">
        <v>9059</v>
      </c>
      <c r="K3958">
        <v>11236</v>
      </c>
      <c r="L3958" t="s">
        <v>9094</v>
      </c>
      <c r="M3958" t="s">
        <v>9095</v>
      </c>
      <c r="N3958" t="s">
        <v>10577</v>
      </c>
      <c r="O3958" t="s">
        <v>11129</v>
      </c>
      <c r="P3958" t="s">
        <v>11165</v>
      </c>
      <c r="Q3958" t="s">
        <v>11174</v>
      </c>
      <c r="R3958" t="s">
        <v>11180</v>
      </c>
      <c r="S3958" t="s">
        <v>9096</v>
      </c>
      <c r="T3958" t="s">
        <v>11183</v>
      </c>
      <c r="V3958" t="s">
        <v>1089</v>
      </c>
      <c r="W3958">
        <v>1289.69</v>
      </c>
      <c r="X3958" t="s">
        <v>11332</v>
      </c>
      <c r="Y3958" t="s">
        <v>11336</v>
      </c>
      <c r="Z3958" t="s">
        <v>13828</v>
      </c>
      <c r="AA3958" t="s">
        <v>15819</v>
      </c>
      <c r="AB3958" t="s">
        <v>18158</v>
      </c>
      <c r="AC3958">
        <v>37</v>
      </c>
      <c r="AD3958" t="s">
        <v>19566</v>
      </c>
      <c r="AE3958" t="s">
        <v>19580</v>
      </c>
      <c r="AF3958">
        <v>5</v>
      </c>
      <c r="AG3958">
        <v>1</v>
      </c>
      <c r="AH3958">
        <v>0</v>
      </c>
      <c r="AI3958">
        <v>143.54</v>
      </c>
      <c r="AJ3958" t="s">
        <v>11274</v>
      </c>
      <c r="AL3958" t="s">
        <v>19614</v>
      </c>
      <c r="AM3958">
        <v>17052</v>
      </c>
      <c r="AS3958">
        <v>125.05</v>
      </c>
      <c r="AT3958" t="s">
        <v>817</v>
      </c>
      <c r="AU3958" t="s">
        <v>20636</v>
      </c>
    </row>
    <row r="3959" spans="1:48">
      <c r="A3959" s="1">
        <f>HYPERLINK("https://lsnyc.legalserver.org/matter/dynamic-profile/view/1912978","19-1912978")</f>
        <v>0</v>
      </c>
      <c r="B3959" t="s">
        <v>90</v>
      </c>
      <c r="C3959" t="s">
        <v>256</v>
      </c>
      <c r="D3959" t="s">
        <v>294</v>
      </c>
      <c r="F3959" t="s">
        <v>2695</v>
      </c>
      <c r="G3959" t="s">
        <v>4948</v>
      </c>
      <c r="H3959" t="s">
        <v>7520</v>
      </c>
      <c r="J3959" t="s">
        <v>9059</v>
      </c>
      <c r="K3959">
        <v>11207</v>
      </c>
      <c r="L3959" t="s">
        <v>9094</v>
      </c>
      <c r="M3959" t="s">
        <v>9095</v>
      </c>
      <c r="N3959" t="s">
        <v>9154</v>
      </c>
      <c r="O3959" t="s">
        <v>9121</v>
      </c>
      <c r="P3959" t="s">
        <v>11164</v>
      </c>
      <c r="R3959" t="s">
        <v>11180</v>
      </c>
      <c r="S3959" t="s">
        <v>9096</v>
      </c>
      <c r="T3959" t="s">
        <v>11189</v>
      </c>
      <c r="U3959" t="s">
        <v>11201</v>
      </c>
      <c r="V3959" t="s">
        <v>263</v>
      </c>
      <c r="W3959">
        <v>0</v>
      </c>
      <c r="X3959" t="s">
        <v>11332</v>
      </c>
      <c r="Y3959" t="s">
        <v>11346</v>
      </c>
      <c r="Z3959" t="s">
        <v>13982</v>
      </c>
      <c r="AB3959" t="s">
        <v>18310</v>
      </c>
      <c r="AC3959">
        <v>65</v>
      </c>
      <c r="AD3959" t="s">
        <v>19567</v>
      </c>
      <c r="AF3959">
        <v>0</v>
      </c>
      <c r="AG3959">
        <v>1</v>
      </c>
      <c r="AH3959">
        <v>1</v>
      </c>
      <c r="AI3959">
        <v>143.58</v>
      </c>
      <c r="AL3959" t="s">
        <v>19615</v>
      </c>
      <c r="AM3959">
        <v>24280</v>
      </c>
      <c r="AS3959">
        <v>3</v>
      </c>
      <c r="AT3959" t="s">
        <v>270</v>
      </c>
      <c r="AU3959" t="s">
        <v>95</v>
      </c>
      <c r="AV3959" t="s">
        <v>20733</v>
      </c>
    </row>
    <row r="3960" spans="1:48">
      <c r="A3960" s="1">
        <f>HYPERLINK("https://lsnyc.legalserver.org/matter/dynamic-profile/view/1897232","19-1897232")</f>
        <v>0</v>
      </c>
      <c r="B3960" t="s">
        <v>52</v>
      </c>
      <c r="C3960" t="s">
        <v>257</v>
      </c>
      <c r="D3960" t="s">
        <v>434</v>
      </c>
      <c r="E3960" t="s">
        <v>1016</v>
      </c>
      <c r="F3960" t="s">
        <v>1146</v>
      </c>
      <c r="G3960" t="s">
        <v>3498</v>
      </c>
      <c r="H3960" t="s">
        <v>5692</v>
      </c>
      <c r="I3960" t="s">
        <v>8216</v>
      </c>
      <c r="J3960" t="s">
        <v>9038</v>
      </c>
      <c r="K3960">
        <v>11691</v>
      </c>
      <c r="L3960" t="s">
        <v>9094</v>
      </c>
      <c r="M3960" t="s">
        <v>9094</v>
      </c>
      <c r="O3960" t="s">
        <v>11134</v>
      </c>
      <c r="P3960" t="s">
        <v>11167</v>
      </c>
      <c r="Q3960" t="s">
        <v>11173</v>
      </c>
      <c r="R3960" t="s">
        <v>11180</v>
      </c>
      <c r="S3960" t="s">
        <v>9094</v>
      </c>
      <c r="T3960" t="s">
        <v>11183</v>
      </c>
      <c r="V3960" t="s">
        <v>434</v>
      </c>
      <c r="W3960">
        <v>660</v>
      </c>
      <c r="X3960" t="s">
        <v>11331</v>
      </c>
      <c r="Y3960" t="s">
        <v>11339</v>
      </c>
      <c r="Z3960" t="s">
        <v>13983</v>
      </c>
      <c r="AB3960" t="s">
        <v>18311</v>
      </c>
      <c r="AC3960">
        <v>43</v>
      </c>
      <c r="AD3960" t="s">
        <v>19566</v>
      </c>
      <c r="AE3960" t="s">
        <v>11157</v>
      </c>
      <c r="AF3960">
        <v>40</v>
      </c>
      <c r="AG3960">
        <v>1</v>
      </c>
      <c r="AH3960">
        <v>0</v>
      </c>
      <c r="AI3960">
        <v>144.12</v>
      </c>
      <c r="AL3960" t="s">
        <v>19614</v>
      </c>
      <c r="AM3960">
        <v>18000</v>
      </c>
      <c r="AS3960">
        <v>0.15</v>
      </c>
      <c r="AT3960" t="s">
        <v>1016</v>
      </c>
      <c r="AU3960" t="s">
        <v>20620</v>
      </c>
      <c r="AV3960" t="s">
        <v>20733</v>
      </c>
    </row>
    <row r="3961" spans="1:48">
      <c r="A3961" s="1">
        <f>HYPERLINK("https://lsnyc.legalserver.org/matter/dynamic-profile/view/1897235","19-1897235")</f>
        <v>0</v>
      </c>
      <c r="B3961" t="s">
        <v>52</v>
      </c>
      <c r="C3961" t="s">
        <v>256</v>
      </c>
      <c r="D3961" t="s">
        <v>434</v>
      </c>
      <c r="F3961" t="s">
        <v>1146</v>
      </c>
      <c r="G3961" t="s">
        <v>3498</v>
      </c>
      <c r="H3961" t="s">
        <v>5692</v>
      </c>
      <c r="I3961" t="s">
        <v>8216</v>
      </c>
      <c r="J3961" t="s">
        <v>9038</v>
      </c>
      <c r="K3961">
        <v>11691</v>
      </c>
      <c r="L3961" t="s">
        <v>9094</v>
      </c>
      <c r="M3961" t="s">
        <v>9094</v>
      </c>
      <c r="O3961" t="s">
        <v>11136</v>
      </c>
      <c r="P3961" t="s">
        <v>11167</v>
      </c>
      <c r="R3961" t="s">
        <v>11180</v>
      </c>
      <c r="S3961" t="s">
        <v>9096</v>
      </c>
      <c r="T3961" t="s">
        <v>11183</v>
      </c>
      <c r="V3961" t="s">
        <v>434</v>
      </c>
      <c r="W3961">
        <v>660</v>
      </c>
      <c r="X3961" t="s">
        <v>11331</v>
      </c>
      <c r="Y3961" t="s">
        <v>11339</v>
      </c>
      <c r="Z3961" t="s">
        <v>13983</v>
      </c>
      <c r="AB3961" t="s">
        <v>18311</v>
      </c>
      <c r="AC3961">
        <v>43</v>
      </c>
      <c r="AD3961" t="s">
        <v>19566</v>
      </c>
      <c r="AE3961" t="s">
        <v>9144</v>
      </c>
      <c r="AF3961">
        <v>40</v>
      </c>
      <c r="AG3961">
        <v>1</v>
      </c>
      <c r="AH3961">
        <v>0</v>
      </c>
      <c r="AI3961">
        <v>144.12</v>
      </c>
      <c r="AL3961" t="s">
        <v>19614</v>
      </c>
      <c r="AM3961">
        <v>18000</v>
      </c>
      <c r="AS3961">
        <v>0.05</v>
      </c>
      <c r="AT3961" t="s">
        <v>736</v>
      </c>
      <c r="AU3961" t="s">
        <v>20620</v>
      </c>
    </row>
    <row r="3962" spans="1:48">
      <c r="A3962" s="1">
        <f>HYPERLINK("https://lsnyc.legalserver.org/matter/dynamic-profile/view/1914113","19-1914113")</f>
        <v>0</v>
      </c>
      <c r="B3962" t="s">
        <v>73</v>
      </c>
      <c r="C3962" t="s">
        <v>256</v>
      </c>
      <c r="D3962" t="s">
        <v>395</v>
      </c>
      <c r="F3962" t="s">
        <v>1788</v>
      </c>
      <c r="G3962" t="s">
        <v>4949</v>
      </c>
      <c r="H3962" t="s">
        <v>7521</v>
      </c>
      <c r="I3962" t="s">
        <v>8797</v>
      </c>
      <c r="J3962" t="s">
        <v>9059</v>
      </c>
      <c r="K3962">
        <v>11239</v>
      </c>
      <c r="L3962" t="s">
        <v>9094</v>
      </c>
      <c r="M3962" t="s">
        <v>9095</v>
      </c>
      <c r="O3962" t="s">
        <v>11132</v>
      </c>
      <c r="P3962" t="s">
        <v>11165</v>
      </c>
      <c r="R3962" t="s">
        <v>11180</v>
      </c>
      <c r="S3962" t="s">
        <v>9096</v>
      </c>
      <c r="T3962" t="s">
        <v>11183</v>
      </c>
      <c r="U3962" t="s">
        <v>11201</v>
      </c>
      <c r="V3962" t="s">
        <v>483</v>
      </c>
      <c r="W3962">
        <v>434</v>
      </c>
      <c r="X3962" t="s">
        <v>11332</v>
      </c>
      <c r="Y3962" t="s">
        <v>11342</v>
      </c>
      <c r="Z3962" t="s">
        <v>13984</v>
      </c>
      <c r="AA3962" t="s">
        <v>9144</v>
      </c>
      <c r="AB3962" t="s">
        <v>18312</v>
      </c>
      <c r="AC3962">
        <v>132</v>
      </c>
      <c r="AD3962" t="s">
        <v>19571</v>
      </c>
      <c r="AE3962" t="s">
        <v>11157</v>
      </c>
      <c r="AF3962">
        <v>4</v>
      </c>
      <c r="AG3962">
        <v>1</v>
      </c>
      <c r="AH3962">
        <v>0</v>
      </c>
      <c r="AI3962">
        <v>144.12</v>
      </c>
      <c r="AL3962" t="s">
        <v>19614</v>
      </c>
      <c r="AM3962">
        <v>18000</v>
      </c>
      <c r="AN3962" t="s">
        <v>19991</v>
      </c>
      <c r="AS3962">
        <v>0</v>
      </c>
      <c r="AU3962" t="s">
        <v>79</v>
      </c>
      <c r="AV3962" t="s">
        <v>20733</v>
      </c>
    </row>
    <row r="3963" spans="1:48">
      <c r="A3963" s="1">
        <f>HYPERLINK("https://lsnyc.legalserver.org/matter/dynamic-profile/view/1908611","19-1908611")</f>
        <v>0</v>
      </c>
      <c r="B3963" t="s">
        <v>73</v>
      </c>
      <c r="C3963" t="s">
        <v>256</v>
      </c>
      <c r="D3963" t="s">
        <v>574</v>
      </c>
      <c r="F3963" t="s">
        <v>1788</v>
      </c>
      <c r="G3963" t="s">
        <v>4949</v>
      </c>
      <c r="H3963" t="s">
        <v>7521</v>
      </c>
      <c r="I3963" t="s">
        <v>8797</v>
      </c>
      <c r="J3963" t="s">
        <v>9059</v>
      </c>
      <c r="K3963">
        <v>11239</v>
      </c>
      <c r="L3963" t="s">
        <v>9094</v>
      </c>
      <c r="M3963" t="s">
        <v>9095</v>
      </c>
      <c r="N3963" t="s">
        <v>10578</v>
      </c>
      <c r="O3963" t="s">
        <v>11128</v>
      </c>
      <c r="P3963" t="s">
        <v>11165</v>
      </c>
      <c r="R3963" t="s">
        <v>11180</v>
      </c>
      <c r="S3963" t="s">
        <v>9096</v>
      </c>
      <c r="T3963" t="s">
        <v>11183</v>
      </c>
      <c r="U3963" t="s">
        <v>11201</v>
      </c>
      <c r="V3963" t="s">
        <v>483</v>
      </c>
      <c r="W3963">
        <v>434</v>
      </c>
      <c r="X3963" t="s">
        <v>11332</v>
      </c>
      <c r="Y3963" t="s">
        <v>11342</v>
      </c>
      <c r="Z3963" t="s">
        <v>13984</v>
      </c>
      <c r="AA3963" t="s">
        <v>9144</v>
      </c>
      <c r="AB3963" t="s">
        <v>18312</v>
      </c>
      <c r="AC3963">
        <v>132</v>
      </c>
      <c r="AD3963" t="s">
        <v>19571</v>
      </c>
      <c r="AE3963" t="s">
        <v>11157</v>
      </c>
      <c r="AF3963">
        <v>4</v>
      </c>
      <c r="AG3963">
        <v>1</v>
      </c>
      <c r="AH3963">
        <v>0</v>
      </c>
      <c r="AI3963">
        <v>144.12</v>
      </c>
      <c r="AL3963" t="s">
        <v>19614</v>
      </c>
      <c r="AM3963">
        <v>18000</v>
      </c>
      <c r="AS3963">
        <v>9.1</v>
      </c>
      <c r="AT3963" t="s">
        <v>483</v>
      </c>
      <c r="AU3963" t="s">
        <v>20629</v>
      </c>
      <c r="AV3963" t="s">
        <v>20733</v>
      </c>
    </row>
    <row r="3964" spans="1:48">
      <c r="A3964" s="1">
        <f>HYPERLINK("https://lsnyc.legalserver.org/matter/dynamic-profile/view/1895973","19-1895973")</f>
        <v>0</v>
      </c>
      <c r="B3964" t="s">
        <v>71</v>
      </c>
      <c r="C3964" t="s">
        <v>257</v>
      </c>
      <c r="D3964" t="s">
        <v>300</v>
      </c>
      <c r="E3964" t="s">
        <v>483</v>
      </c>
      <c r="F3964" t="s">
        <v>2696</v>
      </c>
      <c r="G3964" t="s">
        <v>3340</v>
      </c>
      <c r="H3964" t="s">
        <v>7522</v>
      </c>
      <c r="I3964" t="s">
        <v>8142</v>
      </c>
      <c r="J3964" t="s">
        <v>9059</v>
      </c>
      <c r="K3964">
        <v>11233</v>
      </c>
      <c r="L3964" t="s">
        <v>9094</v>
      </c>
      <c r="M3964" t="s">
        <v>9094</v>
      </c>
      <c r="N3964" t="s">
        <v>10579</v>
      </c>
      <c r="O3964" t="s">
        <v>11129</v>
      </c>
      <c r="P3964" t="s">
        <v>11165</v>
      </c>
      <c r="Q3964" t="s">
        <v>11174</v>
      </c>
      <c r="R3964" t="s">
        <v>11180</v>
      </c>
      <c r="T3964" t="s">
        <v>11183</v>
      </c>
      <c r="U3964" t="s">
        <v>11198</v>
      </c>
      <c r="V3964" t="s">
        <v>300</v>
      </c>
      <c r="W3964">
        <v>327.05</v>
      </c>
      <c r="X3964" t="s">
        <v>11332</v>
      </c>
      <c r="Y3964" t="s">
        <v>11336</v>
      </c>
      <c r="Z3964" t="s">
        <v>13985</v>
      </c>
      <c r="AB3964" t="s">
        <v>18313</v>
      </c>
      <c r="AC3964">
        <v>6</v>
      </c>
      <c r="AD3964" t="s">
        <v>19569</v>
      </c>
      <c r="AF3964">
        <v>44</v>
      </c>
      <c r="AG3964">
        <v>1</v>
      </c>
      <c r="AH3964">
        <v>0</v>
      </c>
      <c r="AI3964">
        <v>144.12</v>
      </c>
      <c r="AL3964" t="s">
        <v>19614</v>
      </c>
      <c r="AM3964">
        <v>18000</v>
      </c>
      <c r="AS3964">
        <v>8.75</v>
      </c>
      <c r="AT3964" t="s">
        <v>454</v>
      </c>
      <c r="AU3964" t="s">
        <v>20628</v>
      </c>
      <c r="AV3964" t="s">
        <v>20733</v>
      </c>
    </row>
    <row r="3965" spans="1:48">
      <c r="A3965" s="1">
        <f>HYPERLINK("https://lsnyc.legalserver.org/matter/dynamic-profile/view/1894712","19-1894712")</f>
        <v>0</v>
      </c>
      <c r="B3965" t="s">
        <v>71</v>
      </c>
      <c r="C3965" t="s">
        <v>256</v>
      </c>
      <c r="D3965" t="s">
        <v>502</v>
      </c>
      <c r="F3965" t="s">
        <v>2697</v>
      </c>
      <c r="G3965" t="s">
        <v>4950</v>
      </c>
      <c r="H3965" t="s">
        <v>7523</v>
      </c>
      <c r="I3965" t="s">
        <v>8334</v>
      </c>
      <c r="J3965" t="s">
        <v>9059</v>
      </c>
      <c r="K3965">
        <v>11207</v>
      </c>
      <c r="L3965" t="s">
        <v>9094</v>
      </c>
      <c r="M3965" t="s">
        <v>9095</v>
      </c>
      <c r="N3965" t="s">
        <v>10580</v>
      </c>
      <c r="O3965" t="s">
        <v>11128</v>
      </c>
      <c r="P3965" t="s">
        <v>11165</v>
      </c>
      <c r="R3965" t="s">
        <v>11180</v>
      </c>
      <c r="S3965" t="s">
        <v>9096</v>
      </c>
      <c r="T3965" t="s">
        <v>11183</v>
      </c>
      <c r="U3965" t="s">
        <v>11201</v>
      </c>
      <c r="V3965" t="s">
        <v>434</v>
      </c>
      <c r="W3965">
        <v>600</v>
      </c>
      <c r="X3965" t="s">
        <v>11332</v>
      </c>
      <c r="Y3965" t="s">
        <v>11340</v>
      </c>
      <c r="Z3965" t="s">
        <v>13986</v>
      </c>
      <c r="AB3965" t="s">
        <v>18314</v>
      </c>
      <c r="AC3965">
        <v>3</v>
      </c>
      <c r="AD3965" t="s">
        <v>19565</v>
      </c>
      <c r="AE3965" t="s">
        <v>9144</v>
      </c>
      <c r="AF3965">
        <v>3</v>
      </c>
      <c r="AG3965">
        <v>1</v>
      </c>
      <c r="AH3965">
        <v>0</v>
      </c>
      <c r="AI3965">
        <v>144.12</v>
      </c>
      <c r="AL3965" t="s">
        <v>19614</v>
      </c>
      <c r="AM3965">
        <v>18000</v>
      </c>
      <c r="AS3965">
        <v>41.6</v>
      </c>
      <c r="AT3965" t="s">
        <v>270</v>
      </c>
      <c r="AU3965" t="s">
        <v>20639</v>
      </c>
      <c r="AV3965" t="s">
        <v>20733</v>
      </c>
    </row>
    <row r="3966" spans="1:48">
      <c r="A3966" s="1">
        <f>HYPERLINK("https://lsnyc.legalserver.org/matter/dynamic-profile/view/1912161","19-1912161")</f>
        <v>0</v>
      </c>
      <c r="B3966" t="s">
        <v>69</v>
      </c>
      <c r="C3966" t="s">
        <v>256</v>
      </c>
      <c r="D3966" t="s">
        <v>570</v>
      </c>
      <c r="F3966" t="s">
        <v>2697</v>
      </c>
      <c r="G3966" t="s">
        <v>4950</v>
      </c>
      <c r="H3966" t="s">
        <v>7523</v>
      </c>
      <c r="I3966" t="s">
        <v>8334</v>
      </c>
      <c r="J3966" t="s">
        <v>9059</v>
      </c>
      <c r="K3966">
        <v>11207</v>
      </c>
      <c r="L3966" t="s">
        <v>9094</v>
      </c>
      <c r="M3966" t="s">
        <v>9095</v>
      </c>
      <c r="N3966" t="s">
        <v>10580</v>
      </c>
      <c r="O3966" t="s">
        <v>11131</v>
      </c>
      <c r="R3966" t="s">
        <v>11180</v>
      </c>
      <c r="S3966" t="s">
        <v>9096</v>
      </c>
      <c r="T3966" t="s">
        <v>11184</v>
      </c>
      <c r="W3966">
        <v>600</v>
      </c>
      <c r="X3966" t="s">
        <v>11332</v>
      </c>
      <c r="Y3966" t="s">
        <v>11340</v>
      </c>
      <c r="Z3966" t="s">
        <v>13986</v>
      </c>
      <c r="AB3966" t="s">
        <v>18314</v>
      </c>
      <c r="AC3966">
        <v>3</v>
      </c>
      <c r="AD3966" t="s">
        <v>19565</v>
      </c>
      <c r="AE3966" t="s">
        <v>9144</v>
      </c>
      <c r="AF3966">
        <v>3</v>
      </c>
      <c r="AG3966">
        <v>1</v>
      </c>
      <c r="AH3966">
        <v>0</v>
      </c>
      <c r="AI3966">
        <v>144.12</v>
      </c>
      <c r="AL3966" t="s">
        <v>19614</v>
      </c>
      <c r="AM3966">
        <v>18000</v>
      </c>
      <c r="AN3966" t="s">
        <v>19992</v>
      </c>
      <c r="AS3966">
        <v>3</v>
      </c>
      <c r="AT3966" t="s">
        <v>703</v>
      </c>
      <c r="AU3966" t="s">
        <v>79</v>
      </c>
      <c r="AV3966" t="s">
        <v>20733</v>
      </c>
    </row>
    <row r="3967" spans="1:48">
      <c r="A3967" s="1">
        <f>HYPERLINK("https://lsnyc.legalserver.org/matter/dynamic-profile/view/1899812","19-1899812")</f>
        <v>0</v>
      </c>
      <c r="B3967" t="s">
        <v>113</v>
      </c>
      <c r="C3967" t="s">
        <v>256</v>
      </c>
      <c r="D3967" t="s">
        <v>411</v>
      </c>
      <c r="F3967" t="s">
        <v>1395</v>
      </c>
      <c r="G3967" t="s">
        <v>4951</v>
      </c>
      <c r="H3967" t="s">
        <v>5864</v>
      </c>
      <c r="I3967" t="s">
        <v>8441</v>
      </c>
      <c r="J3967" t="s">
        <v>9065</v>
      </c>
      <c r="K3967">
        <v>10460</v>
      </c>
      <c r="L3967" t="s">
        <v>9094</v>
      </c>
      <c r="M3967" t="s">
        <v>9095</v>
      </c>
      <c r="N3967" t="s">
        <v>9171</v>
      </c>
      <c r="O3967" t="s">
        <v>9121</v>
      </c>
      <c r="P3967" t="s">
        <v>11166</v>
      </c>
      <c r="R3967" t="s">
        <v>11180</v>
      </c>
      <c r="S3967" t="s">
        <v>9094</v>
      </c>
      <c r="T3967" t="s">
        <v>11183</v>
      </c>
      <c r="V3967" t="s">
        <v>11218</v>
      </c>
      <c r="W3967">
        <v>500</v>
      </c>
      <c r="X3967" t="s">
        <v>11333</v>
      </c>
      <c r="Y3967" t="s">
        <v>11346</v>
      </c>
      <c r="Z3967" t="s">
        <v>12817</v>
      </c>
      <c r="AB3967" t="s">
        <v>18315</v>
      </c>
      <c r="AC3967">
        <v>168</v>
      </c>
      <c r="AD3967" t="s">
        <v>15441</v>
      </c>
      <c r="AE3967" t="s">
        <v>19580</v>
      </c>
      <c r="AF3967">
        <v>5</v>
      </c>
      <c r="AG3967">
        <v>1</v>
      </c>
      <c r="AH3967">
        <v>0</v>
      </c>
      <c r="AI3967">
        <v>144.12</v>
      </c>
      <c r="AL3967" t="s">
        <v>19614</v>
      </c>
      <c r="AM3967">
        <v>18000</v>
      </c>
      <c r="AS3967">
        <v>0</v>
      </c>
      <c r="AU3967" t="s">
        <v>163</v>
      </c>
      <c r="AV3967" t="s">
        <v>20733</v>
      </c>
    </row>
    <row r="3968" spans="1:48">
      <c r="A3968" s="1">
        <f>HYPERLINK("https://lsnyc.legalserver.org/matter/dynamic-profile/view/1892391","19-1892391")</f>
        <v>0</v>
      </c>
      <c r="B3968" t="s">
        <v>103</v>
      </c>
      <c r="C3968" t="s">
        <v>256</v>
      </c>
      <c r="D3968" t="s">
        <v>635</v>
      </c>
      <c r="F3968" t="s">
        <v>1738</v>
      </c>
      <c r="G3968" t="s">
        <v>4952</v>
      </c>
      <c r="H3968" t="s">
        <v>5887</v>
      </c>
      <c r="I3968" t="s">
        <v>8798</v>
      </c>
      <c r="J3968" t="s">
        <v>9065</v>
      </c>
      <c r="K3968">
        <v>10453</v>
      </c>
      <c r="L3968" t="s">
        <v>9094</v>
      </c>
      <c r="M3968" t="s">
        <v>9094</v>
      </c>
      <c r="O3968" t="s">
        <v>11134</v>
      </c>
      <c r="P3968" t="s">
        <v>11168</v>
      </c>
      <c r="R3968" t="s">
        <v>11180</v>
      </c>
      <c r="S3968" t="s">
        <v>9094</v>
      </c>
      <c r="T3968" t="s">
        <v>11183</v>
      </c>
      <c r="V3968" t="s">
        <v>512</v>
      </c>
      <c r="W3968">
        <v>1020.49</v>
      </c>
      <c r="X3968" t="s">
        <v>11333</v>
      </c>
      <c r="Y3968" t="s">
        <v>11339</v>
      </c>
      <c r="Z3968" t="s">
        <v>13987</v>
      </c>
      <c r="AB3968" t="s">
        <v>18316</v>
      </c>
      <c r="AC3968">
        <v>170</v>
      </c>
      <c r="AD3968" t="s">
        <v>19566</v>
      </c>
      <c r="AE3968" t="s">
        <v>9144</v>
      </c>
      <c r="AF3968">
        <v>10</v>
      </c>
      <c r="AG3968">
        <v>1</v>
      </c>
      <c r="AH3968">
        <v>0</v>
      </c>
      <c r="AI3968">
        <v>144.12</v>
      </c>
      <c r="AL3968" t="s">
        <v>19614</v>
      </c>
      <c r="AM3968">
        <v>18000</v>
      </c>
      <c r="AS3968">
        <v>0</v>
      </c>
      <c r="AU3968" t="s">
        <v>220</v>
      </c>
    </row>
    <row r="3969" spans="1:48">
      <c r="A3969" s="1">
        <f>HYPERLINK("https://lsnyc.legalserver.org/matter/dynamic-profile/view/1893923","19-1893923")</f>
        <v>0</v>
      </c>
      <c r="B3969" t="s">
        <v>99</v>
      </c>
      <c r="C3969" t="s">
        <v>257</v>
      </c>
      <c r="D3969" t="s">
        <v>413</v>
      </c>
      <c r="E3969" t="s">
        <v>636</v>
      </c>
      <c r="F3969" t="s">
        <v>1738</v>
      </c>
      <c r="G3969" t="s">
        <v>4952</v>
      </c>
      <c r="H3969" t="s">
        <v>5887</v>
      </c>
      <c r="I3969" t="s">
        <v>8798</v>
      </c>
      <c r="J3969" t="s">
        <v>9065</v>
      </c>
      <c r="K3969">
        <v>10453</v>
      </c>
      <c r="L3969" t="s">
        <v>9094</v>
      </c>
      <c r="M3969" t="s">
        <v>9094</v>
      </c>
      <c r="O3969" t="s">
        <v>11133</v>
      </c>
      <c r="P3969" t="s">
        <v>11166</v>
      </c>
      <c r="Q3969" t="s">
        <v>11177</v>
      </c>
      <c r="R3969" t="s">
        <v>11180</v>
      </c>
      <c r="S3969" t="s">
        <v>9096</v>
      </c>
      <c r="T3969" t="s">
        <v>11189</v>
      </c>
      <c r="V3969" t="s">
        <v>413</v>
      </c>
      <c r="W3969">
        <v>1020.49</v>
      </c>
      <c r="X3969" t="s">
        <v>11333</v>
      </c>
      <c r="Y3969" t="s">
        <v>11339</v>
      </c>
      <c r="Z3969" t="s">
        <v>13987</v>
      </c>
      <c r="AB3969" t="s">
        <v>18316</v>
      </c>
      <c r="AC3969">
        <v>170</v>
      </c>
      <c r="AD3969" t="s">
        <v>19566</v>
      </c>
      <c r="AE3969" t="s">
        <v>9144</v>
      </c>
      <c r="AF3969">
        <v>10</v>
      </c>
      <c r="AG3969">
        <v>1</v>
      </c>
      <c r="AH3969">
        <v>0</v>
      </c>
      <c r="AI3969">
        <v>144.12</v>
      </c>
      <c r="AL3969" t="s">
        <v>19614</v>
      </c>
      <c r="AM3969">
        <v>18000</v>
      </c>
      <c r="AS3969">
        <v>2.2</v>
      </c>
      <c r="AT3969" t="s">
        <v>636</v>
      </c>
      <c r="AU3969" t="s">
        <v>99</v>
      </c>
    </row>
    <row r="3970" spans="1:48">
      <c r="A3970" s="1">
        <f>HYPERLINK("https://lsnyc.legalserver.org/matter/dynamic-profile/view/1908462","19-1908462")</f>
        <v>0</v>
      </c>
      <c r="B3970" t="s">
        <v>142</v>
      </c>
      <c r="C3970" t="s">
        <v>256</v>
      </c>
      <c r="D3970" t="s">
        <v>410</v>
      </c>
      <c r="F3970" t="s">
        <v>1206</v>
      </c>
      <c r="G3970" t="s">
        <v>4953</v>
      </c>
      <c r="H3970" t="s">
        <v>6326</v>
      </c>
      <c r="I3970" t="s">
        <v>8745</v>
      </c>
      <c r="J3970" t="s">
        <v>9067</v>
      </c>
      <c r="K3970">
        <v>10035</v>
      </c>
      <c r="L3970" t="s">
        <v>9094</v>
      </c>
      <c r="M3970" t="s">
        <v>9095</v>
      </c>
      <c r="O3970" t="s">
        <v>11130</v>
      </c>
      <c r="P3970" t="s">
        <v>11165</v>
      </c>
      <c r="R3970" t="s">
        <v>11180</v>
      </c>
      <c r="S3970" t="s">
        <v>9094</v>
      </c>
      <c r="T3970" t="s">
        <v>11183</v>
      </c>
      <c r="U3970" t="s">
        <v>11201</v>
      </c>
      <c r="V3970" t="s">
        <v>288</v>
      </c>
      <c r="W3970">
        <v>1937.63</v>
      </c>
      <c r="X3970" t="s">
        <v>11335</v>
      </c>
      <c r="Y3970" t="s">
        <v>11339</v>
      </c>
      <c r="Z3970" t="s">
        <v>13988</v>
      </c>
      <c r="AB3970" t="s">
        <v>18317</v>
      </c>
      <c r="AC3970">
        <v>72</v>
      </c>
      <c r="AD3970" t="s">
        <v>19566</v>
      </c>
      <c r="AE3970" t="s">
        <v>19580</v>
      </c>
      <c r="AF3970">
        <v>39</v>
      </c>
      <c r="AG3970">
        <v>1</v>
      </c>
      <c r="AH3970">
        <v>0</v>
      </c>
      <c r="AI3970">
        <v>144.12</v>
      </c>
      <c r="AL3970" t="s">
        <v>19614</v>
      </c>
      <c r="AM3970">
        <v>18000</v>
      </c>
      <c r="AS3970">
        <v>0</v>
      </c>
      <c r="AU3970" t="s">
        <v>20657</v>
      </c>
      <c r="AV3970" t="s">
        <v>20733</v>
      </c>
    </row>
    <row r="3971" spans="1:48">
      <c r="A3971" s="1">
        <f>HYPERLINK("https://lsnyc.legalserver.org/matter/dynamic-profile/view/1913398","19-1913398")</f>
        <v>0</v>
      </c>
      <c r="B3971" t="s">
        <v>140</v>
      </c>
      <c r="C3971" t="s">
        <v>256</v>
      </c>
      <c r="D3971" t="s">
        <v>286</v>
      </c>
      <c r="F3971" t="s">
        <v>2698</v>
      </c>
      <c r="G3971" t="s">
        <v>4954</v>
      </c>
      <c r="H3971" t="s">
        <v>7524</v>
      </c>
      <c r="I3971">
        <v>43</v>
      </c>
      <c r="J3971" t="s">
        <v>9067</v>
      </c>
      <c r="K3971">
        <v>10034</v>
      </c>
      <c r="L3971" t="s">
        <v>9094</v>
      </c>
      <c r="M3971" t="s">
        <v>9095</v>
      </c>
      <c r="O3971" t="s">
        <v>11134</v>
      </c>
      <c r="P3971" t="s">
        <v>11168</v>
      </c>
      <c r="R3971" t="s">
        <v>11180</v>
      </c>
      <c r="S3971" t="s">
        <v>9094</v>
      </c>
      <c r="T3971" t="s">
        <v>11183</v>
      </c>
      <c r="V3971" t="s">
        <v>286</v>
      </c>
      <c r="W3971">
        <v>2000</v>
      </c>
      <c r="X3971" t="s">
        <v>11335</v>
      </c>
      <c r="Y3971" t="s">
        <v>11338</v>
      </c>
      <c r="Z3971" t="s">
        <v>13989</v>
      </c>
      <c r="AC3971">
        <v>0</v>
      </c>
      <c r="AD3971" t="s">
        <v>19566</v>
      </c>
      <c r="AE3971" t="s">
        <v>9144</v>
      </c>
      <c r="AF3971">
        <v>10</v>
      </c>
      <c r="AG3971">
        <v>1</v>
      </c>
      <c r="AH3971">
        <v>0</v>
      </c>
      <c r="AI3971">
        <v>144.12</v>
      </c>
      <c r="AL3971" t="s">
        <v>19614</v>
      </c>
      <c r="AM3971">
        <v>18000</v>
      </c>
      <c r="AS3971">
        <v>0</v>
      </c>
      <c r="AU3971" t="s">
        <v>130</v>
      </c>
      <c r="AV3971" t="s">
        <v>20733</v>
      </c>
    </row>
    <row r="3972" spans="1:48">
      <c r="A3972" s="1">
        <f>HYPERLINK("https://lsnyc.legalserver.org/matter/dynamic-profile/view/1896429","19-1896429")</f>
        <v>0</v>
      </c>
      <c r="B3972" t="s">
        <v>137</v>
      </c>
      <c r="C3972" t="s">
        <v>256</v>
      </c>
      <c r="D3972" t="s">
        <v>350</v>
      </c>
      <c r="F3972" t="s">
        <v>2001</v>
      </c>
      <c r="G3972" t="s">
        <v>2008</v>
      </c>
      <c r="H3972" t="s">
        <v>7212</v>
      </c>
      <c r="I3972" t="s">
        <v>8193</v>
      </c>
      <c r="J3972" t="s">
        <v>9067</v>
      </c>
      <c r="K3972">
        <v>10034</v>
      </c>
      <c r="L3972" t="s">
        <v>9094</v>
      </c>
      <c r="M3972" t="s">
        <v>9095</v>
      </c>
      <c r="O3972" t="s">
        <v>9121</v>
      </c>
      <c r="P3972" t="s">
        <v>11169</v>
      </c>
      <c r="R3972" t="s">
        <v>11180</v>
      </c>
      <c r="S3972" t="s">
        <v>9096</v>
      </c>
      <c r="T3972" t="s">
        <v>11183</v>
      </c>
      <c r="V3972" t="s">
        <v>598</v>
      </c>
      <c r="W3972">
        <v>0</v>
      </c>
      <c r="X3972" t="s">
        <v>11335</v>
      </c>
      <c r="Y3972" t="s">
        <v>11338</v>
      </c>
      <c r="Z3972" t="s">
        <v>13990</v>
      </c>
      <c r="AB3972" t="s">
        <v>18318</v>
      </c>
      <c r="AC3972">
        <v>48</v>
      </c>
      <c r="AD3972" t="s">
        <v>19566</v>
      </c>
      <c r="AE3972" t="s">
        <v>9144</v>
      </c>
      <c r="AF3972">
        <v>43</v>
      </c>
      <c r="AG3972">
        <v>1</v>
      </c>
      <c r="AH3972">
        <v>0</v>
      </c>
      <c r="AI3972">
        <v>144.12</v>
      </c>
      <c r="AL3972" t="s">
        <v>19615</v>
      </c>
      <c r="AM3972">
        <v>18000</v>
      </c>
      <c r="AS3972">
        <v>19</v>
      </c>
      <c r="AT3972" t="s">
        <v>598</v>
      </c>
      <c r="AU3972" t="s">
        <v>20658</v>
      </c>
      <c r="AV3972" t="s">
        <v>20733</v>
      </c>
    </row>
    <row r="3973" spans="1:48">
      <c r="A3973" s="1">
        <f>HYPERLINK("https://lsnyc.legalserver.org/matter/dynamic-profile/view/1896374","19-1896374")</f>
        <v>0</v>
      </c>
      <c r="B3973" t="s">
        <v>137</v>
      </c>
      <c r="C3973" t="s">
        <v>256</v>
      </c>
      <c r="D3973" t="s">
        <v>300</v>
      </c>
      <c r="F3973" t="s">
        <v>1286</v>
      </c>
      <c r="G3973" t="s">
        <v>3808</v>
      </c>
      <c r="H3973" t="s">
        <v>6348</v>
      </c>
      <c r="I3973" t="s">
        <v>8446</v>
      </c>
      <c r="J3973" t="s">
        <v>9067</v>
      </c>
      <c r="K3973">
        <v>10033</v>
      </c>
      <c r="L3973" t="s">
        <v>9094</v>
      </c>
      <c r="M3973" t="s">
        <v>9095</v>
      </c>
      <c r="O3973" t="s">
        <v>9121</v>
      </c>
      <c r="P3973" t="s">
        <v>11164</v>
      </c>
      <c r="R3973" t="s">
        <v>11180</v>
      </c>
      <c r="S3973" t="s">
        <v>9096</v>
      </c>
      <c r="T3973" t="s">
        <v>11183</v>
      </c>
      <c r="V3973" t="s">
        <v>300</v>
      </c>
      <c r="W3973">
        <v>1300</v>
      </c>
      <c r="X3973" t="s">
        <v>11335</v>
      </c>
      <c r="Y3973" t="s">
        <v>11338</v>
      </c>
      <c r="Z3973" t="s">
        <v>13991</v>
      </c>
      <c r="AB3973" t="s">
        <v>18319</v>
      </c>
      <c r="AC3973">
        <v>84</v>
      </c>
      <c r="AD3973" t="s">
        <v>19566</v>
      </c>
      <c r="AE3973" t="s">
        <v>9144</v>
      </c>
      <c r="AF3973">
        <v>40</v>
      </c>
      <c r="AG3973">
        <v>1</v>
      </c>
      <c r="AH3973">
        <v>0</v>
      </c>
      <c r="AI3973">
        <v>144.12</v>
      </c>
      <c r="AL3973" t="s">
        <v>19615</v>
      </c>
      <c r="AM3973">
        <v>18000</v>
      </c>
      <c r="AS3973">
        <v>0</v>
      </c>
      <c r="AU3973" t="s">
        <v>20658</v>
      </c>
      <c r="AV3973" t="s">
        <v>20733</v>
      </c>
    </row>
    <row r="3974" spans="1:48">
      <c r="A3974" s="1">
        <f>HYPERLINK("https://lsnyc.legalserver.org/matter/dynamic-profile/view/1910161","19-1910161")</f>
        <v>0</v>
      </c>
      <c r="B3974" t="s">
        <v>134</v>
      </c>
      <c r="C3974" t="s">
        <v>256</v>
      </c>
      <c r="D3974" t="s">
        <v>442</v>
      </c>
      <c r="F3974" t="s">
        <v>1505</v>
      </c>
      <c r="G3974" t="s">
        <v>4241</v>
      </c>
      <c r="H3974" t="s">
        <v>6292</v>
      </c>
      <c r="I3974" t="s">
        <v>2222</v>
      </c>
      <c r="J3974" t="s">
        <v>9067</v>
      </c>
      <c r="K3974">
        <v>10033</v>
      </c>
      <c r="L3974" t="s">
        <v>9094</v>
      </c>
      <c r="M3974" t="s">
        <v>9095</v>
      </c>
      <c r="P3974" t="s">
        <v>11169</v>
      </c>
      <c r="R3974" t="s">
        <v>11180</v>
      </c>
      <c r="S3974" t="s">
        <v>9094</v>
      </c>
      <c r="T3974" t="s">
        <v>11183</v>
      </c>
      <c r="V3974" t="s">
        <v>442</v>
      </c>
      <c r="W3974">
        <v>3250</v>
      </c>
      <c r="X3974" t="s">
        <v>11335</v>
      </c>
      <c r="Y3974" t="s">
        <v>11338</v>
      </c>
      <c r="Z3974" t="s">
        <v>13992</v>
      </c>
      <c r="AB3974" t="s">
        <v>18320</v>
      </c>
      <c r="AC3974">
        <v>24</v>
      </c>
      <c r="AD3974" t="s">
        <v>19566</v>
      </c>
      <c r="AE3974" t="s">
        <v>9144</v>
      </c>
      <c r="AF3974">
        <v>1</v>
      </c>
      <c r="AG3974">
        <v>1</v>
      </c>
      <c r="AH3974">
        <v>0</v>
      </c>
      <c r="AI3974">
        <v>144.12</v>
      </c>
      <c r="AL3974" t="s">
        <v>19614</v>
      </c>
      <c r="AM3974">
        <v>18000</v>
      </c>
      <c r="AS3974">
        <v>0.2</v>
      </c>
      <c r="AT3974" t="s">
        <v>435</v>
      </c>
      <c r="AU3974" t="s">
        <v>130</v>
      </c>
      <c r="AV3974" t="s">
        <v>20733</v>
      </c>
    </row>
    <row r="3975" spans="1:48">
      <c r="A3975" s="1">
        <f>HYPERLINK("https://lsnyc.legalserver.org/matter/dynamic-profile/view/1905248","19-1905248")</f>
        <v>0</v>
      </c>
      <c r="B3975" t="s">
        <v>136</v>
      </c>
      <c r="C3975" t="s">
        <v>256</v>
      </c>
      <c r="D3975" t="s">
        <v>414</v>
      </c>
      <c r="F3975" t="s">
        <v>1567</v>
      </c>
      <c r="G3975" t="s">
        <v>4955</v>
      </c>
      <c r="H3975" t="s">
        <v>6055</v>
      </c>
      <c r="I3975" t="s">
        <v>8112</v>
      </c>
      <c r="J3975" t="s">
        <v>9067</v>
      </c>
      <c r="K3975">
        <v>10024</v>
      </c>
      <c r="L3975" t="s">
        <v>9094</v>
      </c>
      <c r="M3975" t="s">
        <v>9095</v>
      </c>
      <c r="N3975" t="s">
        <v>9371</v>
      </c>
      <c r="O3975" t="s">
        <v>11134</v>
      </c>
      <c r="P3975" t="s">
        <v>11168</v>
      </c>
      <c r="R3975" t="s">
        <v>11180</v>
      </c>
      <c r="S3975" t="s">
        <v>9094</v>
      </c>
      <c r="T3975" t="s">
        <v>11183</v>
      </c>
      <c r="U3975" t="s">
        <v>11201</v>
      </c>
      <c r="V3975" t="s">
        <v>414</v>
      </c>
      <c r="W3975">
        <v>792.7</v>
      </c>
      <c r="X3975" t="s">
        <v>11335</v>
      </c>
      <c r="Y3975" t="s">
        <v>11351</v>
      </c>
      <c r="Z3975" t="s">
        <v>13993</v>
      </c>
      <c r="AB3975" t="s">
        <v>18321</v>
      </c>
      <c r="AC3975">
        <v>10</v>
      </c>
      <c r="AD3975" t="s">
        <v>19566</v>
      </c>
      <c r="AE3975" t="s">
        <v>19587</v>
      </c>
      <c r="AF3975">
        <v>39</v>
      </c>
      <c r="AG3975">
        <v>1</v>
      </c>
      <c r="AH3975">
        <v>0</v>
      </c>
      <c r="AI3975">
        <v>144.12</v>
      </c>
      <c r="AL3975" t="s">
        <v>19614</v>
      </c>
      <c r="AM3975">
        <v>18000</v>
      </c>
      <c r="AS3975">
        <v>0</v>
      </c>
      <c r="AU3975" t="s">
        <v>20657</v>
      </c>
      <c r="AV3975" t="s">
        <v>20733</v>
      </c>
    </row>
    <row r="3976" spans="1:48">
      <c r="A3976" s="1">
        <f>HYPERLINK("https://lsnyc.legalserver.org/matter/dynamic-profile/view/0794224","15-0794224")</f>
        <v>0</v>
      </c>
      <c r="B3976" t="s">
        <v>101</v>
      </c>
      <c r="C3976" t="s">
        <v>256</v>
      </c>
      <c r="D3976" t="s">
        <v>1036</v>
      </c>
      <c r="F3976" t="s">
        <v>1152</v>
      </c>
      <c r="G3976" t="s">
        <v>4265</v>
      </c>
      <c r="H3976" t="s">
        <v>5890</v>
      </c>
      <c r="I3976" t="s">
        <v>8370</v>
      </c>
      <c r="J3976" t="s">
        <v>9065</v>
      </c>
      <c r="K3976">
        <v>10453</v>
      </c>
      <c r="L3976" t="s">
        <v>9094</v>
      </c>
      <c r="M3976" t="s">
        <v>9095</v>
      </c>
      <c r="N3976" t="s">
        <v>9310</v>
      </c>
      <c r="O3976" t="s">
        <v>11147</v>
      </c>
      <c r="P3976" t="s">
        <v>11165</v>
      </c>
      <c r="R3976" t="s">
        <v>11180</v>
      </c>
      <c r="S3976" t="s">
        <v>9094</v>
      </c>
      <c r="T3976" t="s">
        <v>11183</v>
      </c>
      <c r="V3976" t="s">
        <v>1113</v>
      </c>
      <c r="W3976">
        <v>1971</v>
      </c>
      <c r="X3976" t="s">
        <v>11333</v>
      </c>
      <c r="Y3976" t="s">
        <v>11338</v>
      </c>
      <c r="Z3976" t="s">
        <v>13994</v>
      </c>
      <c r="AB3976" t="s">
        <v>18322</v>
      </c>
      <c r="AC3976">
        <v>0</v>
      </c>
      <c r="AD3976" t="s">
        <v>19566</v>
      </c>
      <c r="AF3976">
        <v>4</v>
      </c>
      <c r="AG3976">
        <v>3</v>
      </c>
      <c r="AH3976">
        <v>1</v>
      </c>
      <c r="AI3976">
        <v>144.33</v>
      </c>
      <c r="AL3976" t="s">
        <v>19614</v>
      </c>
      <c r="AM3976">
        <v>35000</v>
      </c>
      <c r="AS3976">
        <v>0.65</v>
      </c>
      <c r="AT3976" t="s">
        <v>11216</v>
      </c>
      <c r="AU3976" t="s">
        <v>109</v>
      </c>
    </row>
    <row r="3977" spans="1:48">
      <c r="A3977" s="1">
        <f>HYPERLINK("https://lsnyc.legalserver.org/matter/dynamic-profile/view/1870514","18-1870514")</f>
        <v>0</v>
      </c>
      <c r="B3977" t="s">
        <v>119</v>
      </c>
      <c r="C3977" t="s">
        <v>256</v>
      </c>
      <c r="D3977" t="s">
        <v>400</v>
      </c>
      <c r="F3977" t="s">
        <v>2678</v>
      </c>
      <c r="G3977" t="s">
        <v>4931</v>
      </c>
      <c r="H3977" t="s">
        <v>6095</v>
      </c>
      <c r="I3977" t="s">
        <v>8225</v>
      </c>
      <c r="J3977" t="s">
        <v>9065</v>
      </c>
      <c r="K3977">
        <v>10456</v>
      </c>
      <c r="L3977" t="s">
        <v>9094</v>
      </c>
      <c r="M3977" t="s">
        <v>9095</v>
      </c>
      <c r="N3977" t="s">
        <v>9419</v>
      </c>
      <c r="O3977" t="s">
        <v>11134</v>
      </c>
      <c r="P3977" t="s">
        <v>11168</v>
      </c>
      <c r="R3977" t="s">
        <v>11180</v>
      </c>
      <c r="S3977" t="s">
        <v>9094</v>
      </c>
      <c r="T3977" t="s">
        <v>11183</v>
      </c>
      <c r="V3977" t="s">
        <v>675</v>
      </c>
      <c r="W3977">
        <v>560</v>
      </c>
      <c r="X3977" t="s">
        <v>11333</v>
      </c>
      <c r="Y3977" t="s">
        <v>11346</v>
      </c>
      <c r="Z3977" t="s">
        <v>13949</v>
      </c>
      <c r="AB3977" t="s">
        <v>18278</v>
      </c>
      <c r="AC3977">
        <v>131</v>
      </c>
      <c r="AD3977" t="s">
        <v>19566</v>
      </c>
      <c r="AE3977" t="s">
        <v>9144</v>
      </c>
      <c r="AF3977">
        <v>25</v>
      </c>
      <c r="AG3977">
        <v>3</v>
      </c>
      <c r="AH3977">
        <v>0</v>
      </c>
      <c r="AI3977">
        <v>144.37</v>
      </c>
      <c r="AL3977" t="s">
        <v>19614</v>
      </c>
      <c r="AM3977">
        <v>30000</v>
      </c>
      <c r="AS3977">
        <v>0</v>
      </c>
      <c r="AU3977" t="s">
        <v>163</v>
      </c>
    </row>
    <row r="3978" spans="1:48">
      <c r="A3978" s="1">
        <f>HYPERLINK("https://lsnyc.legalserver.org/matter/dynamic-profile/view/1886111","18-1886111")</f>
        <v>0</v>
      </c>
      <c r="B3978" t="s">
        <v>119</v>
      </c>
      <c r="C3978" t="s">
        <v>256</v>
      </c>
      <c r="D3978" t="s">
        <v>397</v>
      </c>
      <c r="F3978" t="s">
        <v>2678</v>
      </c>
      <c r="G3978" t="s">
        <v>4931</v>
      </c>
      <c r="H3978" t="s">
        <v>6095</v>
      </c>
      <c r="I3978" t="s">
        <v>8225</v>
      </c>
      <c r="J3978" t="s">
        <v>9065</v>
      </c>
      <c r="K3978">
        <v>10456</v>
      </c>
      <c r="L3978" t="s">
        <v>9094</v>
      </c>
      <c r="M3978" t="s">
        <v>9094</v>
      </c>
      <c r="N3978" t="s">
        <v>9401</v>
      </c>
      <c r="O3978" t="s">
        <v>11134</v>
      </c>
      <c r="P3978" t="s">
        <v>11168</v>
      </c>
      <c r="R3978" t="s">
        <v>11180</v>
      </c>
      <c r="S3978" t="s">
        <v>9094</v>
      </c>
      <c r="T3978" t="s">
        <v>11183</v>
      </c>
      <c r="V3978" t="s">
        <v>738</v>
      </c>
      <c r="W3978">
        <v>560</v>
      </c>
      <c r="X3978" t="s">
        <v>11333</v>
      </c>
      <c r="Y3978" t="s">
        <v>11346</v>
      </c>
      <c r="Z3978" t="s">
        <v>13949</v>
      </c>
      <c r="AB3978" t="s">
        <v>18278</v>
      </c>
      <c r="AC3978">
        <v>131</v>
      </c>
      <c r="AD3978" t="s">
        <v>19566</v>
      </c>
      <c r="AE3978" t="s">
        <v>9144</v>
      </c>
      <c r="AF3978">
        <v>25</v>
      </c>
      <c r="AG3978">
        <v>3</v>
      </c>
      <c r="AH3978">
        <v>0</v>
      </c>
      <c r="AI3978">
        <v>144.37</v>
      </c>
      <c r="AL3978" t="s">
        <v>19614</v>
      </c>
      <c r="AM3978">
        <v>30000</v>
      </c>
      <c r="AN3978" t="s">
        <v>19993</v>
      </c>
      <c r="AS3978">
        <v>0</v>
      </c>
      <c r="AU3978" t="s">
        <v>163</v>
      </c>
    </row>
    <row r="3979" spans="1:48">
      <c r="A3979" s="1">
        <f>HYPERLINK("https://lsnyc.legalserver.org/matter/dynamic-profile/view/1870509","18-1870509")</f>
        <v>0</v>
      </c>
      <c r="B3979" t="s">
        <v>119</v>
      </c>
      <c r="C3979" t="s">
        <v>256</v>
      </c>
      <c r="D3979" t="s">
        <v>400</v>
      </c>
      <c r="F3979" t="s">
        <v>2678</v>
      </c>
      <c r="G3979" t="s">
        <v>4931</v>
      </c>
      <c r="H3979" t="s">
        <v>6095</v>
      </c>
      <c r="I3979" t="s">
        <v>8225</v>
      </c>
      <c r="J3979" t="s">
        <v>9065</v>
      </c>
      <c r="K3979">
        <v>10456</v>
      </c>
      <c r="L3979" t="s">
        <v>9094</v>
      </c>
      <c r="M3979" t="s">
        <v>9095</v>
      </c>
      <c r="N3979" t="s">
        <v>10073</v>
      </c>
      <c r="O3979" t="s">
        <v>11130</v>
      </c>
      <c r="P3979" t="s">
        <v>11165</v>
      </c>
      <c r="R3979" t="s">
        <v>11180</v>
      </c>
      <c r="S3979" t="s">
        <v>9094</v>
      </c>
      <c r="T3979" t="s">
        <v>11183</v>
      </c>
      <c r="V3979" t="s">
        <v>675</v>
      </c>
      <c r="W3979">
        <v>560</v>
      </c>
      <c r="X3979" t="s">
        <v>11333</v>
      </c>
      <c r="Y3979" t="s">
        <v>11346</v>
      </c>
      <c r="Z3979" t="s">
        <v>13949</v>
      </c>
      <c r="AB3979" t="s">
        <v>18278</v>
      </c>
      <c r="AC3979">
        <v>131</v>
      </c>
      <c r="AD3979" t="s">
        <v>19566</v>
      </c>
      <c r="AE3979" t="s">
        <v>9144</v>
      </c>
      <c r="AF3979">
        <v>25</v>
      </c>
      <c r="AG3979">
        <v>3</v>
      </c>
      <c r="AH3979">
        <v>0</v>
      </c>
      <c r="AI3979">
        <v>144.37</v>
      </c>
      <c r="AL3979" t="s">
        <v>19614</v>
      </c>
      <c r="AM3979">
        <v>30000</v>
      </c>
      <c r="AS3979">
        <v>2.5</v>
      </c>
      <c r="AT3979" t="s">
        <v>317</v>
      </c>
      <c r="AU3979" t="s">
        <v>163</v>
      </c>
    </row>
    <row r="3980" spans="1:48">
      <c r="A3980" s="1">
        <f>HYPERLINK("https://lsnyc.legalserver.org/matter/dynamic-profile/view/1883429","18-1883429")</f>
        <v>0</v>
      </c>
      <c r="B3980" t="s">
        <v>98</v>
      </c>
      <c r="C3980" t="s">
        <v>257</v>
      </c>
      <c r="D3980" t="s">
        <v>583</v>
      </c>
      <c r="E3980" t="s">
        <v>574</v>
      </c>
      <c r="F3980" t="s">
        <v>2679</v>
      </c>
      <c r="G3980" t="s">
        <v>4932</v>
      </c>
      <c r="H3980" t="s">
        <v>6081</v>
      </c>
      <c r="I3980" t="s">
        <v>8176</v>
      </c>
      <c r="J3980" t="s">
        <v>9065</v>
      </c>
      <c r="K3980">
        <v>10452</v>
      </c>
      <c r="L3980" t="s">
        <v>9094</v>
      </c>
      <c r="M3980" t="s">
        <v>9094</v>
      </c>
      <c r="N3980" t="s">
        <v>9397</v>
      </c>
      <c r="O3980" t="s">
        <v>11130</v>
      </c>
      <c r="P3980" t="s">
        <v>11165</v>
      </c>
      <c r="Q3980" t="s">
        <v>11174</v>
      </c>
      <c r="R3980" t="s">
        <v>11180</v>
      </c>
      <c r="S3980" t="s">
        <v>9094</v>
      </c>
      <c r="T3980" t="s">
        <v>11183</v>
      </c>
      <c r="V3980" t="s">
        <v>738</v>
      </c>
      <c r="W3980">
        <v>1087.54</v>
      </c>
      <c r="X3980" t="s">
        <v>11333</v>
      </c>
      <c r="Y3980" t="s">
        <v>11339</v>
      </c>
      <c r="Z3980" t="s">
        <v>13950</v>
      </c>
      <c r="AB3980" t="s">
        <v>18279</v>
      </c>
      <c r="AC3980">
        <v>41</v>
      </c>
      <c r="AD3980" t="s">
        <v>19566</v>
      </c>
      <c r="AE3980" t="s">
        <v>9144</v>
      </c>
      <c r="AF3980">
        <v>15</v>
      </c>
      <c r="AG3980">
        <v>1</v>
      </c>
      <c r="AH3980">
        <v>2</v>
      </c>
      <c r="AI3980">
        <v>144.37</v>
      </c>
      <c r="AL3980" t="s">
        <v>19614</v>
      </c>
      <c r="AM3980">
        <v>30000</v>
      </c>
      <c r="AS3980">
        <v>1.15</v>
      </c>
      <c r="AT3980" t="s">
        <v>335</v>
      </c>
      <c r="AU3980" t="s">
        <v>20642</v>
      </c>
    </row>
    <row r="3981" spans="1:48">
      <c r="A3981" s="1">
        <f>HYPERLINK("https://lsnyc.legalserver.org/matter/dynamic-profile/view/1878909","18-1878909")</f>
        <v>0</v>
      </c>
      <c r="B3981" t="s">
        <v>139</v>
      </c>
      <c r="C3981" t="s">
        <v>256</v>
      </c>
      <c r="D3981" t="s">
        <v>725</v>
      </c>
      <c r="F3981" t="s">
        <v>2699</v>
      </c>
      <c r="G3981" t="s">
        <v>3374</v>
      </c>
      <c r="H3981" t="s">
        <v>6363</v>
      </c>
      <c r="I3981" t="s">
        <v>8178</v>
      </c>
      <c r="J3981" t="s">
        <v>9067</v>
      </c>
      <c r="K3981">
        <v>10040</v>
      </c>
      <c r="L3981" t="s">
        <v>9094</v>
      </c>
      <c r="M3981" t="s">
        <v>9094</v>
      </c>
      <c r="O3981" t="s">
        <v>11134</v>
      </c>
      <c r="P3981" t="s">
        <v>11168</v>
      </c>
      <c r="R3981" t="s">
        <v>11180</v>
      </c>
      <c r="S3981" t="s">
        <v>9094</v>
      </c>
      <c r="T3981" t="s">
        <v>11183</v>
      </c>
      <c r="V3981" t="s">
        <v>725</v>
      </c>
      <c r="W3981">
        <v>1004</v>
      </c>
      <c r="X3981" t="s">
        <v>11335</v>
      </c>
      <c r="Y3981" t="s">
        <v>11339</v>
      </c>
      <c r="Z3981" t="s">
        <v>13261</v>
      </c>
      <c r="AC3981">
        <v>88</v>
      </c>
      <c r="AD3981" t="s">
        <v>19566</v>
      </c>
      <c r="AE3981" t="s">
        <v>19582</v>
      </c>
      <c r="AF3981">
        <v>37</v>
      </c>
      <c r="AG3981">
        <v>2</v>
      </c>
      <c r="AH3981">
        <v>1</v>
      </c>
      <c r="AI3981">
        <v>144.37</v>
      </c>
      <c r="AL3981" t="s">
        <v>19615</v>
      </c>
      <c r="AM3981">
        <v>30000</v>
      </c>
      <c r="AS3981">
        <v>0</v>
      </c>
      <c r="AU3981" t="s">
        <v>130</v>
      </c>
      <c r="AV3981" t="s">
        <v>20733</v>
      </c>
    </row>
    <row r="3982" spans="1:48">
      <c r="A3982" s="1">
        <f>HYPERLINK("https://lsnyc.legalserver.org/matter/dynamic-profile/view/1885138","18-1885138")</f>
        <v>0</v>
      </c>
      <c r="B3982" t="s">
        <v>134</v>
      </c>
      <c r="C3982" t="s">
        <v>256</v>
      </c>
      <c r="D3982" t="s">
        <v>375</v>
      </c>
      <c r="F3982" t="s">
        <v>1323</v>
      </c>
      <c r="G3982" t="s">
        <v>3473</v>
      </c>
      <c r="H3982" t="s">
        <v>5957</v>
      </c>
      <c r="I3982" t="s">
        <v>8160</v>
      </c>
      <c r="J3982" t="s">
        <v>9067</v>
      </c>
      <c r="K3982">
        <v>10032</v>
      </c>
      <c r="L3982" t="s">
        <v>9094</v>
      </c>
      <c r="M3982" t="s">
        <v>9094</v>
      </c>
      <c r="P3982" t="s">
        <v>11165</v>
      </c>
      <c r="R3982" t="s">
        <v>11180</v>
      </c>
      <c r="S3982" t="s">
        <v>9096</v>
      </c>
      <c r="T3982" t="s">
        <v>11183</v>
      </c>
      <c r="V3982" t="s">
        <v>375</v>
      </c>
      <c r="W3982">
        <v>775</v>
      </c>
      <c r="X3982" t="s">
        <v>11335</v>
      </c>
      <c r="Y3982" t="s">
        <v>11338</v>
      </c>
      <c r="Z3982" t="s">
        <v>13954</v>
      </c>
      <c r="AB3982" t="s">
        <v>18283</v>
      </c>
      <c r="AC3982">
        <v>48</v>
      </c>
      <c r="AD3982" t="s">
        <v>19566</v>
      </c>
      <c r="AE3982" t="s">
        <v>9144</v>
      </c>
      <c r="AF3982">
        <v>20</v>
      </c>
      <c r="AG3982">
        <v>3</v>
      </c>
      <c r="AH3982">
        <v>0</v>
      </c>
      <c r="AI3982">
        <v>144.37</v>
      </c>
      <c r="AL3982" t="s">
        <v>19614</v>
      </c>
      <c r="AM3982">
        <v>30000</v>
      </c>
      <c r="AS3982">
        <v>126.3</v>
      </c>
      <c r="AT3982" t="s">
        <v>703</v>
      </c>
      <c r="AU3982" t="s">
        <v>130</v>
      </c>
      <c r="AV3982" t="s">
        <v>20733</v>
      </c>
    </row>
    <row r="3983" spans="1:48">
      <c r="A3983" s="1">
        <f>HYPERLINK("https://lsnyc.legalserver.org/matter/dynamic-profile/view/1851636","17-1851636")</f>
        <v>0</v>
      </c>
      <c r="B3983" t="s">
        <v>76</v>
      </c>
      <c r="C3983" t="s">
        <v>256</v>
      </c>
      <c r="D3983" t="s">
        <v>705</v>
      </c>
      <c r="F3983" t="s">
        <v>1280</v>
      </c>
      <c r="G3983" t="s">
        <v>4417</v>
      </c>
      <c r="H3983" t="s">
        <v>5997</v>
      </c>
      <c r="I3983" t="s">
        <v>8155</v>
      </c>
      <c r="J3983" t="s">
        <v>9059</v>
      </c>
      <c r="K3983">
        <v>11213</v>
      </c>
      <c r="L3983" t="s">
        <v>9094</v>
      </c>
      <c r="M3983" t="s">
        <v>9095</v>
      </c>
      <c r="O3983" t="s">
        <v>11146</v>
      </c>
      <c r="P3983" t="s">
        <v>11166</v>
      </c>
      <c r="R3983" t="s">
        <v>11180</v>
      </c>
      <c r="T3983" t="s">
        <v>11184</v>
      </c>
      <c r="V3983" t="s">
        <v>623</v>
      </c>
      <c r="W3983">
        <v>832.98</v>
      </c>
      <c r="X3983" t="s">
        <v>11332</v>
      </c>
      <c r="Z3983" t="s">
        <v>11756</v>
      </c>
      <c r="AA3983" t="s">
        <v>15835</v>
      </c>
      <c r="AB3983" t="s">
        <v>18323</v>
      </c>
      <c r="AC3983">
        <v>107</v>
      </c>
      <c r="AD3983" t="s">
        <v>19566</v>
      </c>
      <c r="AF3983">
        <v>30</v>
      </c>
      <c r="AG3983">
        <v>2</v>
      </c>
      <c r="AH3983">
        <v>1</v>
      </c>
      <c r="AI3983">
        <v>144.43</v>
      </c>
      <c r="AJ3983" t="s">
        <v>679</v>
      </c>
      <c r="AL3983" t="s">
        <v>19614</v>
      </c>
      <c r="AM3983">
        <v>29492</v>
      </c>
      <c r="AS3983">
        <v>22.75</v>
      </c>
      <c r="AT3983" t="s">
        <v>515</v>
      </c>
      <c r="AU3983" t="s">
        <v>76</v>
      </c>
    </row>
    <row r="3984" spans="1:48">
      <c r="A3984" s="1">
        <f>HYPERLINK("https://lsnyc.legalserver.org/matter/dynamic-profile/view/1871418","18-1871418")</f>
        <v>0</v>
      </c>
      <c r="B3984" t="s">
        <v>165</v>
      </c>
      <c r="C3984" t="s">
        <v>256</v>
      </c>
      <c r="D3984" t="s">
        <v>767</v>
      </c>
      <c r="F3984" t="s">
        <v>1221</v>
      </c>
      <c r="G3984" t="s">
        <v>4617</v>
      </c>
      <c r="H3984" t="s">
        <v>7151</v>
      </c>
      <c r="I3984" t="s">
        <v>8119</v>
      </c>
      <c r="J3984" t="s">
        <v>9059</v>
      </c>
      <c r="K3984">
        <v>11212</v>
      </c>
      <c r="L3984" t="s">
        <v>9094</v>
      </c>
      <c r="M3984" t="s">
        <v>9095</v>
      </c>
      <c r="N3984" t="s">
        <v>10581</v>
      </c>
      <c r="O3984" t="s">
        <v>11130</v>
      </c>
      <c r="P3984" t="s">
        <v>11165</v>
      </c>
      <c r="R3984" t="s">
        <v>11180</v>
      </c>
      <c r="S3984" t="s">
        <v>9094</v>
      </c>
      <c r="T3984" t="s">
        <v>11183</v>
      </c>
      <c r="V3984" t="s">
        <v>818</v>
      </c>
      <c r="W3984">
        <v>1350</v>
      </c>
      <c r="X3984" t="s">
        <v>11332</v>
      </c>
      <c r="Y3984" t="s">
        <v>11340</v>
      </c>
      <c r="Z3984" t="s">
        <v>13353</v>
      </c>
      <c r="AB3984" t="s">
        <v>17695</v>
      </c>
      <c r="AC3984">
        <v>6</v>
      </c>
      <c r="AD3984" t="s">
        <v>19566</v>
      </c>
      <c r="AF3984">
        <v>4</v>
      </c>
      <c r="AG3984">
        <v>1</v>
      </c>
      <c r="AH3984">
        <v>3</v>
      </c>
      <c r="AI3984">
        <v>144.48</v>
      </c>
      <c r="AL3984" t="s">
        <v>19614</v>
      </c>
      <c r="AM3984">
        <v>35543</v>
      </c>
      <c r="AS3984">
        <v>98.59999999999999</v>
      </c>
      <c r="AT3984" t="s">
        <v>271</v>
      </c>
      <c r="AU3984" t="s">
        <v>165</v>
      </c>
      <c r="AV3984" t="s">
        <v>20733</v>
      </c>
    </row>
    <row r="3985" spans="1:48">
      <c r="A3985" s="1">
        <f>HYPERLINK("https://lsnyc.legalserver.org/matter/dynamic-profile/view/1841463","17-1841463")</f>
        <v>0</v>
      </c>
      <c r="B3985" t="s">
        <v>136</v>
      </c>
      <c r="C3985" t="s">
        <v>257</v>
      </c>
      <c r="D3985" t="s">
        <v>857</v>
      </c>
      <c r="E3985" t="s">
        <v>312</v>
      </c>
      <c r="F3985" t="s">
        <v>2700</v>
      </c>
      <c r="G3985" t="s">
        <v>3366</v>
      </c>
      <c r="H3985" t="s">
        <v>7104</v>
      </c>
      <c r="I3985" t="s">
        <v>8218</v>
      </c>
      <c r="J3985" t="s">
        <v>9067</v>
      </c>
      <c r="K3985">
        <v>10034</v>
      </c>
      <c r="L3985" t="s">
        <v>9094</v>
      </c>
      <c r="M3985" t="s">
        <v>9094</v>
      </c>
      <c r="N3985" t="s">
        <v>10582</v>
      </c>
      <c r="O3985" t="s">
        <v>11129</v>
      </c>
      <c r="P3985" t="s">
        <v>11165</v>
      </c>
      <c r="Q3985" t="s">
        <v>11174</v>
      </c>
      <c r="R3985" t="s">
        <v>11180</v>
      </c>
      <c r="S3985" t="s">
        <v>9096</v>
      </c>
      <c r="T3985" t="s">
        <v>11183</v>
      </c>
      <c r="U3985" t="s">
        <v>11201</v>
      </c>
      <c r="V3985" t="s">
        <v>11293</v>
      </c>
      <c r="W3985">
        <v>971</v>
      </c>
      <c r="X3985" t="s">
        <v>11335</v>
      </c>
      <c r="Y3985" t="s">
        <v>11349</v>
      </c>
      <c r="Z3985" t="s">
        <v>13613</v>
      </c>
      <c r="AB3985" t="s">
        <v>18324</v>
      </c>
      <c r="AC3985">
        <v>100</v>
      </c>
      <c r="AD3985" t="s">
        <v>19566</v>
      </c>
      <c r="AE3985" t="s">
        <v>9144</v>
      </c>
      <c r="AF3985">
        <v>15</v>
      </c>
      <c r="AG3985">
        <v>2</v>
      </c>
      <c r="AH3985">
        <v>3</v>
      </c>
      <c r="AI3985">
        <v>144.54</v>
      </c>
      <c r="AL3985" t="s">
        <v>19615</v>
      </c>
      <c r="AM3985">
        <v>41600</v>
      </c>
      <c r="AQ3985" t="s">
        <v>20369</v>
      </c>
      <c r="AR3985" t="s">
        <v>20437</v>
      </c>
      <c r="AS3985">
        <v>69.75</v>
      </c>
      <c r="AT3985" t="s">
        <v>695</v>
      </c>
      <c r="AU3985" t="s">
        <v>20665</v>
      </c>
      <c r="AV3985" t="s">
        <v>20733</v>
      </c>
    </row>
    <row r="3986" spans="1:48">
      <c r="A3986" s="1">
        <f>HYPERLINK("https://lsnyc.legalserver.org/matter/dynamic-profile/view/1900670","19-1900670")</f>
        <v>0</v>
      </c>
      <c r="B3986" t="s">
        <v>60</v>
      </c>
      <c r="C3986" t="s">
        <v>257</v>
      </c>
      <c r="D3986" t="s">
        <v>283</v>
      </c>
      <c r="E3986" t="s">
        <v>1129</v>
      </c>
      <c r="F3986" t="s">
        <v>2701</v>
      </c>
      <c r="G3986" t="s">
        <v>4956</v>
      </c>
      <c r="H3986" t="s">
        <v>7525</v>
      </c>
      <c r="J3986" t="s">
        <v>9073</v>
      </c>
      <c r="K3986">
        <v>11411</v>
      </c>
      <c r="L3986" t="s">
        <v>9094</v>
      </c>
      <c r="M3986" t="s">
        <v>9095</v>
      </c>
      <c r="N3986" t="s">
        <v>10583</v>
      </c>
      <c r="O3986" t="s">
        <v>11128</v>
      </c>
      <c r="P3986" t="s">
        <v>11164</v>
      </c>
      <c r="Q3986" t="s">
        <v>11172</v>
      </c>
      <c r="R3986" t="s">
        <v>11180</v>
      </c>
      <c r="S3986" t="s">
        <v>9096</v>
      </c>
      <c r="T3986" t="s">
        <v>11183</v>
      </c>
      <c r="U3986" t="s">
        <v>11201</v>
      </c>
      <c r="V3986" t="s">
        <v>283</v>
      </c>
      <c r="W3986">
        <v>1500</v>
      </c>
      <c r="X3986" t="s">
        <v>11331</v>
      </c>
      <c r="Y3986" t="s">
        <v>11336</v>
      </c>
      <c r="Z3986" t="s">
        <v>13995</v>
      </c>
      <c r="AA3986" t="s">
        <v>15274</v>
      </c>
      <c r="AB3986" t="s">
        <v>18325</v>
      </c>
      <c r="AC3986">
        <v>3</v>
      </c>
      <c r="AD3986" t="s">
        <v>19565</v>
      </c>
      <c r="AE3986" t="s">
        <v>9144</v>
      </c>
      <c r="AF3986">
        <v>2</v>
      </c>
      <c r="AG3986">
        <v>5</v>
      </c>
      <c r="AH3986">
        <v>1</v>
      </c>
      <c r="AI3986">
        <v>144.55</v>
      </c>
      <c r="AL3986" t="s">
        <v>19614</v>
      </c>
      <c r="AM3986">
        <v>50000</v>
      </c>
      <c r="AS3986">
        <v>1.3</v>
      </c>
      <c r="AT3986" t="s">
        <v>1129</v>
      </c>
      <c r="AU3986" t="s">
        <v>20622</v>
      </c>
      <c r="AV3986" t="s">
        <v>20733</v>
      </c>
    </row>
    <row r="3987" spans="1:48">
      <c r="A3987" s="1">
        <f>HYPERLINK("https://lsnyc.legalserver.org/matter/dynamic-profile/view/1893494","19-1893494")</f>
        <v>0</v>
      </c>
      <c r="B3987" t="s">
        <v>175</v>
      </c>
      <c r="C3987" t="s">
        <v>257</v>
      </c>
      <c r="D3987" t="s">
        <v>573</v>
      </c>
      <c r="E3987" t="s">
        <v>832</v>
      </c>
      <c r="F3987" t="s">
        <v>1740</v>
      </c>
      <c r="G3987" t="s">
        <v>3825</v>
      </c>
      <c r="H3987" t="s">
        <v>7526</v>
      </c>
      <c r="I3987">
        <v>208</v>
      </c>
      <c r="J3987" t="s">
        <v>9067</v>
      </c>
      <c r="K3987">
        <v>10029</v>
      </c>
      <c r="L3987" t="s">
        <v>9094</v>
      </c>
      <c r="M3987" t="s">
        <v>9094</v>
      </c>
      <c r="N3987" t="s">
        <v>10584</v>
      </c>
      <c r="O3987" t="s">
        <v>11129</v>
      </c>
      <c r="P3987" t="s">
        <v>11164</v>
      </c>
      <c r="Q3987" t="s">
        <v>11172</v>
      </c>
      <c r="R3987" t="s">
        <v>11180</v>
      </c>
      <c r="S3987" t="s">
        <v>9096</v>
      </c>
      <c r="T3987" t="s">
        <v>11183</v>
      </c>
      <c r="V3987" t="s">
        <v>502</v>
      </c>
      <c r="W3987">
        <v>680</v>
      </c>
      <c r="X3987" t="s">
        <v>11335</v>
      </c>
      <c r="Y3987" t="s">
        <v>11157</v>
      </c>
      <c r="Z3987" t="s">
        <v>13090</v>
      </c>
      <c r="AB3987" t="s">
        <v>18326</v>
      </c>
      <c r="AC3987">
        <v>30</v>
      </c>
      <c r="AD3987" t="s">
        <v>19568</v>
      </c>
      <c r="AE3987" t="s">
        <v>9144</v>
      </c>
      <c r="AF3987">
        <v>16</v>
      </c>
      <c r="AG3987">
        <v>1</v>
      </c>
      <c r="AH3987">
        <v>0</v>
      </c>
      <c r="AI3987">
        <v>144.55</v>
      </c>
      <c r="AL3987" t="s">
        <v>19614</v>
      </c>
      <c r="AM3987">
        <v>18054</v>
      </c>
      <c r="AS3987">
        <v>1.7</v>
      </c>
      <c r="AT3987" t="s">
        <v>502</v>
      </c>
      <c r="AU3987" t="s">
        <v>20632</v>
      </c>
      <c r="AV3987" t="s">
        <v>20733</v>
      </c>
    </row>
    <row r="3988" spans="1:48">
      <c r="A3988" s="1">
        <f>HYPERLINK("https://lsnyc.legalserver.org/matter/dynamic-profile/view/1905719","19-1905719")</f>
        <v>0</v>
      </c>
      <c r="B3988" t="s">
        <v>129</v>
      </c>
      <c r="C3988" t="s">
        <v>256</v>
      </c>
      <c r="D3988" t="s">
        <v>329</v>
      </c>
      <c r="F3988" t="s">
        <v>2702</v>
      </c>
      <c r="G3988" t="s">
        <v>4957</v>
      </c>
      <c r="H3988" t="s">
        <v>7527</v>
      </c>
      <c r="I3988" t="s">
        <v>8262</v>
      </c>
      <c r="J3988" t="s">
        <v>9066</v>
      </c>
      <c r="K3988">
        <v>10306</v>
      </c>
      <c r="L3988" t="s">
        <v>9094</v>
      </c>
      <c r="M3988" t="s">
        <v>9095</v>
      </c>
      <c r="N3988" t="s">
        <v>10585</v>
      </c>
      <c r="O3988" t="s">
        <v>11129</v>
      </c>
      <c r="P3988" t="s">
        <v>11165</v>
      </c>
      <c r="R3988" t="s">
        <v>11181</v>
      </c>
      <c r="S3988" t="s">
        <v>9096</v>
      </c>
      <c r="T3988" t="s">
        <v>11188</v>
      </c>
      <c r="U3988" t="s">
        <v>11201</v>
      </c>
      <c r="V3988" t="s">
        <v>328</v>
      </c>
      <c r="W3988">
        <v>400</v>
      </c>
      <c r="X3988" t="s">
        <v>11334</v>
      </c>
      <c r="Y3988" t="s">
        <v>11337</v>
      </c>
      <c r="Z3988" t="s">
        <v>13996</v>
      </c>
      <c r="AB3988" t="s">
        <v>18327</v>
      </c>
      <c r="AC3988">
        <v>2</v>
      </c>
      <c r="AD3988" t="s">
        <v>19573</v>
      </c>
      <c r="AE3988" t="s">
        <v>19580</v>
      </c>
      <c r="AF3988">
        <v>1</v>
      </c>
      <c r="AG3988">
        <v>1</v>
      </c>
      <c r="AH3988">
        <v>2</v>
      </c>
      <c r="AI3988">
        <v>144.64</v>
      </c>
      <c r="AJ3988" t="s">
        <v>19591</v>
      </c>
      <c r="AK3988" t="s">
        <v>19608</v>
      </c>
      <c r="AL3988" t="s">
        <v>19614</v>
      </c>
      <c r="AM3988">
        <v>30852</v>
      </c>
      <c r="AS3988">
        <v>17.05</v>
      </c>
      <c r="AT3988" t="s">
        <v>1130</v>
      </c>
      <c r="AU3988" t="s">
        <v>129</v>
      </c>
      <c r="AV3988" t="s">
        <v>20733</v>
      </c>
    </row>
    <row r="3989" spans="1:48">
      <c r="A3989" s="1">
        <f>HYPERLINK("https://lsnyc.legalserver.org/matter/dynamic-profile/view/0810298","16-0810298")</f>
        <v>0</v>
      </c>
      <c r="B3989" t="s">
        <v>149</v>
      </c>
      <c r="C3989" t="s">
        <v>256</v>
      </c>
      <c r="D3989" t="s">
        <v>1046</v>
      </c>
      <c r="F3989" t="s">
        <v>2686</v>
      </c>
      <c r="G3989" t="s">
        <v>3762</v>
      </c>
      <c r="H3989" t="s">
        <v>7509</v>
      </c>
      <c r="I3989">
        <v>905</v>
      </c>
      <c r="J3989" t="s">
        <v>9067</v>
      </c>
      <c r="K3989">
        <v>10029</v>
      </c>
      <c r="L3989" t="s">
        <v>9094</v>
      </c>
      <c r="M3989" t="s">
        <v>9095</v>
      </c>
      <c r="N3989" t="s">
        <v>10586</v>
      </c>
      <c r="O3989" t="s">
        <v>11128</v>
      </c>
      <c r="P3989" t="s">
        <v>11165</v>
      </c>
      <c r="R3989" t="s">
        <v>11180</v>
      </c>
      <c r="S3989" t="s">
        <v>9096</v>
      </c>
      <c r="T3989" t="s">
        <v>11183</v>
      </c>
      <c r="V3989" t="s">
        <v>1046</v>
      </c>
      <c r="W3989">
        <v>860</v>
      </c>
      <c r="X3989" t="s">
        <v>11335</v>
      </c>
      <c r="Y3989" t="s">
        <v>11338</v>
      </c>
      <c r="Z3989" t="s">
        <v>13969</v>
      </c>
      <c r="AB3989" t="s">
        <v>18299</v>
      </c>
      <c r="AC3989">
        <v>31</v>
      </c>
      <c r="AD3989" t="s">
        <v>19570</v>
      </c>
      <c r="AE3989" t="s">
        <v>9144</v>
      </c>
      <c r="AF3989">
        <v>38</v>
      </c>
      <c r="AG3989">
        <v>1</v>
      </c>
      <c r="AH3989">
        <v>0</v>
      </c>
      <c r="AI3989">
        <v>145.05</v>
      </c>
      <c r="AL3989" t="s">
        <v>19615</v>
      </c>
      <c r="AM3989">
        <v>17232</v>
      </c>
      <c r="AS3989">
        <v>298.1</v>
      </c>
      <c r="AT3989" t="s">
        <v>371</v>
      </c>
      <c r="AU3989" t="s">
        <v>148</v>
      </c>
    </row>
    <row r="3990" spans="1:48">
      <c r="A3990" s="1">
        <f>HYPERLINK("https://lsnyc.legalserver.org/matter/dynamic-profile/view/1907892","19-1907892")</f>
        <v>0</v>
      </c>
      <c r="B3990" t="s">
        <v>134</v>
      </c>
      <c r="C3990" t="s">
        <v>256</v>
      </c>
      <c r="D3990" t="s">
        <v>521</v>
      </c>
      <c r="F3990" t="s">
        <v>1670</v>
      </c>
      <c r="G3990" t="s">
        <v>4958</v>
      </c>
      <c r="H3990" t="s">
        <v>7528</v>
      </c>
      <c r="I3990">
        <v>45</v>
      </c>
      <c r="J3990" t="s">
        <v>9067</v>
      </c>
      <c r="K3990">
        <v>10032</v>
      </c>
      <c r="L3990" t="s">
        <v>9094</v>
      </c>
      <c r="M3990" t="s">
        <v>9095</v>
      </c>
      <c r="P3990" t="s">
        <v>11169</v>
      </c>
      <c r="R3990" t="s">
        <v>11180</v>
      </c>
      <c r="S3990" t="s">
        <v>9094</v>
      </c>
      <c r="T3990" t="s">
        <v>11183</v>
      </c>
      <c r="V3990" t="s">
        <v>779</v>
      </c>
      <c r="W3990">
        <v>1400</v>
      </c>
      <c r="X3990" t="s">
        <v>11335</v>
      </c>
      <c r="Y3990" t="s">
        <v>11338</v>
      </c>
      <c r="AB3990" t="s">
        <v>18328</v>
      </c>
      <c r="AC3990">
        <v>46</v>
      </c>
      <c r="AD3990" t="s">
        <v>19566</v>
      </c>
      <c r="AF3990">
        <v>4</v>
      </c>
      <c r="AG3990">
        <v>1</v>
      </c>
      <c r="AH3990">
        <v>2</v>
      </c>
      <c r="AI3990">
        <v>145.34</v>
      </c>
      <c r="AL3990" t="s">
        <v>19614</v>
      </c>
      <c r="AM3990">
        <v>31000</v>
      </c>
      <c r="AS3990">
        <v>0</v>
      </c>
      <c r="AU3990" t="s">
        <v>20688</v>
      </c>
      <c r="AV3990" t="s">
        <v>20733</v>
      </c>
    </row>
    <row r="3991" spans="1:48">
      <c r="A3991" s="1">
        <f>HYPERLINK("https://lsnyc.legalserver.org/matter/dynamic-profile/view/1896441","19-1896441")</f>
        <v>0</v>
      </c>
      <c r="B3991" t="s">
        <v>86</v>
      </c>
      <c r="C3991" t="s">
        <v>256</v>
      </c>
      <c r="D3991" t="s">
        <v>350</v>
      </c>
      <c r="F3991" t="s">
        <v>1422</v>
      </c>
      <c r="G3991" t="s">
        <v>4959</v>
      </c>
      <c r="H3991" t="s">
        <v>7529</v>
      </c>
      <c r="I3991" t="s">
        <v>8799</v>
      </c>
      <c r="J3991" t="s">
        <v>9059</v>
      </c>
      <c r="K3991">
        <v>11209</v>
      </c>
      <c r="L3991" t="s">
        <v>9094</v>
      </c>
      <c r="M3991" t="s">
        <v>9095</v>
      </c>
      <c r="O3991" t="s">
        <v>11137</v>
      </c>
      <c r="P3991" t="s">
        <v>11166</v>
      </c>
      <c r="R3991" t="s">
        <v>11180</v>
      </c>
      <c r="T3991" t="s">
        <v>11183</v>
      </c>
      <c r="V3991" t="s">
        <v>350</v>
      </c>
      <c r="W3991">
        <v>0</v>
      </c>
      <c r="X3991" t="s">
        <v>11332</v>
      </c>
      <c r="Z3991" t="s">
        <v>13997</v>
      </c>
      <c r="AB3991" t="s">
        <v>18329</v>
      </c>
      <c r="AC3991">
        <v>0</v>
      </c>
      <c r="AF3991">
        <v>0</v>
      </c>
      <c r="AG3991">
        <v>1</v>
      </c>
      <c r="AH3991">
        <v>1</v>
      </c>
      <c r="AI3991">
        <v>145.48</v>
      </c>
      <c r="AL3991" t="s">
        <v>19614</v>
      </c>
      <c r="AM3991">
        <v>24600</v>
      </c>
      <c r="AS3991">
        <v>24.45</v>
      </c>
      <c r="AT3991" t="s">
        <v>676</v>
      </c>
      <c r="AU3991" t="s">
        <v>67</v>
      </c>
      <c r="AV3991" t="s">
        <v>20733</v>
      </c>
    </row>
    <row r="3992" spans="1:48">
      <c r="A3992" s="1">
        <f>HYPERLINK("https://lsnyc.legalserver.org/matter/dynamic-profile/view/1912109","19-1912109")</f>
        <v>0</v>
      </c>
      <c r="B3992" t="s">
        <v>133</v>
      </c>
      <c r="C3992" t="s">
        <v>256</v>
      </c>
      <c r="D3992" t="s">
        <v>404</v>
      </c>
      <c r="F3992" t="s">
        <v>2703</v>
      </c>
      <c r="G3992" t="s">
        <v>3502</v>
      </c>
      <c r="H3992" t="s">
        <v>5949</v>
      </c>
      <c r="I3992">
        <v>311</v>
      </c>
      <c r="J3992" t="s">
        <v>9067</v>
      </c>
      <c r="K3992">
        <v>10034</v>
      </c>
      <c r="L3992" t="s">
        <v>9094</v>
      </c>
      <c r="M3992" t="s">
        <v>9095</v>
      </c>
      <c r="O3992" t="s">
        <v>11133</v>
      </c>
      <c r="P3992" t="s">
        <v>11167</v>
      </c>
      <c r="R3992" t="s">
        <v>11180</v>
      </c>
      <c r="S3992" t="s">
        <v>9096</v>
      </c>
      <c r="T3992" t="s">
        <v>11183</v>
      </c>
      <c r="V3992" t="s">
        <v>404</v>
      </c>
      <c r="W3992">
        <v>846.63</v>
      </c>
      <c r="X3992" t="s">
        <v>11335</v>
      </c>
      <c r="Y3992" t="s">
        <v>11340</v>
      </c>
      <c r="Z3992" t="s">
        <v>11443</v>
      </c>
      <c r="AB3992" t="s">
        <v>18330</v>
      </c>
      <c r="AC3992">
        <v>72</v>
      </c>
      <c r="AD3992" t="s">
        <v>19566</v>
      </c>
      <c r="AE3992" t="s">
        <v>19587</v>
      </c>
      <c r="AF3992">
        <v>35</v>
      </c>
      <c r="AG3992">
        <v>2</v>
      </c>
      <c r="AH3992">
        <v>0</v>
      </c>
      <c r="AI3992">
        <v>145.48</v>
      </c>
      <c r="AL3992" t="s">
        <v>19614</v>
      </c>
      <c r="AM3992">
        <v>24600</v>
      </c>
      <c r="AS3992">
        <v>4.8</v>
      </c>
      <c r="AT3992" t="s">
        <v>331</v>
      </c>
      <c r="AU3992" t="s">
        <v>130</v>
      </c>
      <c r="AV3992" t="s">
        <v>20733</v>
      </c>
    </row>
    <row r="3993" spans="1:48">
      <c r="A3993" s="1">
        <f>HYPERLINK("https://lsnyc.legalserver.org/matter/dynamic-profile/view/1845273","17-1845273")</f>
        <v>0</v>
      </c>
      <c r="B3993" t="s">
        <v>150</v>
      </c>
      <c r="C3993" t="s">
        <v>256</v>
      </c>
      <c r="D3993" t="s">
        <v>399</v>
      </c>
      <c r="F3993" t="s">
        <v>1793</v>
      </c>
      <c r="G3993" t="s">
        <v>4278</v>
      </c>
      <c r="H3993" t="s">
        <v>6649</v>
      </c>
      <c r="I3993" t="s">
        <v>8167</v>
      </c>
      <c r="J3993" t="s">
        <v>9059</v>
      </c>
      <c r="K3993">
        <v>11213</v>
      </c>
      <c r="L3993" t="s">
        <v>9094</v>
      </c>
      <c r="M3993" t="s">
        <v>9095</v>
      </c>
      <c r="O3993" t="s">
        <v>11130</v>
      </c>
      <c r="P3993" t="s">
        <v>11165</v>
      </c>
      <c r="R3993" t="s">
        <v>11180</v>
      </c>
      <c r="S3993" t="s">
        <v>9094</v>
      </c>
      <c r="T3993" t="s">
        <v>11183</v>
      </c>
      <c r="V3993" t="s">
        <v>837</v>
      </c>
      <c r="W3993">
        <v>0</v>
      </c>
      <c r="X3993" t="s">
        <v>11332</v>
      </c>
      <c r="Y3993" t="s">
        <v>11346</v>
      </c>
      <c r="Z3993" t="s">
        <v>13998</v>
      </c>
      <c r="AC3993">
        <v>74</v>
      </c>
      <c r="AD3993" t="s">
        <v>19566</v>
      </c>
      <c r="AF3993">
        <v>0</v>
      </c>
      <c r="AG3993">
        <v>1</v>
      </c>
      <c r="AH3993">
        <v>2</v>
      </c>
      <c r="AI3993">
        <v>145.62</v>
      </c>
      <c r="AJ3993" t="s">
        <v>1108</v>
      </c>
      <c r="AL3993" t="s">
        <v>19614</v>
      </c>
      <c r="AM3993">
        <v>29736</v>
      </c>
      <c r="AS3993">
        <v>0.5</v>
      </c>
      <c r="AT3993" t="s">
        <v>340</v>
      </c>
      <c r="AU3993" t="s">
        <v>20636</v>
      </c>
    </row>
    <row r="3994" spans="1:48">
      <c r="A3994" s="1">
        <f>HYPERLINK("https://lsnyc.legalserver.org/matter/dynamic-profile/view/0830285","17-0830285")</f>
        <v>0</v>
      </c>
      <c r="B3994" t="s">
        <v>150</v>
      </c>
      <c r="C3994" t="s">
        <v>256</v>
      </c>
      <c r="D3994" t="s">
        <v>1047</v>
      </c>
      <c r="F3994" t="s">
        <v>1793</v>
      </c>
      <c r="G3994" t="s">
        <v>4278</v>
      </c>
      <c r="H3994" t="s">
        <v>6649</v>
      </c>
      <c r="I3994" t="s">
        <v>8167</v>
      </c>
      <c r="J3994" t="s">
        <v>9059</v>
      </c>
      <c r="K3994">
        <v>11213</v>
      </c>
      <c r="L3994" t="s">
        <v>9094</v>
      </c>
      <c r="M3994" t="s">
        <v>9095</v>
      </c>
      <c r="O3994" t="s">
        <v>11137</v>
      </c>
      <c r="P3994" t="s">
        <v>11167</v>
      </c>
      <c r="R3994" t="s">
        <v>11180</v>
      </c>
      <c r="S3994" t="s">
        <v>9094</v>
      </c>
      <c r="T3994" t="s">
        <v>11189</v>
      </c>
      <c r="V3994" t="s">
        <v>1089</v>
      </c>
      <c r="W3994">
        <v>0</v>
      </c>
      <c r="X3994" t="s">
        <v>11332</v>
      </c>
      <c r="Z3994" t="s">
        <v>13998</v>
      </c>
      <c r="AC3994">
        <v>74</v>
      </c>
      <c r="AD3994" t="s">
        <v>19566</v>
      </c>
      <c r="AF3994">
        <v>0</v>
      </c>
      <c r="AG3994">
        <v>1</v>
      </c>
      <c r="AH3994">
        <v>2</v>
      </c>
      <c r="AI3994">
        <v>145.62</v>
      </c>
      <c r="AJ3994" t="s">
        <v>1108</v>
      </c>
      <c r="AL3994" t="s">
        <v>19614</v>
      </c>
      <c r="AM3994">
        <v>29736</v>
      </c>
      <c r="AS3994">
        <v>45.25</v>
      </c>
      <c r="AT3994" t="s">
        <v>977</v>
      </c>
      <c r="AU3994" t="s">
        <v>20636</v>
      </c>
    </row>
    <row r="3995" spans="1:48">
      <c r="A3995" s="1">
        <f>HYPERLINK("https://lsnyc.legalserver.org/matter/dynamic-profile/view/1913318","19-1913318")</f>
        <v>0</v>
      </c>
      <c r="B3995" t="s">
        <v>240</v>
      </c>
      <c r="C3995" t="s">
        <v>256</v>
      </c>
      <c r="D3995" t="s">
        <v>286</v>
      </c>
      <c r="F3995" t="s">
        <v>2099</v>
      </c>
      <c r="G3995" t="s">
        <v>3220</v>
      </c>
      <c r="H3995" t="s">
        <v>6806</v>
      </c>
      <c r="I3995" t="s">
        <v>8112</v>
      </c>
      <c r="J3995" t="s">
        <v>9067</v>
      </c>
      <c r="K3995">
        <v>10029</v>
      </c>
      <c r="L3995" t="s">
        <v>9094</v>
      </c>
      <c r="M3995" t="s">
        <v>9095</v>
      </c>
      <c r="O3995" t="s">
        <v>11131</v>
      </c>
      <c r="P3995" t="s">
        <v>11166</v>
      </c>
      <c r="R3995" t="s">
        <v>11180</v>
      </c>
      <c r="S3995" t="s">
        <v>9096</v>
      </c>
      <c r="T3995" t="s">
        <v>11191</v>
      </c>
      <c r="U3995" t="s">
        <v>11201</v>
      </c>
      <c r="V3995" t="s">
        <v>570</v>
      </c>
      <c r="W3995">
        <v>986</v>
      </c>
      <c r="X3995" t="s">
        <v>11335</v>
      </c>
      <c r="Y3995" t="s">
        <v>11340</v>
      </c>
      <c r="Z3995" t="s">
        <v>12797</v>
      </c>
      <c r="AB3995" t="s">
        <v>17178</v>
      </c>
      <c r="AC3995">
        <v>24</v>
      </c>
      <c r="AD3995" t="s">
        <v>19571</v>
      </c>
      <c r="AE3995" t="s">
        <v>9144</v>
      </c>
      <c r="AF3995">
        <v>1</v>
      </c>
      <c r="AG3995">
        <v>2</v>
      </c>
      <c r="AH3995">
        <v>2</v>
      </c>
      <c r="AI3995">
        <v>145.63</v>
      </c>
      <c r="AL3995" t="s">
        <v>19615</v>
      </c>
      <c r="AM3995">
        <v>37500</v>
      </c>
      <c r="AS3995">
        <v>0.25</v>
      </c>
      <c r="AT3995" t="s">
        <v>632</v>
      </c>
      <c r="AU3995" t="s">
        <v>20657</v>
      </c>
      <c r="AV3995" t="s">
        <v>20733</v>
      </c>
    </row>
    <row r="3996" spans="1:48">
      <c r="A3996" s="1">
        <f>HYPERLINK("https://lsnyc.legalserver.org/matter/dynamic-profile/view/1889400","19-1889400")</f>
        <v>0</v>
      </c>
      <c r="B3996" t="s">
        <v>59</v>
      </c>
      <c r="C3996" t="s">
        <v>256</v>
      </c>
      <c r="D3996" t="s">
        <v>348</v>
      </c>
      <c r="F3996" t="s">
        <v>2704</v>
      </c>
      <c r="G3996" t="s">
        <v>2903</v>
      </c>
      <c r="H3996" t="s">
        <v>7530</v>
      </c>
      <c r="I3996" t="s">
        <v>8225</v>
      </c>
      <c r="J3996" t="s">
        <v>9040</v>
      </c>
      <c r="K3996">
        <v>11423</v>
      </c>
      <c r="L3996" t="s">
        <v>9094</v>
      </c>
      <c r="M3996" t="s">
        <v>9094</v>
      </c>
      <c r="N3996" t="s">
        <v>10587</v>
      </c>
      <c r="O3996" t="s">
        <v>11129</v>
      </c>
      <c r="P3996" t="s">
        <v>11165</v>
      </c>
      <c r="R3996" t="s">
        <v>11180</v>
      </c>
      <c r="S3996" t="s">
        <v>9096</v>
      </c>
      <c r="T3996" t="s">
        <v>11183</v>
      </c>
      <c r="U3996" t="s">
        <v>11200</v>
      </c>
      <c r="V3996" t="s">
        <v>791</v>
      </c>
      <c r="W3996">
        <v>1050</v>
      </c>
      <c r="X3996" t="s">
        <v>11331</v>
      </c>
      <c r="Y3996" t="s">
        <v>11336</v>
      </c>
      <c r="Z3996" t="s">
        <v>13999</v>
      </c>
      <c r="AB3996" t="s">
        <v>18331</v>
      </c>
      <c r="AC3996">
        <v>48</v>
      </c>
      <c r="AD3996" t="s">
        <v>19566</v>
      </c>
      <c r="AE3996" t="s">
        <v>9144</v>
      </c>
      <c r="AF3996">
        <v>3</v>
      </c>
      <c r="AG3996">
        <v>1</v>
      </c>
      <c r="AH3996">
        <v>0</v>
      </c>
      <c r="AI3996">
        <v>145.72</v>
      </c>
      <c r="AL3996" t="s">
        <v>19614</v>
      </c>
      <c r="AM3996">
        <v>18200</v>
      </c>
      <c r="AS3996">
        <v>21.3</v>
      </c>
      <c r="AT3996" t="s">
        <v>321</v>
      </c>
      <c r="AU3996" t="s">
        <v>153</v>
      </c>
    </row>
    <row r="3997" spans="1:48">
      <c r="A3997" s="1">
        <f>HYPERLINK("https://lsnyc.legalserver.org/matter/dynamic-profile/view/1912908","19-1912908")</f>
        <v>0</v>
      </c>
      <c r="B3997" t="s">
        <v>98</v>
      </c>
      <c r="C3997" t="s">
        <v>256</v>
      </c>
      <c r="D3997" t="s">
        <v>294</v>
      </c>
      <c r="F3997" t="s">
        <v>1450</v>
      </c>
      <c r="G3997" t="s">
        <v>3058</v>
      </c>
      <c r="H3997" t="s">
        <v>6713</v>
      </c>
      <c r="I3997" t="s">
        <v>8800</v>
      </c>
      <c r="J3997" t="s">
        <v>9065</v>
      </c>
      <c r="K3997">
        <v>10458</v>
      </c>
      <c r="L3997" t="s">
        <v>9094</v>
      </c>
      <c r="M3997" t="s">
        <v>9095</v>
      </c>
      <c r="O3997" t="s">
        <v>11130</v>
      </c>
      <c r="P3997" t="s">
        <v>11165</v>
      </c>
      <c r="R3997" t="s">
        <v>11180</v>
      </c>
      <c r="S3997" t="s">
        <v>9094</v>
      </c>
      <c r="T3997" t="s">
        <v>11183</v>
      </c>
      <c r="W3997">
        <v>1170</v>
      </c>
      <c r="X3997" t="s">
        <v>11333</v>
      </c>
      <c r="Y3997" t="s">
        <v>11346</v>
      </c>
      <c r="Z3997" t="s">
        <v>14000</v>
      </c>
      <c r="AB3997" t="s">
        <v>18332</v>
      </c>
      <c r="AC3997">
        <v>94</v>
      </c>
      <c r="AD3997" t="s">
        <v>15441</v>
      </c>
      <c r="AE3997" t="s">
        <v>9144</v>
      </c>
      <c r="AF3997">
        <v>10</v>
      </c>
      <c r="AG3997">
        <v>1</v>
      </c>
      <c r="AH3997">
        <v>0</v>
      </c>
      <c r="AI3997">
        <v>145.72</v>
      </c>
      <c r="AL3997" t="s">
        <v>19614</v>
      </c>
      <c r="AM3997">
        <v>18200</v>
      </c>
      <c r="AS3997">
        <v>0</v>
      </c>
      <c r="AU3997" t="s">
        <v>20642</v>
      </c>
      <c r="AV3997" t="s">
        <v>20733</v>
      </c>
    </row>
    <row r="3998" spans="1:48">
      <c r="A3998" s="1">
        <f>HYPERLINK("https://lsnyc.legalserver.org/matter/dynamic-profile/view/1912497","19-1912497")</f>
        <v>0</v>
      </c>
      <c r="B3998" t="s">
        <v>114</v>
      </c>
      <c r="C3998" t="s">
        <v>257</v>
      </c>
      <c r="D3998" t="s">
        <v>744</v>
      </c>
      <c r="E3998" t="s">
        <v>286</v>
      </c>
      <c r="F3998" t="s">
        <v>1521</v>
      </c>
      <c r="G3998" t="s">
        <v>3677</v>
      </c>
      <c r="H3998" t="s">
        <v>7531</v>
      </c>
      <c r="I3998">
        <v>312</v>
      </c>
      <c r="J3998" t="s">
        <v>9065</v>
      </c>
      <c r="K3998">
        <v>10457</v>
      </c>
      <c r="L3998" t="s">
        <v>9094</v>
      </c>
      <c r="M3998" t="s">
        <v>9095</v>
      </c>
      <c r="N3998" t="s">
        <v>10588</v>
      </c>
      <c r="P3998" t="s">
        <v>11164</v>
      </c>
      <c r="Q3998" t="s">
        <v>11172</v>
      </c>
      <c r="R3998" t="s">
        <v>11180</v>
      </c>
      <c r="T3998" t="s">
        <v>11183</v>
      </c>
      <c r="W3998">
        <v>1514</v>
      </c>
      <c r="X3998" t="s">
        <v>11333</v>
      </c>
      <c r="Y3998" t="s">
        <v>11346</v>
      </c>
      <c r="Z3998" t="s">
        <v>14001</v>
      </c>
      <c r="AB3998" t="s">
        <v>18333</v>
      </c>
      <c r="AC3998">
        <v>30</v>
      </c>
      <c r="AD3998" t="s">
        <v>19566</v>
      </c>
      <c r="AE3998" t="s">
        <v>19580</v>
      </c>
      <c r="AF3998">
        <v>0</v>
      </c>
      <c r="AG3998">
        <v>1</v>
      </c>
      <c r="AH3998">
        <v>0</v>
      </c>
      <c r="AI3998">
        <v>145.72</v>
      </c>
      <c r="AL3998" t="s">
        <v>19614</v>
      </c>
      <c r="AM3998">
        <v>18200</v>
      </c>
      <c r="AS3998">
        <v>2</v>
      </c>
      <c r="AT3998" t="s">
        <v>286</v>
      </c>
      <c r="AU3998" t="s">
        <v>20639</v>
      </c>
      <c r="AV3998" t="s">
        <v>20733</v>
      </c>
    </row>
    <row r="3999" spans="1:48">
      <c r="A3999" s="1">
        <f>HYPERLINK("https://lsnyc.legalserver.org/matter/dynamic-profile/view/1895757","19-1895757")</f>
        <v>0</v>
      </c>
      <c r="B3999" t="s">
        <v>129</v>
      </c>
      <c r="C3999" t="s">
        <v>257</v>
      </c>
      <c r="D3999" t="s">
        <v>777</v>
      </c>
      <c r="E3999" t="s">
        <v>339</v>
      </c>
      <c r="F3999" t="s">
        <v>2705</v>
      </c>
      <c r="G3999" t="s">
        <v>4960</v>
      </c>
      <c r="H3999" t="s">
        <v>6006</v>
      </c>
      <c r="I3999" t="s">
        <v>8207</v>
      </c>
      <c r="J3999" t="s">
        <v>9066</v>
      </c>
      <c r="K3999">
        <v>10304</v>
      </c>
      <c r="L3999" t="s">
        <v>9094</v>
      </c>
      <c r="M3999" t="s">
        <v>9095</v>
      </c>
      <c r="N3999" t="s">
        <v>10589</v>
      </c>
      <c r="O3999" t="s">
        <v>11129</v>
      </c>
      <c r="P3999" t="s">
        <v>11165</v>
      </c>
      <c r="Q3999" t="s">
        <v>11174</v>
      </c>
      <c r="R3999" t="s">
        <v>11180</v>
      </c>
      <c r="S3999" t="s">
        <v>9096</v>
      </c>
      <c r="T3999" t="s">
        <v>11183</v>
      </c>
      <c r="U3999" t="s">
        <v>11201</v>
      </c>
      <c r="V3999" t="s">
        <v>777</v>
      </c>
      <c r="W3999">
        <v>1200</v>
      </c>
      <c r="X3999" t="s">
        <v>11334</v>
      </c>
      <c r="Y3999" t="s">
        <v>11345</v>
      </c>
      <c r="Z3999" t="s">
        <v>11525</v>
      </c>
      <c r="AB3999" t="s">
        <v>18334</v>
      </c>
      <c r="AC3999">
        <v>0</v>
      </c>
      <c r="AD3999" t="s">
        <v>19567</v>
      </c>
      <c r="AE3999" t="s">
        <v>19580</v>
      </c>
      <c r="AF3999">
        <v>11</v>
      </c>
      <c r="AG3999">
        <v>1</v>
      </c>
      <c r="AH3999">
        <v>0</v>
      </c>
      <c r="AI3999">
        <v>145.72</v>
      </c>
      <c r="AL3999" t="s">
        <v>19614</v>
      </c>
      <c r="AM3999">
        <v>18200</v>
      </c>
      <c r="AO3999" t="s">
        <v>20294</v>
      </c>
      <c r="AP3999" t="s">
        <v>20309</v>
      </c>
      <c r="AQ3999" t="s">
        <v>20369</v>
      </c>
      <c r="AR3999" t="s">
        <v>20532</v>
      </c>
      <c r="AS3999">
        <v>12.8</v>
      </c>
      <c r="AT3999" t="s">
        <v>273</v>
      </c>
      <c r="AU3999" t="s">
        <v>20652</v>
      </c>
      <c r="AV3999" t="s">
        <v>20733</v>
      </c>
    </row>
    <row r="4000" spans="1:48">
      <c r="A4000" s="1">
        <f>HYPERLINK("https://lsnyc.legalserver.org/matter/dynamic-profile/view/1913365","19-1913365")</f>
        <v>0</v>
      </c>
      <c r="B4000" t="s">
        <v>134</v>
      </c>
      <c r="C4000" t="s">
        <v>256</v>
      </c>
      <c r="D4000" t="s">
        <v>286</v>
      </c>
      <c r="F4000" t="s">
        <v>1670</v>
      </c>
      <c r="G4000" t="s">
        <v>4961</v>
      </c>
      <c r="H4000" t="s">
        <v>7532</v>
      </c>
      <c r="I4000" t="s">
        <v>8216</v>
      </c>
      <c r="J4000" t="s">
        <v>9067</v>
      </c>
      <c r="K4000">
        <v>10034</v>
      </c>
      <c r="L4000" t="s">
        <v>9094</v>
      </c>
      <c r="M4000" t="s">
        <v>9095</v>
      </c>
      <c r="P4000" t="s">
        <v>11164</v>
      </c>
      <c r="R4000" t="s">
        <v>11180</v>
      </c>
      <c r="S4000" t="s">
        <v>9096</v>
      </c>
      <c r="T4000" t="s">
        <v>11183</v>
      </c>
      <c r="V4000" t="s">
        <v>632</v>
      </c>
      <c r="W4000">
        <v>1400</v>
      </c>
      <c r="X4000" t="s">
        <v>11335</v>
      </c>
      <c r="Y4000" t="s">
        <v>11350</v>
      </c>
      <c r="Z4000" t="s">
        <v>14002</v>
      </c>
      <c r="AB4000" t="s">
        <v>18335</v>
      </c>
      <c r="AC4000">
        <v>60</v>
      </c>
      <c r="AD4000" t="s">
        <v>19566</v>
      </c>
      <c r="AE4000" t="s">
        <v>9144</v>
      </c>
      <c r="AF4000">
        <v>7</v>
      </c>
      <c r="AG4000">
        <v>1</v>
      </c>
      <c r="AH4000">
        <v>0</v>
      </c>
      <c r="AI4000">
        <v>145.72</v>
      </c>
      <c r="AL4000" t="s">
        <v>19614</v>
      </c>
      <c r="AM4000">
        <v>18200</v>
      </c>
      <c r="AS4000">
        <v>2</v>
      </c>
      <c r="AT4000" t="s">
        <v>632</v>
      </c>
      <c r="AU4000" t="s">
        <v>20639</v>
      </c>
      <c r="AV4000" t="s">
        <v>20733</v>
      </c>
    </row>
    <row r="4001" spans="1:48">
      <c r="A4001" s="1">
        <f>HYPERLINK("https://lsnyc.legalserver.org/matter/dynamic-profile/view/1914395","19-1914395")</f>
        <v>0</v>
      </c>
      <c r="B4001" t="s">
        <v>139</v>
      </c>
      <c r="C4001" t="s">
        <v>256</v>
      </c>
      <c r="D4001" t="s">
        <v>703</v>
      </c>
      <c r="F4001" t="s">
        <v>1146</v>
      </c>
      <c r="G4001" t="s">
        <v>4783</v>
      </c>
      <c r="H4001" t="s">
        <v>7533</v>
      </c>
      <c r="I4001">
        <v>2</v>
      </c>
      <c r="J4001" t="s">
        <v>9067</v>
      </c>
      <c r="K4001">
        <v>10034</v>
      </c>
      <c r="L4001" t="s">
        <v>9094</v>
      </c>
      <c r="M4001" t="s">
        <v>9095</v>
      </c>
      <c r="P4001" t="s">
        <v>11165</v>
      </c>
      <c r="R4001" t="s">
        <v>11180</v>
      </c>
      <c r="S4001" t="s">
        <v>9096</v>
      </c>
      <c r="T4001" t="s">
        <v>11183</v>
      </c>
      <c r="V4001" t="s">
        <v>487</v>
      </c>
      <c r="W4001">
        <v>312</v>
      </c>
      <c r="X4001" t="s">
        <v>11335</v>
      </c>
      <c r="Y4001" t="s">
        <v>11340</v>
      </c>
      <c r="Z4001" t="s">
        <v>14003</v>
      </c>
      <c r="AB4001" t="s">
        <v>18336</v>
      </c>
      <c r="AC4001">
        <v>22</v>
      </c>
      <c r="AD4001" t="s">
        <v>19566</v>
      </c>
      <c r="AE4001" t="s">
        <v>19580</v>
      </c>
      <c r="AF4001">
        <v>39</v>
      </c>
      <c r="AG4001">
        <v>2</v>
      </c>
      <c r="AH4001">
        <v>0</v>
      </c>
      <c r="AI4001">
        <v>145.76</v>
      </c>
      <c r="AL4001" t="s">
        <v>19614</v>
      </c>
      <c r="AM4001">
        <v>24648</v>
      </c>
      <c r="AS4001">
        <v>1.5</v>
      </c>
      <c r="AT4001" t="s">
        <v>487</v>
      </c>
      <c r="AU4001" t="s">
        <v>130</v>
      </c>
      <c r="AV4001" t="s">
        <v>20733</v>
      </c>
    </row>
    <row r="4002" spans="1:48">
      <c r="A4002" s="1">
        <f>HYPERLINK("https://lsnyc.legalserver.org/matter/dynamic-profile/view/1876097","18-1876097")</f>
        <v>0</v>
      </c>
      <c r="B4002" t="s">
        <v>180</v>
      </c>
      <c r="C4002" t="s">
        <v>256</v>
      </c>
      <c r="D4002" t="s">
        <v>366</v>
      </c>
      <c r="F4002" t="s">
        <v>1323</v>
      </c>
      <c r="G4002" t="s">
        <v>4962</v>
      </c>
      <c r="H4002" t="s">
        <v>7534</v>
      </c>
      <c r="I4002" t="s">
        <v>8273</v>
      </c>
      <c r="J4002" t="s">
        <v>9059</v>
      </c>
      <c r="K4002">
        <v>11230</v>
      </c>
      <c r="L4002" t="s">
        <v>9095</v>
      </c>
      <c r="M4002" t="s">
        <v>9095</v>
      </c>
      <c r="N4002" t="s">
        <v>10590</v>
      </c>
      <c r="O4002" t="s">
        <v>11128</v>
      </c>
      <c r="P4002" t="s">
        <v>11165</v>
      </c>
      <c r="R4002" t="s">
        <v>11180</v>
      </c>
      <c r="S4002" t="s">
        <v>9096</v>
      </c>
      <c r="T4002" t="s">
        <v>11183</v>
      </c>
      <c r="W4002">
        <v>1050</v>
      </c>
      <c r="X4002" t="s">
        <v>11332</v>
      </c>
      <c r="Y4002" t="s">
        <v>11340</v>
      </c>
      <c r="Z4002" t="s">
        <v>14004</v>
      </c>
      <c r="AB4002" t="s">
        <v>18337</v>
      </c>
      <c r="AC4002">
        <v>0</v>
      </c>
      <c r="AD4002" t="s">
        <v>19566</v>
      </c>
      <c r="AF4002">
        <v>5</v>
      </c>
      <c r="AG4002">
        <v>1</v>
      </c>
      <c r="AH4002">
        <v>1</v>
      </c>
      <c r="AI4002">
        <v>145.81</v>
      </c>
      <c r="AL4002" t="s">
        <v>19614</v>
      </c>
      <c r="AM4002">
        <v>24000</v>
      </c>
      <c r="AS4002">
        <v>25.6</v>
      </c>
      <c r="AT4002" t="s">
        <v>834</v>
      </c>
      <c r="AU4002" t="s">
        <v>243</v>
      </c>
    </row>
    <row r="4003" spans="1:48">
      <c r="A4003" s="1">
        <f>HYPERLINK("https://lsnyc.legalserver.org/matter/dynamic-profile/view/1872259","18-1872259")</f>
        <v>0</v>
      </c>
      <c r="B4003" t="s">
        <v>82</v>
      </c>
      <c r="C4003" t="s">
        <v>256</v>
      </c>
      <c r="D4003" t="s">
        <v>954</v>
      </c>
      <c r="F4003" t="s">
        <v>2706</v>
      </c>
      <c r="G4003" t="s">
        <v>4963</v>
      </c>
      <c r="H4003" t="s">
        <v>7535</v>
      </c>
      <c r="I4003" t="s">
        <v>8308</v>
      </c>
      <c r="J4003" t="s">
        <v>9059</v>
      </c>
      <c r="K4003">
        <v>11225</v>
      </c>
      <c r="L4003" t="s">
        <v>9094</v>
      </c>
      <c r="M4003" t="s">
        <v>9094</v>
      </c>
      <c r="N4003" t="s">
        <v>10591</v>
      </c>
      <c r="O4003" t="s">
        <v>11128</v>
      </c>
      <c r="P4003" t="s">
        <v>11165</v>
      </c>
      <c r="R4003" t="s">
        <v>11180</v>
      </c>
      <c r="S4003" t="s">
        <v>9096</v>
      </c>
      <c r="T4003" t="s">
        <v>11183</v>
      </c>
      <c r="U4003" t="s">
        <v>11201</v>
      </c>
      <c r="V4003" t="s">
        <v>954</v>
      </c>
      <c r="W4003">
        <v>1014.09</v>
      </c>
      <c r="X4003" t="s">
        <v>11332</v>
      </c>
      <c r="Y4003" t="s">
        <v>11342</v>
      </c>
      <c r="Z4003" t="s">
        <v>14005</v>
      </c>
      <c r="AB4003" t="s">
        <v>18338</v>
      </c>
      <c r="AC4003">
        <v>53</v>
      </c>
      <c r="AD4003" t="s">
        <v>19566</v>
      </c>
      <c r="AE4003" t="s">
        <v>9144</v>
      </c>
      <c r="AF4003">
        <v>38</v>
      </c>
      <c r="AG4003">
        <v>2</v>
      </c>
      <c r="AH4003">
        <v>0</v>
      </c>
      <c r="AI4003">
        <v>145.81</v>
      </c>
      <c r="AK4003" t="s">
        <v>19609</v>
      </c>
      <c r="AL4003" t="s">
        <v>19614</v>
      </c>
      <c r="AM4003">
        <v>24000</v>
      </c>
      <c r="AS4003">
        <v>98.59999999999999</v>
      </c>
      <c r="AT4003" t="s">
        <v>321</v>
      </c>
      <c r="AU4003" t="s">
        <v>20685</v>
      </c>
    </row>
    <row r="4004" spans="1:48">
      <c r="A4004" s="1">
        <f>HYPERLINK("https://lsnyc.legalserver.org/matter/dynamic-profile/view/1887980","19-1887980")</f>
        <v>0</v>
      </c>
      <c r="B4004" t="s">
        <v>97</v>
      </c>
      <c r="C4004" t="s">
        <v>256</v>
      </c>
      <c r="D4004" t="s">
        <v>443</v>
      </c>
      <c r="F4004" t="s">
        <v>2707</v>
      </c>
      <c r="G4004" t="s">
        <v>2057</v>
      </c>
      <c r="H4004" t="s">
        <v>7536</v>
      </c>
      <c r="J4004" t="s">
        <v>9059</v>
      </c>
      <c r="K4004">
        <v>11208</v>
      </c>
      <c r="L4004" t="s">
        <v>9094</v>
      </c>
      <c r="M4004" t="s">
        <v>9094</v>
      </c>
      <c r="P4004" t="s">
        <v>11164</v>
      </c>
      <c r="R4004" t="s">
        <v>11180</v>
      </c>
      <c r="S4004" t="s">
        <v>9096</v>
      </c>
      <c r="T4004" t="s">
        <v>11183</v>
      </c>
      <c r="V4004" t="s">
        <v>582</v>
      </c>
      <c r="W4004">
        <v>1000</v>
      </c>
      <c r="X4004" t="s">
        <v>11332</v>
      </c>
      <c r="Z4004" t="s">
        <v>14006</v>
      </c>
      <c r="AC4004">
        <v>0</v>
      </c>
      <c r="AF4004">
        <v>18</v>
      </c>
      <c r="AG4004">
        <v>2</v>
      </c>
      <c r="AH4004">
        <v>0</v>
      </c>
      <c r="AI4004">
        <v>145.81</v>
      </c>
      <c r="AL4004" t="s">
        <v>19614</v>
      </c>
      <c r="AM4004">
        <v>24000</v>
      </c>
      <c r="AS4004">
        <v>0</v>
      </c>
      <c r="AU4004" t="s">
        <v>215</v>
      </c>
    </row>
    <row r="4005" spans="1:48">
      <c r="A4005" s="1">
        <f>HYPERLINK("https://lsnyc.legalserver.org/matter/dynamic-profile/view/1884536","18-1884536")</f>
        <v>0</v>
      </c>
      <c r="B4005" t="s">
        <v>114</v>
      </c>
      <c r="C4005" t="s">
        <v>257</v>
      </c>
      <c r="D4005" t="s">
        <v>323</v>
      </c>
      <c r="E4005" t="s">
        <v>263</v>
      </c>
      <c r="F4005" t="s">
        <v>2008</v>
      </c>
      <c r="G4005" t="s">
        <v>3756</v>
      </c>
      <c r="H4005" t="s">
        <v>5907</v>
      </c>
      <c r="I4005" t="s">
        <v>8801</v>
      </c>
      <c r="J4005" t="s">
        <v>9065</v>
      </c>
      <c r="K4005">
        <v>10451</v>
      </c>
      <c r="L4005" t="s">
        <v>9094</v>
      </c>
      <c r="M4005" t="s">
        <v>9094</v>
      </c>
      <c r="N4005" t="s">
        <v>9259</v>
      </c>
      <c r="O4005" t="s">
        <v>11130</v>
      </c>
      <c r="P4005" t="s">
        <v>11165</v>
      </c>
      <c r="Q4005" t="s">
        <v>11174</v>
      </c>
      <c r="R4005" t="s">
        <v>11180</v>
      </c>
      <c r="S4005" t="s">
        <v>9094</v>
      </c>
      <c r="T4005" t="s">
        <v>11183</v>
      </c>
      <c r="V4005" t="s">
        <v>738</v>
      </c>
      <c r="W4005">
        <v>1325</v>
      </c>
      <c r="X4005" t="s">
        <v>11333</v>
      </c>
      <c r="Y4005" t="s">
        <v>11346</v>
      </c>
      <c r="Z4005" t="s">
        <v>14007</v>
      </c>
      <c r="AC4005">
        <v>100</v>
      </c>
      <c r="AD4005" t="s">
        <v>19569</v>
      </c>
      <c r="AE4005" t="s">
        <v>9144</v>
      </c>
      <c r="AF4005">
        <v>35</v>
      </c>
      <c r="AG4005">
        <v>2</v>
      </c>
      <c r="AH4005">
        <v>0</v>
      </c>
      <c r="AI4005">
        <v>145.81</v>
      </c>
      <c r="AL4005" t="s">
        <v>19615</v>
      </c>
      <c r="AM4005">
        <v>24000</v>
      </c>
      <c r="AN4005" t="s">
        <v>19819</v>
      </c>
      <c r="AS4005">
        <v>0.25</v>
      </c>
      <c r="AT4005" t="s">
        <v>263</v>
      </c>
      <c r="AU4005" t="s">
        <v>163</v>
      </c>
    </row>
    <row r="4006" spans="1:48">
      <c r="A4006" s="1">
        <f>HYPERLINK("https://lsnyc.legalserver.org/matter/dynamic-profile/view/1891897","19-1891897")</f>
        <v>0</v>
      </c>
      <c r="B4006" t="s">
        <v>108</v>
      </c>
      <c r="C4006" t="s">
        <v>257</v>
      </c>
      <c r="D4006" t="s">
        <v>868</v>
      </c>
      <c r="E4006" t="s">
        <v>728</v>
      </c>
      <c r="F4006" t="s">
        <v>1628</v>
      </c>
      <c r="G4006" t="s">
        <v>4964</v>
      </c>
      <c r="H4006" t="s">
        <v>7537</v>
      </c>
      <c r="I4006" t="s">
        <v>8266</v>
      </c>
      <c r="J4006" t="s">
        <v>9065</v>
      </c>
      <c r="K4006">
        <v>10457</v>
      </c>
      <c r="L4006" t="s">
        <v>9094</v>
      </c>
      <c r="M4006" t="s">
        <v>9094</v>
      </c>
      <c r="N4006" t="s">
        <v>10592</v>
      </c>
      <c r="O4006" t="s">
        <v>11129</v>
      </c>
      <c r="P4006" t="s">
        <v>11164</v>
      </c>
      <c r="Q4006" t="s">
        <v>11172</v>
      </c>
      <c r="R4006" t="s">
        <v>11180</v>
      </c>
      <c r="T4006" t="s">
        <v>11183</v>
      </c>
      <c r="V4006" t="s">
        <v>868</v>
      </c>
      <c r="W4006">
        <v>1213</v>
      </c>
      <c r="X4006" t="s">
        <v>11333</v>
      </c>
      <c r="Z4006" t="s">
        <v>14008</v>
      </c>
      <c r="AB4006" t="s">
        <v>18339</v>
      </c>
      <c r="AC4006">
        <v>0</v>
      </c>
      <c r="AD4006" t="s">
        <v>19566</v>
      </c>
      <c r="AE4006" t="s">
        <v>19588</v>
      </c>
      <c r="AF4006">
        <v>3</v>
      </c>
      <c r="AG4006">
        <v>1</v>
      </c>
      <c r="AH4006">
        <v>0</v>
      </c>
      <c r="AI4006">
        <v>145.84</v>
      </c>
      <c r="AL4006" t="s">
        <v>19614</v>
      </c>
      <c r="AM4006">
        <v>18216</v>
      </c>
      <c r="AS4006">
        <v>1.2</v>
      </c>
      <c r="AT4006" t="s">
        <v>728</v>
      </c>
      <c r="AU4006" t="s">
        <v>20660</v>
      </c>
    </row>
    <row r="4007" spans="1:48">
      <c r="A4007" s="1">
        <f>HYPERLINK("https://lsnyc.legalserver.org/matter/dynamic-profile/view/1915044","19-1915044")</f>
        <v>0</v>
      </c>
      <c r="B4007" t="s">
        <v>142</v>
      </c>
      <c r="C4007" t="s">
        <v>256</v>
      </c>
      <c r="D4007" t="s">
        <v>377</v>
      </c>
      <c r="F4007" t="s">
        <v>2708</v>
      </c>
      <c r="G4007" t="s">
        <v>4965</v>
      </c>
      <c r="H4007" t="s">
        <v>6596</v>
      </c>
      <c r="I4007" t="s">
        <v>8283</v>
      </c>
      <c r="J4007" t="s">
        <v>9067</v>
      </c>
      <c r="K4007">
        <v>10035</v>
      </c>
      <c r="L4007" t="s">
        <v>9094</v>
      </c>
      <c r="M4007" t="s">
        <v>9095</v>
      </c>
      <c r="O4007" t="s">
        <v>11134</v>
      </c>
      <c r="P4007" t="s">
        <v>11165</v>
      </c>
      <c r="R4007" t="s">
        <v>11180</v>
      </c>
      <c r="S4007" t="s">
        <v>9094</v>
      </c>
      <c r="T4007" t="s">
        <v>11183</v>
      </c>
      <c r="U4007" t="s">
        <v>11201</v>
      </c>
      <c r="V4007" t="s">
        <v>377</v>
      </c>
      <c r="W4007">
        <v>892</v>
      </c>
      <c r="X4007" t="s">
        <v>11335</v>
      </c>
      <c r="Y4007" t="s">
        <v>11340</v>
      </c>
      <c r="Z4007" t="s">
        <v>14009</v>
      </c>
      <c r="AB4007" t="s">
        <v>18340</v>
      </c>
      <c r="AC4007">
        <v>60</v>
      </c>
      <c r="AD4007" t="s">
        <v>19566</v>
      </c>
      <c r="AE4007" t="s">
        <v>19580</v>
      </c>
      <c r="AF4007">
        <v>5</v>
      </c>
      <c r="AG4007">
        <v>2</v>
      </c>
      <c r="AH4007">
        <v>3</v>
      </c>
      <c r="AI4007">
        <v>145.84</v>
      </c>
      <c r="AL4007" t="s">
        <v>19614</v>
      </c>
      <c r="AM4007">
        <v>44000</v>
      </c>
      <c r="AS4007">
        <v>0</v>
      </c>
      <c r="AU4007" t="s">
        <v>20657</v>
      </c>
      <c r="AV4007" t="s">
        <v>20733</v>
      </c>
    </row>
    <row r="4008" spans="1:48">
      <c r="A4008" s="1">
        <f>HYPERLINK("https://lsnyc.legalserver.org/matter/dynamic-profile/view/1914766","19-1914766")</f>
        <v>0</v>
      </c>
      <c r="B4008" t="s">
        <v>142</v>
      </c>
      <c r="C4008" t="s">
        <v>256</v>
      </c>
      <c r="D4008" t="s">
        <v>632</v>
      </c>
      <c r="F4008" t="s">
        <v>2708</v>
      </c>
      <c r="G4008" t="s">
        <v>4965</v>
      </c>
      <c r="H4008" t="s">
        <v>6596</v>
      </c>
      <c r="I4008" t="s">
        <v>8283</v>
      </c>
      <c r="J4008" t="s">
        <v>9067</v>
      </c>
      <c r="K4008">
        <v>10035</v>
      </c>
      <c r="L4008" t="s">
        <v>9094</v>
      </c>
      <c r="M4008" t="s">
        <v>9095</v>
      </c>
      <c r="O4008" t="s">
        <v>11130</v>
      </c>
      <c r="P4008" t="s">
        <v>11165</v>
      </c>
      <c r="R4008" t="s">
        <v>11180</v>
      </c>
      <c r="S4008" t="s">
        <v>9094</v>
      </c>
      <c r="T4008" t="s">
        <v>11183</v>
      </c>
      <c r="U4008" t="s">
        <v>11201</v>
      </c>
      <c r="V4008" t="s">
        <v>632</v>
      </c>
      <c r="W4008">
        <v>892</v>
      </c>
      <c r="X4008" t="s">
        <v>11335</v>
      </c>
      <c r="Y4008" t="s">
        <v>11340</v>
      </c>
      <c r="Z4008" t="s">
        <v>14009</v>
      </c>
      <c r="AB4008" t="s">
        <v>18340</v>
      </c>
      <c r="AC4008">
        <v>0</v>
      </c>
      <c r="AD4008" t="s">
        <v>19566</v>
      </c>
      <c r="AE4008" t="s">
        <v>19580</v>
      </c>
      <c r="AF4008">
        <v>5</v>
      </c>
      <c r="AG4008">
        <v>2</v>
      </c>
      <c r="AH4008">
        <v>3</v>
      </c>
      <c r="AI4008">
        <v>145.84</v>
      </c>
      <c r="AL4008" t="s">
        <v>19614</v>
      </c>
      <c r="AM4008">
        <v>44000</v>
      </c>
      <c r="AS4008">
        <v>0</v>
      </c>
      <c r="AU4008" t="s">
        <v>20657</v>
      </c>
      <c r="AV4008" t="s">
        <v>20733</v>
      </c>
    </row>
    <row r="4009" spans="1:48">
      <c r="A4009" s="1">
        <f>HYPERLINK("https://lsnyc.legalserver.org/matter/dynamic-profile/view/1897690","19-1897690")</f>
        <v>0</v>
      </c>
      <c r="B4009" t="s">
        <v>142</v>
      </c>
      <c r="C4009" t="s">
        <v>256</v>
      </c>
      <c r="D4009" t="s">
        <v>291</v>
      </c>
      <c r="F4009" t="s">
        <v>2708</v>
      </c>
      <c r="G4009" t="s">
        <v>4965</v>
      </c>
      <c r="H4009" t="s">
        <v>6596</v>
      </c>
      <c r="I4009" t="s">
        <v>8283</v>
      </c>
      <c r="J4009" t="s">
        <v>9067</v>
      </c>
      <c r="K4009">
        <v>10035</v>
      </c>
      <c r="L4009" t="s">
        <v>9094</v>
      </c>
      <c r="M4009" t="s">
        <v>9094</v>
      </c>
      <c r="O4009" t="s">
        <v>9121</v>
      </c>
      <c r="P4009" t="s">
        <v>11167</v>
      </c>
      <c r="R4009" t="s">
        <v>11180</v>
      </c>
      <c r="S4009" t="s">
        <v>9094</v>
      </c>
      <c r="T4009" t="s">
        <v>11183</v>
      </c>
      <c r="U4009" t="s">
        <v>11201</v>
      </c>
      <c r="V4009" t="s">
        <v>317</v>
      </c>
      <c r="W4009">
        <v>892</v>
      </c>
      <c r="X4009" t="s">
        <v>11335</v>
      </c>
      <c r="Y4009" t="s">
        <v>11350</v>
      </c>
      <c r="Z4009" t="s">
        <v>14009</v>
      </c>
      <c r="AB4009" t="s">
        <v>18340</v>
      </c>
      <c r="AC4009">
        <v>60</v>
      </c>
      <c r="AD4009" t="s">
        <v>19566</v>
      </c>
      <c r="AE4009" t="s">
        <v>19580</v>
      </c>
      <c r="AF4009">
        <v>5</v>
      </c>
      <c r="AG4009">
        <v>2</v>
      </c>
      <c r="AH4009">
        <v>3</v>
      </c>
      <c r="AI4009">
        <v>145.84</v>
      </c>
      <c r="AL4009" t="s">
        <v>19614</v>
      </c>
      <c r="AM4009">
        <v>44000</v>
      </c>
      <c r="AS4009">
        <v>0</v>
      </c>
      <c r="AU4009" t="s">
        <v>20657</v>
      </c>
      <c r="AV4009" t="s">
        <v>20733</v>
      </c>
    </row>
    <row r="4010" spans="1:48">
      <c r="A4010" s="1">
        <f>HYPERLINK("https://lsnyc.legalserver.org/matter/dynamic-profile/view/1837263","17-1837263")</f>
        <v>0</v>
      </c>
      <c r="B4010" t="s">
        <v>173</v>
      </c>
      <c r="C4010" t="s">
        <v>256</v>
      </c>
      <c r="D4010" t="s">
        <v>1048</v>
      </c>
      <c r="F4010" t="s">
        <v>2709</v>
      </c>
      <c r="G4010" t="s">
        <v>4966</v>
      </c>
      <c r="H4010" t="s">
        <v>5706</v>
      </c>
      <c r="J4010" t="s">
        <v>9039</v>
      </c>
      <c r="K4010">
        <v>11432</v>
      </c>
      <c r="L4010" t="s">
        <v>9095</v>
      </c>
      <c r="M4010" t="s">
        <v>9095</v>
      </c>
      <c r="N4010" t="s">
        <v>9112</v>
      </c>
      <c r="O4010" t="s">
        <v>11132</v>
      </c>
      <c r="P4010" t="s">
        <v>11165</v>
      </c>
      <c r="R4010" t="s">
        <v>11180</v>
      </c>
      <c r="S4010" t="s">
        <v>9094</v>
      </c>
      <c r="T4010" t="s">
        <v>11183</v>
      </c>
      <c r="V4010" t="s">
        <v>878</v>
      </c>
      <c r="W4010">
        <v>1405</v>
      </c>
      <c r="X4010" t="s">
        <v>11331</v>
      </c>
      <c r="Y4010" t="s">
        <v>11340</v>
      </c>
      <c r="Z4010" t="s">
        <v>14010</v>
      </c>
      <c r="AA4010" t="s">
        <v>9171</v>
      </c>
      <c r="AB4010" t="s">
        <v>18341</v>
      </c>
      <c r="AC4010">
        <v>190</v>
      </c>
      <c r="AD4010" t="s">
        <v>19566</v>
      </c>
      <c r="AE4010" t="s">
        <v>9144</v>
      </c>
      <c r="AF4010">
        <v>3</v>
      </c>
      <c r="AG4010">
        <v>2</v>
      </c>
      <c r="AH4010">
        <v>3</v>
      </c>
      <c r="AI4010">
        <v>145.93</v>
      </c>
      <c r="AJ4010" t="s">
        <v>19592</v>
      </c>
      <c r="AL4010" t="s">
        <v>19616</v>
      </c>
      <c r="AM4010">
        <v>42000</v>
      </c>
      <c r="AS4010">
        <v>689.24</v>
      </c>
      <c r="AT4010" t="s">
        <v>259</v>
      </c>
      <c r="AU4010" t="s">
        <v>20621</v>
      </c>
    </row>
    <row r="4011" spans="1:48">
      <c r="A4011" s="1">
        <f>HYPERLINK("https://lsnyc.legalserver.org/matter/dynamic-profile/view/1854142","17-1854142")</f>
        <v>0</v>
      </c>
      <c r="B4011" t="s">
        <v>103</v>
      </c>
      <c r="C4011" t="s">
        <v>256</v>
      </c>
      <c r="D4011" t="s">
        <v>789</v>
      </c>
      <c r="F4011" t="s">
        <v>1928</v>
      </c>
      <c r="G4011" t="s">
        <v>3405</v>
      </c>
      <c r="H4011" t="s">
        <v>6413</v>
      </c>
      <c r="I4011" t="s">
        <v>8139</v>
      </c>
      <c r="J4011" t="s">
        <v>9065</v>
      </c>
      <c r="K4011">
        <v>10456</v>
      </c>
      <c r="L4011" t="s">
        <v>9094</v>
      </c>
      <c r="M4011" t="s">
        <v>9095</v>
      </c>
      <c r="N4011" t="s">
        <v>9740</v>
      </c>
      <c r="O4011" t="s">
        <v>11135</v>
      </c>
      <c r="P4011" t="s">
        <v>11168</v>
      </c>
      <c r="R4011" t="s">
        <v>11180</v>
      </c>
      <c r="S4011" t="s">
        <v>9094</v>
      </c>
      <c r="T4011" t="s">
        <v>11183</v>
      </c>
      <c r="V4011" t="s">
        <v>11223</v>
      </c>
      <c r="W4011">
        <v>1800</v>
      </c>
      <c r="X4011" t="s">
        <v>11333</v>
      </c>
      <c r="Y4011" t="s">
        <v>11346</v>
      </c>
      <c r="Z4011" t="s">
        <v>13977</v>
      </c>
      <c r="AB4011" t="s">
        <v>18306</v>
      </c>
      <c r="AC4011">
        <v>61</v>
      </c>
      <c r="AD4011" t="s">
        <v>19566</v>
      </c>
      <c r="AE4011" t="s">
        <v>9144</v>
      </c>
      <c r="AF4011">
        <v>1</v>
      </c>
      <c r="AG4011">
        <v>2</v>
      </c>
      <c r="AH4011">
        <v>3</v>
      </c>
      <c r="AI4011">
        <v>145.93</v>
      </c>
      <c r="AJ4011" t="s">
        <v>19597</v>
      </c>
      <c r="AL4011" t="s">
        <v>19615</v>
      </c>
      <c r="AM4011">
        <v>42000</v>
      </c>
      <c r="AS4011">
        <v>0</v>
      </c>
      <c r="AU4011" t="s">
        <v>20643</v>
      </c>
    </row>
    <row r="4012" spans="1:48">
      <c r="A4012" s="1">
        <f>HYPERLINK("https://lsnyc.legalserver.org/matter/dynamic-profile/view/1900603","19-1900603")</f>
        <v>0</v>
      </c>
      <c r="B4012" t="s">
        <v>113</v>
      </c>
      <c r="C4012" t="s">
        <v>256</v>
      </c>
      <c r="D4012" t="s">
        <v>283</v>
      </c>
      <c r="F4012" t="s">
        <v>1858</v>
      </c>
      <c r="G4012" t="s">
        <v>4344</v>
      </c>
      <c r="H4012" t="s">
        <v>5864</v>
      </c>
      <c r="I4012" t="s">
        <v>8133</v>
      </c>
      <c r="J4012" t="s">
        <v>9065</v>
      </c>
      <c r="K4012">
        <v>10460</v>
      </c>
      <c r="L4012" t="s">
        <v>9094</v>
      </c>
      <c r="M4012" t="s">
        <v>9095</v>
      </c>
      <c r="O4012" t="s">
        <v>9121</v>
      </c>
      <c r="P4012" t="s">
        <v>11166</v>
      </c>
      <c r="R4012" t="s">
        <v>11180</v>
      </c>
      <c r="S4012" t="s">
        <v>9094</v>
      </c>
      <c r="T4012" t="s">
        <v>11183</v>
      </c>
      <c r="V4012" t="s">
        <v>11218</v>
      </c>
      <c r="W4012">
        <v>792</v>
      </c>
      <c r="X4012" t="s">
        <v>11333</v>
      </c>
      <c r="Y4012" t="s">
        <v>11346</v>
      </c>
      <c r="Z4012" t="s">
        <v>14011</v>
      </c>
      <c r="AC4012">
        <v>168</v>
      </c>
      <c r="AD4012" t="s">
        <v>19571</v>
      </c>
      <c r="AE4012" t="s">
        <v>11157</v>
      </c>
      <c r="AF4012">
        <v>3</v>
      </c>
      <c r="AG4012">
        <v>1</v>
      </c>
      <c r="AH4012">
        <v>1</v>
      </c>
      <c r="AI4012">
        <v>146.04</v>
      </c>
      <c r="AL4012" t="s">
        <v>19614</v>
      </c>
      <c r="AM4012">
        <v>24696</v>
      </c>
      <c r="AS4012">
        <v>0</v>
      </c>
      <c r="AU4012" t="s">
        <v>20642</v>
      </c>
      <c r="AV4012" t="s">
        <v>20733</v>
      </c>
    </row>
    <row r="4013" spans="1:48">
      <c r="A4013" s="1">
        <f>HYPERLINK("https://lsnyc.legalserver.org/matter/dynamic-profile/view/0805850","16-0805850")</f>
        <v>0</v>
      </c>
      <c r="B4013" t="s">
        <v>58</v>
      </c>
      <c r="C4013" t="s">
        <v>256</v>
      </c>
      <c r="D4013" t="s">
        <v>1049</v>
      </c>
      <c r="F4013" t="s">
        <v>1777</v>
      </c>
      <c r="G4013" t="s">
        <v>3915</v>
      </c>
      <c r="H4013" t="s">
        <v>6619</v>
      </c>
      <c r="I4013">
        <v>2</v>
      </c>
      <c r="J4013" t="s">
        <v>9059</v>
      </c>
      <c r="K4013">
        <v>11225</v>
      </c>
      <c r="L4013" t="s">
        <v>9094</v>
      </c>
      <c r="M4013" t="s">
        <v>9095</v>
      </c>
      <c r="N4013" t="s">
        <v>9493</v>
      </c>
      <c r="O4013" t="s">
        <v>11132</v>
      </c>
      <c r="P4013" t="s">
        <v>11165</v>
      </c>
      <c r="R4013" t="s">
        <v>11180</v>
      </c>
      <c r="S4013" t="s">
        <v>9094</v>
      </c>
      <c r="T4013" t="s">
        <v>11183</v>
      </c>
      <c r="V4013" t="s">
        <v>437</v>
      </c>
      <c r="W4013">
        <v>900.65</v>
      </c>
      <c r="X4013" t="s">
        <v>11332</v>
      </c>
      <c r="Y4013" t="s">
        <v>11346</v>
      </c>
      <c r="Z4013" t="s">
        <v>12525</v>
      </c>
      <c r="AB4013" t="s">
        <v>16920</v>
      </c>
      <c r="AC4013">
        <v>3</v>
      </c>
      <c r="AD4013" t="s">
        <v>19566</v>
      </c>
      <c r="AF4013">
        <v>18</v>
      </c>
      <c r="AG4013">
        <v>1</v>
      </c>
      <c r="AH4013">
        <v>1</v>
      </c>
      <c r="AI4013">
        <v>146.07</v>
      </c>
      <c r="AJ4013" t="s">
        <v>19596</v>
      </c>
      <c r="AL4013" t="s">
        <v>19614</v>
      </c>
      <c r="AM4013">
        <v>23400</v>
      </c>
      <c r="AN4013" t="s">
        <v>19671</v>
      </c>
      <c r="AS4013">
        <v>0.6</v>
      </c>
      <c r="AT4013" t="s">
        <v>953</v>
      </c>
      <c r="AU4013" t="s">
        <v>157</v>
      </c>
    </row>
    <row r="4014" spans="1:48">
      <c r="A4014" s="1">
        <f>HYPERLINK("https://lsnyc.legalserver.org/matter/dynamic-profile/view/1914786","19-1914786")</f>
        <v>0</v>
      </c>
      <c r="B4014" t="s">
        <v>202</v>
      </c>
      <c r="C4014" t="s">
        <v>256</v>
      </c>
      <c r="D4014" t="s">
        <v>632</v>
      </c>
      <c r="F4014" t="s">
        <v>1548</v>
      </c>
      <c r="G4014" t="s">
        <v>4967</v>
      </c>
      <c r="H4014" t="s">
        <v>6621</v>
      </c>
      <c r="I4014">
        <v>37</v>
      </c>
      <c r="J4014" t="s">
        <v>9059</v>
      </c>
      <c r="K4014">
        <v>11213</v>
      </c>
      <c r="L4014" t="s">
        <v>9094</v>
      </c>
      <c r="M4014" t="s">
        <v>9095</v>
      </c>
      <c r="N4014" t="s">
        <v>9625</v>
      </c>
      <c r="O4014" t="s">
        <v>11132</v>
      </c>
      <c r="P4014" t="s">
        <v>11165</v>
      </c>
      <c r="R4014" t="s">
        <v>11180</v>
      </c>
      <c r="S4014" t="s">
        <v>9094</v>
      </c>
      <c r="T4014" t="s">
        <v>11183</v>
      </c>
      <c r="U4014" t="s">
        <v>11201</v>
      </c>
      <c r="V4014" t="s">
        <v>11243</v>
      </c>
      <c r="W4014">
        <v>798.41</v>
      </c>
      <c r="X4014" t="s">
        <v>11332</v>
      </c>
      <c r="Y4014" t="s">
        <v>11157</v>
      </c>
      <c r="Z4014" t="s">
        <v>14012</v>
      </c>
      <c r="AA4014" t="s">
        <v>9144</v>
      </c>
      <c r="AB4014" t="s">
        <v>18342</v>
      </c>
      <c r="AC4014">
        <v>31</v>
      </c>
      <c r="AD4014" t="s">
        <v>19566</v>
      </c>
      <c r="AE4014" t="s">
        <v>19587</v>
      </c>
      <c r="AF4014">
        <v>41</v>
      </c>
      <c r="AG4014">
        <v>2</v>
      </c>
      <c r="AH4014">
        <v>0</v>
      </c>
      <c r="AI4014">
        <v>146.08</v>
      </c>
      <c r="AL4014" t="s">
        <v>19614</v>
      </c>
      <c r="AM4014">
        <v>24702</v>
      </c>
      <c r="AS4014">
        <v>0</v>
      </c>
      <c r="AU4014" t="s">
        <v>95</v>
      </c>
      <c r="AV4014" t="s">
        <v>20733</v>
      </c>
    </row>
    <row r="4015" spans="1:48">
      <c r="A4015" s="1">
        <f>HYPERLINK("https://lsnyc.legalserver.org/matter/dynamic-profile/view/1914636","19-1914636")</f>
        <v>0</v>
      </c>
      <c r="B4015" t="s">
        <v>76</v>
      </c>
      <c r="C4015" t="s">
        <v>256</v>
      </c>
      <c r="D4015" t="s">
        <v>476</v>
      </c>
      <c r="F4015" t="s">
        <v>1548</v>
      </c>
      <c r="G4015" t="s">
        <v>4967</v>
      </c>
      <c r="H4015" t="s">
        <v>6621</v>
      </c>
      <c r="I4015">
        <v>37</v>
      </c>
      <c r="J4015" t="s">
        <v>9059</v>
      </c>
      <c r="K4015">
        <v>11213</v>
      </c>
      <c r="L4015" t="s">
        <v>9094</v>
      </c>
      <c r="M4015" t="s">
        <v>9095</v>
      </c>
      <c r="N4015" t="s">
        <v>9625</v>
      </c>
      <c r="O4015" t="s">
        <v>11134</v>
      </c>
      <c r="P4015" t="s">
        <v>11168</v>
      </c>
      <c r="R4015" t="s">
        <v>11180</v>
      </c>
      <c r="S4015" t="s">
        <v>9094</v>
      </c>
      <c r="T4015" t="s">
        <v>11183</v>
      </c>
      <c r="U4015" t="s">
        <v>11201</v>
      </c>
      <c r="V4015" t="s">
        <v>612</v>
      </c>
      <c r="W4015">
        <v>798.41</v>
      </c>
      <c r="X4015" t="s">
        <v>11332</v>
      </c>
      <c r="Y4015" t="s">
        <v>11346</v>
      </c>
      <c r="Z4015" t="s">
        <v>14012</v>
      </c>
      <c r="AA4015" t="s">
        <v>9171</v>
      </c>
      <c r="AB4015" t="s">
        <v>18342</v>
      </c>
      <c r="AC4015">
        <v>31</v>
      </c>
      <c r="AD4015" t="s">
        <v>19566</v>
      </c>
      <c r="AE4015" t="s">
        <v>19587</v>
      </c>
      <c r="AF4015">
        <v>41</v>
      </c>
      <c r="AG4015">
        <v>2</v>
      </c>
      <c r="AH4015">
        <v>0</v>
      </c>
      <c r="AI4015">
        <v>146.08</v>
      </c>
      <c r="AL4015" t="s">
        <v>19614</v>
      </c>
      <c r="AM4015">
        <v>24702</v>
      </c>
      <c r="AS4015">
        <v>0</v>
      </c>
      <c r="AU4015" t="s">
        <v>95</v>
      </c>
      <c r="AV4015" t="s">
        <v>20733</v>
      </c>
    </row>
    <row r="4016" spans="1:48">
      <c r="A4016" s="1">
        <f>HYPERLINK("https://lsnyc.legalserver.org/matter/dynamic-profile/view/1914639","19-1914639")</f>
        <v>0</v>
      </c>
      <c r="B4016" t="s">
        <v>76</v>
      </c>
      <c r="C4016" t="s">
        <v>256</v>
      </c>
      <c r="D4016" t="s">
        <v>476</v>
      </c>
      <c r="F4016" t="s">
        <v>1548</v>
      </c>
      <c r="G4016" t="s">
        <v>4967</v>
      </c>
      <c r="H4016" t="s">
        <v>6621</v>
      </c>
      <c r="I4016">
        <v>37</v>
      </c>
      <c r="J4016" t="s">
        <v>9059</v>
      </c>
      <c r="K4016">
        <v>11213</v>
      </c>
      <c r="L4016" t="s">
        <v>9094</v>
      </c>
      <c r="M4016" t="s">
        <v>9095</v>
      </c>
      <c r="N4016" t="s">
        <v>9171</v>
      </c>
      <c r="O4016" t="s">
        <v>11134</v>
      </c>
      <c r="P4016" t="s">
        <v>11168</v>
      </c>
      <c r="R4016" t="s">
        <v>11180</v>
      </c>
      <c r="S4016" t="s">
        <v>9096</v>
      </c>
      <c r="T4016" t="s">
        <v>11183</v>
      </c>
      <c r="U4016" t="s">
        <v>11201</v>
      </c>
      <c r="V4016" t="s">
        <v>413</v>
      </c>
      <c r="W4016">
        <v>798.41</v>
      </c>
      <c r="X4016" t="s">
        <v>11332</v>
      </c>
      <c r="Y4016" t="s">
        <v>11346</v>
      </c>
      <c r="Z4016" t="s">
        <v>14012</v>
      </c>
      <c r="AA4016" t="s">
        <v>9171</v>
      </c>
      <c r="AB4016" t="s">
        <v>18342</v>
      </c>
      <c r="AC4016">
        <v>31</v>
      </c>
      <c r="AD4016" t="s">
        <v>19566</v>
      </c>
      <c r="AE4016" t="s">
        <v>19587</v>
      </c>
      <c r="AF4016">
        <v>41</v>
      </c>
      <c r="AG4016">
        <v>2</v>
      </c>
      <c r="AH4016">
        <v>0</v>
      </c>
      <c r="AI4016">
        <v>146.08</v>
      </c>
      <c r="AL4016" t="s">
        <v>19614</v>
      </c>
      <c r="AM4016">
        <v>24702</v>
      </c>
      <c r="AS4016">
        <v>0</v>
      </c>
      <c r="AU4016" t="s">
        <v>95</v>
      </c>
      <c r="AV4016" t="s">
        <v>20733</v>
      </c>
    </row>
    <row r="4017" spans="1:48">
      <c r="A4017" s="1">
        <f>HYPERLINK("https://lsnyc.legalserver.org/matter/dynamic-profile/view/1909731","19-1909731")</f>
        <v>0</v>
      </c>
      <c r="B4017" t="s">
        <v>70</v>
      </c>
      <c r="C4017" t="s">
        <v>256</v>
      </c>
      <c r="D4017" t="s">
        <v>425</v>
      </c>
      <c r="F4017" t="s">
        <v>1548</v>
      </c>
      <c r="G4017" t="s">
        <v>4967</v>
      </c>
      <c r="H4017" t="s">
        <v>6621</v>
      </c>
      <c r="I4017">
        <v>37</v>
      </c>
      <c r="J4017" t="s">
        <v>9059</v>
      </c>
      <c r="K4017">
        <v>11213</v>
      </c>
      <c r="L4017" t="s">
        <v>9094</v>
      </c>
      <c r="M4017" t="s">
        <v>9095</v>
      </c>
      <c r="N4017" t="s">
        <v>9121</v>
      </c>
      <c r="O4017" t="s">
        <v>11155</v>
      </c>
      <c r="P4017" t="s">
        <v>11167</v>
      </c>
      <c r="R4017" t="s">
        <v>11180</v>
      </c>
      <c r="S4017" t="s">
        <v>9096</v>
      </c>
      <c r="T4017" t="s">
        <v>11183</v>
      </c>
      <c r="U4017" t="s">
        <v>11201</v>
      </c>
      <c r="V4017" t="s">
        <v>444</v>
      </c>
      <c r="W4017">
        <v>798.41</v>
      </c>
      <c r="X4017" t="s">
        <v>11332</v>
      </c>
      <c r="Y4017" t="s">
        <v>11157</v>
      </c>
      <c r="Z4017" t="s">
        <v>14012</v>
      </c>
      <c r="AA4017" t="s">
        <v>9144</v>
      </c>
      <c r="AB4017" t="s">
        <v>18342</v>
      </c>
      <c r="AC4017">
        <v>31</v>
      </c>
      <c r="AD4017" t="s">
        <v>19566</v>
      </c>
      <c r="AE4017" t="s">
        <v>19587</v>
      </c>
      <c r="AF4017">
        <v>41</v>
      </c>
      <c r="AG4017">
        <v>2</v>
      </c>
      <c r="AH4017">
        <v>0</v>
      </c>
      <c r="AI4017">
        <v>146.08</v>
      </c>
      <c r="AL4017" t="s">
        <v>19614</v>
      </c>
      <c r="AM4017">
        <v>24702</v>
      </c>
      <c r="AS4017">
        <v>18.9</v>
      </c>
      <c r="AT4017" t="s">
        <v>594</v>
      </c>
      <c r="AU4017" t="s">
        <v>79</v>
      </c>
      <c r="AV4017" t="s">
        <v>20733</v>
      </c>
    </row>
    <row r="4018" spans="1:48">
      <c r="A4018" s="1">
        <f>HYPERLINK("https://lsnyc.legalserver.org/matter/dynamic-profile/view/1913860","19-1913860")</f>
        <v>0</v>
      </c>
      <c r="B4018" t="s">
        <v>202</v>
      </c>
      <c r="C4018" t="s">
        <v>256</v>
      </c>
      <c r="D4018" t="s">
        <v>301</v>
      </c>
      <c r="F4018" t="s">
        <v>1548</v>
      </c>
      <c r="G4018" t="s">
        <v>4967</v>
      </c>
      <c r="H4018" t="s">
        <v>6621</v>
      </c>
      <c r="I4018">
        <v>37</v>
      </c>
      <c r="J4018" t="s">
        <v>9059</v>
      </c>
      <c r="K4018">
        <v>11213</v>
      </c>
      <c r="L4018" t="s">
        <v>9094</v>
      </c>
      <c r="M4018" t="s">
        <v>9095</v>
      </c>
      <c r="N4018" t="s">
        <v>9154</v>
      </c>
      <c r="O4018" t="s">
        <v>9121</v>
      </c>
      <c r="P4018" t="s">
        <v>11167</v>
      </c>
      <c r="R4018" t="s">
        <v>11180</v>
      </c>
      <c r="S4018" t="s">
        <v>9094</v>
      </c>
      <c r="T4018" t="s">
        <v>11183</v>
      </c>
      <c r="U4018" t="s">
        <v>11201</v>
      </c>
      <c r="V4018" t="s">
        <v>301</v>
      </c>
      <c r="W4018">
        <v>798.41</v>
      </c>
      <c r="X4018" t="s">
        <v>11332</v>
      </c>
      <c r="Y4018" t="s">
        <v>11157</v>
      </c>
      <c r="Z4018" t="s">
        <v>14012</v>
      </c>
      <c r="AA4018" t="s">
        <v>9144</v>
      </c>
      <c r="AB4018" t="s">
        <v>18342</v>
      </c>
      <c r="AC4018">
        <v>31</v>
      </c>
      <c r="AD4018" t="s">
        <v>19566</v>
      </c>
      <c r="AE4018" t="s">
        <v>19587</v>
      </c>
      <c r="AF4018">
        <v>41</v>
      </c>
      <c r="AG4018">
        <v>2</v>
      </c>
      <c r="AH4018">
        <v>0</v>
      </c>
      <c r="AI4018">
        <v>146.08</v>
      </c>
      <c r="AL4018" t="s">
        <v>19614</v>
      </c>
      <c r="AM4018">
        <v>24702</v>
      </c>
      <c r="AS4018">
        <v>0</v>
      </c>
      <c r="AU4018" t="s">
        <v>95</v>
      </c>
      <c r="AV4018" t="s">
        <v>20733</v>
      </c>
    </row>
    <row r="4019" spans="1:48">
      <c r="A4019" s="1">
        <f>HYPERLINK("https://lsnyc.legalserver.org/matter/dynamic-profile/view/0802567","16-0802567")</f>
        <v>0</v>
      </c>
      <c r="B4019" t="s">
        <v>111</v>
      </c>
      <c r="C4019" t="s">
        <v>256</v>
      </c>
      <c r="D4019" t="s">
        <v>995</v>
      </c>
      <c r="F4019" t="s">
        <v>1397</v>
      </c>
      <c r="G4019" t="s">
        <v>3656</v>
      </c>
      <c r="H4019" t="s">
        <v>6104</v>
      </c>
      <c r="I4019" t="s">
        <v>8802</v>
      </c>
      <c r="J4019" t="s">
        <v>9065</v>
      </c>
      <c r="K4019">
        <v>10452</v>
      </c>
      <c r="L4019" t="s">
        <v>9094</v>
      </c>
      <c r="M4019" t="s">
        <v>9095</v>
      </c>
      <c r="O4019" t="s">
        <v>11147</v>
      </c>
      <c r="P4019" t="s">
        <v>11165</v>
      </c>
      <c r="R4019" t="s">
        <v>11180</v>
      </c>
      <c r="S4019" t="s">
        <v>9094</v>
      </c>
      <c r="T4019" t="s">
        <v>11183</v>
      </c>
      <c r="V4019" t="s">
        <v>1005</v>
      </c>
      <c r="W4019">
        <v>940.13</v>
      </c>
      <c r="X4019" t="s">
        <v>11333</v>
      </c>
      <c r="Y4019" t="s">
        <v>11346</v>
      </c>
      <c r="Z4019" t="s">
        <v>14013</v>
      </c>
      <c r="AB4019" t="s">
        <v>18343</v>
      </c>
      <c r="AC4019">
        <v>0</v>
      </c>
      <c r="AD4019" t="s">
        <v>19566</v>
      </c>
      <c r="AF4019">
        <v>7</v>
      </c>
      <c r="AG4019">
        <v>3</v>
      </c>
      <c r="AH4019">
        <v>1</v>
      </c>
      <c r="AI4019">
        <v>146.09</v>
      </c>
      <c r="AL4019" t="s">
        <v>19615</v>
      </c>
      <c r="AM4019">
        <v>35500</v>
      </c>
      <c r="AS4019">
        <v>0.2</v>
      </c>
      <c r="AT4019" t="s">
        <v>865</v>
      </c>
      <c r="AU4019" t="s">
        <v>109</v>
      </c>
    </row>
    <row r="4020" spans="1:48">
      <c r="A4020" s="1">
        <f>HYPERLINK("https://lsnyc.legalserver.org/matter/dynamic-profile/view/1915342","19-1915342")</f>
        <v>0</v>
      </c>
      <c r="B4020" t="s">
        <v>119</v>
      </c>
      <c r="C4020" t="s">
        <v>256</v>
      </c>
      <c r="D4020" t="s">
        <v>487</v>
      </c>
      <c r="F4020" t="s">
        <v>2710</v>
      </c>
      <c r="G4020" t="s">
        <v>3530</v>
      </c>
      <c r="H4020" t="s">
        <v>7538</v>
      </c>
      <c r="I4020" t="s">
        <v>8207</v>
      </c>
      <c r="J4020" t="s">
        <v>9065</v>
      </c>
      <c r="K4020">
        <v>10452</v>
      </c>
      <c r="L4020" t="s">
        <v>9094</v>
      </c>
      <c r="M4020" t="s">
        <v>9095</v>
      </c>
      <c r="P4020" t="s">
        <v>11169</v>
      </c>
      <c r="R4020" t="s">
        <v>11180</v>
      </c>
      <c r="S4020" t="s">
        <v>9096</v>
      </c>
      <c r="T4020" t="s">
        <v>11183</v>
      </c>
      <c r="W4020">
        <v>1141</v>
      </c>
      <c r="X4020" t="s">
        <v>11333</v>
      </c>
      <c r="Y4020" t="s">
        <v>11346</v>
      </c>
      <c r="Z4020" t="s">
        <v>14014</v>
      </c>
      <c r="AC4020">
        <v>82</v>
      </c>
      <c r="AD4020" t="s">
        <v>15441</v>
      </c>
      <c r="AE4020" t="s">
        <v>9144</v>
      </c>
      <c r="AF4020">
        <v>6</v>
      </c>
      <c r="AG4020">
        <v>3</v>
      </c>
      <c r="AH4020">
        <v>0</v>
      </c>
      <c r="AI4020">
        <v>146.16</v>
      </c>
      <c r="AL4020" t="s">
        <v>19615</v>
      </c>
      <c r="AM4020">
        <v>31176</v>
      </c>
      <c r="AS4020">
        <v>0</v>
      </c>
      <c r="AU4020" t="s">
        <v>220</v>
      </c>
    </row>
    <row r="4021" spans="1:48">
      <c r="A4021" s="1">
        <f>HYPERLINK("https://lsnyc.legalserver.org/matter/dynamic-profile/view/1914674","19-1914674")</f>
        <v>0</v>
      </c>
      <c r="B4021" t="s">
        <v>84</v>
      </c>
      <c r="C4021" t="s">
        <v>256</v>
      </c>
      <c r="D4021" t="s">
        <v>476</v>
      </c>
      <c r="F4021" t="s">
        <v>1145</v>
      </c>
      <c r="G4021" t="s">
        <v>4968</v>
      </c>
      <c r="H4021" t="s">
        <v>7539</v>
      </c>
      <c r="I4021">
        <v>24</v>
      </c>
      <c r="J4021" t="s">
        <v>9059</v>
      </c>
      <c r="K4021">
        <v>11230</v>
      </c>
      <c r="L4021" t="s">
        <v>9094</v>
      </c>
      <c r="M4021" t="s">
        <v>9095</v>
      </c>
      <c r="P4021" t="s">
        <v>11165</v>
      </c>
      <c r="R4021" t="s">
        <v>11180</v>
      </c>
      <c r="T4021" t="s">
        <v>11183</v>
      </c>
      <c r="V4021" t="s">
        <v>476</v>
      </c>
      <c r="W4021">
        <v>830</v>
      </c>
      <c r="X4021" t="s">
        <v>11332</v>
      </c>
      <c r="Z4021" t="s">
        <v>14015</v>
      </c>
      <c r="AB4021" t="s">
        <v>18344</v>
      </c>
      <c r="AC4021">
        <v>0</v>
      </c>
      <c r="AF4021">
        <v>40</v>
      </c>
      <c r="AG4021">
        <v>2</v>
      </c>
      <c r="AH4021">
        <v>0</v>
      </c>
      <c r="AI4021">
        <v>146.19</v>
      </c>
      <c r="AL4021" t="s">
        <v>19614</v>
      </c>
      <c r="AM4021">
        <v>24720</v>
      </c>
      <c r="AS4021">
        <v>0</v>
      </c>
      <c r="AU4021" t="s">
        <v>215</v>
      </c>
      <c r="AV4021" t="s">
        <v>20733</v>
      </c>
    </row>
    <row r="4022" spans="1:48">
      <c r="A4022" s="1">
        <f>HYPERLINK("https://lsnyc.legalserver.org/matter/dynamic-profile/view/1896719","19-1896719")</f>
        <v>0</v>
      </c>
      <c r="B4022" t="s">
        <v>50</v>
      </c>
      <c r="C4022" t="s">
        <v>256</v>
      </c>
      <c r="D4022" t="s">
        <v>454</v>
      </c>
      <c r="F4022" t="s">
        <v>2711</v>
      </c>
      <c r="G4022" t="s">
        <v>4969</v>
      </c>
      <c r="H4022" t="s">
        <v>7540</v>
      </c>
      <c r="J4022" t="s">
        <v>9039</v>
      </c>
      <c r="K4022">
        <v>11435</v>
      </c>
      <c r="L4022" t="s">
        <v>9094</v>
      </c>
      <c r="M4022" t="s">
        <v>9094</v>
      </c>
      <c r="O4022" t="s">
        <v>11134</v>
      </c>
      <c r="P4022" t="s">
        <v>11166</v>
      </c>
      <c r="R4022" t="s">
        <v>11180</v>
      </c>
      <c r="S4022" t="s">
        <v>9096</v>
      </c>
      <c r="T4022" t="s">
        <v>11183</v>
      </c>
      <c r="U4022" t="s">
        <v>11201</v>
      </c>
      <c r="V4022" t="s">
        <v>11217</v>
      </c>
      <c r="W4022">
        <v>950</v>
      </c>
      <c r="X4022" t="s">
        <v>11331</v>
      </c>
      <c r="Z4022" t="s">
        <v>14016</v>
      </c>
      <c r="AB4022" t="s">
        <v>18345</v>
      </c>
      <c r="AC4022">
        <v>10</v>
      </c>
      <c r="AD4022" t="s">
        <v>15441</v>
      </c>
      <c r="AF4022">
        <v>15</v>
      </c>
      <c r="AG4022">
        <v>1</v>
      </c>
      <c r="AH4022">
        <v>2</v>
      </c>
      <c r="AI4022">
        <v>146.27</v>
      </c>
      <c r="AL4022" t="s">
        <v>19614</v>
      </c>
      <c r="AM4022">
        <v>31200</v>
      </c>
      <c r="AS4022">
        <v>2.25</v>
      </c>
      <c r="AT4022" t="s">
        <v>328</v>
      </c>
      <c r="AU4022" t="s">
        <v>50</v>
      </c>
      <c r="AV4022" t="s">
        <v>20733</v>
      </c>
    </row>
    <row r="4023" spans="1:48">
      <c r="A4023" s="1">
        <f>HYPERLINK("https://lsnyc.legalserver.org/matter/dynamic-profile/view/1896462","19-1896462")</f>
        <v>0</v>
      </c>
      <c r="B4023" t="s">
        <v>64</v>
      </c>
      <c r="C4023" t="s">
        <v>256</v>
      </c>
      <c r="D4023" t="s">
        <v>384</v>
      </c>
      <c r="F4023" t="s">
        <v>2712</v>
      </c>
      <c r="G4023" t="s">
        <v>3427</v>
      </c>
      <c r="H4023" t="s">
        <v>7541</v>
      </c>
      <c r="I4023" t="s">
        <v>8170</v>
      </c>
      <c r="J4023" t="s">
        <v>9059</v>
      </c>
      <c r="K4023">
        <v>11208</v>
      </c>
      <c r="L4023" t="s">
        <v>9094</v>
      </c>
      <c r="M4023" t="s">
        <v>9094</v>
      </c>
      <c r="N4023" t="s">
        <v>10593</v>
      </c>
      <c r="O4023" t="s">
        <v>11128</v>
      </c>
      <c r="P4023" t="s">
        <v>11165</v>
      </c>
      <c r="R4023" t="s">
        <v>11180</v>
      </c>
      <c r="S4023" t="s">
        <v>9096</v>
      </c>
      <c r="T4023" t="s">
        <v>11183</v>
      </c>
      <c r="U4023" t="s">
        <v>11201</v>
      </c>
      <c r="V4023" t="s">
        <v>394</v>
      </c>
      <c r="W4023">
        <v>1550</v>
      </c>
      <c r="X4023" t="s">
        <v>11332</v>
      </c>
      <c r="Y4023" t="s">
        <v>11336</v>
      </c>
      <c r="Z4023" t="s">
        <v>14017</v>
      </c>
      <c r="AA4023" t="s">
        <v>15836</v>
      </c>
      <c r="AB4023" t="s">
        <v>18346</v>
      </c>
      <c r="AC4023">
        <v>4</v>
      </c>
      <c r="AD4023" t="s">
        <v>19565</v>
      </c>
      <c r="AE4023" t="s">
        <v>19586</v>
      </c>
      <c r="AF4023">
        <v>4</v>
      </c>
      <c r="AG4023">
        <v>2</v>
      </c>
      <c r="AH4023">
        <v>1</v>
      </c>
      <c r="AI4023">
        <v>146.27</v>
      </c>
      <c r="AL4023" t="s">
        <v>19614</v>
      </c>
      <c r="AM4023">
        <v>31200</v>
      </c>
      <c r="AS4023">
        <v>27.8</v>
      </c>
      <c r="AT4023" t="s">
        <v>487</v>
      </c>
      <c r="AU4023" t="s">
        <v>95</v>
      </c>
      <c r="AV4023" t="s">
        <v>20733</v>
      </c>
    </row>
    <row r="4024" spans="1:48">
      <c r="A4024" s="1">
        <f>HYPERLINK("https://lsnyc.legalserver.org/matter/dynamic-profile/view/1911435","19-1911435")</f>
        <v>0</v>
      </c>
      <c r="B4024" t="s">
        <v>102</v>
      </c>
      <c r="C4024" t="s">
        <v>256</v>
      </c>
      <c r="D4024" t="s">
        <v>832</v>
      </c>
      <c r="F4024" t="s">
        <v>2399</v>
      </c>
      <c r="G4024" t="s">
        <v>3720</v>
      </c>
      <c r="H4024" t="s">
        <v>7542</v>
      </c>
      <c r="I4024" t="s">
        <v>8107</v>
      </c>
      <c r="J4024" t="s">
        <v>9059</v>
      </c>
      <c r="K4024">
        <v>11208</v>
      </c>
      <c r="L4024" t="s">
        <v>9096</v>
      </c>
      <c r="M4024" t="s">
        <v>9095</v>
      </c>
      <c r="N4024" t="s">
        <v>10594</v>
      </c>
      <c r="O4024" t="s">
        <v>11128</v>
      </c>
      <c r="P4024" t="s">
        <v>11169</v>
      </c>
      <c r="R4024" t="s">
        <v>11180</v>
      </c>
      <c r="S4024" t="s">
        <v>9096</v>
      </c>
      <c r="T4024" t="s">
        <v>11183</v>
      </c>
      <c r="U4024" t="s">
        <v>11201</v>
      </c>
      <c r="W4024">
        <v>1300</v>
      </c>
      <c r="X4024" t="s">
        <v>11332</v>
      </c>
      <c r="Y4024" t="s">
        <v>11157</v>
      </c>
      <c r="Z4024" t="s">
        <v>11972</v>
      </c>
      <c r="AA4024" t="s">
        <v>9171</v>
      </c>
      <c r="AB4024" t="s">
        <v>15274</v>
      </c>
      <c r="AC4024">
        <v>3</v>
      </c>
      <c r="AD4024" t="s">
        <v>19565</v>
      </c>
      <c r="AE4024" t="s">
        <v>9144</v>
      </c>
      <c r="AF4024">
        <v>2</v>
      </c>
      <c r="AG4024">
        <v>2</v>
      </c>
      <c r="AH4024">
        <v>1</v>
      </c>
      <c r="AI4024">
        <v>146.27</v>
      </c>
      <c r="AL4024" t="s">
        <v>19615</v>
      </c>
      <c r="AM4024">
        <v>31200</v>
      </c>
      <c r="AS4024">
        <v>0.6</v>
      </c>
      <c r="AT4024" t="s">
        <v>832</v>
      </c>
      <c r="AU4024" t="s">
        <v>20638</v>
      </c>
      <c r="AV4024" t="s">
        <v>9144</v>
      </c>
    </row>
    <row r="4025" spans="1:48">
      <c r="A4025" s="1">
        <f>HYPERLINK("https://lsnyc.legalserver.org/matter/dynamic-profile/view/1896368","19-1896368")</f>
        <v>0</v>
      </c>
      <c r="B4025" t="s">
        <v>114</v>
      </c>
      <c r="C4025" t="s">
        <v>256</v>
      </c>
      <c r="D4025" t="s">
        <v>350</v>
      </c>
      <c r="F4025" t="s">
        <v>2713</v>
      </c>
      <c r="G4025" t="s">
        <v>4970</v>
      </c>
      <c r="H4025" t="s">
        <v>7543</v>
      </c>
      <c r="I4025" t="s">
        <v>8803</v>
      </c>
      <c r="J4025" t="s">
        <v>9065</v>
      </c>
      <c r="K4025">
        <v>10459</v>
      </c>
      <c r="L4025" t="s">
        <v>9094</v>
      </c>
      <c r="M4025" t="s">
        <v>9094</v>
      </c>
      <c r="P4025" t="s">
        <v>11167</v>
      </c>
      <c r="R4025" t="s">
        <v>11180</v>
      </c>
      <c r="T4025" t="s">
        <v>11183</v>
      </c>
      <c r="V4025" t="s">
        <v>11218</v>
      </c>
      <c r="W4025">
        <v>1059</v>
      </c>
      <c r="X4025" t="s">
        <v>11333</v>
      </c>
      <c r="Y4025" t="s">
        <v>11351</v>
      </c>
      <c r="Z4025" t="s">
        <v>14018</v>
      </c>
      <c r="AB4025" t="s">
        <v>18347</v>
      </c>
      <c r="AC4025">
        <v>35</v>
      </c>
      <c r="AD4025" t="s">
        <v>19566</v>
      </c>
      <c r="AE4025" t="s">
        <v>9144</v>
      </c>
      <c r="AF4025">
        <v>7</v>
      </c>
      <c r="AG4025">
        <v>1</v>
      </c>
      <c r="AH4025">
        <v>2</v>
      </c>
      <c r="AI4025">
        <v>146.27</v>
      </c>
      <c r="AL4025" t="s">
        <v>19615</v>
      </c>
      <c r="AM4025">
        <v>31200</v>
      </c>
      <c r="AS4025">
        <v>1.6</v>
      </c>
      <c r="AT4025" t="s">
        <v>497</v>
      </c>
      <c r="AU4025" t="s">
        <v>163</v>
      </c>
      <c r="AV4025" t="s">
        <v>20733</v>
      </c>
    </row>
    <row r="4026" spans="1:48">
      <c r="A4026" s="1">
        <f>HYPERLINK("https://lsnyc.legalserver.org/matter/dynamic-profile/view/1889777","19-1889777")</f>
        <v>0</v>
      </c>
      <c r="B4026" t="s">
        <v>111</v>
      </c>
      <c r="C4026" t="s">
        <v>256</v>
      </c>
      <c r="D4026" t="s">
        <v>391</v>
      </c>
      <c r="F4026" t="s">
        <v>1367</v>
      </c>
      <c r="G4026" t="s">
        <v>4971</v>
      </c>
      <c r="H4026" t="s">
        <v>7544</v>
      </c>
      <c r="I4026" t="s">
        <v>8132</v>
      </c>
      <c r="J4026" t="s">
        <v>9065</v>
      </c>
      <c r="K4026">
        <v>10457</v>
      </c>
      <c r="L4026" t="s">
        <v>9094</v>
      </c>
      <c r="M4026" t="s">
        <v>9094</v>
      </c>
      <c r="O4026" t="s">
        <v>11136</v>
      </c>
      <c r="P4026" t="s">
        <v>11167</v>
      </c>
      <c r="R4026" t="s">
        <v>11180</v>
      </c>
      <c r="S4026" t="s">
        <v>9096</v>
      </c>
      <c r="T4026" t="s">
        <v>11183</v>
      </c>
      <c r="V4026" t="s">
        <v>494</v>
      </c>
      <c r="W4026">
        <v>300</v>
      </c>
      <c r="X4026" t="s">
        <v>11333</v>
      </c>
      <c r="Y4026" t="s">
        <v>11346</v>
      </c>
      <c r="Z4026" t="s">
        <v>14019</v>
      </c>
      <c r="AB4026" t="s">
        <v>18348</v>
      </c>
      <c r="AC4026">
        <v>8</v>
      </c>
      <c r="AD4026" t="s">
        <v>19566</v>
      </c>
      <c r="AE4026" t="s">
        <v>19580</v>
      </c>
      <c r="AF4026">
        <v>2</v>
      </c>
      <c r="AG4026">
        <v>3</v>
      </c>
      <c r="AH4026">
        <v>0</v>
      </c>
      <c r="AI4026">
        <v>146.27</v>
      </c>
      <c r="AL4026" t="s">
        <v>19615</v>
      </c>
      <c r="AM4026">
        <v>31200</v>
      </c>
      <c r="AS4026">
        <v>0.5</v>
      </c>
      <c r="AT4026" t="s">
        <v>441</v>
      </c>
      <c r="AU4026" t="s">
        <v>20642</v>
      </c>
    </row>
    <row r="4027" spans="1:48">
      <c r="A4027" s="1">
        <f>HYPERLINK("https://lsnyc.legalserver.org/matter/dynamic-profile/view/1899494","19-1899494")</f>
        <v>0</v>
      </c>
      <c r="B4027" t="s">
        <v>129</v>
      </c>
      <c r="C4027" t="s">
        <v>257</v>
      </c>
      <c r="D4027" t="s">
        <v>338</v>
      </c>
      <c r="E4027" t="s">
        <v>551</v>
      </c>
      <c r="F4027" t="s">
        <v>2714</v>
      </c>
      <c r="G4027" t="s">
        <v>4972</v>
      </c>
      <c r="H4027" t="s">
        <v>7545</v>
      </c>
      <c r="I4027" t="s">
        <v>8129</v>
      </c>
      <c r="J4027" t="s">
        <v>9066</v>
      </c>
      <c r="K4027">
        <v>10304</v>
      </c>
      <c r="L4027" t="s">
        <v>9094</v>
      </c>
      <c r="M4027" t="s">
        <v>9095</v>
      </c>
      <c r="N4027" t="s">
        <v>10595</v>
      </c>
      <c r="O4027" t="s">
        <v>11129</v>
      </c>
      <c r="P4027" t="s">
        <v>11165</v>
      </c>
      <c r="Q4027" t="s">
        <v>11174</v>
      </c>
      <c r="R4027" t="s">
        <v>11180</v>
      </c>
      <c r="S4027" t="s">
        <v>9096</v>
      </c>
      <c r="T4027" t="s">
        <v>11183</v>
      </c>
      <c r="U4027" t="s">
        <v>11201</v>
      </c>
      <c r="V4027" t="s">
        <v>261</v>
      </c>
      <c r="W4027">
        <v>1515</v>
      </c>
      <c r="X4027" t="s">
        <v>11334</v>
      </c>
      <c r="Y4027" t="s">
        <v>11345</v>
      </c>
      <c r="Z4027" t="s">
        <v>14020</v>
      </c>
      <c r="AB4027" t="s">
        <v>18349</v>
      </c>
      <c r="AC4027">
        <v>2</v>
      </c>
      <c r="AD4027" t="s">
        <v>19565</v>
      </c>
      <c r="AE4027" t="s">
        <v>9144</v>
      </c>
      <c r="AF4027">
        <v>3</v>
      </c>
      <c r="AG4027">
        <v>1</v>
      </c>
      <c r="AH4027">
        <v>2</v>
      </c>
      <c r="AI4027">
        <v>146.27</v>
      </c>
      <c r="AL4027" t="s">
        <v>19614</v>
      </c>
      <c r="AM4027">
        <v>31200</v>
      </c>
      <c r="AP4027" t="s">
        <v>11157</v>
      </c>
      <c r="AQ4027" t="s">
        <v>20368</v>
      </c>
      <c r="AR4027" t="s">
        <v>20533</v>
      </c>
      <c r="AS4027">
        <v>5.35</v>
      </c>
      <c r="AT4027" t="s">
        <v>396</v>
      </c>
      <c r="AU4027" t="s">
        <v>20653</v>
      </c>
      <c r="AV4027" t="s">
        <v>20733</v>
      </c>
    </row>
    <row r="4028" spans="1:48">
      <c r="A4028" s="1">
        <f>HYPERLINK("https://lsnyc.legalserver.org/matter/dynamic-profile/view/1880006","18-1880006")</f>
        <v>0</v>
      </c>
      <c r="B4028" t="s">
        <v>71</v>
      </c>
      <c r="C4028" t="s">
        <v>257</v>
      </c>
      <c r="D4028" t="s">
        <v>699</v>
      </c>
      <c r="E4028" t="s">
        <v>483</v>
      </c>
      <c r="F4028" t="s">
        <v>2715</v>
      </c>
      <c r="G4028" t="s">
        <v>4973</v>
      </c>
      <c r="H4028" t="s">
        <v>7546</v>
      </c>
      <c r="I4028" t="s">
        <v>8209</v>
      </c>
      <c r="J4028" t="s">
        <v>9059</v>
      </c>
      <c r="K4028">
        <v>11212</v>
      </c>
      <c r="L4028" t="s">
        <v>9094</v>
      </c>
      <c r="M4028" t="s">
        <v>9094</v>
      </c>
      <c r="N4028" t="s">
        <v>10596</v>
      </c>
      <c r="O4028" t="s">
        <v>11129</v>
      </c>
      <c r="P4028" t="s">
        <v>11165</v>
      </c>
      <c r="Q4028" t="s">
        <v>11174</v>
      </c>
      <c r="R4028" t="s">
        <v>11180</v>
      </c>
      <c r="S4028" t="s">
        <v>9096</v>
      </c>
      <c r="T4028" t="s">
        <v>11183</v>
      </c>
      <c r="U4028" t="s">
        <v>11201</v>
      </c>
      <c r="V4028" t="s">
        <v>511</v>
      </c>
      <c r="W4028">
        <v>1550</v>
      </c>
      <c r="X4028" t="s">
        <v>11332</v>
      </c>
      <c r="Y4028" t="s">
        <v>11340</v>
      </c>
      <c r="Z4028" t="s">
        <v>14021</v>
      </c>
      <c r="AA4028" t="s">
        <v>15290</v>
      </c>
      <c r="AB4028" t="s">
        <v>18350</v>
      </c>
      <c r="AC4028">
        <v>6</v>
      </c>
      <c r="AD4028" t="s">
        <v>19566</v>
      </c>
      <c r="AE4028" t="s">
        <v>9144</v>
      </c>
      <c r="AF4028">
        <v>2</v>
      </c>
      <c r="AG4028">
        <v>1</v>
      </c>
      <c r="AH4028">
        <v>2</v>
      </c>
      <c r="AI4028">
        <v>146.3</v>
      </c>
      <c r="AL4028" t="s">
        <v>19614</v>
      </c>
      <c r="AM4028">
        <v>30402</v>
      </c>
      <c r="AS4028">
        <v>45.4</v>
      </c>
      <c r="AT4028" t="s">
        <v>988</v>
      </c>
      <c r="AU4028" t="s">
        <v>95</v>
      </c>
    </row>
    <row r="4029" spans="1:48">
      <c r="A4029" s="1">
        <f>HYPERLINK("https://lsnyc.legalserver.org/matter/dynamic-profile/view/1852984","17-1852984")</f>
        <v>0</v>
      </c>
      <c r="B4029" t="s">
        <v>193</v>
      </c>
      <c r="C4029" t="s">
        <v>256</v>
      </c>
      <c r="D4029" t="s">
        <v>1050</v>
      </c>
      <c r="F4029" t="s">
        <v>1700</v>
      </c>
      <c r="G4029" t="s">
        <v>4974</v>
      </c>
      <c r="H4029" t="s">
        <v>7547</v>
      </c>
      <c r="I4029" t="s">
        <v>8583</v>
      </c>
      <c r="J4029" t="s">
        <v>9039</v>
      </c>
      <c r="K4029">
        <v>11432</v>
      </c>
      <c r="L4029" t="s">
        <v>9094</v>
      </c>
      <c r="M4029" t="s">
        <v>9095</v>
      </c>
      <c r="N4029" t="s">
        <v>10597</v>
      </c>
      <c r="O4029" t="s">
        <v>11130</v>
      </c>
      <c r="P4029" t="s">
        <v>11165</v>
      </c>
      <c r="R4029" t="s">
        <v>11180</v>
      </c>
      <c r="S4029" t="s">
        <v>9096</v>
      </c>
      <c r="T4029" t="s">
        <v>11183</v>
      </c>
      <c r="V4029" t="s">
        <v>11278</v>
      </c>
      <c r="W4029">
        <v>1416</v>
      </c>
      <c r="X4029" t="s">
        <v>11331</v>
      </c>
      <c r="Y4029" t="s">
        <v>11338</v>
      </c>
      <c r="Z4029" t="s">
        <v>14022</v>
      </c>
      <c r="AA4029" t="s">
        <v>9171</v>
      </c>
      <c r="AB4029" t="s">
        <v>18351</v>
      </c>
      <c r="AC4029">
        <v>64</v>
      </c>
      <c r="AD4029" t="s">
        <v>19566</v>
      </c>
      <c r="AE4029" t="s">
        <v>9144</v>
      </c>
      <c r="AF4029">
        <v>4</v>
      </c>
      <c r="AG4029">
        <v>4</v>
      </c>
      <c r="AH4029">
        <v>0</v>
      </c>
      <c r="AI4029">
        <v>146.34</v>
      </c>
      <c r="AJ4029" t="s">
        <v>19592</v>
      </c>
      <c r="AL4029" t="s">
        <v>19615</v>
      </c>
      <c r="AM4029">
        <v>36000</v>
      </c>
      <c r="AS4029">
        <v>90.95</v>
      </c>
      <c r="AT4029" t="s">
        <v>336</v>
      </c>
      <c r="AU4029" t="s">
        <v>20620</v>
      </c>
    </row>
    <row r="4030" spans="1:48">
      <c r="A4030" s="1">
        <f>HYPERLINK("https://lsnyc.legalserver.org/matter/dynamic-profile/view/0797705","16-0797705")</f>
        <v>0</v>
      </c>
      <c r="B4030" t="s">
        <v>101</v>
      </c>
      <c r="C4030" t="s">
        <v>256</v>
      </c>
      <c r="D4030" t="s">
        <v>528</v>
      </c>
      <c r="F4030" t="s">
        <v>2716</v>
      </c>
      <c r="G4030" t="s">
        <v>4133</v>
      </c>
      <c r="H4030" t="s">
        <v>5890</v>
      </c>
      <c r="I4030" t="s">
        <v>8199</v>
      </c>
      <c r="J4030" t="s">
        <v>9065</v>
      </c>
      <c r="K4030">
        <v>10453</v>
      </c>
      <c r="L4030" t="s">
        <v>9094</v>
      </c>
      <c r="M4030" t="s">
        <v>9095</v>
      </c>
      <c r="N4030" t="s">
        <v>9310</v>
      </c>
      <c r="O4030" t="s">
        <v>11147</v>
      </c>
      <c r="P4030" t="s">
        <v>11165</v>
      </c>
      <c r="R4030" t="s">
        <v>11180</v>
      </c>
      <c r="S4030" t="s">
        <v>9094</v>
      </c>
      <c r="T4030" t="s">
        <v>11183</v>
      </c>
      <c r="V4030" t="s">
        <v>11221</v>
      </c>
      <c r="W4030">
        <v>825</v>
      </c>
      <c r="X4030" t="s">
        <v>11333</v>
      </c>
      <c r="Y4030" t="s">
        <v>11346</v>
      </c>
      <c r="Z4030" t="s">
        <v>14023</v>
      </c>
      <c r="AB4030" t="s">
        <v>18352</v>
      </c>
      <c r="AC4030">
        <v>0</v>
      </c>
      <c r="AD4030" t="s">
        <v>19566</v>
      </c>
      <c r="AF4030">
        <v>1</v>
      </c>
      <c r="AG4030">
        <v>1</v>
      </c>
      <c r="AH4030">
        <v>0</v>
      </c>
      <c r="AI4030">
        <v>146.41</v>
      </c>
      <c r="AL4030" t="s">
        <v>19614</v>
      </c>
      <c r="AM4030">
        <v>17394</v>
      </c>
      <c r="AS4030">
        <v>0.3</v>
      </c>
      <c r="AT4030" t="s">
        <v>20608</v>
      </c>
      <c r="AU4030" t="s">
        <v>109</v>
      </c>
    </row>
    <row r="4031" spans="1:48">
      <c r="A4031" s="1">
        <f>HYPERLINK("https://lsnyc.legalserver.org/matter/dynamic-profile/view/1888987","19-1888987")</f>
        <v>0</v>
      </c>
      <c r="B4031" t="s">
        <v>84</v>
      </c>
      <c r="C4031" t="s">
        <v>256</v>
      </c>
      <c r="D4031" t="s">
        <v>616</v>
      </c>
      <c r="F4031" t="s">
        <v>2717</v>
      </c>
      <c r="G4031" t="s">
        <v>3486</v>
      </c>
      <c r="H4031" t="s">
        <v>7548</v>
      </c>
      <c r="I4031" t="s">
        <v>8119</v>
      </c>
      <c r="J4031" t="s">
        <v>9059</v>
      </c>
      <c r="K4031">
        <v>11206</v>
      </c>
      <c r="L4031" t="s">
        <v>9094</v>
      </c>
      <c r="M4031" t="s">
        <v>9094</v>
      </c>
      <c r="N4031" t="s">
        <v>10598</v>
      </c>
      <c r="O4031" t="s">
        <v>11129</v>
      </c>
      <c r="P4031" t="s">
        <v>11165</v>
      </c>
      <c r="R4031" t="s">
        <v>11180</v>
      </c>
      <c r="S4031" t="s">
        <v>9096</v>
      </c>
      <c r="T4031" t="s">
        <v>11183</v>
      </c>
      <c r="V4031" t="s">
        <v>494</v>
      </c>
      <c r="W4031">
        <v>1575</v>
      </c>
      <c r="X4031" t="s">
        <v>11332</v>
      </c>
      <c r="Z4031" t="s">
        <v>14024</v>
      </c>
      <c r="AB4031" t="s">
        <v>18353</v>
      </c>
      <c r="AC4031">
        <v>0</v>
      </c>
      <c r="AF4031">
        <v>5</v>
      </c>
      <c r="AG4031">
        <v>1</v>
      </c>
      <c r="AH4031">
        <v>0</v>
      </c>
      <c r="AI4031">
        <v>146.52</v>
      </c>
      <c r="AL4031" t="s">
        <v>19614</v>
      </c>
      <c r="AM4031">
        <v>18300</v>
      </c>
      <c r="AS4031">
        <v>66</v>
      </c>
      <c r="AT4031" t="s">
        <v>284</v>
      </c>
      <c r="AU4031" t="s">
        <v>215</v>
      </c>
    </row>
    <row r="4032" spans="1:48">
      <c r="A4032" s="1">
        <f>HYPERLINK("https://lsnyc.legalserver.org/matter/dynamic-profile/view/1876234","18-1876234")</f>
        <v>0</v>
      </c>
      <c r="B4032" t="s">
        <v>132</v>
      </c>
      <c r="C4032" t="s">
        <v>257</v>
      </c>
      <c r="D4032" t="s">
        <v>501</v>
      </c>
      <c r="E4032" t="s">
        <v>331</v>
      </c>
      <c r="F4032" t="s">
        <v>2718</v>
      </c>
      <c r="G4032" t="s">
        <v>3398</v>
      </c>
      <c r="H4032" t="s">
        <v>5953</v>
      </c>
      <c r="I4032" t="s">
        <v>8149</v>
      </c>
      <c r="J4032" t="s">
        <v>9067</v>
      </c>
      <c r="K4032">
        <v>10033</v>
      </c>
      <c r="L4032" t="s">
        <v>9094</v>
      </c>
      <c r="M4032" t="s">
        <v>9094</v>
      </c>
      <c r="O4032" t="s">
        <v>11130</v>
      </c>
      <c r="P4032" t="s">
        <v>11165</v>
      </c>
      <c r="Q4032" t="s">
        <v>11178</v>
      </c>
      <c r="R4032" t="s">
        <v>11180</v>
      </c>
      <c r="S4032" t="s">
        <v>9094</v>
      </c>
      <c r="T4032" t="s">
        <v>11183</v>
      </c>
      <c r="V4032" t="s">
        <v>501</v>
      </c>
      <c r="W4032">
        <v>1295.41</v>
      </c>
      <c r="X4032" t="s">
        <v>11335</v>
      </c>
      <c r="Y4032" t="s">
        <v>11338</v>
      </c>
      <c r="Z4032" t="s">
        <v>14025</v>
      </c>
      <c r="AB4032" t="s">
        <v>18354</v>
      </c>
      <c r="AC4032">
        <v>232</v>
      </c>
      <c r="AD4032" t="s">
        <v>19566</v>
      </c>
      <c r="AE4032" t="s">
        <v>19587</v>
      </c>
      <c r="AF4032">
        <v>50</v>
      </c>
      <c r="AG4032">
        <v>1</v>
      </c>
      <c r="AH4032">
        <v>0</v>
      </c>
      <c r="AI4032">
        <v>146.59</v>
      </c>
      <c r="AL4032" t="s">
        <v>19614</v>
      </c>
      <c r="AM4032">
        <v>17796</v>
      </c>
      <c r="AS4032">
        <v>1.9</v>
      </c>
      <c r="AT4032" t="s">
        <v>521</v>
      </c>
      <c r="AU4032" t="s">
        <v>130</v>
      </c>
      <c r="AV4032" t="s">
        <v>20733</v>
      </c>
    </row>
    <row r="4033" spans="1:48">
      <c r="A4033" s="1">
        <f>HYPERLINK("https://lsnyc.legalserver.org/matter/dynamic-profile/view/1896540","19-1896540")</f>
        <v>0</v>
      </c>
      <c r="B4033" t="s">
        <v>183</v>
      </c>
      <c r="C4033" t="s">
        <v>257</v>
      </c>
      <c r="D4033" t="s">
        <v>384</v>
      </c>
      <c r="E4033" t="s">
        <v>483</v>
      </c>
      <c r="F4033" t="s">
        <v>2719</v>
      </c>
      <c r="G4033" t="s">
        <v>3366</v>
      </c>
      <c r="H4033" t="s">
        <v>7549</v>
      </c>
      <c r="I4033" t="s">
        <v>8330</v>
      </c>
      <c r="J4033" t="s">
        <v>9054</v>
      </c>
      <c r="K4033">
        <v>11368</v>
      </c>
      <c r="L4033" t="s">
        <v>9095</v>
      </c>
      <c r="M4033" t="s">
        <v>9095</v>
      </c>
      <c r="N4033" t="s">
        <v>10599</v>
      </c>
      <c r="P4033" t="s">
        <v>11165</v>
      </c>
      <c r="Q4033" t="s">
        <v>11174</v>
      </c>
      <c r="R4033" t="s">
        <v>11180</v>
      </c>
      <c r="T4033" t="s">
        <v>11193</v>
      </c>
      <c r="V4033" t="s">
        <v>617</v>
      </c>
      <c r="W4033">
        <v>0</v>
      </c>
      <c r="X4033" t="s">
        <v>11335</v>
      </c>
      <c r="Z4033" t="s">
        <v>14026</v>
      </c>
      <c r="AC4033">
        <v>0</v>
      </c>
      <c r="AF4033">
        <v>0</v>
      </c>
      <c r="AG4033">
        <v>1</v>
      </c>
      <c r="AH4033">
        <v>1</v>
      </c>
      <c r="AI4033">
        <v>146.66</v>
      </c>
      <c r="AL4033" t="s">
        <v>19615</v>
      </c>
      <c r="AM4033">
        <v>24800</v>
      </c>
      <c r="AR4033" t="s">
        <v>20425</v>
      </c>
      <c r="AS4033">
        <v>35.85</v>
      </c>
      <c r="AT4033" t="s">
        <v>290</v>
      </c>
      <c r="AU4033" t="s">
        <v>20635</v>
      </c>
    </row>
    <row r="4034" spans="1:48">
      <c r="A4034" s="1">
        <f>HYPERLINK("https://lsnyc.legalserver.org/matter/dynamic-profile/view/1884060","18-1884060")</f>
        <v>0</v>
      </c>
      <c r="B4034" t="s">
        <v>82</v>
      </c>
      <c r="C4034" t="s">
        <v>256</v>
      </c>
      <c r="D4034" t="s">
        <v>358</v>
      </c>
      <c r="F4034" t="s">
        <v>1221</v>
      </c>
      <c r="G4034" t="s">
        <v>4975</v>
      </c>
      <c r="H4034" t="s">
        <v>6835</v>
      </c>
      <c r="I4034" t="s">
        <v>8744</v>
      </c>
      <c r="J4034" t="s">
        <v>9059</v>
      </c>
      <c r="K4034">
        <v>11226</v>
      </c>
      <c r="L4034" t="s">
        <v>9094</v>
      </c>
      <c r="M4034" t="s">
        <v>9094</v>
      </c>
      <c r="O4034" t="s">
        <v>9121</v>
      </c>
      <c r="P4034" t="s">
        <v>11167</v>
      </c>
      <c r="R4034" t="s">
        <v>11180</v>
      </c>
      <c r="S4034" t="s">
        <v>9096</v>
      </c>
      <c r="T4034" t="s">
        <v>11183</v>
      </c>
      <c r="V4034" t="s">
        <v>310</v>
      </c>
      <c r="W4034">
        <v>1822.5</v>
      </c>
      <c r="X4034" t="s">
        <v>11332</v>
      </c>
      <c r="Y4034" t="s">
        <v>11346</v>
      </c>
      <c r="Z4034" t="s">
        <v>14027</v>
      </c>
      <c r="AB4034" t="s">
        <v>18355</v>
      </c>
      <c r="AC4034">
        <v>120</v>
      </c>
      <c r="AD4034" t="s">
        <v>19566</v>
      </c>
      <c r="AF4034">
        <v>4</v>
      </c>
      <c r="AG4034">
        <v>2</v>
      </c>
      <c r="AH4034">
        <v>0</v>
      </c>
      <c r="AI4034">
        <v>146.74</v>
      </c>
      <c r="AL4034" t="s">
        <v>19614</v>
      </c>
      <c r="AM4034">
        <v>24154</v>
      </c>
      <c r="AN4034" t="s">
        <v>19994</v>
      </c>
      <c r="AS4034">
        <v>5.2</v>
      </c>
      <c r="AT4034" t="s">
        <v>293</v>
      </c>
      <c r="AU4034" t="s">
        <v>20628</v>
      </c>
      <c r="AV4034" t="s">
        <v>20733</v>
      </c>
    </row>
    <row r="4035" spans="1:48">
      <c r="A4035" s="1">
        <f>HYPERLINK("https://lsnyc.legalserver.org/matter/dynamic-profile/view/1899720","19-1899720")</f>
        <v>0</v>
      </c>
      <c r="B4035" t="s">
        <v>119</v>
      </c>
      <c r="C4035" t="s">
        <v>256</v>
      </c>
      <c r="D4035" t="s">
        <v>454</v>
      </c>
      <c r="F4035" t="s">
        <v>2720</v>
      </c>
      <c r="G4035" t="s">
        <v>4976</v>
      </c>
      <c r="H4035" t="s">
        <v>7550</v>
      </c>
      <c r="I4035" t="s">
        <v>8119</v>
      </c>
      <c r="J4035" t="s">
        <v>9065</v>
      </c>
      <c r="K4035">
        <v>10452</v>
      </c>
      <c r="L4035" t="s">
        <v>9094</v>
      </c>
      <c r="M4035" t="s">
        <v>9095</v>
      </c>
      <c r="P4035" t="s">
        <v>11164</v>
      </c>
      <c r="R4035" t="s">
        <v>11180</v>
      </c>
      <c r="S4035" t="s">
        <v>9096</v>
      </c>
      <c r="T4035" t="s">
        <v>11183</v>
      </c>
      <c r="V4035" t="s">
        <v>11218</v>
      </c>
      <c r="W4035">
        <v>0</v>
      </c>
      <c r="X4035" t="s">
        <v>11333</v>
      </c>
      <c r="Y4035" t="s">
        <v>11346</v>
      </c>
      <c r="Z4035" t="s">
        <v>14028</v>
      </c>
      <c r="AB4035" t="s">
        <v>18356</v>
      </c>
      <c r="AC4035">
        <v>50</v>
      </c>
      <c r="AD4035" t="s">
        <v>15441</v>
      </c>
      <c r="AE4035" t="s">
        <v>9144</v>
      </c>
      <c r="AF4035">
        <v>5</v>
      </c>
      <c r="AG4035">
        <v>1</v>
      </c>
      <c r="AH4035">
        <v>2</v>
      </c>
      <c r="AI4035">
        <v>147.21</v>
      </c>
      <c r="AL4035" t="s">
        <v>19615</v>
      </c>
      <c r="AM4035">
        <v>31400</v>
      </c>
      <c r="AS4035">
        <v>0.5</v>
      </c>
      <c r="AT4035" t="s">
        <v>760</v>
      </c>
      <c r="AU4035" t="s">
        <v>163</v>
      </c>
      <c r="AV4035" t="s">
        <v>20733</v>
      </c>
    </row>
    <row r="4036" spans="1:48">
      <c r="A4036" s="1">
        <f>HYPERLINK("https://lsnyc.legalserver.org/matter/dynamic-profile/view/1909255","19-1909255")</f>
        <v>0</v>
      </c>
      <c r="B4036" t="s">
        <v>64</v>
      </c>
      <c r="C4036" t="s">
        <v>257</v>
      </c>
      <c r="D4036" t="s">
        <v>297</v>
      </c>
      <c r="E4036" t="s">
        <v>483</v>
      </c>
      <c r="F4036" t="s">
        <v>1505</v>
      </c>
      <c r="G4036" t="s">
        <v>3452</v>
      </c>
      <c r="H4036" t="s">
        <v>7551</v>
      </c>
      <c r="I4036">
        <v>2</v>
      </c>
      <c r="J4036" t="s">
        <v>9059</v>
      </c>
      <c r="K4036">
        <v>11233</v>
      </c>
      <c r="L4036" t="s">
        <v>9094</v>
      </c>
      <c r="M4036" t="s">
        <v>9095</v>
      </c>
      <c r="N4036" t="s">
        <v>9171</v>
      </c>
      <c r="O4036" t="s">
        <v>11130</v>
      </c>
      <c r="P4036" t="s">
        <v>11164</v>
      </c>
      <c r="Q4036" t="s">
        <v>11172</v>
      </c>
      <c r="R4036" t="s">
        <v>11180</v>
      </c>
      <c r="S4036" t="s">
        <v>9096</v>
      </c>
      <c r="T4036" t="s">
        <v>11183</v>
      </c>
      <c r="U4036" t="s">
        <v>11201</v>
      </c>
      <c r="V4036" t="s">
        <v>832</v>
      </c>
      <c r="W4036">
        <v>2450</v>
      </c>
      <c r="X4036" t="s">
        <v>11332</v>
      </c>
      <c r="Y4036" t="s">
        <v>11157</v>
      </c>
      <c r="Z4036" t="s">
        <v>14029</v>
      </c>
      <c r="AA4036" t="s">
        <v>9171</v>
      </c>
      <c r="AC4036">
        <v>3</v>
      </c>
      <c r="AD4036" t="s">
        <v>15441</v>
      </c>
      <c r="AE4036" t="s">
        <v>9144</v>
      </c>
      <c r="AF4036">
        <v>1</v>
      </c>
      <c r="AG4036">
        <v>1</v>
      </c>
      <c r="AH4036">
        <v>0</v>
      </c>
      <c r="AI4036">
        <v>147.28</v>
      </c>
      <c r="AL4036" t="s">
        <v>19614</v>
      </c>
      <c r="AM4036">
        <v>18395</v>
      </c>
      <c r="AS4036">
        <v>1.5</v>
      </c>
      <c r="AT4036" t="s">
        <v>832</v>
      </c>
      <c r="AU4036" t="s">
        <v>20632</v>
      </c>
      <c r="AV4036" t="s">
        <v>20733</v>
      </c>
    </row>
    <row r="4037" spans="1:48">
      <c r="A4037" s="1">
        <f>HYPERLINK("https://lsnyc.legalserver.org/matter/dynamic-profile/view/1903338","19-1903338")</f>
        <v>0</v>
      </c>
      <c r="B4037" t="s">
        <v>129</v>
      </c>
      <c r="C4037" t="s">
        <v>257</v>
      </c>
      <c r="D4037" t="s">
        <v>271</v>
      </c>
      <c r="E4037" t="s">
        <v>370</v>
      </c>
      <c r="F4037" t="s">
        <v>2721</v>
      </c>
      <c r="G4037" t="s">
        <v>4977</v>
      </c>
      <c r="H4037" t="s">
        <v>7552</v>
      </c>
      <c r="J4037" t="s">
        <v>9066</v>
      </c>
      <c r="K4037">
        <v>10304</v>
      </c>
      <c r="L4037" t="s">
        <v>9095</v>
      </c>
      <c r="M4037" t="s">
        <v>9095</v>
      </c>
      <c r="O4037" t="s">
        <v>11128</v>
      </c>
      <c r="P4037" t="s">
        <v>11164</v>
      </c>
      <c r="Q4037" t="s">
        <v>11172</v>
      </c>
      <c r="R4037" t="s">
        <v>11180</v>
      </c>
      <c r="S4037" t="s">
        <v>9096</v>
      </c>
      <c r="T4037" t="s">
        <v>11183</v>
      </c>
      <c r="U4037" t="s">
        <v>11200</v>
      </c>
      <c r="W4037">
        <v>2200</v>
      </c>
      <c r="X4037" t="s">
        <v>11334</v>
      </c>
      <c r="Y4037" t="s">
        <v>11345</v>
      </c>
      <c r="Z4037" t="s">
        <v>14030</v>
      </c>
      <c r="AB4037" t="s">
        <v>18357</v>
      </c>
      <c r="AC4037">
        <v>0</v>
      </c>
      <c r="AD4037" t="s">
        <v>19565</v>
      </c>
      <c r="AE4037" t="s">
        <v>9144</v>
      </c>
      <c r="AF4037">
        <v>2</v>
      </c>
      <c r="AG4037">
        <v>4</v>
      </c>
      <c r="AH4037">
        <v>2</v>
      </c>
      <c r="AI4037">
        <v>147.44</v>
      </c>
      <c r="AL4037" t="s">
        <v>19614</v>
      </c>
      <c r="AM4037">
        <v>51000</v>
      </c>
      <c r="AS4037">
        <v>2.6</v>
      </c>
      <c r="AT4037" t="s">
        <v>408</v>
      </c>
      <c r="AU4037" t="s">
        <v>20653</v>
      </c>
    </row>
    <row r="4038" spans="1:48">
      <c r="A4038" s="1">
        <f>HYPERLINK("https://lsnyc.legalserver.org/matter/dynamic-profile/view/1908540","19-1908540")</f>
        <v>0</v>
      </c>
      <c r="B4038" t="s">
        <v>132</v>
      </c>
      <c r="C4038" t="s">
        <v>257</v>
      </c>
      <c r="D4038" t="s">
        <v>410</v>
      </c>
      <c r="E4038" t="s">
        <v>481</v>
      </c>
      <c r="F4038" t="s">
        <v>2722</v>
      </c>
      <c r="G4038" t="s">
        <v>4978</v>
      </c>
      <c r="H4038" t="s">
        <v>7553</v>
      </c>
      <c r="I4038" t="s">
        <v>8169</v>
      </c>
      <c r="J4038" t="s">
        <v>9067</v>
      </c>
      <c r="K4038">
        <v>10032</v>
      </c>
      <c r="L4038" t="s">
        <v>9094</v>
      </c>
      <c r="M4038" t="s">
        <v>9095</v>
      </c>
      <c r="O4038" t="s">
        <v>9121</v>
      </c>
      <c r="P4038" t="s">
        <v>11164</v>
      </c>
      <c r="Q4038" t="s">
        <v>11172</v>
      </c>
      <c r="R4038" t="s">
        <v>11180</v>
      </c>
      <c r="S4038" t="s">
        <v>9096</v>
      </c>
      <c r="T4038" t="s">
        <v>11183</v>
      </c>
      <c r="V4038" t="s">
        <v>410</v>
      </c>
      <c r="W4038">
        <v>1324.29</v>
      </c>
      <c r="X4038" t="s">
        <v>11335</v>
      </c>
      <c r="Y4038" t="s">
        <v>11346</v>
      </c>
      <c r="Z4038" t="s">
        <v>14031</v>
      </c>
      <c r="AB4038" t="s">
        <v>18358</v>
      </c>
      <c r="AC4038">
        <v>49</v>
      </c>
      <c r="AD4038" t="s">
        <v>19566</v>
      </c>
      <c r="AE4038" t="s">
        <v>9144</v>
      </c>
      <c r="AF4038">
        <v>25</v>
      </c>
      <c r="AG4038">
        <v>1</v>
      </c>
      <c r="AH4038">
        <v>0</v>
      </c>
      <c r="AI4038">
        <v>147.57</v>
      </c>
      <c r="AL4038" t="s">
        <v>19615</v>
      </c>
      <c r="AM4038">
        <v>18432</v>
      </c>
      <c r="AS4038">
        <v>2.2</v>
      </c>
      <c r="AT4038" t="s">
        <v>574</v>
      </c>
      <c r="AU4038" t="s">
        <v>20659</v>
      </c>
      <c r="AV4038" t="s">
        <v>20733</v>
      </c>
    </row>
    <row r="4039" spans="1:48">
      <c r="A4039" s="1">
        <f>HYPERLINK("https://lsnyc.legalserver.org/matter/dynamic-profile/view/0820114","16-0820114")</f>
        <v>0</v>
      </c>
      <c r="B4039" t="s">
        <v>52</v>
      </c>
      <c r="C4039" t="s">
        <v>256</v>
      </c>
      <c r="D4039" t="s">
        <v>891</v>
      </c>
      <c r="F4039" t="s">
        <v>2709</v>
      </c>
      <c r="G4039" t="s">
        <v>3348</v>
      </c>
      <c r="H4039" t="s">
        <v>5706</v>
      </c>
      <c r="J4039" t="s">
        <v>9039</v>
      </c>
      <c r="K4039">
        <v>11432</v>
      </c>
      <c r="L4039" t="s">
        <v>9094</v>
      </c>
      <c r="M4039" t="s">
        <v>9094</v>
      </c>
      <c r="N4039" t="s">
        <v>10600</v>
      </c>
      <c r="O4039" t="s">
        <v>11128</v>
      </c>
      <c r="P4039" t="s">
        <v>11165</v>
      </c>
      <c r="R4039" t="s">
        <v>11180</v>
      </c>
      <c r="S4039" t="s">
        <v>9096</v>
      </c>
      <c r="T4039" t="s">
        <v>11183</v>
      </c>
      <c r="U4039" t="s">
        <v>11201</v>
      </c>
      <c r="V4039" t="s">
        <v>734</v>
      </c>
      <c r="W4039">
        <v>1405</v>
      </c>
      <c r="X4039" t="s">
        <v>11331</v>
      </c>
      <c r="Y4039" t="s">
        <v>11340</v>
      </c>
      <c r="Z4039" t="s">
        <v>14010</v>
      </c>
      <c r="AA4039" t="s">
        <v>9675</v>
      </c>
      <c r="AB4039" t="s">
        <v>18341</v>
      </c>
      <c r="AC4039">
        <v>190</v>
      </c>
      <c r="AD4039" t="s">
        <v>19566</v>
      </c>
      <c r="AE4039" t="s">
        <v>9144</v>
      </c>
      <c r="AF4039">
        <v>2</v>
      </c>
      <c r="AG4039">
        <v>2</v>
      </c>
      <c r="AH4039">
        <v>3</v>
      </c>
      <c r="AI4039">
        <v>147.68</v>
      </c>
      <c r="AJ4039" t="s">
        <v>19592</v>
      </c>
      <c r="AL4039" t="s">
        <v>19616</v>
      </c>
      <c r="AM4039">
        <v>42000</v>
      </c>
      <c r="AN4039" t="s">
        <v>19710</v>
      </c>
      <c r="AS4039">
        <v>271.25</v>
      </c>
      <c r="AT4039" t="s">
        <v>334</v>
      </c>
      <c r="AU4039" t="s">
        <v>58</v>
      </c>
      <c r="AV4039" t="s">
        <v>20733</v>
      </c>
    </row>
    <row r="4040" spans="1:48">
      <c r="A4040" s="1">
        <f>HYPERLINK("https://lsnyc.legalserver.org/matter/dynamic-profile/view/1891966","19-1891966")</f>
        <v>0</v>
      </c>
      <c r="B4040" t="s">
        <v>52</v>
      </c>
      <c r="C4040" t="s">
        <v>256</v>
      </c>
      <c r="D4040" t="s">
        <v>868</v>
      </c>
      <c r="F4040" t="s">
        <v>1658</v>
      </c>
      <c r="G4040" t="s">
        <v>3537</v>
      </c>
      <c r="H4040" t="s">
        <v>7554</v>
      </c>
      <c r="I4040" t="s">
        <v>8804</v>
      </c>
      <c r="J4040" t="s">
        <v>9038</v>
      </c>
      <c r="K4040">
        <v>11691</v>
      </c>
      <c r="L4040" t="s">
        <v>9094</v>
      </c>
      <c r="M4040" t="s">
        <v>9094</v>
      </c>
      <c r="N4040" t="s">
        <v>10601</v>
      </c>
      <c r="O4040" t="s">
        <v>11128</v>
      </c>
      <c r="P4040" t="s">
        <v>11165</v>
      </c>
      <c r="R4040" t="s">
        <v>11180</v>
      </c>
      <c r="S4040" t="s">
        <v>9096</v>
      </c>
      <c r="T4040" t="s">
        <v>11183</v>
      </c>
      <c r="U4040" t="s">
        <v>11201</v>
      </c>
      <c r="V4040" t="s">
        <v>718</v>
      </c>
      <c r="W4040">
        <v>1900</v>
      </c>
      <c r="X4040" t="s">
        <v>11331</v>
      </c>
      <c r="Y4040" t="s">
        <v>11336</v>
      </c>
      <c r="Z4040" t="s">
        <v>13651</v>
      </c>
      <c r="AB4040" t="s">
        <v>18359</v>
      </c>
      <c r="AC4040">
        <v>200</v>
      </c>
      <c r="AD4040" t="s">
        <v>15441</v>
      </c>
      <c r="AE4040" t="s">
        <v>9144</v>
      </c>
      <c r="AF4040">
        <v>2</v>
      </c>
      <c r="AG4040">
        <v>1</v>
      </c>
      <c r="AH4040">
        <v>1</v>
      </c>
      <c r="AI4040">
        <v>147.84</v>
      </c>
      <c r="AL4040" t="s">
        <v>19614</v>
      </c>
      <c r="AM4040">
        <v>25000</v>
      </c>
      <c r="AO4040" t="s">
        <v>20292</v>
      </c>
      <c r="AS4040">
        <v>45.7</v>
      </c>
      <c r="AT4040" t="s">
        <v>864</v>
      </c>
      <c r="AU4040" t="s">
        <v>20620</v>
      </c>
      <c r="AV4040" t="s">
        <v>20733</v>
      </c>
    </row>
    <row r="4041" spans="1:48">
      <c r="A4041" s="1">
        <f>HYPERLINK("https://lsnyc.legalserver.org/matter/dynamic-profile/view/1903497","19-1903497")</f>
        <v>0</v>
      </c>
      <c r="B4041" t="s">
        <v>59</v>
      </c>
      <c r="C4041" t="s">
        <v>256</v>
      </c>
      <c r="D4041" t="s">
        <v>706</v>
      </c>
      <c r="F4041" t="s">
        <v>2723</v>
      </c>
      <c r="G4041" t="s">
        <v>4979</v>
      </c>
      <c r="H4041" t="s">
        <v>6367</v>
      </c>
      <c r="I4041" t="s">
        <v>8401</v>
      </c>
      <c r="J4041" t="s">
        <v>9055</v>
      </c>
      <c r="K4041">
        <v>11354</v>
      </c>
      <c r="L4041" t="s">
        <v>9094</v>
      </c>
      <c r="M4041" t="s">
        <v>9095</v>
      </c>
      <c r="N4041" t="s">
        <v>9135</v>
      </c>
      <c r="O4041" t="s">
        <v>11134</v>
      </c>
      <c r="P4041" t="s">
        <v>11168</v>
      </c>
      <c r="R4041" t="s">
        <v>11180</v>
      </c>
      <c r="S4041" t="s">
        <v>9094</v>
      </c>
      <c r="T4041" t="s">
        <v>11183</v>
      </c>
      <c r="U4041" t="s">
        <v>11201</v>
      </c>
      <c r="V4041" t="s">
        <v>302</v>
      </c>
      <c r="W4041">
        <v>0</v>
      </c>
      <c r="X4041" t="s">
        <v>11331</v>
      </c>
      <c r="Y4041" t="s">
        <v>11341</v>
      </c>
      <c r="Z4041" t="s">
        <v>14032</v>
      </c>
      <c r="AA4041" t="s">
        <v>15274</v>
      </c>
      <c r="AB4041" t="s">
        <v>15274</v>
      </c>
      <c r="AC4041">
        <v>91</v>
      </c>
      <c r="AD4041" t="s">
        <v>19566</v>
      </c>
      <c r="AE4041" t="s">
        <v>9144</v>
      </c>
      <c r="AF4041">
        <v>40</v>
      </c>
      <c r="AG4041">
        <v>2</v>
      </c>
      <c r="AH4041">
        <v>0</v>
      </c>
      <c r="AI4041">
        <v>147.84</v>
      </c>
      <c r="AL4041" t="s">
        <v>19615</v>
      </c>
      <c r="AM4041">
        <v>25000</v>
      </c>
      <c r="AS4041">
        <v>0.15</v>
      </c>
      <c r="AT4041" t="s">
        <v>706</v>
      </c>
      <c r="AU4041" t="s">
        <v>59</v>
      </c>
      <c r="AV4041" t="s">
        <v>20733</v>
      </c>
    </row>
    <row r="4042" spans="1:48">
      <c r="A4042" s="1">
        <f>HYPERLINK("https://lsnyc.legalserver.org/matter/dynamic-profile/view/1899599","19-1899599")</f>
        <v>0</v>
      </c>
      <c r="B4042" t="s">
        <v>64</v>
      </c>
      <c r="C4042" t="s">
        <v>257</v>
      </c>
      <c r="D4042" t="s">
        <v>418</v>
      </c>
      <c r="E4042" t="s">
        <v>483</v>
      </c>
      <c r="F4042" t="s">
        <v>2724</v>
      </c>
      <c r="G4042" t="s">
        <v>4980</v>
      </c>
      <c r="H4042" t="s">
        <v>7555</v>
      </c>
      <c r="I4042" t="s">
        <v>8107</v>
      </c>
      <c r="J4042" t="s">
        <v>9059</v>
      </c>
      <c r="K4042">
        <v>11207</v>
      </c>
      <c r="L4042" t="s">
        <v>9094</v>
      </c>
      <c r="M4042" t="s">
        <v>9095</v>
      </c>
      <c r="N4042" t="s">
        <v>10602</v>
      </c>
      <c r="O4042" t="s">
        <v>11128</v>
      </c>
      <c r="P4042" t="s">
        <v>11165</v>
      </c>
      <c r="Q4042" t="s">
        <v>11174</v>
      </c>
      <c r="R4042" t="s">
        <v>11180</v>
      </c>
      <c r="S4042" t="s">
        <v>9096</v>
      </c>
      <c r="T4042" t="s">
        <v>11183</v>
      </c>
      <c r="U4042" t="s">
        <v>11201</v>
      </c>
      <c r="V4042" t="s">
        <v>422</v>
      </c>
      <c r="W4042">
        <v>600</v>
      </c>
      <c r="X4042" t="s">
        <v>11332</v>
      </c>
      <c r="Z4042" t="s">
        <v>13627</v>
      </c>
      <c r="AB4042" t="s">
        <v>18360</v>
      </c>
      <c r="AC4042">
        <v>2</v>
      </c>
      <c r="AD4042" t="s">
        <v>19565</v>
      </c>
      <c r="AE4042" t="s">
        <v>11157</v>
      </c>
      <c r="AF4042">
        <v>10</v>
      </c>
      <c r="AG4042">
        <v>1</v>
      </c>
      <c r="AH4042">
        <v>1</v>
      </c>
      <c r="AI4042">
        <v>147.84</v>
      </c>
      <c r="AL4042" t="s">
        <v>19614</v>
      </c>
      <c r="AM4042">
        <v>25000</v>
      </c>
      <c r="AS4042">
        <v>24.2</v>
      </c>
      <c r="AT4042" t="s">
        <v>664</v>
      </c>
      <c r="AU4042" t="s">
        <v>79</v>
      </c>
      <c r="AV4042" t="s">
        <v>20733</v>
      </c>
    </row>
    <row r="4043" spans="1:48">
      <c r="A4043" s="1">
        <f>HYPERLINK("https://lsnyc.legalserver.org/matter/dynamic-profile/view/1898314","19-1898314")</f>
        <v>0</v>
      </c>
      <c r="B4043" t="s">
        <v>101</v>
      </c>
      <c r="C4043" t="s">
        <v>256</v>
      </c>
      <c r="D4043" t="s">
        <v>596</v>
      </c>
      <c r="F4043" t="s">
        <v>2725</v>
      </c>
      <c r="G4043" t="s">
        <v>4981</v>
      </c>
      <c r="H4043" t="s">
        <v>6383</v>
      </c>
      <c r="I4043" t="s">
        <v>8164</v>
      </c>
      <c r="J4043" t="s">
        <v>9065</v>
      </c>
      <c r="K4043">
        <v>10467</v>
      </c>
      <c r="L4043" t="s">
        <v>9094</v>
      </c>
      <c r="M4043" t="s">
        <v>9094</v>
      </c>
      <c r="O4043" t="s">
        <v>11134</v>
      </c>
      <c r="P4043" t="s">
        <v>11168</v>
      </c>
      <c r="R4043" t="s">
        <v>11180</v>
      </c>
      <c r="S4043" t="s">
        <v>9094</v>
      </c>
      <c r="T4043" t="s">
        <v>11183</v>
      </c>
      <c r="V4043" t="s">
        <v>11218</v>
      </c>
      <c r="W4043">
        <v>811.72</v>
      </c>
      <c r="X4043" t="s">
        <v>11333</v>
      </c>
      <c r="Y4043" t="s">
        <v>11346</v>
      </c>
      <c r="Z4043" t="s">
        <v>14033</v>
      </c>
      <c r="AC4043">
        <v>60</v>
      </c>
      <c r="AD4043" t="s">
        <v>15441</v>
      </c>
      <c r="AE4043" t="s">
        <v>9144</v>
      </c>
      <c r="AF4043">
        <v>11</v>
      </c>
      <c r="AG4043">
        <v>1</v>
      </c>
      <c r="AH4043">
        <v>1</v>
      </c>
      <c r="AI4043">
        <v>147.84</v>
      </c>
      <c r="AL4043" t="s">
        <v>19614</v>
      </c>
      <c r="AM4043">
        <v>25000</v>
      </c>
      <c r="AS4043">
        <v>0</v>
      </c>
      <c r="AU4043" t="s">
        <v>20642</v>
      </c>
      <c r="AV4043" t="s">
        <v>20733</v>
      </c>
    </row>
    <row r="4044" spans="1:48">
      <c r="A4044" s="1">
        <f>HYPERLINK("https://lsnyc.legalserver.org/matter/dynamic-profile/view/1898230","19-1898230")</f>
        <v>0</v>
      </c>
      <c r="B4044" t="s">
        <v>101</v>
      </c>
      <c r="C4044" t="s">
        <v>256</v>
      </c>
      <c r="D4044" t="s">
        <v>596</v>
      </c>
      <c r="F4044" t="s">
        <v>2725</v>
      </c>
      <c r="G4044" t="s">
        <v>4981</v>
      </c>
      <c r="H4044" t="s">
        <v>6383</v>
      </c>
      <c r="I4044" t="s">
        <v>8164</v>
      </c>
      <c r="J4044" t="s">
        <v>9065</v>
      </c>
      <c r="K4044">
        <v>10467</v>
      </c>
      <c r="L4044" t="s">
        <v>9094</v>
      </c>
      <c r="M4044" t="s">
        <v>9094</v>
      </c>
      <c r="O4044" t="s">
        <v>11137</v>
      </c>
      <c r="P4044" t="s">
        <v>11166</v>
      </c>
      <c r="R4044" t="s">
        <v>11180</v>
      </c>
      <c r="S4044" t="s">
        <v>9094</v>
      </c>
      <c r="T4044" t="s">
        <v>11183</v>
      </c>
      <c r="V4044" t="s">
        <v>11218</v>
      </c>
      <c r="W4044">
        <v>811.72</v>
      </c>
      <c r="X4044" t="s">
        <v>11333</v>
      </c>
      <c r="Y4044" t="s">
        <v>11346</v>
      </c>
      <c r="Z4044" t="s">
        <v>14033</v>
      </c>
      <c r="AC4044">
        <v>59</v>
      </c>
      <c r="AD4044" t="s">
        <v>15441</v>
      </c>
      <c r="AE4044" t="s">
        <v>9144</v>
      </c>
      <c r="AF4044">
        <v>11</v>
      </c>
      <c r="AG4044">
        <v>1</v>
      </c>
      <c r="AH4044">
        <v>1</v>
      </c>
      <c r="AI4044">
        <v>147.84</v>
      </c>
      <c r="AL4044" t="s">
        <v>19614</v>
      </c>
      <c r="AM4044">
        <v>25000</v>
      </c>
      <c r="AS4044">
        <v>0</v>
      </c>
      <c r="AU4044" t="s">
        <v>20642</v>
      </c>
      <c r="AV4044" t="s">
        <v>20733</v>
      </c>
    </row>
    <row r="4045" spans="1:48">
      <c r="A4045" s="1">
        <f>HYPERLINK("https://lsnyc.legalserver.org/matter/dynamic-profile/view/1898099","19-1898099")</f>
        <v>0</v>
      </c>
      <c r="B4045" t="s">
        <v>101</v>
      </c>
      <c r="C4045" t="s">
        <v>256</v>
      </c>
      <c r="D4045" t="s">
        <v>470</v>
      </c>
      <c r="F4045" t="s">
        <v>1632</v>
      </c>
      <c r="G4045" t="s">
        <v>4982</v>
      </c>
      <c r="H4045" t="s">
        <v>5902</v>
      </c>
      <c r="I4045" t="s">
        <v>8206</v>
      </c>
      <c r="J4045" t="s">
        <v>9065</v>
      </c>
      <c r="K4045">
        <v>10452</v>
      </c>
      <c r="L4045" t="s">
        <v>9094</v>
      </c>
      <c r="M4045" t="s">
        <v>9094</v>
      </c>
      <c r="O4045" t="s">
        <v>9121</v>
      </c>
      <c r="P4045" t="s">
        <v>11166</v>
      </c>
      <c r="R4045" t="s">
        <v>11180</v>
      </c>
      <c r="S4045" t="s">
        <v>9094</v>
      </c>
      <c r="T4045" t="s">
        <v>11183</v>
      </c>
      <c r="V4045" t="s">
        <v>11218</v>
      </c>
      <c r="W4045">
        <v>622</v>
      </c>
      <c r="X4045" t="s">
        <v>11333</v>
      </c>
      <c r="Y4045" t="s">
        <v>11346</v>
      </c>
      <c r="Z4045" t="s">
        <v>14034</v>
      </c>
      <c r="AC4045">
        <v>60</v>
      </c>
      <c r="AD4045" t="s">
        <v>19566</v>
      </c>
      <c r="AE4045" t="s">
        <v>9144</v>
      </c>
      <c r="AF4045">
        <v>12</v>
      </c>
      <c r="AG4045">
        <v>2</v>
      </c>
      <c r="AH4045">
        <v>0</v>
      </c>
      <c r="AI4045">
        <v>147.84</v>
      </c>
      <c r="AL4045" t="s">
        <v>19615</v>
      </c>
      <c r="AM4045">
        <v>25000</v>
      </c>
      <c r="AS4045">
        <v>0</v>
      </c>
      <c r="AU4045" t="s">
        <v>20642</v>
      </c>
      <c r="AV4045" t="s">
        <v>20733</v>
      </c>
    </row>
    <row r="4046" spans="1:48">
      <c r="A4046" s="1">
        <f>HYPERLINK("https://lsnyc.legalserver.org/matter/dynamic-profile/view/1902340","19-1902340")</f>
        <v>0</v>
      </c>
      <c r="B4046" t="s">
        <v>108</v>
      </c>
      <c r="C4046" t="s">
        <v>257</v>
      </c>
      <c r="D4046" t="s">
        <v>268</v>
      </c>
      <c r="E4046" t="s">
        <v>377</v>
      </c>
      <c r="F4046" t="s">
        <v>1145</v>
      </c>
      <c r="G4046" t="s">
        <v>4983</v>
      </c>
      <c r="H4046" t="s">
        <v>7556</v>
      </c>
      <c r="I4046" t="s">
        <v>8805</v>
      </c>
      <c r="J4046" t="s">
        <v>9065</v>
      </c>
      <c r="K4046">
        <v>10452</v>
      </c>
      <c r="L4046" t="s">
        <v>9094</v>
      </c>
      <c r="M4046" t="s">
        <v>9095</v>
      </c>
      <c r="N4046" t="s">
        <v>9937</v>
      </c>
      <c r="O4046" t="s">
        <v>9121</v>
      </c>
      <c r="P4046" t="s">
        <v>11164</v>
      </c>
      <c r="Q4046" t="s">
        <v>11172</v>
      </c>
      <c r="R4046" t="s">
        <v>11180</v>
      </c>
      <c r="T4046" t="s">
        <v>11183</v>
      </c>
      <c r="V4046" t="s">
        <v>11218</v>
      </c>
      <c r="W4046">
        <v>1329</v>
      </c>
      <c r="X4046" t="s">
        <v>11333</v>
      </c>
      <c r="Y4046" t="s">
        <v>11338</v>
      </c>
      <c r="Z4046" t="s">
        <v>14035</v>
      </c>
      <c r="AB4046" t="s">
        <v>18361</v>
      </c>
      <c r="AC4046">
        <v>120</v>
      </c>
      <c r="AD4046" t="s">
        <v>19570</v>
      </c>
      <c r="AE4046" t="s">
        <v>9144</v>
      </c>
      <c r="AF4046">
        <v>7</v>
      </c>
      <c r="AG4046">
        <v>2</v>
      </c>
      <c r="AH4046">
        <v>0</v>
      </c>
      <c r="AI4046">
        <v>147.84</v>
      </c>
      <c r="AL4046" t="s">
        <v>19614</v>
      </c>
      <c r="AM4046">
        <v>25000</v>
      </c>
      <c r="AS4046">
        <v>1.6</v>
      </c>
      <c r="AT4046" t="s">
        <v>483</v>
      </c>
      <c r="AU4046" t="s">
        <v>108</v>
      </c>
      <c r="AV4046" t="s">
        <v>20733</v>
      </c>
    </row>
    <row r="4047" spans="1:48">
      <c r="A4047" s="1">
        <f>HYPERLINK("https://lsnyc.legalserver.org/matter/dynamic-profile/view/1909079","19-1909079")</f>
        <v>0</v>
      </c>
      <c r="B4047" t="s">
        <v>139</v>
      </c>
      <c r="C4047" t="s">
        <v>256</v>
      </c>
      <c r="D4047" t="s">
        <v>669</v>
      </c>
      <c r="F4047" t="s">
        <v>1777</v>
      </c>
      <c r="G4047" t="s">
        <v>4984</v>
      </c>
      <c r="H4047" t="s">
        <v>6653</v>
      </c>
      <c r="I4047" t="s">
        <v>8743</v>
      </c>
      <c r="J4047" t="s">
        <v>9067</v>
      </c>
      <c r="K4047">
        <v>10040</v>
      </c>
      <c r="L4047" t="s">
        <v>9094</v>
      </c>
      <c r="M4047" t="s">
        <v>9095</v>
      </c>
      <c r="O4047" t="s">
        <v>11130</v>
      </c>
      <c r="P4047" t="s">
        <v>11165</v>
      </c>
      <c r="R4047" t="s">
        <v>11180</v>
      </c>
      <c r="S4047" t="s">
        <v>9094</v>
      </c>
      <c r="T4047" t="s">
        <v>11183</v>
      </c>
      <c r="V4047" t="s">
        <v>669</v>
      </c>
      <c r="W4047">
        <v>2700</v>
      </c>
      <c r="X4047" t="s">
        <v>11335</v>
      </c>
      <c r="Y4047" t="s">
        <v>11338</v>
      </c>
      <c r="Z4047" t="s">
        <v>14036</v>
      </c>
      <c r="AB4047" t="s">
        <v>18362</v>
      </c>
      <c r="AC4047">
        <v>77</v>
      </c>
      <c r="AD4047" t="s">
        <v>19566</v>
      </c>
      <c r="AE4047" t="s">
        <v>9144</v>
      </c>
      <c r="AF4047">
        <v>5</v>
      </c>
      <c r="AG4047">
        <v>2</v>
      </c>
      <c r="AH4047">
        <v>0</v>
      </c>
      <c r="AI4047">
        <v>147.84</v>
      </c>
      <c r="AL4047" t="s">
        <v>19614</v>
      </c>
      <c r="AM4047">
        <v>25000</v>
      </c>
      <c r="AS4047">
        <v>0</v>
      </c>
      <c r="AU4047" t="s">
        <v>130</v>
      </c>
      <c r="AV4047" t="s">
        <v>20733</v>
      </c>
    </row>
    <row r="4048" spans="1:48">
      <c r="A4048" s="1">
        <f>HYPERLINK("https://lsnyc.legalserver.org/matter/dynamic-profile/view/1861031","18-1861031")</f>
        <v>0</v>
      </c>
      <c r="B4048" t="s">
        <v>56</v>
      </c>
      <c r="C4048" t="s">
        <v>256</v>
      </c>
      <c r="D4048" t="s">
        <v>485</v>
      </c>
      <c r="F4048" t="s">
        <v>2333</v>
      </c>
      <c r="G4048" t="s">
        <v>1206</v>
      </c>
      <c r="H4048" t="s">
        <v>7557</v>
      </c>
      <c r="I4048" t="s">
        <v>8806</v>
      </c>
      <c r="J4048" t="s">
        <v>9038</v>
      </c>
      <c r="K4048">
        <v>11691</v>
      </c>
      <c r="L4048" t="s">
        <v>9094</v>
      </c>
      <c r="M4048" t="s">
        <v>9095</v>
      </c>
      <c r="N4048" t="s">
        <v>10603</v>
      </c>
      <c r="O4048" t="s">
        <v>11129</v>
      </c>
      <c r="P4048" t="s">
        <v>11165</v>
      </c>
      <c r="R4048" t="s">
        <v>11180</v>
      </c>
      <c r="S4048" t="s">
        <v>9096</v>
      </c>
      <c r="T4048" t="s">
        <v>11183</v>
      </c>
      <c r="V4048" t="s">
        <v>485</v>
      </c>
      <c r="W4048">
        <v>850</v>
      </c>
      <c r="X4048" t="s">
        <v>11331</v>
      </c>
      <c r="Y4048" t="s">
        <v>11340</v>
      </c>
      <c r="Z4048" t="s">
        <v>14037</v>
      </c>
      <c r="AA4048" t="s">
        <v>15837</v>
      </c>
      <c r="AB4048" t="s">
        <v>18363</v>
      </c>
      <c r="AC4048">
        <v>100</v>
      </c>
      <c r="AD4048" t="s">
        <v>19566</v>
      </c>
      <c r="AE4048" t="s">
        <v>9144</v>
      </c>
      <c r="AF4048">
        <v>10</v>
      </c>
      <c r="AG4048">
        <v>2</v>
      </c>
      <c r="AH4048">
        <v>0</v>
      </c>
      <c r="AI4048">
        <v>147.85</v>
      </c>
      <c r="AL4048" t="s">
        <v>19614</v>
      </c>
      <c r="AM4048">
        <v>24336</v>
      </c>
      <c r="AS4048">
        <v>5.4</v>
      </c>
      <c r="AT4048" t="s">
        <v>1124</v>
      </c>
      <c r="AU4048" t="s">
        <v>153</v>
      </c>
    </row>
    <row r="4049" spans="1:48">
      <c r="A4049" s="1">
        <f>HYPERLINK("https://lsnyc.legalserver.org/matter/dynamic-profile/view/1910056","19-1910056")</f>
        <v>0</v>
      </c>
      <c r="B4049" t="s">
        <v>134</v>
      </c>
      <c r="C4049" t="s">
        <v>256</v>
      </c>
      <c r="D4049" t="s">
        <v>435</v>
      </c>
      <c r="F4049" t="s">
        <v>2080</v>
      </c>
      <c r="G4049" t="s">
        <v>3306</v>
      </c>
      <c r="H4049" t="s">
        <v>6449</v>
      </c>
      <c r="J4049" t="s">
        <v>9067</v>
      </c>
      <c r="K4049">
        <v>10033</v>
      </c>
      <c r="L4049" t="s">
        <v>9094</v>
      </c>
      <c r="M4049" t="s">
        <v>9095</v>
      </c>
      <c r="O4049" t="s">
        <v>11130</v>
      </c>
      <c r="P4049" t="s">
        <v>11165</v>
      </c>
      <c r="R4049" t="s">
        <v>11180</v>
      </c>
      <c r="S4049" t="s">
        <v>9094</v>
      </c>
      <c r="T4049" t="s">
        <v>11183</v>
      </c>
      <c r="V4049" t="s">
        <v>435</v>
      </c>
      <c r="W4049">
        <v>0</v>
      </c>
      <c r="X4049" t="s">
        <v>11335</v>
      </c>
      <c r="Y4049" t="s">
        <v>11338</v>
      </c>
      <c r="Z4049" t="s">
        <v>14038</v>
      </c>
      <c r="AB4049" t="s">
        <v>18364</v>
      </c>
      <c r="AC4049">
        <v>20</v>
      </c>
      <c r="AD4049" t="s">
        <v>19566</v>
      </c>
      <c r="AE4049" t="s">
        <v>9144</v>
      </c>
      <c r="AF4049">
        <v>0</v>
      </c>
      <c r="AG4049">
        <v>2</v>
      </c>
      <c r="AH4049">
        <v>0</v>
      </c>
      <c r="AI4049">
        <v>147.89</v>
      </c>
      <c r="AL4049" t="s">
        <v>19614</v>
      </c>
      <c r="AM4049">
        <v>25008</v>
      </c>
      <c r="AS4049">
        <v>14.8</v>
      </c>
      <c r="AT4049" t="s">
        <v>294</v>
      </c>
      <c r="AU4049" t="s">
        <v>130</v>
      </c>
      <c r="AV4049" t="s">
        <v>20733</v>
      </c>
    </row>
    <row r="4050" spans="1:48">
      <c r="A4050" s="1">
        <f>HYPERLINK("https://lsnyc.legalserver.org/matter/dynamic-profile/view/1904276","19-1904276")</f>
        <v>0</v>
      </c>
      <c r="B4050" t="s">
        <v>78</v>
      </c>
      <c r="C4050" t="s">
        <v>256</v>
      </c>
      <c r="D4050" t="s">
        <v>265</v>
      </c>
      <c r="F4050" t="s">
        <v>1958</v>
      </c>
      <c r="G4050" t="s">
        <v>3987</v>
      </c>
      <c r="H4050" t="s">
        <v>6712</v>
      </c>
      <c r="I4050" t="s">
        <v>8193</v>
      </c>
      <c r="J4050" t="s">
        <v>9059</v>
      </c>
      <c r="K4050">
        <v>11221</v>
      </c>
      <c r="L4050" t="s">
        <v>9094</v>
      </c>
      <c r="M4050" t="s">
        <v>9095</v>
      </c>
      <c r="N4050" t="s">
        <v>9144</v>
      </c>
      <c r="O4050" t="s">
        <v>11137</v>
      </c>
      <c r="P4050" t="s">
        <v>11167</v>
      </c>
      <c r="R4050" t="s">
        <v>11180</v>
      </c>
      <c r="S4050" t="s">
        <v>9094</v>
      </c>
      <c r="T4050" t="s">
        <v>11186</v>
      </c>
      <c r="U4050" t="s">
        <v>11201</v>
      </c>
      <c r="V4050" t="s">
        <v>635</v>
      </c>
      <c r="W4050">
        <v>1091.82</v>
      </c>
      <c r="X4050" t="s">
        <v>11332</v>
      </c>
      <c r="Y4050" t="s">
        <v>11346</v>
      </c>
      <c r="Z4050" t="s">
        <v>14039</v>
      </c>
      <c r="AA4050" t="s">
        <v>15287</v>
      </c>
      <c r="AB4050" t="s">
        <v>18365</v>
      </c>
      <c r="AC4050">
        <v>12</v>
      </c>
      <c r="AD4050" t="s">
        <v>19566</v>
      </c>
      <c r="AE4050" t="s">
        <v>19580</v>
      </c>
      <c r="AF4050">
        <v>12</v>
      </c>
      <c r="AG4050">
        <v>1</v>
      </c>
      <c r="AH4050">
        <v>0</v>
      </c>
      <c r="AI4050">
        <v>147.93</v>
      </c>
      <c r="AL4050" t="s">
        <v>19614</v>
      </c>
      <c r="AM4050">
        <v>18476.9</v>
      </c>
      <c r="AS4050">
        <v>0</v>
      </c>
      <c r="AU4050" t="s">
        <v>95</v>
      </c>
      <c r="AV4050" t="s">
        <v>20733</v>
      </c>
    </row>
    <row r="4051" spans="1:48">
      <c r="A4051" s="1">
        <f>HYPERLINK("https://lsnyc.legalserver.org/matter/dynamic-profile/view/1899912","19-1899912")</f>
        <v>0</v>
      </c>
      <c r="B4051" t="s">
        <v>165</v>
      </c>
      <c r="C4051" t="s">
        <v>256</v>
      </c>
      <c r="D4051" t="s">
        <v>411</v>
      </c>
      <c r="F4051" t="s">
        <v>1958</v>
      </c>
      <c r="G4051" t="s">
        <v>3987</v>
      </c>
      <c r="H4051" t="s">
        <v>6712</v>
      </c>
      <c r="I4051" t="s">
        <v>8193</v>
      </c>
      <c r="J4051" t="s">
        <v>9059</v>
      </c>
      <c r="K4051">
        <v>11221</v>
      </c>
      <c r="L4051" t="s">
        <v>9094</v>
      </c>
      <c r="M4051" t="s">
        <v>9095</v>
      </c>
      <c r="N4051" t="s">
        <v>10604</v>
      </c>
      <c r="O4051" t="s">
        <v>11129</v>
      </c>
      <c r="P4051" t="s">
        <v>11165</v>
      </c>
      <c r="R4051" t="s">
        <v>11180</v>
      </c>
      <c r="S4051" t="s">
        <v>9094</v>
      </c>
      <c r="T4051" t="s">
        <v>11183</v>
      </c>
      <c r="U4051" t="s">
        <v>11201</v>
      </c>
      <c r="V4051" t="s">
        <v>261</v>
      </c>
      <c r="W4051">
        <v>1091.82</v>
      </c>
      <c r="X4051" t="s">
        <v>11332</v>
      </c>
      <c r="Y4051" t="s">
        <v>11346</v>
      </c>
      <c r="Z4051" t="s">
        <v>14039</v>
      </c>
      <c r="AA4051" t="s">
        <v>15290</v>
      </c>
      <c r="AB4051" t="s">
        <v>18365</v>
      </c>
      <c r="AC4051">
        <v>12</v>
      </c>
      <c r="AD4051" t="s">
        <v>19566</v>
      </c>
      <c r="AE4051" t="s">
        <v>19580</v>
      </c>
      <c r="AF4051">
        <v>12</v>
      </c>
      <c r="AG4051">
        <v>1</v>
      </c>
      <c r="AH4051">
        <v>0</v>
      </c>
      <c r="AI4051">
        <v>147.93</v>
      </c>
      <c r="AL4051" t="s">
        <v>19614</v>
      </c>
      <c r="AM4051">
        <v>18476.9</v>
      </c>
      <c r="AS4051">
        <v>2</v>
      </c>
      <c r="AT4051" t="s">
        <v>299</v>
      </c>
      <c r="AU4051" t="s">
        <v>79</v>
      </c>
      <c r="AV4051" t="s">
        <v>20733</v>
      </c>
    </row>
    <row r="4052" spans="1:48">
      <c r="A4052" s="1">
        <f>HYPERLINK("https://lsnyc.legalserver.org/matter/dynamic-profile/view/1895338","19-1895338")</f>
        <v>0</v>
      </c>
      <c r="B4052" t="s">
        <v>165</v>
      </c>
      <c r="C4052" t="s">
        <v>256</v>
      </c>
      <c r="D4052" t="s">
        <v>264</v>
      </c>
      <c r="F4052" t="s">
        <v>1958</v>
      </c>
      <c r="G4052" t="s">
        <v>3987</v>
      </c>
      <c r="H4052" t="s">
        <v>6712</v>
      </c>
      <c r="I4052" t="s">
        <v>8193</v>
      </c>
      <c r="J4052" t="s">
        <v>9059</v>
      </c>
      <c r="K4052">
        <v>11221</v>
      </c>
      <c r="L4052" t="s">
        <v>9094</v>
      </c>
      <c r="M4052" t="s">
        <v>9096</v>
      </c>
      <c r="O4052" t="s">
        <v>11141</v>
      </c>
      <c r="P4052" t="s">
        <v>11170</v>
      </c>
      <c r="R4052" t="s">
        <v>11180</v>
      </c>
      <c r="S4052" t="s">
        <v>9094</v>
      </c>
      <c r="T4052" t="s">
        <v>11185</v>
      </c>
      <c r="U4052" t="s">
        <v>11201</v>
      </c>
      <c r="V4052" t="s">
        <v>264</v>
      </c>
      <c r="W4052">
        <v>1091.82</v>
      </c>
      <c r="X4052" t="s">
        <v>11332</v>
      </c>
      <c r="Y4052" t="s">
        <v>11346</v>
      </c>
      <c r="Z4052" t="s">
        <v>14039</v>
      </c>
      <c r="AA4052" t="s">
        <v>15290</v>
      </c>
      <c r="AB4052" t="s">
        <v>18365</v>
      </c>
      <c r="AC4052">
        <v>12</v>
      </c>
      <c r="AD4052" t="s">
        <v>19566</v>
      </c>
      <c r="AE4052" t="s">
        <v>19580</v>
      </c>
      <c r="AF4052">
        <v>12</v>
      </c>
      <c r="AG4052">
        <v>1</v>
      </c>
      <c r="AH4052">
        <v>0</v>
      </c>
      <c r="AI4052">
        <v>147.93</v>
      </c>
      <c r="AL4052" t="s">
        <v>19614</v>
      </c>
      <c r="AM4052">
        <v>18476.9</v>
      </c>
      <c r="AS4052">
        <v>15.9</v>
      </c>
      <c r="AT4052" t="s">
        <v>612</v>
      </c>
      <c r="AU4052" t="s">
        <v>95</v>
      </c>
      <c r="AV4052" t="s">
        <v>20733</v>
      </c>
    </row>
    <row r="4053" spans="1:48">
      <c r="A4053" s="1">
        <f>HYPERLINK("https://lsnyc.legalserver.org/matter/dynamic-profile/view/1864513","18-1864513")</f>
        <v>0</v>
      </c>
      <c r="B4053" t="s">
        <v>136</v>
      </c>
      <c r="C4053" t="s">
        <v>256</v>
      </c>
      <c r="D4053" t="s">
        <v>552</v>
      </c>
      <c r="F4053" t="s">
        <v>2726</v>
      </c>
      <c r="G4053" t="s">
        <v>4985</v>
      </c>
      <c r="H4053" t="s">
        <v>5961</v>
      </c>
      <c r="I4053">
        <v>410</v>
      </c>
      <c r="J4053" t="s">
        <v>9067</v>
      </c>
      <c r="K4053">
        <v>10029</v>
      </c>
      <c r="L4053" t="s">
        <v>9094</v>
      </c>
      <c r="M4053" t="s">
        <v>9094</v>
      </c>
      <c r="N4053" t="s">
        <v>9287</v>
      </c>
      <c r="O4053" t="s">
        <v>11130</v>
      </c>
      <c r="P4053" t="s">
        <v>11165</v>
      </c>
      <c r="R4053" t="s">
        <v>11180</v>
      </c>
      <c r="S4053" t="s">
        <v>9094</v>
      </c>
      <c r="T4053" t="s">
        <v>11183</v>
      </c>
      <c r="U4053" t="s">
        <v>11201</v>
      </c>
      <c r="V4053" t="s">
        <v>552</v>
      </c>
      <c r="W4053">
        <v>0</v>
      </c>
      <c r="X4053" t="s">
        <v>11335</v>
      </c>
      <c r="Y4053" t="s">
        <v>11339</v>
      </c>
      <c r="Z4053" t="s">
        <v>14040</v>
      </c>
      <c r="AC4053">
        <v>108</v>
      </c>
      <c r="AD4053" t="s">
        <v>19567</v>
      </c>
      <c r="AE4053" t="s">
        <v>19580</v>
      </c>
      <c r="AF4053">
        <v>19</v>
      </c>
      <c r="AG4053">
        <v>2</v>
      </c>
      <c r="AH4053">
        <v>0</v>
      </c>
      <c r="AI4053">
        <v>148.19</v>
      </c>
      <c r="AL4053" t="s">
        <v>19615</v>
      </c>
      <c r="AM4053">
        <v>24392</v>
      </c>
      <c r="AS4053">
        <v>0.5</v>
      </c>
      <c r="AT4053" t="s">
        <v>289</v>
      </c>
      <c r="AU4053" t="s">
        <v>20657</v>
      </c>
    </row>
    <row r="4054" spans="1:48">
      <c r="A4054" s="1">
        <f>HYPERLINK("https://lsnyc.legalserver.org/matter/dynamic-profile/view/1885569","18-1885569")</f>
        <v>0</v>
      </c>
      <c r="B4054" t="s">
        <v>113</v>
      </c>
      <c r="C4054" t="s">
        <v>257</v>
      </c>
      <c r="D4054" t="s">
        <v>1051</v>
      </c>
      <c r="E4054" t="s">
        <v>301</v>
      </c>
      <c r="F4054" t="s">
        <v>1395</v>
      </c>
      <c r="G4054" t="s">
        <v>4951</v>
      </c>
      <c r="H4054" t="s">
        <v>5864</v>
      </c>
      <c r="I4054" t="s">
        <v>8441</v>
      </c>
      <c r="J4054" t="s">
        <v>9065</v>
      </c>
      <c r="K4054">
        <v>10460</v>
      </c>
      <c r="L4054" t="s">
        <v>9094</v>
      </c>
      <c r="M4054" t="s">
        <v>9094</v>
      </c>
      <c r="N4054" t="s">
        <v>9222</v>
      </c>
      <c r="O4054" t="s">
        <v>11130</v>
      </c>
      <c r="P4054" t="s">
        <v>11165</v>
      </c>
      <c r="Q4054" t="s">
        <v>11174</v>
      </c>
      <c r="R4054" t="s">
        <v>11180</v>
      </c>
      <c r="S4054" t="s">
        <v>9094</v>
      </c>
      <c r="T4054" t="s">
        <v>11183</v>
      </c>
      <c r="V4054" t="s">
        <v>512</v>
      </c>
      <c r="W4054">
        <v>500</v>
      </c>
      <c r="X4054" t="s">
        <v>11333</v>
      </c>
      <c r="Y4054" t="s">
        <v>11346</v>
      </c>
      <c r="Z4054" t="s">
        <v>12817</v>
      </c>
      <c r="AB4054" t="s">
        <v>18315</v>
      </c>
      <c r="AC4054">
        <v>168</v>
      </c>
      <c r="AD4054" t="s">
        <v>15441</v>
      </c>
      <c r="AE4054" t="s">
        <v>19580</v>
      </c>
      <c r="AF4054">
        <v>5</v>
      </c>
      <c r="AG4054">
        <v>1</v>
      </c>
      <c r="AH4054">
        <v>0</v>
      </c>
      <c r="AI4054">
        <v>148.27</v>
      </c>
      <c r="AL4054" t="s">
        <v>19614</v>
      </c>
      <c r="AM4054">
        <v>18000</v>
      </c>
      <c r="AS4054">
        <v>0.25</v>
      </c>
      <c r="AT4054" t="s">
        <v>301</v>
      </c>
      <c r="AU4054" t="s">
        <v>163</v>
      </c>
      <c r="AV4054" t="s">
        <v>20733</v>
      </c>
    </row>
    <row r="4055" spans="1:48">
      <c r="A4055" s="1">
        <f>HYPERLINK("https://lsnyc.legalserver.org/matter/dynamic-profile/view/1895986","19-1895986")</f>
        <v>0</v>
      </c>
      <c r="B4055" t="s">
        <v>106</v>
      </c>
      <c r="C4055" t="s">
        <v>256</v>
      </c>
      <c r="D4055" t="s">
        <v>300</v>
      </c>
      <c r="F4055" t="s">
        <v>1209</v>
      </c>
      <c r="G4055" t="s">
        <v>3220</v>
      </c>
      <c r="H4055" t="s">
        <v>6624</v>
      </c>
      <c r="I4055" t="s">
        <v>8463</v>
      </c>
      <c r="J4055" t="s">
        <v>9065</v>
      </c>
      <c r="K4055">
        <v>10458</v>
      </c>
      <c r="L4055" t="s">
        <v>9094</v>
      </c>
      <c r="M4055" t="s">
        <v>9094</v>
      </c>
      <c r="N4055" t="s">
        <v>9819</v>
      </c>
      <c r="O4055" t="s">
        <v>11134</v>
      </c>
      <c r="P4055" t="s">
        <v>11168</v>
      </c>
      <c r="R4055" t="s">
        <v>11180</v>
      </c>
      <c r="S4055" t="s">
        <v>9094</v>
      </c>
      <c r="T4055" t="s">
        <v>11183</v>
      </c>
      <c r="V4055" t="s">
        <v>11212</v>
      </c>
      <c r="W4055">
        <v>1129.54</v>
      </c>
      <c r="X4055" t="s">
        <v>11333</v>
      </c>
      <c r="Y4055" t="s">
        <v>11346</v>
      </c>
      <c r="Z4055" t="s">
        <v>14041</v>
      </c>
      <c r="AA4055" t="s">
        <v>15838</v>
      </c>
      <c r="AB4055" t="s">
        <v>18366</v>
      </c>
      <c r="AC4055">
        <v>142</v>
      </c>
      <c r="AD4055" t="s">
        <v>19566</v>
      </c>
      <c r="AE4055" t="s">
        <v>9144</v>
      </c>
      <c r="AF4055">
        <v>4</v>
      </c>
      <c r="AG4055">
        <v>1</v>
      </c>
      <c r="AH4055">
        <v>0</v>
      </c>
      <c r="AI4055">
        <v>148.27</v>
      </c>
      <c r="AL4055" t="s">
        <v>19614</v>
      </c>
      <c r="AM4055">
        <v>18000</v>
      </c>
      <c r="AS4055">
        <v>0.4</v>
      </c>
      <c r="AT4055" t="s">
        <v>429</v>
      </c>
      <c r="AU4055" t="s">
        <v>220</v>
      </c>
    </row>
    <row r="4056" spans="1:48">
      <c r="A4056" s="1">
        <f>HYPERLINK("https://lsnyc.legalserver.org/matter/dynamic-profile/view/1882686","18-1882686")</f>
        <v>0</v>
      </c>
      <c r="B4056" t="s">
        <v>106</v>
      </c>
      <c r="C4056" t="s">
        <v>256</v>
      </c>
      <c r="D4056" t="s">
        <v>433</v>
      </c>
      <c r="F4056" t="s">
        <v>2727</v>
      </c>
      <c r="G4056" t="s">
        <v>4986</v>
      </c>
      <c r="H4056" t="s">
        <v>5874</v>
      </c>
      <c r="I4056" t="s">
        <v>8745</v>
      </c>
      <c r="J4056" t="s">
        <v>9065</v>
      </c>
      <c r="K4056">
        <v>10457</v>
      </c>
      <c r="L4056" t="s">
        <v>9094</v>
      </c>
      <c r="M4056" t="s">
        <v>9094</v>
      </c>
      <c r="N4056" t="s">
        <v>9230</v>
      </c>
      <c r="O4056" t="s">
        <v>11134</v>
      </c>
      <c r="P4056" t="s">
        <v>11168</v>
      </c>
      <c r="R4056" t="s">
        <v>11180</v>
      </c>
      <c r="S4056" t="s">
        <v>9094</v>
      </c>
      <c r="T4056" t="s">
        <v>11183</v>
      </c>
      <c r="V4056" t="s">
        <v>738</v>
      </c>
      <c r="W4056">
        <v>847</v>
      </c>
      <c r="X4056" t="s">
        <v>11333</v>
      </c>
      <c r="Y4056" t="s">
        <v>11346</v>
      </c>
      <c r="Z4056" t="s">
        <v>14042</v>
      </c>
      <c r="AB4056" t="s">
        <v>18367</v>
      </c>
      <c r="AC4056">
        <v>47</v>
      </c>
      <c r="AD4056" t="s">
        <v>19566</v>
      </c>
      <c r="AE4056" t="s">
        <v>9144</v>
      </c>
      <c r="AF4056">
        <v>30</v>
      </c>
      <c r="AG4056">
        <v>1</v>
      </c>
      <c r="AH4056">
        <v>0</v>
      </c>
      <c r="AI4056">
        <v>148.27</v>
      </c>
      <c r="AL4056" t="s">
        <v>19614</v>
      </c>
      <c r="AM4056">
        <v>18000</v>
      </c>
      <c r="AS4056">
        <v>0.8</v>
      </c>
      <c r="AT4056" t="s">
        <v>344</v>
      </c>
      <c r="AU4056" t="s">
        <v>20642</v>
      </c>
    </row>
    <row r="4057" spans="1:48">
      <c r="A4057" s="1">
        <f>HYPERLINK("https://lsnyc.legalserver.org/matter/dynamic-profile/view/1882685","18-1882685")</f>
        <v>0</v>
      </c>
      <c r="B4057" t="s">
        <v>106</v>
      </c>
      <c r="C4057" t="s">
        <v>256</v>
      </c>
      <c r="D4057" t="s">
        <v>433</v>
      </c>
      <c r="F4057" t="s">
        <v>2727</v>
      </c>
      <c r="G4057" t="s">
        <v>4986</v>
      </c>
      <c r="H4057" t="s">
        <v>5874</v>
      </c>
      <c r="I4057" t="s">
        <v>8745</v>
      </c>
      <c r="J4057" t="s">
        <v>9065</v>
      </c>
      <c r="K4057">
        <v>10457</v>
      </c>
      <c r="L4057" t="s">
        <v>9094</v>
      </c>
      <c r="M4057" t="s">
        <v>9094</v>
      </c>
      <c r="N4057" t="s">
        <v>9231</v>
      </c>
      <c r="O4057" t="s">
        <v>11130</v>
      </c>
      <c r="P4057" t="s">
        <v>11165</v>
      </c>
      <c r="R4057" t="s">
        <v>11180</v>
      </c>
      <c r="S4057" t="s">
        <v>9094</v>
      </c>
      <c r="T4057" t="s">
        <v>11183</v>
      </c>
      <c r="V4057" t="s">
        <v>738</v>
      </c>
      <c r="W4057">
        <v>847</v>
      </c>
      <c r="X4057" t="s">
        <v>11333</v>
      </c>
      <c r="Y4057" t="s">
        <v>11346</v>
      </c>
      <c r="Z4057" t="s">
        <v>14042</v>
      </c>
      <c r="AB4057" t="s">
        <v>18367</v>
      </c>
      <c r="AC4057">
        <v>47</v>
      </c>
      <c r="AD4057" t="s">
        <v>19566</v>
      </c>
      <c r="AE4057" t="s">
        <v>9144</v>
      </c>
      <c r="AF4057">
        <v>30</v>
      </c>
      <c r="AG4057">
        <v>1</v>
      </c>
      <c r="AH4057">
        <v>0</v>
      </c>
      <c r="AI4057">
        <v>148.27</v>
      </c>
      <c r="AL4057" t="s">
        <v>19614</v>
      </c>
      <c r="AM4057">
        <v>18000</v>
      </c>
      <c r="AS4057">
        <v>1</v>
      </c>
      <c r="AT4057" t="s">
        <v>402</v>
      </c>
      <c r="AU4057" t="s">
        <v>20642</v>
      </c>
    </row>
    <row r="4058" spans="1:48">
      <c r="A4058" s="1">
        <f>HYPERLINK("https://lsnyc.legalserver.org/matter/dynamic-profile/view/1891971","19-1891971")</f>
        <v>0</v>
      </c>
      <c r="B4058" t="s">
        <v>103</v>
      </c>
      <c r="C4058" t="s">
        <v>256</v>
      </c>
      <c r="D4058" t="s">
        <v>868</v>
      </c>
      <c r="F4058" t="s">
        <v>1738</v>
      </c>
      <c r="G4058" t="s">
        <v>4952</v>
      </c>
      <c r="H4058" t="s">
        <v>5887</v>
      </c>
      <c r="I4058" t="s">
        <v>8798</v>
      </c>
      <c r="J4058" t="s">
        <v>9065</v>
      </c>
      <c r="K4058">
        <v>10453</v>
      </c>
      <c r="L4058" t="s">
        <v>9094</v>
      </c>
      <c r="M4058" t="s">
        <v>9094</v>
      </c>
      <c r="N4058" t="s">
        <v>9352</v>
      </c>
      <c r="O4058" t="s">
        <v>11130</v>
      </c>
      <c r="P4058" t="s">
        <v>11165</v>
      </c>
      <c r="R4058" t="s">
        <v>11180</v>
      </c>
      <c r="S4058" t="s">
        <v>9094</v>
      </c>
      <c r="T4058" t="s">
        <v>11183</v>
      </c>
      <c r="V4058" t="s">
        <v>512</v>
      </c>
      <c r="W4058">
        <v>1020.49</v>
      </c>
      <c r="X4058" t="s">
        <v>11333</v>
      </c>
      <c r="Y4058" t="s">
        <v>11346</v>
      </c>
      <c r="Z4058" t="s">
        <v>13987</v>
      </c>
      <c r="AB4058" t="s">
        <v>18316</v>
      </c>
      <c r="AC4058">
        <v>170</v>
      </c>
      <c r="AD4058" t="s">
        <v>19566</v>
      </c>
      <c r="AE4058" t="s">
        <v>9144</v>
      </c>
      <c r="AF4058">
        <v>10</v>
      </c>
      <c r="AG4058">
        <v>1</v>
      </c>
      <c r="AH4058">
        <v>0</v>
      </c>
      <c r="AI4058">
        <v>148.27</v>
      </c>
      <c r="AL4058" t="s">
        <v>19614</v>
      </c>
      <c r="AM4058">
        <v>18000</v>
      </c>
      <c r="AS4058">
        <v>0</v>
      </c>
      <c r="AU4058" t="s">
        <v>220</v>
      </c>
    </row>
    <row r="4059" spans="1:48">
      <c r="A4059" s="1">
        <f>HYPERLINK("https://lsnyc.legalserver.org/matter/dynamic-profile/view/1881794","18-1881794")</f>
        <v>0</v>
      </c>
      <c r="B4059" t="s">
        <v>114</v>
      </c>
      <c r="C4059" t="s">
        <v>257</v>
      </c>
      <c r="D4059" t="s">
        <v>477</v>
      </c>
      <c r="E4059" t="s">
        <v>294</v>
      </c>
      <c r="F4059" t="s">
        <v>2728</v>
      </c>
      <c r="G4059" t="s">
        <v>3905</v>
      </c>
      <c r="H4059" t="s">
        <v>5907</v>
      </c>
      <c r="I4059" t="s">
        <v>8704</v>
      </c>
      <c r="J4059" t="s">
        <v>9065</v>
      </c>
      <c r="K4059">
        <v>10451</v>
      </c>
      <c r="L4059" t="s">
        <v>9094</v>
      </c>
      <c r="M4059" t="s">
        <v>9094</v>
      </c>
      <c r="N4059" t="s">
        <v>9259</v>
      </c>
      <c r="O4059" t="s">
        <v>11130</v>
      </c>
      <c r="P4059" t="s">
        <v>11165</v>
      </c>
      <c r="Q4059" t="s">
        <v>11174</v>
      </c>
      <c r="R4059" t="s">
        <v>11180</v>
      </c>
      <c r="S4059" t="s">
        <v>9094</v>
      </c>
      <c r="T4059" t="s">
        <v>11183</v>
      </c>
      <c r="V4059" t="s">
        <v>738</v>
      </c>
      <c r="W4059">
        <v>820</v>
      </c>
      <c r="X4059" t="s">
        <v>11333</v>
      </c>
      <c r="Y4059" t="s">
        <v>11346</v>
      </c>
      <c r="Z4059" t="s">
        <v>14043</v>
      </c>
      <c r="AB4059" t="s">
        <v>18368</v>
      </c>
      <c r="AC4059">
        <v>100</v>
      </c>
      <c r="AD4059" t="s">
        <v>19566</v>
      </c>
      <c r="AE4059" t="s">
        <v>19580</v>
      </c>
      <c r="AF4059">
        <v>15</v>
      </c>
      <c r="AG4059">
        <v>1</v>
      </c>
      <c r="AH4059">
        <v>0</v>
      </c>
      <c r="AI4059">
        <v>148.27</v>
      </c>
      <c r="AL4059" t="s">
        <v>19615</v>
      </c>
      <c r="AM4059">
        <v>18000</v>
      </c>
      <c r="AS4059">
        <v>0.25</v>
      </c>
      <c r="AT4059" t="s">
        <v>563</v>
      </c>
      <c r="AU4059" t="s">
        <v>163</v>
      </c>
    </row>
    <row r="4060" spans="1:48">
      <c r="A4060" s="1">
        <f>HYPERLINK("https://lsnyc.legalserver.org/matter/dynamic-profile/view/0802559","16-0802559")</f>
        <v>0</v>
      </c>
      <c r="B4060" t="s">
        <v>111</v>
      </c>
      <c r="C4060" t="s">
        <v>256</v>
      </c>
      <c r="D4060" t="s">
        <v>995</v>
      </c>
      <c r="F4060" t="s">
        <v>2729</v>
      </c>
      <c r="G4060" t="s">
        <v>4987</v>
      </c>
      <c r="H4060" t="s">
        <v>6104</v>
      </c>
      <c r="I4060" t="s">
        <v>8401</v>
      </c>
      <c r="J4060" t="s">
        <v>9065</v>
      </c>
      <c r="K4060">
        <v>10452</v>
      </c>
      <c r="L4060" t="s">
        <v>9094</v>
      </c>
      <c r="M4060" t="s">
        <v>9095</v>
      </c>
      <c r="O4060" t="s">
        <v>11147</v>
      </c>
      <c r="P4060" t="s">
        <v>11165</v>
      </c>
      <c r="R4060" t="s">
        <v>11180</v>
      </c>
      <c r="S4060" t="s">
        <v>9094</v>
      </c>
      <c r="T4060" t="s">
        <v>11183</v>
      </c>
      <c r="V4060" t="s">
        <v>1005</v>
      </c>
      <c r="W4060">
        <v>520</v>
      </c>
      <c r="X4060" t="s">
        <v>11333</v>
      </c>
      <c r="Y4060" t="s">
        <v>11346</v>
      </c>
      <c r="Z4060" t="s">
        <v>12176</v>
      </c>
      <c r="AB4060" t="s">
        <v>18369</v>
      </c>
      <c r="AC4060">
        <v>0</v>
      </c>
      <c r="AF4060">
        <v>28</v>
      </c>
      <c r="AG4060">
        <v>2</v>
      </c>
      <c r="AH4060">
        <v>0</v>
      </c>
      <c r="AI4060">
        <v>148.29</v>
      </c>
      <c r="AL4060" t="s">
        <v>19614</v>
      </c>
      <c r="AM4060">
        <v>23756</v>
      </c>
      <c r="AS4060">
        <v>0.1</v>
      </c>
      <c r="AT4060" t="s">
        <v>995</v>
      </c>
      <c r="AU4060" t="s">
        <v>109</v>
      </c>
    </row>
    <row r="4061" spans="1:48">
      <c r="A4061" s="1">
        <f>HYPERLINK("https://lsnyc.legalserver.org/matter/dynamic-profile/view/0795231","15-0795231")</f>
        <v>0</v>
      </c>
      <c r="B4061" t="s">
        <v>49</v>
      </c>
      <c r="C4061" t="s">
        <v>256</v>
      </c>
      <c r="D4061" t="s">
        <v>895</v>
      </c>
      <c r="F4061" t="s">
        <v>2730</v>
      </c>
      <c r="G4061" t="s">
        <v>4988</v>
      </c>
      <c r="H4061" t="s">
        <v>6492</v>
      </c>
      <c r="I4061" t="s">
        <v>8189</v>
      </c>
      <c r="J4061" t="s">
        <v>9055</v>
      </c>
      <c r="K4061">
        <v>11354</v>
      </c>
      <c r="L4061" t="s">
        <v>9094</v>
      </c>
      <c r="M4061" t="s">
        <v>9095</v>
      </c>
      <c r="N4061" t="s">
        <v>9717</v>
      </c>
      <c r="O4061" t="s">
        <v>11135</v>
      </c>
      <c r="P4061" t="s">
        <v>11168</v>
      </c>
      <c r="R4061" t="s">
        <v>11180</v>
      </c>
      <c r="T4061" t="s">
        <v>11183</v>
      </c>
      <c r="V4061" t="s">
        <v>11206</v>
      </c>
      <c r="W4061">
        <v>1550</v>
      </c>
      <c r="X4061" t="s">
        <v>11331</v>
      </c>
      <c r="Y4061" t="s">
        <v>11342</v>
      </c>
      <c r="Z4061" t="s">
        <v>14044</v>
      </c>
      <c r="AB4061" t="s">
        <v>18370</v>
      </c>
      <c r="AC4061">
        <v>175</v>
      </c>
      <c r="AD4061" t="s">
        <v>19566</v>
      </c>
      <c r="AE4061" t="s">
        <v>9144</v>
      </c>
      <c r="AF4061">
        <v>20</v>
      </c>
      <c r="AG4061">
        <v>4</v>
      </c>
      <c r="AH4061">
        <v>0</v>
      </c>
      <c r="AI4061">
        <v>148.45</v>
      </c>
      <c r="AL4061" t="s">
        <v>19615</v>
      </c>
      <c r="AM4061">
        <v>36000</v>
      </c>
      <c r="AS4061">
        <v>0.35</v>
      </c>
      <c r="AT4061" t="s">
        <v>448</v>
      </c>
      <c r="AU4061" t="s">
        <v>20621</v>
      </c>
    </row>
    <row r="4062" spans="1:48">
      <c r="A4062" s="1">
        <f>HYPERLINK("https://lsnyc.legalserver.org/matter/dynamic-profile/view/0795241","15-0795241")</f>
        <v>0</v>
      </c>
      <c r="B4062" t="s">
        <v>49</v>
      </c>
      <c r="C4062" t="s">
        <v>256</v>
      </c>
      <c r="D4062" t="s">
        <v>895</v>
      </c>
      <c r="F4062" t="s">
        <v>2731</v>
      </c>
      <c r="G4062" t="s">
        <v>4989</v>
      </c>
      <c r="H4062" t="s">
        <v>5736</v>
      </c>
      <c r="I4062" t="s">
        <v>8807</v>
      </c>
      <c r="J4062" t="s">
        <v>9055</v>
      </c>
      <c r="K4062">
        <v>11354</v>
      </c>
      <c r="L4062" t="s">
        <v>9094</v>
      </c>
      <c r="M4062" t="s">
        <v>9095</v>
      </c>
      <c r="N4062" t="s">
        <v>9717</v>
      </c>
      <c r="O4062" t="s">
        <v>11135</v>
      </c>
      <c r="P4062" t="s">
        <v>11168</v>
      </c>
      <c r="R4062" t="s">
        <v>11180</v>
      </c>
      <c r="T4062" t="s">
        <v>11189</v>
      </c>
      <c r="V4062" t="s">
        <v>303</v>
      </c>
      <c r="W4062">
        <v>1900</v>
      </c>
      <c r="X4062" t="s">
        <v>11331</v>
      </c>
      <c r="Y4062" t="s">
        <v>11339</v>
      </c>
      <c r="Z4062" t="s">
        <v>14045</v>
      </c>
      <c r="AB4062" t="s">
        <v>18371</v>
      </c>
      <c r="AC4062">
        <v>175</v>
      </c>
      <c r="AD4062" t="s">
        <v>19566</v>
      </c>
      <c r="AE4062" t="s">
        <v>9144</v>
      </c>
      <c r="AF4062">
        <v>2</v>
      </c>
      <c r="AG4062">
        <v>3</v>
      </c>
      <c r="AH4062">
        <v>1</v>
      </c>
      <c r="AI4062">
        <v>148.45</v>
      </c>
      <c r="AL4062" t="s">
        <v>19619</v>
      </c>
      <c r="AM4062">
        <v>36000</v>
      </c>
      <c r="AS4062">
        <v>0.45</v>
      </c>
      <c r="AT4062" t="s">
        <v>448</v>
      </c>
      <c r="AU4062" t="s">
        <v>20621</v>
      </c>
    </row>
    <row r="4063" spans="1:48">
      <c r="A4063" s="1">
        <f>HYPERLINK("https://lsnyc.legalserver.org/matter/dynamic-profile/view/0828020","17-0828020")</f>
        <v>0</v>
      </c>
      <c r="B4063" t="s">
        <v>139</v>
      </c>
      <c r="C4063" t="s">
        <v>256</v>
      </c>
      <c r="D4063" t="s">
        <v>747</v>
      </c>
      <c r="F4063" t="s">
        <v>1282</v>
      </c>
      <c r="G4063" t="s">
        <v>3364</v>
      </c>
      <c r="H4063" t="s">
        <v>6425</v>
      </c>
      <c r="I4063" t="s">
        <v>8212</v>
      </c>
      <c r="J4063" t="s">
        <v>9067</v>
      </c>
      <c r="K4063">
        <v>10034</v>
      </c>
      <c r="L4063" t="s">
        <v>9094</v>
      </c>
      <c r="M4063" t="s">
        <v>9095</v>
      </c>
      <c r="O4063" t="s">
        <v>9121</v>
      </c>
      <c r="P4063" t="s">
        <v>11165</v>
      </c>
      <c r="R4063" t="s">
        <v>11180</v>
      </c>
      <c r="S4063" t="s">
        <v>9094</v>
      </c>
      <c r="T4063" t="s">
        <v>11183</v>
      </c>
      <c r="V4063" t="s">
        <v>927</v>
      </c>
      <c r="W4063">
        <v>1285.83</v>
      </c>
      <c r="X4063" t="s">
        <v>11335</v>
      </c>
      <c r="Y4063" t="s">
        <v>11339</v>
      </c>
      <c r="Z4063" t="s">
        <v>12626</v>
      </c>
      <c r="AB4063" t="s">
        <v>18372</v>
      </c>
      <c r="AC4063">
        <v>25</v>
      </c>
      <c r="AD4063" t="s">
        <v>19566</v>
      </c>
      <c r="AE4063" t="s">
        <v>9144</v>
      </c>
      <c r="AF4063">
        <v>37</v>
      </c>
      <c r="AG4063">
        <v>2</v>
      </c>
      <c r="AH4063">
        <v>0</v>
      </c>
      <c r="AI4063">
        <v>148.82</v>
      </c>
      <c r="AL4063" t="s">
        <v>19615</v>
      </c>
      <c r="AM4063">
        <v>24168</v>
      </c>
      <c r="AS4063">
        <v>33.6</v>
      </c>
      <c r="AT4063" t="s">
        <v>397</v>
      </c>
      <c r="AU4063" t="s">
        <v>20657</v>
      </c>
    </row>
    <row r="4064" spans="1:48">
      <c r="A4064" s="1">
        <f>HYPERLINK("https://lsnyc.legalserver.org/matter/dynamic-profile/view/1904433","19-1904433")</f>
        <v>0</v>
      </c>
      <c r="B4064" t="s">
        <v>122</v>
      </c>
      <c r="C4064" t="s">
        <v>256</v>
      </c>
      <c r="D4064" t="s">
        <v>736</v>
      </c>
      <c r="F4064" t="s">
        <v>2732</v>
      </c>
      <c r="G4064" t="s">
        <v>4990</v>
      </c>
      <c r="H4064" t="s">
        <v>7558</v>
      </c>
      <c r="J4064" t="s">
        <v>9066</v>
      </c>
      <c r="K4064">
        <v>10306</v>
      </c>
      <c r="L4064" t="s">
        <v>9094</v>
      </c>
      <c r="M4064" t="s">
        <v>9095</v>
      </c>
      <c r="N4064" t="s">
        <v>10605</v>
      </c>
      <c r="O4064" t="s">
        <v>11128</v>
      </c>
      <c r="P4064" t="s">
        <v>11165</v>
      </c>
      <c r="R4064" t="s">
        <v>11180</v>
      </c>
      <c r="S4064" t="s">
        <v>9096</v>
      </c>
      <c r="T4064" t="s">
        <v>11183</v>
      </c>
      <c r="U4064" t="s">
        <v>11201</v>
      </c>
      <c r="V4064" t="s">
        <v>660</v>
      </c>
      <c r="W4064">
        <v>0</v>
      </c>
      <c r="X4064" t="s">
        <v>11334</v>
      </c>
      <c r="Y4064" t="s">
        <v>11338</v>
      </c>
      <c r="Z4064" t="s">
        <v>14046</v>
      </c>
      <c r="AB4064" t="s">
        <v>18373</v>
      </c>
      <c r="AC4064">
        <v>1</v>
      </c>
      <c r="AD4064" t="s">
        <v>19565</v>
      </c>
      <c r="AF4064">
        <v>15</v>
      </c>
      <c r="AG4064">
        <v>3</v>
      </c>
      <c r="AH4064">
        <v>0</v>
      </c>
      <c r="AI4064">
        <v>148.86</v>
      </c>
      <c r="AL4064" t="s">
        <v>19614</v>
      </c>
      <c r="AM4064">
        <v>31752</v>
      </c>
      <c r="AS4064">
        <v>13.45</v>
      </c>
      <c r="AT4064" t="s">
        <v>1130</v>
      </c>
      <c r="AU4064" t="s">
        <v>205</v>
      </c>
      <c r="AV4064" t="s">
        <v>20733</v>
      </c>
    </row>
    <row r="4065" spans="1:48">
      <c r="A4065" s="1">
        <f>HYPERLINK("https://lsnyc.legalserver.org/matter/dynamic-profile/view/1900664","19-1900664")</f>
        <v>0</v>
      </c>
      <c r="B4065" t="s">
        <v>60</v>
      </c>
      <c r="C4065" t="s">
        <v>257</v>
      </c>
      <c r="D4065" t="s">
        <v>283</v>
      </c>
      <c r="E4065" t="s">
        <v>1128</v>
      </c>
      <c r="F4065" t="s">
        <v>2149</v>
      </c>
      <c r="G4065" t="s">
        <v>4991</v>
      </c>
      <c r="H4065" t="s">
        <v>7559</v>
      </c>
      <c r="I4065">
        <v>1</v>
      </c>
      <c r="J4065" t="s">
        <v>9081</v>
      </c>
      <c r="K4065">
        <v>11413</v>
      </c>
      <c r="L4065" t="s">
        <v>9094</v>
      </c>
      <c r="M4065" t="s">
        <v>9095</v>
      </c>
      <c r="N4065" t="s">
        <v>10606</v>
      </c>
      <c r="O4065" t="s">
        <v>11128</v>
      </c>
      <c r="P4065" t="s">
        <v>11164</v>
      </c>
      <c r="Q4065" t="s">
        <v>11172</v>
      </c>
      <c r="R4065" t="s">
        <v>11180</v>
      </c>
      <c r="S4065" t="s">
        <v>9096</v>
      </c>
      <c r="T4065" t="s">
        <v>11183</v>
      </c>
      <c r="U4065" t="s">
        <v>11201</v>
      </c>
      <c r="V4065" t="s">
        <v>283</v>
      </c>
      <c r="W4065">
        <v>1487</v>
      </c>
      <c r="X4065" t="s">
        <v>11331</v>
      </c>
      <c r="Y4065" t="s">
        <v>11336</v>
      </c>
      <c r="Z4065" t="s">
        <v>12928</v>
      </c>
      <c r="AA4065" t="s">
        <v>15274</v>
      </c>
      <c r="AB4065" t="s">
        <v>18374</v>
      </c>
      <c r="AC4065">
        <v>2</v>
      </c>
      <c r="AD4065" t="s">
        <v>19565</v>
      </c>
      <c r="AE4065" t="s">
        <v>19580</v>
      </c>
      <c r="AF4065">
        <v>10</v>
      </c>
      <c r="AG4065">
        <v>1</v>
      </c>
      <c r="AH4065">
        <v>0</v>
      </c>
      <c r="AI4065">
        <v>148.92</v>
      </c>
      <c r="AL4065" t="s">
        <v>19614</v>
      </c>
      <c r="AM4065">
        <v>18600</v>
      </c>
      <c r="AS4065">
        <v>1.1</v>
      </c>
      <c r="AT4065" t="s">
        <v>993</v>
      </c>
      <c r="AU4065" t="s">
        <v>20622</v>
      </c>
      <c r="AV4065" t="s">
        <v>20733</v>
      </c>
    </row>
    <row r="4066" spans="1:48">
      <c r="A4066" s="1">
        <f>HYPERLINK("https://lsnyc.legalserver.org/matter/dynamic-profile/view/1906460","19-1906460")</f>
        <v>0</v>
      </c>
      <c r="B4066" t="s">
        <v>109</v>
      </c>
      <c r="C4066" t="s">
        <v>257</v>
      </c>
      <c r="D4066" t="s">
        <v>335</v>
      </c>
      <c r="E4066" t="s">
        <v>335</v>
      </c>
      <c r="F4066" t="s">
        <v>1147</v>
      </c>
      <c r="G4066" t="s">
        <v>3879</v>
      </c>
      <c r="H4066" t="s">
        <v>7560</v>
      </c>
      <c r="J4066" t="s">
        <v>9065</v>
      </c>
      <c r="K4066">
        <v>10452</v>
      </c>
      <c r="L4066" t="s">
        <v>9095</v>
      </c>
      <c r="M4066" t="s">
        <v>9095</v>
      </c>
      <c r="P4066" t="s">
        <v>11164</v>
      </c>
      <c r="Q4066" t="s">
        <v>11172</v>
      </c>
      <c r="R4066" t="s">
        <v>11180</v>
      </c>
      <c r="T4066" t="s">
        <v>11183</v>
      </c>
      <c r="W4066">
        <v>0</v>
      </c>
      <c r="X4066" t="s">
        <v>11333</v>
      </c>
      <c r="Z4066" t="s">
        <v>14047</v>
      </c>
      <c r="AB4066" t="s">
        <v>18375</v>
      </c>
      <c r="AC4066">
        <v>0</v>
      </c>
      <c r="AF4066">
        <v>0</v>
      </c>
      <c r="AG4066">
        <v>3</v>
      </c>
      <c r="AH4066">
        <v>1</v>
      </c>
      <c r="AI4066">
        <v>149.13</v>
      </c>
      <c r="AL4066" t="s">
        <v>19615</v>
      </c>
      <c r="AM4066">
        <v>38400</v>
      </c>
      <c r="AS4066">
        <v>1.75</v>
      </c>
      <c r="AT4066" t="s">
        <v>335</v>
      </c>
      <c r="AU4066" t="s">
        <v>109</v>
      </c>
    </row>
    <row r="4067" spans="1:48">
      <c r="A4067" s="1">
        <f>HYPERLINK("https://lsnyc.legalserver.org/matter/dynamic-profile/view/1891880","19-1891880")</f>
        <v>0</v>
      </c>
      <c r="B4067" t="s">
        <v>111</v>
      </c>
      <c r="C4067" t="s">
        <v>256</v>
      </c>
      <c r="D4067" t="s">
        <v>868</v>
      </c>
      <c r="F4067" t="s">
        <v>1171</v>
      </c>
      <c r="G4067" t="s">
        <v>4992</v>
      </c>
      <c r="H4067" t="s">
        <v>5887</v>
      </c>
      <c r="I4067" t="s">
        <v>8532</v>
      </c>
      <c r="J4067" t="s">
        <v>9065</v>
      </c>
      <c r="K4067">
        <v>10453</v>
      </c>
      <c r="L4067" t="s">
        <v>9094</v>
      </c>
      <c r="M4067" t="s">
        <v>9094</v>
      </c>
      <c r="N4067" t="s">
        <v>10607</v>
      </c>
      <c r="O4067" t="s">
        <v>11128</v>
      </c>
      <c r="P4067" t="s">
        <v>11165</v>
      </c>
      <c r="R4067" t="s">
        <v>11180</v>
      </c>
      <c r="S4067" t="s">
        <v>9096</v>
      </c>
      <c r="T4067" t="s">
        <v>11183</v>
      </c>
      <c r="V4067" t="s">
        <v>868</v>
      </c>
      <c r="W4067">
        <v>985</v>
      </c>
      <c r="X4067" t="s">
        <v>11333</v>
      </c>
      <c r="Y4067" t="s">
        <v>11346</v>
      </c>
      <c r="Z4067" t="s">
        <v>14048</v>
      </c>
      <c r="AC4067">
        <v>167</v>
      </c>
      <c r="AD4067" t="s">
        <v>19566</v>
      </c>
      <c r="AE4067" t="s">
        <v>9144</v>
      </c>
      <c r="AF4067">
        <v>17</v>
      </c>
      <c r="AG4067">
        <v>3</v>
      </c>
      <c r="AH4067">
        <v>2</v>
      </c>
      <c r="AI4067">
        <v>149.15</v>
      </c>
      <c r="AL4067" t="s">
        <v>19614</v>
      </c>
      <c r="AM4067">
        <v>45000</v>
      </c>
      <c r="AS4067">
        <v>39.8</v>
      </c>
      <c r="AT4067" t="s">
        <v>288</v>
      </c>
      <c r="AU4067" t="s">
        <v>20642</v>
      </c>
    </row>
    <row r="4068" spans="1:48">
      <c r="A4068" s="1">
        <f>HYPERLINK("https://lsnyc.legalserver.org/matter/dynamic-profile/view/1892727","19-1892727")</f>
        <v>0</v>
      </c>
      <c r="B4068" t="s">
        <v>111</v>
      </c>
      <c r="C4068" t="s">
        <v>256</v>
      </c>
      <c r="D4068" t="s">
        <v>553</v>
      </c>
      <c r="F4068" t="s">
        <v>1171</v>
      </c>
      <c r="G4068" t="s">
        <v>4992</v>
      </c>
      <c r="H4068" t="s">
        <v>5887</v>
      </c>
      <c r="I4068" t="s">
        <v>8532</v>
      </c>
      <c r="J4068" t="s">
        <v>9065</v>
      </c>
      <c r="K4068">
        <v>10453</v>
      </c>
      <c r="L4068" t="s">
        <v>9094</v>
      </c>
      <c r="M4068" t="s">
        <v>9094</v>
      </c>
      <c r="N4068" t="s">
        <v>10607</v>
      </c>
      <c r="O4068" t="s">
        <v>11128</v>
      </c>
      <c r="P4068" t="s">
        <v>11165</v>
      </c>
      <c r="R4068" t="s">
        <v>11180</v>
      </c>
      <c r="S4068" t="s">
        <v>9096</v>
      </c>
      <c r="T4068" t="s">
        <v>11183</v>
      </c>
      <c r="V4068" t="s">
        <v>553</v>
      </c>
      <c r="W4068">
        <v>985</v>
      </c>
      <c r="X4068" t="s">
        <v>11333</v>
      </c>
      <c r="Y4068" t="s">
        <v>11346</v>
      </c>
      <c r="Z4068" t="s">
        <v>14048</v>
      </c>
      <c r="AC4068">
        <v>167</v>
      </c>
      <c r="AD4068" t="s">
        <v>19566</v>
      </c>
      <c r="AE4068" t="s">
        <v>9144</v>
      </c>
      <c r="AF4068">
        <v>17</v>
      </c>
      <c r="AG4068">
        <v>3</v>
      </c>
      <c r="AH4068">
        <v>2</v>
      </c>
      <c r="AI4068">
        <v>149.15</v>
      </c>
      <c r="AL4068" t="s">
        <v>19614</v>
      </c>
      <c r="AM4068">
        <v>45000</v>
      </c>
      <c r="AS4068">
        <v>0</v>
      </c>
      <c r="AU4068" t="s">
        <v>220</v>
      </c>
    </row>
    <row r="4069" spans="1:48">
      <c r="A4069" s="1">
        <f>HYPERLINK("https://lsnyc.legalserver.org/matter/dynamic-profile/view/1869128","18-1869128")</f>
        <v>0</v>
      </c>
      <c r="B4069" t="s">
        <v>64</v>
      </c>
      <c r="C4069" t="s">
        <v>256</v>
      </c>
      <c r="D4069" t="s">
        <v>959</v>
      </c>
      <c r="F4069" t="s">
        <v>2733</v>
      </c>
      <c r="G4069" t="s">
        <v>4851</v>
      </c>
      <c r="H4069" t="s">
        <v>7561</v>
      </c>
      <c r="I4069">
        <v>3</v>
      </c>
      <c r="J4069" t="s">
        <v>9059</v>
      </c>
      <c r="K4069">
        <v>11208</v>
      </c>
      <c r="L4069" t="s">
        <v>9094</v>
      </c>
      <c r="M4069" t="s">
        <v>9095</v>
      </c>
      <c r="N4069" t="s">
        <v>10608</v>
      </c>
      <c r="O4069" t="s">
        <v>11128</v>
      </c>
      <c r="P4069" t="s">
        <v>11165</v>
      </c>
      <c r="R4069" t="s">
        <v>11180</v>
      </c>
      <c r="S4069" t="s">
        <v>9096</v>
      </c>
      <c r="T4069" t="s">
        <v>11183</v>
      </c>
      <c r="V4069" t="s">
        <v>743</v>
      </c>
      <c r="W4069">
        <v>851</v>
      </c>
      <c r="X4069" t="s">
        <v>11332</v>
      </c>
      <c r="Y4069" t="s">
        <v>11349</v>
      </c>
      <c r="Z4069" t="s">
        <v>14049</v>
      </c>
      <c r="AA4069" t="s">
        <v>9144</v>
      </c>
      <c r="AB4069" t="s">
        <v>18376</v>
      </c>
      <c r="AC4069">
        <v>50</v>
      </c>
      <c r="AD4069" t="s">
        <v>19566</v>
      </c>
      <c r="AE4069" t="s">
        <v>9144</v>
      </c>
      <c r="AF4069">
        <v>12</v>
      </c>
      <c r="AG4069">
        <v>3</v>
      </c>
      <c r="AH4069">
        <v>0</v>
      </c>
      <c r="AI4069">
        <v>149.18</v>
      </c>
      <c r="AL4069" t="s">
        <v>19614</v>
      </c>
      <c r="AM4069">
        <v>31000</v>
      </c>
      <c r="AS4069">
        <v>21.51</v>
      </c>
      <c r="AT4069" t="s">
        <v>663</v>
      </c>
      <c r="AU4069" t="s">
        <v>95</v>
      </c>
    </row>
    <row r="4070" spans="1:48">
      <c r="A4070" s="1">
        <f>HYPERLINK("https://lsnyc.legalserver.org/matter/dynamic-profile/view/1844544","17-1844544")</f>
        <v>0</v>
      </c>
      <c r="B4070" t="s">
        <v>103</v>
      </c>
      <c r="C4070" t="s">
        <v>256</v>
      </c>
      <c r="D4070" t="s">
        <v>996</v>
      </c>
      <c r="F4070" t="s">
        <v>2734</v>
      </c>
      <c r="G4070" t="s">
        <v>1206</v>
      </c>
      <c r="H4070" t="s">
        <v>7562</v>
      </c>
      <c r="I4070">
        <v>46</v>
      </c>
      <c r="J4070" t="s">
        <v>9065</v>
      </c>
      <c r="K4070">
        <v>10473</v>
      </c>
      <c r="L4070" t="s">
        <v>9094</v>
      </c>
      <c r="M4070" t="s">
        <v>9095</v>
      </c>
      <c r="N4070" t="s">
        <v>10609</v>
      </c>
      <c r="O4070" t="s">
        <v>11135</v>
      </c>
      <c r="P4070" t="s">
        <v>11168</v>
      </c>
      <c r="R4070" t="s">
        <v>11180</v>
      </c>
      <c r="S4070" t="s">
        <v>9094</v>
      </c>
      <c r="T4070" t="s">
        <v>11183</v>
      </c>
      <c r="V4070" t="s">
        <v>11223</v>
      </c>
      <c r="W4070">
        <v>829.79</v>
      </c>
      <c r="X4070" t="s">
        <v>11333</v>
      </c>
      <c r="Y4070" t="s">
        <v>11351</v>
      </c>
      <c r="Z4070" t="s">
        <v>14050</v>
      </c>
      <c r="AB4070" t="s">
        <v>18377</v>
      </c>
      <c r="AC4070">
        <v>976</v>
      </c>
      <c r="AD4070" t="s">
        <v>19566</v>
      </c>
      <c r="AF4070">
        <v>13</v>
      </c>
      <c r="AG4070">
        <v>1</v>
      </c>
      <c r="AH4070">
        <v>0</v>
      </c>
      <c r="AI4070">
        <v>149.25</v>
      </c>
      <c r="AJ4070" t="s">
        <v>936</v>
      </c>
      <c r="AL4070" t="s">
        <v>19614</v>
      </c>
      <c r="AM4070">
        <v>18000</v>
      </c>
      <c r="AS4070">
        <v>0</v>
      </c>
      <c r="AU4070" t="s">
        <v>20650</v>
      </c>
    </row>
    <row r="4071" spans="1:48">
      <c r="A4071" s="1">
        <f>HYPERLINK("https://lsnyc.legalserver.org/matter/dynamic-profile/view/1839720","17-1839720")</f>
        <v>0</v>
      </c>
      <c r="B4071" t="s">
        <v>136</v>
      </c>
      <c r="C4071" t="s">
        <v>256</v>
      </c>
      <c r="D4071" t="s">
        <v>925</v>
      </c>
      <c r="F4071" t="s">
        <v>1211</v>
      </c>
      <c r="G4071" t="s">
        <v>4993</v>
      </c>
      <c r="H4071" t="s">
        <v>6274</v>
      </c>
      <c r="I4071" t="s">
        <v>8112</v>
      </c>
      <c r="J4071" t="s">
        <v>9067</v>
      </c>
      <c r="K4071">
        <v>10034</v>
      </c>
      <c r="L4071" t="s">
        <v>9094</v>
      </c>
      <c r="M4071" t="s">
        <v>9095</v>
      </c>
      <c r="O4071" t="s">
        <v>11135</v>
      </c>
      <c r="P4071" t="s">
        <v>11165</v>
      </c>
      <c r="R4071" t="s">
        <v>11180</v>
      </c>
      <c r="S4071" t="s">
        <v>9096</v>
      </c>
      <c r="T4071" t="s">
        <v>11183</v>
      </c>
      <c r="V4071" t="s">
        <v>998</v>
      </c>
      <c r="W4071">
        <v>1300</v>
      </c>
      <c r="X4071" t="s">
        <v>11335</v>
      </c>
      <c r="Y4071" t="s">
        <v>11338</v>
      </c>
      <c r="Z4071" t="s">
        <v>13627</v>
      </c>
      <c r="AB4071" t="s">
        <v>18378</v>
      </c>
      <c r="AC4071">
        <v>65</v>
      </c>
      <c r="AD4071" t="s">
        <v>19565</v>
      </c>
      <c r="AE4071" t="s">
        <v>9144</v>
      </c>
      <c r="AF4071">
        <v>4</v>
      </c>
      <c r="AG4071">
        <v>1</v>
      </c>
      <c r="AH4071">
        <v>0</v>
      </c>
      <c r="AI4071">
        <v>149.25</v>
      </c>
      <c r="AL4071" t="s">
        <v>19614</v>
      </c>
      <c r="AM4071">
        <v>18000</v>
      </c>
      <c r="AS4071">
        <v>30.5</v>
      </c>
      <c r="AT4071" t="s">
        <v>377</v>
      </c>
      <c r="AU4071" t="s">
        <v>130</v>
      </c>
    </row>
    <row r="4072" spans="1:48">
      <c r="A4072" s="1">
        <f>HYPERLINK("https://lsnyc.legalserver.org/matter/dynamic-profile/view/1860080","18-1860080")</f>
        <v>0</v>
      </c>
      <c r="B4072" t="s">
        <v>131</v>
      </c>
      <c r="C4072" t="s">
        <v>257</v>
      </c>
      <c r="D4072" t="s">
        <v>1044</v>
      </c>
      <c r="E4072" t="s">
        <v>270</v>
      </c>
      <c r="F4072" t="s">
        <v>2735</v>
      </c>
      <c r="G4072" t="s">
        <v>3195</v>
      </c>
      <c r="H4072" t="s">
        <v>7563</v>
      </c>
      <c r="I4072" t="s">
        <v>8169</v>
      </c>
      <c r="J4072" t="s">
        <v>9067</v>
      </c>
      <c r="K4072">
        <v>10034</v>
      </c>
      <c r="L4072" t="s">
        <v>9095</v>
      </c>
      <c r="M4072" t="s">
        <v>9095</v>
      </c>
      <c r="O4072" t="s">
        <v>9121</v>
      </c>
      <c r="P4072" t="s">
        <v>11169</v>
      </c>
      <c r="Q4072" t="s">
        <v>11172</v>
      </c>
      <c r="R4072" t="s">
        <v>11180</v>
      </c>
      <c r="S4072" t="s">
        <v>9096</v>
      </c>
      <c r="T4072" t="s">
        <v>11190</v>
      </c>
      <c r="W4072">
        <v>560</v>
      </c>
      <c r="X4072" t="s">
        <v>11335</v>
      </c>
      <c r="Z4072" t="s">
        <v>14051</v>
      </c>
      <c r="AB4072" t="s">
        <v>18379</v>
      </c>
      <c r="AC4072">
        <v>25</v>
      </c>
      <c r="AD4072" t="s">
        <v>15441</v>
      </c>
      <c r="AE4072" t="s">
        <v>9144</v>
      </c>
      <c r="AF4072">
        <v>3</v>
      </c>
      <c r="AG4072">
        <v>1</v>
      </c>
      <c r="AH4072">
        <v>0</v>
      </c>
      <c r="AI4072">
        <v>149.25</v>
      </c>
      <c r="AL4072" t="s">
        <v>19614</v>
      </c>
      <c r="AM4072">
        <v>18000</v>
      </c>
      <c r="AS4072">
        <v>0.5</v>
      </c>
      <c r="AT4072" t="s">
        <v>1044</v>
      </c>
      <c r="AU4072" t="s">
        <v>20635</v>
      </c>
    </row>
    <row r="4073" spans="1:48">
      <c r="A4073" s="1">
        <f>HYPERLINK("https://lsnyc.legalserver.org/matter/dynamic-profile/view/0795212","15-0795212")</f>
        <v>0</v>
      </c>
      <c r="B4073" t="s">
        <v>49</v>
      </c>
      <c r="C4073" t="s">
        <v>256</v>
      </c>
      <c r="D4073" t="s">
        <v>1052</v>
      </c>
      <c r="F4073" t="s">
        <v>1404</v>
      </c>
      <c r="G4073" t="s">
        <v>4994</v>
      </c>
      <c r="H4073" t="s">
        <v>5736</v>
      </c>
      <c r="I4073" t="s">
        <v>8808</v>
      </c>
      <c r="J4073" t="s">
        <v>9055</v>
      </c>
      <c r="K4073">
        <v>11354</v>
      </c>
      <c r="L4073" t="s">
        <v>9094</v>
      </c>
      <c r="M4073" t="s">
        <v>9095</v>
      </c>
      <c r="N4073" t="s">
        <v>9717</v>
      </c>
      <c r="O4073" t="s">
        <v>11135</v>
      </c>
      <c r="P4073" t="s">
        <v>11168</v>
      </c>
      <c r="R4073" t="s">
        <v>11180</v>
      </c>
      <c r="T4073" t="s">
        <v>11183</v>
      </c>
      <c r="V4073" t="s">
        <v>303</v>
      </c>
      <c r="W4073">
        <v>1426.25</v>
      </c>
      <c r="X4073" t="s">
        <v>11331</v>
      </c>
      <c r="Y4073" t="s">
        <v>11342</v>
      </c>
      <c r="Z4073" t="s">
        <v>14052</v>
      </c>
      <c r="AB4073" t="s">
        <v>18380</v>
      </c>
      <c r="AC4073">
        <v>175</v>
      </c>
      <c r="AD4073" t="s">
        <v>19566</v>
      </c>
      <c r="AE4073" t="s">
        <v>9144</v>
      </c>
      <c r="AF4073">
        <v>12</v>
      </c>
      <c r="AG4073">
        <v>2</v>
      </c>
      <c r="AH4073">
        <v>1</v>
      </c>
      <c r="AI4073">
        <v>149.33</v>
      </c>
      <c r="AL4073" t="s">
        <v>19615</v>
      </c>
      <c r="AM4073">
        <v>30000</v>
      </c>
      <c r="AS4073">
        <v>0.45</v>
      </c>
      <c r="AT4073" t="s">
        <v>448</v>
      </c>
      <c r="AU4073" t="s">
        <v>20621</v>
      </c>
    </row>
    <row r="4074" spans="1:48">
      <c r="A4074" s="1">
        <f>HYPERLINK("https://lsnyc.legalserver.org/matter/dynamic-profile/view/1905070","19-1905070")</f>
        <v>0</v>
      </c>
      <c r="B4074" t="s">
        <v>55</v>
      </c>
      <c r="C4074" t="s">
        <v>256</v>
      </c>
      <c r="D4074" t="s">
        <v>367</v>
      </c>
      <c r="F4074" t="s">
        <v>1700</v>
      </c>
      <c r="G4074" t="s">
        <v>3419</v>
      </c>
      <c r="H4074" t="s">
        <v>7564</v>
      </c>
      <c r="I4074" t="s">
        <v>8151</v>
      </c>
      <c r="J4074" t="s">
        <v>9078</v>
      </c>
      <c r="K4074">
        <v>11372</v>
      </c>
      <c r="L4074" t="s">
        <v>9094</v>
      </c>
      <c r="M4074" t="s">
        <v>9095</v>
      </c>
      <c r="N4074" t="s">
        <v>10610</v>
      </c>
      <c r="O4074" t="s">
        <v>11129</v>
      </c>
      <c r="P4074" t="s">
        <v>11165</v>
      </c>
      <c r="R4074" t="s">
        <v>11180</v>
      </c>
      <c r="S4074" t="s">
        <v>9096</v>
      </c>
      <c r="T4074" t="s">
        <v>11183</v>
      </c>
      <c r="U4074" t="s">
        <v>11200</v>
      </c>
      <c r="V4074" t="s">
        <v>367</v>
      </c>
      <c r="W4074">
        <v>1760</v>
      </c>
      <c r="X4074" t="s">
        <v>11331</v>
      </c>
      <c r="Y4074" t="s">
        <v>11340</v>
      </c>
      <c r="Z4074" t="s">
        <v>14053</v>
      </c>
      <c r="AB4074" t="s">
        <v>18381</v>
      </c>
      <c r="AC4074">
        <v>16</v>
      </c>
      <c r="AD4074" t="s">
        <v>15441</v>
      </c>
      <c r="AE4074" t="s">
        <v>9144</v>
      </c>
      <c r="AF4074">
        <v>5</v>
      </c>
      <c r="AG4074">
        <v>2</v>
      </c>
      <c r="AH4074">
        <v>2</v>
      </c>
      <c r="AI4074">
        <v>149.44</v>
      </c>
      <c r="AL4074" t="s">
        <v>19614</v>
      </c>
      <c r="AM4074">
        <v>38480</v>
      </c>
      <c r="AP4074" t="s">
        <v>11157</v>
      </c>
      <c r="AS4074">
        <v>13.66</v>
      </c>
      <c r="AT4074" t="s">
        <v>496</v>
      </c>
      <c r="AU4074" t="s">
        <v>20620</v>
      </c>
      <c r="AV4074" t="s">
        <v>20733</v>
      </c>
    </row>
    <row r="4075" spans="1:48">
      <c r="A4075" s="1">
        <f>HYPERLINK("https://lsnyc.legalserver.org/matter/dynamic-profile/view/1898702","19-1898702")</f>
        <v>0</v>
      </c>
      <c r="B4075" t="s">
        <v>71</v>
      </c>
      <c r="C4075" t="s">
        <v>257</v>
      </c>
      <c r="D4075" t="s">
        <v>361</v>
      </c>
      <c r="E4075" t="s">
        <v>457</v>
      </c>
      <c r="F4075" t="s">
        <v>2736</v>
      </c>
      <c r="G4075" t="s">
        <v>3503</v>
      </c>
      <c r="H4075" t="s">
        <v>7565</v>
      </c>
      <c r="I4075">
        <v>1</v>
      </c>
      <c r="J4075" t="s">
        <v>9059</v>
      </c>
      <c r="K4075">
        <v>11207</v>
      </c>
      <c r="L4075" t="s">
        <v>9094</v>
      </c>
      <c r="M4075" t="s">
        <v>9094</v>
      </c>
      <c r="N4075" t="s">
        <v>9121</v>
      </c>
      <c r="O4075" t="s">
        <v>11136</v>
      </c>
      <c r="P4075" t="s">
        <v>11164</v>
      </c>
      <c r="Q4075" t="s">
        <v>11172</v>
      </c>
      <c r="R4075" t="s">
        <v>11180</v>
      </c>
      <c r="S4075" t="s">
        <v>9096</v>
      </c>
      <c r="T4075" t="s">
        <v>11183</v>
      </c>
      <c r="U4075" t="s">
        <v>11201</v>
      </c>
      <c r="V4075" t="s">
        <v>706</v>
      </c>
      <c r="W4075">
        <v>870</v>
      </c>
      <c r="X4075" t="s">
        <v>11332</v>
      </c>
      <c r="Y4075" t="s">
        <v>11346</v>
      </c>
      <c r="Z4075" t="s">
        <v>14054</v>
      </c>
      <c r="AC4075">
        <v>2</v>
      </c>
      <c r="AD4075" t="s">
        <v>19565</v>
      </c>
      <c r="AF4075">
        <v>2</v>
      </c>
      <c r="AG4075">
        <v>3</v>
      </c>
      <c r="AH4075">
        <v>1</v>
      </c>
      <c r="AI4075">
        <v>149.44</v>
      </c>
      <c r="AL4075" t="s">
        <v>19615</v>
      </c>
      <c r="AM4075">
        <v>38480</v>
      </c>
      <c r="AS4075">
        <v>0.5</v>
      </c>
      <c r="AT4075" t="s">
        <v>457</v>
      </c>
      <c r="AU4075" t="s">
        <v>95</v>
      </c>
      <c r="AV4075" t="s">
        <v>20733</v>
      </c>
    </row>
    <row r="4076" spans="1:48">
      <c r="A4076" s="1">
        <f>HYPERLINK("https://lsnyc.legalserver.org/matter/dynamic-profile/view/1902168","19-1902168")</f>
        <v>0</v>
      </c>
      <c r="B4076" t="s">
        <v>49</v>
      </c>
      <c r="C4076" t="s">
        <v>256</v>
      </c>
      <c r="D4076" t="s">
        <v>584</v>
      </c>
      <c r="F4076" t="s">
        <v>1212</v>
      </c>
      <c r="G4076" t="s">
        <v>2232</v>
      </c>
      <c r="H4076" t="s">
        <v>7566</v>
      </c>
      <c r="I4076" t="s">
        <v>8168</v>
      </c>
      <c r="J4076" t="s">
        <v>9055</v>
      </c>
      <c r="K4076">
        <v>11358</v>
      </c>
      <c r="L4076" t="s">
        <v>9094</v>
      </c>
      <c r="M4076" t="s">
        <v>9095</v>
      </c>
      <c r="N4076" t="s">
        <v>10611</v>
      </c>
      <c r="O4076" t="s">
        <v>11128</v>
      </c>
      <c r="P4076" t="s">
        <v>11165</v>
      </c>
      <c r="R4076" t="s">
        <v>11180</v>
      </c>
      <c r="S4076" t="s">
        <v>9096</v>
      </c>
      <c r="T4076" t="s">
        <v>11183</v>
      </c>
      <c r="U4076" t="s">
        <v>11201</v>
      </c>
      <c r="V4076" t="s">
        <v>760</v>
      </c>
      <c r="W4076">
        <v>1156</v>
      </c>
      <c r="X4076" t="s">
        <v>11331</v>
      </c>
      <c r="Y4076" t="s">
        <v>11354</v>
      </c>
      <c r="Z4076" t="s">
        <v>14055</v>
      </c>
      <c r="AA4076" t="s">
        <v>9144</v>
      </c>
      <c r="AC4076">
        <v>20</v>
      </c>
      <c r="AD4076" t="s">
        <v>19566</v>
      </c>
      <c r="AE4076" t="s">
        <v>9144</v>
      </c>
      <c r="AF4076">
        <v>8</v>
      </c>
      <c r="AG4076">
        <v>1</v>
      </c>
      <c r="AH4076">
        <v>0</v>
      </c>
      <c r="AI4076">
        <v>149.72</v>
      </c>
      <c r="AL4076" t="s">
        <v>19614</v>
      </c>
      <c r="AM4076">
        <v>18700</v>
      </c>
      <c r="AO4076" t="s">
        <v>20292</v>
      </c>
      <c r="AP4076" t="s">
        <v>20309</v>
      </c>
      <c r="AQ4076" t="s">
        <v>20369</v>
      </c>
      <c r="AR4076" t="s">
        <v>20534</v>
      </c>
      <c r="AS4076">
        <v>46.9</v>
      </c>
      <c r="AT4076" t="s">
        <v>270</v>
      </c>
      <c r="AU4076" t="s">
        <v>20627</v>
      </c>
      <c r="AV4076" t="s">
        <v>20733</v>
      </c>
    </row>
    <row r="4077" spans="1:48">
      <c r="A4077" s="1">
        <f>HYPERLINK("https://lsnyc.legalserver.org/matter/dynamic-profile/view/1892349","19-1892349")</f>
        <v>0</v>
      </c>
      <c r="B4077" t="s">
        <v>150</v>
      </c>
      <c r="C4077" t="s">
        <v>256</v>
      </c>
      <c r="D4077" t="s">
        <v>635</v>
      </c>
      <c r="F4077" t="s">
        <v>2737</v>
      </c>
      <c r="G4077" t="s">
        <v>3712</v>
      </c>
      <c r="H4077" t="s">
        <v>7567</v>
      </c>
      <c r="I4077" t="s">
        <v>8160</v>
      </c>
      <c r="J4077" t="s">
        <v>9059</v>
      </c>
      <c r="K4077">
        <v>11233</v>
      </c>
      <c r="L4077" t="s">
        <v>9094</v>
      </c>
      <c r="M4077" t="s">
        <v>9094</v>
      </c>
      <c r="N4077" t="s">
        <v>10612</v>
      </c>
      <c r="O4077" t="s">
        <v>11128</v>
      </c>
      <c r="P4077" t="s">
        <v>11165</v>
      </c>
      <c r="R4077" t="s">
        <v>11180</v>
      </c>
      <c r="S4077" t="s">
        <v>9094</v>
      </c>
      <c r="T4077" t="s">
        <v>11183</v>
      </c>
      <c r="U4077" t="s">
        <v>11201</v>
      </c>
      <c r="V4077" t="s">
        <v>11294</v>
      </c>
      <c r="W4077">
        <v>733.64</v>
      </c>
      <c r="X4077" t="s">
        <v>11332</v>
      </c>
      <c r="Y4077" t="s">
        <v>11338</v>
      </c>
      <c r="Z4077" t="s">
        <v>14056</v>
      </c>
      <c r="AA4077" t="s">
        <v>9144</v>
      </c>
      <c r="AB4077" t="s">
        <v>18382</v>
      </c>
      <c r="AC4077">
        <v>32</v>
      </c>
      <c r="AD4077" t="s">
        <v>19566</v>
      </c>
      <c r="AE4077" t="s">
        <v>9144</v>
      </c>
      <c r="AF4077">
        <v>5</v>
      </c>
      <c r="AG4077">
        <v>1</v>
      </c>
      <c r="AH4077">
        <v>1</v>
      </c>
      <c r="AI4077">
        <v>149.76</v>
      </c>
      <c r="AL4077" t="s">
        <v>19614</v>
      </c>
      <c r="AM4077">
        <v>25324</v>
      </c>
      <c r="AN4077" t="s">
        <v>19995</v>
      </c>
      <c r="AS4077">
        <v>0</v>
      </c>
      <c r="AU4077" t="s">
        <v>95</v>
      </c>
    </row>
    <row r="4078" spans="1:48">
      <c r="A4078" s="1">
        <f>HYPERLINK("https://lsnyc.legalserver.org/matter/dynamic-profile/view/1892345","19-1892345")</f>
        <v>0</v>
      </c>
      <c r="B4078" t="s">
        <v>150</v>
      </c>
      <c r="C4078" t="s">
        <v>256</v>
      </c>
      <c r="D4078" t="s">
        <v>635</v>
      </c>
      <c r="F4078" t="s">
        <v>2737</v>
      </c>
      <c r="G4078" t="s">
        <v>3712</v>
      </c>
      <c r="H4078" t="s">
        <v>7567</v>
      </c>
      <c r="I4078" t="s">
        <v>8160</v>
      </c>
      <c r="J4078" t="s">
        <v>9059</v>
      </c>
      <c r="K4078">
        <v>11233</v>
      </c>
      <c r="L4078" t="s">
        <v>9094</v>
      </c>
      <c r="M4078" t="s">
        <v>9094</v>
      </c>
      <c r="N4078" t="s">
        <v>9144</v>
      </c>
      <c r="O4078" t="s">
        <v>11137</v>
      </c>
      <c r="P4078" t="s">
        <v>11167</v>
      </c>
      <c r="R4078" t="s">
        <v>11180</v>
      </c>
      <c r="S4078" t="s">
        <v>9094</v>
      </c>
      <c r="T4078" t="s">
        <v>11183</v>
      </c>
      <c r="U4078" t="s">
        <v>11201</v>
      </c>
      <c r="V4078" t="s">
        <v>756</v>
      </c>
      <c r="W4078">
        <v>733.64</v>
      </c>
      <c r="X4078" t="s">
        <v>11332</v>
      </c>
      <c r="Y4078" t="s">
        <v>11338</v>
      </c>
      <c r="Z4078" t="s">
        <v>14056</v>
      </c>
      <c r="AA4078" t="s">
        <v>9144</v>
      </c>
      <c r="AB4078" t="s">
        <v>18382</v>
      </c>
      <c r="AC4078">
        <v>32</v>
      </c>
      <c r="AD4078" t="s">
        <v>19566</v>
      </c>
      <c r="AE4078" t="s">
        <v>9144</v>
      </c>
      <c r="AF4078">
        <v>5</v>
      </c>
      <c r="AG4078">
        <v>1</v>
      </c>
      <c r="AH4078">
        <v>1</v>
      </c>
      <c r="AI4078">
        <v>149.76</v>
      </c>
      <c r="AL4078" t="s">
        <v>19614</v>
      </c>
      <c r="AM4078">
        <v>25324</v>
      </c>
      <c r="AN4078" t="s">
        <v>19995</v>
      </c>
      <c r="AS4078">
        <v>0</v>
      </c>
      <c r="AU4078" t="s">
        <v>95</v>
      </c>
    </row>
    <row r="4079" spans="1:48">
      <c r="A4079" s="1">
        <f>HYPERLINK("https://lsnyc.legalserver.org/matter/dynamic-profile/view/1892341","19-1892341")</f>
        <v>0</v>
      </c>
      <c r="B4079" t="s">
        <v>150</v>
      </c>
      <c r="C4079" t="s">
        <v>256</v>
      </c>
      <c r="D4079" t="s">
        <v>635</v>
      </c>
      <c r="F4079" t="s">
        <v>2737</v>
      </c>
      <c r="G4079" t="s">
        <v>3712</v>
      </c>
      <c r="H4079" t="s">
        <v>7567</v>
      </c>
      <c r="I4079" t="s">
        <v>8160</v>
      </c>
      <c r="J4079" t="s">
        <v>9059</v>
      </c>
      <c r="K4079">
        <v>11233</v>
      </c>
      <c r="L4079" t="s">
        <v>9094</v>
      </c>
      <c r="M4079" t="s">
        <v>9094</v>
      </c>
      <c r="N4079" t="s">
        <v>10613</v>
      </c>
      <c r="O4079" t="s">
        <v>11129</v>
      </c>
      <c r="P4079" t="s">
        <v>11165</v>
      </c>
      <c r="R4079" t="s">
        <v>11180</v>
      </c>
      <c r="S4079" t="s">
        <v>9096</v>
      </c>
      <c r="T4079" t="s">
        <v>11183</v>
      </c>
      <c r="U4079" t="s">
        <v>11201</v>
      </c>
      <c r="V4079" t="s">
        <v>697</v>
      </c>
      <c r="W4079">
        <v>733.64</v>
      </c>
      <c r="X4079" t="s">
        <v>11332</v>
      </c>
      <c r="Y4079" t="s">
        <v>11338</v>
      </c>
      <c r="Z4079" t="s">
        <v>14056</v>
      </c>
      <c r="AA4079" t="s">
        <v>9144</v>
      </c>
      <c r="AB4079" t="s">
        <v>18382</v>
      </c>
      <c r="AC4079">
        <v>32</v>
      </c>
      <c r="AD4079" t="s">
        <v>19566</v>
      </c>
      <c r="AE4079" t="s">
        <v>9144</v>
      </c>
      <c r="AF4079">
        <v>5</v>
      </c>
      <c r="AG4079">
        <v>1</v>
      </c>
      <c r="AH4079">
        <v>1</v>
      </c>
      <c r="AI4079">
        <v>149.76</v>
      </c>
      <c r="AL4079" t="s">
        <v>19614</v>
      </c>
      <c r="AM4079">
        <v>25324</v>
      </c>
      <c r="AS4079">
        <v>0</v>
      </c>
      <c r="AU4079" t="s">
        <v>95</v>
      </c>
    </row>
    <row r="4080" spans="1:48">
      <c r="A4080" s="1">
        <f>HYPERLINK("https://lsnyc.legalserver.org/matter/dynamic-profile/view/1852010","17-1852010")</f>
        <v>0</v>
      </c>
      <c r="B4080" t="s">
        <v>138</v>
      </c>
      <c r="C4080" t="s">
        <v>256</v>
      </c>
      <c r="D4080" t="s">
        <v>667</v>
      </c>
      <c r="F4080" t="s">
        <v>2424</v>
      </c>
      <c r="G4080" t="s">
        <v>3097</v>
      </c>
      <c r="H4080" t="s">
        <v>7568</v>
      </c>
      <c r="I4080" t="s">
        <v>8375</v>
      </c>
      <c r="J4080" t="s">
        <v>9067</v>
      </c>
      <c r="K4080">
        <v>10034</v>
      </c>
      <c r="L4080" t="s">
        <v>9094</v>
      </c>
      <c r="M4080" t="s">
        <v>9095</v>
      </c>
      <c r="O4080" t="s">
        <v>11137</v>
      </c>
      <c r="P4080" t="s">
        <v>11166</v>
      </c>
      <c r="R4080" t="s">
        <v>11180</v>
      </c>
      <c r="S4080" t="s">
        <v>9096</v>
      </c>
      <c r="T4080" t="s">
        <v>11183</v>
      </c>
      <c r="V4080" t="s">
        <v>667</v>
      </c>
      <c r="W4080">
        <v>952.4299999999999</v>
      </c>
      <c r="X4080" t="s">
        <v>11335</v>
      </c>
      <c r="Y4080" t="s">
        <v>11338</v>
      </c>
      <c r="Z4080" t="s">
        <v>14057</v>
      </c>
      <c r="AB4080" t="s">
        <v>18383</v>
      </c>
      <c r="AC4080">
        <v>25</v>
      </c>
      <c r="AD4080" t="s">
        <v>19566</v>
      </c>
      <c r="AE4080" t="s">
        <v>19587</v>
      </c>
      <c r="AF4080">
        <v>32</v>
      </c>
      <c r="AG4080">
        <v>1</v>
      </c>
      <c r="AH4080">
        <v>0</v>
      </c>
      <c r="AI4080">
        <v>149.85</v>
      </c>
      <c r="AL4080" t="s">
        <v>19615</v>
      </c>
      <c r="AM4080">
        <v>18072</v>
      </c>
      <c r="AS4080">
        <v>3.4</v>
      </c>
      <c r="AT4080" t="s">
        <v>609</v>
      </c>
      <c r="AU4080" t="s">
        <v>130</v>
      </c>
    </row>
    <row r="4081" spans="1:48">
      <c r="A4081" s="1">
        <f>HYPERLINK("https://lsnyc.legalserver.org/matter/dynamic-profile/view/1899947","19-1899947")</f>
        <v>0</v>
      </c>
      <c r="B4081" t="s">
        <v>113</v>
      </c>
      <c r="C4081" t="s">
        <v>256</v>
      </c>
      <c r="D4081" t="s">
        <v>293</v>
      </c>
      <c r="F4081" t="s">
        <v>1146</v>
      </c>
      <c r="G4081" t="s">
        <v>4195</v>
      </c>
      <c r="H4081" t="s">
        <v>5864</v>
      </c>
      <c r="I4081" t="s">
        <v>8809</v>
      </c>
      <c r="J4081" t="s">
        <v>9065</v>
      </c>
      <c r="K4081">
        <v>10460</v>
      </c>
      <c r="L4081" t="s">
        <v>9094</v>
      </c>
      <c r="M4081" t="s">
        <v>9095</v>
      </c>
      <c r="O4081" t="s">
        <v>9121</v>
      </c>
      <c r="P4081" t="s">
        <v>11166</v>
      </c>
      <c r="R4081" t="s">
        <v>11180</v>
      </c>
      <c r="S4081" t="s">
        <v>9094</v>
      </c>
      <c r="T4081" t="s">
        <v>11183</v>
      </c>
      <c r="V4081" t="s">
        <v>11218</v>
      </c>
      <c r="W4081">
        <v>960</v>
      </c>
      <c r="X4081" t="s">
        <v>11333</v>
      </c>
      <c r="Y4081" t="s">
        <v>11346</v>
      </c>
      <c r="Z4081" t="s">
        <v>14058</v>
      </c>
      <c r="AB4081" t="s">
        <v>18384</v>
      </c>
      <c r="AC4081">
        <v>168</v>
      </c>
      <c r="AD4081" t="s">
        <v>19566</v>
      </c>
      <c r="AE4081" t="s">
        <v>9144</v>
      </c>
      <c r="AF4081">
        <v>25</v>
      </c>
      <c r="AG4081">
        <v>2</v>
      </c>
      <c r="AH4081">
        <v>0</v>
      </c>
      <c r="AI4081">
        <v>149.88</v>
      </c>
      <c r="AL4081" t="s">
        <v>19615</v>
      </c>
      <c r="AM4081">
        <v>25344</v>
      </c>
      <c r="AS4081">
        <v>0</v>
      </c>
      <c r="AU4081" t="s">
        <v>220</v>
      </c>
      <c r="AV4081" t="s">
        <v>20733</v>
      </c>
    </row>
    <row r="4082" spans="1:48">
      <c r="A4082" s="1">
        <f>HYPERLINK("https://lsnyc.legalserver.org/matter/dynamic-profile/view/1879989","18-1879989")</f>
        <v>0</v>
      </c>
      <c r="B4082" t="s">
        <v>127</v>
      </c>
      <c r="C4082" t="s">
        <v>257</v>
      </c>
      <c r="D4082" t="s">
        <v>711</v>
      </c>
      <c r="E4082" t="s">
        <v>706</v>
      </c>
      <c r="F4082" t="s">
        <v>1211</v>
      </c>
      <c r="G4082" t="s">
        <v>4995</v>
      </c>
      <c r="H4082" t="s">
        <v>7569</v>
      </c>
      <c r="I4082" t="s">
        <v>8631</v>
      </c>
      <c r="J4082" t="s">
        <v>9066</v>
      </c>
      <c r="K4082">
        <v>10304</v>
      </c>
      <c r="L4082" t="s">
        <v>9094</v>
      </c>
      <c r="M4082" t="s">
        <v>9094</v>
      </c>
      <c r="N4082" t="s">
        <v>9171</v>
      </c>
      <c r="O4082" t="s">
        <v>11140</v>
      </c>
      <c r="P4082" t="s">
        <v>11168</v>
      </c>
      <c r="Q4082" t="s">
        <v>11177</v>
      </c>
      <c r="R4082" t="s">
        <v>11180</v>
      </c>
      <c r="S4082" t="s">
        <v>9096</v>
      </c>
      <c r="T4082" t="s">
        <v>11183</v>
      </c>
      <c r="U4082" t="s">
        <v>11201</v>
      </c>
      <c r="V4082" t="s">
        <v>711</v>
      </c>
      <c r="W4082">
        <v>1300</v>
      </c>
      <c r="X4082" t="s">
        <v>11334</v>
      </c>
      <c r="Y4082" t="s">
        <v>11337</v>
      </c>
      <c r="Z4082" t="s">
        <v>13785</v>
      </c>
      <c r="AB4082" t="s">
        <v>18385</v>
      </c>
      <c r="AC4082">
        <v>4</v>
      </c>
      <c r="AD4082" t="s">
        <v>19566</v>
      </c>
      <c r="AF4082">
        <v>26</v>
      </c>
      <c r="AG4082">
        <v>1</v>
      </c>
      <c r="AH4082">
        <v>0</v>
      </c>
      <c r="AI4082">
        <v>149.92</v>
      </c>
      <c r="AJ4082" t="s">
        <v>19591</v>
      </c>
      <c r="AK4082" t="s">
        <v>19608</v>
      </c>
      <c r="AL4082" t="s">
        <v>19614</v>
      </c>
      <c r="AM4082">
        <v>18200</v>
      </c>
      <c r="AO4082" t="s">
        <v>20290</v>
      </c>
      <c r="AP4082" t="s">
        <v>20324</v>
      </c>
      <c r="AQ4082" t="s">
        <v>20369</v>
      </c>
      <c r="AR4082" t="s">
        <v>20498</v>
      </c>
      <c r="AS4082">
        <v>1.65</v>
      </c>
      <c r="AT4082" t="s">
        <v>11218</v>
      </c>
      <c r="AU4082" t="s">
        <v>20725</v>
      </c>
    </row>
    <row r="4083" spans="1:48">
      <c r="A4083" s="1">
        <f>HYPERLINK("https://lsnyc.legalserver.org/matter/dynamic-profile/view/1864054","18-1864054")</f>
        <v>0</v>
      </c>
      <c r="B4083" t="s">
        <v>140</v>
      </c>
      <c r="C4083" t="s">
        <v>256</v>
      </c>
      <c r="D4083" t="s">
        <v>505</v>
      </c>
      <c r="F4083" t="s">
        <v>1871</v>
      </c>
      <c r="G4083" t="s">
        <v>4996</v>
      </c>
      <c r="H4083" t="s">
        <v>5999</v>
      </c>
      <c r="I4083" t="s">
        <v>8140</v>
      </c>
      <c r="J4083" t="s">
        <v>9067</v>
      </c>
      <c r="K4083">
        <v>10040</v>
      </c>
      <c r="L4083" t="s">
        <v>9094</v>
      </c>
      <c r="M4083" t="s">
        <v>9095</v>
      </c>
      <c r="N4083" t="s">
        <v>9314</v>
      </c>
      <c r="O4083" t="s">
        <v>11130</v>
      </c>
      <c r="P4083" t="s">
        <v>11165</v>
      </c>
      <c r="R4083" t="s">
        <v>11180</v>
      </c>
      <c r="S4083" t="s">
        <v>9094</v>
      </c>
      <c r="T4083" t="s">
        <v>11183</v>
      </c>
      <c r="V4083" t="s">
        <v>505</v>
      </c>
      <c r="W4083">
        <v>1398.48</v>
      </c>
      <c r="X4083" t="s">
        <v>11335</v>
      </c>
      <c r="Y4083" t="s">
        <v>11340</v>
      </c>
      <c r="Z4083" t="s">
        <v>14059</v>
      </c>
      <c r="AB4083" t="s">
        <v>18386</v>
      </c>
      <c r="AC4083">
        <v>44</v>
      </c>
      <c r="AD4083" t="s">
        <v>19566</v>
      </c>
      <c r="AE4083" t="s">
        <v>9144</v>
      </c>
      <c r="AF4083">
        <v>18</v>
      </c>
      <c r="AG4083">
        <v>1</v>
      </c>
      <c r="AH4083">
        <v>0</v>
      </c>
      <c r="AI4083">
        <v>149.92</v>
      </c>
      <c r="AJ4083" t="s">
        <v>982</v>
      </c>
      <c r="AL4083" t="s">
        <v>19615</v>
      </c>
      <c r="AM4083">
        <v>18200</v>
      </c>
      <c r="AS4083">
        <v>0.11</v>
      </c>
      <c r="AT4083" t="s">
        <v>1135</v>
      </c>
      <c r="AU4083" t="s">
        <v>130</v>
      </c>
    </row>
    <row r="4084" spans="1:48">
      <c r="A4084" s="1">
        <f>HYPERLINK("https://lsnyc.legalserver.org/matter/dynamic-profile/view/1904645","19-1904645")</f>
        <v>0</v>
      </c>
      <c r="B4084" t="s">
        <v>221</v>
      </c>
      <c r="C4084" t="s">
        <v>257</v>
      </c>
      <c r="D4084" t="s">
        <v>497</v>
      </c>
      <c r="E4084" t="s">
        <v>832</v>
      </c>
      <c r="F4084" t="s">
        <v>2738</v>
      </c>
      <c r="G4084" t="s">
        <v>4997</v>
      </c>
      <c r="H4084" t="s">
        <v>7570</v>
      </c>
      <c r="I4084">
        <v>10</v>
      </c>
      <c r="J4084" t="s">
        <v>9067</v>
      </c>
      <c r="K4084">
        <v>10003</v>
      </c>
      <c r="L4084" t="s">
        <v>9094</v>
      </c>
      <c r="M4084" t="s">
        <v>9095</v>
      </c>
      <c r="N4084" t="s">
        <v>10614</v>
      </c>
      <c r="O4084" t="s">
        <v>11129</v>
      </c>
      <c r="P4084" t="s">
        <v>11164</v>
      </c>
      <c r="Q4084" t="s">
        <v>11172</v>
      </c>
      <c r="R4084" t="s">
        <v>11180</v>
      </c>
      <c r="S4084" t="s">
        <v>9096</v>
      </c>
      <c r="T4084" t="s">
        <v>11183</v>
      </c>
      <c r="V4084" t="s">
        <v>497</v>
      </c>
      <c r="W4084">
        <v>651.63</v>
      </c>
      <c r="X4084" t="s">
        <v>11335</v>
      </c>
      <c r="Y4084" t="s">
        <v>11336</v>
      </c>
      <c r="Z4084" t="s">
        <v>14060</v>
      </c>
      <c r="AB4084" t="s">
        <v>18387</v>
      </c>
      <c r="AC4084">
        <v>15</v>
      </c>
      <c r="AD4084" t="s">
        <v>19566</v>
      </c>
      <c r="AE4084" t="s">
        <v>19587</v>
      </c>
      <c r="AF4084">
        <v>43</v>
      </c>
      <c r="AG4084">
        <v>1</v>
      </c>
      <c r="AH4084">
        <v>0</v>
      </c>
      <c r="AI4084">
        <v>149.93</v>
      </c>
      <c r="AL4084" t="s">
        <v>19614</v>
      </c>
      <c r="AM4084">
        <v>18726</v>
      </c>
      <c r="AS4084">
        <v>2.2</v>
      </c>
      <c r="AT4084" t="s">
        <v>328</v>
      </c>
      <c r="AU4084" t="s">
        <v>20659</v>
      </c>
      <c r="AV4084" t="s">
        <v>20733</v>
      </c>
    </row>
    <row r="4085" spans="1:48">
      <c r="A4085" s="1">
        <f>HYPERLINK("https://lsnyc.legalserver.org/matter/dynamic-profile/view/1903424","19-1903424")</f>
        <v>0</v>
      </c>
      <c r="B4085" t="s">
        <v>49</v>
      </c>
      <c r="C4085" t="s">
        <v>256</v>
      </c>
      <c r="D4085" t="s">
        <v>302</v>
      </c>
      <c r="F4085" t="s">
        <v>2739</v>
      </c>
      <c r="G4085" t="s">
        <v>3366</v>
      </c>
      <c r="H4085" t="s">
        <v>7571</v>
      </c>
      <c r="I4085" t="s">
        <v>8120</v>
      </c>
      <c r="J4085" t="s">
        <v>9039</v>
      </c>
      <c r="K4085">
        <v>11435</v>
      </c>
      <c r="L4085" t="s">
        <v>9094</v>
      </c>
      <c r="M4085" t="s">
        <v>9095</v>
      </c>
      <c r="N4085" t="s">
        <v>10615</v>
      </c>
      <c r="O4085" t="s">
        <v>11128</v>
      </c>
      <c r="P4085" t="s">
        <v>11165</v>
      </c>
      <c r="R4085" t="s">
        <v>11180</v>
      </c>
      <c r="S4085" t="s">
        <v>9096</v>
      </c>
      <c r="T4085" t="s">
        <v>11183</v>
      </c>
      <c r="U4085" t="s">
        <v>11201</v>
      </c>
      <c r="V4085" t="s">
        <v>302</v>
      </c>
      <c r="W4085">
        <v>1100</v>
      </c>
      <c r="X4085" t="s">
        <v>11331</v>
      </c>
      <c r="Y4085" t="s">
        <v>11336</v>
      </c>
      <c r="Z4085" t="s">
        <v>14061</v>
      </c>
      <c r="AA4085" t="s">
        <v>15839</v>
      </c>
      <c r="AB4085" t="s">
        <v>18388</v>
      </c>
      <c r="AC4085">
        <v>2</v>
      </c>
      <c r="AD4085" t="s">
        <v>19565</v>
      </c>
      <c r="AE4085" t="s">
        <v>9144</v>
      </c>
      <c r="AF4085">
        <v>6</v>
      </c>
      <c r="AG4085">
        <v>1</v>
      </c>
      <c r="AH4085">
        <v>2</v>
      </c>
      <c r="AI4085">
        <v>150.02</v>
      </c>
      <c r="AL4085" t="s">
        <v>19615</v>
      </c>
      <c r="AM4085">
        <v>32000</v>
      </c>
      <c r="AO4085" t="s">
        <v>20292</v>
      </c>
      <c r="AP4085" t="s">
        <v>11157</v>
      </c>
      <c r="AQ4085" t="s">
        <v>20368</v>
      </c>
      <c r="AR4085" t="s">
        <v>20467</v>
      </c>
      <c r="AS4085">
        <v>20.55</v>
      </c>
      <c r="AT4085" t="s">
        <v>832</v>
      </c>
      <c r="AU4085" t="s">
        <v>20620</v>
      </c>
      <c r="AV4085" t="s">
        <v>20733</v>
      </c>
    </row>
    <row r="4086" spans="1:48">
      <c r="A4086" s="1">
        <f>HYPERLINK("https://lsnyc.legalserver.org/matter/dynamic-profile/view/1892301","19-1892301")</f>
        <v>0</v>
      </c>
      <c r="B4086" t="s">
        <v>83</v>
      </c>
      <c r="C4086" t="s">
        <v>256</v>
      </c>
      <c r="D4086" t="s">
        <v>473</v>
      </c>
      <c r="F4086" t="s">
        <v>1147</v>
      </c>
      <c r="G4086" t="s">
        <v>4625</v>
      </c>
      <c r="H4086" t="s">
        <v>6704</v>
      </c>
      <c r="I4086" t="s">
        <v>8229</v>
      </c>
      <c r="J4086" t="s">
        <v>9059</v>
      </c>
      <c r="K4086">
        <v>11225</v>
      </c>
      <c r="L4086" t="s">
        <v>9094</v>
      </c>
      <c r="M4086" t="s">
        <v>9094</v>
      </c>
      <c r="N4086" t="s">
        <v>9304</v>
      </c>
      <c r="O4086" t="s">
        <v>11132</v>
      </c>
      <c r="P4086" t="s">
        <v>11165</v>
      </c>
      <c r="R4086" t="s">
        <v>11180</v>
      </c>
      <c r="T4086" t="s">
        <v>11183</v>
      </c>
      <c r="V4086" t="s">
        <v>700</v>
      </c>
      <c r="W4086">
        <v>0</v>
      </c>
      <c r="X4086" t="s">
        <v>11332</v>
      </c>
      <c r="Z4086" t="s">
        <v>14062</v>
      </c>
      <c r="AB4086" t="s">
        <v>18389</v>
      </c>
      <c r="AC4086">
        <v>0</v>
      </c>
      <c r="AF4086">
        <v>0</v>
      </c>
      <c r="AG4086">
        <v>3</v>
      </c>
      <c r="AH4086">
        <v>0</v>
      </c>
      <c r="AI4086">
        <v>150.02</v>
      </c>
      <c r="AL4086" t="s">
        <v>19614</v>
      </c>
      <c r="AM4086">
        <v>32000</v>
      </c>
      <c r="AS4086">
        <v>7.8</v>
      </c>
      <c r="AT4086" t="s">
        <v>288</v>
      </c>
      <c r="AU4086" t="s">
        <v>215</v>
      </c>
    </row>
    <row r="4087" spans="1:48">
      <c r="A4087" s="1">
        <f>HYPERLINK("https://lsnyc.legalserver.org/matter/dynamic-profile/view/1892734","19-1892734")</f>
        <v>0</v>
      </c>
      <c r="B4087" t="s">
        <v>83</v>
      </c>
      <c r="C4087" t="s">
        <v>256</v>
      </c>
      <c r="D4087" t="s">
        <v>553</v>
      </c>
      <c r="F4087" t="s">
        <v>1147</v>
      </c>
      <c r="G4087" t="s">
        <v>4625</v>
      </c>
      <c r="H4087" t="s">
        <v>6704</v>
      </c>
      <c r="I4087" t="s">
        <v>8229</v>
      </c>
      <c r="J4087" t="s">
        <v>9059</v>
      </c>
      <c r="K4087">
        <v>11225</v>
      </c>
      <c r="L4087" t="s">
        <v>9094</v>
      </c>
      <c r="M4087" t="s">
        <v>9094</v>
      </c>
      <c r="O4087" t="s">
        <v>11134</v>
      </c>
      <c r="P4087" t="s">
        <v>11168</v>
      </c>
      <c r="R4087" t="s">
        <v>11180</v>
      </c>
      <c r="S4087" t="s">
        <v>9094</v>
      </c>
      <c r="T4087" t="s">
        <v>11183</v>
      </c>
      <c r="V4087" t="s">
        <v>577</v>
      </c>
      <c r="W4087">
        <v>0</v>
      </c>
      <c r="X4087" t="s">
        <v>11332</v>
      </c>
      <c r="Z4087" t="s">
        <v>14062</v>
      </c>
      <c r="AB4087" t="s">
        <v>18389</v>
      </c>
      <c r="AC4087">
        <v>0</v>
      </c>
      <c r="AF4087">
        <v>0</v>
      </c>
      <c r="AG4087">
        <v>3</v>
      </c>
      <c r="AH4087">
        <v>0</v>
      </c>
      <c r="AI4087">
        <v>150.02</v>
      </c>
      <c r="AL4087" t="s">
        <v>19614</v>
      </c>
      <c r="AM4087">
        <v>32000</v>
      </c>
      <c r="AN4087" t="s">
        <v>19825</v>
      </c>
      <c r="AS4087">
        <v>3.2</v>
      </c>
      <c r="AT4087" t="s">
        <v>426</v>
      </c>
      <c r="AU4087" t="s">
        <v>215</v>
      </c>
    </row>
    <row r="4088" spans="1:48">
      <c r="A4088" s="1">
        <f>HYPERLINK("https://lsnyc.legalserver.org/matter/dynamic-profile/view/1910267","19-1910267")</f>
        <v>0</v>
      </c>
      <c r="B4088" t="s">
        <v>83</v>
      </c>
      <c r="C4088" t="s">
        <v>256</v>
      </c>
      <c r="D4088" t="s">
        <v>446</v>
      </c>
      <c r="F4088" t="s">
        <v>1147</v>
      </c>
      <c r="G4088" t="s">
        <v>4625</v>
      </c>
      <c r="H4088" t="s">
        <v>6704</v>
      </c>
      <c r="I4088" t="s">
        <v>8229</v>
      </c>
      <c r="J4088" t="s">
        <v>9059</v>
      </c>
      <c r="K4088">
        <v>11225</v>
      </c>
      <c r="L4088" t="s">
        <v>9094</v>
      </c>
      <c r="M4088" t="s">
        <v>9095</v>
      </c>
      <c r="P4088" t="s">
        <v>11168</v>
      </c>
      <c r="R4088" t="s">
        <v>11180</v>
      </c>
      <c r="S4088" t="s">
        <v>9094</v>
      </c>
      <c r="T4088" t="s">
        <v>11183</v>
      </c>
      <c r="V4088" t="s">
        <v>446</v>
      </c>
      <c r="W4088">
        <v>813.54</v>
      </c>
      <c r="X4088" t="s">
        <v>11332</v>
      </c>
      <c r="Z4088" t="s">
        <v>14062</v>
      </c>
      <c r="AB4088" t="s">
        <v>18389</v>
      </c>
      <c r="AC4088">
        <v>8</v>
      </c>
      <c r="AF4088">
        <v>26</v>
      </c>
      <c r="AG4088">
        <v>3</v>
      </c>
      <c r="AH4088">
        <v>0</v>
      </c>
      <c r="AI4088">
        <v>150.02</v>
      </c>
      <c r="AL4088" t="s">
        <v>19614</v>
      </c>
      <c r="AM4088">
        <v>32000</v>
      </c>
      <c r="AS4088">
        <v>0</v>
      </c>
      <c r="AU4088" t="s">
        <v>215</v>
      </c>
      <c r="AV4088" t="s">
        <v>20733</v>
      </c>
    </row>
    <row r="4089" spans="1:48">
      <c r="A4089" s="1">
        <f>HYPERLINK("https://lsnyc.legalserver.org/matter/dynamic-profile/view/1915063","19-1915063")</f>
        <v>0</v>
      </c>
      <c r="B4089" t="s">
        <v>83</v>
      </c>
      <c r="C4089" t="s">
        <v>256</v>
      </c>
      <c r="D4089" t="s">
        <v>377</v>
      </c>
      <c r="F4089" t="s">
        <v>1147</v>
      </c>
      <c r="G4089" t="s">
        <v>4625</v>
      </c>
      <c r="H4089" t="s">
        <v>6704</v>
      </c>
      <c r="I4089" t="s">
        <v>8229</v>
      </c>
      <c r="J4089" t="s">
        <v>9059</v>
      </c>
      <c r="K4089">
        <v>11225</v>
      </c>
      <c r="L4089" t="s">
        <v>9094</v>
      </c>
      <c r="M4089" t="s">
        <v>9095</v>
      </c>
      <c r="P4089" t="s">
        <v>11165</v>
      </c>
      <c r="R4089" t="s">
        <v>11180</v>
      </c>
      <c r="S4089" t="s">
        <v>9094</v>
      </c>
      <c r="T4089" t="s">
        <v>11183</v>
      </c>
      <c r="V4089" t="s">
        <v>446</v>
      </c>
      <c r="W4089">
        <v>0</v>
      </c>
      <c r="X4089" t="s">
        <v>11332</v>
      </c>
      <c r="Z4089" t="s">
        <v>14062</v>
      </c>
      <c r="AB4089" t="s">
        <v>18389</v>
      </c>
      <c r="AC4089">
        <v>0</v>
      </c>
      <c r="AF4089">
        <v>0</v>
      </c>
      <c r="AG4089">
        <v>3</v>
      </c>
      <c r="AH4089">
        <v>0</v>
      </c>
      <c r="AI4089">
        <v>150.02</v>
      </c>
      <c r="AL4089" t="s">
        <v>19614</v>
      </c>
      <c r="AM4089">
        <v>32000</v>
      </c>
      <c r="AS4089">
        <v>0</v>
      </c>
      <c r="AU4089" t="s">
        <v>215</v>
      </c>
      <c r="AV4089" t="s">
        <v>20733</v>
      </c>
    </row>
    <row r="4090" spans="1:48">
      <c r="A4090" s="1">
        <f>HYPERLINK("https://lsnyc.legalserver.org/matter/dynamic-profile/view/1905787","19-1905787")</f>
        <v>0</v>
      </c>
      <c r="B4090" t="s">
        <v>92</v>
      </c>
      <c r="C4090" t="s">
        <v>256</v>
      </c>
      <c r="D4090" t="s">
        <v>328</v>
      </c>
      <c r="F4090" t="s">
        <v>1557</v>
      </c>
      <c r="G4090" t="s">
        <v>4998</v>
      </c>
      <c r="H4090" t="s">
        <v>5808</v>
      </c>
      <c r="I4090" t="s">
        <v>8112</v>
      </c>
      <c r="J4090" t="s">
        <v>9059</v>
      </c>
      <c r="K4090">
        <v>11212</v>
      </c>
      <c r="L4090" t="s">
        <v>9094</v>
      </c>
      <c r="M4090" t="s">
        <v>9095</v>
      </c>
      <c r="N4090" t="s">
        <v>9184</v>
      </c>
      <c r="O4090" t="s">
        <v>11132</v>
      </c>
      <c r="P4090" t="s">
        <v>11165</v>
      </c>
      <c r="R4090" t="s">
        <v>11180</v>
      </c>
      <c r="S4090" t="s">
        <v>9094</v>
      </c>
      <c r="T4090" t="s">
        <v>11186</v>
      </c>
      <c r="U4090" t="s">
        <v>11201</v>
      </c>
      <c r="V4090" t="s">
        <v>512</v>
      </c>
      <c r="W4090">
        <v>663</v>
      </c>
      <c r="X4090" t="s">
        <v>11332</v>
      </c>
      <c r="Y4090" t="s">
        <v>11340</v>
      </c>
      <c r="Z4090" t="s">
        <v>14063</v>
      </c>
      <c r="AA4090" t="s">
        <v>9171</v>
      </c>
      <c r="AC4090">
        <v>8</v>
      </c>
      <c r="AD4090" t="s">
        <v>19566</v>
      </c>
      <c r="AE4090" t="s">
        <v>9144</v>
      </c>
      <c r="AF4090">
        <v>25</v>
      </c>
      <c r="AG4090">
        <v>3</v>
      </c>
      <c r="AH4090">
        <v>0</v>
      </c>
      <c r="AI4090">
        <v>150.02</v>
      </c>
      <c r="AL4090" t="s">
        <v>19614</v>
      </c>
      <c r="AM4090">
        <v>32000</v>
      </c>
      <c r="AN4090" t="s">
        <v>19996</v>
      </c>
      <c r="AS4090">
        <v>0</v>
      </c>
      <c r="AU4090" t="s">
        <v>95</v>
      </c>
      <c r="AV4090" t="s">
        <v>20733</v>
      </c>
    </row>
    <row r="4091" spans="1:48">
      <c r="A4091" s="1">
        <f>HYPERLINK("https://lsnyc.legalserver.org/matter/dynamic-profile/view/1905789","19-1905789")</f>
        <v>0</v>
      </c>
      <c r="B4091" t="s">
        <v>92</v>
      </c>
      <c r="C4091" t="s">
        <v>256</v>
      </c>
      <c r="D4091" t="s">
        <v>328</v>
      </c>
      <c r="F4091" t="s">
        <v>1557</v>
      </c>
      <c r="G4091" t="s">
        <v>4998</v>
      </c>
      <c r="H4091" t="s">
        <v>5808</v>
      </c>
      <c r="I4091" t="s">
        <v>8112</v>
      </c>
      <c r="J4091" t="s">
        <v>9059</v>
      </c>
      <c r="K4091">
        <v>11212</v>
      </c>
      <c r="L4091" t="s">
        <v>9094</v>
      </c>
      <c r="M4091" t="s">
        <v>9095</v>
      </c>
      <c r="N4091" t="s">
        <v>10616</v>
      </c>
      <c r="O4091" t="s">
        <v>11129</v>
      </c>
      <c r="P4091" t="s">
        <v>11165</v>
      </c>
      <c r="R4091" t="s">
        <v>11180</v>
      </c>
      <c r="S4091" t="s">
        <v>9094</v>
      </c>
      <c r="T4091" t="s">
        <v>11183</v>
      </c>
      <c r="U4091" t="s">
        <v>11201</v>
      </c>
      <c r="V4091" t="s">
        <v>512</v>
      </c>
      <c r="W4091">
        <v>663</v>
      </c>
      <c r="X4091" t="s">
        <v>11332</v>
      </c>
      <c r="Y4091" t="s">
        <v>11340</v>
      </c>
      <c r="Z4091" t="s">
        <v>14063</v>
      </c>
      <c r="AA4091" t="s">
        <v>9171</v>
      </c>
      <c r="AC4091">
        <v>8</v>
      </c>
      <c r="AD4091" t="s">
        <v>19566</v>
      </c>
      <c r="AE4091" t="s">
        <v>9144</v>
      </c>
      <c r="AF4091">
        <v>25</v>
      </c>
      <c r="AG4091">
        <v>3</v>
      </c>
      <c r="AH4091">
        <v>0</v>
      </c>
      <c r="AI4091">
        <v>150.02</v>
      </c>
      <c r="AL4091" t="s">
        <v>19614</v>
      </c>
      <c r="AM4091">
        <v>32000</v>
      </c>
      <c r="AN4091" t="s">
        <v>19996</v>
      </c>
      <c r="AS4091">
        <v>0</v>
      </c>
      <c r="AU4091" t="s">
        <v>95</v>
      </c>
      <c r="AV4091" t="s">
        <v>20733</v>
      </c>
    </row>
    <row r="4092" spans="1:48">
      <c r="A4092" s="1">
        <f>HYPERLINK("https://lsnyc.legalserver.org/matter/dynamic-profile/view/1895292","19-1895292")</f>
        <v>0</v>
      </c>
      <c r="B4092" t="s">
        <v>76</v>
      </c>
      <c r="C4092" t="s">
        <v>256</v>
      </c>
      <c r="D4092" t="s">
        <v>264</v>
      </c>
      <c r="F4092" t="s">
        <v>1557</v>
      </c>
      <c r="G4092" t="s">
        <v>4998</v>
      </c>
      <c r="H4092" t="s">
        <v>5808</v>
      </c>
      <c r="I4092" t="s">
        <v>8112</v>
      </c>
      <c r="J4092" t="s">
        <v>9059</v>
      </c>
      <c r="K4092">
        <v>11212</v>
      </c>
      <c r="L4092" t="s">
        <v>9096</v>
      </c>
      <c r="M4092" t="s">
        <v>9096</v>
      </c>
      <c r="O4092" t="s">
        <v>11141</v>
      </c>
      <c r="R4092" t="s">
        <v>11180</v>
      </c>
      <c r="S4092" t="s">
        <v>9094</v>
      </c>
      <c r="T4092" t="s">
        <v>11183</v>
      </c>
      <c r="W4092">
        <v>663</v>
      </c>
      <c r="X4092" t="s">
        <v>11332</v>
      </c>
      <c r="Y4092" t="s">
        <v>11157</v>
      </c>
      <c r="Z4092" t="s">
        <v>14063</v>
      </c>
      <c r="AA4092" t="s">
        <v>9171</v>
      </c>
      <c r="AC4092">
        <v>0</v>
      </c>
      <c r="AD4092" t="s">
        <v>19566</v>
      </c>
      <c r="AF4092">
        <v>25</v>
      </c>
      <c r="AG4092">
        <v>3</v>
      </c>
      <c r="AH4092">
        <v>0</v>
      </c>
      <c r="AI4092">
        <v>150.02</v>
      </c>
      <c r="AL4092" t="s">
        <v>19614</v>
      </c>
      <c r="AM4092">
        <v>32000</v>
      </c>
      <c r="AS4092">
        <v>14</v>
      </c>
      <c r="AT4092" t="s">
        <v>676</v>
      </c>
      <c r="AU4092" t="s">
        <v>79</v>
      </c>
    </row>
    <row r="4093" spans="1:48">
      <c r="A4093" s="1">
        <f>HYPERLINK("https://lsnyc.legalserver.org/matter/dynamic-profile/view/1899382","19-1899382")</f>
        <v>0</v>
      </c>
      <c r="B4093" t="s">
        <v>129</v>
      </c>
      <c r="C4093" t="s">
        <v>256</v>
      </c>
      <c r="D4093" t="s">
        <v>411</v>
      </c>
      <c r="F4093" t="s">
        <v>2740</v>
      </c>
      <c r="G4093" t="s">
        <v>4416</v>
      </c>
      <c r="H4093" t="s">
        <v>6769</v>
      </c>
      <c r="I4093" t="s">
        <v>8140</v>
      </c>
      <c r="J4093" t="s">
        <v>9066</v>
      </c>
      <c r="K4093">
        <v>10304</v>
      </c>
      <c r="L4093" t="s">
        <v>9094</v>
      </c>
      <c r="M4093" t="s">
        <v>9095</v>
      </c>
      <c r="N4093" t="s">
        <v>10617</v>
      </c>
      <c r="O4093" t="s">
        <v>11129</v>
      </c>
      <c r="P4093" t="s">
        <v>11165</v>
      </c>
      <c r="R4093" t="s">
        <v>11180</v>
      </c>
      <c r="S4093" t="s">
        <v>9096</v>
      </c>
      <c r="T4093" t="s">
        <v>11183</v>
      </c>
      <c r="U4093" t="s">
        <v>11201</v>
      </c>
      <c r="W4093">
        <v>1600</v>
      </c>
      <c r="X4093" t="s">
        <v>11334</v>
      </c>
      <c r="Y4093" t="s">
        <v>11345</v>
      </c>
      <c r="Z4093" t="s">
        <v>14064</v>
      </c>
      <c r="AB4093" t="s">
        <v>18390</v>
      </c>
      <c r="AC4093">
        <v>0</v>
      </c>
      <c r="AD4093" t="s">
        <v>19566</v>
      </c>
      <c r="AE4093" t="s">
        <v>19584</v>
      </c>
      <c r="AF4093">
        <v>5</v>
      </c>
      <c r="AG4093">
        <v>1</v>
      </c>
      <c r="AH4093">
        <v>2</v>
      </c>
      <c r="AI4093">
        <v>150.02</v>
      </c>
      <c r="AM4093">
        <v>32000</v>
      </c>
      <c r="AS4093">
        <v>14.2</v>
      </c>
      <c r="AT4093" t="s">
        <v>487</v>
      </c>
      <c r="AU4093" t="s">
        <v>20653</v>
      </c>
      <c r="AV4093" t="s">
        <v>20733</v>
      </c>
    </row>
    <row r="4094" spans="1:48">
      <c r="A4094" s="1">
        <f>HYPERLINK("https://lsnyc.legalserver.org/matter/dynamic-profile/view/1885744","18-1885744")</f>
        <v>0</v>
      </c>
      <c r="B4094" t="s">
        <v>113</v>
      </c>
      <c r="C4094" t="s">
        <v>257</v>
      </c>
      <c r="D4094" t="s">
        <v>424</v>
      </c>
      <c r="E4094" t="s">
        <v>377</v>
      </c>
      <c r="F4094" t="s">
        <v>1858</v>
      </c>
      <c r="G4094" t="s">
        <v>4344</v>
      </c>
      <c r="H4094" t="s">
        <v>5864</v>
      </c>
      <c r="I4094" t="s">
        <v>8133</v>
      </c>
      <c r="J4094" t="s">
        <v>9065</v>
      </c>
      <c r="K4094">
        <v>10460</v>
      </c>
      <c r="L4094" t="s">
        <v>9094</v>
      </c>
      <c r="M4094" t="s">
        <v>9094</v>
      </c>
      <c r="N4094" t="s">
        <v>9222</v>
      </c>
      <c r="O4094" t="s">
        <v>11130</v>
      </c>
      <c r="P4094" t="s">
        <v>11165</v>
      </c>
      <c r="Q4094" t="s">
        <v>11174</v>
      </c>
      <c r="R4094" t="s">
        <v>11180</v>
      </c>
      <c r="S4094" t="s">
        <v>9094</v>
      </c>
      <c r="T4094" t="s">
        <v>11183</v>
      </c>
      <c r="V4094" t="s">
        <v>512</v>
      </c>
      <c r="W4094">
        <v>792</v>
      </c>
      <c r="X4094" t="s">
        <v>11333</v>
      </c>
      <c r="Y4094" t="s">
        <v>11346</v>
      </c>
      <c r="Z4094" t="s">
        <v>14011</v>
      </c>
      <c r="AC4094">
        <v>168</v>
      </c>
      <c r="AD4094" t="s">
        <v>19571</v>
      </c>
      <c r="AE4094" t="s">
        <v>11157</v>
      </c>
      <c r="AF4094">
        <v>3</v>
      </c>
      <c r="AG4094">
        <v>1</v>
      </c>
      <c r="AH4094">
        <v>1</v>
      </c>
      <c r="AI4094">
        <v>150.04</v>
      </c>
      <c r="AL4094" t="s">
        <v>19614</v>
      </c>
      <c r="AM4094">
        <v>24696</v>
      </c>
      <c r="AS4094">
        <v>0.25</v>
      </c>
      <c r="AT4094" t="s">
        <v>377</v>
      </c>
      <c r="AU4094" t="s">
        <v>20642</v>
      </c>
    </row>
    <row r="4095" spans="1:48">
      <c r="A4095" s="1">
        <f>HYPERLINK("https://lsnyc.legalserver.org/matter/dynamic-profile/view/1883833","18-1883833")</f>
        <v>0</v>
      </c>
      <c r="B4095" t="s">
        <v>64</v>
      </c>
      <c r="C4095" t="s">
        <v>256</v>
      </c>
      <c r="D4095" t="s">
        <v>353</v>
      </c>
      <c r="F4095" t="s">
        <v>2245</v>
      </c>
      <c r="G4095" t="s">
        <v>4999</v>
      </c>
      <c r="H4095" t="s">
        <v>7572</v>
      </c>
      <c r="I4095" t="s">
        <v>8330</v>
      </c>
      <c r="J4095" t="s">
        <v>9059</v>
      </c>
      <c r="K4095">
        <v>11208</v>
      </c>
      <c r="L4095" t="s">
        <v>9094</v>
      </c>
      <c r="M4095" t="s">
        <v>9094</v>
      </c>
      <c r="N4095" t="s">
        <v>10618</v>
      </c>
      <c r="O4095" t="s">
        <v>11128</v>
      </c>
      <c r="P4095" t="s">
        <v>11164</v>
      </c>
      <c r="R4095" t="s">
        <v>11180</v>
      </c>
      <c r="T4095" t="s">
        <v>11183</v>
      </c>
      <c r="V4095" t="s">
        <v>784</v>
      </c>
      <c r="W4095">
        <v>0</v>
      </c>
      <c r="X4095" t="s">
        <v>11332</v>
      </c>
      <c r="Y4095" t="s">
        <v>11336</v>
      </c>
      <c r="Z4095" t="s">
        <v>14065</v>
      </c>
      <c r="AB4095" t="s">
        <v>18391</v>
      </c>
      <c r="AC4095">
        <v>2</v>
      </c>
      <c r="AE4095" t="s">
        <v>9144</v>
      </c>
      <c r="AF4095">
        <v>40</v>
      </c>
      <c r="AG4095">
        <v>3</v>
      </c>
      <c r="AH4095">
        <v>0</v>
      </c>
      <c r="AI4095">
        <v>150.14</v>
      </c>
      <c r="AL4095" t="s">
        <v>19614</v>
      </c>
      <c r="AM4095">
        <v>31200</v>
      </c>
      <c r="AS4095">
        <v>4.6</v>
      </c>
      <c r="AT4095" t="s">
        <v>354</v>
      </c>
      <c r="AU4095" t="s">
        <v>20625</v>
      </c>
    </row>
    <row r="4096" spans="1:48">
      <c r="A4096" s="1">
        <f>HYPERLINK("https://lsnyc.legalserver.org/matter/dynamic-profile/view/1872229","18-1872229")</f>
        <v>0</v>
      </c>
      <c r="B4096" t="s">
        <v>140</v>
      </c>
      <c r="C4096" t="s">
        <v>256</v>
      </c>
      <c r="D4096" t="s">
        <v>954</v>
      </c>
      <c r="F4096" t="s">
        <v>1146</v>
      </c>
      <c r="G4096" t="s">
        <v>3366</v>
      </c>
      <c r="H4096" t="s">
        <v>7573</v>
      </c>
      <c r="I4096" t="s">
        <v>8810</v>
      </c>
      <c r="J4096" t="s">
        <v>9067</v>
      </c>
      <c r="K4096">
        <v>10033</v>
      </c>
      <c r="L4096" t="s">
        <v>9094</v>
      </c>
      <c r="M4096" t="s">
        <v>9094</v>
      </c>
      <c r="N4096" t="s">
        <v>10619</v>
      </c>
      <c r="O4096" t="s">
        <v>11128</v>
      </c>
      <c r="P4096" t="s">
        <v>11165</v>
      </c>
      <c r="R4096" t="s">
        <v>11180</v>
      </c>
      <c r="S4096" t="s">
        <v>9096</v>
      </c>
      <c r="T4096" t="s">
        <v>11183</v>
      </c>
      <c r="V4096" t="s">
        <v>954</v>
      </c>
      <c r="W4096">
        <v>1849.62</v>
      </c>
      <c r="X4096" t="s">
        <v>11335</v>
      </c>
      <c r="Y4096" t="s">
        <v>11338</v>
      </c>
      <c r="Z4096" t="s">
        <v>13970</v>
      </c>
      <c r="AB4096" t="s">
        <v>18392</v>
      </c>
      <c r="AC4096">
        <v>19</v>
      </c>
      <c r="AD4096" t="s">
        <v>19566</v>
      </c>
      <c r="AE4096" t="s">
        <v>9144</v>
      </c>
      <c r="AF4096">
        <v>15</v>
      </c>
      <c r="AG4096">
        <v>3</v>
      </c>
      <c r="AH4096">
        <v>0</v>
      </c>
      <c r="AI4096">
        <v>150.14</v>
      </c>
      <c r="AL4096" t="s">
        <v>19615</v>
      </c>
      <c r="AM4096">
        <v>31200</v>
      </c>
      <c r="AS4096">
        <v>100.4</v>
      </c>
      <c r="AT4096" t="s">
        <v>744</v>
      </c>
      <c r="AU4096" t="s">
        <v>130</v>
      </c>
    </row>
    <row r="4097" spans="1:48">
      <c r="A4097" s="1">
        <f>HYPERLINK("https://lsnyc.legalserver.org/matter/dynamic-profile/view/1872745","18-1872745")</f>
        <v>0</v>
      </c>
      <c r="B4097" t="s">
        <v>86</v>
      </c>
      <c r="C4097" t="s">
        <v>256</v>
      </c>
      <c r="D4097" t="s">
        <v>869</v>
      </c>
      <c r="F4097" t="s">
        <v>1240</v>
      </c>
      <c r="G4097" t="s">
        <v>1299</v>
      </c>
      <c r="H4097" t="s">
        <v>5786</v>
      </c>
      <c r="I4097" t="s">
        <v>8233</v>
      </c>
      <c r="J4097" t="s">
        <v>9059</v>
      </c>
      <c r="K4097">
        <v>11225</v>
      </c>
      <c r="L4097" t="s">
        <v>9094</v>
      </c>
      <c r="M4097" t="s">
        <v>9094</v>
      </c>
      <c r="O4097" t="s">
        <v>11130</v>
      </c>
      <c r="P4097" t="s">
        <v>11165</v>
      </c>
      <c r="R4097" t="s">
        <v>11180</v>
      </c>
      <c r="S4097" t="s">
        <v>9094</v>
      </c>
      <c r="T4097" t="s">
        <v>11183</v>
      </c>
      <c r="U4097" t="s">
        <v>11201</v>
      </c>
      <c r="V4097" t="s">
        <v>917</v>
      </c>
      <c r="W4097">
        <v>813</v>
      </c>
      <c r="X4097" t="s">
        <v>11332</v>
      </c>
      <c r="Y4097" t="s">
        <v>11346</v>
      </c>
      <c r="Z4097" t="s">
        <v>13308</v>
      </c>
      <c r="AC4097">
        <v>47</v>
      </c>
      <c r="AD4097" t="s">
        <v>19566</v>
      </c>
      <c r="AE4097" t="s">
        <v>19587</v>
      </c>
      <c r="AF4097">
        <v>43</v>
      </c>
      <c r="AG4097">
        <v>2</v>
      </c>
      <c r="AH4097">
        <v>0</v>
      </c>
      <c r="AI4097">
        <v>150.18</v>
      </c>
      <c r="AM4097">
        <v>24720</v>
      </c>
      <c r="AS4097">
        <v>1</v>
      </c>
      <c r="AT4097" t="s">
        <v>869</v>
      </c>
      <c r="AU4097" t="s">
        <v>20630</v>
      </c>
    </row>
    <row r="4098" spans="1:48">
      <c r="A4098" s="1">
        <f>HYPERLINK("https://lsnyc.legalserver.org/matter/dynamic-profile/view/1893742","19-1893742")</f>
        <v>0</v>
      </c>
      <c r="B4098" t="s">
        <v>71</v>
      </c>
      <c r="C4098" t="s">
        <v>257</v>
      </c>
      <c r="D4098" t="s">
        <v>274</v>
      </c>
      <c r="E4098" t="s">
        <v>457</v>
      </c>
      <c r="F4098" t="s">
        <v>1421</v>
      </c>
      <c r="G4098" t="s">
        <v>5000</v>
      </c>
      <c r="H4098" t="s">
        <v>7574</v>
      </c>
      <c r="I4098" t="s">
        <v>8132</v>
      </c>
      <c r="J4098" t="s">
        <v>9059</v>
      </c>
      <c r="K4098">
        <v>11239</v>
      </c>
      <c r="L4098" t="s">
        <v>9094</v>
      </c>
      <c r="M4098" t="s">
        <v>9096</v>
      </c>
      <c r="N4098" t="s">
        <v>10620</v>
      </c>
      <c r="O4098" t="s">
        <v>11128</v>
      </c>
      <c r="P4098" t="s">
        <v>11167</v>
      </c>
      <c r="Q4098" t="s">
        <v>11172</v>
      </c>
      <c r="R4098" t="s">
        <v>11180</v>
      </c>
      <c r="S4098" t="s">
        <v>9096</v>
      </c>
      <c r="T4098" t="s">
        <v>11183</v>
      </c>
      <c r="U4098" t="s">
        <v>11201</v>
      </c>
      <c r="V4098" t="s">
        <v>394</v>
      </c>
      <c r="W4098">
        <v>968</v>
      </c>
      <c r="X4098" t="s">
        <v>11332</v>
      </c>
      <c r="Y4098" t="s">
        <v>11340</v>
      </c>
      <c r="Z4098" t="s">
        <v>14066</v>
      </c>
      <c r="AB4098" t="s">
        <v>18393</v>
      </c>
      <c r="AC4098">
        <v>2229</v>
      </c>
      <c r="AD4098" t="s">
        <v>19566</v>
      </c>
      <c r="AE4098" t="s">
        <v>9144</v>
      </c>
      <c r="AF4098">
        <v>2</v>
      </c>
      <c r="AG4098">
        <v>1</v>
      </c>
      <c r="AH4098">
        <v>0</v>
      </c>
      <c r="AI4098">
        <v>150.24</v>
      </c>
      <c r="AL4098" t="s">
        <v>19615</v>
      </c>
      <c r="AM4098">
        <v>18765.24</v>
      </c>
      <c r="AS4098">
        <v>1.5</v>
      </c>
      <c r="AT4098" t="s">
        <v>421</v>
      </c>
      <c r="AU4098" t="s">
        <v>79</v>
      </c>
      <c r="AV4098" t="s">
        <v>20733</v>
      </c>
    </row>
    <row r="4099" spans="1:48">
      <c r="A4099" s="1">
        <f>HYPERLINK("https://lsnyc.legalserver.org/matter/dynamic-profile/view/0802902","16-0802902")</f>
        <v>0</v>
      </c>
      <c r="B4099" t="s">
        <v>204</v>
      </c>
      <c r="C4099" t="s">
        <v>256</v>
      </c>
      <c r="D4099" t="s">
        <v>984</v>
      </c>
      <c r="F4099" t="s">
        <v>2741</v>
      </c>
      <c r="G4099" t="s">
        <v>4164</v>
      </c>
      <c r="H4099" t="s">
        <v>7575</v>
      </c>
      <c r="I4099">
        <v>23</v>
      </c>
      <c r="J4099" t="s">
        <v>9059</v>
      </c>
      <c r="K4099">
        <v>11225</v>
      </c>
      <c r="L4099" t="s">
        <v>9094</v>
      </c>
      <c r="M4099" t="s">
        <v>9095</v>
      </c>
      <c r="N4099" t="s">
        <v>10621</v>
      </c>
      <c r="O4099" t="s">
        <v>11128</v>
      </c>
      <c r="P4099" t="s">
        <v>11165</v>
      </c>
      <c r="R4099" t="s">
        <v>11180</v>
      </c>
      <c r="T4099" t="s">
        <v>11183</v>
      </c>
      <c r="V4099" t="s">
        <v>11231</v>
      </c>
      <c r="W4099">
        <v>0</v>
      </c>
      <c r="X4099" t="s">
        <v>11332</v>
      </c>
      <c r="Z4099" t="s">
        <v>14067</v>
      </c>
      <c r="AB4099" t="s">
        <v>18394</v>
      </c>
      <c r="AC4099">
        <v>80</v>
      </c>
      <c r="AF4099">
        <v>0</v>
      </c>
      <c r="AG4099">
        <v>1</v>
      </c>
      <c r="AH4099">
        <v>0</v>
      </c>
      <c r="AI4099">
        <v>150.31</v>
      </c>
      <c r="AL4099" t="s">
        <v>19614</v>
      </c>
      <c r="AM4099">
        <v>17857.06</v>
      </c>
      <c r="AS4099">
        <v>81.3</v>
      </c>
      <c r="AT4099" t="s">
        <v>377</v>
      </c>
      <c r="AU4099" t="s">
        <v>20673</v>
      </c>
    </row>
    <row r="4100" spans="1:48">
      <c r="A4100" s="1">
        <f>HYPERLINK("https://lsnyc.legalserver.org/matter/dynamic-profile/view/1904610","19-1904610")</f>
        <v>0</v>
      </c>
      <c r="B4100" t="s">
        <v>109</v>
      </c>
      <c r="C4100" t="s">
        <v>257</v>
      </c>
      <c r="D4100" t="s">
        <v>832</v>
      </c>
      <c r="E4100" t="s">
        <v>832</v>
      </c>
      <c r="F4100" t="s">
        <v>2742</v>
      </c>
      <c r="G4100" t="s">
        <v>5001</v>
      </c>
      <c r="H4100" t="s">
        <v>7576</v>
      </c>
      <c r="J4100" t="s">
        <v>9065</v>
      </c>
      <c r="K4100">
        <v>10467</v>
      </c>
      <c r="L4100" t="s">
        <v>9096</v>
      </c>
      <c r="M4100" t="s">
        <v>9095</v>
      </c>
      <c r="P4100" t="s">
        <v>11167</v>
      </c>
      <c r="Q4100" t="s">
        <v>11173</v>
      </c>
      <c r="R4100" t="s">
        <v>11180</v>
      </c>
      <c r="S4100" t="s">
        <v>9096</v>
      </c>
      <c r="T4100" t="s">
        <v>11189</v>
      </c>
      <c r="W4100">
        <v>1254.43</v>
      </c>
      <c r="X4100" t="s">
        <v>11333</v>
      </c>
      <c r="Y4100" t="s">
        <v>11339</v>
      </c>
      <c r="Z4100" t="s">
        <v>14068</v>
      </c>
      <c r="AB4100" t="s">
        <v>18395</v>
      </c>
      <c r="AC4100">
        <v>0</v>
      </c>
      <c r="AD4100" t="s">
        <v>19566</v>
      </c>
      <c r="AE4100" t="s">
        <v>9144</v>
      </c>
      <c r="AF4100">
        <v>13</v>
      </c>
      <c r="AG4100">
        <v>1</v>
      </c>
      <c r="AH4100">
        <v>0</v>
      </c>
      <c r="AI4100">
        <v>150.36</v>
      </c>
      <c r="AL4100" t="s">
        <v>19615</v>
      </c>
      <c r="AM4100">
        <v>18780</v>
      </c>
      <c r="AS4100">
        <v>1.6</v>
      </c>
      <c r="AT4100" t="s">
        <v>832</v>
      </c>
      <c r="AU4100" t="s">
        <v>109</v>
      </c>
      <c r="AV4100" t="s">
        <v>20733</v>
      </c>
    </row>
    <row r="4101" spans="1:48">
      <c r="A4101" s="1">
        <f>HYPERLINK("https://lsnyc.legalserver.org/matter/dynamic-profile/view/0787372","15-0787372")</f>
        <v>0</v>
      </c>
      <c r="B4101" t="s">
        <v>64</v>
      </c>
      <c r="C4101" t="s">
        <v>257</v>
      </c>
      <c r="D4101" t="s">
        <v>1053</v>
      </c>
      <c r="E4101" t="s">
        <v>632</v>
      </c>
      <c r="F4101" t="s">
        <v>2631</v>
      </c>
      <c r="G4101" t="s">
        <v>4876</v>
      </c>
      <c r="H4101" t="s">
        <v>6266</v>
      </c>
      <c r="I4101" t="s">
        <v>8768</v>
      </c>
      <c r="J4101" t="s">
        <v>9059</v>
      </c>
      <c r="K4101">
        <v>11208</v>
      </c>
      <c r="L4101" t="s">
        <v>9096</v>
      </c>
      <c r="M4101" t="s">
        <v>9095</v>
      </c>
      <c r="N4101" t="s">
        <v>10622</v>
      </c>
      <c r="O4101" t="s">
        <v>11129</v>
      </c>
      <c r="P4101" t="s">
        <v>11165</v>
      </c>
      <c r="Q4101" t="s">
        <v>11174</v>
      </c>
      <c r="R4101" t="s">
        <v>11180</v>
      </c>
      <c r="T4101" t="s">
        <v>11183</v>
      </c>
      <c r="V4101" t="s">
        <v>859</v>
      </c>
      <c r="W4101">
        <v>1400</v>
      </c>
      <c r="X4101" t="s">
        <v>11332</v>
      </c>
      <c r="Y4101" t="s">
        <v>11340</v>
      </c>
      <c r="Z4101" t="s">
        <v>13846</v>
      </c>
      <c r="AB4101" t="s">
        <v>18177</v>
      </c>
      <c r="AC4101">
        <v>0</v>
      </c>
      <c r="AD4101" t="s">
        <v>19568</v>
      </c>
      <c r="AF4101">
        <v>8</v>
      </c>
      <c r="AG4101">
        <v>2</v>
      </c>
      <c r="AH4101">
        <v>0</v>
      </c>
      <c r="AI4101">
        <v>150.66</v>
      </c>
      <c r="AL4101" t="s">
        <v>11157</v>
      </c>
      <c r="AM4101">
        <v>24000</v>
      </c>
      <c r="AS4101">
        <v>14.25</v>
      </c>
      <c r="AT4101" t="s">
        <v>986</v>
      </c>
      <c r="AU4101" t="s">
        <v>20726</v>
      </c>
    </row>
    <row r="4102" spans="1:48">
      <c r="A4102" s="1">
        <f>HYPERLINK("https://lsnyc.legalserver.org/matter/dynamic-profile/view/1904257","19-1904257")</f>
        <v>0</v>
      </c>
      <c r="B4102" t="s">
        <v>78</v>
      </c>
      <c r="C4102" t="s">
        <v>256</v>
      </c>
      <c r="D4102" t="s">
        <v>265</v>
      </c>
      <c r="F4102" t="s">
        <v>1231</v>
      </c>
      <c r="G4102" t="s">
        <v>5002</v>
      </c>
      <c r="H4102" t="s">
        <v>7577</v>
      </c>
      <c r="I4102" t="s">
        <v>8229</v>
      </c>
      <c r="J4102" t="s">
        <v>9059</v>
      </c>
      <c r="K4102">
        <v>11221</v>
      </c>
      <c r="L4102" t="s">
        <v>9096</v>
      </c>
      <c r="M4102" t="s">
        <v>9095</v>
      </c>
      <c r="N4102" t="s">
        <v>9144</v>
      </c>
      <c r="O4102" t="s">
        <v>11137</v>
      </c>
      <c r="P4102" t="s">
        <v>11167</v>
      </c>
      <c r="R4102" t="s">
        <v>11180</v>
      </c>
      <c r="S4102" t="s">
        <v>9094</v>
      </c>
      <c r="T4102" t="s">
        <v>11186</v>
      </c>
      <c r="U4102" t="s">
        <v>11201</v>
      </c>
      <c r="V4102" t="s">
        <v>635</v>
      </c>
      <c r="W4102">
        <v>790</v>
      </c>
      <c r="X4102" t="s">
        <v>11332</v>
      </c>
      <c r="Y4102" t="s">
        <v>11346</v>
      </c>
      <c r="Z4102" t="s">
        <v>14069</v>
      </c>
      <c r="AA4102" t="s">
        <v>9144</v>
      </c>
      <c r="AB4102" t="s">
        <v>18396</v>
      </c>
      <c r="AC4102">
        <v>13</v>
      </c>
      <c r="AD4102" t="s">
        <v>19566</v>
      </c>
      <c r="AE4102" t="s">
        <v>9144</v>
      </c>
      <c r="AF4102">
        <v>20</v>
      </c>
      <c r="AG4102">
        <v>1</v>
      </c>
      <c r="AH4102">
        <v>0</v>
      </c>
      <c r="AI4102">
        <v>150.68</v>
      </c>
      <c r="AL4102" t="s">
        <v>19614</v>
      </c>
      <c r="AM4102">
        <v>18820</v>
      </c>
      <c r="AS4102">
        <v>0</v>
      </c>
      <c r="AU4102" t="s">
        <v>95</v>
      </c>
      <c r="AV4102" t="s">
        <v>9144</v>
      </c>
    </row>
    <row r="4103" spans="1:48">
      <c r="A4103" s="1">
        <f>HYPERLINK("https://lsnyc.legalserver.org/matter/dynamic-profile/view/1895320","19-1895320")</f>
        <v>0</v>
      </c>
      <c r="B4103" t="s">
        <v>74</v>
      </c>
      <c r="C4103" t="s">
        <v>256</v>
      </c>
      <c r="D4103" t="s">
        <v>264</v>
      </c>
      <c r="F4103" t="s">
        <v>1231</v>
      </c>
      <c r="G4103" t="s">
        <v>5002</v>
      </c>
      <c r="H4103" t="s">
        <v>7577</v>
      </c>
      <c r="I4103" t="s">
        <v>8229</v>
      </c>
      <c r="J4103" t="s">
        <v>9059</v>
      </c>
      <c r="K4103">
        <v>11221</v>
      </c>
      <c r="L4103" t="s">
        <v>9094</v>
      </c>
      <c r="M4103" t="s">
        <v>9096</v>
      </c>
      <c r="O4103" t="s">
        <v>11141</v>
      </c>
      <c r="P4103" t="s">
        <v>11170</v>
      </c>
      <c r="R4103" t="s">
        <v>11180</v>
      </c>
      <c r="S4103" t="s">
        <v>9094</v>
      </c>
      <c r="T4103" t="s">
        <v>11185</v>
      </c>
      <c r="V4103" t="s">
        <v>264</v>
      </c>
      <c r="W4103">
        <v>790</v>
      </c>
      <c r="X4103" t="s">
        <v>11332</v>
      </c>
      <c r="Y4103" t="s">
        <v>11346</v>
      </c>
      <c r="Z4103" t="s">
        <v>14069</v>
      </c>
      <c r="AA4103" t="s">
        <v>9144</v>
      </c>
      <c r="AB4103" t="s">
        <v>18396</v>
      </c>
      <c r="AC4103">
        <v>13</v>
      </c>
      <c r="AD4103" t="s">
        <v>19566</v>
      </c>
      <c r="AE4103" t="s">
        <v>9144</v>
      </c>
      <c r="AF4103">
        <v>20</v>
      </c>
      <c r="AG4103">
        <v>1</v>
      </c>
      <c r="AH4103">
        <v>0</v>
      </c>
      <c r="AI4103">
        <v>150.68</v>
      </c>
      <c r="AL4103" t="s">
        <v>19614</v>
      </c>
      <c r="AM4103">
        <v>18820</v>
      </c>
      <c r="AN4103" t="s">
        <v>19997</v>
      </c>
      <c r="AS4103">
        <v>0</v>
      </c>
      <c r="AU4103" t="s">
        <v>95</v>
      </c>
      <c r="AV4103" t="s">
        <v>20733</v>
      </c>
    </row>
    <row r="4104" spans="1:48">
      <c r="A4104" s="1">
        <f>HYPERLINK("https://lsnyc.legalserver.org/matter/dynamic-profile/view/1895735","19-1895735")</f>
        <v>0</v>
      </c>
      <c r="B4104" t="s">
        <v>69</v>
      </c>
      <c r="C4104" t="s">
        <v>257</v>
      </c>
      <c r="D4104" t="s">
        <v>376</v>
      </c>
      <c r="E4104" t="s">
        <v>660</v>
      </c>
      <c r="F4104" t="s">
        <v>2743</v>
      </c>
      <c r="G4104" t="s">
        <v>5003</v>
      </c>
      <c r="H4104" t="s">
        <v>6398</v>
      </c>
      <c r="I4104" t="s">
        <v>8171</v>
      </c>
      <c r="J4104" t="s">
        <v>9059</v>
      </c>
      <c r="K4104">
        <v>11212</v>
      </c>
      <c r="L4104" t="s">
        <v>9094</v>
      </c>
      <c r="M4104" t="s">
        <v>9094</v>
      </c>
      <c r="N4104" t="s">
        <v>10623</v>
      </c>
      <c r="O4104" t="s">
        <v>11139</v>
      </c>
      <c r="P4104" t="s">
        <v>11168</v>
      </c>
      <c r="Q4104" t="s">
        <v>11177</v>
      </c>
      <c r="R4104" t="s">
        <v>11180</v>
      </c>
      <c r="S4104" t="s">
        <v>9096</v>
      </c>
      <c r="T4104" t="s">
        <v>11184</v>
      </c>
      <c r="U4104" t="s">
        <v>11202</v>
      </c>
      <c r="V4104" t="s">
        <v>360</v>
      </c>
      <c r="W4104">
        <v>1650</v>
      </c>
      <c r="X4104" t="s">
        <v>11332</v>
      </c>
      <c r="Y4104" t="s">
        <v>11340</v>
      </c>
      <c r="Z4104" t="s">
        <v>14070</v>
      </c>
      <c r="AA4104" t="s">
        <v>15840</v>
      </c>
      <c r="AB4104" t="s">
        <v>18397</v>
      </c>
      <c r="AC4104">
        <v>49</v>
      </c>
      <c r="AD4104" t="s">
        <v>19566</v>
      </c>
      <c r="AE4104" t="s">
        <v>19581</v>
      </c>
      <c r="AF4104">
        <v>8</v>
      </c>
      <c r="AG4104">
        <v>1</v>
      </c>
      <c r="AH4104">
        <v>1</v>
      </c>
      <c r="AI4104">
        <v>150.68</v>
      </c>
      <c r="AL4104" t="s">
        <v>19614</v>
      </c>
      <c r="AM4104">
        <v>25480</v>
      </c>
      <c r="AS4104">
        <v>8.800000000000001</v>
      </c>
      <c r="AT4104" t="s">
        <v>660</v>
      </c>
      <c r="AU4104" t="s">
        <v>79</v>
      </c>
    </row>
    <row r="4105" spans="1:48">
      <c r="A4105" s="1">
        <f>HYPERLINK("https://lsnyc.legalserver.org/matter/dynamic-profile/view/0821898","16-0821898")</f>
        <v>0</v>
      </c>
      <c r="B4105" t="s">
        <v>139</v>
      </c>
      <c r="C4105" t="s">
        <v>257</v>
      </c>
      <c r="D4105" t="s">
        <v>462</v>
      </c>
      <c r="E4105" t="s">
        <v>1130</v>
      </c>
      <c r="F4105" t="s">
        <v>1406</v>
      </c>
      <c r="G4105" t="s">
        <v>5004</v>
      </c>
      <c r="H4105" t="s">
        <v>7578</v>
      </c>
      <c r="I4105">
        <v>37</v>
      </c>
      <c r="J4105" t="s">
        <v>9067</v>
      </c>
      <c r="K4105">
        <v>10032</v>
      </c>
      <c r="L4105" t="s">
        <v>9094</v>
      </c>
      <c r="M4105" t="s">
        <v>9095</v>
      </c>
      <c r="O4105" t="s">
        <v>9121</v>
      </c>
      <c r="P4105" t="s">
        <v>11165</v>
      </c>
      <c r="Q4105" t="s">
        <v>11173</v>
      </c>
      <c r="R4105" t="s">
        <v>11180</v>
      </c>
      <c r="S4105" t="s">
        <v>9094</v>
      </c>
      <c r="T4105" t="s">
        <v>11183</v>
      </c>
      <c r="V4105" t="s">
        <v>878</v>
      </c>
      <c r="W4105">
        <v>770</v>
      </c>
      <c r="X4105" t="s">
        <v>11335</v>
      </c>
      <c r="Y4105" t="s">
        <v>11339</v>
      </c>
      <c r="Z4105" t="s">
        <v>14071</v>
      </c>
      <c r="AB4105" t="s">
        <v>18398</v>
      </c>
      <c r="AC4105">
        <v>35</v>
      </c>
      <c r="AD4105" t="s">
        <v>19566</v>
      </c>
      <c r="AE4105" t="s">
        <v>9144</v>
      </c>
      <c r="AF4105">
        <v>45</v>
      </c>
      <c r="AG4105">
        <v>3</v>
      </c>
      <c r="AH4105">
        <v>0</v>
      </c>
      <c r="AI4105">
        <v>150.79</v>
      </c>
      <c r="AL4105" t="s">
        <v>19615</v>
      </c>
      <c r="AM4105">
        <v>30400</v>
      </c>
      <c r="AS4105">
        <v>1.75</v>
      </c>
      <c r="AT4105" t="s">
        <v>304</v>
      </c>
      <c r="AU4105" t="s">
        <v>20657</v>
      </c>
    </row>
    <row r="4106" spans="1:48">
      <c r="A4106" s="1">
        <f>HYPERLINK("https://lsnyc.legalserver.org/matter/dynamic-profile/view/1857072","18-1857072")</f>
        <v>0</v>
      </c>
      <c r="B4106" t="s">
        <v>108</v>
      </c>
      <c r="C4106" t="s">
        <v>256</v>
      </c>
      <c r="D4106" t="s">
        <v>751</v>
      </c>
      <c r="F4106" t="s">
        <v>1552</v>
      </c>
      <c r="G4106" t="s">
        <v>3249</v>
      </c>
      <c r="H4106" t="s">
        <v>5897</v>
      </c>
      <c r="I4106" t="s">
        <v>8811</v>
      </c>
      <c r="J4106" t="s">
        <v>9065</v>
      </c>
      <c r="K4106">
        <v>10452</v>
      </c>
      <c r="L4106" t="s">
        <v>9094</v>
      </c>
      <c r="M4106" t="s">
        <v>9095</v>
      </c>
      <c r="N4106" t="s">
        <v>9252</v>
      </c>
      <c r="O4106" t="s">
        <v>11135</v>
      </c>
      <c r="P4106" t="s">
        <v>11168</v>
      </c>
      <c r="R4106" t="s">
        <v>11180</v>
      </c>
      <c r="S4106" t="s">
        <v>9094</v>
      </c>
      <c r="T4106" t="s">
        <v>11183</v>
      </c>
      <c r="V4106" t="s">
        <v>364</v>
      </c>
      <c r="W4106">
        <v>914</v>
      </c>
      <c r="X4106" t="s">
        <v>11333</v>
      </c>
      <c r="Y4106" t="s">
        <v>11346</v>
      </c>
      <c r="Z4106" t="s">
        <v>14072</v>
      </c>
      <c r="AB4106" t="s">
        <v>18399</v>
      </c>
      <c r="AC4106">
        <v>122</v>
      </c>
      <c r="AD4106" t="s">
        <v>19566</v>
      </c>
      <c r="AE4106" t="s">
        <v>9144</v>
      </c>
      <c r="AF4106">
        <v>13</v>
      </c>
      <c r="AG4106">
        <v>1</v>
      </c>
      <c r="AH4106">
        <v>0</v>
      </c>
      <c r="AI4106">
        <v>150.91</v>
      </c>
      <c r="AL4106" t="s">
        <v>19614</v>
      </c>
      <c r="AM4106">
        <v>18200</v>
      </c>
      <c r="AS4106">
        <v>0</v>
      </c>
      <c r="AU4106" t="s">
        <v>20647</v>
      </c>
    </row>
    <row r="4107" spans="1:48">
      <c r="A4107" s="1">
        <f>HYPERLINK("https://lsnyc.legalserver.org/matter/dynamic-profile/view/1857547","18-1857547")</f>
        <v>0</v>
      </c>
      <c r="B4107" t="s">
        <v>108</v>
      </c>
      <c r="C4107" t="s">
        <v>256</v>
      </c>
      <c r="D4107" t="s">
        <v>468</v>
      </c>
      <c r="F4107" t="s">
        <v>1552</v>
      </c>
      <c r="G4107" t="s">
        <v>3249</v>
      </c>
      <c r="H4107" t="s">
        <v>5897</v>
      </c>
      <c r="I4107" t="s">
        <v>8811</v>
      </c>
      <c r="J4107" t="s">
        <v>9065</v>
      </c>
      <c r="K4107">
        <v>10452</v>
      </c>
      <c r="L4107" t="s">
        <v>9094</v>
      </c>
      <c r="M4107" t="s">
        <v>9095</v>
      </c>
      <c r="N4107" t="s">
        <v>9253</v>
      </c>
      <c r="O4107" t="s">
        <v>11135</v>
      </c>
      <c r="P4107" t="s">
        <v>11168</v>
      </c>
      <c r="R4107" t="s">
        <v>11180</v>
      </c>
      <c r="S4107" t="s">
        <v>9094</v>
      </c>
      <c r="T4107" t="s">
        <v>11183</v>
      </c>
      <c r="V4107" t="s">
        <v>11229</v>
      </c>
      <c r="W4107">
        <v>914.08</v>
      </c>
      <c r="X4107" t="s">
        <v>11333</v>
      </c>
      <c r="Y4107" t="s">
        <v>11346</v>
      </c>
      <c r="Z4107" t="s">
        <v>14072</v>
      </c>
      <c r="AB4107" t="s">
        <v>18399</v>
      </c>
      <c r="AC4107">
        <v>122</v>
      </c>
      <c r="AD4107" t="s">
        <v>19566</v>
      </c>
      <c r="AE4107" t="s">
        <v>9144</v>
      </c>
      <c r="AF4107">
        <v>13</v>
      </c>
      <c r="AG4107">
        <v>1</v>
      </c>
      <c r="AH4107">
        <v>0</v>
      </c>
      <c r="AI4107">
        <v>150.91</v>
      </c>
      <c r="AL4107" t="s">
        <v>19614</v>
      </c>
      <c r="AM4107">
        <v>18200</v>
      </c>
      <c r="AN4107" t="s">
        <v>19808</v>
      </c>
      <c r="AS4107">
        <v>0</v>
      </c>
      <c r="AU4107" t="s">
        <v>20647</v>
      </c>
    </row>
    <row r="4108" spans="1:48">
      <c r="A4108" s="1">
        <f>HYPERLINK("https://lsnyc.legalserver.org/matter/dynamic-profile/view/1836404","17-1836404")</f>
        <v>0</v>
      </c>
      <c r="B4108" t="s">
        <v>140</v>
      </c>
      <c r="C4108" t="s">
        <v>256</v>
      </c>
      <c r="D4108" t="s">
        <v>913</v>
      </c>
      <c r="F4108" t="s">
        <v>1871</v>
      </c>
      <c r="G4108" t="s">
        <v>4996</v>
      </c>
      <c r="H4108" t="s">
        <v>5999</v>
      </c>
      <c r="I4108" t="s">
        <v>8140</v>
      </c>
      <c r="J4108" t="s">
        <v>9067</v>
      </c>
      <c r="K4108">
        <v>10040</v>
      </c>
      <c r="L4108" t="s">
        <v>9094</v>
      </c>
      <c r="M4108" t="s">
        <v>9095</v>
      </c>
      <c r="O4108" t="s">
        <v>11134</v>
      </c>
      <c r="P4108" t="s">
        <v>11168</v>
      </c>
      <c r="R4108" t="s">
        <v>11180</v>
      </c>
      <c r="S4108" t="s">
        <v>9094</v>
      </c>
      <c r="T4108" t="s">
        <v>11183</v>
      </c>
      <c r="V4108" t="s">
        <v>709</v>
      </c>
      <c r="W4108">
        <v>1398.48</v>
      </c>
      <c r="X4108" t="s">
        <v>11335</v>
      </c>
      <c r="Y4108" t="s">
        <v>11339</v>
      </c>
      <c r="Z4108" t="s">
        <v>14059</v>
      </c>
      <c r="AB4108" t="s">
        <v>18386</v>
      </c>
      <c r="AC4108">
        <v>45</v>
      </c>
      <c r="AD4108" t="s">
        <v>19566</v>
      </c>
      <c r="AE4108" t="s">
        <v>9144</v>
      </c>
      <c r="AF4108">
        <v>18</v>
      </c>
      <c r="AG4108">
        <v>1</v>
      </c>
      <c r="AH4108">
        <v>0</v>
      </c>
      <c r="AI4108">
        <v>150.91</v>
      </c>
      <c r="AJ4108" t="s">
        <v>982</v>
      </c>
      <c r="AL4108" t="s">
        <v>19615</v>
      </c>
      <c r="AM4108">
        <v>18200</v>
      </c>
      <c r="AS4108">
        <v>0.51</v>
      </c>
      <c r="AT4108" t="s">
        <v>279</v>
      </c>
      <c r="AU4108" t="s">
        <v>20657</v>
      </c>
    </row>
    <row r="4109" spans="1:48">
      <c r="A4109" s="1">
        <f>HYPERLINK("https://lsnyc.legalserver.org/matter/dynamic-profile/view/1910629","19-1910629")</f>
        <v>0</v>
      </c>
      <c r="B4109" t="s">
        <v>104</v>
      </c>
      <c r="C4109" t="s">
        <v>256</v>
      </c>
      <c r="D4109" t="s">
        <v>259</v>
      </c>
      <c r="F4109" t="s">
        <v>2744</v>
      </c>
      <c r="G4109" t="s">
        <v>4898</v>
      </c>
      <c r="H4109" t="s">
        <v>7579</v>
      </c>
      <c r="I4109" t="s">
        <v>8288</v>
      </c>
      <c r="J4109" t="s">
        <v>9065</v>
      </c>
      <c r="K4109">
        <v>10451</v>
      </c>
      <c r="L4109" t="s">
        <v>9094</v>
      </c>
      <c r="M4109" t="s">
        <v>9095</v>
      </c>
      <c r="P4109" t="s">
        <v>11166</v>
      </c>
      <c r="R4109" t="s">
        <v>11180</v>
      </c>
      <c r="T4109" t="s">
        <v>11183</v>
      </c>
      <c r="W4109">
        <v>1268.42</v>
      </c>
      <c r="X4109" t="s">
        <v>11333</v>
      </c>
      <c r="Y4109" t="s">
        <v>11354</v>
      </c>
      <c r="Z4109" t="s">
        <v>13487</v>
      </c>
      <c r="AC4109">
        <v>0</v>
      </c>
      <c r="AD4109" t="s">
        <v>19568</v>
      </c>
      <c r="AE4109" t="s">
        <v>9144</v>
      </c>
      <c r="AF4109">
        <v>24</v>
      </c>
      <c r="AG4109">
        <v>2</v>
      </c>
      <c r="AH4109">
        <v>0</v>
      </c>
      <c r="AI4109">
        <v>151.15</v>
      </c>
      <c r="AL4109" t="s">
        <v>19614</v>
      </c>
      <c r="AM4109">
        <v>25560</v>
      </c>
      <c r="AS4109">
        <v>1</v>
      </c>
      <c r="AT4109" t="s">
        <v>259</v>
      </c>
      <c r="AU4109" t="s">
        <v>104</v>
      </c>
      <c r="AV4109" t="s">
        <v>20733</v>
      </c>
    </row>
    <row r="4110" spans="1:48">
      <c r="A4110" s="1">
        <f>HYPERLINK("https://lsnyc.legalserver.org/matter/dynamic-profile/view/1867127","18-1867127")</f>
        <v>0</v>
      </c>
      <c r="B4110" t="s">
        <v>139</v>
      </c>
      <c r="C4110" t="s">
        <v>256</v>
      </c>
      <c r="D4110" t="s">
        <v>272</v>
      </c>
      <c r="F4110" t="s">
        <v>1146</v>
      </c>
      <c r="G4110" t="s">
        <v>3530</v>
      </c>
      <c r="H4110" t="s">
        <v>7580</v>
      </c>
      <c r="I4110">
        <v>46</v>
      </c>
      <c r="J4110" t="s">
        <v>9067</v>
      </c>
      <c r="K4110">
        <v>10032</v>
      </c>
      <c r="L4110" t="s">
        <v>9094</v>
      </c>
      <c r="M4110" t="s">
        <v>9095</v>
      </c>
      <c r="N4110" t="s">
        <v>10624</v>
      </c>
      <c r="O4110" t="s">
        <v>11136</v>
      </c>
      <c r="P4110" t="s">
        <v>11165</v>
      </c>
      <c r="R4110" t="s">
        <v>11180</v>
      </c>
      <c r="S4110" t="s">
        <v>9096</v>
      </c>
      <c r="T4110" t="s">
        <v>11183</v>
      </c>
      <c r="U4110" t="s">
        <v>11201</v>
      </c>
      <c r="V4110" t="s">
        <v>272</v>
      </c>
      <c r="W4110">
        <v>1670</v>
      </c>
      <c r="X4110" t="s">
        <v>11335</v>
      </c>
      <c r="Y4110" t="s">
        <v>11338</v>
      </c>
      <c r="Z4110" t="s">
        <v>14073</v>
      </c>
      <c r="AB4110" t="s">
        <v>18400</v>
      </c>
      <c r="AC4110">
        <v>40</v>
      </c>
      <c r="AD4110" t="s">
        <v>19566</v>
      </c>
      <c r="AE4110" t="s">
        <v>9144</v>
      </c>
      <c r="AF4110">
        <v>28</v>
      </c>
      <c r="AG4110">
        <v>4</v>
      </c>
      <c r="AH4110">
        <v>0</v>
      </c>
      <c r="AI4110">
        <v>151.39</v>
      </c>
      <c r="AL4110" t="s">
        <v>19615</v>
      </c>
      <c r="AM4110">
        <v>38000</v>
      </c>
      <c r="AS4110">
        <v>139.2</v>
      </c>
      <c r="AT4110" t="s">
        <v>703</v>
      </c>
      <c r="AU4110" t="s">
        <v>130</v>
      </c>
    </row>
    <row r="4111" spans="1:48">
      <c r="A4111" s="1">
        <f>HYPERLINK("https://lsnyc.legalserver.org/matter/dynamic-profile/view/1896443","19-1896443")</f>
        <v>0</v>
      </c>
      <c r="B4111" t="s">
        <v>137</v>
      </c>
      <c r="C4111" t="s">
        <v>256</v>
      </c>
      <c r="D4111" t="s">
        <v>300</v>
      </c>
      <c r="F4111" t="s">
        <v>2028</v>
      </c>
      <c r="G4111" t="s">
        <v>2884</v>
      </c>
      <c r="H4111" t="s">
        <v>6488</v>
      </c>
      <c r="I4111">
        <v>41</v>
      </c>
      <c r="J4111" t="s">
        <v>9067</v>
      </c>
      <c r="K4111">
        <v>10034</v>
      </c>
      <c r="L4111" t="s">
        <v>9094</v>
      </c>
      <c r="M4111" t="s">
        <v>9095</v>
      </c>
      <c r="N4111" t="s">
        <v>9709</v>
      </c>
      <c r="O4111" t="s">
        <v>11130</v>
      </c>
      <c r="P4111" t="s">
        <v>11165</v>
      </c>
      <c r="R4111" t="s">
        <v>11180</v>
      </c>
      <c r="S4111" t="s">
        <v>9094</v>
      </c>
      <c r="T4111" t="s">
        <v>11183</v>
      </c>
      <c r="V4111" t="s">
        <v>617</v>
      </c>
      <c r="W4111">
        <v>541</v>
      </c>
      <c r="X4111" t="s">
        <v>11335</v>
      </c>
      <c r="Z4111" t="s">
        <v>14074</v>
      </c>
      <c r="AB4111" t="s">
        <v>18401</v>
      </c>
      <c r="AC4111">
        <v>20</v>
      </c>
      <c r="AD4111" t="s">
        <v>19566</v>
      </c>
      <c r="AE4111" t="s">
        <v>9144</v>
      </c>
      <c r="AF4111">
        <v>43</v>
      </c>
      <c r="AG4111">
        <v>2</v>
      </c>
      <c r="AH4111">
        <v>0</v>
      </c>
      <c r="AI4111">
        <v>151.45</v>
      </c>
      <c r="AL4111" t="s">
        <v>19614</v>
      </c>
      <c r="AM4111">
        <v>25610</v>
      </c>
      <c r="AS4111">
        <v>0</v>
      </c>
      <c r="AU4111" t="s">
        <v>20658</v>
      </c>
      <c r="AV4111" t="s">
        <v>20733</v>
      </c>
    </row>
    <row r="4112" spans="1:48">
      <c r="A4112" s="1">
        <f>HYPERLINK("https://lsnyc.legalserver.org/matter/dynamic-profile/view/1911000","19-1911000")</f>
        <v>0</v>
      </c>
      <c r="B4112" t="s">
        <v>68</v>
      </c>
      <c r="C4112" t="s">
        <v>257</v>
      </c>
      <c r="D4112" t="s">
        <v>648</v>
      </c>
      <c r="E4112" t="s">
        <v>483</v>
      </c>
      <c r="F4112" t="s">
        <v>2745</v>
      </c>
      <c r="G4112" t="s">
        <v>5005</v>
      </c>
      <c r="H4112" t="s">
        <v>5748</v>
      </c>
      <c r="J4112" t="s">
        <v>9059</v>
      </c>
      <c r="K4112">
        <v>11233</v>
      </c>
      <c r="L4112" t="s">
        <v>9094</v>
      </c>
      <c r="M4112" t="s">
        <v>9095</v>
      </c>
      <c r="O4112" t="s">
        <v>11152</v>
      </c>
      <c r="P4112" t="s">
        <v>11164</v>
      </c>
      <c r="Q4112" t="s">
        <v>11172</v>
      </c>
      <c r="R4112" t="s">
        <v>11180</v>
      </c>
      <c r="S4112" t="s">
        <v>9096</v>
      </c>
      <c r="T4112" t="s">
        <v>11183</v>
      </c>
      <c r="U4112" t="s">
        <v>11201</v>
      </c>
      <c r="V4112" t="s">
        <v>336</v>
      </c>
      <c r="W4112">
        <v>1400</v>
      </c>
      <c r="X4112" t="s">
        <v>11332</v>
      </c>
      <c r="Y4112" t="s">
        <v>11340</v>
      </c>
      <c r="Z4112" t="s">
        <v>14075</v>
      </c>
      <c r="AA4112" t="s">
        <v>9144</v>
      </c>
      <c r="AB4112" t="s">
        <v>18402</v>
      </c>
      <c r="AC4112">
        <v>359</v>
      </c>
      <c r="AD4112" t="s">
        <v>19566</v>
      </c>
      <c r="AF4112">
        <v>7</v>
      </c>
      <c r="AG4112">
        <v>2</v>
      </c>
      <c r="AH4112">
        <v>2</v>
      </c>
      <c r="AI4112">
        <v>151.46</v>
      </c>
      <c r="AL4112" t="s">
        <v>19614</v>
      </c>
      <c r="AM4112">
        <v>39000</v>
      </c>
      <c r="AS4112">
        <v>4.3</v>
      </c>
      <c r="AT4112" t="s">
        <v>284</v>
      </c>
      <c r="AU4112" t="s">
        <v>79</v>
      </c>
      <c r="AV4112" t="s">
        <v>20733</v>
      </c>
    </row>
    <row r="4113" spans="1:48">
      <c r="A4113" s="1">
        <f>HYPERLINK("https://lsnyc.legalserver.org/matter/dynamic-profile/view/1911779","19-1911779")</f>
        <v>0</v>
      </c>
      <c r="B4113" t="s">
        <v>98</v>
      </c>
      <c r="C4113" t="s">
        <v>256</v>
      </c>
      <c r="D4113" t="s">
        <v>284</v>
      </c>
      <c r="F4113" t="s">
        <v>1903</v>
      </c>
      <c r="G4113" t="s">
        <v>4079</v>
      </c>
      <c r="H4113" t="s">
        <v>7581</v>
      </c>
      <c r="I4113" t="s">
        <v>8216</v>
      </c>
      <c r="J4113" t="s">
        <v>9065</v>
      </c>
      <c r="K4113">
        <v>10456</v>
      </c>
      <c r="L4113" t="s">
        <v>9094</v>
      </c>
      <c r="M4113" t="s">
        <v>9095</v>
      </c>
      <c r="N4113" t="s">
        <v>9235</v>
      </c>
      <c r="O4113" t="s">
        <v>11130</v>
      </c>
      <c r="P4113" t="s">
        <v>11165</v>
      </c>
      <c r="R4113" t="s">
        <v>11180</v>
      </c>
      <c r="S4113" t="s">
        <v>9094</v>
      </c>
      <c r="T4113" t="s">
        <v>11183</v>
      </c>
      <c r="W4113">
        <v>1150</v>
      </c>
      <c r="X4113" t="s">
        <v>11333</v>
      </c>
      <c r="Y4113" t="s">
        <v>11157</v>
      </c>
      <c r="Z4113" t="s">
        <v>12408</v>
      </c>
      <c r="AB4113" t="s">
        <v>16818</v>
      </c>
      <c r="AC4113">
        <v>30</v>
      </c>
      <c r="AD4113" t="s">
        <v>19566</v>
      </c>
      <c r="AE4113" t="s">
        <v>9144</v>
      </c>
      <c r="AF4113">
        <v>23</v>
      </c>
      <c r="AG4113">
        <v>2</v>
      </c>
      <c r="AH4113">
        <v>2</v>
      </c>
      <c r="AI4113">
        <v>151.46</v>
      </c>
      <c r="AL4113" t="s">
        <v>19614</v>
      </c>
      <c r="AM4113">
        <v>39000</v>
      </c>
      <c r="AS4113">
        <v>35.05</v>
      </c>
      <c r="AT4113" t="s">
        <v>20609</v>
      </c>
      <c r="AU4113" t="s">
        <v>20642</v>
      </c>
      <c r="AV4113" t="s">
        <v>20733</v>
      </c>
    </row>
    <row r="4114" spans="1:48">
      <c r="A4114" s="1">
        <f>HYPERLINK("https://lsnyc.legalserver.org/matter/dynamic-profile/view/1914604","19-1914604")</f>
        <v>0</v>
      </c>
      <c r="B4114" t="s">
        <v>135</v>
      </c>
      <c r="C4114" t="s">
        <v>256</v>
      </c>
      <c r="D4114" t="s">
        <v>476</v>
      </c>
      <c r="F4114" t="s">
        <v>1778</v>
      </c>
      <c r="G4114" t="s">
        <v>2008</v>
      </c>
      <c r="H4114" t="s">
        <v>6177</v>
      </c>
      <c r="I4114">
        <v>412</v>
      </c>
      <c r="J4114" t="s">
        <v>9067</v>
      </c>
      <c r="K4114">
        <v>10029</v>
      </c>
      <c r="L4114" t="s">
        <v>9094</v>
      </c>
      <c r="M4114" t="s">
        <v>9095</v>
      </c>
      <c r="O4114" t="s">
        <v>11130</v>
      </c>
      <c r="P4114" t="s">
        <v>11169</v>
      </c>
      <c r="R4114" t="s">
        <v>11180</v>
      </c>
      <c r="S4114" t="s">
        <v>9094</v>
      </c>
      <c r="T4114" t="s">
        <v>11183</v>
      </c>
      <c r="U4114" t="s">
        <v>11201</v>
      </c>
      <c r="V4114" t="s">
        <v>496</v>
      </c>
      <c r="W4114">
        <v>463</v>
      </c>
      <c r="X4114" t="s">
        <v>11335</v>
      </c>
      <c r="Y4114" t="s">
        <v>11339</v>
      </c>
      <c r="Z4114" t="s">
        <v>14076</v>
      </c>
      <c r="AB4114" t="s">
        <v>18403</v>
      </c>
      <c r="AC4114">
        <v>40</v>
      </c>
      <c r="AD4114" t="s">
        <v>19566</v>
      </c>
      <c r="AE4114" t="s">
        <v>9144</v>
      </c>
      <c r="AF4114">
        <v>35</v>
      </c>
      <c r="AG4114">
        <v>4</v>
      </c>
      <c r="AH4114">
        <v>0</v>
      </c>
      <c r="AI4114">
        <v>151.46</v>
      </c>
      <c r="AL4114" t="s">
        <v>19614</v>
      </c>
      <c r="AM4114">
        <v>39000</v>
      </c>
      <c r="AS4114">
        <v>0</v>
      </c>
      <c r="AU4114" t="s">
        <v>20657</v>
      </c>
      <c r="AV4114" t="s">
        <v>20733</v>
      </c>
    </row>
    <row r="4115" spans="1:48">
      <c r="A4115" s="1">
        <f>HYPERLINK("https://lsnyc.legalserver.org/matter/dynamic-profile/view/0821525","16-0821525")</f>
        <v>0</v>
      </c>
      <c r="B4115" t="s">
        <v>105</v>
      </c>
      <c r="C4115" t="s">
        <v>256</v>
      </c>
      <c r="D4115" t="s">
        <v>758</v>
      </c>
      <c r="F4115" t="s">
        <v>2746</v>
      </c>
      <c r="G4115" t="s">
        <v>4174</v>
      </c>
      <c r="H4115" t="s">
        <v>5855</v>
      </c>
      <c r="I4115" t="s">
        <v>8270</v>
      </c>
      <c r="J4115" t="s">
        <v>9065</v>
      </c>
      <c r="K4115">
        <v>10467</v>
      </c>
      <c r="L4115" t="s">
        <v>9094</v>
      </c>
      <c r="M4115" t="s">
        <v>9095</v>
      </c>
      <c r="N4115" t="s">
        <v>9220</v>
      </c>
      <c r="O4115" t="s">
        <v>11143</v>
      </c>
      <c r="P4115" t="s">
        <v>11165</v>
      </c>
      <c r="R4115" t="s">
        <v>11180</v>
      </c>
      <c r="S4115" t="s">
        <v>9094</v>
      </c>
      <c r="T4115" t="s">
        <v>11183</v>
      </c>
      <c r="V4115" t="s">
        <v>11245</v>
      </c>
      <c r="W4115">
        <v>1010</v>
      </c>
      <c r="X4115" t="s">
        <v>11333</v>
      </c>
      <c r="Y4115" t="s">
        <v>11338</v>
      </c>
      <c r="Z4115" t="s">
        <v>14077</v>
      </c>
      <c r="AB4115" t="s">
        <v>18404</v>
      </c>
      <c r="AC4115">
        <v>30</v>
      </c>
      <c r="AD4115" t="s">
        <v>19566</v>
      </c>
      <c r="AE4115" t="s">
        <v>9144</v>
      </c>
      <c r="AF4115">
        <v>4</v>
      </c>
      <c r="AG4115">
        <v>1</v>
      </c>
      <c r="AH4115">
        <v>0</v>
      </c>
      <c r="AI4115">
        <v>151.52</v>
      </c>
      <c r="AJ4115" t="s">
        <v>865</v>
      </c>
      <c r="AM4115">
        <v>18000</v>
      </c>
      <c r="AS4115">
        <v>1.1</v>
      </c>
      <c r="AT4115" t="s">
        <v>822</v>
      </c>
      <c r="AU4115" t="s">
        <v>20648</v>
      </c>
    </row>
    <row r="4116" spans="1:48">
      <c r="A4116" s="1">
        <f>HYPERLINK("https://lsnyc.legalserver.org/matter/dynamic-profile/view/1886148","18-1886148")</f>
        <v>0</v>
      </c>
      <c r="B4116" t="s">
        <v>115</v>
      </c>
      <c r="C4116" t="s">
        <v>256</v>
      </c>
      <c r="D4116" t="s">
        <v>397</v>
      </c>
      <c r="F4116" t="s">
        <v>2747</v>
      </c>
      <c r="G4116" t="s">
        <v>5006</v>
      </c>
      <c r="H4116" t="s">
        <v>7582</v>
      </c>
      <c r="J4116" t="s">
        <v>9065</v>
      </c>
      <c r="K4116">
        <v>10452</v>
      </c>
      <c r="L4116" t="s">
        <v>9094</v>
      </c>
      <c r="M4116" t="s">
        <v>9094</v>
      </c>
      <c r="O4116" t="s">
        <v>11134</v>
      </c>
      <c r="P4116" t="s">
        <v>11168</v>
      </c>
      <c r="R4116" t="s">
        <v>11180</v>
      </c>
      <c r="S4116" t="s">
        <v>9096</v>
      </c>
      <c r="T4116" t="s">
        <v>11183</v>
      </c>
      <c r="V4116" t="s">
        <v>540</v>
      </c>
      <c r="W4116">
        <v>2287.36</v>
      </c>
      <c r="X4116" t="s">
        <v>11333</v>
      </c>
      <c r="Y4116" t="s">
        <v>11338</v>
      </c>
      <c r="Z4116" t="s">
        <v>14078</v>
      </c>
      <c r="AB4116" t="s">
        <v>18405</v>
      </c>
      <c r="AC4116">
        <v>37</v>
      </c>
      <c r="AD4116" t="s">
        <v>19566</v>
      </c>
      <c r="AE4116" t="s">
        <v>9144</v>
      </c>
      <c r="AF4116">
        <v>9</v>
      </c>
      <c r="AG4116">
        <v>6</v>
      </c>
      <c r="AH4116">
        <v>4</v>
      </c>
      <c r="AI4116">
        <v>151.75</v>
      </c>
      <c r="AL4116" t="s">
        <v>19615</v>
      </c>
      <c r="AM4116">
        <v>77420.39999999999</v>
      </c>
      <c r="AS4116">
        <v>3.7</v>
      </c>
      <c r="AT4116" t="s">
        <v>396</v>
      </c>
      <c r="AU4116" t="s">
        <v>163</v>
      </c>
    </row>
    <row r="4117" spans="1:48">
      <c r="A4117" s="1">
        <f>HYPERLINK("https://lsnyc.legalserver.org/matter/dynamic-profile/view/1903131","19-1903131")</f>
        <v>0</v>
      </c>
      <c r="B4117" t="s">
        <v>73</v>
      </c>
      <c r="C4117" t="s">
        <v>256</v>
      </c>
      <c r="D4117" t="s">
        <v>785</v>
      </c>
      <c r="F4117" t="s">
        <v>2748</v>
      </c>
      <c r="G4117" t="s">
        <v>5007</v>
      </c>
      <c r="H4117" t="s">
        <v>7583</v>
      </c>
      <c r="I4117" t="s">
        <v>8107</v>
      </c>
      <c r="J4117" t="s">
        <v>9059</v>
      </c>
      <c r="K4117">
        <v>11212</v>
      </c>
      <c r="L4117" t="s">
        <v>9094</v>
      </c>
      <c r="M4117" t="s">
        <v>9095</v>
      </c>
      <c r="N4117" t="s">
        <v>10625</v>
      </c>
      <c r="O4117" t="s">
        <v>11129</v>
      </c>
      <c r="P4117" t="s">
        <v>11165</v>
      </c>
      <c r="R4117" t="s">
        <v>11180</v>
      </c>
      <c r="S4117" t="s">
        <v>9096</v>
      </c>
      <c r="T4117" t="s">
        <v>11183</v>
      </c>
      <c r="U4117" t="s">
        <v>11201</v>
      </c>
      <c r="V4117" t="s">
        <v>597</v>
      </c>
      <c r="W4117">
        <v>1235</v>
      </c>
      <c r="X4117" t="s">
        <v>11332</v>
      </c>
      <c r="Y4117" t="s">
        <v>11338</v>
      </c>
      <c r="Z4117" t="s">
        <v>14079</v>
      </c>
      <c r="AA4117" t="s">
        <v>15841</v>
      </c>
      <c r="AC4117">
        <v>4</v>
      </c>
      <c r="AD4117" t="s">
        <v>19565</v>
      </c>
      <c r="AE4117" t="s">
        <v>19588</v>
      </c>
      <c r="AF4117">
        <v>30</v>
      </c>
      <c r="AG4117">
        <v>1</v>
      </c>
      <c r="AH4117">
        <v>0</v>
      </c>
      <c r="AI4117">
        <v>151.8</v>
      </c>
      <c r="AL4117" t="s">
        <v>19614</v>
      </c>
      <c r="AM4117">
        <v>18960</v>
      </c>
      <c r="AS4117">
        <v>10.16</v>
      </c>
      <c r="AT4117" t="s">
        <v>301</v>
      </c>
      <c r="AU4117" t="s">
        <v>20672</v>
      </c>
      <c r="AV4117" t="s">
        <v>20734</v>
      </c>
    </row>
    <row r="4118" spans="1:48">
      <c r="A4118" s="1">
        <f>HYPERLINK("https://lsnyc.legalserver.org/matter/dynamic-profile/view/1877384","18-1877384")</f>
        <v>0</v>
      </c>
      <c r="B4118" t="s">
        <v>80</v>
      </c>
      <c r="C4118" t="s">
        <v>256</v>
      </c>
      <c r="D4118" t="s">
        <v>581</v>
      </c>
      <c r="F4118" t="s">
        <v>2749</v>
      </c>
      <c r="G4118" t="s">
        <v>3712</v>
      </c>
      <c r="H4118" t="s">
        <v>7584</v>
      </c>
      <c r="I4118" t="s">
        <v>8218</v>
      </c>
      <c r="J4118" t="s">
        <v>9059</v>
      </c>
      <c r="K4118">
        <v>11212</v>
      </c>
      <c r="L4118" t="s">
        <v>9094</v>
      </c>
      <c r="M4118" t="s">
        <v>9094</v>
      </c>
      <c r="N4118" t="s">
        <v>10626</v>
      </c>
      <c r="O4118" t="s">
        <v>11149</v>
      </c>
      <c r="P4118" t="s">
        <v>11169</v>
      </c>
      <c r="R4118" t="s">
        <v>11180</v>
      </c>
      <c r="T4118" t="s">
        <v>11183</v>
      </c>
      <c r="V4118" t="s">
        <v>803</v>
      </c>
      <c r="W4118">
        <v>1600</v>
      </c>
      <c r="X4118" t="s">
        <v>11332</v>
      </c>
      <c r="Y4118" t="s">
        <v>11336</v>
      </c>
      <c r="Z4118" t="s">
        <v>14080</v>
      </c>
      <c r="AB4118" t="s">
        <v>18406</v>
      </c>
      <c r="AC4118">
        <v>2</v>
      </c>
      <c r="AE4118" t="s">
        <v>9144</v>
      </c>
      <c r="AF4118">
        <v>2</v>
      </c>
      <c r="AG4118">
        <v>1</v>
      </c>
      <c r="AH4118">
        <v>1</v>
      </c>
      <c r="AI4118">
        <v>151.88</v>
      </c>
      <c r="AL4118" t="s">
        <v>19614</v>
      </c>
      <c r="AM4118">
        <v>25000</v>
      </c>
      <c r="AS4118">
        <v>11.25</v>
      </c>
      <c r="AT4118" t="s">
        <v>284</v>
      </c>
      <c r="AU4118" t="s">
        <v>20625</v>
      </c>
    </row>
    <row r="4119" spans="1:48">
      <c r="A4119" s="1">
        <f>HYPERLINK("https://lsnyc.legalserver.org/matter/dynamic-profile/view/1886979","19-1886979")</f>
        <v>0</v>
      </c>
      <c r="B4119" t="s">
        <v>101</v>
      </c>
      <c r="C4119" t="s">
        <v>256</v>
      </c>
      <c r="D4119" t="s">
        <v>582</v>
      </c>
      <c r="F4119" t="s">
        <v>2725</v>
      </c>
      <c r="G4119" t="s">
        <v>4981</v>
      </c>
      <c r="H4119" t="s">
        <v>6383</v>
      </c>
      <c r="I4119" t="s">
        <v>8164</v>
      </c>
      <c r="J4119" t="s">
        <v>9065</v>
      </c>
      <c r="K4119">
        <v>10467</v>
      </c>
      <c r="L4119" t="s">
        <v>9094</v>
      </c>
      <c r="M4119" t="s">
        <v>9094</v>
      </c>
      <c r="N4119" t="s">
        <v>9642</v>
      </c>
      <c r="O4119" t="s">
        <v>11130</v>
      </c>
      <c r="P4119" t="s">
        <v>11165</v>
      </c>
      <c r="R4119" t="s">
        <v>11180</v>
      </c>
      <c r="S4119" t="s">
        <v>9094</v>
      </c>
      <c r="T4119" t="s">
        <v>11183</v>
      </c>
      <c r="V4119" t="s">
        <v>11212</v>
      </c>
      <c r="W4119">
        <v>811.72</v>
      </c>
      <c r="X4119" t="s">
        <v>11333</v>
      </c>
      <c r="Y4119" t="s">
        <v>11346</v>
      </c>
      <c r="Z4119" t="s">
        <v>14033</v>
      </c>
      <c r="AC4119">
        <v>59</v>
      </c>
      <c r="AD4119" t="s">
        <v>15441</v>
      </c>
      <c r="AE4119" t="s">
        <v>9144</v>
      </c>
      <c r="AF4119">
        <v>11</v>
      </c>
      <c r="AG4119">
        <v>1</v>
      </c>
      <c r="AH4119">
        <v>1</v>
      </c>
      <c r="AI4119">
        <v>151.88</v>
      </c>
      <c r="AL4119" t="s">
        <v>19614</v>
      </c>
      <c r="AM4119">
        <v>25000</v>
      </c>
      <c r="AS4119">
        <v>0</v>
      </c>
      <c r="AU4119" t="s">
        <v>20647</v>
      </c>
      <c r="AV4119" t="s">
        <v>20733</v>
      </c>
    </row>
    <row r="4120" spans="1:48">
      <c r="A4120" s="1">
        <f>HYPERLINK("https://lsnyc.legalserver.org/matter/dynamic-profile/view/1882962","18-1882962")</f>
        <v>0</v>
      </c>
      <c r="B4120" t="s">
        <v>106</v>
      </c>
      <c r="C4120" t="s">
        <v>256</v>
      </c>
      <c r="D4120" t="s">
        <v>589</v>
      </c>
      <c r="F4120" t="s">
        <v>2750</v>
      </c>
      <c r="G4120" t="s">
        <v>5008</v>
      </c>
      <c r="H4120" t="s">
        <v>5874</v>
      </c>
      <c r="I4120" t="s">
        <v>8446</v>
      </c>
      <c r="J4120" t="s">
        <v>9065</v>
      </c>
      <c r="K4120">
        <v>10457</v>
      </c>
      <c r="L4120" t="s">
        <v>9094</v>
      </c>
      <c r="M4120" t="s">
        <v>9094</v>
      </c>
      <c r="N4120" t="s">
        <v>9230</v>
      </c>
      <c r="O4120" t="s">
        <v>11134</v>
      </c>
      <c r="P4120" t="s">
        <v>11168</v>
      </c>
      <c r="R4120" t="s">
        <v>11180</v>
      </c>
      <c r="S4120" t="s">
        <v>9094</v>
      </c>
      <c r="T4120" t="s">
        <v>11183</v>
      </c>
      <c r="V4120" t="s">
        <v>738</v>
      </c>
      <c r="W4120">
        <v>1179</v>
      </c>
      <c r="X4120" t="s">
        <v>11333</v>
      </c>
      <c r="Y4120" t="s">
        <v>11346</v>
      </c>
      <c r="Z4120" t="s">
        <v>14081</v>
      </c>
      <c r="AB4120" t="s">
        <v>18407</v>
      </c>
      <c r="AC4120">
        <v>47</v>
      </c>
      <c r="AD4120" t="s">
        <v>19566</v>
      </c>
      <c r="AE4120" t="s">
        <v>9144</v>
      </c>
      <c r="AF4120">
        <v>8</v>
      </c>
      <c r="AG4120">
        <v>1</v>
      </c>
      <c r="AH4120">
        <v>1</v>
      </c>
      <c r="AI4120">
        <v>151.88</v>
      </c>
      <c r="AL4120" t="s">
        <v>19615</v>
      </c>
      <c r="AM4120">
        <v>25000</v>
      </c>
      <c r="AS4120">
        <v>0.1</v>
      </c>
      <c r="AT4120" t="s">
        <v>492</v>
      </c>
      <c r="AU4120" t="s">
        <v>20642</v>
      </c>
    </row>
    <row r="4121" spans="1:48">
      <c r="A4121" s="1">
        <f>HYPERLINK("https://lsnyc.legalserver.org/matter/dynamic-profile/view/1882956","18-1882956")</f>
        <v>0</v>
      </c>
      <c r="B4121" t="s">
        <v>106</v>
      </c>
      <c r="C4121" t="s">
        <v>256</v>
      </c>
      <c r="D4121" t="s">
        <v>589</v>
      </c>
      <c r="F4121" t="s">
        <v>2750</v>
      </c>
      <c r="G4121" t="s">
        <v>5008</v>
      </c>
      <c r="H4121" t="s">
        <v>5874</v>
      </c>
      <c r="I4121" t="s">
        <v>8446</v>
      </c>
      <c r="J4121" t="s">
        <v>9065</v>
      </c>
      <c r="K4121">
        <v>10457</v>
      </c>
      <c r="L4121" t="s">
        <v>9094</v>
      </c>
      <c r="M4121" t="s">
        <v>9094</v>
      </c>
      <c r="N4121" t="s">
        <v>9231</v>
      </c>
      <c r="O4121" t="s">
        <v>11130</v>
      </c>
      <c r="P4121" t="s">
        <v>11165</v>
      </c>
      <c r="R4121" t="s">
        <v>11180</v>
      </c>
      <c r="S4121" t="s">
        <v>9094</v>
      </c>
      <c r="T4121" t="s">
        <v>11183</v>
      </c>
      <c r="V4121" t="s">
        <v>738</v>
      </c>
      <c r="W4121">
        <v>1179</v>
      </c>
      <c r="X4121" t="s">
        <v>11333</v>
      </c>
      <c r="Y4121" t="s">
        <v>11346</v>
      </c>
      <c r="Z4121" t="s">
        <v>14081</v>
      </c>
      <c r="AB4121" t="s">
        <v>18407</v>
      </c>
      <c r="AC4121">
        <v>47</v>
      </c>
      <c r="AD4121" t="s">
        <v>19566</v>
      </c>
      <c r="AE4121" t="s">
        <v>9144</v>
      </c>
      <c r="AF4121">
        <v>8</v>
      </c>
      <c r="AG4121">
        <v>1</v>
      </c>
      <c r="AH4121">
        <v>1</v>
      </c>
      <c r="AI4121">
        <v>151.88</v>
      </c>
      <c r="AL4121" t="s">
        <v>19615</v>
      </c>
      <c r="AM4121">
        <v>25000</v>
      </c>
      <c r="AS4121">
        <v>0.2</v>
      </c>
      <c r="AT4121" t="s">
        <v>545</v>
      </c>
      <c r="AU4121" t="s">
        <v>20642</v>
      </c>
    </row>
    <row r="4122" spans="1:48">
      <c r="A4122" s="1">
        <f>HYPERLINK("https://lsnyc.legalserver.org/matter/dynamic-profile/view/1911047","19-1911047")</f>
        <v>0</v>
      </c>
      <c r="B4122" t="s">
        <v>65</v>
      </c>
      <c r="C4122" t="s">
        <v>256</v>
      </c>
      <c r="D4122" t="s">
        <v>648</v>
      </c>
      <c r="F4122" t="s">
        <v>1945</v>
      </c>
      <c r="G4122" t="s">
        <v>5009</v>
      </c>
      <c r="H4122" t="s">
        <v>5743</v>
      </c>
      <c r="I4122" t="s">
        <v>8167</v>
      </c>
      <c r="J4122" t="s">
        <v>9059</v>
      </c>
      <c r="K4122">
        <v>11238</v>
      </c>
      <c r="L4122" t="s">
        <v>9094</v>
      </c>
      <c r="M4122" t="s">
        <v>9095</v>
      </c>
      <c r="N4122" t="s">
        <v>10627</v>
      </c>
      <c r="O4122" t="s">
        <v>11129</v>
      </c>
      <c r="P4122" t="s">
        <v>11165</v>
      </c>
      <c r="R4122" t="s">
        <v>11180</v>
      </c>
      <c r="S4122" t="s">
        <v>9094</v>
      </c>
      <c r="T4122" t="s">
        <v>11183</v>
      </c>
      <c r="U4122" t="s">
        <v>11201</v>
      </c>
      <c r="V4122" t="s">
        <v>648</v>
      </c>
      <c r="W4122">
        <v>283.57</v>
      </c>
      <c r="X4122" t="s">
        <v>11332</v>
      </c>
      <c r="Y4122" t="s">
        <v>11342</v>
      </c>
      <c r="Z4122" t="s">
        <v>14082</v>
      </c>
      <c r="AC4122">
        <v>38</v>
      </c>
      <c r="AD4122" t="s">
        <v>19569</v>
      </c>
      <c r="AE4122" t="s">
        <v>9144</v>
      </c>
      <c r="AF4122">
        <v>49</v>
      </c>
      <c r="AG4122">
        <v>1</v>
      </c>
      <c r="AH4122">
        <v>0</v>
      </c>
      <c r="AI4122">
        <v>151.96</v>
      </c>
      <c r="AL4122" t="s">
        <v>19614</v>
      </c>
      <c r="AM4122">
        <v>18980</v>
      </c>
      <c r="AS4122">
        <v>7.2</v>
      </c>
      <c r="AT4122" t="s">
        <v>377</v>
      </c>
      <c r="AU4122" t="s">
        <v>65</v>
      </c>
      <c r="AV4122" t="s">
        <v>20733</v>
      </c>
    </row>
    <row r="4123" spans="1:48">
      <c r="A4123" s="1">
        <f>HYPERLINK("https://lsnyc.legalserver.org/matter/dynamic-profile/view/1912608","19-1912608")</f>
        <v>0</v>
      </c>
      <c r="B4123" t="s">
        <v>73</v>
      </c>
      <c r="C4123" t="s">
        <v>256</v>
      </c>
      <c r="D4123" t="s">
        <v>263</v>
      </c>
      <c r="F4123" t="s">
        <v>2751</v>
      </c>
      <c r="G4123" t="s">
        <v>3827</v>
      </c>
      <c r="H4123" t="s">
        <v>7585</v>
      </c>
      <c r="I4123" t="s">
        <v>8132</v>
      </c>
      <c r="J4123" t="s">
        <v>9059</v>
      </c>
      <c r="K4123">
        <v>11212</v>
      </c>
      <c r="L4123" t="s">
        <v>9095</v>
      </c>
      <c r="M4123" t="s">
        <v>9095</v>
      </c>
      <c r="N4123" t="s">
        <v>9121</v>
      </c>
      <c r="O4123" t="s">
        <v>9121</v>
      </c>
      <c r="P4123" t="s">
        <v>11164</v>
      </c>
      <c r="R4123" t="s">
        <v>11180</v>
      </c>
      <c r="S4123" t="s">
        <v>9096</v>
      </c>
      <c r="T4123" t="s">
        <v>11183</v>
      </c>
      <c r="W4123">
        <v>317</v>
      </c>
      <c r="X4123" t="s">
        <v>11332</v>
      </c>
      <c r="Y4123" t="s">
        <v>11338</v>
      </c>
      <c r="Z4123" t="s">
        <v>14083</v>
      </c>
      <c r="AB4123" t="s">
        <v>18408</v>
      </c>
      <c r="AC4123">
        <v>12</v>
      </c>
      <c r="AD4123" t="s">
        <v>19572</v>
      </c>
      <c r="AF4123">
        <v>2</v>
      </c>
      <c r="AG4123">
        <v>1</v>
      </c>
      <c r="AH4123">
        <v>0</v>
      </c>
      <c r="AI4123">
        <v>151.96</v>
      </c>
      <c r="AL4123" t="s">
        <v>19614</v>
      </c>
      <c r="AM4123">
        <v>18980</v>
      </c>
      <c r="AS4123">
        <v>0.5</v>
      </c>
      <c r="AT4123" t="s">
        <v>294</v>
      </c>
      <c r="AU4123" t="s">
        <v>79</v>
      </c>
    </row>
    <row r="4124" spans="1:48">
      <c r="A4124" s="1">
        <f>HYPERLINK("https://lsnyc.legalserver.org/matter/dynamic-profile/view/1915004","19-1915004")</f>
        <v>0</v>
      </c>
      <c r="B4124" t="s">
        <v>119</v>
      </c>
      <c r="C4124" t="s">
        <v>257</v>
      </c>
      <c r="D4124" t="s">
        <v>563</v>
      </c>
      <c r="E4124" t="s">
        <v>321</v>
      </c>
      <c r="F4124" t="s">
        <v>2752</v>
      </c>
      <c r="G4124" t="s">
        <v>3608</v>
      </c>
      <c r="H4124" t="s">
        <v>7586</v>
      </c>
      <c r="I4124" t="s">
        <v>8171</v>
      </c>
      <c r="J4124" t="s">
        <v>9065</v>
      </c>
      <c r="K4124">
        <v>10456</v>
      </c>
      <c r="L4124" t="s">
        <v>9094</v>
      </c>
      <c r="M4124" t="s">
        <v>9095</v>
      </c>
      <c r="O4124" t="s">
        <v>11134</v>
      </c>
      <c r="P4124" t="s">
        <v>11167</v>
      </c>
      <c r="Q4124" t="s">
        <v>11173</v>
      </c>
      <c r="R4124" t="s">
        <v>11180</v>
      </c>
      <c r="S4124" t="s">
        <v>9096</v>
      </c>
      <c r="T4124" t="s">
        <v>11183</v>
      </c>
      <c r="W4124">
        <v>939.4400000000001</v>
      </c>
      <c r="X4124" t="s">
        <v>11333</v>
      </c>
      <c r="Y4124" t="s">
        <v>11346</v>
      </c>
      <c r="AC4124">
        <v>55</v>
      </c>
      <c r="AD4124" t="s">
        <v>19566</v>
      </c>
      <c r="AE4124" t="s">
        <v>9144</v>
      </c>
      <c r="AF4124">
        <v>24</v>
      </c>
      <c r="AG4124">
        <v>1</v>
      </c>
      <c r="AH4124">
        <v>0</v>
      </c>
      <c r="AI4124">
        <v>152.12</v>
      </c>
      <c r="AL4124" t="s">
        <v>19614</v>
      </c>
      <c r="AM4124">
        <v>19000</v>
      </c>
      <c r="AS4124">
        <v>2.75</v>
      </c>
      <c r="AT4124" t="s">
        <v>321</v>
      </c>
      <c r="AU4124" t="s">
        <v>163</v>
      </c>
      <c r="AV4124" t="s">
        <v>20733</v>
      </c>
    </row>
    <row r="4125" spans="1:48">
      <c r="A4125" s="1">
        <f>HYPERLINK("https://lsnyc.legalserver.org/matter/dynamic-profile/view/1878647","18-1878647")</f>
        <v>0</v>
      </c>
      <c r="B4125" t="s">
        <v>78</v>
      </c>
      <c r="C4125" t="s">
        <v>256</v>
      </c>
      <c r="D4125" t="s">
        <v>346</v>
      </c>
      <c r="F4125" t="s">
        <v>1958</v>
      </c>
      <c r="G4125" t="s">
        <v>3987</v>
      </c>
      <c r="H4125" t="s">
        <v>6712</v>
      </c>
      <c r="I4125" t="s">
        <v>8193</v>
      </c>
      <c r="J4125" t="s">
        <v>9059</v>
      </c>
      <c r="K4125">
        <v>11221</v>
      </c>
      <c r="L4125" t="s">
        <v>9094</v>
      </c>
      <c r="M4125" t="s">
        <v>9094</v>
      </c>
      <c r="O4125" t="s">
        <v>11134</v>
      </c>
      <c r="P4125" t="s">
        <v>11168</v>
      </c>
      <c r="R4125" t="s">
        <v>11180</v>
      </c>
      <c r="S4125" t="s">
        <v>9094</v>
      </c>
      <c r="T4125" t="s">
        <v>11183</v>
      </c>
      <c r="V4125" t="s">
        <v>634</v>
      </c>
      <c r="W4125">
        <v>1091.82</v>
      </c>
      <c r="X4125" t="s">
        <v>11332</v>
      </c>
      <c r="Y4125" t="s">
        <v>11346</v>
      </c>
      <c r="Z4125" t="s">
        <v>14039</v>
      </c>
      <c r="AA4125" t="s">
        <v>15290</v>
      </c>
      <c r="AB4125" t="s">
        <v>18365</v>
      </c>
      <c r="AC4125">
        <v>12</v>
      </c>
      <c r="AD4125" t="s">
        <v>19566</v>
      </c>
      <c r="AE4125" t="s">
        <v>19580</v>
      </c>
      <c r="AF4125">
        <v>12</v>
      </c>
      <c r="AG4125">
        <v>1</v>
      </c>
      <c r="AH4125">
        <v>0</v>
      </c>
      <c r="AI4125">
        <v>152.2</v>
      </c>
      <c r="AL4125" t="s">
        <v>19614</v>
      </c>
      <c r="AM4125">
        <v>18476.9</v>
      </c>
      <c r="AN4125" t="s">
        <v>19998</v>
      </c>
      <c r="AS4125">
        <v>0</v>
      </c>
      <c r="AU4125" t="s">
        <v>95</v>
      </c>
    </row>
    <row r="4126" spans="1:48">
      <c r="A4126" s="1">
        <f>HYPERLINK("https://lsnyc.legalserver.org/matter/dynamic-profile/view/1878651","18-1878651")</f>
        <v>0</v>
      </c>
      <c r="B4126" t="s">
        <v>78</v>
      </c>
      <c r="C4126" t="s">
        <v>256</v>
      </c>
      <c r="D4126" t="s">
        <v>346</v>
      </c>
      <c r="F4126" t="s">
        <v>1958</v>
      </c>
      <c r="G4126" t="s">
        <v>3987</v>
      </c>
      <c r="H4126" t="s">
        <v>6712</v>
      </c>
      <c r="I4126" t="s">
        <v>8193</v>
      </c>
      <c r="J4126" t="s">
        <v>9059</v>
      </c>
      <c r="K4126">
        <v>11221</v>
      </c>
      <c r="L4126" t="s">
        <v>9094</v>
      </c>
      <c r="M4126" t="s">
        <v>9094</v>
      </c>
      <c r="N4126" t="s">
        <v>10536</v>
      </c>
      <c r="O4126" t="s">
        <v>11130</v>
      </c>
      <c r="P4126" t="s">
        <v>11165</v>
      </c>
      <c r="R4126" t="s">
        <v>11180</v>
      </c>
      <c r="S4126" t="s">
        <v>9094</v>
      </c>
      <c r="T4126" t="s">
        <v>11183</v>
      </c>
      <c r="V4126" t="s">
        <v>589</v>
      </c>
      <c r="W4126">
        <v>1091.82</v>
      </c>
      <c r="X4126" t="s">
        <v>11332</v>
      </c>
      <c r="Y4126" t="s">
        <v>11346</v>
      </c>
      <c r="Z4126" t="s">
        <v>14039</v>
      </c>
      <c r="AA4126" t="s">
        <v>15290</v>
      </c>
      <c r="AB4126" t="s">
        <v>18365</v>
      </c>
      <c r="AC4126">
        <v>12</v>
      </c>
      <c r="AD4126" t="s">
        <v>19566</v>
      </c>
      <c r="AE4126" t="s">
        <v>19580</v>
      </c>
      <c r="AF4126">
        <v>12</v>
      </c>
      <c r="AG4126">
        <v>1</v>
      </c>
      <c r="AH4126">
        <v>0</v>
      </c>
      <c r="AI4126">
        <v>152.2</v>
      </c>
      <c r="AL4126" t="s">
        <v>19614</v>
      </c>
      <c r="AM4126">
        <v>18476.9</v>
      </c>
      <c r="AN4126" t="s">
        <v>19998</v>
      </c>
      <c r="AS4126">
        <v>0</v>
      </c>
      <c r="AU4126" t="s">
        <v>95</v>
      </c>
    </row>
    <row r="4127" spans="1:48">
      <c r="A4127" s="1">
        <f>HYPERLINK("https://lsnyc.legalserver.org/matter/dynamic-profile/view/1902775","19-1902775")</f>
        <v>0</v>
      </c>
      <c r="B4127" t="s">
        <v>82</v>
      </c>
      <c r="C4127" t="s">
        <v>257</v>
      </c>
      <c r="D4127" t="s">
        <v>279</v>
      </c>
      <c r="E4127" t="s">
        <v>396</v>
      </c>
      <c r="F4127" t="s">
        <v>2753</v>
      </c>
      <c r="G4127" t="s">
        <v>4009</v>
      </c>
      <c r="H4127" t="s">
        <v>7587</v>
      </c>
      <c r="I4127" t="s">
        <v>8443</v>
      </c>
      <c r="J4127" t="s">
        <v>9059</v>
      </c>
      <c r="K4127">
        <v>11203</v>
      </c>
      <c r="L4127" t="s">
        <v>9094</v>
      </c>
      <c r="M4127" t="s">
        <v>9095</v>
      </c>
      <c r="N4127" t="s">
        <v>10628</v>
      </c>
      <c r="O4127" t="s">
        <v>11128</v>
      </c>
      <c r="P4127" t="s">
        <v>11164</v>
      </c>
      <c r="Q4127" t="s">
        <v>11172</v>
      </c>
      <c r="R4127" t="s">
        <v>11180</v>
      </c>
      <c r="S4127" t="s">
        <v>9096</v>
      </c>
      <c r="T4127" t="s">
        <v>11183</v>
      </c>
      <c r="U4127" t="s">
        <v>11201</v>
      </c>
      <c r="V4127" t="s">
        <v>279</v>
      </c>
      <c r="W4127">
        <v>784</v>
      </c>
      <c r="X4127" t="s">
        <v>11332</v>
      </c>
      <c r="Z4127" t="s">
        <v>14084</v>
      </c>
      <c r="AB4127" t="s">
        <v>18409</v>
      </c>
      <c r="AC4127">
        <v>29</v>
      </c>
      <c r="AD4127" t="s">
        <v>19566</v>
      </c>
      <c r="AE4127" t="s">
        <v>9144</v>
      </c>
      <c r="AF4127">
        <v>19</v>
      </c>
      <c r="AG4127">
        <v>2</v>
      </c>
      <c r="AH4127">
        <v>0</v>
      </c>
      <c r="AI4127">
        <v>152.57</v>
      </c>
      <c r="AL4127" t="s">
        <v>19614</v>
      </c>
      <c r="AM4127">
        <v>25800</v>
      </c>
      <c r="AS4127">
        <v>0.5</v>
      </c>
      <c r="AT4127" t="s">
        <v>396</v>
      </c>
      <c r="AU4127" t="s">
        <v>67</v>
      </c>
      <c r="AV4127" t="s">
        <v>20733</v>
      </c>
    </row>
    <row r="4128" spans="1:48">
      <c r="A4128" s="1">
        <f>HYPERLINK("https://lsnyc.legalserver.org/matter/dynamic-profile/view/1915137","19-1915137")</f>
        <v>0</v>
      </c>
      <c r="B4128" t="s">
        <v>55</v>
      </c>
      <c r="C4128" t="s">
        <v>256</v>
      </c>
      <c r="D4128" t="s">
        <v>270</v>
      </c>
      <c r="F4128" t="s">
        <v>1406</v>
      </c>
      <c r="G4128" t="s">
        <v>5010</v>
      </c>
      <c r="H4128" t="s">
        <v>7588</v>
      </c>
      <c r="J4128" t="s">
        <v>9090</v>
      </c>
      <c r="K4128">
        <v>11694</v>
      </c>
      <c r="L4128" t="s">
        <v>9094</v>
      </c>
      <c r="M4128" t="s">
        <v>9095</v>
      </c>
      <c r="N4128" t="s">
        <v>10629</v>
      </c>
      <c r="O4128" t="s">
        <v>11128</v>
      </c>
      <c r="P4128" t="s">
        <v>11165</v>
      </c>
      <c r="R4128" t="s">
        <v>11180</v>
      </c>
      <c r="S4128" t="s">
        <v>9096</v>
      </c>
      <c r="T4128" t="s">
        <v>11183</v>
      </c>
      <c r="U4128" t="s">
        <v>11201</v>
      </c>
      <c r="V4128" t="s">
        <v>270</v>
      </c>
      <c r="W4128">
        <v>1550</v>
      </c>
      <c r="X4128" t="s">
        <v>11331</v>
      </c>
      <c r="Y4128" t="s">
        <v>11336</v>
      </c>
      <c r="Z4128" t="s">
        <v>14085</v>
      </c>
      <c r="AA4128" t="s">
        <v>15842</v>
      </c>
      <c r="AB4128" t="s">
        <v>18410</v>
      </c>
      <c r="AC4128">
        <v>3</v>
      </c>
      <c r="AD4128" t="s">
        <v>15441</v>
      </c>
      <c r="AE4128" t="s">
        <v>9144</v>
      </c>
      <c r="AF4128">
        <v>5</v>
      </c>
      <c r="AG4128">
        <v>3</v>
      </c>
      <c r="AH4128">
        <v>4</v>
      </c>
      <c r="AI4128">
        <v>152.58</v>
      </c>
      <c r="AL4128" t="s">
        <v>19614</v>
      </c>
      <c r="AM4128">
        <v>59520</v>
      </c>
      <c r="AS4128">
        <v>1.6</v>
      </c>
      <c r="AT4128" t="s">
        <v>321</v>
      </c>
      <c r="AU4128" t="s">
        <v>20620</v>
      </c>
      <c r="AV4128" t="s">
        <v>20733</v>
      </c>
    </row>
    <row r="4129" spans="1:48">
      <c r="A4129" s="1">
        <f>HYPERLINK("https://lsnyc.legalserver.org/matter/dynamic-profile/view/1901820","19-1901820")</f>
        <v>0</v>
      </c>
      <c r="B4129" t="s">
        <v>119</v>
      </c>
      <c r="C4129" t="s">
        <v>257</v>
      </c>
      <c r="D4129" t="s">
        <v>610</v>
      </c>
      <c r="E4129" t="s">
        <v>664</v>
      </c>
      <c r="F4129" t="s">
        <v>1274</v>
      </c>
      <c r="G4129" t="s">
        <v>3924</v>
      </c>
      <c r="H4129" t="s">
        <v>7589</v>
      </c>
      <c r="I4129" t="s">
        <v>8140</v>
      </c>
      <c r="J4129" t="s">
        <v>9065</v>
      </c>
      <c r="K4129">
        <v>10452</v>
      </c>
      <c r="L4129" t="s">
        <v>9094</v>
      </c>
      <c r="M4129" t="s">
        <v>9095</v>
      </c>
      <c r="O4129" t="s">
        <v>9121</v>
      </c>
      <c r="P4129" t="s">
        <v>11164</v>
      </c>
      <c r="Q4129" t="s">
        <v>11172</v>
      </c>
      <c r="R4129" t="s">
        <v>11180</v>
      </c>
      <c r="S4129" t="s">
        <v>9096</v>
      </c>
      <c r="T4129" t="s">
        <v>11183</v>
      </c>
      <c r="V4129" t="s">
        <v>11218</v>
      </c>
      <c r="W4129">
        <v>937.48</v>
      </c>
      <c r="X4129" t="s">
        <v>11333</v>
      </c>
      <c r="Y4129" t="s">
        <v>11346</v>
      </c>
      <c r="Z4129" t="s">
        <v>14086</v>
      </c>
      <c r="AC4129">
        <v>59</v>
      </c>
      <c r="AD4129" t="s">
        <v>19566</v>
      </c>
      <c r="AE4129" t="s">
        <v>19587</v>
      </c>
      <c r="AF4129">
        <v>20</v>
      </c>
      <c r="AG4129">
        <v>1</v>
      </c>
      <c r="AH4129">
        <v>0</v>
      </c>
      <c r="AI4129">
        <v>152.84</v>
      </c>
      <c r="AL4129" t="s">
        <v>19614</v>
      </c>
      <c r="AM4129">
        <v>19089.6</v>
      </c>
      <c r="AS4129">
        <v>0.5</v>
      </c>
      <c r="AT4129" t="s">
        <v>664</v>
      </c>
      <c r="AU4129" t="s">
        <v>119</v>
      </c>
      <c r="AV4129" t="s">
        <v>20734</v>
      </c>
    </row>
    <row r="4130" spans="1:48">
      <c r="A4130" s="1">
        <f>HYPERLINK("https://lsnyc.legalserver.org/matter/dynamic-profile/view/1911968","19-1911968")</f>
        <v>0</v>
      </c>
      <c r="B4130" t="s">
        <v>84</v>
      </c>
      <c r="C4130" t="s">
        <v>256</v>
      </c>
      <c r="D4130" t="s">
        <v>292</v>
      </c>
      <c r="F4130" t="s">
        <v>1628</v>
      </c>
      <c r="G4130" t="s">
        <v>3588</v>
      </c>
      <c r="H4130" t="s">
        <v>7590</v>
      </c>
      <c r="I4130" t="s">
        <v>8130</v>
      </c>
      <c r="J4130" t="s">
        <v>9059</v>
      </c>
      <c r="K4130">
        <v>11219</v>
      </c>
      <c r="L4130" t="s">
        <v>9094</v>
      </c>
      <c r="M4130" t="s">
        <v>9095</v>
      </c>
      <c r="O4130" t="s">
        <v>11130</v>
      </c>
      <c r="P4130" t="s">
        <v>11165</v>
      </c>
      <c r="R4130" t="s">
        <v>11180</v>
      </c>
      <c r="S4130" t="s">
        <v>9094</v>
      </c>
      <c r="T4130" t="s">
        <v>11183</v>
      </c>
      <c r="V4130" t="s">
        <v>636</v>
      </c>
      <c r="W4130">
        <v>0</v>
      </c>
      <c r="X4130" t="s">
        <v>11332</v>
      </c>
      <c r="Z4130" t="s">
        <v>14087</v>
      </c>
      <c r="AB4130" t="s">
        <v>18411</v>
      </c>
      <c r="AC4130">
        <v>20</v>
      </c>
      <c r="AF4130">
        <v>22</v>
      </c>
      <c r="AG4130">
        <v>4</v>
      </c>
      <c r="AH4130">
        <v>0</v>
      </c>
      <c r="AI4130">
        <v>152.89</v>
      </c>
      <c r="AL4130" t="s">
        <v>19614</v>
      </c>
      <c r="AM4130">
        <v>39368</v>
      </c>
      <c r="AS4130">
        <v>0</v>
      </c>
      <c r="AU4130" t="s">
        <v>215</v>
      </c>
      <c r="AV4130" t="s">
        <v>20733</v>
      </c>
    </row>
    <row r="4131" spans="1:48">
      <c r="A4131" s="1">
        <f>HYPERLINK("https://lsnyc.legalserver.org/matter/dynamic-profile/view/0795228","15-0795228")</f>
        <v>0</v>
      </c>
      <c r="B4131" t="s">
        <v>49</v>
      </c>
      <c r="C4131" t="s">
        <v>256</v>
      </c>
      <c r="D4131" t="s">
        <v>895</v>
      </c>
      <c r="F4131" t="s">
        <v>1146</v>
      </c>
      <c r="G4131" t="s">
        <v>3674</v>
      </c>
      <c r="H4131" t="s">
        <v>5736</v>
      </c>
      <c r="I4131" t="s">
        <v>8112</v>
      </c>
      <c r="J4131" t="s">
        <v>9055</v>
      </c>
      <c r="K4131">
        <v>11354</v>
      </c>
      <c r="L4131" t="s">
        <v>9094</v>
      </c>
      <c r="M4131" t="s">
        <v>9095</v>
      </c>
      <c r="N4131" t="s">
        <v>9717</v>
      </c>
      <c r="O4131" t="s">
        <v>11135</v>
      </c>
      <c r="P4131" t="s">
        <v>11168</v>
      </c>
      <c r="R4131" t="s">
        <v>11180</v>
      </c>
      <c r="T4131" t="s">
        <v>11183</v>
      </c>
      <c r="V4131" t="s">
        <v>11206</v>
      </c>
      <c r="W4131">
        <v>1408</v>
      </c>
      <c r="X4131" t="s">
        <v>11331</v>
      </c>
      <c r="Y4131" t="s">
        <v>11342</v>
      </c>
      <c r="Z4131" t="s">
        <v>14088</v>
      </c>
      <c r="AB4131" t="s">
        <v>18412</v>
      </c>
      <c r="AC4131">
        <v>175</v>
      </c>
      <c r="AD4131" t="s">
        <v>19566</v>
      </c>
      <c r="AE4131" t="s">
        <v>9144</v>
      </c>
      <c r="AF4131">
        <v>16</v>
      </c>
      <c r="AG4131">
        <v>1</v>
      </c>
      <c r="AH4131">
        <v>0</v>
      </c>
      <c r="AI4131">
        <v>152.93</v>
      </c>
      <c r="AL4131" t="s">
        <v>19615</v>
      </c>
      <c r="AM4131">
        <v>18000</v>
      </c>
      <c r="AS4131">
        <v>12.55</v>
      </c>
      <c r="AT4131" t="s">
        <v>448</v>
      </c>
      <c r="AU4131" t="s">
        <v>20621</v>
      </c>
    </row>
    <row r="4132" spans="1:48">
      <c r="A4132" s="1">
        <f>HYPERLINK("https://lsnyc.legalserver.org/matter/dynamic-profile/view/1892458","19-1892458")</f>
        <v>0</v>
      </c>
      <c r="B4132" t="s">
        <v>103</v>
      </c>
      <c r="C4132" t="s">
        <v>256</v>
      </c>
      <c r="D4132" t="s">
        <v>635</v>
      </c>
      <c r="F4132" t="s">
        <v>1171</v>
      </c>
      <c r="G4132" t="s">
        <v>4992</v>
      </c>
      <c r="H4132" t="s">
        <v>5887</v>
      </c>
      <c r="I4132" t="s">
        <v>8532</v>
      </c>
      <c r="J4132" t="s">
        <v>9065</v>
      </c>
      <c r="K4132">
        <v>10453</v>
      </c>
      <c r="L4132" t="s">
        <v>9094</v>
      </c>
      <c r="M4132" t="s">
        <v>9094</v>
      </c>
      <c r="O4132" t="s">
        <v>11134</v>
      </c>
      <c r="P4132" t="s">
        <v>11168</v>
      </c>
      <c r="R4132" t="s">
        <v>11180</v>
      </c>
      <c r="S4132" t="s">
        <v>9094</v>
      </c>
      <c r="T4132" t="s">
        <v>11183</v>
      </c>
      <c r="V4132" t="s">
        <v>512</v>
      </c>
      <c r="W4132">
        <v>985</v>
      </c>
      <c r="X4132" t="s">
        <v>11333</v>
      </c>
      <c r="Y4132" t="s">
        <v>11339</v>
      </c>
      <c r="Z4132" t="s">
        <v>14048</v>
      </c>
      <c r="AC4132">
        <v>170</v>
      </c>
      <c r="AD4132" t="s">
        <v>19566</v>
      </c>
      <c r="AE4132" t="s">
        <v>9144</v>
      </c>
      <c r="AF4132">
        <v>17</v>
      </c>
      <c r="AG4132">
        <v>3</v>
      </c>
      <c r="AH4132">
        <v>2</v>
      </c>
      <c r="AI4132">
        <v>152.96</v>
      </c>
      <c r="AL4132" t="s">
        <v>19614</v>
      </c>
      <c r="AM4132">
        <v>45000</v>
      </c>
      <c r="AS4132">
        <v>0.3</v>
      </c>
      <c r="AT4132" t="s">
        <v>414</v>
      </c>
      <c r="AU4132" t="s">
        <v>220</v>
      </c>
    </row>
    <row r="4133" spans="1:48">
      <c r="A4133" s="1">
        <f>HYPERLINK("https://lsnyc.legalserver.org/matter/dynamic-profile/view/1879356","18-1879356")</f>
        <v>0</v>
      </c>
      <c r="B4133" t="s">
        <v>138</v>
      </c>
      <c r="C4133" t="s">
        <v>257</v>
      </c>
      <c r="D4133" t="s">
        <v>306</v>
      </c>
      <c r="E4133" t="s">
        <v>1130</v>
      </c>
      <c r="F4133" t="s">
        <v>1256</v>
      </c>
      <c r="G4133" t="s">
        <v>3802</v>
      </c>
      <c r="H4133" t="s">
        <v>7591</v>
      </c>
      <c r="I4133" t="s">
        <v>8812</v>
      </c>
      <c r="J4133" t="s">
        <v>9067</v>
      </c>
      <c r="K4133">
        <v>10034</v>
      </c>
      <c r="L4133" t="s">
        <v>9094</v>
      </c>
      <c r="M4133" t="s">
        <v>9095</v>
      </c>
      <c r="N4133" t="s">
        <v>10630</v>
      </c>
      <c r="O4133" t="s">
        <v>11128</v>
      </c>
      <c r="P4133" t="s">
        <v>11164</v>
      </c>
      <c r="Q4133" t="s">
        <v>11172</v>
      </c>
      <c r="R4133" t="s">
        <v>11180</v>
      </c>
      <c r="S4133" t="s">
        <v>9096</v>
      </c>
      <c r="T4133" t="s">
        <v>11183</v>
      </c>
      <c r="V4133" t="s">
        <v>350</v>
      </c>
      <c r="W4133">
        <v>1039.15</v>
      </c>
      <c r="X4133" t="s">
        <v>11335</v>
      </c>
      <c r="Y4133" t="s">
        <v>11338</v>
      </c>
      <c r="Z4133" t="s">
        <v>14089</v>
      </c>
      <c r="AB4133" t="s">
        <v>18413</v>
      </c>
      <c r="AC4133">
        <v>46</v>
      </c>
      <c r="AD4133" t="s">
        <v>19566</v>
      </c>
      <c r="AE4133" t="s">
        <v>9144</v>
      </c>
      <c r="AF4133">
        <v>13</v>
      </c>
      <c r="AG4133">
        <v>2</v>
      </c>
      <c r="AH4133">
        <v>0</v>
      </c>
      <c r="AI4133">
        <v>153.1</v>
      </c>
      <c r="AL4133" t="s">
        <v>19615</v>
      </c>
      <c r="AM4133">
        <v>25200</v>
      </c>
      <c r="AS4133">
        <v>1.6</v>
      </c>
      <c r="AT4133" t="s">
        <v>350</v>
      </c>
      <c r="AU4133" t="s">
        <v>20658</v>
      </c>
      <c r="AV4133" t="s">
        <v>20733</v>
      </c>
    </row>
    <row r="4134" spans="1:48">
      <c r="A4134" s="1">
        <f>HYPERLINK("https://lsnyc.legalserver.org/matter/dynamic-profile/view/1838865","17-1838865")</f>
        <v>0</v>
      </c>
      <c r="B4134" t="s">
        <v>103</v>
      </c>
      <c r="C4134" t="s">
        <v>256</v>
      </c>
      <c r="D4134" t="s">
        <v>796</v>
      </c>
      <c r="F4134" t="s">
        <v>2260</v>
      </c>
      <c r="G4134" t="s">
        <v>4631</v>
      </c>
      <c r="H4134" t="s">
        <v>7246</v>
      </c>
      <c r="I4134" t="s">
        <v>8145</v>
      </c>
      <c r="J4134" t="s">
        <v>9065</v>
      </c>
      <c r="K4134">
        <v>10473</v>
      </c>
      <c r="L4134" t="s">
        <v>9094</v>
      </c>
      <c r="M4134" t="s">
        <v>9095</v>
      </c>
      <c r="N4134" t="s">
        <v>10468</v>
      </c>
      <c r="O4134" t="s">
        <v>11135</v>
      </c>
      <c r="P4134" t="s">
        <v>11168</v>
      </c>
      <c r="R4134" t="s">
        <v>11180</v>
      </c>
      <c r="S4134" t="s">
        <v>9094</v>
      </c>
      <c r="T4134" t="s">
        <v>11183</v>
      </c>
      <c r="V4134" t="s">
        <v>11223</v>
      </c>
      <c r="W4134">
        <v>778</v>
      </c>
      <c r="X4134" t="s">
        <v>11333</v>
      </c>
      <c r="Y4134" t="s">
        <v>11351</v>
      </c>
      <c r="Z4134" t="s">
        <v>14090</v>
      </c>
      <c r="AB4134" t="s">
        <v>18414</v>
      </c>
      <c r="AC4134">
        <v>976</v>
      </c>
      <c r="AD4134" t="s">
        <v>19566</v>
      </c>
      <c r="AE4134" t="s">
        <v>19587</v>
      </c>
      <c r="AF4134">
        <v>32</v>
      </c>
      <c r="AG4134">
        <v>1</v>
      </c>
      <c r="AH4134">
        <v>0</v>
      </c>
      <c r="AI4134">
        <v>153.13</v>
      </c>
      <c r="AJ4134" t="s">
        <v>936</v>
      </c>
      <c r="AL4134" t="s">
        <v>19614</v>
      </c>
      <c r="AM4134">
        <v>18468</v>
      </c>
      <c r="AS4134">
        <v>0</v>
      </c>
      <c r="AU4134" t="s">
        <v>20643</v>
      </c>
    </row>
    <row r="4135" spans="1:48">
      <c r="A4135" s="1">
        <f>HYPERLINK("https://lsnyc.legalserver.org/matter/dynamic-profile/view/0818505","16-0818505")</f>
        <v>0</v>
      </c>
      <c r="B4135" t="s">
        <v>135</v>
      </c>
      <c r="C4135" t="s">
        <v>256</v>
      </c>
      <c r="D4135" t="s">
        <v>1054</v>
      </c>
      <c r="F4135" t="s">
        <v>1264</v>
      </c>
      <c r="G4135" t="s">
        <v>5011</v>
      </c>
      <c r="H4135" t="s">
        <v>7592</v>
      </c>
      <c r="I4135">
        <v>3005</v>
      </c>
      <c r="J4135" t="s">
        <v>9067</v>
      </c>
      <c r="K4135">
        <v>10035</v>
      </c>
      <c r="L4135" t="s">
        <v>9095</v>
      </c>
      <c r="M4135" t="s">
        <v>9095</v>
      </c>
      <c r="N4135" t="s">
        <v>10631</v>
      </c>
      <c r="O4135" t="s">
        <v>11128</v>
      </c>
      <c r="P4135" t="s">
        <v>11165</v>
      </c>
      <c r="R4135" t="s">
        <v>11180</v>
      </c>
      <c r="S4135" t="s">
        <v>9096</v>
      </c>
      <c r="T4135" t="s">
        <v>11183</v>
      </c>
      <c r="V4135" t="s">
        <v>953</v>
      </c>
      <c r="W4135">
        <v>2057</v>
      </c>
      <c r="X4135" t="s">
        <v>11335</v>
      </c>
      <c r="Y4135" t="s">
        <v>11356</v>
      </c>
      <c r="Z4135" t="s">
        <v>14091</v>
      </c>
      <c r="AB4135" t="s">
        <v>18415</v>
      </c>
      <c r="AC4135">
        <v>208</v>
      </c>
      <c r="AD4135" t="s">
        <v>19567</v>
      </c>
      <c r="AE4135" t="s">
        <v>19580</v>
      </c>
      <c r="AF4135">
        <v>10</v>
      </c>
      <c r="AG4135">
        <v>1</v>
      </c>
      <c r="AH4135">
        <v>0</v>
      </c>
      <c r="AI4135">
        <v>153.2</v>
      </c>
      <c r="AL4135" t="s">
        <v>19614</v>
      </c>
      <c r="AM4135">
        <v>18200</v>
      </c>
      <c r="AS4135">
        <v>120.55</v>
      </c>
      <c r="AT4135" t="s">
        <v>301</v>
      </c>
      <c r="AU4135" t="s">
        <v>20663</v>
      </c>
    </row>
    <row r="4136" spans="1:48">
      <c r="A4136" s="1">
        <f>HYPERLINK("https://lsnyc.legalserver.org/matter/dynamic-profile/view/1872562","18-1872562")</f>
        <v>0</v>
      </c>
      <c r="B4136" t="s">
        <v>148</v>
      </c>
      <c r="C4136" t="s">
        <v>257</v>
      </c>
      <c r="D4136" t="s">
        <v>822</v>
      </c>
      <c r="E4136" t="s">
        <v>1130</v>
      </c>
      <c r="F4136" t="s">
        <v>1146</v>
      </c>
      <c r="G4136" t="s">
        <v>5012</v>
      </c>
      <c r="H4136" t="s">
        <v>7593</v>
      </c>
      <c r="I4136" t="s">
        <v>8364</v>
      </c>
      <c r="J4136" t="s">
        <v>9067</v>
      </c>
      <c r="K4136">
        <v>10029</v>
      </c>
      <c r="L4136" t="s">
        <v>9094</v>
      </c>
      <c r="M4136" t="s">
        <v>9094</v>
      </c>
      <c r="N4136" t="s">
        <v>10632</v>
      </c>
      <c r="O4136" t="s">
        <v>11129</v>
      </c>
      <c r="P4136" t="s">
        <v>11167</v>
      </c>
      <c r="Q4136" t="s">
        <v>11172</v>
      </c>
      <c r="R4136" t="s">
        <v>11180</v>
      </c>
      <c r="S4136" t="s">
        <v>9096</v>
      </c>
      <c r="T4136" t="s">
        <v>11183</v>
      </c>
      <c r="U4136" t="s">
        <v>11201</v>
      </c>
      <c r="V4136" t="s">
        <v>547</v>
      </c>
      <c r="W4136">
        <v>900</v>
      </c>
      <c r="X4136" t="s">
        <v>11335</v>
      </c>
      <c r="Y4136" t="s">
        <v>11348</v>
      </c>
      <c r="Z4136" t="s">
        <v>14092</v>
      </c>
      <c r="AB4136" t="s">
        <v>18416</v>
      </c>
      <c r="AC4136">
        <v>51</v>
      </c>
      <c r="AD4136" t="s">
        <v>19566</v>
      </c>
      <c r="AE4136" t="s">
        <v>9144</v>
      </c>
      <c r="AF4136">
        <v>26</v>
      </c>
      <c r="AG4136">
        <v>2</v>
      </c>
      <c r="AH4136">
        <v>0</v>
      </c>
      <c r="AI4136">
        <v>153.27</v>
      </c>
      <c r="AL4136" t="s">
        <v>19615</v>
      </c>
      <c r="AM4136">
        <v>25228</v>
      </c>
      <c r="AS4136">
        <v>4.7</v>
      </c>
      <c r="AT4136" t="s">
        <v>773</v>
      </c>
      <c r="AU4136" t="s">
        <v>20627</v>
      </c>
    </row>
    <row r="4137" spans="1:48">
      <c r="A4137" s="1">
        <f>HYPERLINK("https://lsnyc.legalserver.org/matter/dynamic-profile/view/1900604","19-1900604")</f>
        <v>0</v>
      </c>
      <c r="B4137" t="s">
        <v>113</v>
      </c>
      <c r="C4137" t="s">
        <v>256</v>
      </c>
      <c r="D4137" t="s">
        <v>283</v>
      </c>
      <c r="F4137" t="s">
        <v>1324</v>
      </c>
      <c r="G4137" t="s">
        <v>5013</v>
      </c>
      <c r="H4137" t="s">
        <v>5864</v>
      </c>
      <c r="I4137" t="s">
        <v>8217</v>
      </c>
      <c r="J4137" t="s">
        <v>9065</v>
      </c>
      <c r="K4137">
        <v>10460</v>
      </c>
      <c r="L4137" t="s">
        <v>9094</v>
      </c>
      <c r="M4137" t="s">
        <v>9095</v>
      </c>
      <c r="O4137" t="s">
        <v>9121</v>
      </c>
      <c r="P4137" t="s">
        <v>11166</v>
      </c>
      <c r="R4137" t="s">
        <v>11180</v>
      </c>
      <c r="S4137" t="s">
        <v>9094</v>
      </c>
      <c r="T4137" t="s">
        <v>11183</v>
      </c>
      <c r="V4137" t="s">
        <v>11218</v>
      </c>
      <c r="W4137">
        <v>970</v>
      </c>
      <c r="X4137" t="s">
        <v>11333</v>
      </c>
      <c r="Y4137" t="s">
        <v>11346</v>
      </c>
      <c r="Z4137" t="s">
        <v>14093</v>
      </c>
      <c r="AB4137" t="s">
        <v>18417</v>
      </c>
      <c r="AC4137">
        <v>168</v>
      </c>
      <c r="AD4137" t="s">
        <v>19566</v>
      </c>
      <c r="AE4137" t="s">
        <v>9144</v>
      </c>
      <c r="AF4137">
        <v>11</v>
      </c>
      <c r="AG4137">
        <v>1</v>
      </c>
      <c r="AH4137">
        <v>1</v>
      </c>
      <c r="AI4137">
        <v>153.45</v>
      </c>
      <c r="AL4137" t="s">
        <v>19614</v>
      </c>
      <c r="AM4137">
        <v>25948</v>
      </c>
      <c r="AS4137">
        <v>0.5</v>
      </c>
      <c r="AT4137" t="s">
        <v>632</v>
      </c>
      <c r="AU4137" t="s">
        <v>20642</v>
      </c>
      <c r="AV4137" t="s">
        <v>20733</v>
      </c>
    </row>
    <row r="4138" spans="1:48">
      <c r="A4138" s="1">
        <f>HYPERLINK("https://lsnyc.legalserver.org/matter/dynamic-profile/view/1889928","19-1889928")</f>
        <v>0</v>
      </c>
      <c r="B4138" t="s">
        <v>113</v>
      </c>
      <c r="C4138" t="s">
        <v>256</v>
      </c>
      <c r="D4138" t="s">
        <v>447</v>
      </c>
      <c r="F4138" t="s">
        <v>1324</v>
      </c>
      <c r="G4138" t="s">
        <v>5013</v>
      </c>
      <c r="H4138" t="s">
        <v>5864</v>
      </c>
      <c r="I4138" t="s">
        <v>8217</v>
      </c>
      <c r="J4138" t="s">
        <v>9065</v>
      </c>
      <c r="K4138">
        <v>10460</v>
      </c>
      <c r="L4138" t="s">
        <v>9094</v>
      </c>
      <c r="M4138" t="s">
        <v>9095</v>
      </c>
      <c r="O4138" t="s">
        <v>11129</v>
      </c>
      <c r="P4138" t="s">
        <v>11165</v>
      </c>
      <c r="R4138" t="s">
        <v>11180</v>
      </c>
      <c r="S4138" t="s">
        <v>9096</v>
      </c>
      <c r="T4138" t="s">
        <v>11183</v>
      </c>
      <c r="U4138" t="s">
        <v>11201</v>
      </c>
      <c r="V4138" t="s">
        <v>11218</v>
      </c>
      <c r="W4138">
        <v>970</v>
      </c>
      <c r="X4138" t="s">
        <v>11333</v>
      </c>
      <c r="Y4138" t="s">
        <v>11340</v>
      </c>
      <c r="Z4138" t="s">
        <v>14093</v>
      </c>
      <c r="AB4138" t="s">
        <v>18417</v>
      </c>
      <c r="AC4138">
        <v>168</v>
      </c>
      <c r="AD4138" t="s">
        <v>19566</v>
      </c>
      <c r="AE4138" t="s">
        <v>9144</v>
      </c>
      <c r="AF4138">
        <v>11</v>
      </c>
      <c r="AG4138">
        <v>1</v>
      </c>
      <c r="AH4138">
        <v>1</v>
      </c>
      <c r="AI4138">
        <v>153.45</v>
      </c>
      <c r="AL4138" t="s">
        <v>19614</v>
      </c>
      <c r="AM4138">
        <v>25948</v>
      </c>
      <c r="AN4138" t="s">
        <v>19999</v>
      </c>
      <c r="AS4138">
        <v>9.800000000000001</v>
      </c>
      <c r="AT4138" t="s">
        <v>493</v>
      </c>
      <c r="AU4138" t="s">
        <v>20647</v>
      </c>
      <c r="AV4138" t="s">
        <v>20733</v>
      </c>
    </row>
    <row r="4139" spans="1:48">
      <c r="A4139" s="1">
        <f>HYPERLINK("https://lsnyc.legalserver.org/matter/dynamic-profile/view/1900735","19-1900735")</f>
        <v>0</v>
      </c>
      <c r="B4139" t="s">
        <v>84</v>
      </c>
      <c r="C4139" t="s">
        <v>256</v>
      </c>
      <c r="D4139" t="s">
        <v>338</v>
      </c>
      <c r="F4139" t="s">
        <v>2626</v>
      </c>
      <c r="G4139" t="s">
        <v>4873</v>
      </c>
      <c r="H4139" t="s">
        <v>7429</v>
      </c>
      <c r="I4139">
        <v>8</v>
      </c>
      <c r="J4139" t="s">
        <v>9059</v>
      </c>
      <c r="K4139">
        <v>11226</v>
      </c>
      <c r="L4139" t="s">
        <v>9094</v>
      </c>
      <c r="M4139" t="s">
        <v>9095</v>
      </c>
      <c r="P4139" t="s">
        <v>11165</v>
      </c>
      <c r="R4139" t="s">
        <v>11180</v>
      </c>
      <c r="S4139" t="s">
        <v>9094</v>
      </c>
      <c r="T4139" t="s">
        <v>11183</v>
      </c>
      <c r="V4139" t="s">
        <v>338</v>
      </c>
      <c r="W4139">
        <v>763.86</v>
      </c>
      <c r="X4139" t="s">
        <v>11332</v>
      </c>
      <c r="Z4139" t="s">
        <v>13840</v>
      </c>
      <c r="AB4139" t="s">
        <v>18169</v>
      </c>
      <c r="AC4139">
        <v>0</v>
      </c>
      <c r="AF4139">
        <v>18</v>
      </c>
      <c r="AG4139">
        <v>3</v>
      </c>
      <c r="AH4139">
        <v>1</v>
      </c>
      <c r="AI4139">
        <v>153.48</v>
      </c>
      <c r="AL4139" t="s">
        <v>19614</v>
      </c>
      <c r="AM4139">
        <v>39520</v>
      </c>
      <c r="AS4139">
        <v>0</v>
      </c>
      <c r="AU4139" t="s">
        <v>215</v>
      </c>
    </row>
    <row r="4140" spans="1:48">
      <c r="A4140" s="1">
        <f>HYPERLINK("https://lsnyc.legalserver.org/matter/dynamic-profile/view/1908129","19-1908129")</f>
        <v>0</v>
      </c>
      <c r="B4140" t="s">
        <v>115</v>
      </c>
      <c r="C4140" t="s">
        <v>256</v>
      </c>
      <c r="D4140" t="s">
        <v>899</v>
      </c>
      <c r="F4140" t="s">
        <v>1450</v>
      </c>
      <c r="G4140" t="s">
        <v>3370</v>
      </c>
      <c r="H4140" t="s">
        <v>7594</v>
      </c>
      <c r="I4140" t="s">
        <v>8217</v>
      </c>
      <c r="J4140" t="s">
        <v>9065</v>
      </c>
      <c r="K4140">
        <v>10453</v>
      </c>
      <c r="L4140" t="s">
        <v>9094</v>
      </c>
      <c r="M4140" t="s">
        <v>9095</v>
      </c>
      <c r="N4140" t="s">
        <v>10633</v>
      </c>
      <c r="O4140" t="s">
        <v>11129</v>
      </c>
      <c r="P4140" t="s">
        <v>11164</v>
      </c>
      <c r="R4140" t="s">
        <v>11180</v>
      </c>
      <c r="S4140" t="s">
        <v>9096</v>
      </c>
      <c r="T4140" t="s">
        <v>11183</v>
      </c>
      <c r="U4140" t="s">
        <v>11201</v>
      </c>
      <c r="W4140">
        <v>890</v>
      </c>
      <c r="X4140" t="s">
        <v>11333</v>
      </c>
      <c r="Y4140" t="s">
        <v>11346</v>
      </c>
      <c r="Z4140" t="s">
        <v>14094</v>
      </c>
      <c r="AA4140" t="s">
        <v>15843</v>
      </c>
      <c r="AB4140" t="s">
        <v>18418</v>
      </c>
      <c r="AC4140">
        <v>56</v>
      </c>
      <c r="AD4140" t="s">
        <v>15441</v>
      </c>
      <c r="AE4140" t="s">
        <v>19587</v>
      </c>
      <c r="AF4140">
        <v>41</v>
      </c>
      <c r="AG4140">
        <v>5</v>
      </c>
      <c r="AH4140">
        <v>0</v>
      </c>
      <c r="AI4140">
        <v>153.56</v>
      </c>
      <c r="AL4140" t="s">
        <v>19615</v>
      </c>
      <c r="AM4140">
        <v>46328</v>
      </c>
      <c r="AS4140">
        <v>0.6</v>
      </c>
      <c r="AT4140" t="s">
        <v>377</v>
      </c>
      <c r="AU4140" t="s">
        <v>220</v>
      </c>
      <c r="AV4140" t="s">
        <v>20734</v>
      </c>
    </row>
    <row r="4141" spans="1:48">
      <c r="A4141" s="1">
        <f>HYPERLINK("https://lsnyc.legalserver.org/matter/dynamic-profile/view/1899221","19-1899221")</f>
        <v>0</v>
      </c>
      <c r="B4141" t="s">
        <v>113</v>
      </c>
      <c r="C4141" t="s">
        <v>256</v>
      </c>
      <c r="D4141" t="s">
        <v>486</v>
      </c>
      <c r="F4141" t="s">
        <v>1241</v>
      </c>
      <c r="G4141" t="s">
        <v>4829</v>
      </c>
      <c r="H4141" t="s">
        <v>5864</v>
      </c>
      <c r="I4141" t="s">
        <v>8263</v>
      </c>
      <c r="J4141" t="s">
        <v>9065</v>
      </c>
      <c r="K4141">
        <v>10460</v>
      </c>
      <c r="L4141" t="s">
        <v>9094</v>
      </c>
      <c r="M4141" t="s">
        <v>9095</v>
      </c>
      <c r="N4141" t="s">
        <v>10634</v>
      </c>
      <c r="O4141" t="s">
        <v>11128</v>
      </c>
      <c r="P4141" t="s">
        <v>11165</v>
      </c>
      <c r="R4141" t="s">
        <v>11180</v>
      </c>
      <c r="S4141" t="s">
        <v>9096</v>
      </c>
      <c r="T4141" t="s">
        <v>11183</v>
      </c>
      <c r="V4141" t="s">
        <v>11218</v>
      </c>
      <c r="W4141">
        <v>1967</v>
      </c>
      <c r="X4141" t="s">
        <v>11333</v>
      </c>
      <c r="Y4141" t="s">
        <v>11340</v>
      </c>
      <c r="Z4141" t="s">
        <v>13774</v>
      </c>
      <c r="AB4141" t="s">
        <v>18101</v>
      </c>
      <c r="AC4141">
        <v>0</v>
      </c>
      <c r="AD4141" t="s">
        <v>19566</v>
      </c>
      <c r="AE4141" t="s">
        <v>9144</v>
      </c>
      <c r="AF4141">
        <v>20</v>
      </c>
      <c r="AG4141">
        <v>1</v>
      </c>
      <c r="AH4141">
        <v>0</v>
      </c>
      <c r="AI4141">
        <v>153.72</v>
      </c>
      <c r="AL4141" t="s">
        <v>19614</v>
      </c>
      <c r="AM4141">
        <v>19200</v>
      </c>
      <c r="AS4141">
        <v>16</v>
      </c>
      <c r="AT4141" t="s">
        <v>404</v>
      </c>
      <c r="AU4141" t="s">
        <v>163</v>
      </c>
      <c r="AV4141" t="s">
        <v>20733</v>
      </c>
    </row>
    <row r="4142" spans="1:48">
      <c r="A4142" s="1">
        <f>HYPERLINK("https://lsnyc.legalserver.org/matter/dynamic-profile/view/1908794","19-1908794")</f>
        <v>0</v>
      </c>
      <c r="B4142" t="s">
        <v>126</v>
      </c>
      <c r="C4142" t="s">
        <v>256</v>
      </c>
      <c r="D4142" t="s">
        <v>481</v>
      </c>
      <c r="F4142" t="s">
        <v>2080</v>
      </c>
      <c r="G4142" t="s">
        <v>5014</v>
      </c>
      <c r="H4142" t="s">
        <v>7595</v>
      </c>
      <c r="I4142" t="s">
        <v>8124</v>
      </c>
      <c r="J4142" t="s">
        <v>9066</v>
      </c>
      <c r="K4142">
        <v>10301</v>
      </c>
      <c r="L4142" t="s">
        <v>9094</v>
      </c>
      <c r="M4142" t="s">
        <v>9095</v>
      </c>
      <c r="N4142" t="s">
        <v>9102</v>
      </c>
      <c r="O4142" t="s">
        <v>11128</v>
      </c>
      <c r="P4142" t="s">
        <v>11164</v>
      </c>
      <c r="R4142" t="s">
        <v>11180</v>
      </c>
      <c r="S4142" t="s">
        <v>9096</v>
      </c>
      <c r="T4142" t="s">
        <v>11183</v>
      </c>
      <c r="U4142" t="s">
        <v>11201</v>
      </c>
      <c r="V4142" t="s">
        <v>341</v>
      </c>
      <c r="W4142">
        <v>642</v>
      </c>
      <c r="X4142" t="s">
        <v>11334</v>
      </c>
      <c r="Y4142" t="s">
        <v>11352</v>
      </c>
      <c r="Z4142" t="s">
        <v>14095</v>
      </c>
      <c r="AB4142" t="s">
        <v>18419</v>
      </c>
      <c r="AC4142">
        <v>16</v>
      </c>
      <c r="AD4142" t="s">
        <v>19566</v>
      </c>
      <c r="AE4142" t="s">
        <v>9144</v>
      </c>
      <c r="AF4142">
        <v>7</v>
      </c>
      <c r="AG4142">
        <v>1</v>
      </c>
      <c r="AH4142">
        <v>0</v>
      </c>
      <c r="AI4142">
        <v>153.72</v>
      </c>
      <c r="AL4142" t="s">
        <v>19614</v>
      </c>
      <c r="AM4142">
        <v>19200</v>
      </c>
      <c r="AS4142">
        <v>2.95</v>
      </c>
      <c r="AT4142" t="s">
        <v>1063</v>
      </c>
      <c r="AU4142" t="s">
        <v>20640</v>
      </c>
      <c r="AV4142" t="s">
        <v>20733</v>
      </c>
    </row>
    <row r="4143" spans="1:48">
      <c r="A4143" s="1">
        <f>HYPERLINK("https://lsnyc.legalserver.org/matter/dynamic-profile/view/1908937","19-1908937")</f>
        <v>0</v>
      </c>
      <c r="B4143" t="s">
        <v>139</v>
      </c>
      <c r="C4143" t="s">
        <v>256</v>
      </c>
      <c r="D4143" t="s">
        <v>806</v>
      </c>
      <c r="F4143" t="s">
        <v>1362</v>
      </c>
      <c r="G4143" t="s">
        <v>5015</v>
      </c>
      <c r="H4143" t="s">
        <v>6653</v>
      </c>
      <c r="I4143" t="s">
        <v>8139</v>
      </c>
      <c r="J4143" t="s">
        <v>9067</v>
      </c>
      <c r="K4143">
        <v>10040</v>
      </c>
      <c r="L4143" t="s">
        <v>9094</v>
      </c>
      <c r="M4143" t="s">
        <v>9095</v>
      </c>
      <c r="O4143" t="s">
        <v>11130</v>
      </c>
      <c r="P4143" t="s">
        <v>11165</v>
      </c>
      <c r="R4143" t="s">
        <v>11180</v>
      </c>
      <c r="S4143" t="s">
        <v>9094</v>
      </c>
      <c r="T4143" t="s">
        <v>11183</v>
      </c>
      <c r="V4143" t="s">
        <v>806</v>
      </c>
      <c r="W4143">
        <v>854</v>
      </c>
      <c r="X4143" t="s">
        <v>11335</v>
      </c>
      <c r="Y4143" t="s">
        <v>11338</v>
      </c>
      <c r="Z4143" t="s">
        <v>14096</v>
      </c>
      <c r="AB4143" t="s">
        <v>18420</v>
      </c>
      <c r="AC4143">
        <v>77</v>
      </c>
      <c r="AD4143" t="s">
        <v>19566</v>
      </c>
      <c r="AE4143" t="s">
        <v>9144</v>
      </c>
      <c r="AF4143">
        <v>41</v>
      </c>
      <c r="AG4143">
        <v>1</v>
      </c>
      <c r="AH4143">
        <v>0</v>
      </c>
      <c r="AI4143">
        <v>153.72</v>
      </c>
      <c r="AL4143" t="s">
        <v>19615</v>
      </c>
      <c r="AM4143">
        <v>19200</v>
      </c>
      <c r="AS4143">
        <v>0.5</v>
      </c>
      <c r="AT4143" t="s">
        <v>669</v>
      </c>
      <c r="AU4143" t="s">
        <v>130</v>
      </c>
      <c r="AV4143" t="s">
        <v>20733</v>
      </c>
    </row>
    <row r="4144" spans="1:48">
      <c r="A4144" s="1">
        <f>HYPERLINK("https://lsnyc.legalserver.org/matter/dynamic-profile/view/1914230","19-1914230")</f>
        <v>0</v>
      </c>
      <c r="B4144" t="s">
        <v>135</v>
      </c>
      <c r="C4144" t="s">
        <v>256</v>
      </c>
      <c r="D4144" t="s">
        <v>496</v>
      </c>
      <c r="F4144" t="s">
        <v>2754</v>
      </c>
      <c r="G4144" t="s">
        <v>5016</v>
      </c>
      <c r="H4144" t="s">
        <v>7596</v>
      </c>
      <c r="I4144" t="s">
        <v>8813</v>
      </c>
      <c r="J4144" t="s">
        <v>9067</v>
      </c>
      <c r="K4144">
        <v>10037</v>
      </c>
      <c r="L4144" t="s">
        <v>9094</v>
      </c>
      <c r="M4144" t="s">
        <v>9095</v>
      </c>
      <c r="O4144" t="s">
        <v>11130</v>
      </c>
      <c r="P4144" t="s">
        <v>11169</v>
      </c>
      <c r="R4144" t="s">
        <v>11180</v>
      </c>
      <c r="S4144" t="s">
        <v>9094</v>
      </c>
      <c r="T4144" t="s">
        <v>11183</v>
      </c>
      <c r="U4144" t="s">
        <v>11201</v>
      </c>
      <c r="V4144" t="s">
        <v>301</v>
      </c>
      <c r="W4144">
        <v>849.86</v>
      </c>
      <c r="X4144" t="s">
        <v>11335</v>
      </c>
      <c r="Y4144" t="s">
        <v>11339</v>
      </c>
      <c r="Z4144" t="s">
        <v>14097</v>
      </c>
      <c r="AB4144" t="s">
        <v>18421</v>
      </c>
      <c r="AC4144">
        <v>259</v>
      </c>
      <c r="AD4144" t="s">
        <v>19566</v>
      </c>
      <c r="AE4144" t="s">
        <v>19587</v>
      </c>
      <c r="AF4144">
        <v>12</v>
      </c>
      <c r="AG4144">
        <v>1</v>
      </c>
      <c r="AH4144">
        <v>0</v>
      </c>
      <c r="AI4144">
        <v>153.72</v>
      </c>
      <c r="AL4144" t="s">
        <v>19614</v>
      </c>
      <c r="AM4144">
        <v>19200</v>
      </c>
      <c r="AS4144">
        <v>0</v>
      </c>
      <c r="AU4144" t="s">
        <v>20657</v>
      </c>
      <c r="AV4144" t="s">
        <v>20733</v>
      </c>
    </row>
    <row r="4145" spans="1:48">
      <c r="A4145" s="1">
        <f>HYPERLINK("https://lsnyc.legalserver.org/matter/dynamic-profile/view/1901440","19-1901440")</f>
        <v>0</v>
      </c>
      <c r="B4145" t="s">
        <v>137</v>
      </c>
      <c r="C4145" t="s">
        <v>256</v>
      </c>
      <c r="D4145" t="s">
        <v>559</v>
      </c>
      <c r="F4145" t="s">
        <v>1450</v>
      </c>
      <c r="G4145" t="s">
        <v>5017</v>
      </c>
      <c r="H4145" t="s">
        <v>7597</v>
      </c>
      <c r="I4145" t="s">
        <v>8266</v>
      </c>
      <c r="J4145" t="s">
        <v>9067</v>
      </c>
      <c r="K4145">
        <v>10034</v>
      </c>
      <c r="L4145" t="s">
        <v>9094</v>
      </c>
      <c r="M4145" t="s">
        <v>9095</v>
      </c>
      <c r="O4145" t="s">
        <v>11136</v>
      </c>
      <c r="P4145" t="s">
        <v>11169</v>
      </c>
      <c r="R4145" t="s">
        <v>11180</v>
      </c>
      <c r="S4145" t="s">
        <v>9096</v>
      </c>
      <c r="T4145" t="s">
        <v>11183</v>
      </c>
      <c r="V4145" t="s">
        <v>559</v>
      </c>
      <c r="W4145">
        <v>822.39</v>
      </c>
      <c r="X4145" t="s">
        <v>11335</v>
      </c>
      <c r="Y4145" t="s">
        <v>11338</v>
      </c>
      <c r="Z4145" t="s">
        <v>14098</v>
      </c>
      <c r="AB4145" t="s">
        <v>18422</v>
      </c>
      <c r="AC4145">
        <v>43</v>
      </c>
      <c r="AD4145" t="s">
        <v>19566</v>
      </c>
      <c r="AE4145" t="s">
        <v>9144</v>
      </c>
      <c r="AF4145">
        <v>3</v>
      </c>
      <c r="AG4145">
        <v>1</v>
      </c>
      <c r="AH4145">
        <v>0</v>
      </c>
      <c r="AI4145">
        <v>153.72</v>
      </c>
      <c r="AL4145" t="s">
        <v>19615</v>
      </c>
      <c r="AM4145">
        <v>19200</v>
      </c>
      <c r="AS4145">
        <v>41.45</v>
      </c>
      <c r="AT4145" t="s">
        <v>301</v>
      </c>
      <c r="AU4145" t="s">
        <v>130</v>
      </c>
      <c r="AV4145" t="s">
        <v>20733</v>
      </c>
    </row>
    <row r="4146" spans="1:48">
      <c r="A4146" s="1">
        <f>HYPERLINK("https://lsnyc.legalserver.org/matter/dynamic-profile/view/1909552","19-1909552")</f>
        <v>0</v>
      </c>
      <c r="B4146" t="s">
        <v>55</v>
      </c>
      <c r="C4146" t="s">
        <v>256</v>
      </c>
      <c r="D4146" t="s">
        <v>273</v>
      </c>
      <c r="F4146" t="s">
        <v>2755</v>
      </c>
      <c r="G4146" t="s">
        <v>5018</v>
      </c>
      <c r="H4146" t="s">
        <v>7598</v>
      </c>
      <c r="I4146" t="s">
        <v>8814</v>
      </c>
      <c r="J4146" t="s">
        <v>9043</v>
      </c>
      <c r="K4146">
        <v>11420</v>
      </c>
      <c r="L4146" t="s">
        <v>9095</v>
      </c>
      <c r="M4146" t="s">
        <v>9095</v>
      </c>
      <c r="N4146" t="s">
        <v>10635</v>
      </c>
      <c r="O4146" t="s">
        <v>11130</v>
      </c>
      <c r="P4146" t="s">
        <v>11164</v>
      </c>
      <c r="R4146" t="s">
        <v>11180</v>
      </c>
      <c r="S4146" t="s">
        <v>9096</v>
      </c>
      <c r="T4146" t="s">
        <v>11183</v>
      </c>
      <c r="W4146">
        <v>1080</v>
      </c>
      <c r="X4146" t="s">
        <v>11331</v>
      </c>
      <c r="Z4146" t="s">
        <v>14099</v>
      </c>
      <c r="AB4146" t="s">
        <v>18423</v>
      </c>
      <c r="AC4146">
        <v>3</v>
      </c>
      <c r="AF4146">
        <v>0</v>
      </c>
      <c r="AG4146">
        <v>2</v>
      </c>
      <c r="AH4146">
        <v>0</v>
      </c>
      <c r="AI4146">
        <v>153.76</v>
      </c>
      <c r="AL4146" t="s">
        <v>19614</v>
      </c>
      <c r="AM4146">
        <v>26000</v>
      </c>
      <c r="AS4146">
        <v>1.5</v>
      </c>
      <c r="AT4146" t="s">
        <v>273</v>
      </c>
      <c r="AU4146" t="s">
        <v>55</v>
      </c>
    </row>
    <row r="4147" spans="1:48">
      <c r="A4147" s="1">
        <f>HYPERLINK("https://lsnyc.legalserver.org/matter/dynamic-profile/view/1911427","19-1911427")</f>
        <v>0</v>
      </c>
      <c r="B4147" t="s">
        <v>57</v>
      </c>
      <c r="C4147" t="s">
        <v>256</v>
      </c>
      <c r="D4147" t="s">
        <v>832</v>
      </c>
      <c r="F4147" t="s">
        <v>1162</v>
      </c>
      <c r="G4147" t="s">
        <v>3354</v>
      </c>
      <c r="H4147" t="s">
        <v>5714</v>
      </c>
      <c r="I4147" t="s">
        <v>8815</v>
      </c>
      <c r="J4147" t="s">
        <v>9045</v>
      </c>
      <c r="K4147">
        <v>11416</v>
      </c>
      <c r="L4147" t="s">
        <v>9096</v>
      </c>
      <c r="M4147" t="s">
        <v>9095</v>
      </c>
      <c r="N4147" t="s">
        <v>10636</v>
      </c>
      <c r="O4147" t="s">
        <v>11128</v>
      </c>
      <c r="P4147" t="s">
        <v>11165</v>
      </c>
      <c r="R4147" t="s">
        <v>11181</v>
      </c>
      <c r="S4147" t="s">
        <v>9096</v>
      </c>
      <c r="T4147" t="s">
        <v>11183</v>
      </c>
      <c r="U4147" t="s">
        <v>11201</v>
      </c>
      <c r="V4147" t="s">
        <v>832</v>
      </c>
      <c r="W4147">
        <v>2300</v>
      </c>
      <c r="X4147" t="s">
        <v>11331</v>
      </c>
      <c r="Y4147" t="s">
        <v>11337</v>
      </c>
      <c r="Z4147" t="s">
        <v>14100</v>
      </c>
      <c r="AC4147">
        <v>3</v>
      </c>
      <c r="AD4147" t="s">
        <v>19565</v>
      </c>
      <c r="AF4147">
        <v>1</v>
      </c>
      <c r="AG4147">
        <v>1</v>
      </c>
      <c r="AH4147">
        <v>1</v>
      </c>
      <c r="AI4147">
        <v>153.76</v>
      </c>
      <c r="AJ4147" t="s">
        <v>19591</v>
      </c>
      <c r="AK4147" t="s">
        <v>19608</v>
      </c>
      <c r="AL4147" t="s">
        <v>19615</v>
      </c>
      <c r="AM4147">
        <v>26000</v>
      </c>
      <c r="AN4147" t="s">
        <v>20000</v>
      </c>
      <c r="AP4147" t="s">
        <v>11157</v>
      </c>
      <c r="AS4147">
        <v>6.3</v>
      </c>
      <c r="AT4147" t="s">
        <v>321</v>
      </c>
      <c r="AU4147" t="s">
        <v>57</v>
      </c>
      <c r="AV4147" t="s">
        <v>20733</v>
      </c>
    </row>
    <row r="4148" spans="1:48">
      <c r="A4148" s="1">
        <f>HYPERLINK("https://lsnyc.legalserver.org/matter/dynamic-profile/view/1894446","19-1894446")</f>
        <v>0</v>
      </c>
      <c r="B4148" t="s">
        <v>64</v>
      </c>
      <c r="C4148" t="s">
        <v>257</v>
      </c>
      <c r="D4148" t="s">
        <v>526</v>
      </c>
      <c r="E4148" t="s">
        <v>408</v>
      </c>
      <c r="F4148" t="s">
        <v>1523</v>
      </c>
      <c r="G4148" t="s">
        <v>3588</v>
      </c>
      <c r="H4148" t="s">
        <v>7599</v>
      </c>
      <c r="I4148" t="s">
        <v>8816</v>
      </c>
      <c r="J4148" t="s">
        <v>9059</v>
      </c>
      <c r="K4148">
        <v>11233</v>
      </c>
      <c r="L4148" t="s">
        <v>9094</v>
      </c>
      <c r="M4148" t="s">
        <v>9096</v>
      </c>
      <c r="N4148" t="s">
        <v>10637</v>
      </c>
      <c r="O4148" t="s">
        <v>11128</v>
      </c>
      <c r="P4148" t="s">
        <v>11165</v>
      </c>
      <c r="Q4148" t="s">
        <v>11174</v>
      </c>
      <c r="R4148" t="s">
        <v>11180</v>
      </c>
      <c r="S4148" t="s">
        <v>9096</v>
      </c>
      <c r="T4148" t="s">
        <v>11183</v>
      </c>
      <c r="V4148" t="s">
        <v>394</v>
      </c>
      <c r="W4148">
        <v>1365</v>
      </c>
      <c r="X4148" t="s">
        <v>11332</v>
      </c>
      <c r="Y4148" t="s">
        <v>11157</v>
      </c>
      <c r="Z4148" t="s">
        <v>14101</v>
      </c>
      <c r="AB4148" t="s">
        <v>18424</v>
      </c>
      <c r="AC4148">
        <v>8</v>
      </c>
      <c r="AD4148" t="s">
        <v>19566</v>
      </c>
      <c r="AE4148" t="s">
        <v>19580</v>
      </c>
      <c r="AF4148">
        <v>23</v>
      </c>
      <c r="AG4148">
        <v>2</v>
      </c>
      <c r="AH4148">
        <v>0</v>
      </c>
      <c r="AI4148">
        <v>153.76</v>
      </c>
      <c r="AL4148" t="s">
        <v>19615</v>
      </c>
      <c r="AM4148">
        <v>26000</v>
      </c>
      <c r="AP4148" t="s">
        <v>20326</v>
      </c>
      <c r="AQ4148" t="s">
        <v>20369</v>
      </c>
      <c r="AR4148" t="s">
        <v>20535</v>
      </c>
      <c r="AS4148">
        <v>7.7</v>
      </c>
      <c r="AT4148" t="s">
        <v>268</v>
      </c>
      <c r="AU4148" t="s">
        <v>79</v>
      </c>
      <c r="AV4148" t="s">
        <v>20733</v>
      </c>
    </row>
    <row r="4149" spans="1:48">
      <c r="A4149" s="1">
        <f>HYPERLINK("https://lsnyc.legalserver.org/matter/dynamic-profile/view/1913800","19-1913800")</f>
        <v>0</v>
      </c>
      <c r="B4149" t="s">
        <v>69</v>
      </c>
      <c r="C4149" t="s">
        <v>256</v>
      </c>
      <c r="D4149" t="s">
        <v>301</v>
      </c>
      <c r="F4149" t="s">
        <v>1249</v>
      </c>
      <c r="G4149" t="s">
        <v>5019</v>
      </c>
      <c r="H4149" t="s">
        <v>7600</v>
      </c>
      <c r="I4149" t="s">
        <v>8112</v>
      </c>
      <c r="J4149" t="s">
        <v>9059</v>
      </c>
      <c r="K4149">
        <v>11233</v>
      </c>
      <c r="L4149" t="s">
        <v>9094</v>
      </c>
      <c r="M4149" t="s">
        <v>9095</v>
      </c>
      <c r="N4149" t="s">
        <v>10638</v>
      </c>
      <c r="O4149" t="s">
        <v>11139</v>
      </c>
      <c r="R4149" t="s">
        <v>11180</v>
      </c>
      <c r="S4149" t="s">
        <v>9096</v>
      </c>
      <c r="T4149" t="s">
        <v>11184</v>
      </c>
      <c r="U4149" t="s">
        <v>11201</v>
      </c>
      <c r="W4149">
        <v>1052</v>
      </c>
      <c r="X4149" t="s">
        <v>11332</v>
      </c>
      <c r="Y4149" t="s">
        <v>11340</v>
      </c>
      <c r="Z4149" t="s">
        <v>14102</v>
      </c>
      <c r="AA4149" t="s">
        <v>9144</v>
      </c>
      <c r="AB4149" t="s">
        <v>18425</v>
      </c>
      <c r="AC4149">
        <v>12</v>
      </c>
      <c r="AD4149" t="s">
        <v>19566</v>
      </c>
      <c r="AE4149" t="s">
        <v>9144</v>
      </c>
      <c r="AF4149">
        <v>8</v>
      </c>
      <c r="AG4149">
        <v>2</v>
      </c>
      <c r="AH4149">
        <v>0</v>
      </c>
      <c r="AI4149">
        <v>153.76</v>
      </c>
      <c r="AL4149" t="s">
        <v>19614</v>
      </c>
      <c r="AM4149">
        <v>26000</v>
      </c>
      <c r="AN4149" t="s">
        <v>19735</v>
      </c>
      <c r="AS4149">
        <v>1.5</v>
      </c>
      <c r="AT4149" t="s">
        <v>632</v>
      </c>
      <c r="AU4149" t="s">
        <v>79</v>
      </c>
      <c r="AV4149" t="s">
        <v>20733</v>
      </c>
    </row>
    <row r="4150" spans="1:48">
      <c r="A4150" s="1">
        <f>HYPERLINK("https://lsnyc.legalserver.org/matter/dynamic-profile/view/1902614","19-1902614")</f>
        <v>0</v>
      </c>
      <c r="B4150" t="s">
        <v>62</v>
      </c>
      <c r="C4150" t="s">
        <v>257</v>
      </c>
      <c r="D4150" t="s">
        <v>327</v>
      </c>
      <c r="E4150" t="s">
        <v>328</v>
      </c>
      <c r="F4150" t="s">
        <v>1140</v>
      </c>
      <c r="G4150" t="s">
        <v>5020</v>
      </c>
      <c r="H4150" t="s">
        <v>6845</v>
      </c>
      <c r="I4150" t="s">
        <v>8197</v>
      </c>
      <c r="J4150" t="s">
        <v>9059</v>
      </c>
      <c r="K4150">
        <v>11233</v>
      </c>
      <c r="L4150" t="s">
        <v>9095</v>
      </c>
      <c r="M4150" t="s">
        <v>9095</v>
      </c>
      <c r="P4150" t="s">
        <v>11167</v>
      </c>
      <c r="Q4150" t="s">
        <v>11173</v>
      </c>
      <c r="R4150" t="s">
        <v>11180</v>
      </c>
      <c r="S4150" t="s">
        <v>9096</v>
      </c>
      <c r="T4150" t="s">
        <v>11183</v>
      </c>
      <c r="V4150" t="s">
        <v>760</v>
      </c>
      <c r="W4150">
        <v>1800</v>
      </c>
      <c r="X4150" t="s">
        <v>11332</v>
      </c>
      <c r="Z4150" t="s">
        <v>14103</v>
      </c>
      <c r="AB4150" t="s">
        <v>18426</v>
      </c>
      <c r="AC4150">
        <v>20</v>
      </c>
      <c r="AF4150">
        <v>3</v>
      </c>
      <c r="AG4150">
        <v>1</v>
      </c>
      <c r="AH4150">
        <v>1</v>
      </c>
      <c r="AI4150">
        <v>153.76</v>
      </c>
      <c r="AL4150" t="s">
        <v>19614</v>
      </c>
      <c r="AM4150">
        <v>26000</v>
      </c>
      <c r="AS4150">
        <v>3</v>
      </c>
      <c r="AT4150" t="s">
        <v>760</v>
      </c>
      <c r="AU4150" t="s">
        <v>20627</v>
      </c>
    </row>
    <row r="4151" spans="1:48">
      <c r="A4151" s="1">
        <f>HYPERLINK("https://lsnyc.legalserver.org/matter/dynamic-profile/view/1895234","19-1895234")</f>
        <v>0</v>
      </c>
      <c r="B4151" t="s">
        <v>52</v>
      </c>
      <c r="C4151" t="s">
        <v>256</v>
      </c>
      <c r="D4151" t="s">
        <v>278</v>
      </c>
      <c r="F4151" t="s">
        <v>2756</v>
      </c>
      <c r="G4151" t="s">
        <v>3511</v>
      </c>
      <c r="H4151" t="s">
        <v>7601</v>
      </c>
      <c r="J4151" t="s">
        <v>9063</v>
      </c>
      <c r="K4151">
        <v>11101</v>
      </c>
      <c r="L4151" t="s">
        <v>9094</v>
      </c>
      <c r="M4151" t="s">
        <v>9095</v>
      </c>
      <c r="N4151" t="s">
        <v>10639</v>
      </c>
      <c r="O4151" t="s">
        <v>11129</v>
      </c>
      <c r="P4151" t="s">
        <v>11165</v>
      </c>
      <c r="R4151" t="s">
        <v>11180</v>
      </c>
      <c r="S4151" t="s">
        <v>9096</v>
      </c>
      <c r="T4151" t="s">
        <v>11183</v>
      </c>
      <c r="U4151" t="s">
        <v>11199</v>
      </c>
      <c r="V4151" t="s">
        <v>512</v>
      </c>
      <c r="W4151">
        <v>2200</v>
      </c>
      <c r="X4151" t="s">
        <v>11331</v>
      </c>
      <c r="Y4151" t="s">
        <v>11157</v>
      </c>
      <c r="Z4151" t="s">
        <v>14104</v>
      </c>
      <c r="AA4151" t="s">
        <v>15274</v>
      </c>
      <c r="AB4151" t="s">
        <v>18427</v>
      </c>
      <c r="AC4151">
        <v>24</v>
      </c>
      <c r="AD4151" t="s">
        <v>15441</v>
      </c>
      <c r="AE4151" t="s">
        <v>9144</v>
      </c>
      <c r="AF4151">
        <v>2</v>
      </c>
      <c r="AG4151">
        <v>1</v>
      </c>
      <c r="AH4151">
        <v>1</v>
      </c>
      <c r="AI4151">
        <v>153.76</v>
      </c>
      <c r="AL4151" t="s">
        <v>19614</v>
      </c>
      <c r="AM4151">
        <v>26000</v>
      </c>
      <c r="AS4151">
        <v>17.95</v>
      </c>
      <c r="AT4151" t="s">
        <v>1130</v>
      </c>
      <c r="AU4151" t="s">
        <v>20622</v>
      </c>
    </row>
    <row r="4152" spans="1:48">
      <c r="A4152" s="1">
        <f>HYPERLINK("https://lsnyc.legalserver.org/matter/dynamic-profile/view/1901481","19-1901481")</f>
        <v>0</v>
      </c>
      <c r="B4152" t="s">
        <v>110</v>
      </c>
      <c r="C4152" t="s">
        <v>257</v>
      </c>
      <c r="D4152" t="s">
        <v>559</v>
      </c>
      <c r="E4152" t="s">
        <v>328</v>
      </c>
      <c r="F4152" t="s">
        <v>1358</v>
      </c>
      <c r="G4152" t="s">
        <v>5021</v>
      </c>
      <c r="H4152" t="s">
        <v>5876</v>
      </c>
      <c r="I4152">
        <v>315</v>
      </c>
      <c r="J4152" t="s">
        <v>9065</v>
      </c>
      <c r="K4152">
        <v>10457</v>
      </c>
      <c r="L4152" t="s">
        <v>9094</v>
      </c>
      <c r="M4152" t="s">
        <v>9095</v>
      </c>
      <c r="O4152" t="s">
        <v>9121</v>
      </c>
      <c r="P4152" t="s">
        <v>11167</v>
      </c>
      <c r="Q4152" t="s">
        <v>11173</v>
      </c>
      <c r="R4152" t="s">
        <v>11180</v>
      </c>
      <c r="S4152" t="s">
        <v>9096</v>
      </c>
      <c r="T4152" t="s">
        <v>11183</v>
      </c>
      <c r="V4152" t="s">
        <v>11218</v>
      </c>
      <c r="W4152">
        <v>1257</v>
      </c>
      <c r="X4152" t="s">
        <v>11333</v>
      </c>
      <c r="Y4152" t="s">
        <v>11346</v>
      </c>
      <c r="Z4152" t="s">
        <v>14105</v>
      </c>
      <c r="AC4152">
        <v>0</v>
      </c>
      <c r="AD4152" t="s">
        <v>19566</v>
      </c>
      <c r="AE4152" t="s">
        <v>9144</v>
      </c>
      <c r="AF4152">
        <v>8</v>
      </c>
      <c r="AG4152">
        <v>1</v>
      </c>
      <c r="AH4152">
        <v>1</v>
      </c>
      <c r="AI4152">
        <v>153.76</v>
      </c>
      <c r="AL4152" t="s">
        <v>19615</v>
      </c>
      <c r="AM4152">
        <v>26000</v>
      </c>
      <c r="AS4152">
        <v>1</v>
      </c>
      <c r="AT4152" t="s">
        <v>394</v>
      </c>
      <c r="AU4152" t="s">
        <v>110</v>
      </c>
      <c r="AV4152" t="s">
        <v>20733</v>
      </c>
    </row>
    <row r="4153" spans="1:48">
      <c r="A4153" s="1">
        <f>HYPERLINK("https://lsnyc.legalserver.org/matter/dynamic-profile/view/1891325","19-1891325")</f>
        <v>0</v>
      </c>
      <c r="B4153" t="s">
        <v>103</v>
      </c>
      <c r="C4153" t="s">
        <v>256</v>
      </c>
      <c r="D4153" t="s">
        <v>543</v>
      </c>
      <c r="F4153" t="s">
        <v>2560</v>
      </c>
      <c r="G4153" t="s">
        <v>4262</v>
      </c>
      <c r="H4153" t="s">
        <v>5887</v>
      </c>
      <c r="I4153" t="s">
        <v>8744</v>
      </c>
      <c r="J4153" t="s">
        <v>9065</v>
      </c>
      <c r="K4153">
        <v>10453</v>
      </c>
      <c r="L4153" t="s">
        <v>9094</v>
      </c>
      <c r="M4153" t="s">
        <v>9094</v>
      </c>
      <c r="O4153" t="s">
        <v>11134</v>
      </c>
      <c r="P4153" t="s">
        <v>11168</v>
      </c>
      <c r="R4153" t="s">
        <v>11180</v>
      </c>
      <c r="S4153" t="s">
        <v>9094</v>
      </c>
      <c r="T4153" t="s">
        <v>11183</v>
      </c>
      <c r="V4153" t="s">
        <v>512</v>
      </c>
      <c r="W4153">
        <v>781.77</v>
      </c>
      <c r="X4153" t="s">
        <v>11333</v>
      </c>
      <c r="Y4153" t="s">
        <v>11346</v>
      </c>
      <c r="Z4153" t="s">
        <v>13712</v>
      </c>
      <c r="AC4153">
        <v>170</v>
      </c>
      <c r="AD4153" t="s">
        <v>19566</v>
      </c>
      <c r="AF4153">
        <v>12</v>
      </c>
      <c r="AG4153">
        <v>1</v>
      </c>
      <c r="AH4153">
        <v>1</v>
      </c>
      <c r="AI4153">
        <v>153.76</v>
      </c>
      <c r="AL4153" t="s">
        <v>19615</v>
      </c>
      <c r="AM4153">
        <v>26000</v>
      </c>
      <c r="AS4153">
        <v>0</v>
      </c>
      <c r="AU4153" t="s">
        <v>158</v>
      </c>
    </row>
    <row r="4154" spans="1:48">
      <c r="A4154" s="1">
        <f>HYPERLINK("https://lsnyc.legalserver.org/matter/dynamic-profile/view/1905659","19-1905659")</f>
        <v>0</v>
      </c>
      <c r="B4154" t="s">
        <v>103</v>
      </c>
      <c r="C4154" t="s">
        <v>256</v>
      </c>
      <c r="D4154" t="s">
        <v>328</v>
      </c>
      <c r="F4154" t="s">
        <v>2560</v>
      </c>
      <c r="G4154" t="s">
        <v>4262</v>
      </c>
      <c r="H4154" t="s">
        <v>5887</v>
      </c>
      <c r="I4154" t="s">
        <v>8744</v>
      </c>
      <c r="J4154" t="s">
        <v>9065</v>
      </c>
      <c r="K4154">
        <v>10453</v>
      </c>
      <c r="L4154" t="s">
        <v>9094</v>
      </c>
      <c r="M4154" t="s">
        <v>9095</v>
      </c>
      <c r="N4154" t="s">
        <v>9240</v>
      </c>
      <c r="O4154" t="s">
        <v>11134</v>
      </c>
      <c r="P4154" t="s">
        <v>11168</v>
      </c>
      <c r="R4154" t="s">
        <v>11180</v>
      </c>
      <c r="S4154" t="s">
        <v>9094</v>
      </c>
      <c r="T4154" t="s">
        <v>11183</v>
      </c>
      <c r="V4154" t="s">
        <v>988</v>
      </c>
      <c r="W4154">
        <v>781.77</v>
      </c>
      <c r="X4154" t="s">
        <v>11333</v>
      </c>
      <c r="Y4154" t="s">
        <v>11346</v>
      </c>
      <c r="Z4154" t="s">
        <v>13712</v>
      </c>
      <c r="AC4154">
        <v>170</v>
      </c>
      <c r="AD4154" t="s">
        <v>19566</v>
      </c>
      <c r="AE4154" t="s">
        <v>9144</v>
      </c>
      <c r="AF4154">
        <v>12</v>
      </c>
      <c r="AG4154">
        <v>1</v>
      </c>
      <c r="AH4154">
        <v>1</v>
      </c>
      <c r="AI4154">
        <v>153.76</v>
      </c>
      <c r="AL4154" t="s">
        <v>19615</v>
      </c>
      <c r="AM4154">
        <v>26000</v>
      </c>
      <c r="AS4154">
        <v>0</v>
      </c>
      <c r="AU4154" t="s">
        <v>163</v>
      </c>
      <c r="AV4154" t="s">
        <v>20733</v>
      </c>
    </row>
    <row r="4155" spans="1:48">
      <c r="A4155" s="1">
        <f>HYPERLINK("https://lsnyc.legalserver.org/matter/dynamic-profile/view/1891294","19-1891294")</f>
        <v>0</v>
      </c>
      <c r="B4155" t="s">
        <v>103</v>
      </c>
      <c r="C4155" t="s">
        <v>256</v>
      </c>
      <c r="D4155" t="s">
        <v>543</v>
      </c>
      <c r="F4155" t="s">
        <v>2560</v>
      </c>
      <c r="G4155" t="s">
        <v>4262</v>
      </c>
      <c r="H4155" t="s">
        <v>5887</v>
      </c>
      <c r="I4155" t="s">
        <v>8744</v>
      </c>
      <c r="J4155" t="s">
        <v>9065</v>
      </c>
      <c r="K4155">
        <v>10453</v>
      </c>
      <c r="L4155" t="s">
        <v>9094</v>
      </c>
      <c r="M4155" t="s">
        <v>9094</v>
      </c>
      <c r="N4155" t="s">
        <v>9352</v>
      </c>
      <c r="O4155" t="s">
        <v>11130</v>
      </c>
      <c r="P4155" t="s">
        <v>11165</v>
      </c>
      <c r="R4155" t="s">
        <v>11180</v>
      </c>
      <c r="S4155" t="s">
        <v>9094</v>
      </c>
      <c r="T4155" t="s">
        <v>11183</v>
      </c>
      <c r="V4155" t="s">
        <v>512</v>
      </c>
      <c r="W4155">
        <v>781.77</v>
      </c>
      <c r="X4155" t="s">
        <v>11333</v>
      </c>
      <c r="Y4155" t="s">
        <v>11346</v>
      </c>
      <c r="Z4155" t="s">
        <v>13712</v>
      </c>
      <c r="AC4155">
        <v>170</v>
      </c>
      <c r="AD4155" t="s">
        <v>19566</v>
      </c>
      <c r="AF4155">
        <v>12</v>
      </c>
      <c r="AG4155">
        <v>1</v>
      </c>
      <c r="AH4155">
        <v>1</v>
      </c>
      <c r="AI4155">
        <v>153.76</v>
      </c>
      <c r="AL4155" t="s">
        <v>19615</v>
      </c>
      <c r="AM4155">
        <v>26000</v>
      </c>
      <c r="AS4155">
        <v>0</v>
      </c>
      <c r="AU4155" t="s">
        <v>158</v>
      </c>
    </row>
    <row r="4156" spans="1:48">
      <c r="A4156" s="1">
        <f>HYPERLINK("https://lsnyc.legalserver.org/matter/dynamic-profile/view/1894534","19-1894534")</f>
        <v>0</v>
      </c>
      <c r="B4156" t="s">
        <v>103</v>
      </c>
      <c r="C4156" t="s">
        <v>256</v>
      </c>
      <c r="D4156" t="s">
        <v>421</v>
      </c>
      <c r="F4156" t="s">
        <v>2757</v>
      </c>
      <c r="G4156" t="s">
        <v>3497</v>
      </c>
      <c r="H4156" t="s">
        <v>5887</v>
      </c>
      <c r="I4156" t="s">
        <v>8817</v>
      </c>
      <c r="J4156" t="s">
        <v>9065</v>
      </c>
      <c r="K4156">
        <v>10453</v>
      </c>
      <c r="L4156" t="s">
        <v>9094</v>
      </c>
      <c r="M4156" t="s">
        <v>9094</v>
      </c>
      <c r="N4156" t="s">
        <v>9352</v>
      </c>
      <c r="O4156" t="s">
        <v>11130</v>
      </c>
      <c r="P4156" t="s">
        <v>11165</v>
      </c>
      <c r="R4156" t="s">
        <v>11180</v>
      </c>
      <c r="S4156" t="s">
        <v>9094</v>
      </c>
      <c r="T4156" t="s">
        <v>11183</v>
      </c>
      <c r="V4156" t="s">
        <v>512</v>
      </c>
      <c r="W4156">
        <v>1070</v>
      </c>
      <c r="X4156" t="s">
        <v>11333</v>
      </c>
      <c r="Y4156" t="s">
        <v>11339</v>
      </c>
      <c r="Z4156" t="s">
        <v>13681</v>
      </c>
      <c r="AC4156">
        <v>170</v>
      </c>
      <c r="AD4156" t="s">
        <v>19566</v>
      </c>
      <c r="AE4156" t="s">
        <v>9144</v>
      </c>
      <c r="AF4156">
        <v>20</v>
      </c>
      <c r="AG4156">
        <v>2</v>
      </c>
      <c r="AH4156">
        <v>0</v>
      </c>
      <c r="AI4156">
        <v>153.76</v>
      </c>
      <c r="AL4156" t="s">
        <v>19614</v>
      </c>
      <c r="AM4156">
        <v>26000</v>
      </c>
      <c r="AS4156">
        <v>0</v>
      </c>
      <c r="AU4156" t="s">
        <v>220</v>
      </c>
    </row>
    <row r="4157" spans="1:48">
      <c r="A4157" s="1">
        <f>HYPERLINK("https://lsnyc.legalserver.org/matter/dynamic-profile/view/1892541","19-1892541")</f>
        <v>0</v>
      </c>
      <c r="B4157" t="s">
        <v>138</v>
      </c>
      <c r="C4157" t="s">
        <v>256</v>
      </c>
      <c r="D4157" t="s">
        <v>311</v>
      </c>
      <c r="F4157" t="s">
        <v>1381</v>
      </c>
      <c r="G4157" t="s">
        <v>5022</v>
      </c>
      <c r="H4157" t="s">
        <v>6093</v>
      </c>
      <c r="I4157">
        <v>33</v>
      </c>
      <c r="J4157" t="s">
        <v>9067</v>
      </c>
      <c r="K4157">
        <v>10034</v>
      </c>
      <c r="L4157" t="s">
        <v>9094</v>
      </c>
      <c r="M4157" t="s">
        <v>9094</v>
      </c>
      <c r="O4157" t="s">
        <v>11136</v>
      </c>
      <c r="P4157" t="s">
        <v>11167</v>
      </c>
      <c r="R4157" t="s">
        <v>11180</v>
      </c>
      <c r="S4157" t="s">
        <v>9096</v>
      </c>
      <c r="T4157" t="s">
        <v>11183</v>
      </c>
      <c r="V4157" t="s">
        <v>311</v>
      </c>
      <c r="W4157">
        <v>839</v>
      </c>
      <c r="X4157" t="s">
        <v>11335</v>
      </c>
      <c r="Y4157" t="s">
        <v>11340</v>
      </c>
      <c r="Z4157" t="s">
        <v>14106</v>
      </c>
      <c r="AB4157" t="s">
        <v>18428</v>
      </c>
      <c r="AC4157">
        <v>25</v>
      </c>
      <c r="AD4157" t="s">
        <v>19566</v>
      </c>
      <c r="AE4157" t="s">
        <v>9144</v>
      </c>
      <c r="AF4157">
        <v>20</v>
      </c>
      <c r="AG4157">
        <v>2</v>
      </c>
      <c r="AH4157">
        <v>0</v>
      </c>
      <c r="AI4157">
        <v>153.76</v>
      </c>
      <c r="AL4157" t="s">
        <v>19614</v>
      </c>
      <c r="AM4157">
        <v>26000</v>
      </c>
      <c r="AS4157">
        <v>16.2</v>
      </c>
      <c r="AT4157" t="s">
        <v>20597</v>
      </c>
      <c r="AU4157" t="s">
        <v>130</v>
      </c>
      <c r="AV4157" t="s">
        <v>20733</v>
      </c>
    </row>
    <row r="4158" spans="1:48">
      <c r="A4158" s="1">
        <f>HYPERLINK("https://lsnyc.legalserver.org/matter/dynamic-profile/view/1894028","19-1894028")</f>
        <v>0</v>
      </c>
      <c r="B4158" t="s">
        <v>99</v>
      </c>
      <c r="C4158" t="s">
        <v>256</v>
      </c>
      <c r="D4158" t="s">
        <v>413</v>
      </c>
      <c r="F4158" t="s">
        <v>2136</v>
      </c>
      <c r="G4158" t="s">
        <v>4299</v>
      </c>
      <c r="H4158" t="s">
        <v>7602</v>
      </c>
      <c r="I4158" t="s">
        <v>8270</v>
      </c>
      <c r="J4158" t="s">
        <v>9065</v>
      </c>
      <c r="K4158">
        <v>10455</v>
      </c>
      <c r="L4158" t="s">
        <v>9094</v>
      </c>
      <c r="M4158" t="s">
        <v>9094</v>
      </c>
      <c r="O4158" t="s">
        <v>9121</v>
      </c>
      <c r="P4158" t="s">
        <v>11164</v>
      </c>
      <c r="R4158" t="s">
        <v>11180</v>
      </c>
      <c r="S4158" t="s">
        <v>9096</v>
      </c>
      <c r="T4158" t="s">
        <v>11183</v>
      </c>
      <c r="V4158" t="s">
        <v>413</v>
      </c>
      <c r="W4158">
        <v>1007.33</v>
      </c>
      <c r="X4158" t="s">
        <v>11333</v>
      </c>
      <c r="Z4158" t="s">
        <v>14107</v>
      </c>
      <c r="AC4158">
        <v>52</v>
      </c>
      <c r="AD4158" t="s">
        <v>19566</v>
      </c>
      <c r="AE4158" t="s">
        <v>19580</v>
      </c>
      <c r="AF4158">
        <v>13</v>
      </c>
      <c r="AG4158">
        <v>4</v>
      </c>
      <c r="AH4158">
        <v>0</v>
      </c>
      <c r="AI4158">
        <v>153.79</v>
      </c>
      <c r="AL4158" t="s">
        <v>19615</v>
      </c>
      <c r="AM4158">
        <v>39600</v>
      </c>
      <c r="AS4158">
        <v>1.8</v>
      </c>
      <c r="AT4158" t="s">
        <v>664</v>
      </c>
      <c r="AU4158" t="s">
        <v>99</v>
      </c>
      <c r="AV4158" t="s">
        <v>20733</v>
      </c>
    </row>
    <row r="4159" spans="1:48">
      <c r="A4159" s="1">
        <f>HYPERLINK("https://lsnyc.legalserver.org/matter/dynamic-profile/view/1862582","18-1862582")</f>
        <v>0</v>
      </c>
      <c r="B4159" t="s">
        <v>101</v>
      </c>
      <c r="C4159" t="s">
        <v>257</v>
      </c>
      <c r="D4159" t="s">
        <v>576</v>
      </c>
      <c r="E4159" t="s">
        <v>551</v>
      </c>
      <c r="F4159" t="s">
        <v>1910</v>
      </c>
      <c r="G4159" t="s">
        <v>5023</v>
      </c>
      <c r="H4159" t="s">
        <v>5902</v>
      </c>
      <c r="I4159" t="s">
        <v>8223</v>
      </c>
      <c r="J4159" t="s">
        <v>9065</v>
      </c>
      <c r="K4159">
        <v>10452</v>
      </c>
      <c r="L4159" t="s">
        <v>9094</v>
      </c>
      <c r="M4159" t="s">
        <v>9095</v>
      </c>
      <c r="N4159" t="s">
        <v>9537</v>
      </c>
      <c r="O4159" t="s">
        <v>11130</v>
      </c>
      <c r="P4159" t="s">
        <v>11165</v>
      </c>
      <c r="Q4159" t="s">
        <v>11174</v>
      </c>
      <c r="R4159" t="s">
        <v>11180</v>
      </c>
      <c r="S4159" t="s">
        <v>9094</v>
      </c>
      <c r="T4159" t="s">
        <v>11183</v>
      </c>
      <c r="V4159" t="s">
        <v>874</v>
      </c>
      <c r="W4159">
        <v>1079</v>
      </c>
      <c r="X4159" t="s">
        <v>11333</v>
      </c>
      <c r="Y4159" t="s">
        <v>11346</v>
      </c>
      <c r="Z4159" t="s">
        <v>14108</v>
      </c>
      <c r="AA4159" t="s">
        <v>15844</v>
      </c>
      <c r="AB4159" t="s">
        <v>18429</v>
      </c>
      <c r="AC4159">
        <v>60</v>
      </c>
      <c r="AD4159" t="s">
        <v>19566</v>
      </c>
      <c r="AE4159" t="s">
        <v>9144</v>
      </c>
      <c r="AF4159">
        <v>4</v>
      </c>
      <c r="AG4159">
        <v>1</v>
      </c>
      <c r="AH4159">
        <v>2</v>
      </c>
      <c r="AI4159">
        <v>153.9</v>
      </c>
      <c r="AL4159" t="s">
        <v>19615</v>
      </c>
      <c r="AM4159">
        <v>31980</v>
      </c>
      <c r="AS4159">
        <v>0.5</v>
      </c>
      <c r="AT4159" t="s">
        <v>551</v>
      </c>
      <c r="AU4159" t="s">
        <v>20647</v>
      </c>
    </row>
    <row r="4160" spans="1:48">
      <c r="A4160" s="1">
        <f>HYPERLINK("https://lsnyc.legalserver.org/matter/dynamic-profile/view/1868767","18-1868767")</f>
        <v>0</v>
      </c>
      <c r="B4160" t="s">
        <v>101</v>
      </c>
      <c r="C4160" t="s">
        <v>257</v>
      </c>
      <c r="D4160" t="s">
        <v>678</v>
      </c>
      <c r="E4160" t="s">
        <v>415</v>
      </c>
      <c r="F4160" t="s">
        <v>1910</v>
      </c>
      <c r="G4160" t="s">
        <v>5023</v>
      </c>
      <c r="H4160" t="s">
        <v>5902</v>
      </c>
      <c r="I4160" t="s">
        <v>8223</v>
      </c>
      <c r="J4160" t="s">
        <v>9065</v>
      </c>
      <c r="K4160">
        <v>10452</v>
      </c>
      <c r="L4160" t="s">
        <v>9094</v>
      </c>
      <c r="M4160" t="s">
        <v>9095</v>
      </c>
      <c r="O4160" t="s">
        <v>9121</v>
      </c>
      <c r="P4160" t="s">
        <v>11166</v>
      </c>
      <c r="Q4160" t="s">
        <v>11178</v>
      </c>
      <c r="R4160" t="s">
        <v>11180</v>
      </c>
      <c r="S4160" t="s">
        <v>9094</v>
      </c>
      <c r="T4160" t="s">
        <v>11183</v>
      </c>
      <c r="V4160" t="s">
        <v>11295</v>
      </c>
      <c r="W4160">
        <v>1079</v>
      </c>
      <c r="X4160" t="s">
        <v>11333</v>
      </c>
      <c r="Y4160" t="s">
        <v>11347</v>
      </c>
      <c r="Z4160" t="s">
        <v>14108</v>
      </c>
      <c r="AA4160" t="s">
        <v>15845</v>
      </c>
      <c r="AB4160" t="s">
        <v>18429</v>
      </c>
      <c r="AC4160">
        <v>60</v>
      </c>
      <c r="AD4160" t="s">
        <v>19566</v>
      </c>
      <c r="AE4160" t="s">
        <v>9144</v>
      </c>
      <c r="AF4160">
        <v>4</v>
      </c>
      <c r="AG4160">
        <v>1</v>
      </c>
      <c r="AH4160">
        <v>2</v>
      </c>
      <c r="AI4160">
        <v>153.9</v>
      </c>
      <c r="AL4160" t="s">
        <v>19615</v>
      </c>
      <c r="AM4160">
        <v>31980</v>
      </c>
      <c r="AS4160">
        <v>0.3</v>
      </c>
      <c r="AT4160" t="s">
        <v>415</v>
      </c>
      <c r="AU4160" t="s">
        <v>20647</v>
      </c>
    </row>
    <row r="4161" spans="1:48">
      <c r="A4161" s="1">
        <f>HYPERLINK("https://lsnyc.legalserver.org/matter/dynamic-profile/view/1885956","18-1885956")</f>
        <v>0</v>
      </c>
      <c r="B4161" t="s">
        <v>113</v>
      </c>
      <c r="C4161" t="s">
        <v>257</v>
      </c>
      <c r="D4161" t="s">
        <v>1051</v>
      </c>
      <c r="E4161" t="s">
        <v>270</v>
      </c>
      <c r="F4161" t="s">
        <v>1146</v>
      </c>
      <c r="G4161" t="s">
        <v>4195</v>
      </c>
      <c r="H4161" t="s">
        <v>5864</v>
      </c>
      <c r="I4161" t="s">
        <v>8809</v>
      </c>
      <c r="J4161" t="s">
        <v>9065</v>
      </c>
      <c r="K4161">
        <v>10460</v>
      </c>
      <c r="L4161" t="s">
        <v>9094</v>
      </c>
      <c r="M4161" t="s">
        <v>9094</v>
      </c>
      <c r="N4161" t="s">
        <v>9222</v>
      </c>
      <c r="O4161" t="s">
        <v>11130</v>
      </c>
      <c r="P4161" t="s">
        <v>11165</v>
      </c>
      <c r="Q4161" t="s">
        <v>11174</v>
      </c>
      <c r="R4161" t="s">
        <v>11180</v>
      </c>
      <c r="S4161" t="s">
        <v>9094</v>
      </c>
      <c r="T4161" t="s">
        <v>11183</v>
      </c>
      <c r="V4161" t="s">
        <v>512</v>
      </c>
      <c r="W4161">
        <v>960</v>
      </c>
      <c r="X4161" t="s">
        <v>11333</v>
      </c>
      <c r="Y4161" t="s">
        <v>11346</v>
      </c>
      <c r="Z4161" t="s">
        <v>14058</v>
      </c>
      <c r="AB4161" t="s">
        <v>18384</v>
      </c>
      <c r="AC4161">
        <v>169</v>
      </c>
      <c r="AD4161" t="s">
        <v>19566</v>
      </c>
      <c r="AE4161" t="s">
        <v>9144</v>
      </c>
      <c r="AF4161">
        <v>25</v>
      </c>
      <c r="AG4161">
        <v>2</v>
      </c>
      <c r="AH4161">
        <v>0</v>
      </c>
      <c r="AI4161">
        <v>153.97</v>
      </c>
      <c r="AL4161" t="s">
        <v>19615</v>
      </c>
      <c r="AM4161">
        <v>25344</v>
      </c>
      <c r="AS4161">
        <v>0.25</v>
      </c>
      <c r="AT4161" t="s">
        <v>270</v>
      </c>
      <c r="AU4161" t="s">
        <v>158</v>
      </c>
    </row>
    <row r="4162" spans="1:48">
      <c r="A4162" s="1">
        <f>HYPERLINK("https://lsnyc.legalserver.org/matter/dynamic-profile/view/1902069","19-1902069")</f>
        <v>0</v>
      </c>
      <c r="B4162" t="s">
        <v>115</v>
      </c>
      <c r="C4162" t="s">
        <v>256</v>
      </c>
      <c r="D4162" t="s">
        <v>319</v>
      </c>
      <c r="F4162" t="s">
        <v>2758</v>
      </c>
      <c r="G4162" t="s">
        <v>5024</v>
      </c>
      <c r="H4162" t="s">
        <v>6051</v>
      </c>
      <c r="I4162" t="s">
        <v>8189</v>
      </c>
      <c r="J4162" t="s">
        <v>9065</v>
      </c>
      <c r="K4162">
        <v>10452</v>
      </c>
      <c r="L4162" t="s">
        <v>9094</v>
      </c>
      <c r="M4162" t="s">
        <v>9095</v>
      </c>
      <c r="O4162" t="s">
        <v>11134</v>
      </c>
      <c r="P4162" t="s">
        <v>11168</v>
      </c>
      <c r="R4162" t="s">
        <v>11180</v>
      </c>
      <c r="S4162" t="s">
        <v>9094</v>
      </c>
      <c r="T4162" t="s">
        <v>11183</v>
      </c>
      <c r="V4162" t="s">
        <v>11212</v>
      </c>
      <c r="W4162">
        <v>928.47</v>
      </c>
      <c r="X4162" t="s">
        <v>11333</v>
      </c>
      <c r="Y4162" t="s">
        <v>11346</v>
      </c>
      <c r="Z4162" t="s">
        <v>14109</v>
      </c>
      <c r="AB4162" t="s">
        <v>18430</v>
      </c>
      <c r="AC4162">
        <v>52</v>
      </c>
      <c r="AD4162" t="s">
        <v>19566</v>
      </c>
      <c r="AE4162" t="s">
        <v>9144</v>
      </c>
      <c r="AF4162">
        <v>27</v>
      </c>
      <c r="AG4162">
        <v>5</v>
      </c>
      <c r="AH4162">
        <v>0</v>
      </c>
      <c r="AI4162">
        <v>153.98</v>
      </c>
      <c r="AL4162" t="s">
        <v>19614</v>
      </c>
      <c r="AM4162">
        <v>46456</v>
      </c>
      <c r="AS4162">
        <v>1.2</v>
      </c>
      <c r="AT4162" t="s">
        <v>319</v>
      </c>
      <c r="AU4162" t="s">
        <v>174</v>
      </c>
      <c r="AV4162" t="s">
        <v>20733</v>
      </c>
    </row>
    <row r="4163" spans="1:48">
      <c r="A4163" s="1">
        <f>HYPERLINK("https://lsnyc.legalserver.org/matter/dynamic-profile/view/1885982","18-1885982")</f>
        <v>0</v>
      </c>
      <c r="B4163" t="s">
        <v>49</v>
      </c>
      <c r="C4163" t="s">
        <v>257</v>
      </c>
      <c r="D4163" t="s">
        <v>746</v>
      </c>
      <c r="E4163" t="s">
        <v>290</v>
      </c>
      <c r="F4163" t="s">
        <v>1148</v>
      </c>
      <c r="G4163" t="s">
        <v>3811</v>
      </c>
      <c r="H4163" t="s">
        <v>6688</v>
      </c>
      <c r="I4163" t="s">
        <v>8818</v>
      </c>
      <c r="J4163" t="s">
        <v>9038</v>
      </c>
      <c r="K4163">
        <v>11691</v>
      </c>
      <c r="L4163" t="s">
        <v>9094</v>
      </c>
      <c r="M4163" t="s">
        <v>9094</v>
      </c>
      <c r="N4163" t="s">
        <v>10640</v>
      </c>
      <c r="O4163" t="s">
        <v>11129</v>
      </c>
      <c r="P4163" t="s">
        <v>11165</v>
      </c>
      <c r="Q4163" t="s">
        <v>11174</v>
      </c>
      <c r="R4163" t="s">
        <v>11180</v>
      </c>
      <c r="S4163" t="s">
        <v>9096</v>
      </c>
      <c r="T4163" t="s">
        <v>11183</v>
      </c>
      <c r="U4163" t="s">
        <v>11201</v>
      </c>
      <c r="V4163" t="s">
        <v>746</v>
      </c>
      <c r="W4163">
        <v>780</v>
      </c>
      <c r="X4163" t="s">
        <v>11331</v>
      </c>
      <c r="Y4163" t="s">
        <v>11336</v>
      </c>
      <c r="Z4163" t="s">
        <v>14110</v>
      </c>
      <c r="AA4163" t="s">
        <v>9144</v>
      </c>
      <c r="AB4163" t="s">
        <v>18431</v>
      </c>
      <c r="AC4163">
        <v>72</v>
      </c>
      <c r="AD4163" t="s">
        <v>19567</v>
      </c>
      <c r="AE4163" t="s">
        <v>9144</v>
      </c>
      <c r="AF4163">
        <v>2</v>
      </c>
      <c r="AG4163">
        <v>1</v>
      </c>
      <c r="AH4163">
        <v>2</v>
      </c>
      <c r="AI4163">
        <v>153.99</v>
      </c>
      <c r="AL4163" t="s">
        <v>19614</v>
      </c>
      <c r="AM4163">
        <v>32000</v>
      </c>
      <c r="AO4163" t="s">
        <v>20290</v>
      </c>
      <c r="AP4163" t="s">
        <v>20309</v>
      </c>
      <c r="AQ4163" t="s">
        <v>20369</v>
      </c>
      <c r="AR4163" t="s">
        <v>20536</v>
      </c>
      <c r="AS4163">
        <v>3.6</v>
      </c>
      <c r="AT4163" t="s">
        <v>650</v>
      </c>
      <c r="AU4163" t="s">
        <v>20620</v>
      </c>
      <c r="AV4163" t="s">
        <v>20733</v>
      </c>
    </row>
    <row r="4164" spans="1:48">
      <c r="A4164" s="1">
        <f>HYPERLINK("https://lsnyc.legalserver.org/matter/dynamic-profile/view/1880078","18-1880078")</f>
        <v>0</v>
      </c>
      <c r="B4164" t="s">
        <v>83</v>
      </c>
      <c r="C4164" t="s">
        <v>256</v>
      </c>
      <c r="D4164" t="s">
        <v>699</v>
      </c>
      <c r="F4164" t="s">
        <v>1147</v>
      </c>
      <c r="G4164" t="s">
        <v>4625</v>
      </c>
      <c r="H4164" t="s">
        <v>6704</v>
      </c>
      <c r="I4164" t="s">
        <v>8229</v>
      </c>
      <c r="J4164" t="s">
        <v>9059</v>
      </c>
      <c r="K4164">
        <v>11225</v>
      </c>
      <c r="L4164" t="s">
        <v>9094</v>
      </c>
      <c r="M4164" t="s">
        <v>9094</v>
      </c>
      <c r="O4164" t="s">
        <v>11134</v>
      </c>
      <c r="P4164" t="s">
        <v>11168</v>
      </c>
      <c r="R4164" t="s">
        <v>11180</v>
      </c>
      <c r="T4164" t="s">
        <v>11183</v>
      </c>
      <c r="V4164" t="s">
        <v>700</v>
      </c>
      <c r="W4164">
        <v>813.54</v>
      </c>
      <c r="X4164" t="s">
        <v>11332</v>
      </c>
      <c r="Z4164" t="s">
        <v>14062</v>
      </c>
      <c r="AB4164" t="s">
        <v>18389</v>
      </c>
      <c r="AC4164">
        <v>8</v>
      </c>
      <c r="AF4164">
        <v>26</v>
      </c>
      <c r="AG4164">
        <v>3</v>
      </c>
      <c r="AH4164">
        <v>0</v>
      </c>
      <c r="AI4164">
        <v>153.99</v>
      </c>
      <c r="AL4164" t="s">
        <v>19614</v>
      </c>
      <c r="AM4164">
        <v>32000</v>
      </c>
      <c r="AS4164">
        <v>2.3</v>
      </c>
      <c r="AT4164" t="s">
        <v>784</v>
      </c>
      <c r="AU4164" t="s">
        <v>20633</v>
      </c>
      <c r="AV4164" t="s">
        <v>20733</v>
      </c>
    </row>
    <row r="4165" spans="1:48">
      <c r="A4165" s="1">
        <f>HYPERLINK("https://lsnyc.legalserver.org/matter/dynamic-profile/view/1862035","18-1862035")</f>
        <v>0</v>
      </c>
      <c r="B4165" t="s">
        <v>138</v>
      </c>
      <c r="C4165" t="s">
        <v>256</v>
      </c>
      <c r="D4165" t="s">
        <v>677</v>
      </c>
      <c r="F4165" t="s">
        <v>2201</v>
      </c>
      <c r="G4165" t="s">
        <v>3550</v>
      </c>
      <c r="H4165" t="s">
        <v>7603</v>
      </c>
      <c r="I4165" t="s">
        <v>8171</v>
      </c>
      <c r="J4165" t="s">
        <v>9067</v>
      </c>
      <c r="K4165">
        <v>10032</v>
      </c>
      <c r="L4165" t="s">
        <v>9094</v>
      </c>
      <c r="M4165" t="s">
        <v>9095</v>
      </c>
      <c r="O4165" t="s">
        <v>11136</v>
      </c>
      <c r="P4165" t="s">
        <v>11166</v>
      </c>
      <c r="R4165" t="s">
        <v>11180</v>
      </c>
      <c r="S4165" t="s">
        <v>9096</v>
      </c>
      <c r="T4165" t="s">
        <v>11183</v>
      </c>
      <c r="V4165" t="s">
        <v>677</v>
      </c>
      <c r="W4165">
        <v>247.5</v>
      </c>
      <c r="X4165" t="s">
        <v>11335</v>
      </c>
      <c r="Y4165" t="s">
        <v>11338</v>
      </c>
      <c r="Z4165" t="s">
        <v>14111</v>
      </c>
      <c r="AB4165" t="s">
        <v>18432</v>
      </c>
      <c r="AC4165">
        <v>28</v>
      </c>
      <c r="AD4165" t="s">
        <v>19566</v>
      </c>
      <c r="AE4165" t="s">
        <v>9144</v>
      </c>
      <c r="AF4165">
        <v>30</v>
      </c>
      <c r="AG4165">
        <v>1</v>
      </c>
      <c r="AH4165">
        <v>0</v>
      </c>
      <c r="AI4165">
        <v>154</v>
      </c>
      <c r="AL4165" t="s">
        <v>19615</v>
      </c>
      <c r="AM4165">
        <v>18696</v>
      </c>
      <c r="AS4165">
        <v>5.1</v>
      </c>
      <c r="AT4165" t="s">
        <v>609</v>
      </c>
      <c r="AU4165" t="s">
        <v>130</v>
      </c>
      <c r="AV4165" t="s">
        <v>20733</v>
      </c>
    </row>
    <row r="4166" spans="1:48">
      <c r="A4166" s="1">
        <f>HYPERLINK("https://lsnyc.legalserver.org/matter/dynamic-profile/view/0796758","16-0796758")</f>
        <v>0</v>
      </c>
      <c r="B4166" t="s">
        <v>108</v>
      </c>
      <c r="C4166" t="s">
        <v>256</v>
      </c>
      <c r="D4166" t="s">
        <v>811</v>
      </c>
      <c r="F4166" t="s">
        <v>1552</v>
      </c>
      <c r="G4166" t="s">
        <v>3249</v>
      </c>
      <c r="H4166" t="s">
        <v>5897</v>
      </c>
      <c r="I4166" t="s">
        <v>8811</v>
      </c>
      <c r="J4166" t="s">
        <v>9065</v>
      </c>
      <c r="K4166">
        <v>10452</v>
      </c>
      <c r="L4166" t="s">
        <v>9094</v>
      </c>
      <c r="M4166" t="s">
        <v>9095</v>
      </c>
      <c r="N4166" t="s">
        <v>9250</v>
      </c>
      <c r="O4166" t="s">
        <v>11132</v>
      </c>
      <c r="P4166" t="s">
        <v>11165</v>
      </c>
      <c r="R4166" t="s">
        <v>11180</v>
      </c>
      <c r="S4166" t="s">
        <v>9094</v>
      </c>
      <c r="T4166" t="s">
        <v>11183</v>
      </c>
      <c r="V4166" t="s">
        <v>364</v>
      </c>
      <c r="W4166">
        <v>914.08</v>
      </c>
      <c r="X4166" t="s">
        <v>11333</v>
      </c>
      <c r="Y4166" t="s">
        <v>11346</v>
      </c>
      <c r="Z4166" t="s">
        <v>14072</v>
      </c>
      <c r="AB4166" t="s">
        <v>18399</v>
      </c>
      <c r="AC4166">
        <v>122</v>
      </c>
      <c r="AD4166" t="s">
        <v>19566</v>
      </c>
      <c r="AF4166">
        <v>12</v>
      </c>
      <c r="AG4166">
        <v>1</v>
      </c>
      <c r="AH4166">
        <v>0</v>
      </c>
      <c r="AI4166">
        <v>154.63</v>
      </c>
      <c r="AL4166" t="s">
        <v>19614</v>
      </c>
      <c r="AM4166">
        <v>18200</v>
      </c>
      <c r="AS4166">
        <v>0.1</v>
      </c>
      <c r="AT4166" t="s">
        <v>1000</v>
      </c>
      <c r="AU4166" t="s">
        <v>109</v>
      </c>
    </row>
    <row r="4167" spans="1:48">
      <c r="A4167" s="1">
        <f>HYPERLINK("https://lsnyc.legalserver.org/matter/dynamic-profile/view/1911493","19-1911493")</f>
        <v>0</v>
      </c>
      <c r="B4167" t="s">
        <v>141</v>
      </c>
      <c r="C4167" t="s">
        <v>256</v>
      </c>
      <c r="D4167" t="s">
        <v>362</v>
      </c>
      <c r="F4167" t="s">
        <v>2686</v>
      </c>
      <c r="G4167" t="s">
        <v>4611</v>
      </c>
      <c r="H4167" t="s">
        <v>5999</v>
      </c>
      <c r="I4167" t="s">
        <v>8212</v>
      </c>
      <c r="J4167" t="s">
        <v>9067</v>
      </c>
      <c r="K4167">
        <v>10040</v>
      </c>
      <c r="L4167" t="s">
        <v>9094</v>
      </c>
      <c r="M4167" t="s">
        <v>9095</v>
      </c>
      <c r="O4167" t="s">
        <v>11132</v>
      </c>
      <c r="P4167" t="s">
        <v>11165</v>
      </c>
      <c r="R4167" t="s">
        <v>11180</v>
      </c>
      <c r="S4167" t="s">
        <v>9094</v>
      </c>
      <c r="T4167" t="s">
        <v>11183</v>
      </c>
      <c r="V4167" t="s">
        <v>362</v>
      </c>
      <c r="W4167">
        <v>983.6</v>
      </c>
      <c r="X4167" t="s">
        <v>11335</v>
      </c>
      <c r="Y4167" t="s">
        <v>11340</v>
      </c>
      <c r="Z4167" t="s">
        <v>13293</v>
      </c>
      <c r="AB4167" t="s">
        <v>18433</v>
      </c>
      <c r="AC4167">
        <v>44</v>
      </c>
      <c r="AD4167" t="s">
        <v>19566</v>
      </c>
      <c r="AE4167" t="s">
        <v>19587</v>
      </c>
      <c r="AF4167">
        <v>25</v>
      </c>
      <c r="AG4167">
        <v>2</v>
      </c>
      <c r="AH4167">
        <v>0</v>
      </c>
      <c r="AI4167">
        <v>154.68</v>
      </c>
      <c r="AL4167" t="s">
        <v>19615</v>
      </c>
      <c r="AM4167">
        <v>26156</v>
      </c>
      <c r="AS4167">
        <v>0.1</v>
      </c>
      <c r="AT4167" t="s">
        <v>292</v>
      </c>
      <c r="AU4167" t="s">
        <v>130</v>
      </c>
      <c r="AV4167" t="s">
        <v>20733</v>
      </c>
    </row>
    <row r="4168" spans="1:48">
      <c r="A4168" s="1">
        <f>HYPERLINK("https://lsnyc.legalserver.org/matter/dynamic-profile/view/1911615","19-1911615")</f>
        <v>0</v>
      </c>
      <c r="B4168" t="s">
        <v>141</v>
      </c>
      <c r="C4168" t="s">
        <v>256</v>
      </c>
      <c r="D4168" t="s">
        <v>728</v>
      </c>
      <c r="F4168" t="s">
        <v>2686</v>
      </c>
      <c r="G4168" t="s">
        <v>4611</v>
      </c>
      <c r="H4168" t="s">
        <v>5999</v>
      </c>
      <c r="I4168" t="s">
        <v>8212</v>
      </c>
      <c r="J4168" t="s">
        <v>9067</v>
      </c>
      <c r="K4168">
        <v>10040</v>
      </c>
      <c r="L4168" t="s">
        <v>9094</v>
      </c>
      <c r="M4168" t="s">
        <v>9095</v>
      </c>
      <c r="O4168" t="s">
        <v>11134</v>
      </c>
      <c r="P4168" t="s">
        <v>11165</v>
      </c>
      <c r="R4168" t="s">
        <v>11180</v>
      </c>
      <c r="S4168" t="s">
        <v>9094</v>
      </c>
      <c r="T4168" t="s">
        <v>11183</v>
      </c>
      <c r="V4168" t="s">
        <v>728</v>
      </c>
      <c r="W4168">
        <v>983.6</v>
      </c>
      <c r="X4168" t="s">
        <v>11335</v>
      </c>
      <c r="Y4168" t="s">
        <v>11340</v>
      </c>
      <c r="Z4168" t="s">
        <v>13293</v>
      </c>
      <c r="AB4168" t="s">
        <v>18433</v>
      </c>
      <c r="AC4168">
        <v>44</v>
      </c>
      <c r="AD4168" t="s">
        <v>19566</v>
      </c>
      <c r="AE4168" t="s">
        <v>9144</v>
      </c>
      <c r="AF4168">
        <v>25</v>
      </c>
      <c r="AG4168">
        <v>2</v>
      </c>
      <c r="AH4168">
        <v>0</v>
      </c>
      <c r="AI4168">
        <v>154.68</v>
      </c>
      <c r="AL4168" t="s">
        <v>19615</v>
      </c>
      <c r="AM4168">
        <v>26156</v>
      </c>
      <c r="AS4168">
        <v>0</v>
      </c>
      <c r="AU4168" t="s">
        <v>130</v>
      </c>
      <c r="AV4168" t="s">
        <v>20733</v>
      </c>
    </row>
    <row r="4169" spans="1:48">
      <c r="A4169" s="1">
        <f>HYPERLINK("https://lsnyc.legalserver.org/matter/dynamic-profile/view/1912470","19-1912470")</f>
        <v>0</v>
      </c>
      <c r="B4169" t="s">
        <v>141</v>
      </c>
      <c r="C4169" t="s">
        <v>257</v>
      </c>
      <c r="D4169" t="s">
        <v>744</v>
      </c>
      <c r="E4169" t="s">
        <v>594</v>
      </c>
      <c r="F4169" t="s">
        <v>2686</v>
      </c>
      <c r="G4169" t="s">
        <v>4611</v>
      </c>
      <c r="H4169" t="s">
        <v>5999</v>
      </c>
      <c r="I4169" t="s">
        <v>8212</v>
      </c>
      <c r="J4169" t="s">
        <v>9067</v>
      </c>
      <c r="K4169">
        <v>10040</v>
      </c>
      <c r="L4169" t="s">
        <v>9094</v>
      </c>
      <c r="M4169" t="s">
        <v>9095</v>
      </c>
      <c r="N4169" t="s">
        <v>9652</v>
      </c>
      <c r="O4169" t="s">
        <v>11134</v>
      </c>
      <c r="P4169" t="s">
        <v>11165</v>
      </c>
      <c r="Q4169" t="s">
        <v>11177</v>
      </c>
      <c r="R4169" t="s">
        <v>11180</v>
      </c>
      <c r="S4169" t="s">
        <v>9094</v>
      </c>
      <c r="T4169" t="s">
        <v>11183</v>
      </c>
      <c r="V4169" t="s">
        <v>744</v>
      </c>
      <c r="W4169">
        <v>1231.45</v>
      </c>
      <c r="X4169" t="s">
        <v>11335</v>
      </c>
      <c r="Y4169" t="s">
        <v>11339</v>
      </c>
      <c r="Z4169" t="s">
        <v>13293</v>
      </c>
      <c r="AB4169" t="s">
        <v>18433</v>
      </c>
      <c r="AC4169">
        <v>44</v>
      </c>
      <c r="AD4169" t="s">
        <v>19566</v>
      </c>
      <c r="AE4169" t="s">
        <v>9144</v>
      </c>
      <c r="AF4169">
        <v>13</v>
      </c>
      <c r="AG4169">
        <v>2</v>
      </c>
      <c r="AH4169">
        <v>0</v>
      </c>
      <c r="AI4169">
        <v>154.68</v>
      </c>
      <c r="AL4169" t="s">
        <v>19615</v>
      </c>
      <c r="AM4169">
        <v>26156</v>
      </c>
      <c r="AS4169">
        <v>0.1</v>
      </c>
      <c r="AT4169" t="s">
        <v>594</v>
      </c>
      <c r="AU4169" t="s">
        <v>130</v>
      </c>
      <c r="AV4169" t="s">
        <v>20733</v>
      </c>
    </row>
    <row r="4170" spans="1:48">
      <c r="A4170" s="1">
        <f>HYPERLINK("https://lsnyc.legalserver.org/matter/dynamic-profile/view/1904076","19-1904076")</f>
        <v>0</v>
      </c>
      <c r="B4170" t="s">
        <v>174</v>
      </c>
      <c r="C4170" t="s">
        <v>257</v>
      </c>
      <c r="D4170" t="s">
        <v>750</v>
      </c>
      <c r="E4170" t="s">
        <v>370</v>
      </c>
      <c r="F4170" t="s">
        <v>2759</v>
      </c>
      <c r="G4170" t="s">
        <v>3677</v>
      </c>
      <c r="H4170" t="s">
        <v>6311</v>
      </c>
      <c r="I4170" t="s">
        <v>8229</v>
      </c>
      <c r="J4170" t="s">
        <v>9065</v>
      </c>
      <c r="K4170">
        <v>10452</v>
      </c>
      <c r="L4170" t="s">
        <v>9094</v>
      </c>
      <c r="M4170" t="s">
        <v>9095</v>
      </c>
      <c r="O4170" t="s">
        <v>9121</v>
      </c>
      <c r="P4170" t="s">
        <v>11167</v>
      </c>
      <c r="Q4170" t="s">
        <v>11172</v>
      </c>
      <c r="R4170" t="s">
        <v>11180</v>
      </c>
      <c r="S4170" t="s">
        <v>9096</v>
      </c>
      <c r="T4170" t="s">
        <v>11183</v>
      </c>
      <c r="V4170" t="s">
        <v>11218</v>
      </c>
      <c r="W4170">
        <v>1637.27</v>
      </c>
      <c r="X4170" t="s">
        <v>11333</v>
      </c>
      <c r="Y4170" t="s">
        <v>11346</v>
      </c>
      <c r="Z4170" t="s">
        <v>12633</v>
      </c>
      <c r="AB4170" t="s">
        <v>18434</v>
      </c>
      <c r="AC4170">
        <v>0</v>
      </c>
      <c r="AD4170" t="s">
        <v>19566</v>
      </c>
      <c r="AE4170" t="s">
        <v>9144</v>
      </c>
      <c r="AF4170">
        <v>11</v>
      </c>
      <c r="AG4170">
        <v>3</v>
      </c>
      <c r="AH4170">
        <v>0</v>
      </c>
      <c r="AI4170">
        <v>154.71</v>
      </c>
      <c r="AL4170" t="s">
        <v>19615</v>
      </c>
      <c r="AM4170">
        <v>33000</v>
      </c>
      <c r="AS4170">
        <v>3.4</v>
      </c>
      <c r="AT4170" t="s">
        <v>370</v>
      </c>
      <c r="AU4170" t="s">
        <v>174</v>
      </c>
      <c r="AV4170" t="s">
        <v>20733</v>
      </c>
    </row>
    <row r="4171" spans="1:48">
      <c r="A4171" s="1">
        <f>HYPERLINK("https://lsnyc.legalserver.org/matter/dynamic-profile/view/1904333","19-1904333")</f>
        <v>0</v>
      </c>
      <c r="B4171" t="s">
        <v>137</v>
      </c>
      <c r="C4171" t="s">
        <v>256</v>
      </c>
      <c r="D4171" t="s">
        <v>265</v>
      </c>
      <c r="F4171" t="s">
        <v>1457</v>
      </c>
      <c r="G4171" t="s">
        <v>4839</v>
      </c>
      <c r="H4171" t="s">
        <v>7604</v>
      </c>
      <c r="I4171">
        <v>55</v>
      </c>
      <c r="J4171" t="s">
        <v>9067</v>
      </c>
      <c r="K4171">
        <v>10034</v>
      </c>
      <c r="L4171" t="s">
        <v>9094</v>
      </c>
      <c r="M4171" t="s">
        <v>9095</v>
      </c>
      <c r="O4171" t="s">
        <v>11136</v>
      </c>
      <c r="P4171" t="s">
        <v>11169</v>
      </c>
      <c r="R4171" t="s">
        <v>11180</v>
      </c>
      <c r="S4171" t="s">
        <v>9096</v>
      </c>
      <c r="T4171" t="s">
        <v>11183</v>
      </c>
      <c r="V4171" t="s">
        <v>265</v>
      </c>
      <c r="W4171">
        <v>1408.53</v>
      </c>
      <c r="X4171" t="s">
        <v>11335</v>
      </c>
      <c r="Y4171" t="s">
        <v>11338</v>
      </c>
      <c r="Z4171" t="s">
        <v>14112</v>
      </c>
      <c r="AB4171" t="s">
        <v>18435</v>
      </c>
      <c r="AC4171">
        <v>50</v>
      </c>
      <c r="AD4171" t="s">
        <v>19566</v>
      </c>
      <c r="AE4171" t="s">
        <v>9144</v>
      </c>
      <c r="AF4171">
        <v>14</v>
      </c>
      <c r="AG4171">
        <v>3</v>
      </c>
      <c r="AH4171">
        <v>0</v>
      </c>
      <c r="AI4171">
        <v>154.71</v>
      </c>
      <c r="AL4171" t="s">
        <v>19615</v>
      </c>
      <c r="AM4171">
        <v>33000</v>
      </c>
      <c r="AS4171">
        <v>0</v>
      </c>
      <c r="AU4171" t="s">
        <v>130</v>
      </c>
      <c r="AV4171" t="s">
        <v>20733</v>
      </c>
    </row>
    <row r="4172" spans="1:48">
      <c r="A4172" s="1">
        <f>HYPERLINK("https://lsnyc.legalserver.org/matter/dynamic-profile/view/1904729","19-1904729")</f>
        <v>0</v>
      </c>
      <c r="B4172" t="s">
        <v>140</v>
      </c>
      <c r="C4172" t="s">
        <v>256</v>
      </c>
      <c r="D4172" t="s">
        <v>497</v>
      </c>
      <c r="F4172" t="s">
        <v>1262</v>
      </c>
      <c r="G4172" t="s">
        <v>3448</v>
      </c>
      <c r="H4172" t="s">
        <v>7605</v>
      </c>
      <c r="I4172" t="s">
        <v>8360</v>
      </c>
      <c r="J4172" t="s">
        <v>9067</v>
      </c>
      <c r="K4172">
        <v>10034</v>
      </c>
      <c r="L4172" t="s">
        <v>9094</v>
      </c>
      <c r="M4172" t="s">
        <v>9095</v>
      </c>
      <c r="O4172" t="s">
        <v>11130</v>
      </c>
      <c r="P4172" t="s">
        <v>11165</v>
      </c>
      <c r="R4172" t="s">
        <v>11180</v>
      </c>
      <c r="S4172" t="s">
        <v>9094</v>
      </c>
      <c r="T4172" t="s">
        <v>11183</v>
      </c>
      <c r="V4172" t="s">
        <v>497</v>
      </c>
      <c r="W4172">
        <v>1600</v>
      </c>
      <c r="X4172" t="s">
        <v>11335</v>
      </c>
      <c r="Y4172" t="s">
        <v>11338</v>
      </c>
      <c r="Z4172" t="s">
        <v>14113</v>
      </c>
      <c r="AB4172" t="s">
        <v>18436</v>
      </c>
      <c r="AC4172">
        <v>43</v>
      </c>
      <c r="AD4172" t="s">
        <v>19566</v>
      </c>
      <c r="AE4172" t="s">
        <v>9144</v>
      </c>
      <c r="AF4172">
        <v>0</v>
      </c>
      <c r="AG4172">
        <v>3</v>
      </c>
      <c r="AH4172">
        <v>1</v>
      </c>
      <c r="AI4172">
        <v>154.72</v>
      </c>
      <c r="AL4172" t="s">
        <v>19615</v>
      </c>
      <c r="AM4172">
        <v>39840</v>
      </c>
      <c r="AS4172">
        <v>1</v>
      </c>
      <c r="AT4172" t="s">
        <v>292</v>
      </c>
      <c r="AU4172" t="s">
        <v>130</v>
      </c>
      <c r="AV4172" t="s">
        <v>20733</v>
      </c>
    </row>
    <row r="4173" spans="1:48">
      <c r="A4173" s="1">
        <f>HYPERLINK("https://lsnyc.legalserver.org/matter/dynamic-profile/view/0804124","16-0804124")</f>
        <v>0</v>
      </c>
      <c r="B4173" t="s">
        <v>58</v>
      </c>
      <c r="C4173" t="s">
        <v>256</v>
      </c>
      <c r="D4173" t="s">
        <v>979</v>
      </c>
      <c r="F4173" t="s">
        <v>2760</v>
      </c>
      <c r="G4173" t="s">
        <v>5025</v>
      </c>
      <c r="H4173" t="s">
        <v>6204</v>
      </c>
      <c r="I4173" t="s">
        <v>8293</v>
      </c>
      <c r="J4173" t="s">
        <v>9059</v>
      </c>
      <c r="K4173">
        <v>11225</v>
      </c>
      <c r="L4173" t="s">
        <v>9094</v>
      </c>
      <c r="M4173" t="s">
        <v>9095</v>
      </c>
      <c r="N4173" t="s">
        <v>9370</v>
      </c>
      <c r="O4173" t="s">
        <v>11132</v>
      </c>
      <c r="P4173" t="s">
        <v>11165</v>
      </c>
      <c r="R4173" t="s">
        <v>11180</v>
      </c>
      <c r="S4173" t="s">
        <v>9094</v>
      </c>
      <c r="T4173" t="s">
        <v>11183</v>
      </c>
      <c r="V4173" t="s">
        <v>11231</v>
      </c>
      <c r="W4173">
        <v>790</v>
      </c>
      <c r="X4173" t="s">
        <v>11332</v>
      </c>
      <c r="Y4173" t="s">
        <v>11346</v>
      </c>
      <c r="Z4173" t="s">
        <v>14114</v>
      </c>
      <c r="AB4173" t="s">
        <v>18437</v>
      </c>
      <c r="AC4173">
        <v>3</v>
      </c>
      <c r="AD4173" t="s">
        <v>19566</v>
      </c>
      <c r="AF4173">
        <v>16</v>
      </c>
      <c r="AG4173">
        <v>2</v>
      </c>
      <c r="AH4173">
        <v>1</v>
      </c>
      <c r="AI4173">
        <v>154.76</v>
      </c>
      <c r="AJ4173" t="s">
        <v>19596</v>
      </c>
      <c r="AL4173" t="s">
        <v>19614</v>
      </c>
      <c r="AM4173">
        <v>31200</v>
      </c>
      <c r="AS4173">
        <v>2.1</v>
      </c>
      <c r="AT4173" t="s">
        <v>953</v>
      </c>
      <c r="AU4173" t="s">
        <v>20626</v>
      </c>
    </row>
    <row r="4174" spans="1:48">
      <c r="A4174" s="1">
        <f>HYPERLINK("https://lsnyc.legalserver.org/matter/dynamic-profile/view/0823836","17-0823836")</f>
        <v>0</v>
      </c>
      <c r="B4174" t="s">
        <v>155</v>
      </c>
      <c r="C4174" t="s">
        <v>256</v>
      </c>
      <c r="D4174" t="s">
        <v>980</v>
      </c>
      <c r="F4174" t="s">
        <v>2760</v>
      </c>
      <c r="G4174" t="s">
        <v>5025</v>
      </c>
      <c r="H4174" t="s">
        <v>6204</v>
      </c>
      <c r="I4174" t="s">
        <v>8293</v>
      </c>
      <c r="J4174" t="s">
        <v>9059</v>
      </c>
      <c r="K4174">
        <v>11225</v>
      </c>
      <c r="L4174" t="s">
        <v>9094</v>
      </c>
      <c r="M4174" t="s">
        <v>9095</v>
      </c>
      <c r="P4174" t="s">
        <v>11167</v>
      </c>
      <c r="R4174" t="s">
        <v>11180</v>
      </c>
      <c r="S4174" t="s">
        <v>9094</v>
      </c>
      <c r="T4174" t="s">
        <v>11183</v>
      </c>
      <c r="V4174" t="s">
        <v>979</v>
      </c>
      <c r="W4174">
        <v>790</v>
      </c>
      <c r="X4174" t="s">
        <v>11332</v>
      </c>
      <c r="Y4174" t="s">
        <v>11346</v>
      </c>
      <c r="Z4174" t="s">
        <v>14114</v>
      </c>
      <c r="AB4174" t="s">
        <v>18437</v>
      </c>
      <c r="AC4174">
        <v>3</v>
      </c>
      <c r="AD4174" t="s">
        <v>19566</v>
      </c>
      <c r="AF4174">
        <v>16</v>
      </c>
      <c r="AG4174">
        <v>2</v>
      </c>
      <c r="AH4174">
        <v>1</v>
      </c>
      <c r="AI4174">
        <v>154.76</v>
      </c>
      <c r="AJ4174" t="s">
        <v>19596</v>
      </c>
      <c r="AL4174" t="s">
        <v>19614</v>
      </c>
      <c r="AM4174">
        <v>31200</v>
      </c>
      <c r="AS4174">
        <v>0</v>
      </c>
      <c r="AU4174" t="s">
        <v>20636</v>
      </c>
    </row>
    <row r="4175" spans="1:48">
      <c r="A4175" s="1">
        <f>HYPERLINK("https://lsnyc.legalserver.org/matter/dynamic-profile/view/0821363","16-0821363")</f>
        <v>0</v>
      </c>
      <c r="B4175" t="s">
        <v>104</v>
      </c>
      <c r="C4175" t="s">
        <v>256</v>
      </c>
      <c r="D4175" t="s">
        <v>571</v>
      </c>
      <c r="F4175" t="s">
        <v>1872</v>
      </c>
      <c r="G4175" t="s">
        <v>5026</v>
      </c>
      <c r="H4175" t="s">
        <v>7606</v>
      </c>
      <c r="I4175" t="s">
        <v>8819</v>
      </c>
      <c r="J4175" t="s">
        <v>9065</v>
      </c>
      <c r="K4175">
        <v>10467</v>
      </c>
      <c r="L4175" t="s">
        <v>9094</v>
      </c>
      <c r="M4175" t="s">
        <v>9095</v>
      </c>
      <c r="N4175" t="s">
        <v>9378</v>
      </c>
      <c r="O4175" t="s">
        <v>11143</v>
      </c>
      <c r="P4175" t="s">
        <v>11165</v>
      </c>
      <c r="R4175" t="s">
        <v>11180</v>
      </c>
      <c r="S4175" t="s">
        <v>9094</v>
      </c>
      <c r="T4175" t="s">
        <v>11183</v>
      </c>
      <c r="V4175" t="s">
        <v>1070</v>
      </c>
      <c r="W4175">
        <v>0</v>
      </c>
      <c r="X4175" t="s">
        <v>11333</v>
      </c>
      <c r="Y4175" t="s">
        <v>11338</v>
      </c>
      <c r="Z4175" t="s">
        <v>14115</v>
      </c>
      <c r="AB4175" t="s">
        <v>18438</v>
      </c>
      <c r="AC4175">
        <v>30</v>
      </c>
      <c r="AD4175" t="s">
        <v>19566</v>
      </c>
      <c r="AE4175" t="s">
        <v>19580</v>
      </c>
      <c r="AF4175">
        <v>0</v>
      </c>
      <c r="AG4175">
        <v>2</v>
      </c>
      <c r="AH4175">
        <v>1</v>
      </c>
      <c r="AI4175">
        <v>154.76</v>
      </c>
      <c r="AJ4175" t="s">
        <v>865</v>
      </c>
      <c r="AL4175" t="s">
        <v>19614</v>
      </c>
      <c r="AM4175">
        <v>31200</v>
      </c>
      <c r="AN4175" t="s">
        <v>19691</v>
      </c>
      <c r="AS4175">
        <v>0.9</v>
      </c>
      <c r="AT4175" t="s">
        <v>753</v>
      </c>
      <c r="AU4175" t="s">
        <v>20650</v>
      </c>
    </row>
    <row r="4176" spans="1:48">
      <c r="A4176" s="1">
        <f>HYPERLINK("https://lsnyc.legalserver.org/matter/dynamic-profile/view/1879051","18-1879051")</f>
        <v>0</v>
      </c>
      <c r="B4176" t="s">
        <v>78</v>
      </c>
      <c r="C4176" t="s">
        <v>256</v>
      </c>
      <c r="D4176" t="s">
        <v>1042</v>
      </c>
      <c r="F4176" t="s">
        <v>1231</v>
      </c>
      <c r="G4176" t="s">
        <v>5002</v>
      </c>
      <c r="H4176" t="s">
        <v>7577</v>
      </c>
      <c r="I4176" t="s">
        <v>8229</v>
      </c>
      <c r="J4176" t="s">
        <v>9059</v>
      </c>
      <c r="K4176">
        <v>11221</v>
      </c>
      <c r="L4176" t="s">
        <v>9094</v>
      </c>
      <c r="M4176" t="s">
        <v>9094</v>
      </c>
      <c r="O4176" t="s">
        <v>11134</v>
      </c>
      <c r="P4176" t="s">
        <v>11168</v>
      </c>
      <c r="R4176" t="s">
        <v>11180</v>
      </c>
      <c r="S4176" t="s">
        <v>9094</v>
      </c>
      <c r="T4176" t="s">
        <v>11183</v>
      </c>
      <c r="V4176" t="s">
        <v>448</v>
      </c>
      <c r="W4176">
        <v>790</v>
      </c>
      <c r="X4176" t="s">
        <v>11332</v>
      </c>
      <c r="Y4176" t="s">
        <v>11346</v>
      </c>
      <c r="Z4176" t="s">
        <v>14069</v>
      </c>
      <c r="AB4176" t="s">
        <v>18396</v>
      </c>
      <c r="AC4176">
        <v>13</v>
      </c>
      <c r="AD4176" t="s">
        <v>19566</v>
      </c>
      <c r="AE4176" t="s">
        <v>9144</v>
      </c>
      <c r="AF4176">
        <v>20</v>
      </c>
      <c r="AG4176">
        <v>1</v>
      </c>
      <c r="AH4176">
        <v>0</v>
      </c>
      <c r="AI4176">
        <v>155.02</v>
      </c>
      <c r="AL4176" t="s">
        <v>19614</v>
      </c>
      <c r="AM4176">
        <v>18820</v>
      </c>
      <c r="AS4176">
        <v>0</v>
      </c>
      <c r="AU4176" t="s">
        <v>95</v>
      </c>
    </row>
    <row r="4177" spans="1:48">
      <c r="A4177" s="1">
        <f>HYPERLINK("https://lsnyc.legalserver.org/matter/dynamic-profile/view/1879052","18-1879052")</f>
        <v>0</v>
      </c>
      <c r="B4177" t="s">
        <v>78</v>
      </c>
      <c r="C4177" t="s">
        <v>256</v>
      </c>
      <c r="D4177" t="s">
        <v>1042</v>
      </c>
      <c r="F4177" t="s">
        <v>1231</v>
      </c>
      <c r="G4177" t="s">
        <v>5002</v>
      </c>
      <c r="H4177" t="s">
        <v>7577</v>
      </c>
      <c r="I4177" t="s">
        <v>8229</v>
      </c>
      <c r="J4177" t="s">
        <v>9059</v>
      </c>
      <c r="K4177">
        <v>11221</v>
      </c>
      <c r="L4177" t="s">
        <v>9094</v>
      </c>
      <c r="M4177" t="s">
        <v>9094</v>
      </c>
      <c r="N4177" t="s">
        <v>10105</v>
      </c>
      <c r="O4177" t="s">
        <v>11130</v>
      </c>
      <c r="P4177" t="s">
        <v>11165</v>
      </c>
      <c r="R4177" t="s">
        <v>11180</v>
      </c>
      <c r="S4177" t="s">
        <v>9094</v>
      </c>
      <c r="T4177" t="s">
        <v>11183</v>
      </c>
      <c r="V4177" t="s">
        <v>11291</v>
      </c>
      <c r="W4177">
        <v>790</v>
      </c>
      <c r="X4177" t="s">
        <v>11332</v>
      </c>
      <c r="Y4177" t="s">
        <v>11346</v>
      </c>
      <c r="Z4177" t="s">
        <v>14069</v>
      </c>
      <c r="AB4177" t="s">
        <v>18396</v>
      </c>
      <c r="AC4177">
        <v>13</v>
      </c>
      <c r="AD4177" t="s">
        <v>19566</v>
      </c>
      <c r="AE4177" t="s">
        <v>9144</v>
      </c>
      <c r="AF4177">
        <v>20</v>
      </c>
      <c r="AG4177">
        <v>1</v>
      </c>
      <c r="AH4177">
        <v>0</v>
      </c>
      <c r="AI4177">
        <v>155.02</v>
      </c>
      <c r="AL4177" t="s">
        <v>19614</v>
      </c>
      <c r="AM4177">
        <v>18820</v>
      </c>
      <c r="AN4177" t="s">
        <v>20001</v>
      </c>
      <c r="AS4177">
        <v>0</v>
      </c>
      <c r="AU4177" t="s">
        <v>95</v>
      </c>
    </row>
    <row r="4178" spans="1:48">
      <c r="A4178" s="1">
        <f>HYPERLINK("https://lsnyc.legalserver.org/matter/dynamic-profile/view/0831758","17-0831758")</f>
        <v>0</v>
      </c>
      <c r="B4178" t="s">
        <v>64</v>
      </c>
      <c r="C4178" t="s">
        <v>257</v>
      </c>
      <c r="D4178" t="s">
        <v>908</v>
      </c>
      <c r="E4178" t="s">
        <v>270</v>
      </c>
      <c r="F4178" t="s">
        <v>1209</v>
      </c>
      <c r="G4178" t="s">
        <v>5027</v>
      </c>
      <c r="H4178" t="s">
        <v>7607</v>
      </c>
      <c r="I4178" t="s">
        <v>8134</v>
      </c>
      <c r="J4178" t="s">
        <v>9059</v>
      </c>
      <c r="K4178">
        <v>11212</v>
      </c>
      <c r="L4178" t="s">
        <v>9094</v>
      </c>
      <c r="M4178" t="s">
        <v>9095</v>
      </c>
      <c r="N4178" t="s">
        <v>10641</v>
      </c>
      <c r="O4178" t="s">
        <v>11129</v>
      </c>
      <c r="P4178" t="s">
        <v>11165</v>
      </c>
      <c r="Q4178" t="s">
        <v>11174</v>
      </c>
      <c r="R4178" t="s">
        <v>11180</v>
      </c>
      <c r="S4178" t="s">
        <v>9096</v>
      </c>
      <c r="T4178" t="s">
        <v>11183</v>
      </c>
      <c r="U4178" t="s">
        <v>11201</v>
      </c>
      <c r="V4178" t="s">
        <v>878</v>
      </c>
      <c r="W4178">
        <v>457</v>
      </c>
      <c r="X4178" t="s">
        <v>11332</v>
      </c>
      <c r="Y4178" t="s">
        <v>11340</v>
      </c>
      <c r="Z4178" t="s">
        <v>14116</v>
      </c>
      <c r="AB4178" t="s">
        <v>18439</v>
      </c>
      <c r="AC4178">
        <v>31</v>
      </c>
      <c r="AD4178" t="s">
        <v>19567</v>
      </c>
      <c r="AE4178" t="s">
        <v>19584</v>
      </c>
      <c r="AF4178">
        <v>40</v>
      </c>
      <c r="AG4178">
        <v>1</v>
      </c>
      <c r="AH4178">
        <v>0</v>
      </c>
      <c r="AI4178">
        <v>155.22</v>
      </c>
      <c r="AL4178" t="s">
        <v>19615</v>
      </c>
      <c r="AM4178">
        <v>18720</v>
      </c>
      <c r="AP4178" t="s">
        <v>20309</v>
      </c>
      <c r="AQ4178" t="s">
        <v>20369</v>
      </c>
      <c r="AR4178" t="s">
        <v>20537</v>
      </c>
      <c r="AS4178">
        <v>32.06</v>
      </c>
      <c r="AT4178" t="s">
        <v>713</v>
      </c>
      <c r="AU4178" t="s">
        <v>20636</v>
      </c>
    </row>
    <row r="4179" spans="1:48">
      <c r="A4179" s="1">
        <f>HYPERLINK("https://lsnyc.legalserver.org/matter/dynamic-profile/view/1836723","17-1836723")</f>
        <v>0</v>
      </c>
      <c r="B4179" t="s">
        <v>64</v>
      </c>
      <c r="C4179" t="s">
        <v>257</v>
      </c>
      <c r="D4179" t="s">
        <v>1055</v>
      </c>
      <c r="E4179" t="s">
        <v>270</v>
      </c>
      <c r="F4179" t="s">
        <v>1209</v>
      </c>
      <c r="G4179" t="s">
        <v>5027</v>
      </c>
      <c r="H4179" t="s">
        <v>7607</v>
      </c>
      <c r="I4179" t="s">
        <v>8134</v>
      </c>
      <c r="J4179" t="s">
        <v>9059</v>
      </c>
      <c r="K4179">
        <v>11212</v>
      </c>
      <c r="L4179" t="s">
        <v>9094</v>
      </c>
      <c r="M4179" t="s">
        <v>9094</v>
      </c>
      <c r="N4179" t="s">
        <v>10641</v>
      </c>
      <c r="O4179" t="s">
        <v>11129</v>
      </c>
      <c r="P4179" t="s">
        <v>11166</v>
      </c>
      <c r="Q4179" t="s">
        <v>11173</v>
      </c>
      <c r="R4179" t="s">
        <v>11180</v>
      </c>
      <c r="S4179" t="s">
        <v>9096</v>
      </c>
      <c r="T4179" t="s">
        <v>11184</v>
      </c>
      <c r="W4179">
        <v>457</v>
      </c>
      <c r="X4179" t="s">
        <v>11332</v>
      </c>
      <c r="Y4179" t="s">
        <v>11340</v>
      </c>
      <c r="Z4179" t="s">
        <v>14116</v>
      </c>
      <c r="AA4179" t="s">
        <v>15846</v>
      </c>
      <c r="AB4179" t="s">
        <v>18439</v>
      </c>
      <c r="AC4179">
        <v>31</v>
      </c>
      <c r="AD4179" t="s">
        <v>19567</v>
      </c>
      <c r="AE4179" t="s">
        <v>19584</v>
      </c>
      <c r="AF4179">
        <v>40</v>
      </c>
      <c r="AG4179">
        <v>1</v>
      </c>
      <c r="AH4179">
        <v>0</v>
      </c>
      <c r="AI4179">
        <v>155.22</v>
      </c>
      <c r="AL4179" t="s">
        <v>19615</v>
      </c>
      <c r="AM4179">
        <v>18720</v>
      </c>
      <c r="AN4179" t="s">
        <v>20002</v>
      </c>
      <c r="AS4179">
        <v>0.1</v>
      </c>
      <c r="AT4179" t="s">
        <v>1055</v>
      </c>
      <c r="AU4179" t="s">
        <v>59</v>
      </c>
      <c r="AV4179" t="s">
        <v>20734</v>
      </c>
    </row>
    <row r="4180" spans="1:48">
      <c r="A4180" s="1">
        <f>HYPERLINK("https://lsnyc.legalserver.org/matter/dynamic-profile/view/1905109","19-1905109")</f>
        <v>0</v>
      </c>
      <c r="B4180" t="s">
        <v>86</v>
      </c>
      <c r="C4180" t="s">
        <v>256</v>
      </c>
      <c r="D4180" t="s">
        <v>367</v>
      </c>
      <c r="F4180" t="s">
        <v>2761</v>
      </c>
      <c r="G4180" t="s">
        <v>3520</v>
      </c>
      <c r="H4180" t="s">
        <v>7032</v>
      </c>
      <c r="I4180" t="s">
        <v>8218</v>
      </c>
      <c r="J4180" t="s">
        <v>9059</v>
      </c>
      <c r="K4180">
        <v>11220</v>
      </c>
      <c r="L4180" t="s">
        <v>9094</v>
      </c>
      <c r="M4180" t="s">
        <v>9095</v>
      </c>
      <c r="O4180" t="s">
        <v>11130</v>
      </c>
      <c r="P4180" t="s">
        <v>11165</v>
      </c>
      <c r="R4180" t="s">
        <v>11180</v>
      </c>
      <c r="S4180" t="s">
        <v>9094</v>
      </c>
      <c r="T4180" t="s">
        <v>11183</v>
      </c>
      <c r="V4180" t="s">
        <v>660</v>
      </c>
      <c r="W4180">
        <v>0</v>
      </c>
      <c r="X4180" t="s">
        <v>11332</v>
      </c>
      <c r="Z4180" t="s">
        <v>14117</v>
      </c>
      <c r="AB4180" t="s">
        <v>18440</v>
      </c>
      <c r="AC4180">
        <v>54</v>
      </c>
      <c r="AF4180">
        <v>0</v>
      </c>
      <c r="AG4180">
        <v>4</v>
      </c>
      <c r="AH4180">
        <v>0</v>
      </c>
      <c r="AI4180">
        <v>155.34</v>
      </c>
      <c r="AL4180" t="s">
        <v>19614</v>
      </c>
      <c r="AM4180">
        <v>40000</v>
      </c>
      <c r="AS4180">
        <v>0.2</v>
      </c>
      <c r="AT4180" t="s">
        <v>367</v>
      </c>
      <c r="AU4180" t="s">
        <v>67</v>
      </c>
      <c r="AV4180" t="s">
        <v>20733</v>
      </c>
    </row>
    <row r="4181" spans="1:48">
      <c r="A4181" s="1">
        <f>HYPERLINK("https://lsnyc.legalserver.org/matter/dynamic-profile/view/1893501","19-1893501")</f>
        <v>0</v>
      </c>
      <c r="B4181" t="s">
        <v>126</v>
      </c>
      <c r="C4181" t="s">
        <v>257</v>
      </c>
      <c r="D4181" t="s">
        <v>421</v>
      </c>
      <c r="E4181" t="s">
        <v>457</v>
      </c>
      <c r="F4181" t="s">
        <v>2762</v>
      </c>
      <c r="G4181" t="s">
        <v>5028</v>
      </c>
      <c r="H4181" t="s">
        <v>7608</v>
      </c>
      <c r="I4181" t="s">
        <v>8248</v>
      </c>
      <c r="J4181" t="s">
        <v>9066</v>
      </c>
      <c r="K4181">
        <v>10304</v>
      </c>
      <c r="L4181" t="s">
        <v>9094</v>
      </c>
      <c r="M4181" t="s">
        <v>9096</v>
      </c>
      <c r="N4181" t="s">
        <v>10642</v>
      </c>
      <c r="O4181" t="s">
        <v>11128</v>
      </c>
      <c r="P4181" t="s">
        <v>11170</v>
      </c>
      <c r="Q4181" t="s">
        <v>11174</v>
      </c>
      <c r="R4181" t="s">
        <v>11180</v>
      </c>
      <c r="S4181" t="s">
        <v>9096</v>
      </c>
      <c r="T4181" t="s">
        <v>11183</v>
      </c>
      <c r="U4181" t="s">
        <v>11201</v>
      </c>
      <c r="W4181">
        <v>1515</v>
      </c>
      <c r="X4181" t="s">
        <v>11334</v>
      </c>
      <c r="Y4181" t="s">
        <v>11345</v>
      </c>
      <c r="Z4181" t="s">
        <v>14118</v>
      </c>
      <c r="AB4181" t="s">
        <v>18441</v>
      </c>
      <c r="AC4181">
        <v>2</v>
      </c>
      <c r="AD4181" t="s">
        <v>19565</v>
      </c>
      <c r="AE4181" t="s">
        <v>19582</v>
      </c>
      <c r="AF4181">
        <v>1</v>
      </c>
      <c r="AG4181">
        <v>1</v>
      </c>
      <c r="AH4181">
        <v>2</v>
      </c>
      <c r="AI4181">
        <v>156.02</v>
      </c>
      <c r="AL4181" t="s">
        <v>19614</v>
      </c>
      <c r="AM4181">
        <v>33280</v>
      </c>
      <c r="AO4181" t="s">
        <v>20290</v>
      </c>
      <c r="AP4181" t="s">
        <v>11157</v>
      </c>
      <c r="AQ4181" t="s">
        <v>20368</v>
      </c>
      <c r="AS4181">
        <v>9.25</v>
      </c>
      <c r="AT4181" t="s">
        <v>621</v>
      </c>
      <c r="AU4181" t="s">
        <v>20653</v>
      </c>
      <c r="AV4181" t="s">
        <v>20733</v>
      </c>
    </row>
    <row r="4182" spans="1:48">
      <c r="A4182" s="1">
        <f>HYPERLINK("https://lsnyc.legalserver.org/matter/dynamic-profile/view/1905021","19-1905021")</f>
        <v>0</v>
      </c>
      <c r="B4182" t="s">
        <v>122</v>
      </c>
      <c r="C4182" t="s">
        <v>256</v>
      </c>
      <c r="D4182" t="s">
        <v>457</v>
      </c>
      <c r="F4182" t="s">
        <v>1271</v>
      </c>
      <c r="G4182" t="s">
        <v>5029</v>
      </c>
      <c r="H4182" t="s">
        <v>6865</v>
      </c>
      <c r="I4182" t="s">
        <v>8354</v>
      </c>
      <c r="J4182" t="s">
        <v>9066</v>
      </c>
      <c r="K4182">
        <v>10304</v>
      </c>
      <c r="L4182" t="s">
        <v>9094</v>
      </c>
      <c r="M4182" t="s">
        <v>9095</v>
      </c>
      <c r="N4182" t="s">
        <v>10643</v>
      </c>
      <c r="O4182" t="s">
        <v>11129</v>
      </c>
      <c r="P4182" t="s">
        <v>11165</v>
      </c>
      <c r="R4182" t="s">
        <v>11180</v>
      </c>
      <c r="S4182" t="s">
        <v>9096</v>
      </c>
      <c r="T4182" t="s">
        <v>11183</v>
      </c>
      <c r="U4182" t="s">
        <v>11201</v>
      </c>
      <c r="V4182" t="s">
        <v>457</v>
      </c>
      <c r="W4182">
        <v>463</v>
      </c>
      <c r="X4182" t="s">
        <v>11334</v>
      </c>
      <c r="Y4182" t="s">
        <v>11340</v>
      </c>
      <c r="Z4182" t="s">
        <v>14119</v>
      </c>
      <c r="AB4182" t="s">
        <v>18442</v>
      </c>
      <c r="AC4182">
        <v>131</v>
      </c>
      <c r="AD4182" t="s">
        <v>19567</v>
      </c>
      <c r="AE4182" t="s">
        <v>19580</v>
      </c>
      <c r="AF4182">
        <v>8</v>
      </c>
      <c r="AG4182">
        <v>3</v>
      </c>
      <c r="AH4182">
        <v>0</v>
      </c>
      <c r="AI4182">
        <v>156.02</v>
      </c>
      <c r="AL4182" t="s">
        <v>19614</v>
      </c>
      <c r="AM4182">
        <v>33279.96</v>
      </c>
      <c r="AS4182">
        <v>10.75</v>
      </c>
      <c r="AT4182" t="s">
        <v>1135</v>
      </c>
      <c r="AU4182" t="s">
        <v>20653</v>
      </c>
      <c r="AV4182" t="s">
        <v>20733</v>
      </c>
    </row>
    <row r="4183" spans="1:48">
      <c r="A4183" s="1">
        <f>HYPERLINK("https://lsnyc.legalserver.org/matter/dynamic-profile/view/1883259","18-1883259")</f>
        <v>0</v>
      </c>
      <c r="B4183" t="s">
        <v>142</v>
      </c>
      <c r="C4183" t="s">
        <v>257</v>
      </c>
      <c r="D4183" t="s">
        <v>691</v>
      </c>
      <c r="E4183" t="s">
        <v>426</v>
      </c>
      <c r="F4183" t="s">
        <v>1670</v>
      </c>
      <c r="G4183" t="s">
        <v>5030</v>
      </c>
      <c r="H4183" t="s">
        <v>7609</v>
      </c>
      <c r="I4183" t="s">
        <v>8820</v>
      </c>
      <c r="J4183" t="s">
        <v>9067</v>
      </c>
      <c r="K4183">
        <v>10035</v>
      </c>
      <c r="L4183" t="s">
        <v>9094</v>
      </c>
      <c r="M4183" t="s">
        <v>9094</v>
      </c>
      <c r="N4183" t="s">
        <v>10644</v>
      </c>
      <c r="O4183" t="s">
        <v>11129</v>
      </c>
      <c r="P4183" t="s">
        <v>11165</v>
      </c>
      <c r="Q4183" t="s">
        <v>11174</v>
      </c>
      <c r="R4183" t="s">
        <v>11180</v>
      </c>
      <c r="S4183" t="s">
        <v>9096</v>
      </c>
      <c r="T4183" t="s">
        <v>11183</v>
      </c>
      <c r="U4183" t="s">
        <v>11201</v>
      </c>
      <c r="V4183" t="s">
        <v>359</v>
      </c>
      <c r="W4183">
        <v>186</v>
      </c>
      <c r="X4183" t="s">
        <v>11335</v>
      </c>
      <c r="Y4183" t="s">
        <v>11338</v>
      </c>
      <c r="Z4183" t="s">
        <v>14120</v>
      </c>
      <c r="AB4183" t="s">
        <v>18443</v>
      </c>
      <c r="AC4183">
        <v>134</v>
      </c>
      <c r="AD4183" t="s">
        <v>19567</v>
      </c>
      <c r="AE4183" t="s">
        <v>19580</v>
      </c>
      <c r="AF4183">
        <v>17</v>
      </c>
      <c r="AG4183">
        <v>2</v>
      </c>
      <c r="AH4183">
        <v>0</v>
      </c>
      <c r="AI4183">
        <v>156.06</v>
      </c>
      <c r="AL4183" t="s">
        <v>19614</v>
      </c>
      <c r="AM4183">
        <v>25688</v>
      </c>
      <c r="AP4183" t="s">
        <v>20313</v>
      </c>
      <c r="AQ4183" t="s">
        <v>20369</v>
      </c>
      <c r="AR4183" t="s">
        <v>20538</v>
      </c>
      <c r="AS4183">
        <v>41.8</v>
      </c>
      <c r="AT4183" t="s">
        <v>660</v>
      </c>
      <c r="AU4183" t="s">
        <v>20638</v>
      </c>
      <c r="AV4183" t="s">
        <v>20733</v>
      </c>
    </row>
    <row r="4184" spans="1:48">
      <c r="A4184" s="1">
        <f>HYPERLINK("https://lsnyc.legalserver.org/matter/dynamic-profile/view/1902990","19-1902990")</f>
        <v>0</v>
      </c>
      <c r="B4184" t="s">
        <v>49</v>
      </c>
      <c r="C4184" t="s">
        <v>257</v>
      </c>
      <c r="D4184" t="s">
        <v>403</v>
      </c>
      <c r="E4184" t="s">
        <v>1129</v>
      </c>
      <c r="F4184" t="s">
        <v>2763</v>
      </c>
      <c r="G4184" t="s">
        <v>5031</v>
      </c>
      <c r="H4184" t="s">
        <v>7610</v>
      </c>
      <c r="I4184" t="s">
        <v>8821</v>
      </c>
      <c r="J4184" t="s">
        <v>9055</v>
      </c>
      <c r="K4184">
        <v>11354</v>
      </c>
      <c r="L4184" t="s">
        <v>9094</v>
      </c>
      <c r="M4184" t="s">
        <v>9095</v>
      </c>
      <c r="N4184" t="s">
        <v>9144</v>
      </c>
      <c r="O4184" t="s">
        <v>9121</v>
      </c>
      <c r="P4184" t="s">
        <v>11167</v>
      </c>
      <c r="Q4184" t="s">
        <v>11173</v>
      </c>
      <c r="R4184" t="s">
        <v>11180</v>
      </c>
      <c r="S4184" t="s">
        <v>9096</v>
      </c>
      <c r="T4184" t="s">
        <v>11183</v>
      </c>
      <c r="U4184" t="s">
        <v>11201</v>
      </c>
      <c r="V4184" t="s">
        <v>279</v>
      </c>
      <c r="W4184">
        <v>1658</v>
      </c>
      <c r="X4184" t="s">
        <v>11331</v>
      </c>
      <c r="Y4184" t="s">
        <v>11336</v>
      </c>
      <c r="Z4184" t="s">
        <v>14121</v>
      </c>
      <c r="AA4184" t="s">
        <v>9144</v>
      </c>
      <c r="AB4184" t="s">
        <v>18444</v>
      </c>
      <c r="AC4184">
        <v>42</v>
      </c>
      <c r="AD4184" t="s">
        <v>19565</v>
      </c>
      <c r="AE4184" t="s">
        <v>9144</v>
      </c>
      <c r="AF4184">
        <v>2</v>
      </c>
      <c r="AG4184">
        <v>2</v>
      </c>
      <c r="AH4184">
        <v>0</v>
      </c>
      <c r="AI4184">
        <v>156.12</v>
      </c>
      <c r="AL4184" t="s">
        <v>19614</v>
      </c>
      <c r="AM4184">
        <v>26400</v>
      </c>
      <c r="AP4184" t="s">
        <v>11157</v>
      </c>
      <c r="AQ4184" t="s">
        <v>20369</v>
      </c>
      <c r="AR4184" t="s">
        <v>20459</v>
      </c>
      <c r="AS4184">
        <v>1.7</v>
      </c>
      <c r="AT4184" t="s">
        <v>1129</v>
      </c>
      <c r="AU4184" t="s">
        <v>49</v>
      </c>
      <c r="AV4184" t="s">
        <v>20733</v>
      </c>
    </row>
    <row r="4185" spans="1:48">
      <c r="A4185" s="1">
        <f>HYPERLINK("https://lsnyc.legalserver.org/matter/dynamic-profile/view/1893990","19-1893990")</f>
        <v>0</v>
      </c>
      <c r="B4185" t="s">
        <v>49</v>
      </c>
      <c r="C4185" t="s">
        <v>257</v>
      </c>
      <c r="D4185" t="s">
        <v>413</v>
      </c>
      <c r="E4185" t="s">
        <v>1129</v>
      </c>
      <c r="F4185" t="s">
        <v>2763</v>
      </c>
      <c r="G4185" t="s">
        <v>5031</v>
      </c>
      <c r="H4185" t="s">
        <v>7610</v>
      </c>
      <c r="I4185" t="s">
        <v>8821</v>
      </c>
      <c r="J4185" t="s">
        <v>9055</v>
      </c>
      <c r="K4185">
        <v>11354</v>
      </c>
      <c r="L4185" t="s">
        <v>9094</v>
      </c>
      <c r="M4185" t="s">
        <v>9096</v>
      </c>
      <c r="N4185" t="s">
        <v>10645</v>
      </c>
      <c r="O4185" t="s">
        <v>11129</v>
      </c>
      <c r="P4185" t="s">
        <v>11165</v>
      </c>
      <c r="Q4185" t="s">
        <v>11174</v>
      </c>
      <c r="R4185" t="s">
        <v>11180</v>
      </c>
      <c r="S4185" t="s">
        <v>9094</v>
      </c>
      <c r="T4185" t="s">
        <v>11183</v>
      </c>
      <c r="U4185" t="s">
        <v>11201</v>
      </c>
      <c r="V4185" t="s">
        <v>384</v>
      </c>
      <c r="W4185">
        <v>1658</v>
      </c>
      <c r="X4185" t="s">
        <v>11331</v>
      </c>
      <c r="Y4185" t="s">
        <v>11336</v>
      </c>
      <c r="Z4185" t="s">
        <v>14121</v>
      </c>
      <c r="AB4185" t="s">
        <v>18444</v>
      </c>
      <c r="AC4185">
        <v>42</v>
      </c>
      <c r="AD4185" t="s">
        <v>19565</v>
      </c>
      <c r="AE4185" t="s">
        <v>9144</v>
      </c>
      <c r="AF4185">
        <v>2</v>
      </c>
      <c r="AG4185">
        <v>2</v>
      </c>
      <c r="AH4185">
        <v>0</v>
      </c>
      <c r="AI4185">
        <v>156.12</v>
      </c>
      <c r="AL4185" t="s">
        <v>19614</v>
      </c>
      <c r="AM4185">
        <v>26400</v>
      </c>
      <c r="AO4185" t="s">
        <v>20290</v>
      </c>
      <c r="AP4185" t="s">
        <v>20309</v>
      </c>
      <c r="AQ4185" t="s">
        <v>20369</v>
      </c>
      <c r="AR4185" t="s">
        <v>20539</v>
      </c>
      <c r="AS4185">
        <v>16.8</v>
      </c>
      <c r="AT4185" t="s">
        <v>1129</v>
      </c>
      <c r="AU4185" t="s">
        <v>20622</v>
      </c>
      <c r="AV4185" t="s">
        <v>20733</v>
      </c>
    </row>
    <row r="4186" spans="1:48">
      <c r="A4186" s="1">
        <f>HYPERLINK("https://lsnyc.legalserver.org/matter/dynamic-profile/view/1898591","19-1898591")</f>
        <v>0</v>
      </c>
      <c r="B4186" t="s">
        <v>64</v>
      </c>
      <c r="C4186" t="s">
        <v>256</v>
      </c>
      <c r="D4186" t="s">
        <v>614</v>
      </c>
      <c r="F4186" t="s">
        <v>2064</v>
      </c>
      <c r="G4186" t="s">
        <v>5032</v>
      </c>
      <c r="H4186" t="s">
        <v>7611</v>
      </c>
      <c r="I4186">
        <v>1</v>
      </c>
      <c r="J4186" t="s">
        <v>9059</v>
      </c>
      <c r="K4186">
        <v>11207</v>
      </c>
      <c r="L4186" t="s">
        <v>9094</v>
      </c>
      <c r="M4186" t="s">
        <v>9094</v>
      </c>
      <c r="N4186" t="s">
        <v>9121</v>
      </c>
      <c r="O4186" t="s">
        <v>9121</v>
      </c>
      <c r="P4186" t="s">
        <v>11167</v>
      </c>
      <c r="R4186" t="s">
        <v>11180</v>
      </c>
      <c r="S4186" t="s">
        <v>9096</v>
      </c>
      <c r="T4186" t="s">
        <v>11183</v>
      </c>
      <c r="U4186" t="s">
        <v>11201</v>
      </c>
      <c r="V4186" t="s">
        <v>614</v>
      </c>
      <c r="W4186">
        <v>1487.41</v>
      </c>
      <c r="X4186" t="s">
        <v>11332</v>
      </c>
      <c r="Y4186" t="s">
        <v>11340</v>
      </c>
      <c r="Z4186" t="s">
        <v>14122</v>
      </c>
      <c r="AA4186" t="s">
        <v>15441</v>
      </c>
      <c r="AB4186" t="s">
        <v>18445</v>
      </c>
      <c r="AC4186">
        <v>6</v>
      </c>
      <c r="AD4186" t="s">
        <v>19566</v>
      </c>
      <c r="AF4186">
        <v>8</v>
      </c>
      <c r="AG4186">
        <v>2</v>
      </c>
      <c r="AH4186">
        <v>0</v>
      </c>
      <c r="AI4186">
        <v>156.12</v>
      </c>
      <c r="AL4186" t="s">
        <v>19614</v>
      </c>
      <c r="AM4186">
        <v>26400</v>
      </c>
      <c r="AS4186">
        <v>14.4</v>
      </c>
      <c r="AT4186" t="s">
        <v>1130</v>
      </c>
      <c r="AU4186" t="s">
        <v>95</v>
      </c>
      <c r="AV4186" t="s">
        <v>20733</v>
      </c>
    </row>
    <row r="4187" spans="1:48">
      <c r="A4187" s="1">
        <f>HYPERLINK("https://lsnyc.legalserver.org/matter/dynamic-profile/view/1910598","19-1910598")</f>
        <v>0</v>
      </c>
      <c r="B4187" t="s">
        <v>132</v>
      </c>
      <c r="C4187" t="s">
        <v>256</v>
      </c>
      <c r="D4187" t="s">
        <v>259</v>
      </c>
      <c r="F4187" t="s">
        <v>2206</v>
      </c>
      <c r="G4187" t="s">
        <v>5033</v>
      </c>
      <c r="H4187" t="s">
        <v>6653</v>
      </c>
      <c r="I4187" t="s">
        <v>8273</v>
      </c>
      <c r="J4187" t="s">
        <v>9067</v>
      </c>
      <c r="K4187">
        <v>10040</v>
      </c>
      <c r="L4187" t="s">
        <v>9094</v>
      </c>
      <c r="M4187" t="s">
        <v>9095</v>
      </c>
      <c r="O4187" t="s">
        <v>11130</v>
      </c>
      <c r="P4187" t="s">
        <v>11165</v>
      </c>
      <c r="R4187" t="s">
        <v>11180</v>
      </c>
      <c r="S4187" t="s">
        <v>9094</v>
      </c>
      <c r="T4187" t="s">
        <v>11183</v>
      </c>
      <c r="V4187" t="s">
        <v>259</v>
      </c>
      <c r="W4187">
        <v>671.64</v>
      </c>
      <c r="X4187" t="s">
        <v>11335</v>
      </c>
      <c r="Y4187" t="s">
        <v>11338</v>
      </c>
      <c r="Z4187" t="s">
        <v>14123</v>
      </c>
      <c r="AC4187">
        <v>77</v>
      </c>
      <c r="AD4187" t="s">
        <v>19566</v>
      </c>
      <c r="AE4187" t="s">
        <v>19587</v>
      </c>
      <c r="AF4187">
        <v>48</v>
      </c>
      <c r="AG4187">
        <v>1</v>
      </c>
      <c r="AH4187">
        <v>0</v>
      </c>
      <c r="AI4187">
        <v>156.12</v>
      </c>
      <c r="AL4187" t="s">
        <v>19614</v>
      </c>
      <c r="AM4187">
        <v>19499.52</v>
      </c>
      <c r="AS4187">
        <v>1.2</v>
      </c>
      <c r="AT4187" t="s">
        <v>1135</v>
      </c>
      <c r="AU4187" t="s">
        <v>130</v>
      </c>
      <c r="AV4187" t="s">
        <v>20733</v>
      </c>
    </row>
    <row r="4188" spans="1:48">
      <c r="A4188" s="1">
        <f>HYPERLINK("https://lsnyc.legalserver.org/matter/dynamic-profile/view/1902219","19-1902219")</f>
        <v>0</v>
      </c>
      <c r="B4188" t="s">
        <v>112</v>
      </c>
      <c r="C4188" t="s">
        <v>256</v>
      </c>
      <c r="D4188" t="s">
        <v>584</v>
      </c>
      <c r="F4188" t="s">
        <v>1293</v>
      </c>
      <c r="G4188" t="s">
        <v>3405</v>
      </c>
      <c r="H4188" t="s">
        <v>7612</v>
      </c>
      <c r="I4188" t="s">
        <v>8133</v>
      </c>
      <c r="J4188" t="s">
        <v>9065</v>
      </c>
      <c r="K4188">
        <v>10456</v>
      </c>
      <c r="L4188" t="s">
        <v>9094</v>
      </c>
      <c r="M4188" t="s">
        <v>9095</v>
      </c>
      <c r="N4188" t="s">
        <v>10646</v>
      </c>
      <c r="O4188" t="s">
        <v>11134</v>
      </c>
      <c r="P4188" t="s">
        <v>11166</v>
      </c>
      <c r="R4188" t="s">
        <v>11180</v>
      </c>
      <c r="S4188" t="s">
        <v>9096</v>
      </c>
      <c r="T4188" t="s">
        <v>11183</v>
      </c>
      <c r="V4188" t="s">
        <v>11218</v>
      </c>
      <c r="W4188">
        <v>0</v>
      </c>
      <c r="X4188" t="s">
        <v>11333</v>
      </c>
      <c r="Y4188" t="s">
        <v>11336</v>
      </c>
      <c r="Z4188" t="s">
        <v>14124</v>
      </c>
      <c r="AA4188" t="s">
        <v>15847</v>
      </c>
      <c r="AB4188" t="s">
        <v>18446</v>
      </c>
      <c r="AC4188">
        <v>48</v>
      </c>
      <c r="AD4188" t="s">
        <v>19566</v>
      </c>
      <c r="AE4188" t="s">
        <v>19588</v>
      </c>
      <c r="AF4188">
        <v>0</v>
      </c>
      <c r="AG4188">
        <v>2</v>
      </c>
      <c r="AH4188">
        <v>0</v>
      </c>
      <c r="AI4188">
        <v>156.18</v>
      </c>
      <c r="AL4188" t="s">
        <v>19614</v>
      </c>
      <c r="AM4188">
        <v>26410</v>
      </c>
      <c r="AS4188">
        <v>1.5</v>
      </c>
      <c r="AT4188" t="s">
        <v>484</v>
      </c>
      <c r="AU4188" t="s">
        <v>20644</v>
      </c>
      <c r="AV4188" t="s">
        <v>20733</v>
      </c>
    </row>
    <row r="4189" spans="1:48">
      <c r="A4189" s="1">
        <f>HYPERLINK("https://lsnyc.legalserver.org/matter/dynamic-profile/view/1893820","19-1893820")</f>
        <v>0</v>
      </c>
      <c r="B4189" t="s">
        <v>112</v>
      </c>
      <c r="C4189" t="s">
        <v>257</v>
      </c>
      <c r="D4189" t="s">
        <v>274</v>
      </c>
      <c r="E4189" t="s">
        <v>484</v>
      </c>
      <c r="F4189" t="s">
        <v>1293</v>
      </c>
      <c r="G4189" t="s">
        <v>3405</v>
      </c>
      <c r="H4189" t="s">
        <v>7612</v>
      </c>
      <c r="I4189" t="s">
        <v>8133</v>
      </c>
      <c r="J4189" t="s">
        <v>9065</v>
      </c>
      <c r="K4189">
        <v>10456</v>
      </c>
      <c r="L4189" t="s">
        <v>9094</v>
      </c>
      <c r="M4189" t="s">
        <v>9094</v>
      </c>
      <c r="N4189" t="s">
        <v>10647</v>
      </c>
      <c r="O4189" t="s">
        <v>11133</v>
      </c>
      <c r="P4189" t="s">
        <v>11166</v>
      </c>
      <c r="Q4189" t="s">
        <v>11177</v>
      </c>
      <c r="R4189" t="s">
        <v>11180</v>
      </c>
      <c r="T4189" t="s">
        <v>11189</v>
      </c>
      <c r="V4189" t="s">
        <v>274</v>
      </c>
      <c r="W4189">
        <v>1004.69</v>
      </c>
      <c r="X4189" t="s">
        <v>11333</v>
      </c>
      <c r="Y4189" t="s">
        <v>11336</v>
      </c>
      <c r="Z4189" t="s">
        <v>14124</v>
      </c>
      <c r="AA4189" t="s">
        <v>15847</v>
      </c>
      <c r="AB4189" t="s">
        <v>18446</v>
      </c>
      <c r="AC4189">
        <v>48</v>
      </c>
      <c r="AD4189" t="s">
        <v>19566</v>
      </c>
      <c r="AE4189" t="s">
        <v>19588</v>
      </c>
      <c r="AF4189">
        <v>29</v>
      </c>
      <c r="AG4189">
        <v>2</v>
      </c>
      <c r="AH4189">
        <v>0</v>
      </c>
      <c r="AI4189">
        <v>156.18</v>
      </c>
      <c r="AL4189" t="s">
        <v>19614</v>
      </c>
      <c r="AM4189">
        <v>26410</v>
      </c>
      <c r="AP4189" t="s">
        <v>20324</v>
      </c>
      <c r="AQ4189" t="s">
        <v>20369</v>
      </c>
      <c r="AR4189" t="s">
        <v>20540</v>
      </c>
      <c r="AS4189">
        <v>4.25</v>
      </c>
      <c r="AT4189" t="s">
        <v>484</v>
      </c>
      <c r="AU4189" t="s">
        <v>20644</v>
      </c>
    </row>
    <row r="4190" spans="1:48">
      <c r="A4190" s="1">
        <f>HYPERLINK("https://lsnyc.legalserver.org/matter/dynamic-profile/view/1882939","18-1882939")</f>
        <v>0</v>
      </c>
      <c r="B4190" t="s">
        <v>138</v>
      </c>
      <c r="C4190" t="s">
        <v>256</v>
      </c>
      <c r="D4190" t="s">
        <v>589</v>
      </c>
      <c r="F4190" t="s">
        <v>1349</v>
      </c>
      <c r="G4190" t="s">
        <v>5034</v>
      </c>
      <c r="H4190" t="s">
        <v>7613</v>
      </c>
      <c r="I4190" t="s">
        <v>8124</v>
      </c>
      <c r="J4190" t="s">
        <v>9067</v>
      </c>
      <c r="K4190">
        <v>10034</v>
      </c>
      <c r="L4190" t="s">
        <v>9094</v>
      </c>
      <c r="M4190" t="s">
        <v>9094</v>
      </c>
      <c r="O4190" t="s">
        <v>11136</v>
      </c>
      <c r="P4190" t="s">
        <v>11166</v>
      </c>
      <c r="R4190" t="s">
        <v>11180</v>
      </c>
      <c r="S4190" t="s">
        <v>9096</v>
      </c>
      <c r="T4190" t="s">
        <v>11183</v>
      </c>
      <c r="V4190" t="s">
        <v>589</v>
      </c>
      <c r="W4190">
        <v>999.88</v>
      </c>
      <c r="X4190" t="s">
        <v>11335</v>
      </c>
      <c r="Y4190" t="s">
        <v>11338</v>
      </c>
      <c r="Z4190" t="s">
        <v>14125</v>
      </c>
      <c r="AB4190" t="s">
        <v>18447</v>
      </c>
      <c r="AC4190">
        <v>6</v>
      </c>
      <c r="AD4190" t="s">
        <v>19566</v>
      </c>
      <c r="AE4190" t="s">
        <v>19587</v>
      </c>
      <c r="AF4190">
        <v>11</v>
      </c>
      <c r="AG4190">
        <v>1</v>
      </c>
      <c r="AH4190">
        <v>0</v>
      </c>
      <c r="AI4190">
        <v>156.33</v>
      </c>
      <c r="AL4190" t="s">
        <v>19614</v>
      </c>
      <c r="AM4190">
        <v>18978.96</v>
      </c>
      <c r="AS4190">
        <v>2.1</v>
      </c>
      <c r="AT4190" t="s">
        <v>396</v>
      </c>
      <c r="AU4190" t="s">
        <v>130</v>
      </c>
      <c r="AV4190" t="s">
        <v>20733</v>
      </c>
    </row>
    <row r="4191" spans="1:48">
      <c r="A4191" s="1">
        <f>HYPERLINK("https://lsnyc.legalserver.org/matter/dynamic-profile/view/1900382","19-1900382")</f>
        <v>0</v>
      </c>
      <c r="B4191" t="s">
        <v>64</v>
      </c>
      <c r="C4191" t="s">
        <v>256</v>
      </c>
      <c r="D4191" t="s">
        <v>262</v>
      </c>
      <c r="F4191" t="s">
        <v>1199</v>
      </c>
      <c r="G4191" t="s">
        <v>5035</v>
      </c>
      <c r="H4191" t="s">
        <v>7614</v>
      </c>
      <c r="I4191" t="s">
        <v>8209</v>
      </c>
      <c r="J4191" t="s">
        <v>9059</v>
      </c>
      <c r="K4191">
        <v>11212</v>
      </c>
      <c r="L4191" t="s">
        <v>9094</v>
      </c>
      <c r="M4191" t="s">
        <v>9095</v>
      </c>
      <c r="N4191" t="s">
        <v>9144</v>
      </c>
      <c r="O4191" t="s">
        <v>11128</v>
      </c>
      <c r="P4191" t="s">
        <v>11167</v>
      </c>
      <c r="R4191" t="s">
        <v>11180</v>
      </c>
      <c r="S4191" t="s">
        <v>9096</v>
      </c>
      <c r="T4191" t="s">
        <v>11183</v>
      </c>
      <c r="U4191" t="s">
        <v>11201</v>
      </c>
      <c r="V4191" t="s">
        <v>394</v>
      </c>
      <c r="W4191">
        <v>1400</v>
      </c>
      <c r="X4191" t="s">
        <v>11332</v>
      </c>
      <c r="Y4191" t="s">
        <v>11336</v>
      </c>
      <c r="Z4191" t="s">
        <v>14126</v>
      </c>
      <c r="AA4191" t="s">
        <v>9144</v>
      </c>
      <c r="AB4191" t="s">
        <v>18448</v>
      </c>
      <c r="AC4191">
        <v>4</v>
      </c>
      <c r="AD4191" t="s">
        <v>19565</v>
      </c>
      <c r="AE4191" t="s">
        <v>9144</v>
      </c>
      <c r="AF4191">
        <v>16</v>
      </c>
      <c r="AG4191">
        <v>1</v>
      </c>
      <c r="AH4191">
        <v>0</v>
      </c>
      <c r="AI4191">
        <v>156.41</v>
      </c>
      <c r="AL4191" t="s">
        <v>19614</v>
      </c>
      <c r="AM4191">
        <v>19536</v>
      </c>
      <c r="AS4191">
        <v>7.4</v>
      </c>
      <c r="AT4191" t="s">
        <v>1135</v>
      </c>
      <c r="AU4191" t="s">
        <v>95</v>
      </c>
      <c r="AV4191" t="s">
        <v>20733</v>
      </c>
    </row>
    <row r="4192" spans="1:48">
      <c r="A4192" s="1">
        <f>HYPERLINK("https://lsnyc.legalserver.org/matter/dynamic-profile/view/0831773","17-0831773")</f>
        <v>0</v>
      </c>
      <c r="B4192" t="s">
        <v>139</v>
      </c>
      <c r="C4192" t="s">
        <v>257</v>
      </c>
      <c r="D4192" t="s">
        <v>908</v>
      </c>
      <c r="E4192" t="s">
        <v>703</v>
      </c>
      <c r="F4192" t="s">
        <v>2764</v>
      </c>
      <c r="G4192" t="s">
        <v>5036</v>
      </c>
      <c r="H4192" t="s">
        <v>7505</v>
      </c>
      <c r="I4192">
        <v>21</v>
      </c>
      <c r="J4192" t="s">
        <v>9067</v>
      </c>
      <c r="K4192">
        <v>10034</v>
      </c>
      <c r="L4192" t="s">
        <v>9094</v>
      </c>
      <c r="M4192" t="s">
        <v>9095</v>
      </c>
      <c r="N4192" t="s">
        <v>10648</v>
      </c>
      <c r="O4192" t="s">
        <v>11149</v>
      </c>
      <c r="P4192" t="s">
        <v>11165</v>
      </c>
      <c r="Q4192" t="s">
        <v>11173</v>
      </c>
      <c r="R4192" t="s">
        <v>11180</v>
      </c>
      <c r="S4192" t="s">
        <v>9096</v>
      </c>
      <c r="T4192" t="s">
        <v>11183</v>
      </c>
      <c r="V4192" t="s">
        <v>878</v>
      </c>
      <c r="W4192">
        <v>1200</v>
      </c>
      <c r="X4192" t="s">
        <v>11335</v>
      </c>
      <c r="Y4192" t="s">
        <v>11338</v>
      </c>
      <c r="Z4192" t="s">
        <v>14127</v>
      </c>
      <c r="AB4192" t="s">
        <v>18449</v>
      </c>
      <c r="AC4192">
        <v>24</v>
      </c>
      <c r="AD4192" t="s">
        <v>19566</v>
      </c>
      <c r="AE4192" t="s">
        <v>9144</v>
      </c>
      <c r="AF4192">
        <v>2</v>
      </c>
      <c r="AG4192">
        <v>3</v>
      </c>
      <c r="AH4192">
        <v>1</v>
      </c>
      <c r="AI4192">
        <v>156.42</v>
      </c>
      <c r="AL4192" t="s">
        <v>19614</v>
      </c>
      <c r="AM4192">
        <v>38480</v>
      </c>
      <c r="AS4192">
        <v>3.7</v>
      </c>
      <c r="AT4192" t="s">
        <v>613</v>
      </c>
      <c r="AU4192" t="s">
        <v>20724</v>
      </c>
    </row>
    <row r="4193" spans="1:48">
      <c r="A4193" s="1">
        <f>HYPERLINK("https://lsnyc.legalserver.org/matter/dynamic-profile/view/1905267","19-1905267")</f>
        <v>0</v>
      </c>
      <c r="B4193" t="s">
        <v>174</v>
      </c>
      <c r="C4193" t="s">
        <v>256</v>
      </c>
      <c r="D4193" t="s">
        <v>414</v>
      </c>
      <c r="F4193" t="s">
        <v>1956</v>
      </c>
      <c r="G4193" t="s">
        <v>2148</v>
      </c>
      <c r="H4193" t="s">
        <v>7615</v>
      </c>
      <c r="I4193" t="s">
        <v>8822</v>
      </c>
      <c r="J4193" t="s">
        <v>9065</v>
      </c>
      <c r="K4193">
        <v>10451</v>
      </c>
      <c r="L4193" t="s">
        <v>9094</v>
      </c>
      <c r="M4193" t="s">
        <v>9095</v>
      </c>
      <c r="N4193" t="s">
        <v>9171</v>
      </c>
      <c r="O4193" t="s">
        <v>9121</v>
      </c>
      <c r="P4193" t="s">
        <v>11164</v>
      </c>
      <c r="R4193" t="s">
        <v>11180</v>
      </c>
      <c r="S4193" t="s">
        <v>9096</v>
      </c>
      <c r="T4193" t="s">
        <v>11183</v>
      </c>
      <c r="V4193" t="s">
        <v>308</v>
      </c>
      <c r="W4193">
        <v>1630</v>
      </c>
      <c r="X4193" t="s">
        <v>11333</v>
      </c>
      <c r="Y4193" t="s">
        <v>11346</v>
      </c>
      <c r="Z4193" t="s">
        <v>12785</v>
      </c>
      <c r="AC4193">
        <v>260</v>
      </c>
      <c r="AD4193" t="s">
        <v>19574</v>
      </c>
      <c r="AE4193" t="s">
        <v>9144</v>
      </c>
      <c r="AF4193">
        <v>16</v>
      </c>
      <c r="AG4193">
        <v>1</v>
      </c>
      <c r="AH4193">
        <v>0</v>
      </c>
      <c r="AI4193">
        <v>156.61</v>
      </c>
      <c r="AL4193" t="s">
        <v>19614</v>
      </c>
      <c r="AM4193">
        <v>19560</v>
      </c>
      <c r="AS4193">
        <v>1.1</v>
      </c>
      <c r="AT4193" t="s">
        <v>664</v>
      </c>
      <c r="AU4193" t="s">
        <v>174</v>
      </c>
      <c r="AV4193" t="s">
        <v>20733</v>
      </c>
    </row>
    <row r="4194" spans="1:48">
      <c r="A4194" s="1">
        <f>HYPERLINK("https://lsnyc.legalserver.org/matter/dynamic-profile/view/1841882","17-1841882")</f>
        <v>0</v>
      </c>
      <c r="B4194" t="s">
        <v>114</v>
      </c>
      <c r="C4194" t="s">
        <v>256</v>
      </c>
      <c r="D4194" t="s">
        <v>644</v>
      </c>
      <c r="F4194" t="s">
        <v>2765</v>
      </c>
      <c r="G4194" t="s">
        <v>3991</v>
      </c>
      <c r="H4194" t="s">
        <v>7301</v>
      </c>
      <c r="I4194">
        <v>804</v>
      </c>
      <c r="J4194" t="s">
        <v>9065</v>
      </c>
      <c r="K4194">
        <v>10453</v>
      </c>
      <c r="L4194" t="s">
        <v>9094</v>
      </c>
      <c r="M4194" t="s">
        <v>9095</v>
      </c>
      <c r="N4194" t="s">
        <v>10649</v>
      </c>
      <c r="O4194" t="s">
        <v>11129</v>
      </c>
      <c r="P4194" t="s">
        <v>11165</v>
      </c>
      <c r="R4194" t="s">
        <v>11180</v>
      </c>
      <c r="S4194" t="s">
        <v>9096</v>
      </c>
      <c r="T4194" t="s">
        <v>11183</v>
      </c>
      <c r="V4194" t="s">
        <v>11232</v>
      </c>
      <c r="W4194">
        <v>1157</v>
      </c>
      <c r="X4194" t="s">
        <v>11333</v>
      </c>
      <c r="Z4194" t="s">
        <v>14128</v>
      </c>
      <c r="AB4194" t="s">
        <v>18450</v>
      </c>
      <c r="AC4194">
        <v>55</v>
      </c>
      <c r="AD4194" t="s">
        <v>19566</v>
      </c>
      <c r="AE4194" t="s">
        <v>19580</v>
      </c>
      <c r="AF4194">
        <v>7</v>
      </c>
      <c r="AG4194">
        <v>1</v>
      </c>
      <c r="AH4194">
        <v>2</v>
      </c>
      <c r="AI4194">
        <v>156.92</v>
      </c>
      <c r="AL4194" t="s">
        <v>19614</v>
      </c>
      <c r="AM4194">
        <v>32044.08</v>
      </c>
      <c r="AS4194">
        <v>66.55</v>
      </c>
      <c r="AT4194" t="s">
        <v>545</v>
      </c>
      <c r="AU4194" t="s">
        <v>20643</v>
      </c>
    </row>
    <row r="4195" spans="1:48">
      <c r="A4195" s="1">
        <f>HYPERLINK("https://lsnyc.legalserver.org/matter/dynamic-profile/view/1870466","18-1870466")</f>
        <v>0</v>
      </c>
      <c r="B4195" t="s">
        <v>141</v>
      </c>
      <c r="C4195" t="s">
        <v>257</v>
      </c>
      <c r="D4195" t="s">
        <v>400</v>
      </c>
      <c r="E4195" t="s">
        <v>444</v>
      </c>
      <c r="F4195" t="s">
        <v>1898</v>
      </c>
      <c r="G4195" t="s">
        <v>4143</v>
      </c>
      <c r="H4195" t="s">
        <v>5958</v>
      </c>
      <c r="I4195" t="s">
        <v>8156</v>
      </c>
      <c r="J4195" t="s">
        <v>9067</v>
      </c>
      <c r="K4195">
        <v>10032</v>
      </c>
      <c r="L4195" t="s">
        <v>9094</v>
      </c>
      <c r="M4195" t="s">
        <v>9095</v>
      </c>
      <c r="O4195" t="s">
        <v>11135</v>
      </c>
      <c r="P4195" t="s">
        <v>11167</v>
      </c>
      <c r="Q4195" t="s">
        <v>11172</v>
      </c>
      <c r="R4195" t="s">
        <v>11180</v>
      </c>
      <c r="S4195" t="s">
        <v>9094</v>
      </c>
      <c r="T4195" t="s">
        <v>11183</v>
      </c>
      <c r="V4195" t="s">
        <v>974</v>
      </c>
      <c r="W4195">
        <v>1245.95</v>
      </c>
      <c r="X4195" t="s">
        <v>11335</v>
      </c>
      <c r="Y4195" t="s">
        <v>11338</v>
      </c>
      <c r="Z4195" t="s">
        <v>14129</v>
      </c>
      <c r="AC4195">
        <v>49</v>
      </c>
      <c r="AD4195" t="s">
        <v>19566</v>
      </c>
      <c r="AE4195" t="s">
        <v>9144</v>
      </c>
      <c r="AF4195">
        <v>10</v>
      </c>
      <c r="AG4195">
        <v>1</v>
      </c>
      <c r="AH4195">
        <v>1</v>
      </c>
      <c r="AI4195">
        <v>157.21</v>
      </c>
      <c r="AL4195" t="s">
        <v>19615</v>
      </c>
      <c r="AM4195">
        <v>25876</v>
      </c>
      <c r="AS4195">
        <v>0</v>
      </c>
      <c r="AU4195" t="s">
        <v>130</v>
      </c>
    </row>
    <row r="4196" spans="1:48">
      <c r="A4196" s="1">
        <f>HYPERLINK("https://lsnyc.legalserver.org/matter/dynamic-profile/view/1880462","18-1880462")</f>
        <v>0</v>
      </c>
      <c r="B4196" t="s">
        <v>83</v>
      </c>
      <c r="C4196" t="s">
        <v>256</v>
      </c>
      <c r="D4196" t="s">
        <v>355</v>
      </c>
      <c r="F4196" t="s">
        <v>2368</v>
      </c>
      <c r="G4196" t="s">
        <v>1291</v>
      </c>
      <c r="H4196" t="s">
        <v>7616</v>
      </c>
      <c r="I4196" t="s">
        <v>8160</v>
      </c>
      <c r="J4196" t="s">
        <v>9059</v>
      </c>
      <c r="K4196">
        <v>11206</v>
      </c>
      <c r="L4196" t="s">
        <v>9094</v>
      </c>
      <c r="M4196" t="s">
        <v>9094</v>
      </c>
      <c r="N4196" t="s">
        <v>10650</v>
      </c>
      <c r="O4196" t="s">
        <v>11129</v>
      </c>
      <c r="P4196" t="s">
        <v>11165</v>
      </c>
      <c r="R4196" t="s">
        <v>11180</v>
      </c>
      <c r="T4196" t="s">
        <v>11183</v>
      </c>
      <c r="V4196" t="s">
        <v>697</v>
      </c>
      <c r="W4196">
        <v>0</v>
      </c>
      <c r="X4196" t="s">
        <v>11332</v>
      </c>
      <c r="Z4196" t="s">
        <v>11857</v>
      </c>
      <c r="AB4196" t="s">
        <v>18451</v>
      </c>
      <c r="AC4196">
        <v>0</v>
      </c>
      <c r="AF4196">
        <v>11</v>
      </c>
      <c r="AG4196">
        <v>2</v>
      </c>
      <c r="AH4196">
        <v>2</v>
      </c>
      <c r="AI4196">
        <v>157.29</v>
      </c>
      <c r="AL4196" t="s">
        <v>19614</v>
      </c>
      <c r="AM4196">
        <v>39480</v>
      </c>
      <c r="AS4196">
        <v>12.1</v>
      </c>
      <c r="AT4196" t="s">
        <v>688</v>
      </c>
      <c r="AU4196" t="s">
        <v>67</v>
      </c>
    </row>
    <row r="4197" spans="1:48">
      <c r="A4197" s="1">
        <f>HYPERLINK("https://lsnyc.legalserver.org/matter/dynamic-profile/view/1914679","19-1914679")</f>
        <v>0</v>
      </c>
      <c r="B4197" t="s">
        <v>117</v>
      </c>
      <c r="C4197" t="s">
        <v>256</v>
      </c>
      <c r="D4197" t="s">
        <v>301</v>
      </c>
      <c r="F4197" t="s">
        <v>1748</v>
      </c>
      <c r="G4197" t="s">
        <v>3922</v>
      </c>
      <c r="H4197" t="s">
        <v>7617</v>
      </c>
      <c r="I4197" t="s">
        <v>8124</v>
      </c>
      <c r="J4197" t="s">
        <v>9065</v>
      </c>
      <c r="K4197">
        <v>10451</v>
      </c>
      <c r="L4197" t="s">
        <v>9094</v>
      </c>
      <c r="M4197" t="s">
        <v>9095</v>
      </c>
      <c r="P4197" t="s">
        <v>11164</v>
      </c>
      <c r="R4197" t="s">
        <v>11180</v>
      </c>
      <c r="S4197" t="s">
        <v>9096</v>
      </c>
      <c r="T4197" t="s">
        <v>11183</v>
      </c>
      <c r="W4197">
        <v>0</v>
      </c>
      <c r="X4197" t="s">
        <v>11333</v>
      </c>
      <c r="Z4197" t="s">
        <v>11944</v>
      </c>
      <c r="AB4197" t="s">
        <v>16583</v>
      </c>
      <c r="AC4197">
        <v>0</v>
      </c>
      <c r="AE4197" t="s">
        <v>9144</v>
      </c>
      <c r="AF4197">
        <v>0</v>
      </c>
      <c r="AG4197">
        <v>2</v>
      </c>
      <c r="AH4197">
        <v>1</v>
      </c>
      <c r="AI4197">
        <v>157.52</v>
      </c>
      <c r="AL4197" t="s">
        <v>19615</v>
      </c>
      <c r="AM4197">
        <v>33600</v>
      </c>
      <c r="AS4197">
        <v>0</v>
      </c>
      <c r="AU4197" t="s">
        <v>20727</v>
      </c>
      <c r="AV4197" t="s">
        <v>20733</v>
      </c>
    </row>
    <row r="4198" spans="1:48">
      <c r="A4198" s="1">
        <f>HYPERLINK("https://lsnyc.legalserver.org/matter/dynamic-profile/view/1845386","17-1845386")</f>
        <v>0</v>
      </c>
      <c r="B4198" t="s">
        <v>111</v>
      </c>
      <c r="C4198" t="s">
        <v>256</v>
      </c>
      <c r="D4198" t="s">
        <v>548</v>
      </c>
      <c r="F4198" t="s">
        <v>2766</v>
      </c>
      <c r="G4198" t="s">
        <v>3498</v>
      </c>
      <c r="H4198" t="s">
        <v>7618</v>
      </c>
      <c r="I4198" t="s">
        <v>8823</v>
      </c>
      <c r="J4198" t="s">
        <v>9065</v>
      </c>
      <c r="K4198">
        <v>10456</v>
      </c>
      <c r="L4198" t="s">
        <v>9094</v>
      </c>
      <c r="M4198" t="s">
        <v>9095</v>
      </c>
      <c r="O4198" t="s">
        <v>9121</v>
      </c>
      <c r="P4198" t="s">
        <v>11167</v>
      </c>
      <c r="R4198" t="s">
        <v>11180</v>
      </c>
      <c r="S4198" t="s">
        <v>9094</v>
      </c>
      <c r="T4198" t="s">
        <v>11183</v>
      </c>
      <c r="V4198" t="s">
        <v>468</v>
      </c>
      <c r="W4198">
        <v>686.79</v>
      </c>
      <c r="X4198" t="s">
        <v>11333</v>
      </c>
      <c r="Y4198" t="s">
        <v>11346</v>
      </c>
      <c r="Z4198" t="s">
        <v>14130</v>
      </c>
      <c r="AB4198" t="s">
        <v>18452</v>
      </c>
      <c r="AC4198">
        <v>107</v>
      </c>
      <c r="AD4198" t="s">
        <v>19569</v>
      </c>
      <c r="AE4198" t="s">
        <v>9144</v>
      </c>
      <c r="AF4198">
        <v>34</v>
      </c>
      <c r="AG4198">
        <v>1</v>
      </c>
      <c r="AH4198">
        <v>0</v>
      </c>
      <c r="AI4198">
        <v>157.55</v>
      </c>
      <c r="AL4198" t="s">
        <v>19615</v>
      </c>
      <c r="AM4198">
        <v>19000</v>
      </c>
      <c r="AN4198" t="s">
        <v>20003</v>
      </c>
      <c r="AS4198">
        <v>0.1</v>
      </c>
      <c r="AT4198" t="s">
        <v>990</v>
      </c>
      <c r="AU4198" t="s">
        <v>20647</v>
      </c>
    </row>
    <row r="4199" spans="1:48">
      <c r="A4199" s="1">
        <f>HYPERLINK("https://lsnyc.legalserver.org/matter/dynamic-profile/view/1836438","17-1836438")</f>
        <v>0</v>
      </c>
      <c r="B4199" t="s">
        <v>136</v>
      </c>
      <c r="C4199" t="s">
        <v>256</v>
      </c>
      <c r="D4199" t="s">
        <v>557</v>
      </c>
      <c r="F4199" t="s">
        <v>2767</v>
      </c>
      <c r="G4199" t="s">
        <v>3418</v>
      </c>
      <c r="H4199" t="s">
        <v>7000</v>
      </c>
      <c r="I4199" t="s">
        <v>8229</v>
      </c>
      <c r="J4199" t="s">
        <v>9067</v>
      </c>
      <c r="K4199">
        <v>10029</v>
      </c>
      <c r="L4199" t="s">
        <v>9094</v>
      </c>
      <c r="M4199" t="s">
        <v>9095</v>
      </c>
      <c r="N4199" t="s">
        <v>10651</v>
      </c>
      <c r="O4199" t="s">
        <v>11128</v>
      </c>
      <c r="P4199" t="s">
        <v>11165</v>
      </c>
      <c r="R4199" t="s">
        <v>11180</v>
      </c>
      <c r="S4199" t="s">
        <v>9096</v>
      </c>
      <c r="T4199" t="s">
        <v>11183</v>
      </c>
      <c r="U4199" t="s">
        <v>11201</v>
      </c>
      <c r="V4199" t="s">
        <v>796</v>
      </c>
      <c r="W4199">
        <v>1085</v>
      </c>
      <c r="X4199" t="s">
        <v>11335</v>
      </c>
      <c r="Y4199" t="s">
        <v>11338</v>
      </c>
      <c r="Z4199" t="s">
        <v>14131</v>
      </c>
      <c r="AB4199" t="s">
        <v>18453</v>
      </c>
      <c r="AC4199">
        <v>10</v>
      </c>
      <c r="AD4199" t="s">
        <v>19566</v>
      </c>
      <c r="AE4199" t="s">
        <v>9144</v>
      </c>
      <c r="AF4199">
        <v>11</v>
      </c>
      <c r="AG4199">
        <v>1</v>
      </c>
      <c r="AH4199">
        <v>0</v>
      </c>
      <c r="AI4199">
        <v>157.55</v>
      </c>
      <c r="AL4199" t="s">
        <v>19614</v>
      </c>
      <c r="AM4199">
        <v>19000</v>
      </c>
      <c r="AS4199">
        <v>80.55</v>
      </c>
      <c r="AT4199" t="s">
        <v>453</v>
      </c>
      <c r="AU4199" t="s">
        <v>20657</v>
      </c>
      <c r="AV4199" t="s">
        <v>20733</v>
      </c>
    </row>
    <row r="4200" spans="1:48">
      <c r="A4200" s="1">
        <f>HYPERLINK("https://lsnyc.legalserver.org/matter/dynamic-profile/view/0822008","16-0822008")</f>
        <v>0</v>
      </c>
      <c r="B4200" t="s">
        <v>103</v>
      </c>
      <c r="C4200" t="s">
        <v>256</v>
      </c>
      <c r="D4200" t="s">
        <v>519</v>
      </c>
      <c r="F4200" t="s">
        <v>2355</v>
      </c>
      <c r="G4200" t="s">
        <v>3448</v>
      </c>
      <c r="H4200" t="s">
        <v>5899</v>
      </c>
      <c r="I4200" t="s">
        <v>8225</v>
      </c>
      <c r="J4200" t="s">
        <v>9065</v>
      </c>
      <c r="K4200">
        <v>10452</v>
      </c>
      <c r="L4200" t="s">
        <v>9094</v>
      </c>
      <c r="M4200" t="s">
        <v>9095</v>
      </c>
      <c r="O4200" t="s">
        <v>11135</v>
      </c>
      <c r="P4200" t="s">
        <v>11168</v>
      </c>
      <c r="R4200" t="s">
        <v>11180</v>
      </c>
      <c r="S4200" t="s">
        <v>9094</v>
      </c>
      <c r="T4200" t="s">
        <v>11183</v>
      </c>
      <c r="V4200" t="s">
        <v>519</v>
      </c>
      <c r="W4200">
        <v>778.01</v>
      </c>
      <c r="X4200" t="s">
        <v>11333</v>
      </c>
      <c r="Y4200" t="s">
        <v>11346</v>
      </c>
      <c r="Z4200" t="s">
        <v>12175</v>
      </c>
      <c r="AB4200" t="s">
        <v>18454</v>
      </c>
      <c r="AC4200">
        <v>63</v>
      </c>
      <c r="AD4200" t="s">
        <v>19566</v>
      </c>
      <c r="AE4200" t="s">
        <v>9144</v>
      </c>
      <c r="AF4200">
        <v>12</v>
      </c>
      <c r="AG4200">
        <v>2</v>
      </c>
      <c r="AH4200">
        <v>1</v>
      </c>
      <c r="AI4200">
        <v>157.6</v>
      </c>
      <c r="AL4200" t="s">
        <v>19615</v>
      </c>
      <c r="AM4200">
        <v>42172</v>
      </c>
      <c r="AS4200">
        <v>0.25</v>
      </c>
      <c r="AT4200" t="s">
        <v>394</v>
      </c>
      <c r="AU4200" t="s">
        <v>20643</v>
      </c>
    </row>
    <row r="4201" spans="1:48">
      <c r="A4201" s="1">
        <f>HYPERLINK("https://lsnyc.legalserver.org/matter/dynamic-profile/view/1885747","18-1885747")</f>
        <v>0</v>
      </c>
      <c r="B4201" t="s">
        <v>113</v>
      </c>
      <c r="C4201" t="s">
        <v>257</v>
      </c>
      <c r="D4201" t="s">
        <v>424</v>
      </c>
      <c r="E4201" t="s">
        <v>377</v>
      </c>
      <c r="F4201" t="s">
        <v>1324</v>
      </c>
      <c r="G4201" t="s">
        <v>5013</v>
      </c>
      <c r="H4201" t="s">
        <v>5864</v>
      </c>
      <c r="I4201" t="s">
        <v>8217</v>
      </c>
      <c r="J4201" t="s">
        <v>9065</v>
      </c>
      <c r="K4201">
        <v>10460</v>
      </c>
      <c r="L4201" t="s">
        <v>9094</v>
      </c>
      <c r="M4201" t="s">
        <v>9094</v>
      </c>
      <c r="N4201" t="s">
        <v>9222</v>
      </c>
      <c r="O4201" t="s">
        <v>11130</v>
      </c>
      <c r="P4201" t="s">
        <v>11165</v>
      </c>
      <c r="Q4201" t="s">
        <v>11174</v>
      </c>
      <c r="R4201" t="s">
        <v>11180</v>
      </c>
      <c r="S4201" t="s">
        <v>9094</v>
      </c>
      <c r="T4201" t="s">
        <v>11183</v>
      </c>
      <c r="V4201" t="s">
        <v>512</v>
      </c>
      <c r="W4201">
        <v>970</v>
      </c>
      <c r="X4201" t="s">
        <v>11333</v>
      </c>
      <c r="Y4201" t="s">
        <v>11346</v>
      </c>
      <c r="Z4201" t="s">
        <v>14093</v>
      </c>
      <c r="AB4201" t="s">
        <v>18417</v>
      </c>
      <c r="AC4201">
        <v>168</v>
      </c>
      <c r="AD4201" t="s">
        <v>19566</v>
      </c>
      <c r="AE4201" t="s">
        <v>9144</v>
      </c>
      <c r="AF4201">
        <v>11</v>
      </c>
      <c r="AG4201">
        <v>1</v>
      </c>
      <c r="AH4201">
        <v>1</v>
      </c>
      <c r="AI4201">
        <v>157.64</v>
      </c>
      <c r="AL4201" t="s">
        <v>19614</v>
      </c>
      <c r="AM4201">
        <v>25948</v>
      </c>
      <c r="AS4201">
        <v>1.25</v>
      </c>
      <c r="AT4201" t="s">
        <v>377</v>
      </c>
      <c r="AU4201" t="s">
        <v>20642</v>
      </c>
    </row>
    <row r="4202" spans="1:48">
      <c r="A4202" s="1">
        <f>HYPERLINK("https://lsnyc.legalserver.org/matter/dynamic-profile/view/1865729","18-1865729")</f>
        <v>0</v>
      </c>
      <c r="B4202" t="s">
        <v>151</v>
      </c>
      <c r="C4202" t="s">
        <v>257</v>
      </c>
      <c r="D4202" t="s">
        <v>1056</v>
      </c>
      <c r="E4202" t="s">
        <v>551</v>
      </c>
      <c r="F4202" t="s">
        <v>1526</v>
      </c>
      <c r="G4202" t="s">
        <v>3427</v>
      </c>
      <c r="H4202" t="s">
        <v>6078</v>
      </c>
      <c r="I4202" t="s">
        <v>8209</v>
      </c>
      <c r="J4202" t="s">
        <v>9059</v>
      </c>
      <c r="K4202">
        <v>11208</v>
      </c>
      <c r="L4202" t="s">
        <v>9094</v>
      </c>
      <c r="M4202" t="s">
        <v>9094</v>
      </c>
      <c r="N4202" t="s">
        <v>10652</v>
      </c>
      <c r="O4202" t="s">
        <v>11128</v>
      </c>
      <c r="P4202" t="s">
        <v>11165</v>
      </c>
      <c r="Q4202" t="s">
        <v>11177</v>
      </c>
      <c r="R4202" t="s">
        <v>11180</v>
      </c>
      <c r="S4202" t="s">
        <v>9096</v>
      </c>
      <c r="T4202" t="s">
        <v>11183</v>
      </c>
      <c r="V4202" t="s">
        <v>743</v>
      </c>
      <c r="W4202">
        <v>1515</v>
      </c>
      <c r="X4202" t="s">
        <v>11332</v>
      </c>
      <c r="Y4202" t="s">
        <v>11336</v>
      </c>
      <c r="Z4202" t="s">
        <v>11811</v>
      </c>
      <c r="AB4202" t="s">
        <v>16275</v>
      </c>
      <c r="AC4202">
        <v>3</v>
      </c>
      <c r="AD4202" t="s">
        <v>15441</v>
      </c>
      <c r="AE4202" t="s">
        <v>19586</v>
      </c>
      <c r="AF4202">
        <v>3</v>
      </c>
      <c r="AG4202">
        <v>2</v>
      </c>
      <c r="AH4202">
        <v>1</v>
      </c>
      <c r="AI4202">
        <v>157.65</v>
      </c>
      <c r="AL4202" t="s">
        <v>19614</v>
      </c>
      <c r="AM4202">
        <v>32760</v>
      </c>
      <c r="AS4202">
        <v>108.3</v>
      </c>
      <c r="AT4202" t="s">
        <v>497</v>
      </c>
      <c r="AU4202" t="s">
        <v>95</v>
      </c>
    </row>
    <row r="4203" spans="1:48">
      <c r="A4203" s="1">
        <f>HYPERLINK("https://lsnyc.legalserver.org/matter/dynamic-profile/view/1902038","19-1902038")</f>
        <v>0</v>
      </c>
      <c r="B4203" t="s">
        <v>134</v>
      </c>
      <c r="C4203" t="s">
        <v>256</v>
      </c>
      <c r="D4203" t="s">
        <v>319</v>
      </c>
      <c r="F4203" t="s">
        <v>1468</v>
      </c>
      <c r="G4203" t="s">
        <v>3448</v>
      </c>
      <c r="H4203" t="s">
        <v>7227</v>
      </c>
      <c r="I4203" t="s">
        <v>8139</v>
      </c>
      <c r="J4203" t="s">
        <v>9067</v>
      </c>
      <c r="K4203">
        <v>10034</v>
      </c>
      <c r="L4203" t="s">
        <v>9094</v>
      </c>
      <c r="M4203" t="s">
        <v>9095</v>
      </c>
      <c r="O4203" t="s">
        <v>9121</v>
      </c>
      <c r="P4203" t="s">
        <v>11167</v>
      </c>
      <c r="R4203" t="s">
        <v>11180</v>
      </c>
      <c r="S4203" t="s">
        <v>9096</v>
      </c>
      <c r="T4203" t="s">
        <v>11183</v>
      </c>
      <c r="V4203" t="s">
        <v>319</v>
      </c>
      <c r="W4203">
        <v>156</v>
      </c>
      <c r="X4203" t="s">
        <v>11335</v>
      </c>
      <c r="Y4203" t="s">
        <v>11338</v>
      </c>
      <c r="Z4203" t="s">
        <v>14132</v>
      </c>
      <c r="AB4203" t="s">
        <v>18455</v>
      </c>
      <c r="AC4203">
        <v>126</v>
      </c>
      <c r="AD4203" t="s">
        <v>19566</v>
      </c>
      <c r="AE4203" t="s">
        <v>9144</v>
      </c>
      <c r="AF4203">
        <v>7</v>
      </c>
      <c r="AG4203">
        <v>2</v>
      </c>
      <c r="AH4203">
        <v>1</v>
      </c>
      <c r="AI4203">
        <v>157.69</v>
      </c>
      <c r="AL4203" t="s">
        <v>19614</v>
      </c>
      <c r="AM4203">
        <v>33636</v>
      </c>
      <c r="AS4203">
        <v>27</v>
      </c>
      <c r="AT4203" t="s">
        <v>632</v>
      </c>
      <c r="AU4203" t="s">
        <v>130</v>
      </c>
      <c r="AV4203" t="s">
        <v>20733</v>
      </c>
    </row>
    <row r="4204" spans="1:48">
      <c r="A4204" s="1">
        <f>HYPERLINK("https://lsnyc.legalserver.org/matter/dynamic-profile/view/1833015","17-1833015")</f>
        <v>0</v>
      </c>
      <c r="B4204" t="s">
        <v>101</v>
      </c>
      <c r="C4204" t="s">
        <v>256</v>
      </c>
      <c r="D4204" t="s">
        <v>905</v>
      </c>
      <c r="F4204" t="s">
        <v>2768</v>
      </c>
      <c r="G4204" t="s">
        <v>4900</v>
      </c>
      <c r="H4204" t="s">
        <v>5898</v>
      </c>
      <c r="I4204" t="s">
        <v>8266</v>
      </c>
      <c r="J4204" t="s">
        <v>9065</v>
      </c>
      <c r="K4204">
        <v>10452</v>
      </c>
      <c r="L4204" t="s">
        <v>9094</v>
      </c>
      <c r="M4204" t="s">
        <v>9095</v>
      </c>
      <c r="N4204" t="s">
        <v>9251</v>
      </c>
      <c r="O4204" t="s">
        <v>11132</v>
      </c>
      <c r="P4204" t="s">
        <v>11165</v>
      </c>
      <c r="R4204" t="s">
        <v>11180</v>
      </c>
      <c r="S4204" t="s">
        <v>9094</v>
      </c>
      <c r="T4204" t="s">
        <v>11183</v>
      </c>
      <c r="V4204" t="s">
        <v>770</v>
      </c>
      <c r="W4204">
        <v>1068.74</v>
      </c>
      <c r="X4204" t="s">
        <v>11333</v>
      </c>
      <c r="Y4204" t="s">
        <v>11346</v>
      </c>
      <c r="Z4204" t="s">
        <v>14133</v>
      </c>
      <c r="AC4204">
        <v>0</v>
      </c>
      <c r="AD4204" t="s">
        <v>19566</v>
      </c>
      <c r="AE4204" t="s">
        <v>9144</v>
      </c>
      <c r="AF4204">
        <v>8</v>
      </c>
      <c r="AG4204">
        <v>2</v>
      </c>
      <c r="AH4204">
        <v>4</v>
      </c>
      <c r="AI4204">
        <v>157.77</v>
      </c>
      <c r="AL4204" t="s">
        <v>19614</v>
      </c>
      <c r="AM4204">
        <v>52000</v>
      </c>
      <c r="AS4204">
        <v>1</v>
      </c>
      <c r="AT4204" t="s">
        <v>716</v>
      </c>
      <c r="AU4204" t="s">
        <v>20643</v>
      </c>
    </row>
    <row r="4205" spans="1:48">
      <c r="A4205" s="1">
        <f>HYPERLINK("https://lsnyc.legalserver.org/matter/dynamic-profile/view/1897899","19-1897899")</f>
        <v>0</v>
      </c>
      <c r="B4205" t="s">
        <v>65</v>
      </c>
      <c r="C4205" t="s">
        <v>257</v>
      </c>
      <c r="D4205" t="s">
        <v>499</v>
      </c>
      <c r="E4205" t="s">
        <v>806</v>
      </c>
      <c r="F4205" t="s">
        <v>2769</v>
      </c>
      <c r="G4205" t="s">
        <v>5037</v>
      </c>
      <c r="H4205" t="s">
        <v>5744</v>
      </c>
      <c r="I4205">
        <v>26</v>
      </c>
      <c r="J4205" t="s">
        <v>9059</v>
      </c>
      <c r="K4205">
        <v>11238</v>
      </c>
      <c r="L4205" t="s">
        <v>9094</v>
      </c>
      <c r="M4205" t="s">
        <v>9094</v>
      </c>
      <c r="N4205" t="s">
        <v>10653</v>
      </c>
      <c r="O4205" t="s">
        <v>11134</v>
      </c>
      <c r="P4205" t="s">
        <v>11168</v>
      </c>
      <c r="Q4205" t="s">
        <v>11178</v>
      </c>
      <c r="R4205" t="s">
        <v>11180</v>
      </c>
      <c r="S4205" t="s">
        <v>9096</v>
      </c>
      <c r="T4205" t="s">
        <v>11183</v>
      </c>
      <c r="U4205" t="s">
        <v>11201</v>
      </c>
      <c r="V4205" t="s">
        <v>499</v>
      </c>
      <c r="W4205">
        <v>1247.4</v>
      </c>
      <c r="X4205" t="s">
        <v>11332</v>
      </c>
      <c r="Y4205" t="s">
        <v>11340</v>
      </c>
      <c r="Z4205" t="s">
        <v>14134</v>
      </c>
      <c r="AA4205" t="s">
        <v>15848</v>
      </c>
      <c r="AB4205" t="s">
        <v>18456</v>
      </c>
      <c r="AC4205">
        <v>41</v>
      </c>
      <c r="AD4205" t="s">
        <v>19566</v>
      </c>
      <c r="AF4205">
        <v>17</v>
      </c>
      <c r="AG4205">
        <v>2</v>
      </c>
      <c r="AH4205">
        <v>0</v>
      </c>
      <c r="AI4205">
        <v>157.79</v>
      </c>
      <c r="AL4205" t="s">
        <v>19614</v>
      </c>
      <c r="AM4205">
        <v>26682</v>
      </c>
      <c r="AP4205" t="s">
        <v>11157</v>
      </c>
      <c r="AQ4205" t="s">
        <v>20369</v>
      </c>
      <c r="AR4205" t="s">
        <v>20424</v>
      </c>
      <c r="AS4205">
        <v>2</v>
      </c>
      <c r="AT4205" t="s">
        <v>806</v>
      </c>
      <c r="AU4205" t="s">
        <v>65</v>
      </c>
      <c r="AV4205" t="s">
        <v>20734</v>
      </c>
    </row>
    <row r="4206" spans="1:48">
      <c r="A4206" s="1">
        <f>HYPERLINK("https://lsnyc.legalserver.org/matter/dynamic-profile/view/1910889","19-1910889")</f>
        <v>0</v>
      </c>
      <c r="B4206" t="s">
        <v>91</v>
      </c>
      <c r="C4206" t="s">
        <v>256</v>
      </c>
      <c r="D4206" t="s">
        <v>295</v>
      </c>
      <c r="F4206" t="s">
        <v>2770</v>
      </c>
      <c r="G4206" t="s">
        <v>1145</v>
      </c>
      <c r="H4206" t="s">
        <v>6615</v>
      </c>
      <c r="J4206" t="s">
        <v>9059</v>
      </c>
      <c r="K4206">
        <v>11212</v>
      </c>
      <c r="L4206" t="s">
        <v>9094</v>
      </c>
      <c r="M4206" t="s">
        <v>9095</v>
      </c>
      <c r="N4206" t="s">
        <v>9154</v>
      </c>
      <c r="O4206" t="s">
        <v>11133</v>
      </c>
      <c r="P4206" t="s">
        <v>11167</v>
      </c>
      <c r="R4206" t="s">
        <v>11180</v>
      </c>
      <c r="S4206" t="s">
        <v>9096</v>
      </c>
      <c r="T4206" t="s">
        <v>11183</v>
      </c>
      <c r="U4206" t="s">
        <v>11201</v>
      </c>
      <c r="V4206" t="s">
        <v>308</v>
      </c>
      <c r="W4206">
        <v>911.8</v>
      </c>
      <c r="X4206" t="s">
        <v>11332</v>
      </c>
      <c r="Y4206" t="s">
        <v>11157</v>
      </c>
      <c r="Z4206" t="s">
        <v>14135</v>
      </c>
      <c r="AA4206" t="s">
        <v>9171</v>
      </c>
      <c r="AB4206" t="s">
        <v>18457</v>
      </c>
      <c r="AC4206">
        <v>71</v>
      </c>
      <c r="AD4206" t="s">
        <v>19566</v>
      </c>
      <c r="AE4206" t="s">
        <v>9144</v>
      </c>
      <c r="AF4206">
        <v>30</v>
      </c>
      <c r="AG4206">
        <v>2</v>
      </c>
      <c r="AH4206">
        <v>0</v>
      </c>
      <c r="AI4206">
        <v>157.89</v>
      </c>
      <c r="AL4206" t="s">
        <v>19614</v>
      </c>
      <c r="AM4206">
        <v>26700</v>
      </c>
      <c r="AS4206">
        <v>8</v>
      </c>
      <c r="AT4206" t="s">
        <v>612</v>
      </c>
      <c r="AU4206" t="s">
        <v>95</v>
      </c>
      <c r="AV4206" t="s">
        <v>20733</v>
      </c>
    </row>
    <row r="4207" spans="1:48">
      <c r="A4207" s="1">
        <f>HYPERLINK("https://lsnyc.legalserver.org/matter/dynamic-profile/view/1875242","18-1875242")</f>
        <v>0</v>
      </c>
      <c r="B4207" t="s">
        <v>67</v>
      </c>
      <c r="C4207" t="s">
        <v>256</v>
      </c>
      <c r="D4207" t="s">
        <v>547</v>
      </c>
      <c r="F4207" t="s">
        <v>2771</v>
      </c>
      <c r="G4207" t="s">
        <v>3473</v>
      </c>
      <c r="H4207" t="s">
        <v>7619</v>
      </c>
      <c r="I4207" t="s">
        <v>8225</v>
      </c>
      <c r="J4207" t="s">
        <v>9059</v>
      </c>
      <c r="K4207">
        <v>11226</v>
      </c>
      <c r="L4207" t="s">
        <v>9095</v>
      </c>
      <c r="M4207" t="s">
        <v>9095</v>
      </c>
      <c r="R4207" t="s">
        <v>11180</v>
      </c>
      <c r="T4207" t="s">
        <v>11183</v>
      </c>
      <c r="W4207">
        <v>0</v>
      </c>
      <c r="X4207" t="s">
        <v>11332</v>
      </c>
      <c r="Z4207" t="s">
        <v>14136</v>
      </c>
      <c r="AB4207" t="s">
        <v>18458</v>
      </c>
      <c r="AC4207">
        <v>0</v>
      </c>
      <c r="AF4207">
        <v>0</v>
      </c>
      <c r="AG4207">
        <v>2</v>
      </c>
      <c r="AH4207">
        <v>0</v>
      </c>
      <c r="AI4207">
        <v>157.96</v>
      </c>
      <c r="AL4207" t="s">
        <v>19614</v>
      </c>
      <c r="AM4207">
        <v>26000</v>
      </c>
      <c r="AS4207">
        <v>0</v>
      </c>
      <c r="AU4207" t="s">
        <v>67</v>
      </c>
    </row>
    <row r="4208" spans="1:48">
      <c r="A4208" s="1">
        <f>HYPERLINK("https://lsnyc.legalserver.org/matter/dynamic-profile/view/1870938","18-1870938")</f>
        <v>0</v>
      </c>
      <c r="B4208" t="s">
        <v>62</v>
      </c>
      <c r="C4208" t="s">
        <v>257</v>
      </c>
      <c r="D4208" t="s">
        <v>659</v>
      </c>
      <c r="E4208" t="s">
        <v>416</v>
      </c>
      <c r="F4208" t="s">
        <v>1565</v>
      </c>
      <c r="G4208" t="s">
        <v>5038</v>
      </c>
      <c r="H4208" t="s">
        <v>7620</v>
      </c>
      <c r="I4208" t="s">
        <v>8229</v>
      </c>
      <c r="J4208" t="s">
        <v>9059</v>
      </c>
      <c r="K4208">
        <v>11207</v>
      </c>
      <c r="L4208" t="s">
        <v>9094</v>
      </c>
      <c r="M4208" t="s">
        <v>9094</v>
      </c>
      <c r="N4208" t="s">
        <v>10654</v>
      </c>
      <c r="O4208" t="s">
        <v>11129</v>
      </c>
      <c r="P4208" t="s">
        <v>11165</v>
      </c>
      <c r="Q4208" t="s">
        <v>11174</v>
      </c>
      <c r="R4208" t="s">
        <v>11180</v>
      </c>
      <c r="S4208" t="s">
        <v>9096</v>
      </c>
      <c r="T4208" t="s">
        <v>11183</v>
      </c>
      <c r="V4208" t="s">
        <v>871</v>
      </c>
      <c r="W4208">
        <v>1326</v>
      </c>
      <c r="X4208" t="s">
        <v>11332</v>
      </c>
      <c r="Y4208" t="s">
        <v>11340</v>
      </c>
      <c r="Z4208" t="s">
        <v>14137</v>
      </c>
      <c r="AA4208" t="s">
        <v>15849</v>
      </c>
      <c r="AB4208" t="s">
        <v>18459</v>
      </c>
      <c r="AC4208">
        <v>20</v>
      </c>
      <c r="AD4208" t="s">
        <v>19566</v>
      </c>
      <c r="AE4208" t="s">
        <v>9144</v>
      </c>
      <c r="AF4208">
        <v>4</v>
      </c>
      <c r="AG4208">
        <v>2</v>
      </c>
      <c r="AH4208">
        <v>0</v>
      </c>
      <c r="AI4208">
        <v>157.96</v>
      </c>
      <c r="AL4208" t="s">
        <v>19614</v>
      </c>
      <c r="AM4208">
        <v>26000</v>
      </c>
      <c r="AQ4208" t="s">
        <v>20368</v>
      </c>
      <c r="AR4208" t="s">
        <v>20415</v>
      </c>
      <c r="AS4208">
        <v>41.4</v>
      </c>
      <c r="AT4208" t="s">
        <v>416</v>
      </c>
      <c r="AU4208" t="s">
        <v>20632</v>
      </c>
    </row>
    <row r="4209" spans="1:48">
      <c r="A4209" s="1">
        <f>HYPERLINK("https://lsnyc.legalserver.org/matter/dynamic-profile/view/1871808","18-1871808")</f>
        <v>0</v>
      </c>
      <c r="B4209" t="s">
        <v>78</v>
      </c>
      <c r="C4209" t="s">
        <v>256</v>
      </c>
      <c r="D4209" t="s">
        <v>871</v>
      </c>
      <c r="F4209" t="s">
        <v>1318</v>
      </c>
      <c r="G4209" t="s">
        <v>2884</v>
      </c>
      <c r="H4209" t="s">
        <v>6277</v>
      </c>
      <c r="I4209" t="s">
        <v>8140</v>
      </c>
      <c r="J4209" t="s">
        <v>9059</v>
      </c>
      <c r="K4209">
        <v>11206</v>
      </c>
      <c r="L4209" t="s">
        <v>9094</v>
      </c>
      <c r="M4209" t="s">
        <v>9094</v>
      </c>
      <c r="N4209" t="s">
        <v>9553</v>
      </c>
      <c r="O4209" t="s">
        <v>11134</v>
      </c>
      <c r="P4209" t="s">
        <v>11168</v>
      </c>
      <c r="R4209" t="s">
        <v>11180</v>
      </c>
      <c r="S4209" t="s">
        <v>9094</v>
      </c>
      <c r="T4209" t="s">
        <v>11183</v>
      </c>
      <c r="V4209" t="s">
        <v>871</v>
      </c>
      <c r="W4209">
        <v>953</v>
      </c>
      <c r="X4209" t="s">
        <v>11332</v>
      </c>
      <c r="Y4209" t="s">
        <v>11157</v>
      </c>
      <c r="Z4209" t="s">
        <v>14138</v>
      </c>
      <c r="AC4209">
        <v>29</v>
      </c>
      <c r="AD4209" t="s">
        <v>19566</v>
      </c>
      <c r="AE4209" t="s">
        <v>19587</v>
      </c>
      <c r="AF4209">
        <v>24</v>
      </c>
      <c r="AG4209">
        <v>2</v>
      </c>
      <c r="AH4209">
        <v>0</v>
      </c>
      <c r="AI4209">
        <v>157.96</v>
      </c>
      <c r="AL4209" t="s">
        <v>19615</v>
      </c>
      <c r="AM4209">
        <v>26000</v>
      </c>
      <c r="AN4209" t="s">
        <v>19665</v>
      </c>
      <c r="AS4209">
        <v>0</v>
      </c>
      <c r="AU4209" t="s">
        <v>20637</v>
      </c>
    </row>
    <row r="4210" spans="1:48">
      <c r="A4210" s="1">
        <f>HYPERLINK("https://lsnyc.legalserver.org/matter/dynamic-profile/view/1882682","18-1882682")</f>
        <v>0</v>
      </c>
      <c r="B4210" t="s">
        <v>106</v>
      </c>
      <c r="C4210" t="s">
        <v>256</v>
      </c>
      <c r="D4210" t="s">
        <v>433</v>
      </c>
      <c r="F4210" t="s">
        <v>1419</v>
      </c>
      <c r="G4210" t="s">
        <v>5039</v>
      </c>
      <c r="H4210" t="s">
        <v>5874</v>
      </c>
      <c r="I4210" t="s">
        <v>8229</v>
      </c>
      <c r="J4210" t="s">
        <v>9065</v>
      </c>
      <c r="K4210">
        <v>10457</v>
      </c>
      <c r="L4210" t="s">
        <v>9094</v>
      </c>
      <c r="M4210" t="s">
        <v>9094</v>
      </c>
      <c r="N4210" t="s">
        <v>9230</v>
      </c>
      <c r="O4210" t="s">
        <v>11134</v>
      </c>
      <c r="P4210" t="s">
        <v>11168</v>
      </c>
      <c r="R4210" t="s">
        <v>11180</v>
      </c>
      <c r="S4210" t="s">
        <v>9094</v>
      </c>
      <c r="T4210" t="s">
        <v>11183</v>
      </c>
      <c r="V4210" t="s">
        <v>738</v>
      </c>
      <c r="W4210">
        <v>900</v>
      </c>
      <c r="X4210" t="s">
        <v>11333</v>
      </c>
      <c r="Y4210" t="s">
        <v>11346</v>
      </c>
      <c r="Z4210" t="s">
        <v>11776</v>
      </c>
      <c r="AB4210" t="s">
        <v>18460</v>
      </c>
      <c r="AC4210">
        <v>47</v>
      </c>
      <c r="AD4210" t="s">
        <v>19569</v>
      </c>
      <c r="AE4210" t="s">
        <v>9144</v>
      </c>
      <c r="AF4210">
        <v>40</v>
      </c>
      <c r="AG4210">
        <v>2</v>
      </c>
      <c r="AH4210">
        <v>0</v>
      </c>
      <c r="AI4210">
        <v>157.96</v>
      </c>
      <c r="AL4210" t="s">
        <v>19614</v>
      </c>
      <c r="AM4210">
        <v>26000</v>
      </c>
      <c r="AS4210">
        <v>0.1</v>
      </c>
      <c r="AT4210" t="s">
        <v>492</v>
      </c>
      <c r="AU4210" t="s">
        <v>20642</v>
      </c>
    </row>
    <row r="4211" spans="1:48">
      <c r="A4211" s="1">
        <f>HYPERLINK("https://lsnyc.legalserver.org/matter/dynamic-profile/view/1882659","18-1882659")</f>
        <v>0</v>
      </c>
      <c r="B4211" t="s">
        <v>106</v>
      </c>
      <c r="C4211" t="s">
        <v>256</v>
      </c>
      <c r="D4211" t="s">
        <v>433</v>
      </c>
      <c r="F4211" t="s">
        <v>1419</v>
      </c>
      <c r="G4211" t="s">
        <v>5039</v>
      </c>
      <c r="H4211" t="s">
        <v>5874</v>
      </c>
      <c r="I4211" t="s">
        <v>8229</v>
      </c>
      <c r="J4211" t="s">
        <v>9065</v>
      </c>
      <c r="K4211">
        <v>10457</v>
      </c>
      <c r="L4211" t="s">
        <v>9094</v>
      </c>
      <c r="M4211" t="s">
        <v>9094</v>
      </c>
      <c r="N4211" t="s">
        <v>9231</v>
      </c>
      <c r="O4211" t="s">
        <v>11130</v>
      </c>
      <c r="P4211" t="s">
        <v>11165</v>
      </c>
      <c r="R4211" t="s">
        <v>11180</v>
      </c>
      <c r="S4211" t="s">
        <v>9094</v>
      </c>
      <c r="T4211" t="s">
        <v>11183</v>
      </c>
      <c r="V4211" t="s">
        <v>738</v>
      </c>
      <c r="W4211">
        <v>900</v>
      </c>
      <c r="X4211" t="s">
        <v>11333</v>
      </c>
      <c r="Y4211" t="s">
        <v>11340</v>
      </c>
      <c r="Z4211" t="s">
        <v>11776</v>
      </c>
      <c r="AB4211" t="s">
        <v>18460</v>
      </c>
      <c r="AC4211">
        <v>47</v>
      </c>
      <c r="AD4211" t="s">
        <v>19569</v>
      </c>
      <c r="AE4211" t="s">
        <v>9144</v>
      </c>
      <c r="AF4211">
        <v>40</v>
      </c>
      <c r="AG4211">
        <v>2</v>
      </c>
      <c r="AH4211">
        <v>0</v>
      </c>
      <c r="AI4211">
        <v>157.96</v>
      </c>
      <c r="AL4211" t="s">
        <v>19614</v>
      </c>
      <c r="AM4211">
        <v>26000</v>
      </c>
      <c r="AS4211">
        <v>0.6</v>
      </c>
      <c r="AT4211" t="s">
        <v>337</v>
      </c>
      <c r="AU4211" t="s">
        <v>20642</v>
      </c>
    </row>
    <row r="4212" spans="1:48">
      <c r="A4212" s="1">
        <f>HYPERLINK("https://lsnyc.legalserver.org/matter/dynamic-profile/view/1882299","18-1882299")</f>
        <v>0</v>
      </c>
      <c r="B4212" t="s">
        <v>114</v>
      </c>
      <c r="C4212" t="s">
        <v>256</v>
      </c>
      <c r="D4212" t="s">
        <v>477</v>
      </c>
      <c r="F4212" t="s">
        <v>2189</v>
      </c>
      <c r="G4212" t="s">
        <v>5040</v>
      </c>
      <c r="H4212" t="s">
        <v>5907</v>
      </c>
      <c r="I4212" t="s">
        <v>8123</v>
      </c>
      <c r="J4212" t="s">
        <v>9065</v>
      </c>
      <c r="K4212">
        <v>10451</v>
      </c>
      <c r="L4212" t="s">
        <v>9094</v>
      </c>
      <c r="M4212" t="s">
        <v>9094</v>
      </c>
      <c r="N4212" t="s">
        <v>9259</v>
      </c>
      <c r="O4212" t="s">
        <v>11130</v>
      </c>
      <c r="P4212" t="s">
        <v>11165</v>
      </c>
      <c r="R4212" t="s">
        <v>11180</v>
      </c>
      <c r="S4212" t="s">
        <v>9094</v>
      </c>
      <c r="T4212" t="s">
        <v>11183</v>
      </c>
      <c r="V4212" t="s">
        <v>738</v>
      </c>
      <c r="W4212">
        <v>1000</v>
      </c>
      <c r="X4212" t="s">
        <v>11333</v>
      </c>
      <c r="Y4212" t="s">
        <v>11346</v>
      </c>
      <c r="Z4212" t="s">
        <v>14139</v>
      </c>
      <c r="AB4212" t="s">
        <v>18461</v>
      </c>
      <c r="AC4212">
        <v>100</v>
      </c>
      <c r="AD4212" t="s">
        <v>19566</v>
      </c>
      <c r="AE4212" t="s">
        <v>9144</v>
      </c>
      <c r="AF4212">
        <v>1</v>
      </c>
      <c r="AG4212">
        <v>2</v>
      </c>
      <c r="AH4212">
        <v>0</v>
      </c>
      <c r="AI4212">
        <v>157.96</v>
      </c>
      <c r="AL4212" t="s">
        <v>19615</v>
      </c>
      <c r="AM4212">
        <v>26000</v>
      </c>
      <c r="AS4212">
        <v>0</v>
      </c>
      <c r="AU4212" t="s">
        <v>163</v>
      </c>
    </row>
    <row r="4213" spans="1:48">
      <c r="A4213" s="1">
        <f>HYPERLINK("https://lsnyc.legalserver.org/matter/dynamic-profile/view/1887937","19-1887937")</f>
        <v>0</v>
      </c>
      <c r="B4213" t="s">
        <v>138</v>
      </c>
      <c r="C4213" t="s">
        <v>256</v>
      </c>
      <c r="D4213" t="s">
        <v>443</v>
      </c>
      <c r="F4213" t="s">
        <v>1381</v>
      </c>
      <c r="G4213" t="s">
        <v>5022</v>
      </c>
      <c r="H4213" t="s">
        <v>6093</v>
      </c>
      <c r="I4213">
        <v>33</v>
      </c>
      <c r="J4213" t="s">
        <v>9067</v>
      </c>
      <c r="K4213">
        <v>10034</v>
      </c>
      <c r="L4213" t="s">
        <v>9094</v>
      </c>
      <c r="M4213" t="s">
        <v>9094</v>
      </c>
      <c r="N4213" t="s">
        <v>9999</v>
      </c>
      <c r="O4213" t="s">
        <v>11130</v>
      </c>
      <c r="P4213" t="s">
        <v>11165</v>
      </c>
      <c r="R4213" t="s">
        <v>11180</v>
      </c>
      <c r="S4213" t="s">
        <v>9094</v>
      </c>
      <c r="T4213" t="s">
        <v>11183</v>
      </c>
      <c r="V4213" t="s">
        <v>443</v>
      </c>
      <c r="W4213">
        <v>839</v>
      </c>
      <c r="X4213" t="s">
        <v>11335</v>
      </c>
      <c r="Y4213" t="s">
        <v>11338</v>
      </c>
      <c r="Z4213" t="s">
        <v>14106</v>
      </c>
      <c r="AB4213" t="s">
        <v>18428</v>
      </c>
      <c r="AC4213">
        <v>25</v>
      </c>
      <c r="AD4213" t="s">
        <v>19566</v>
      </c>
      <c r="AE4213" t="s">
        <v>9144</v>
      </c>
      <c r="AF4213">
        <v>20</v>
      </c>
      <c r="AG4213">
        <v>2</v>
      </c>
      <c r="AH4213">
        <v>0</v>
      </c>
      <c r="AI4213">
        <v>157.96</v>
      </c>
      <c r="AL4213" t="s">
        <v>19614</v>
      </c>
      <c r="AM4213">
        <v>26000</v>
      </c>
      <c r="AS4213">
        <v>1.3</v>
      </c>
      <c r="AT4213" t="s">
        <v>1135</v>
      </c>
      <c r="AU4213" t="s">
        <v>130</v>
      </c>
    </row>
    <row r="4214" spans="1:48">
      <c r="A4214" s="1">
        <f>HYPERLINK("https://lsnyc.legalserver.org/matter/dynamic-profile/view/1878781","18-1878781")</f>
        <v>0</v>
      </c>
      <c r="B4214" t="s">
        <v>136</v>
      </c>
      <c r="C4214" t="s">
        <v>256</v>
      </c>
      <c r="D4214" t="s">
        <v>701</v>
      </c>
      <c r="F4214" t="s">
        <v>2203</v>
      </c>
      <c r="G4214" t="s">
        <v>3588</v>
      </c>
      <c r="H4214" t="s">
        <v>7475</v>
      </c>
      <c r="I4214">
        <v>7</v>
      </c>
      <c r="J4214" t="s">
        <v>9067</v>
      </c>
      <c r="K4214">
        <v>10029</v>
      </c>
      <c r="L4214" t="s">
        <v>9094</v>
      </c>
      <c r="M4214" t="s">
        <v>9094</v>
      </c>
      <c r="N4214" t="s">
        <v>10538</v>
      </c>
      <c r="O4214" t="s">
        <v>11130</v>
      </c>
      <c r="P4214" t="s">
        <v>11165</v>
      </c>
      <c r="R4214" t="s">
        <v>11180</v>
      </c>
      <c r="S4214" t="s">
        <v>9094</v>
      </c>
      <c r="T4214" t="s">
        <v>11183</v>
      </c>
      <c r="U4214" t="s">
        <v>11201</v>
      </c>
      <c r="V4214" t="s">
        <v>11296</v>
      </c>
      <c r="W4214">
        <v>900</v>
      </c>
      <c r="X4214" t="s">
        <v>11335</v>
      </c>
      <c r="Y4214" t="s">
        <v>11352</v>
      </c>
      <c r="Z4214" t="s">
        <v>14140</v>
      </c>
      <c r="AB4214" t="s">
        <v>18462</v>
      </c>
      <c r="AC4214">
        <v>8</v>
      </c>
      <c r="AD4214" t="s">
        <v>19566</v>
      </c>
      <c r="AE4214" t="s">
        <v>9144</v>
      </c>
      <c r="AF4214">
        <v>20</v>
      </c>
      <c r="AG4214">
        <v>2</v>
      </c>
      <c r="AH4214">
        <v>0</v>
      </c>
      <c r="AI4214">
        <v>157.96</v>
      </c>
      <c r="AL4214" t="s">
        <v>19615</v>
      </c>
      <c r="AM4214">
        <v>26000</v>
      </c>
      <c r="AS4214">
        <v>55.25</v>
      </c>
      <c r="AT4214" t="s">
        <v>331</v>
      </c>
      <c r="AU4214" t="s">
        <v>20629</v>
      </c>
    </row>
    <row r="4215" spans="1:48">
      <c r="A4215" s="1">
        <f>HYPERLINK("https://lsnyc.legalserver.org/matter/dynamic-profile/view/1882936","18-1882936")</f>
        <v>0</v>
      </c>
      <c r="B4215" t="s">
        <v>83</v>
      </c>
      <c r="C4215" t="s">
        <v>257</v>
      </c>
      <c r="D4215" t="s">
        <v>589</v>
      </c>
      <c r="E4215" t="s">
        <v>425</v>
      </c>
      <c r="F4215" t="s">
        <v>2362</v>
      </c>
      <c r="G4215" t="s">
        <v>4750</v>
      </c>
      <c r="H4215" t="s">
        <v>7302</v>
      </c>
      <c r="I4215" t="s">
        <v>8824</v>
      </c>
      <c r="J4215" t="s">
        <v>9059</v>
      </c>
      <c r="K4215">
        <v>11215</v>
      </c>
      <c r="L4215" t="s">
        <v>9094</v>
      </c>
      <c r="M4215" t="s">
        <v>9095</v>
      </c>
      <c r="O4215" t="s">
        <v>11128</v>
      </c>
      <c r="P4215" t="s">
        <v>11167</v>
      </c>
      <c r="Q4215" t="s">
        <v>11174</v>
      </c>
      <c r="R4215" t="s">
        <v>11180</v>
      </c>
      <c r="T4215" t="s">
        <v>11183</v>
      </c>
      <c r="V4215" t="s">
        <v>589</v>
      </c>
      <c r="W4215">
        <v>153.7</v>
      </c>
      <c r="X4215" t="s">
        <v>11332</v>
      </c>
      <c r="Y4215" t="s">
        <v>11340</v>
      </c>
      <c r="Z4215" t="s">
        <v>14141</v>
      </c>
      <c r="AB4215" t="s">
        <v>17960</v>
      </c>
      <c r="AC4215">
        <v>3</v>
      </c>
      <c r="AF4215">
        <v>6</v>
      </c>
      <c r="AG4215">
        <v>1</v>
      </c>
      <c r="AH4215">
        <v>0</v>
      </c>
      <c r="AI4215">
        <v>158.15</v>
      </c>
      <c r="AL4215" t="s">
        <v>19614</v>
      </c>
      <c r="AM4215">
        <v>19200</v>
      </c>
      <c r="AN4215" t="s">
        <v>20004</v>
      </c>
      <c r="AS4215">
        <v>7.9</v>
      </c>
      <c r="AT4215" t="s">
        <v>700</v>
      </c>
      <c r="AU4215" t="s">
        <v>20628</v>
      </c>
      <c r="AV4215" t="s">
        <v>20733</v>
      </c>
    </row>
    <row r="4216" spans="1:48">
      <c r="A4216" s="1">
        <f>HYPERLINK("https://lsnyc.legalserver.org/matter/dynamic-profile/view/1872368","18-1872368")</f>
        <v>0</v>
      </c>
      <c r="B4216" t="s">
        <v>64</v>
      </c>
      <c r="C4216" t="s">
        <v>257</v>
      </c>
      <c r="D4216" t="s">
        <v>620</v>
      </c>
      <c r="E4216" t="s">
        <v>549</v>
      </c>
      <c r="F4216" t="s">
        <v>2772</v>
      </c>
      <c r="G4216" t="s">
        <v>5041</v>
      </c>
      <c r="H4216" t="s">
        <v>7621</v>
      </c>
      <c r="I4216" t="s">
        <v>8201</v>
      </c>
      <c r="J4216" t="s">
        <v>9059</v>
      </c>
      <c r="K4216">
        <v>11209</v>
      </c>
      <c r="L4216" t="s">
        <v>9096</v>
      </c>
      <c r="M4216" t="s">
        <v>9095</v>
      </c>
      <c r="O4216" t="s">
        <v>9121</v>
      </c>
      <c r="P4216" t="s">
        <v>11164</v>
      </c>
      <c r="Q4216" t="s">
        <v>11172</v>
      </c>
      <c r="R4216" t="s">
        <v>11180</v>
      </c>
      <c r="S4216" t="s">
        <v>9094</v>
      </c>
      <c r="T4216" t="s">
        <v>11183</v>
      </c>
      <c r="V4216" t="s">
        <v>620</v>
      </c>
      <c r="W4216">
        <v>5000</v>
      </c>
      <c r="X4216" t="s">
        <v>11332</v>
      </c>
      <c r="Z4216" t="s">
        <v>14142</v>
      </c>
      <c r="AB4216" t="s">
        <v>18463</v>
      </c>
      <c r="AC4216">
        <v>3</v>
      </c>
      <c r="AD4216" t="s">
        <v>15441</v>
      </c>
      <c r="AE4216" t="s">
        <v>9144</v>
      </c>
      <c r="AF4216">
        <v>4</v>
      </c>
      <c r="AG4216">
        <v>1</v>
      </c>
      <c r="AH4216">
        <v>0</v>
      </c>
      <c r="AI4216">
        <v>158.15</v>
      </c>
      <c r="AL4216" t="s">
        <v>19614</v>
      </c>
      <c r="AM4216">
        <v>19200</v>
      </c>
      <c r="AS4216">
        <v>0.5</v>
      </c>
      <c r="AT4216" t="s">
        <v>620</v>
      </c>
      <c r="AU4216" t="s">
        <v>20635</v>
      </c>
      <c r="AV4216" t="s">
        <v>9144</v>
      </c>
    </row>
    <row r="4217" spans="1:48">
      <c r="A4217" s="1">
        <f>HYPERLINK("https://lsnyc.legalserver.org/matter/dynamic-profile/view/1845320","17-1845320")</f>
        <v>0</v>
      </c>
      <c r="B4217" t="s">
        <v>150</v>
      </c>
      <c r="C4217" t="s">
        <v>256</v>
      </c>
      <c r="D4217" t="s">
        <v>548</v>
      </c>
      <c r="F4217" t="s">
        <v>2773</v>
      </c>
      <c r="G4217" t="s">
        <v>3332</v>
      </c>
      <c r="H4217" t="s">
        <v>6207</v>
      </c>
      <c r="I4217" t="s">
        <v>8537</v>
      </c>
      <c r="J4217" t="s">
        <v>9059</v>
      </c>
      <c r="K4217">
        <v>11213</v>
      </c>
      <c r="L4217" t="s">
        <v>9094</v>
      </c>
      <c r="M4217" t="s">
        <v>9095</v>
      </c>
      <c r="O4217" t="s">
        <v>11130</v>
      </c>
      <c r="P4217" t="s">
        <v>11165</v>
      </c>
      <c r="R4217" t="s">
        <v>11180</v>
      </c>
      <c r="S4217" t="s">
        <v>9094</v>
      </c>
      <c r="T4217" t="s">
        <v>11183</v>
      </c>
      <c r="V4217" t="s">
        <v>837</v>
      </c>
      <c r="W4217">
        <v>0</v>
      </c>
      <c r="X4217" t="s">
        <v>11332</v>
      </c>
      <c r="Z4217" t="s">
        <v>14143</v>
      </c>
      <c r="AC4217">
        <v>74</v>
      </c>
      <c r="AD4217" t="s">
        <v>19566</v>
      </c>
      <c r="AF4217">
        <v>0</v>
      </c>
      <c r="AG4217">
        <v>1</v>
      </c>
      <c r="AH4217">
        <v>0</v>
      </c>
      <c r="AI4217">
        <v>158.21</v>
      </c>
      <c r="AJ4217" t="s">
        <v>1108</v>
      </c>
      <c r="AL4217" t="s">
        <v>19614</v>
      </c>
      <c r="AM4217">
        <v>19080</v>
      </c>
      <c r="AS4217">
        <v>0</v>
      </c>
      <c r="AU4217" t="s">
        <v>20636</v>
      </c>
    </row>
    <row r="4218" spans="1:48">
      <c r="A4218" s="1">
        <f>HYPERLINK("https://lsnyc.legalserver.org/matter/dynamic-profile/view/1902689","19-1902689")</f>
        <v>0</v>
      </c>
      <c r="B4218" t="s">
        <v>129</v>
      </c>
      <c r="C4218" t="s">
        <v>256</v>
      </c>
      <c r="D4218" t="s">
        <v>597</v>
      </c>
      <c r="F4218" t="s">
        <v>2774</v>
      </c>
      <c r="G4218" t="s">
        <v>5042</v>
      </c>
      <c r="H4218" t="s">
        <v>7622</v>
      </c>
      <c r="I4218" t="s">
        <v>8330</v>
      </c>
      <c r="J4218" t="s">
        <v>9066</v>
      </c>
      <c r="K4218">
        <v>10301</v>
      </c>
      <c r="L4218" t="s">
        <v>9094</v>
      </c>
      <c r="M4218" t="s">
        <v>9095</v>
      </c>
      <c r="N4218" t="s">
        <v>10655</v>
      </c>
      <c r="O4218" t="s">
        <v>11128</v>
      </c>
      <c r="P4218" t="s">
        <v>11165</v>
      </c>
      <c r="R4218" t="s">
        <v>11180</v>
      </c>
      <c r="S4218" t="s">
        <v>9096</v>
      </c>
      <c r="T4218" t="s">
        <v>11183</v>
      </c>
      <c r="U4218" t="s">
        <v>11201</v>
      </c>
      <c r="V4218" t="s">
        <v>597</v>
      </c>
      <c r="W4218">
        <v>1025</v>
      </c>
      <c r="X4218" t="s">
        <v>11334</v>
      </c>
      <c r="Y4218" t="s">
        <v>11345</v>
      </c>
      <c r="Z4218" t="s">
        <v>14144</v>
      </c>
      <c r="AB4218" t="s">
        <v>18464</v>
      </c>
      <c r="AC4218">
        <v>2</v>
      </c>
      <c r="AD4218" t="s">
        <v>19565</v>
      </c>
      <c r="AE4218" t="s">
        <v>9144</v>
      </c>
      <c r="AF4218">
        <v>6</v>
      </c>
      <c r="AG4218">
        <v>1</v>
      </c>
      <c r="AH4218">
        <v>0</v>
      </c>
      <c r="AI4218">
        <v>158.21</v>
      </c>
      <c r="AL4218" t="s">
        <v>19614</v>
      </c>
      <c r="AM4218">
        <v>19760</v>
      </c>
      <c r="AO4218" t="s">
        <v>20301</v>
      </c>
      <c r="AS4218">
        <v>34.45</v>
      </c>
      <c r="AT4218" t="s">
        <v>487</v>
      </c>
      <c r="AU4218" t="s">
        <v>20653</v>
      </c>
      <c r="AV4218" t="s">
        <v>20733</v>
      </c>
    </row>
    <row r="4219" spans="1:48">
      <c r="A4219" s="1">
        <f>HYPERLINK("https://lsnyc.legalserver.org/matter/dynamic-profile/view/1903631","19-1903631")</f>
        <v>0</v>
      </c>
      <c r="B4219" t="s">
        <v>143</v>
      </c>
      <c r="C4219" t="s">
        <v>257</v>
      </c>
      <c r="D4219" t="s">
        <v>700</v>
      </c>
      <c r="E4219" t="s">
        <v>307</v>
      </c>
      <c r="F4219" t="s">
        <v>2442</v>
      </c>
      <c r="G4219" t="s">
        <v>5043</v>
      </c>
      <c r="H4219" t="s">
        <v>7623</v>
      </c>
      <c r="I4219" t="s">
        <v>8208</v>
      </c>
      <c r="J4219" t="s">
        <v>9067</v>
      </c>
      <c r="K4219">
        <v>10021</v>
      </c>
      <c r="L4219" t="s">
        <v>9094</v>
      </c>
      <c r="M4219" t="s">
        <v>9095</v>
      </c>
      <c r="N4219" t="s">
        <v>10656</v>
      </c>
      <c r="O4219" t="s">
        <v>11129</v>
      </c>
      <c r="P4219" t="s">
        <v>11164</v>
      </c>
      <c r="Q4219" t="s">
        <v>11172</v>
      </c>
      <c r="R4219" t="s">
        <v>11180</v>
      </c>
      <c r="S4219" t="s">
        <v>9096</v>
      </c>
      <c r="T4219" t="s">
        <v>11183</v>
      </c>
      <c r="V4219" t="s">
        <v>307</v>
      </c>
      <c r="W4219">
        <v>830.13</v>
      </c>
      <c r="X4219" t="s">
        <v>11335</v>
      </c>
      <c r="Y4219" t="s">
        <v>11346</v>
      </c>
      <c r="Z4219" t="s">
        <v>14145</v>
      </c>
      <c r="AB4219" t="s">
        <v>18465</v>
      </c>
      <c r="AC4219">
        <v>20</v>
      </c>
      <c r="AD4219" t="s">
        <v>19566</v>
      </c>
      <c r="AF4219">
        <v>43</v>
      </c>
      <c r="AG4219">
        <v>1</v>
      </c>
      <c r="AH4219">
        <v>0</v>
      </c>
      <c r="AI4219">
        <v>158.33</v>
      </c>
      <c r="AL4219" t="s">
        <v>19614</v>
      </c>
      <c r="AM4219">
        <v>19776</v>
      </c>
      <c r="AS4219">
        <v>0.8</v>
      </c>
      <c r="AT4219" t="s">
        <v>341</v>
      </c>
      <c r="AU4219" t="s">
        <v>20658</v>
      </c>
      <c r="AV4219" t="s">
        <v>20733</v>
      </c>
    </row>
    <row r="4220" spans="1:48">
      <c r="A4220" s="1">
        <f>HYPERLINK("https://lsnyc.legalserver.org/matter/dynamic-profile/view/1900440","19-1900440")</f>
        <v>0</v>
      </c>
      <c r="B4220" t="s">
        <v>82</v>
      </c>
      <c r="C4220" t="s">
        <v>256</v>
      </c>
      <c r="D4220" t="s">
        <v>262</v>
      </c>
      <c r="F4220" t="s">
        <v>2261</v>
      </c>
      <c r="G4220" t="s">
        <v>1362</v>
      </c>
      <c r="H4220" t="s">
        <v>6393</v>
      </c>
      <c r="I4220" t="s">
        <v>8178</v>
      </c>
      <c r="J4220" t="s">
        <v>9059</v>
      </c>
      <c r="K4220">
        <v>11226</v>
      </c>
      <c r="L4220" t="s">
        <v>9094</v>
      </c>
      <c r="M4220" t="s">
        <v>9095</v>
      </c>
      <c r="N4220" t="s">
        <v>10657</v>
      </c>
      <c r="O4220" t="s">
        <v>11130</v>
      </c>
      <c r="P4220" t="s">
        <v>11165</v>
      </c>
      <c r="R4220" t="s">
        <v>11180</v>
      </c>
      <c r="S4220" t="s">
        <v>9094</v>
      </c>
      <c r="T4220" t="s">
        <v>11183</v>
      </c>
      <c r="U4220" t="s">
        <v>11201</v>
      </c>
      <c r="V4220" t="s">
        <v>262</v>
      </c>
      <c r="W4220">
        <v>1150</v>
      </c>
      <c r="X4220" t="s">
        <v>11332</v>
      </c>
      <c r="Y4220" t="s">
        <v>11339</v>
      </c>
      <c r="Z4220" t="s">
        <v>12325</v>
      </c>
      <c r="AB4220" t="s">
        <v>17470</v>
      </c>
      <c r="AC4220">
        <v>36</v>
      </c>
      <c r="AD4220" t="s">
        <v>19566</v>
      </c>
      <c r="AE4220" t="s">
        <v>9144</v>
      </c>
      <c r="AF4220">
        <v>13</v>
      </c>
      <c r="AG4220">
        <v>3</v>
      </c>
      <c r="AH4220">
        <v>0</v>
      </c>
      <c r="AI4220">
        <v>158.46</v>
      </c>
      <c r="AL4220" t="s">
        <v>19637</v>
      </c>
      <c r="AM4220">
        <v>33800</v>
      </c>
      <c r="AS4220">
        <v>0.2</v>
      </c>
      <c r="AT4220" t="s">
        <v>262</v>
      </c>
      <c r="AU4220" t="s">
        <v>67</v>
      </c>
      <c r="AV4220" t="s">
        <v>20733</v>
      </c>
    </row>
    <row r="4221" spans="1:48">
      <c r="A4221" s="1">
        <f>HYPERLINK("https://lsnyc.legalserver.org/matter/dynamic-profile/view/0832076","17-0832076")</f>
        <v>0</v>
      </c>
      <c r="B4221" t="s">
        <v>102</v>
      </c>
      <c r="C4221" t="s">
        <v>256</v>
      </c>
      <c r="D4221" t="s">
        <v>896</v>
      </c>
      <c r="F4221" t="s">
        <v>1314</v>
      </c>
      <c r="G4221" t="s">
        <v>3220</v>
      </c>
      <c r="H4221" t="s">
        <v>7624</v>
      </c>
      <c r="I4221" t="s">
        <v>8175</v>
      </c>
      <c r="J4221" t="s">
        <v>9065</v>
      </c>
      <c r="K4221">
        <v>10453</v>
      </c>
      <c r="L4221" t="s">
        <v>9094</v>
      </c>
      <c r="M4221" t="s">
        <v>9095</v>
      </c>
      <c r="N4221" t="s">
        <v>10658</v>
      </c>
      <c r="O4221" t="s">
        <v>11130</v>
      </c>
      <c r="P4221" t="s">
        <v>11165</v>
      </c>
      <c r="R4221" t="s">
        <v>11180</v>
      </c>
      <c r="S4221" t="s">
        <v>9094</v>
      </c>
      <c r="T4221" t="s">
        <v>11190</v>
      </c>
      <c r="V4221" t="s">
        <v>770</v>
      </c>
      <c r="W4221">
        <v>984.75</v>
      </c>
      <c r="X4221" t="s">
        <v>11333</v>
      </c>
      <c r="Y4221" t="s">
        <v>11341</v>
      </c>
      <c r="Z4221" t="s">
        <v>14146</v>
      </c>
      <c r="AC4221">
        <v>48</v>
      </c>
      <c r="AD4221" t="s">
        <v>19566</v>
      </c>
      <c r="AE4221" t="s">
        <v>9144</v>
      </c>
      <c r="AF4221">
        <v>3</v>
      </c>
      <c r="AG4221">
        <v>2</v>
      </c>
      <c r="AH4221">
        <v>2</v>
      </c>
      <c r="AI4221">
        <v>158.54</v>
      </c>
      <c r="AL4221" t="s">
        <v>19615</v>
      </c>
      <c r="AM4221">
        <v>39000</v>
      </c>
      <c r="AS4221">
        <v>43.75</v>
      </c>
      <c r="AT4221" t="s">
        <v>575</v>
      </c>
      <c r="AU4221" t="s">
        <v>20635</v>
      </c>
    </row>
    <row r="4222" spans="1:48">
      <c r="A4222" s="1">
        <f>HYPERLINK("https://lsnyc.legalserver.org/matter/dynamic-profile/view/1899225","19-1899225")</f>
        <v>0</v>
      </c>
      <c r="B4222" t="s">
        <v>159</v>
      </c>
      <c r="C4222" t="s">
        <v>256</v>
      </c>
      <c r="D4222" t="s">
        <v>486</v>
      </c>
      <c r="F4222" t="s">
        <v>2166</v>
      </c>
      <c r="G4222" t="s">
        <v>3529</v>
      </c>
      <c r="H4222" t="s">
        <v>7625</v>
      </c>
      <c r="I4222" t="s">
        <v>8187</v>
      </c>
      <c r="J4222" t="s">
        <v>9065</v>
      </c>
      <c r="K4222">
        <v>10467</v>
      </c>
      <c r="L4222" t="s">
        <v>9094</v>
      </c>
      <c r="M4222" t="s">
        <v>9095</v>
      </c>
      <c r="O4222" t="s">
        <v>11133</v>
      </c>
      <c r="P4222" t="s">
        <v>11166</v>
      </c>
      <c r="R4222" t="s">
        <v>11180</v>
      </c>
      <c r="S4222" t="s">
        <v>9096</v>
      </c>
      <c r="T4222" t="s">
        <v>11189</v>
      </c>
      <c r="V4222" t="s">
        <v>11218</v>
      </c>
      <c r="W4222">
        <v>1238.17</v>
      </c>
      <c r="X4222" t="s">
        <v>11333</v>
      </c>
      <c r="Y4222" t="s">
        <v>11347</v>
      </c>
      <c r="Z4222" t="s">
        <v>13399</v>
      </c>
      <c r="AB4222" t="s">
        <v>18466</v>
      </c>
      <c r="AC4222">
        <v>26</v>
      </c>
      <c r="AD4222" t="s">
        <v>19566</v>
      </c>
      <c r="AE4222" t="s">
        <v>9144</v>
      </c>
      <c r="AF4222">
        <v>4</v>
      </c>
      <c r="AG4222">
        <v>2</v>
      </c>
      <c r="AH4222">
        <v>0</v>
      </c>
      <c r="AI4222">
        <v>158.58</v>
      </c>
      <c r="AL4222" t="s">
        <v>19614</v>
      </c>
      <c r="AM4222">
        <v>26816.52</v>
      </c>
      <c r="AN4222" t="s">
        <v>20005</v>
      </c>
      <c r="AS4222">
        <v>2.5</v>
      </c>
      <c r="AT4222" t="s">
        <v>333</v>
      </c>
      <c r="AU4222" t="s">
        <v>20647</v>
      </c>
      <c r="AV4222" t="s">
        <v>20733</v>
      </c>
    </row>
    <row r="4223" spans="1:48">
      <c r="A4223" s="1">
        <f>HYPERLINK("https://lsnyc.legalserver.org/matter/dynamic-profile/view/1896402","19-1896402")</f>
        <v>0</v>
      </c>
      <c r="B4223" t="s">
        <v>52</v>
      </c>
      <c r="C4223" t="s">
        <v>257</v>
      </c>
      <c r="D4223" t="s">
        <v>350</v>
      </c>
      <c r="E4223" t="s">
        <v>1016</v>
      </c>
      <c r="F4223" t="s">
        <v>1793</v>
      </c>
      <c r="G4223" t="s">
        <v>3650</v>
      </c>
      <c r="H4223" t="s">
        <v>5692</v>
      </c>
      <c r="I4223">
        <v>40</v>
      </c>
      <c r="J4223" t="s">
        <v>9038</v>
      </c>
      <c r="K4223">
        <v>11691</v>
      </c>
      <c r="L4223" t="s">
        <v>9094</v>
      </c>
      <c r="M4223" t="s">
        <v>9094</v>
      </c>
      <c r="O4223" t="s">
        <v>11134</v>
      </c>
      <c r="P4223" t="s">
        <v>11167</v>
      </c>
      <c r="Q4223" t="s">
        <v>11173</v>
      </c>
      <c r="R4223" t="s">
        <v>11180</v>
      </c>
      <c r="S4223" t="s">
        <v>9094</v>
      </c>
      <c r="T4223" t="s">
        <v>11183</v>
      </c>
      <c r="U4223" t="s">
        <v>11201</v>
      </c>
      <c r="V4223" t="s">
        <v>11217</v>
      </c>
      <c r="W4223">
        <v>660</v>
      </c>
      <c r="X4223" t="s">
        <v>11331</v>
      </c>
      <c r="Y4223" t="s">
        <v>11336</v>
      </c>
      <c r="Z4223" t="s">
        <v>13489</v>
      </c>
      <c r="AA4223" t="s">
        <v>15274</v>
      </c>
      <c r="AB4223" t="s">
        <v>17827</v>
      </c>
      <c r="AC4223">
        <v>43</v>
      </c>
      <c r="AD4223" t="s">
        <v>19566</v>
      </c>
      <c r="AE4223" t="s">
        <v>9144</v>
      </c>
      <c r="AF4223">
        <v>40</v>
      </c>
      <c r="AG4223">
        <v>2</v>
      </c>
      <c r="AH4223">
        <v>0</v>
      </c>
      <c r="AI4223">
        <v>158.6</v>
      </c>
      <c r="AL4223" t="s">
        <v>19614</v>
      </c>
      <c r="AM4223">
        <v>26820</v>
      </c>
      <c r="AS4223">
        <v>0.1</v>
      </c>
      <c r="AT4223" t="s">
        <v>1016</v>
      </c>
      <c r="AU4223" t="s">
        <v>20622</v>
      </c>
      <c r="AV4223" t="s">
        <v>20733</v>
      </c>
    </row>
    <row r="4224" spans="1:48">
      <c r="A4224" s="1">
        <f>HYPERLINK("https://lsnyc.legalserver.org/matter/dynamic-profile/view/1896408","19-1896408")</f>
        <v>0</v>
      </c>
      <c r="B4224" t="s">
        <v>52</v>
      </c>
      <c r="C4224" t="s">
        <v>256</v>
      </c>
      <c r="D4224" t="s">
        <v>350</v>
      </c>
      <c r="F4224" t="s">
        <v>1793</v>
      </c>
      <c r="G4224" t="s">
        <v>3650</v>
      </c>
      <c r="H4224" t="s">
        <v>5692</v>
      </c>
      <c r="I4224">
        <v>40</v>
      </c>
      <c r="J4224" t="s">
        <v>9038</v>
      </c>
      <c r="K4224">
        <v>11691</v>
      </c>
      <c r="L4224" t="s">
        <v>9094</v>
      </c>
      <c r="M4224" t="s">
        <v>9094</v>
      </c>
      <c r="O4224" t="s">
        <v>11134</v>
      </c>
      <c r="P4224" t="s">
        <v>11167</v>
      </c>
      <c r="R4224" t="s">
        <v>11180</v>
      </c>
      <c r="S4224" t="s">
        <v>9094</v>
      </c>
      <c r="T4224" t="s">
        <v>11183</v>
      </c>
      <c r="V4224" t="s">
        <v>350</v>
      </c>
      <c r="W4224">
        <v>660</v>
      </c>
      <c r="X4224" t="s">
        <v>11331</v>
      </c>
      <c r="Y4224" t="s">
        <v>11339</v>
      </c>
      <c r="Z4224" t="s">
        <v>13489</v>
      </c>
      <c r="AA4224" t="s">
        <v>15274</v>
      </c>
      <c r="AB4224" t="s">
        <v>17827</v>
      </c>
      <c r="AC4224">
        <v>43</v>
      </c>
      <c r="AD4224" t="s">
        <v>19566</v>
      </c>
      <c r="AE4224" t="s">
        <v>9144</v>
      </c>
      <c r="AF4224">
        <v>40</v>
      </c>
      <c r="AG4224">
        <v>2</v>
      </c>
      <c r="AH4224">
        <v>0</v>
      </c>
      <c r="AI4224">
        <v>158.6</v>
      </c>
      <c r="AL4224" t="s">
        <v>19614</v>
      </c>
      <c r="AM4224">
        <v>26820</v>
      </c>
      <c r="AS4224">
        <v>0</v>
      </c>
      <c r="AU4224" t="s">
        <v>20622</v>
      </c>
    </row>
    <row r="4225" spans="1:48">
      <c r="A4225" s="1">
        <f>HYPERLINK("https://lsnyc.legalserver.org/matter/dynamic-profile/view/1867681","18-1867681")</f>
        <v>0</v>
      </c>
      <c r="B4225" t="s">
        <v>114</v>
      </c>
      <c r="C4225" t="s">
        <v>256</v>
      </c>
      <c r="D4225" t="s">
        <v>921</v>
      </c>
      <c r="F4225" t="s">
        <v>2775</v>
      </c>
      <c r="G4225" t="s">
        <v>5044</v>
      </c>
      <c r="H4225" t="s">
        <v>7085</v>
      </c>
      <c r="I4225" t="s">
        <v>8189</v>
      </c>
      <c r="J4225" t="s">
        <v>9065</v>
      </c>
      <c r="K4225">
        <v>10459</v>
      </c>
      <c r="L4225" t="s">
        <v>9094</v>
      </c>
      <c r="M4225" t="s">
        <v>9095</v>
      </c>
      <c r="N4225" t="s">
        <v>10659</v>
      </c>
      <c r="O4225" t="s">
        <v>11128</v>
      </c>
      <c r="P4225" t="s">
        <v>11165</v>
      </c>
      <c r="R4225" t="s">
        <v>11180</v>
      </c>
      <c r="T4225" t="s">
        <v>11183</v>
      </c>
      <c r="V4225" t="s">
        <v>11295</v>
      </c>
      <c r="W4225">
        <v>810</v>
      </c>
      <c r="X4225" t="s">
        <v>11333</v>
      </c>
      <c r="Z4225" t="s">
        <v>12454</v>
      </c>
      <c r="AC4225">
        <v>0</v>
      </c>
      <c r="AF4225">
        <v>0</v>
      </c>
      <c r="AG4225">
        <v>3</v>
      </c>
      <c r="AH4225">
        <v>2</v>
      </c>
      <c r="AI4225">
        <v>159.06</v>
      </c>
      <c r="AM4225">
        <v>46796.4</v>
      </c>
      <c r="AN4225" t="s">
        <v>19716</v>
      </c>
      <c r="AS4225">
        <v>39.65</v>
      </c>
      <c r="AT4225" t="s">
        <v>685</v>
      </c>
      <c r="AU4225" t="s">
        <v>163</v>
      </c>
    </row>
    <row r="4226" spans="1:48">
      <c r="A4226" s="1">
        <f>HYPERLINK("https://lsnyc.legalserver.org/matter/dynamic-profile/view/1842921","17-1842921")</f>
        <v>0</v>
      </c>
      <c r="B4226" t="s">
        <v>122</v>
      </c>
      <c r="C4226" t="s">
        <v>257</v>
      </c>
      <c r="D4226" t="s">
        <v>480</v>
      </c>
      <c r="E4226" t="s">
        <v>414</v>
      </c>
      <c r="F4226" t="s">
        <v>1212</v>
      </c>
      <c r="G4226" t="s">
        <v>5045</v>
      </c>
      <c r="H4226" t="s">
        <v>5911</v>
      </c>
      <c r="I4226" t="s">
        <v>8825</v>
      </c>
      <c r="J4226" t="s">
        <v>9066</v>
      </c>
      <c r="K4226">
        <v>10314</v>
      </c>
      <c r="L4226" t="s">
        <v>9094</v>
      </c>
      <c r="M4226" t="s">
        <v>9095</v>
      </c>
      <c r="N4226" t="s">
        <v>9260</v>
      </c>
      <c r="O4226" t="s">
        <v>11135</v>
      </c>
      <c r="P4226" t="s">
        <v>11168</v>
      </c>
      <c r="Q4226" t="s">
        <v>11177</v>
      </c>
      <c r="R4226" t="s">
        <v>11180</v>
      </c>
      <c r="S4226" t="s">
        <v>9094</v>
      </c>
      <c r="T4226" t="s">
        <v>11183</v>
      </c>
      <c r="U4226" t="s">
        <v>11201</v>
      </c>
      <c r="V4226" t="s">
        <v>712</v>
      </c>
      <c r="W4226">
        <v>922</v>
      </c>
      <c r="X4226" t="s">
        <v>11334</v>
      </c>
      <c r="Y4226" t="s">
        <v>11339</v>
      </c>
      <c r="Z4226" t="s">
        <v>14147</v>
      </c>
      <c r="AB4226" t="s">
        <v>18467</v>
      </c>
      <c r="AC4226">
        <v>96</v>
      </c>
      <c r="AD4226" t="s">
        <v>19566</v>
      </c>
      <c r="AE4226" t="s">
        <v>9144</v>
      </c>
      <c r="AF4226">
        <v>1</v>
      </c>
      <c r="AG4226">
        <v>1</v>
      </c>
      <c r="AH4226">
        <v>0</v>
      </c>
      <c r="AI4226">
        <v>159.2</v>
      </c>
      <c r="AJ4226" t="s">
        <v>19594</v>
      </c>
      <c r="AL4226" t="s">
        <v>19614</v>
      </c>
      <c r="AM4226">
        <v>19200</v>
      </c>
      <c r="AO4226" t="s">
        <v>20293</v>
      </c>
      <c r="AP4226" t="s">
        <v>20316</v>
      </c>
      <c r="AQ4226" t="s">
        <v>20369</v>
      </c>
      <c r="AR4226" t="s">
        <v>20385</v>
      </c>
      <c r="AS4226">
        <v>0.9</v>
      </c>
      <c r="AT4226" t="s">
        <v>414</v>
      </c>
      <c r="AU4226" t="s">
        <v>128</v>
      </c>
      <c r="AV4226" t="s">
        <v>20733</v>
      </c>
    </row>
    <row r="4227" spans="1:48">
      <c r="A4227" s="1">
        <f>HYPERLINK("https://lsnyc.legalserver.org/matter/dynamic-profile/view/1912555","19-1912555")</f>
        <v>0</v>
      </c>
      <c r="B4227" t="s">
        <v>71</v>
      </c>
      <c r="C4227" t="s">
        <v>256</v>
      </c>
      <c r="D4227" t="s">
        <v>263</v>
      </c>
      <c r="F4227" t="s">
        <v>1602</v>
      </c>
      <c r="G4227" t="s">
        <v>3763</v>
      </c>
      <c r="H4227" t="s">
        <v>7626</v>
      </c>
      <c r="I4227">
        <v>2</v>
      </c>
      <c r="J4227" t="s">
        <v>9059</v>
      </c>
      <c r="K4227">
        <v>11233</v>
      </c>
      <c r="L4227" t="s">
        <v>9094</v>
      </c>
      <c r="M4227" t="s">
        <v>9095</v>
      </c>
      <c r="N4227" t="s">
        <v>10660</v>
      </c>
      <c r="O4227" t="s">
        <v>11129</v>
      </c>
      <c r="P4227" t="s">
        <v>11169</v>
      </c>
      <c r="R4227" t="s">
        <v>11180</v>
      </c>
      <c r="S4227" t="s">
        <v>9096</v>
      </c>
      <c r="T4227" t="s">
        <v>11183</v>
      </c>
      <c r="V4227" t="s">
        <v>570</v>
      </c>
      <c r="W4227">
        <v>2400</v>
      </c>
      <c r="X4227" t="s">
        <v>11332</v>
      </c>
      <c r="Y4227" t="s">
        <v>11345</v>
      </c>
      <c r="Z4227" t="s">
        <v>11912</v>
      </c>
      <c r="AA4227" t="s">
        <v>15850</v>
      </c>
      <c r="AB4227" t="s">
        <v>16372</v>
      </c>
      <c r="AC4227">
        <v>2</v>
      </c>
      <c r="AD4227" t="s">
        <v>19565</v>
      </c>
      <c r="AE4227" t="s">
        <v>9144</v>
      </c>
      <c r="AF4227">
        <v>0</v>
      </c>
      <c r="AG4227">
        <v>2</v>
      </c>
      <c r="AH4227">
        <v>2</v>
      </c>
      <c r="AI4227">
        <v>159.22</v>
      </c>
      <c r="AL4227" t="s">
        <v>19614</v>
      </c>
      <c r="AM4227">
        <v>41000</v>
      </c>
      <c r="AS4227">
        <v>3.8</v>
      </c>
      <c r="AT4227" t="s">
        <v>632</v>
      </c>
      <c r="AU4227" t="s">
        <v>79</v>
      </c>
      <c r="AV4227" t="s">
        <v>20733</v>
      </c>
    </row>
    <row r="4228" spans="1:48">
      <c r="A4228" s="1">
        <f>HYPERLINK("https://lsnyc.legalserver.org/matter/dynamic-profile/view/1869020","18-1869020")</f>
        <v>0</v>
      </c>
      <c r="B4228" t="s">
        <v>197</v>
      </c>
      <c r="C4228" t="s">
        <v>256</v>
      </c>
      <c r="D4228" t="s">
        <v>281</v>
      </c>
      <c r="F4228" t="s">
        <v>2776</v>
      </c>
      <c r="G4228" t="s">
        <v>3588</v>
      </c>
      <c r="H4228" t="s">
        <v>7627</v>
      </c>
      <c r="I4228" t="s">
        <v>8189</v>
      </c>
      <c r="J4228" t="s">
        <v>9067</v>
      </c>
      <c r="K4228">
        <v>10034</v>
      </c>
      <c r="L4228" t="s">
        <v>9094</v>
      </c>
      <c r="M4228" t="s">
        <v>9095</v>
      </c>
      <c r="N4228" t="s">
        <v>10661</v>
      </c>
      <c r="O4228" t="s">
        <v>11135</v>
      </c>
      <c r="P4228" t="s">
        <v>11168</v>
      </c>
      <c r="R4228" t="s">
        <v>11180</v>
      </c>
      <c r="S4228" t="s">
        <v>9094</v>
      </c>
      <c r="T4228" t="s">
        <v>11183</v>
      </c>
      <c r="V4228" t="s">
        <v>281</v>
      </c>
      <c r="W4228">
        <v>1297.87</v>
      </c>
      <c r="X4228" t="s">
        <v>11335</v>
      </c>
      <c r="Y4228" t="s">
        <v>11351</v>
      </c>
      <c r="Z4228" t="s">
        <v>13450</v>
      </c>
      <c r="AB4228" t="s">
        <v>18468</v>
      </c>
      <c r="AC4228">
        <v>72</v>
      </c>
      <c r="AD4228" t="s">
        <v>19566</v>
      </c>
      <c r="AE4228" t="s">
        <v>9144</v>
      </c>
      <c r="AF4228">
        <v>28</v>
      </c>
      <c r="AG4228">
        <v>2</v>
      </c>
      <c r="AH4228">
        <v>2</v>
      </c>
      <c r="AI4228">
        <v>159.36</v>
      </c>
      <c r="AL4228" t="s">
        <v>19614</v>
      </c>
      <c r="AM4228">
        <v>40000</v>
      </c>
      <c r="AS4228">
        <v>0</v>
      </c>
      <c r="AU4228" t="s">
        <v>130</v>
      </c>
    </row>
    <row r="4229" spans="1:48">
      <c r="A4229" s="1">
        <f>HYPERLINK("https://lsnyc.legalserver.org/matter/dynamic-profile/view/1869025","18-1869025")</f>
        <v>0</v>
      </c>
      <c r="B4229" t="s">
        <v>197</v>
      </c>
      <c r="C4229" t="s">
        <v>256</v>
      </c>
      <c r="D4229" t="s">
        <v>281</v>
      </c>
      <c r="F4229" t="s">
        <v>2776</v>
      </c>
      <c r="G4229" t="s">
        <v>3588</v>
      </c>
      <c r="H4229" t="s">
        <v>7627</v>
      </c>
      <c r="I4229" t="s">
        <v>8189</v>
      </c>
      <c r="J4229" t="s">
        <v>9067</v>
      </c>
      <c r="K4229">
        <v>10034</v>
      </c>
      <c r="L4229" t="s">
        <v>9094</v>
      </c>
      <c r="M4229" t="s">
        <v>9095</v>
      </c>
      <c r="N4229" t="s">
        <v>10662</v>
      </c>
      <c r="O4229" t="s">
        <v>11135</v>
      </c>
      <c r="P4229" t="s">
        <v>11168</v>
      </c>
      <c r="R4229" t="s">
        <v>11180</v>
      </c>
      <c r="S4229" t="s">
        <v>9094</v>
      </c>
      <c r="T4229" t="s">
        <v>11183</v>
      </c>
      <c r="V4229" t="s">
        <v>281</v>
      </c>
      <c r="W4229">
        <v>1297.87</v>
      </c>
      <c r="X4229" t="s">
        <v>11335</v>
      </c>
      <c r="Y4229" t="s">
        <v>11351</v>
      </c>
      <c r="Z4229" t="s">
        <v>13450</v>
      </c>
      <c r="AB4229" t="s">
        <v>18468</v>
      </c>
      <c r="AC4229">
        <v>72</v>
      </c>
      <c r="AD4229" t="s">
        <v>19566</v>
      </c>
      <c r="AE4229" t="s">
        <v>9144</v>
      </c>
      <c r="AF4229">
        <v>28</v>
      </c>
      <c r="AG4229">
        <v>2</v>
      </c>
      <c r="AH4229">
        <v>2</v>
      </c>
      <c r="AI4229">
        <v>159.36</v>
      </c>
      <c r="AL4229" t="s">
        <v>19614</v>
      </c>
      <c r="AM4229">
        <v>40000</v>
      </c>
      <c r="AS4229">
        <v>0</v>
      </c>
      <c r="AU4229" t="s">
        <v>130</v>
      </c>
    </row>
    <row r="4230" spans="1:48">
      <c r="A4230" s="1">
        <f>HYPERLINK("https://lsnyc.legalserver.org/matter/dynamic-profile/view/1879536","18-1879536")</f>
        <v>0</v>
      </c>
      <c r="B4230" t="s">
        <v>50</v>
      </c>
      <c r="C4230" t="s">
        <v>256</v>
      </c>
      <c r="D4230" t="s">
        <v>452</v>
      </c>
      <c r="F4230" t="s">
        <v>2777</v>
      </c>
      <c r="G4230" t="s">
        <v>5046</v>
      </c>
      <c r="H4230" t="s">
        <v>7628</v>
      </c>
      <c r="I4230">
        <v>302</v>
      </c>
      <c r="J4230" t="s">
        <v>9037</v>
      </c>
      <c r="K4230">
        <v>11692</v>
      </c>
      <c r="L4230" t="s">
        <v>9094</v>
      </c>
      <c r="M4230" t="s">
        <v>9094</v>
      </c>
      <c r="N4230" t="s">
        <v>10663</v>
      </c>
      <c r="O4230" t="s">
        <v>11129</v>
      </c>
      <c r="P4230" t="s">
        <v>11164</v>
      </c>
      <c r="R4230" t="s">
        <v>11180</v>
      </c>
      <c r="S4230" t="s">
        <v>9096</v>
      </c>
      <c r="T4230" t="s">
        <v>11183</v>
      </c>
      <c r="U4230" t="s">
        <v>11202</v>
      </c>
      <c r="V4230" t="s">
        <v>452</v>
      </c>
      <c r="W4230">
        <v>1325</v>
      </c>
      <c r="X4230" t="s">
        <v>11331</v>
      </c>
      <c r="Y4230" t="s">
        <v>11336</v>
      </c>
      <c r="Z4230" t="s">
        <v>14148</v>
      </c>
      <c r="AA4230" t="s">
        <v>15851</v>
      </c>
      <c r="AB4230" t="s">
        <v>18469</v>
      </c>
      <c r="AC4230">
        <v>8</v>
      </c>
      <c r="AD4230" t="s">
        <v>19566</v>
      </c>
      <c r="AE4230" t="s">
        <v>9144</v>
      </c>
      <c r="AF4230">
        <v>20</v>
      </c>
      <c r="AG4230">
        <v>4</v>
      </c>
      <c r="AH4230">
        <v>0</v>
      </c>
      <c r="AI4230">
        <v>159.4</v>
      </c>
      <c r="AL4230" t="s">
        <v>19614</v>
      </c>
      <c r="AM4230">
        <v>40010</v>
      </c>
      <c r="AS4230">
        <v>2.17</v>
      </c>
      <c r="AT4230" t="s">
        <v>551</v>
      </c>
      <c r="AU4230" t="s">
        <v>153</v>
      </c>
    </row>
    <row r="4231" spans="1:48">
      <c r="A4231" s="1">
        <f>HYPERLINK("https://lsnyc.legalserver.org/matter/dynamic-profile/view/1910497","19-1910497")</f>
        <v>0</v>
      </c>
      <c r="B4231" t="s">
        <v>69</v>
      </c>
      <c r="C4231" t="s">
        <v>256</v>
      </c>
      <c r="D4231" t="s">
        <v>341</v>
      </c>
      <c r="F4231" t="s">
        <v>2778</v>
      </c>
      <c r="G4231" t="s">
        <v>3733</v>
      </c>
      <c r="H4231" t="s">
        <v>7629</v>
      </c>
      <c r="I4231" t="s">
        <v>8161</v>
      </c>
      <c r="J4231" t="s">
        <v>9059</v>
      </c>
      <c r="K4231">
        <v>11208</v>
      </c>
      <c r="L4231" t="s">
        <v>9094</v>
      </c>
      <c r="M4231" t="s">
        <v>9095</v>
      </c>
      <c r="N4231" t="s">
        <v>10664</v>
      </c>
      <c r="O4231" t="s">
        <v>11129</v>
      </c>
      <c r="P4231" t="s">
        <v>11168</v>
      </c>
      <c r="R4231" t="s">
        <v>11180</v>
      </c>
      <c r="S4231" t="s">
        <v>9096</v>
      </c>
      <c r="T4231" t="s">
        <v>11184</v>
      </c>
      <c r="U4231" t="s">
        <v>11201</v>
      </c>
      <c r="V4231" t="s">
        <v>664</v>
      </c>
      <c r="W4231">
        <v>1515</v>
      </c>
      <c r="X4231" t="s">
        <v>11332</v>
      </c>
      <c r="Y4231" t="s">
        <v>11340</v>
      </c>
      <c r="Z4231" t="s">
        <v>11531</v>
      </c>
      <c r="AA4231" t="s">
        <v>15852</v>
      </c>
      <c r="AB4231" t="s">
        <v>18470</v>
      </c>
      <c r="AC4231">
        <v>6</v>
      </c>
      <c r="AD4231" t="s">
        <v>19566</v>
      </c>
      <c r="AE4231" t="s">
        <v>19581</v>
      </c>
      <c r="AF4231">
        <v>3</v>
      </c>
      <c r="AG4231">
        <v>1</v>
      </c>
      <c r="AH4231">
        <v>2</v>
      </c>
      <c r="AI4231">
        <v>159.4</v>
      </c>
      <c r="AL4231" t="s">
        <v>19614</v>
      </c>
      <c r="AM4231">
        <v>34000</v>
      </c>
      <c r="AS4231">
        <v>12.75</v>
      </c>
      <c r="AT4231" t="s">
        <v>321</v>
      </c>
      <c r="AU4231" t="s">
        <v>95</v>
      </c>
      <c r="AV4231" t="s">
        <v>20733</v>
      </c>
    </row>
    <row r="4232" spans="1:48">
      <c r="A4232" s="1">
        <f>HYPERLINK("https://lsnyc.legalserver.org/matter/dynamic-profile/view/1911026","19-1911026")</f>
        <v>0</v>
      </c>
      <c r="B4232" t="s">
        <v>136</v>
      </c>
      <c r="C4232" t="s">
        <v>256</v>
      </c>
      <c r="D4232" t="s">
        <v>648</v>
      </c>
      <c r="F4232" t="s">
        <v>2779</v>
      </c>
      <c r="G4232" t="s">
        <v>2968</v>
      </c>
      <c r="H4232" t="s">
        <v>7630</v>
      </c>
      <c r="I4232" t="s">
        <v>8139</v>
      </c>
      <c r="J4232" t="s">
        <v>9067</v>
      </c>
      <c r="K4232">
        <v>10034</v>
      </c>
      <c r="L4232" t="s">
        <v>9094</v>
      </c>
      <c r="M4232" t="s">
        <v>9095</v>
      </c>
      <c r="O4232" t="s">
        <v>9121</v>
      </c>
      <c r="P4232" t="s">
        <v>11167</v>
      </c>
      <c r="R4232" t="s">
        <v>11180</v>
      </c>
      <c r="S4232" t="s">
        <v>9096</v>
      </c>
      <c r="T4232" t="s">
        <v>11183</v>
      </c>
      <c r="U4232" t="s">
        <v>11201</v>
      </c>
      <c r="V4232" t="s">
        <v>648</v>
      </c>
      <c r="W4232">
        <v>1607</v>
      </c>
      <c r="X4232" t="s">
        <v>11335</v>
      </c>
      <c r="Y4232" t="s">
        <v>11340</v>
      </c>
      <c r="Z4232" t="s">
        <v>14149</v>
      </c>
      <c r="AB4232" t="s">
        <v>18471</v>
      </c>
      <c r="AC4232">
        <v>70</v>
      </c>
      <c r="AD4232" t="s">
        <v>19566</v>
      </c>
      <c r="AE4232" t="s">
        <v>9144</v>
      </c>
      <c r="AF4232">
        <v>12</v>
      </c>
      <c r="AG4232">
        <v>1</v>
      </c>
      <c r="AH4232">
        <v>0</v>
      </c>
      <c r="AI4232">
        <v>159.49</v>
      </c>
      <c r="AL4232" t="s">
        <v>19614</v>
      </c>
      <c r="AM4232">
        <v>19920</v>
      </c>
      <c r="AS4232">
        <v>1</v>
      </c>
      <c r="AT4232" t="s">
        <v>632</v>
      </c>
      <c r="AU4232" t="s">
        <v>20657</v>
      </c>
      <c r="AV4232" t="s">
        <v>20733</v>
      </c>
    </row>
    <row r="4233" spans="1:48">
      <c r="A4233" s="1">
        <f>HYPERLINK("https://lsnyc.legalserver.org/matter/dynamic-profile/view/1901325","19-1901325")</f>
        <v>0</v>
      </c>
      <c r="B4233" t="s">
        <v>49</v>
      </c>
      <c r="C4233" t="s">
        <v>257</v>
      </c>
      <c r="D4233" t="s">
        <v>471</v>
      </c>
      <c r="E4233" t="s">
        <v>476</v>
      </c>
      <c r="F4233" t="s">
        <v>2780</v>
      </c>
      <c r="G4233" t="s">
        <v>3698</v>
      </c>
      <c r="H4233" t="s">
        <v>7631</v>
      </c>
      <c r="I4233" t="s">
        <v>8826</v>
      </c>
      <c r="J4233" t="s">
        <v>9055</v>
      </c>
      <c r="K4233">
        <v>11354</v>
      </c>
      <c r="L4233" t="s">
        <v>9095</v>
      </c>
      <c r="M4233" t="s">
        <v>9095</v>
      </c>
      <c r="N4233" t="s">
        <v>9154</v>
      </c>
      <c r="O4233" t="s">
        <v>9121</v>
      </c>
      <c r="P4233" t="s">
        <v>11164</v>
      </c>
      <c r="Q4233" t="s">
        <v>11172</v>
      </c>
      <c r="R4233" t="s">
        <v>11180</v>
      </c>
      <c r="S4233" t="s">
        <v>9096</v>
      </c>
      <c r="T4233" t="s">
        <v>11183</v>
      </c>
      <c r="U4233" t="s">
        <v>11201</v>
      </c>
      <c r="W4233">
        <v>1700</v>
      </c>
      <c r="X4233" t="s">
        <v>11331</v>
      </c>
      <c r="Y4233" t="s">
        <v>11345</v>
      </c>
      <c r="Z4233" t="s">
        <v>12689</v>
      </c>
      <c r="AA4233" t="s">
        <v>9144</v>
      </c>
      <c r="AB4233" t="s">
        <v>18472</v>
      </c>
      <c r="AC4233">
        <v>104</v>
      </c>
      <c r="AD4233" t="s">
        <v>19574</v>
      </c>
      <c r="AE4233" t="s">
        <v>9144</v>
      </c>
      <c r="AF4233">
        <v>3</v>
      </c>
      <c r="AG4233">
        <v>2</v>
      </c>
      <c r="AH4233">
        <v>0</v>
      </c>
      <c r="AI4233">
        <v>159.67</v>
      </c>
      <c r="AL4233" t="s">
        <v>19623</v>
      </c>
      <c r="AM4233">
        <v>27000</v>
      </c>
      <c r="AS4233">
        <v>3.7</v>
      </c>
      <c r="AT4233" t="s">
        <v>703</v>
      </c>
      <c r="AU4233" t="s">
        <v>20629</v>
      </c>
    </row>
    <row r="4234" spans="1:48">
      <c r="A4234" s="1">
        <f>HYPERLINK("https://lsnyc.legalserver.org/matter/dynamic-profile/view/1890585","19-1890585")</f>
        <v>0</v>
      </c>
      <c r="B4234" t="s">
        <v>70</v>
      </c>
      <c r="C4234" t="s">
        <v>256</v>
      </c>
      <c r="D4234" t="s">
        <v>695</v>
      </c>
      <c r="F4234" t="s">
        <v>2781</v>
      </c>
      <c r="G4234" t="s">
        <v>5047</v>
      </c>
      <c r="H4234" t="s">
        <v>5749</v>
      </c>
      <c r="I4234" t="s">
        <v>8372</v>
      </c>
      <c r="J4234" t="s">
        <v>9059</v>
      </c>
      <c r="K4234">
        <v>11233</v>
      </c>
      <c r="L4234" t="s">
        <v>9094</v>
      </c>
      <c r="M4234" t="s">
        <v>9096</v>
      </c>
      <c r="N4234" t="s">
        <v>9146</v>
      </c>
      <c r="O4234" t="s">
        <v>11134</v>
      </c>
      <c r="P4234" t="s">
        <v>11168</v>
      </c>
      <c r="R4234" t="s">
        <v>11180</v>
      </c>
      <c r="S4234" t="s">
        <v>9094</v>
      </c>
      <c r="T4234" t="s">
        <v>11183</v>
      </c>
      <c r="U4234" t="s">
        <v>11201</v>
      </c>
      <c r="V4234" t="s">
        <v>749</v>
      </c>
      <c r="W4234">
        <v>1034</v>
      </c>
      <c r="X4234" t="s">
        <v>11332</v>
      </c>
      <c r="Y4234" t="s">
        <v>11157</v>
      </c>
      <c r="Z4234" t="s">
        <v>14150</v>
      </c>
      <c r="AC4234">
        <v>359</v>
      </c>
      <c r="AD4234" t="s">
        <v>19566</v>
      </c>
      <c r="AE4234" t="s">
        <v>9144</v>
      </c>
      <c r="AF4234">
        <v>37</v>
      </c>
      <c r="AG4234">
        <v>2</v>
      </c>
      <c r="AH4234">
        <v>0</v>
      </c>
      <c r="AI4234">
        <v>159.67</v>
      </c>
      <c r="AL4234" t="s">
        <v>19614</v>
      </c>
      <c r="AM4234">
        <v>27000</v>
      </c>
      <c r="AN4234" t="s">
        <v>19951</v>
      </c>
      <c r="AS4234">
        <v>1</v>
      </c>
      <c r="AT4234" t="s">
        <v>426</v>
      </c>
      <c r="AU4234" t="s">
        <v>79</v>
      </c>
    </row>
    <row r="4235" spans="1:48">
      <c r="A4235" s="1">
        <f>HYPERLINK("https://lsnyc.legalserver.org/matter/dynamic-profile/view/1902336","19-1902336")</f>
        <v>0</v>
      </c>
      <c r="B4235" t="s">
        <v>95</v>
      </c>
      <c r="C4235" t="s">
        <v>257</v>
      </c>
      <c r="D4235" t="s">
        <v>268</v>
      </c>
      <c r="E4235" t="s">
        <v>290</v>
      </c>
      <c r="F4235" t="s">
        <v>2782</v>
      </c>
      <c r="G4235" t="s">
        <v>1665</v>
      </c>
      <c r="H4235" t="s">
        <v>7632</v>
      </c>
      <c r="I4235">
        <v>1</v>
      </c>
      <c r="J4235" t="s">
        <v>9059</v>
      </c>
      <c r="K4235">
        <v>11233</v>
      </c>
      <c r="L4235" t="s">
        <v>9096</v>
      </c>
      <c r="M4235" t="s">
        <v>9095</v>
      </c>
      <c r="N4235" t="s">
        <v>9154</v>
      </c>
      <c r="O4235" t="s">
        <v>9121</v>
      </c>
      <c r="Q4235" t="s">
        <v>11172</v>
      </c>
      <c r="R4235" t="s">
        <v>11180</v>
      </c>
      <c r="S4235" t="s">
        <v>9096</v>
      </c>
      <c r="T4235" t="s">
        <v>11183</v>
      </c>
      <c r="U4235" t="s">
        <v>11201</v>
      </c>
      <c r="W4235">
        <v>1300</v>
      </c>
      <c r="X4235" t="s">
        <v>11332</v>
      </c>
      <c r="Y4235" t="s">
        <v>11338</v>
      </c>
      <c r="Z4235" t="s">
        <v>14151</v>
      </c>
      <c r="AA4235" t="s">
        <v>15287</v>
      </c>
      <c r="AB4235" t="s">
        <v>18473</v>
      </c>
      <c r="AC4235">
        <v>3</v>
      </c>
      <c r="AD4235" t="s">
        <v>19565</v>
      </c>
      <c r="AE4235" t="s">
        <v>9144</v>
      </c>
      <c r="AF4235">
        <v>9</v>
      </c>
      <c r="AG4235">
        <v>2</v>
      </c>
      <c r="AH4235">
        <v>0</v>
      </c>
      <c r="AI4235">
        <v>159.67</v>
      </c>
      <c r="AL4235" t="s">
        <v>19614</v>
      </c>
      <c r="AM4235">
        <v>27000</v>
      </c>
      <c r="AN4235" t="s">
        <v>20006</v>
      </c>
      <c r="AS4235">
        <v>1</v>
      </c>
      <c r="AT4235" t="s">
        <v>268</v>
      </c>
      <c r="AU4235" t="s">
        <v>20627</v>
      </c>
      <c r="AV4235" t="s">
        <v>9144</v>
      </c>
    </row>
    <row r="4236" spans="1:48">
      <c r="A4236" s="1">
        <f>HYPERLINK("https://lsnyc.legalserver.org/matter/dynamic-profile/view/1891605","19-1891605")</f>
        <v>0</v>
      </c>
      <c r="B4236" t="s">
        <v>70</v>
      </c>
      <c r="C4236" t="s">
        <v>256</v>
      </c>
      <c r="D4236" t="s">
        <v>788</v>
      </c>
      <c r="F4236" t="s">
        <v>2781</v>
      </c>
      <c r="G4236" t="s">
        <v>5047</v>
      </c>
      <c r="H4236" t="s">
        <v>5749</v>
      </c>
      <c r="I4236" t="s">
        <v>8372</v>
      </c>
      <c r="J4236" t="s">
        <v>9059</v>
      </c>
      <c r="K4236">
        <v>11233</v>
      </c>
      <c r="L4236" t="s">
        <v>9094</v>
      </c>
      <c r="M4236" t="s">
        <v>9096</v>
      </c>
      <c r="O4236" t="s">
        <v>11137</v>
      </c>
      <c r="P4236" t="s">
        <v>11167</v>
      </c>
      <c r="R4236" t="s">
        <v>11180</v>
      </c>
      <c r="S4236" t="s">
        <v>9094</v>
      </c>
      <c r="T4236" t="s">
        <v>11183</v>
      </c>
      <c r="U4236" t="s">
        <v>11201</v>
      </c>
      <c r="V4236" t="s">
        <v>749</v>
      </c>
      <c r="W4236">
        <v>1034</v>
      </c>
      <c r="X4236" t="s">
        <v>11332</v>
      </c>
      <c r="Y4236" t="s">
        <v>11157</v>
      </c>
      <c r="Z4236" t="s">
        <v>14150</v>
      </c>
      <c r="AC4236">
        <v>359</v>
      </c>
      <c r="AD4236" t="s">
        <v>19566</v>
      </c>
      <c r="AE4236" t="s">
        <v>9144</v>
      </c>
      <c r="AF4236">
        <v>37</v>
      </c>
      <c r="AG4236">
        <v>2</v>
      </c>
      <c r="AH4236">
        <v>0</v>
      </c>
      <c r="AI4236">
        <v>159.67</v>
      </c>
      <c r="AL4236" t="s">
        <v>19614</v>
      </c>
      <c r="AM4236">
        <v>27000</v>
      </c>
      <c r="AN4236" t="s">
        <v>20007</v>
      </c>
      <c r="AS4236">
        <v>0</v>
      </c>
      <c r="AU4236" t="s">
        <v>79</v>
      </c>
    </row>
    <row r="4237" spans="1:48">
      <c r="A4237" s="1">
        <f>HYPERLINK("https://lsnyc.legalserver.org/matter/dynamic-profile/view/1912271","19-1912271")</f>
        <v>0</v>
      </c>
      <c r="B4237" t="s">
        <v>99</v>
      </c>
      <c r="C4237" t="s">
        <v>257</v>
      </c>
      <c r="D4237" t="s">
        <v>570</v>
      </c>
      <c r="E4237" t="s">
        <v>483</v>
      </c>
      <c r="F4237" t="s">
        <v>2154</v>
      </c>
      <c r="G4237" t="s">
        <v>3356</v>
      </c>
      <c r="H4237" t="s">
        <v>6551</v>
      </c>
      <c r="I4237" t="s">
        <v>8227</v>
      </c>
      <c r="J4237" t="s">
        <v>9065</v>
      </c>
      <c r="K4237">
        <v>10457</v>
      </c>
      <c r="L4237" t="s">
        <v>9094</v>
      </c>
      <c r="M4237" t="s">
        <v>9095</v>
      </c>
      <c r="O4237" t="s">
        <v>9121</v>
      </c>
      <c r="P4237" t="s">
        <v>11167</v>
      </c>
      <c r="Q4237" t="s">
        <v>11173</v>
      </c>
      <c r="R4237" t="s">
        <v>11180</v>
      </c>
      <c r="S4237" t="s">
        <v>9096</v>
      </c>
      <c r="T4237" t="s">
        <v>11183</v>
      </c>
      <c r="V4237" t="s">
        <v>286</v>
      </c>
      <c r="W4237">
        <v>867.4400000000001</v>
      </c>
      <c r="X4237" t="s">
        <v>11333</v>
      </c>
      <c r="Y4237" t="s">
        <v>11157</v>
      </c>
      <c r="Z4237" t="s">
        <v>14152</v>
      </c>
      <c r="AB4237" t="s">
        <v>18474</v>
      </c>
      <c r="AC4237">
        <v>50</v>
      </c>
      <c r="AD4237" t="s">
        <v>19566</v>
      </c>
      <c r="AE4237" t="s">
        <v>19587</v>
      </c>
      <c r="AF4237">
        <v>49</v>
      </c>
      <c r="AG4237">
        <v>1</v>
      </c>
      <c r="AH4237">
        <v>0</v>
      </c>
      <c r="AI4237">
        <v>159.68</v>
      </c>
      <c r="AL4237" t="s">
        <v>19614</v>
      </c>
      <c r="AM4237">
        <v>19944</v>
      </c>
      <c r="AS4237">
        <v>2.1</v>
      </c>
      <c r="AT4237" t="s">
        <v>331</v>
      </c>
      <c r="AU4237" t="s">
        <v>20632</v>
      </c>
      <c r="AV4237" t="s">
        <v>20733</v>
      </c>
    </row>
    <row r="4238" spans="1:48">
      <c r="A4238" s="1">
        <f>HYPERLINK("https://lsnyc.legalserver.org/matter/dynamic-profile/view/1904446","19-1904446")</f>
        <v>0</v>
      </c>
      <c r="B4238" t="s">
        <v>113</v>
      </c>
      <c r="C4238" t="s">
        <v>256</v>
      </c>
      <c r="D4238" t="s">
        <v>736</v>
      </c>
      <c r="F4238" t="s">
        <v>1325</v>
      </c>
      <c r="G4238" t="s">
        <v>1193</v>
      </c>
      <c r="H4238" t="s">
        <v>5864</v>
      </c>
      <c r="I4238" t="s">
        <v>8219</v>
      </c>
      <c r="J4238" t="s">
        <v>9065</v>
      </c>
      <c r="K4238">
        <v>10460</v>
      </c>
      <c r="L4238" t="s">
        <v>9094</v>
      </c>
      <c r="M4238" t="s">
        <v>9095</v>
      </c>
      <c r="O4238" t="s">
        <v>9121</v>
      </c>
      <c r="P4238" t="s">
        <v>11166</v>
      </c>
      <c r="R4238" t="s">
        <v>11180</v>
      </c>
      <c r="S4238" t="s">
        <v>9094</v>
      </c>
      <c r="T4238" t="s">
        <v>11183</v>
      </c>
      <c r="V4238" t="s">
        <v>11218</v>
      </c>
      <c r="W4238">
        <v>485</v>
      </c>
      <c r="X4238" t="s">
        <v>11333</v>
      </c>
      <c r="Y4238" t="s">
        <v>11346</v>
      </c>
      <c r="Z4238" t="s">
        <v>11568</v>
      </c>
      <c r="AB4238" t="s">
        <v>16060</v>
      </c>
      <c r="AC4238">
        <v>248</v>
      </c>
      <c r="AD4238" t="s">
        <v>19566</v>
      </c>
      <c r="AE4238" t="s">
        <v>19580</v>
      </c>
      <c r="AF4238">
        <v>12</v>
      </c>
      <c r="AG4238">
        <v>1</v>
      </c>
      <c r="AH4238">
        <v>1</v>
      </c>
      <c r="AI4238">
        <v>159.91</v>
      </c>
      <c r="AL4238" t="s">
        <v>19614</v>
      </c>
      <c r="AM4238">
        <v>27040</v>
      </c>
      <c r="AS4238">
        <v>0</v>
      </c>
      <c r="AU4238" t="s">
        <v>110</v>
      </c>
      <c r="AV4238" t="s">
        <v>20733</v>
      </c>
    </row>
    <row r="4239" spans="1:48">
      <c r="A4239" s="1">
        <f>HYPERLINK("https://lsnyc.legalserver.org/matter/dynamic-profile/view/1847473","17-1847473")</f>
        <v>0</v>
      </c>
      <c r="B4239" t="s">
        <v>119</v>
      </c>
      <c r="C4239" t="s">
        <v>256</v>
      </c>
      <c r="D4239" t="s">
        <v>1057</v>
      </c>
      <c r="F4239" t="s">
        <v>1518</v>
      </c>
      <c r="G4239" t="s">
        <v>5048</v>
      </c>
      <c r="H4239" t="s">
        <v>6258</v>
      </c>
      <c r="I4239" t="s">
        <v>8176</v>
      </c>
      <c r="J4239" t="s">
        <v>9065</v>
      </c>
      <c r="K4239">
        <v>10453</v>
      </c>
      <c r="L4239" t="s">
        <v>9094</v>
      </c>
      <c r="M4239" t="s">
        <v>9095</v>
      </c>
      <c r="N4239" t="s">
        <v>10665</v>
      </c>
      <c r="O4239" t="s">
        <v>11129</v>
      </c>
      <c r="P4239" t="s">
        <v>11165</v>
      </c>
      <c r="R4239" t="s">
        <v>11180</v>
      </c>
      <c r="S4239" t="s">
        <v>9096</v>
      </c>
      <c r="T4239" t="s">
        <v>11183</v>
      </c>
      <c r="V4239" t="s">
        <v>924</v>
      </c>
      <c r="W4239">
        <v>1432.96</v>
      </c>
      <c r="X4239" t="s">
        <v>11333</v>
      </c>
      <c r="Y4239" t="s">
        <v>11340</v>
      </c>
      <c r="Z4239" t="s">
        <v>14153</v>
      </c>
      <c r="AB4239" t="s">
        <v>18475</v>
      </c>
      <c r="AC4239">
        <v>101</v>
      </c>
      <c r="AD4239" t="s">
        <v>19566</v>
      </c>
      <c r="AE4239" t="s">
        <v>9144</v>
      </c>
      <c r="AF4239">
        <v>25</v>
      </c>
      <c r="AG4239">
        <v>2</v>
      </c>
      <c r="AH4239">
        <v>0</v>
      </c>
      <c r="AI4239">
        <v>160.1</v>
      </c>
      <c r="AL4239" t="s">
        <v>19614</v>
      </c>
      <c r="AM4239">
        <v>62400</v>
      </c>
      <c r="AS4239">
        <v>11.5</v>
      </c>
      <c r="AT4239" t="s">
        <v>1122</v>
      </c>
      <c r="AU4239" t="s">
        <v>20643</v>
      </c>
    </row>
    <row r="4240" spans="1:48">
      <c r="A4240" s="1">
        <f>HYPERLINK("https://lsnyc.legalserver.org/matter/dynamic-profile/view/1909569","19-1909569")</f>
        <v>0</v>
      </c>
      <c r="B4240" t="s">
        <v>49</v>
      </c>
      <c r="C4240" t="s">
        <v>257</v>
      </c>
      <c r="D4240" t="s">
        <v>273</v>
      </c>
      <c r="E4240" t="s">
        <v>1076</v>
      </c>
      <c r="F4240" t="s">
        <v>2783</v>
      </c>
      <c r="G4240" t="s">
        <v>4345</v>
      </c>
      <c r="H4240" t="s">
        <v>7633</v>
      </c>
      <c r="I4240" t="s">
        <v>8120</v>
      </c>
      <c r="J4240" t="s">
        <v>9041</v>
      </c>
      <c r="K4240">
        <v>11422</v>
      </c>
      <c r="L4240" t="s">
        <v>9094</v>
      </c>
      <c r="M4240" t="s">
        <v>9095</v>
      </c>
      <c r="N4240" t="s">
        <v>10666</v>
      </c>
      <c r="O4240" t="s">
        <v>11128</v>
      </c>
      <c r="P4240" t="s">
        <v>11164</v>
      </c>
      <c r="Q4240" t="s">
        <v>11172</v>
      </c>
      <c r="R4240" t="s">
        <v>11180</v>
      </c>
      <c r="S4240" t="s">
        <v>9096</v>
      </c>
      <c r="T4240" t="s">
        <v>11183</v>
      </c>
      <c r="U4240" t="s">
        <v>11201</v>
      </c>
      <c r="V4240" t="s">
        <v>273</v>
      </c>
      <c r="W4240">
        <v>1500</v>
      </c>
      <c r="X4240" t="s">
        <v>11331</v>
      </c>
      <c r="Y4240" t="s">
        <v>11336</v>
      </c>
      <c r="Z4240" t="s">
        <v>14154</v>
      </c>
      <c r="AA4240" t="s">
        <v>9144</v>
      </c>
      <c r="AB4240" t="s">
        <v>18476</v>
      </c>
      <c r="AC4240">
        <v>2</v>
      </c>
      <c r="AD4240" t="s">
        <v>19565</v>
      </c>
      <c r="AE4240" t="s">
        <v>9144</v>
      </c>
      <c r="AF4240">
        <v>1</v>
      </c>
      <c r="AG4240">
        <v>1</v>
      </c>
      <c r="AH4240">
        <v>0</v>
      </c>
      <c r="AI4240">
        <v>160.13</v>
      </c>
      <c r="AL4240" t="s">
        <v>19614</v>
      </c>
      <c r="AM4240">
        <v>20000</v>
      </c>
      <c r="AS4240">
        <v>2.31</v>
      </c>
      <c r="AT4240" t="s">
        <v>1076</v>
      </c>
      <c r="AU4240" t="s">
        <v>153</v>
      </c>
      <c r="AV4240" t="s">
        <v>20733</v>
      </c>
    </row>
    <row r="4241" spans="1:48">
      <c r="A4241" s="1">
        <f>HYPERLINK("https://lsnyc.legalserver.org/matter/dynamic-profile/view/1913884","19-1913884")</f>
        <v>0</v>
      </c>
      <c r="B4241" t="s">
        <v>169</v>
      </c>
      <c r="C4241" t="s">
        <v>256</v>
      </c>
      <c r="D4241" t="s">
        <v>301</v>
      </c>
      <c r="F4241" t="s">
        <v>2784</v>
      </c>
      <c r="G4241" t="s">
        <v>5049</v>
      </c>
      <c r="H4241" t="s">
        <v>7634</v>
      </c>
      <c r="I4241" t="s">
        <v>8170</v>
      </c>
      <c r="J4241" t="s">
        <v>9059</v>
      </c>
      <c r="K4241">
        <v>11237</v>
      </c>
      <c r="L4241" t="s">
        <v>9094</v>
      </c>
      <c r="M4241" t="s">
        <v>9095</v>
      </c>
      <c r="N4241" t="s">
        <v>10667</v>
      </c>
      <c r="O4241" t="s">
        <v>11128</v>
      </c>
      <c r="P4241" t="s">
        <v>11164</v>
      </c>
      <c r="R4241" t="s">
        <v>11180</v>
      </c>
      <c r="S4241" t="s">
        <v>9096</v>
      </c>
      <c r="T4241" t="s">
        <v>11183</v>
      </c>
      <c r="W4241">
        <v>2400</v>
      </c>
      <c r="X4241" t="s">
        <v>11332</v>
      </c>
      <c r="Y4241" t="s">
        <v>11336</v>
      </c>
      <c r="Z4241" t="s">
        <v>14155</v>
      </c>
      <c r="AB4241" t="s">
        <v>18477</v>
      </c>
      <c r="AC4241">
        <v>0</v>
      </c>
      <c r="AF4241">
        <v>1</v>
      </c>
      <c r="AG4241">
        <v>1</v>
      </c>
      <c r="AH4241">
        <v>0</v>
      </c>
      <c r="AI4241">
        <v>160.13</v>
      </c>
      <c r="AL4241" t="s">
        <v>19614</v>
      </c>
      <c r="AM4241">
        <v>20000</v>
      </c>
      <c r="AS4241">
        <v>0</v>
      </c>
      <c r="AU4241" t="s">
        <v>20633</v>
      </c>
      <c r="AV4241" t="s">
        <v>20733</v>
      </c>
    </row>
    <row r="4242" spans="1:48">
      <c r="A4242" s="1">
        <f>HYPERLINK("https://lsnyc.legalserver.org/matter/dynamic-profile/view/1898383","19-1898383")</f>
        <v>0</v>
      </c>
      <c r="B4242" t="s">
        <v>70</v>
      </c>
      <c r="C4242" t="s">
        <v>256</v>
      </c>
      <c r="D4242" t="s">
        <v>299</v>
      </c>
      <c r="F4242" t="s">
        <v>1527</v>
      </c>
      <c r="G4242" t="s">
        <v>5050</v>
      </c>
      <c r="H4242" t="s">
        <v>6474</v>
      </c>
      <c r="I4242" t="s">
        <v>8827</v>
      </c>
      <c r="J4242" t="s">
        <v>9059</v>
      </c>
      <c r="K4242">
        <v>11233</v>
      </c>
      <c r="L4242" t="s">
        <v>9094</v>
      </c>
      <c r="M4242" t="s">
        <v>9096</v>
      </c>
      <c r="N4242" t="s">
        <v>9146</v>
      </c>
      <c r="O4242" t="s">
        <v>11134</v>
      </c>
      <c r="P4242" t="s">
        <v>11168</v>
      </c>
      <c r="R4242" t="s">
        <v>11180</v>
      </c>
      <c r="S4242" t="s">
        <v>9094</v>
      </c>
      <c r="T4242" t="s">
        <v>11183</v>
      </c>
      <c r="U4242" t="s">
        <v>11201</v>
      </c>
      <c r="V4242" t="s">
        <v>482</v>
      </c>
      <c r="W4242">
        <v>628.51</v>
      </c>
      <c r="X4242" t="s">
        <v>11332</v>
      </c>
      <c r="Y4242" t="s">
        <v>11157</v>
      </c>
      <c r="Z4242" t="s">
        <v>14156</v>
      </c>
      <c r="AC4242">
        <v>359</v>
      </c>
      <c r="AD4242" t="s">
        <v>19566</v>
      </c>
      <c r="AF4242">
        <v>7</v>
      </c>
      <c r="AG4242">
        <v>1</v>
      </c>
      <c r="AH4242">
        <v>0</v>
      </c>
      <c r="AI4242">
        <v>160.13</v>
      </c>
      <c r="AL4242" t="s">
        <v>19614</v>
      </c>
      <c r="AM4242">
        <v>20000</v>
      </c>
      <c r="AN4242" t="s">
        <v>19642</v>
      </c>
      <c r="AS4242">
        <v>0</v>
      </c>
      <c r="AU4242" t="s">
        <v>79</v>
      </c>
    </row>
    <row r="4243" spans="1:48">
      <c r="A4243" s="1">
        <f>HYPERLINK("https://lsnyc.legalserver.org/matter/dynamic-profile/view/1909089","19-1909089")</f>
        <v>0</v>
      </c>
      <c r="B4243" t="s">
        <v>70</v>
      </c>
      <c r="C4243" t="s">
        <v>256</v>
      </c>
      <c r="D4243" t="s">
        <v>669</v>
      </c>
      <c r="F4243" t="s">
        <v>2785</v>
      </c>
      <c r="G4243" t="s">
        <v>5051</v>
      </c>
      <c r="H4243" t="s">
        <v>5749</v>
      </c>
      <c r="I4243" t="s">
        <v>8828</v>
      </c>
      <c r="J4243" t="s">
        <v>9059</v>
      </c>
      <c r="K4243">
        <v>11233</v>
      </c>
      <c r="L4243" t="s">
        <v>9094</v>
      </c>
      <c r="M4243" t="s">
        <v>9095</v>
      </c>
      <c r="N4243" t="s">
        <v>9147</v>
      </c>
      <c r="O4243" t="s">
        <v>11134</v>
      </c>
      <c r="P4243" t="s">
        <v>11168</v>
      </c>
      <c r="R4243" t="s">
        <v>11180</v>
      </c>
      <c r="S4243" t="s">
        <v>9094</v>
      </c>
      <c r="T4243" t="s">
        <v>11183</v>
      </c>
      <c r="U4243" t="s">
        <v>11201</v>
      </c>
      <c r="V4243" t="s">
        <v>11207</v>
      </c>
      <c r="W4243">
        <v>879</v>
      </c>
      <c r="X4243" t="s">
        <v>11332</v>
      </c>
      <c r="Y4243" t="s">
        <v>11157</v>
      </c>
      <c r="Z4243" t="s">
        <v>14157</v>
      </c>
      <c r="AC4243">
        <v>359</v>
      </c>
      <c r="AD4243" t="s">
        <v>19566</v>
      </c>
      <c r="AE4243" t="s">
        <v>9144</v>
      </c>
      <c r="AF4243">
        <v>28</v>
      </c>
      <c r="AG4243">
        <v>1</v>
      </c>
      <c r="AH4243">
        <v>0</v>
      </c>
      <c r="AI4243">
        <v>160.13</v>
      </c>
      <c r="AL4243" t="s">
        <v>19614</v>
      </c>
      <c r="AM4243">
        <v>20000</v>
      </c>
      <c r="AN4243" t="s">
        <v>20008</v>
      </c>
      <c r="AS4243">
        <v>0</v>
      </c>
      <c r="AU4243" t="s">
        <v>79</v>
      </c>
      <c r="AV4243" t="s">
        <v>9144</v>
      </c>
    </row>
    <row r="4244" spans="1:48">
      <c r="A4244" s="1">
        <f>HYPERLINK("https://lsnyc.legalserver.org/matter/dynamic-profile/view/1907781","19-1907781")</f>
        <v>0</v>
      </c>
      <c r="B4244" t="s">
        <v>76</v>
      </c>
      <c r="C4244" t="s">
        <v>256</v>
      </c>
      <c r="D4244" t="s">
        <v>396</v>
      </c>
      <c r="F4244" t="s">
        <v>2786</v>
      </c>
      <c r="G4244" t="s">
        <v>5052</v>
      </c>
      <c r="H4244" t="s">
        <v>7635</v>
      </c>
      <c r="I4244" t="s">
        <v>8229</v>
      </c>
      <c r="J4244" t="s">
        <v>9059</v>
      </c>
      <c r="K4244">
        <v>11233</v>
      </c>
      <c r="L4244" t="s">
        <v>9094</v>
      </c>
      <c r="M4244" t="s">
        <v>9095</v>
      </c>
      <c r="N4244" t="s">
        <v>9154</v>
      </c>
      <c r="O4244" t="s">
        <v>9121</v>
      </c>
      <c r="P4244" t="s">
        <v>11164</v>
      </c>
      <c r="R4244" t="s">
        <v>11180</v>
      </c>
      <c r="S4244" t="s">
        <v>9096</v>
      </c>
      <c r="T4244" t="s">
        <v>11183</v>
      </c>
      <c r="U4244" t="s">
        <v>11201</v>
      </c>
      <c r="V4244" t="s">
        <v>396</v>
      </c>
      <c r="W4244">
        <v>835</v>
      </c>
      <c r="X4244" t="s">
        <v>11332</v>
      </c>
      <c r="Y4244" t="s">
        <v>11338</v>
      </c>
      <c r="Z4244" t="s">
        <v>14158</v>
      </c>
      <c r="AA4244" t="s">
        <v>9171</v>
      </c>
      <c r="AB4244" t="s">
        <v>18478</v>
      </c>
      <c r="AC4244">
        <v>6</v>
      </c>
      <c r="AD4244" t="s">
        <v>19566</v>
      </c>
      <c r="AE4244" t="s">
        <v>9144</v>
      </c>
      <c r="AF4244">
        <v>1</v>
      </c>
      <c r="AG4244">
        <v>1</v>
      </c>
      <c r="AH4244">
        <v>0</v>
      </c>
      <c r="AI4244">
        <v>160.13</v>
      </c>
      <c r="AL4244" t="s">
        <v>19614</v>
      </c>
      <c r="AM4244">
        <v>20000</v>
      </c>
      <c r="AS4244">
        <v>2.75</v>
      </c>
      <c r="AT4244" t="s">
        <v>336</v>
      </c>
      <c r="AU4244" t="s">
        <v>95</v>
      </c>
      <c r="AV4244" t="s">
        <v>20733</v>
      </c>
    </row>
    <row r="4245" spans="1:48">
      <c r="A4245" s="1">
        <f>HYPERLINK("https://lsnyc.legalserver.org/matter/dynamic-profile/view/1898386","19-1898386")</f>
        <v>0</v>
      </c>
      <c r="B4245" t="s">
        <v>70</v>
      </c>
      <c r="C4245" t="s">
        <v>256</v>
      </c>
      <c r="D4245" t="s">
        <v>299</v>
      </c>
      <c r="F4245" t="s">
        <v>1527</v>
      </c>
      <c r="G4245" t="s">
        <v>5050</v>
      </c>
      <c r="H4245" t="s">
        <v>6474</v>
      </c>
      <c r="I4245" t="s">
        <v>8827</v>
      </c>
      <c r="J4245" t="s">
        <v>9059</v>
      </c>
      <c r="K4245">
        <v>11233</v>
      </c>
      <c r="L4245" t="s">
        <v>9094</v>
      </c>
      <c r="M4245" t="s">
        <v>9096</v>
      </c>
      <c r="O4245" t="s">
        <v>11137</v>
      </c>
      <c r="P4245" t="s">
        <v>11167</v>
      </c>
      <c r="R4245" t="s">
        <v>11180</v>
      </c>
      <c r="S4245" t="s">
        <v>9094</v>
      </c>
      <c r="T4245" t="s">
        <v>11183</v>
      </c>
      <c r="U4245" t="s">
        <v>11201</v>
      </c>
      <c r="V4245" t="s">
        <v>749</v>
      </c>
      <c r="W4245">
        <v>628.51</v>
      </c>
      <c r="X4245" t="s">
        <v>11332</v>
      </c>
      <c r="Y4245" t="s">
        <v>11157</v>
      </c>
      <c r="Z4245" t="s">
        <v>14156</v>
      </c>
      <c r="AC4245">
        <v>359</v>
      </c>
      <c r="AD4245" t="s">
        <v>19566</v>
      </c>
      <c r="AF4245">
        <v>7</v>
      </c>
      <c r="AG4245">
        <v>1</v>
      </c>
      <c r="AH4245">
        <v>0</v>
      </c>
      <c r="AI4245">
        <v>160.13</v>
      </c>
      <c r="AL4245" t="s">
        <v>19614</v>
      </c>
      <c r="AM4245">
        <v>20000</v>
      </c>
      <c r="AN4245" t="s">
        <v>20009</v>
      </c>
      <c r="AS4245">
        <v>0</v>
      </c>
      <c r="AU4245" t="s">
        <v>79</v>
      </c>
    </row>
    <row r="4246" spans="1:48">
      <c r="A4246" s="1">
        <f>HYPERLINK("https://lsnyc.legalserver.org/matter/dynamic-profile/view/1911212","19-1911212")</f>
        <v>0</v>
      </c>
      <c r="B4246" t="s">
        <v>91</v>
      </c>
      <c r="C4246" t="s">
        <v>256</v>
      </c>
      <c r="D4246" t="s">
        <v>664</v>
      </c>
      <c r="F4246" t="s">
        <v>1802</v>
      </c>
      <c r="G4246" t="s">
        <v>5053</v>
      </c>
      <c r="H4246" t="s">
        <v>6169</v>
      </c>
      <c r="J4246" t="s">
        <v>9059</v>
      </c>
      <c r="K4246">
        <v>11213</v>
      </c>
      <c r="L4246" t="s">
        <v>9094</v>
      </c>
      <c r="M4246" t="s">
        <v>9095</v>
      </c>
      <c r="N4246" t="s">
        <v>10668</v>
      </c>
      <c r="O4246" t="s">
        <v>11129</v>
      </c>
      <c r="P4246" t="s">
        <v>11165</v>
      </c>
      <c r="R4246" t="s">
        <v>11180</v>
      </c>
      <c r="S4246" t="s">
        <v>9096</v>
      </c>
      <c r="T4246" t="s">
        <v>11183</v>
      </c>
      <c r="U4246" t="s">
        <v>11201</v>
      </c>
      <c r="V4246" t="s">
        <v>648</v>
      </c>
      <c r="W4246">
        <v>761.09</v>
      </c>
      <c r="X4246" t="s">
        <v>11332</v>
      </c>
      <c r="Y4246" t="s">
        <v>11340</v>
      </c>
      <c r="Z4246" t="s">
        <v>14159</v>
      </c>
      <c r="AA4246" t="s">
        <v>9144</v>
      </c>
      <c r="AB4246" t="s">
        <v>18479</v>
      </c>
      <c r="AC4246">
        <v>35</v>
      </c>
      <c r="AD4246" t="s">
        <v>19566</v>
      </c>
      <c r="AE4246" t="s">
        <v>9144</v>
      </c>
      <c r="AF4246">
        <v>22</v>
      </c>
      <c r="AG4246">
        <v>1</v>
      </c>
      <c r="AH4246">
        <v>0</v>
      </c>
      <c r="AI4246">
        <v>160.13</v>
      </c>
      <c r="AL4246" t="s">
        <v>19614</v>
      </c>
      <c r="AM4246">
        <v>20000</v>
      </c>
      <c r="AS4246">
        <v>26.5</v>
      </c>
      <c r="AT4246" t="s">
        <v>377</v>
      </c>
      <c r="AU4246" t="s">
        <v>95</v>
      </c>
      <c r="AV4246" t="s">
        <v>20733</v>
      </c>
    </row>
    <row r="4247" spans="1:48">
      <c r="A4247" s="1">
        <f>HYPERLINK("https://lsnyc.legalserver.org/matter/dynamic-profile/view/1904801","19-1904801")</f>
        <v>0</v>
      </c>
      <c r="B4247" t="s">
        <v>115</v>
      </c>
      <c r="C4247" t="s">
        <v>256</v>
      </c>
      <c r="D4247" t="s">
        <v>748</v>
      </c>
      <c r="F4247" t="s">
        <v>1287</v>
      </c>
      <c r="G4247" t="s">
        <v>4278</v>
      </c>
      <c r="H4247" t="s">
        <v>6005</v>
      </c>
      <c r="I4247">
        <v>38</v>
      </c>
      <c r="J4247" t="s">
        <v>9065</v>
      </c>
      <c r="K4247">
        <v>10458</v>
      </c>
      <c r="L4247" t="s">
        <v>9094</v>
      </c>
      <c r="M4247" t="s">
        <v>9095</v>
      </c>
      <c r="N4247" t="s">
        <v>10369</v>
      </c>
      <c r="O4247" t="s">
        <v>11134</v>
      </c>
      <c r="P4247" t="s">
        <v>11168</v>
      </c>
      <c r="R4247" t="s">
        <v>11180</v>
      </c>
      <c r="S4247" t="s">
        <v>9094</v>
      </c>
      <c r="T4247" t="s">
        <v>11183</v>
      </c>
      <c r="V4247" t="s">
        <v>11218</v>
      </c>
      <c r="W4247">
        <v>1648</v>
      </c>
      <c r="X4247" t="s">
        <v>11333</v>
      </c>
      <c r="Y4247" t="s">
        <v>11346</v>
      </c>
      <c r="Z4247" t="s">
        <v>13888</v>
      </c>
      <c r="AC4247">
        <v>48</v>
      </c>
      <c r="AD4247" t="s">
        <v>19566</v>
      </c>
      <c r="AE4247" t="s">
        <v>19580</v>
      </c>
      <c r="AF4247">
        <v>6</v>
      </c>
      <c r="AG4247">
        <v>1</v>
      </c>
      <c r="AH4247">
        <v>0</v>
      </c>
      <c r="AI4247">
        <v>160.13</v>
      </c>
      <c r="AL4247" t="s">
        <v>19614</v>
      </c>
      <c r="AM4247">
        <v>20000</v>
      </c>
      <c r="AS4247">
        <v>1</v>
      </c>
      <c r="AT4247" t="s">
        <v>748</v>
      </c>
      <c r="AU4247" t="s">
        <v>174</v>
      </c>
      <c r="AV4247" t="s">
        <v>20733</v>
      </c>
    </row>
    <row r="4248" spans="1:48">
      <c r="A4248" s="1">
        <f>HYPERLINK("https://lsnyc.legalserver.org/matter/dynamic-profile/view/1912794","19-1912794")</f>
        <v>0</v>
      </c>
      <c r="B4248" t="s">
        <v>119</v>
      </c>
      <c r="C4248" t="s">
        <v>257</v>
      </c>
      <c r="D4248" t="s">
        <v>563</v>
      </c>
      <c r="E4248" t="s">
        <v>321</v>
      </c>
      <c r="F4248" t="s">
        <v>1855</v>
      </c>
      <c r="G4248" t="s">
        <v>3503</v>
      </c>
      <c r="H4248" t="s">
        <v>6095</v>
      </c>
      <c r="I4248" t="s">
        <v>8279</v>
      </c>
      <c r="J4248" t="s">
        <v>9065</v>
      </c>
      <c r="K4248">
        <v>10456</v>
      </c>
      <c r="L4248" t="s">
        <v>9094</v>
      </c>
      <c r="M4248" t="s">
        <v>9095</v>
      </c>
      <c r="O4248" t="s">
        <v>11128</v>
      </c>
      <c r="P4248" t="s">
        <v>11164</v>
      </c>
      <c r="Q4248" t="s">
        <v>11172</v>
      </c>
      <c r="R4248" t="s">
        <v>11180</v>
      </c>
      <c r="S4248" t="s">
        <v>9096</v>
      </c>
      <c r="T4248" t="s">
        <v>11183</v>
      </c>
      <c r="W4248">
        <v>1132</v>
      </c>
      <c r="X4248" t="s">
        <v>11333</v>
      </c>
      <c r="Y4248" t="s">
        <v>11338</v>
      </c>
      <c r="Z4248" t="s">
        <v>14160</v>
      </c>
      <c r="AB4248" t="s">
        <v>18480</v>
      </c>
      <c r="AC4248">
        <v>140</v>
      </c>
      <c r="AD4248" t="s">
        <v>19566</v>
      </c>
      <c r="AE4248" t="s">
        <v>9144</v>
      </c>
      <c r="AF4248">
        <v>0</v>
      </c>
      <c r="AG4248">
        <v>1</v>
      </c>
      <c r="AH4248">
        <v>0</v>
      </c>
      <c r="AI4248">
        <v>160.13</v>
      </c>
      <c r="AL4248" t="s">
        <v>19615</v>
      </c>
      <c r="AM4248">
        <v>20000</v>
      </c>
      <c r="AS4248">
        <v>0.5</v>
      </c>
      <c r="AT4248" t="s">
        <v>321</v>
      </c>
      <c r="AU4248" t="s">
        <v>119</v>
      </c>
      <c r="AV4248" t="s">
        <v>20733</v>
      </c>
    </row>
    <row r="4249" spans="1:48">
      <c r="A4249" s="1">
        <f>HYPERLINK("https://lsnyc.legalserver.org/matter/dynamic-profile/view/1897413","19-1897413")</f>
        <v>0</v>
      </c>
      <c r="B4249" t="s">
        <v>101</v>
      </c>
      <c r="C4249" t="s">
        <v>256</v>
      </c>
      <c r="D4249" t="s">
        <v>434</v>
      </c>
      <c r="F4249" t="s">
        <v>1264</v>
      </c>
      <c r="G4249" t="s">
        <v>4680</v>
      </c>
      <c r="H4249" t="s">
        <v>7636</v>
      </c>
      <c r="I4249" t="s">
        <v>8829</v>
      </c>
      <c r="J4249" t="s">
        <v>9065</v>
      </c>
      <c r="K4249">
        <v>10452</v>
      </c>
      <c r="L4249" t="s">
        <v>9094</v>
      </c>
      <c r="M4249" t="s">
        <v>9094</v>
      </c>
      <c r="N4249" t="s">
        <v>10669</v>
      </c>
      <c r="O4249" t="s">
        <v>11129</v>
      </c>
      <c r="P4249" t="s">
        <v>11164</v>
      </c>
      <c r="R4249" t="s">
        <v>11180</v>
      </c>
      <c r="S4249" t="s">
        <v>9096</v>
      </c>
      <c r="T4249" t="s">
        <v>11183</v>
      </c>
      <c r="U4249" t="s">
        <v>11200</v>
      </c>
      <c r="V4249" t="s">
        <v>434</v>
      </c>
      <c r="W4249">
        <v>1023</v>
      </c>
      <c r="X4249" t="s">
        <v>11333</v>
      </c>
      <c r="Y4249" t="s">
        <v>11338</v>
      </c>
      <c r="AB4249" t="s">
        <v>18481</v>
      </c>
      <c r="AC4249">
        <v>0</v>
      </c>
      <c r="AD4249" t="s">
        <v>19566</v>
      </c>
      <c r="AF4249">
        <v>18</v>
      </c>
      <c r="AG4249">
        <v>1</v>
      </c>
      <c r="AH4249">
        <v>0</v>
      </c>
      <c r="AI4249">
        <v>160.13</v>
      </c>
      <c r="AL4249" t="s">
        <v>19615</v>
      </c>
      <c r="AM4249">
        <v>20000</v>
      </c>
      <c r="AS4249">
        <v>1</v>
      </c>
      <c r="AT4249" t="s">
        <v>434</v>
      </c>
      <c r="AU4249" t="s">
        <v>101</v>
      </c>
      <c r="AV4249" t="s">
        <v>20733</v>
      </c>
    </row>
    <row r="4250" spans="1:48">
      <c r="A4250" s="1">
        <f>HYPERLINK("https://lsnyc.legalserver.org/matter/dynamic-profile/view/1909609","19-1909609")</f>
        <v>0</v>
      </c>
      <c r="B4250" t="s">
        <v>117</v>
      </c>
      <c r="C4250" t="s">
        <v>256</v>
      </c>
      <c r="D4250" t="s">
        <v>372</v>
      </c>
      <c r="F4250" t="s">
        <v>2787</v>
      </c>
      <c r="G4250" t="s">
        <v>5054</v>
      </c>
      <c r="H4250" t="s">
        <v>5899</v>
      </c>
      <c r="J4250" t="s">
        <v>9065</v>
      </c>
      <c r="K4250">
        <v>10452</v>
      </c>
      <c r="L4250" t="s">
        <v>9094</v>
      </c>
      <c r="M4250" t="s">
        <v>9095</v>
      </c>
      <c r="R4250" t="s">
        <v>11180</v>
      </c>
      <c r="S4250" t="s">
        <v>9094</v>
      </c>
      <c r="T4250" t="s">
        <v>11183</v>
      </c>
      <c r="W4250">
        <v>1926.79</v>
      </c>
      <c r="X4250" t="s">
        <v>11333</v>
      </c>
      <c r="Y4250" t="s">
        <v>11346</v>
      </c>
      <c r="Z4250" t="s">
        <v>14161</v>
      </c>
      <c r="AB4250" t="s">
        <v>18482</v>
      </c>
      <c r="AC4250">
        <v>63</v>
      </c>
      <c r="AD4250" t="s">
        <v>19566</v>
      </c>
      <c r="AE4250" t="s">
        <v>9144</v>
      </c>
      <c r="AF4250">
        <v>27</v>
      </c>
      <c r="AG4250">
        <v>1</v>
      </c>
      <c r="AH4250">
        <v>0</v>
      </c>
      <c r="AI4250">
        <v>160.13</v>
      </c>
      <c r="AM4250">
        <v>20000</v>
      </c>
      <c r="AS4250">
        <v>0</v>
      </c>
      <c r="AU4250" t="s">
        <v>163</v>
      </c>
      <c r="AV4250" t="s">
        <v>20733</v>
      </c>
    </row>
    <row r="4251" spans="1:48">
      <c r="A4251" s="1">
        <f>HYPERLINK("https://lsnyc.legalserver.org/matter/dynamic-profile/view/1914695","19-1914695")</f>
        <v>0</v>
      </c>
      <c r="B4251" t="s">
        <v>117</v>
      </c>
      <c r="C4251" t="s">
        <v>256</v>
      </c>
      <c r="D4251" t="s">
        <v>476</v>
      </c>
      <c r="F4251" t="s">
        <v>2787</v>
      </c>
      <c r="G4251" t="s">
        <v>5054</v>
      </c>
      <c r="H4251" t="s">
        <v>5899</v>
      </c>
      <c r="J4251" t="s">
        <v>9065</v>
      </c>
      <c r="K4251">
        <v>10452</v>
      </c>
      <c r="L4251" t="s">
        <v>9094</v>
      </c>
      <c r="M4251" t="s">
        <v>9095</v>
      </c>
      <c r="R4251" t="s">
        <v>11180</v>
      </c>
      <c r="S4251" t="s">
        <v>9094</v>
      </c>
      <c r="T4251" t="s">
        <v>11183</v>
      </c>
      <c r="W4251">
        <v>1926.79</v>
      </c>
      <c r="X4251" t="s">
        <v>11333</v>
      </c>
      <c r="Y4251" t="s">
        <v>11340</v>
      </c>
      <c r="Z4251" t="s">
        <v>14161</v>
      </c>
      <c r="AB4251" t="s">
        <v>18482</v>
      </c>
      <c r="AC4251">
        <v>63</v>
      </c>
      <c r="AD4251" t="s">
        <v>19566</v>
      </c>
      <c r="AE4251" t="s">
        <v>9144</v>
      </c>
      <c r="AF4251">
        <v>27</v>
      </c>
      <c r="AG4251">
        <v>1</v>
      </c>
      <c r="AH4251">
        <v>0</v>
      </c>
      <c r="AI4251">
        <v>160.13</v>
      </c>
      <c r="AM4251">
        <v>20000</v>
      </c>
      <c r="AS4251">
        <v>0</v>
      </c>
      <c r="AU4251" t="s">
        <v>20642</v>
      </c>
      <c r="AV4251" t="s">
        <v>20733</v>
      </c>
    </row>
    <row r="4252" spans="1:48">
      <c r="A4252" s="1">
        <f>HYPERLINK("https://lsnyc.legalserver.org/matter/dynamic-profile/view/1903468","19-1903468")</f>
        <v>0</v>
      </c>
      <c r="B4252" t="s">
        <v>147</v>
      </c>
      <c r="C4252" t="s">
        <v>256</v>
      </c>
      <c r="D4252" t="s">
        <v>328</v>
      </c>
      <c r="F4252" t="s">
        <v>1193</v>
      </c>
      <c r="G4252" t="s">
        <v>2700</v>
      </c>
      <c r="H4252" t="s">
        <v>7637</v>
      </c>
      <c r="I4252" t="s">
        <v>8248</v>
      </c>
      <c r="J4252" t="s">
        <v>9066</v>
      </c>
      <c r="K4252">
        <v>10304</v>
      </c>
      <c r="L4252" t="s">
        <v>9094</v>
      </c>
      <c r="M4252" t="s">
        <v>9095</v>
      </c>
      <c r="N4252" t="s">
        <v>10670</v>
      </c>
      <c r="O4252" t="s">
        <v>11128</v>
      </c>
      <c r="P4252" t="s">
        <v>11165</v>
      </c>
      <c r="R4252" t="s">
        <v>11180</v>
      </c>
      <c r="S4252" t="s">
        <v>9096</v>
      </c>
      <c r="T4252" t="s">
        <v>11183</v>
      </c>
      <c r="U4252" t="s">
        <v>11201</v>
      </c>
      <c r="V4252" t="s">
        <v>328</v>
      </c>
      <c r="W4252">
        <v>1200</v>
      </c>
      <c r="X4252" t="s">
        <v>11334</v>
      </c>
      <c r="Y4252" t="s">
        <v>11338</v>
      </c>
      <c r="Z4252" t="s">
        <v>13898</v>
      </c>
      <c r="AB4252" t="s">
        <v>18483</v>
      </c>
      <c r="AC4252">
        <v>2</v>
      </c>
      <c r="AD4252" t="s">
        <v>19565</v>
      </c>
      <c r="AE4252" t="s">
        <v>9144</v>
      </c>
      <c r="AF4252">
        <v>2</v>
      </c>
      <c r="AG4252">
        <v>1</v>
      </c>
      <c r="AH4252">
        <v>0</v>
      </c>
      <c r="AI4252">
        <v>160.13</v>
      </c>
      <c r="AL4252" t="s">
        <v>19614</v>
      </c>
      <c r="AM4252">
        <v>20000</v>
      </c>
      <c r="AS4252">
        <v>4.6</v>
      </c>
      <c r="AT4252" t="s">
        <v>286</v>
      </c>
      <c r="AU4252" t="s">
        <v>20653</v>
      </c>
      <c r="AV4252" t="s">
        <v>20733</v>
      </c>
    </row>
    <row r="4253" spans="1:48">
      <c r="A4253" s="1">
        <f>HYPERLINK("https://lsnyc.legalserver.org/matter/dynamic-profile/view/1914967","19-1914967")</f>
        <v>0</v>
      </c>
      <c r="B4253" t="s">
        <v>142</v>
      </c>
      <c r="C4253" t="s">
        <v>256</v>
      </c>
      <c r="D4253" t="s">
        <v>377</v>
      </c>
      <c r="F4253" t="s">
        <v>1358</v>
      </c>
      <c r="G4253" t="s">
        <v>3058</v>
      </c>
      <c r="H4253" t="s">
        <v>6596</v>
      </c>
      <c r="I4253" t="s">
        <v>8745</v>
      </c>
      <c r="J4253" t="s">
        <v>9067</v>
      </c>
      <c r="K4253">
        <v>10035</v>
      </c>
      <c r="L4253" t="s">
        <v>9094</v>
      </c>
      <c r="M4253" t="s">
        <v>9095</v>
      </c>
      <c r="O4253" t="s">
        <v>11134</v>
      </c>
      <c r="P4253" t="s">
        <v>11165</v>
      </c>
      <c r="R4253" t="s">
        <v>11180</v>
      </c>
      <c r="T4253" t="s">
        <v>11183</v>
      </c>
      <c r="U4253" t="s">
        <v>11201</v>
      </c>
      <c r="V4253" t="s">
        <v>377</v>
      </c>
      <c r="W4253">
        <v>552</v>
      </c>
      <c r="X4253" t="s">
        <v>11335</v>
      </c>
      <c r="Y4253" t="s">
        <v>11340</v>
      </c>
      <c r="Z4253" t="s">
        <v>14162</v>
      </c>
      <c r="AC4253">
        <v>0</v>
      </c>
      <c r="AD4253" t="s">
        <v>19566</v>
      </c>
      <c r="AE4253" t="s">
        <v>19580</v>
      </c>
      <c r="AF4253">
        <v>14</v>
      </c>
      <c r="AG4253">
        <v>1</v>
      </c>
      <c r="AH4253">
        <v>0</v>
      </c>
      <c r="AI4253">
        <v>160.13</v>
      </c>
      <c r="AL4253" t="s">
        <v>19614</v>
      </c>
      <c r="AM4253">
        <v>20000</v>
      </c>
      <c r="AS4253">
        <v>0</v>
      </c>
      <c r="AU4253" t="s">
        <v>20657</v>
      </c>
      <c r="AV4253" t="s">
        <v>20733</v>
      </c>
    </row>
    <row r="4254" spans="1:48">
      <c r="A4254" s="1">
        <f>HYPERLINK("https://lsnyc.legalserver.org/matter/dynamic-profile/view/1914750","19-1914750")</f>
        <v>0</v>
      </c>
      <c r="B4254" t="s">
        <v>142</v>
      </c>
      <c r="C4254" t="s">
        <v>256</v>
      </c>
      <c r="D4254" t="s">
        <v>632</v>
      </c>
      <c r="F4254" t="s">
        <v>1358</v>
      </c>
      <c r="G4254" t="s">
        <v>3058</v>
      </c>
      <c r="H4254" t="s">
        <v>6596</v>
      </c>
      <c r="I4254" t="s">
        <v>8745</v>
      </c>
      <c r="J4254" t="s">
        <v>9067</v>
      </c>
      <c r="K4254">
        <v>10035</v>
      </c>
      <c r="L4254" t="s">
        <v>9094</v>
      </c>
      <c r="M4254" t="s">
        <v>9095</v>
      </c>
      <c r="O4254" t="s">
        <v>11130</v>
      </c>
      <c r="P4254" t="s">
        <v>11165</v>
      </c>
      <c r="R4254" t="s">
        <v>11180</v>
      </c>
      <c r="S4254" t="s">
        <v>9094</v>
      </c>
      <c r="T4254" t="s">
        <v>11183</v>
      </c>
      <c r="U4254" t="s">
        <v>11201</v>
      </c>
      <c r="V4254" t="s">
        <v>632</v>
      </c>
      <c r="W4254">
        <v>552</v>
      </c>
      <c r="X4254" t="s">
        <v>11335</v>
      </c>
      <c r="Y4254" t="s">
        <v>11340</v>
      </c>
      <c r="Z4254" t="s">
        <v>14162</v>
      </c>
      <c r="AC4254">
        <v>60</v>
      </c>
      <c r="AD4254" t="s">
        <v>19566</v>
      </c>
      <c r="AE4254" t="s">
        <v>19580</v>
      </c>
      <c r="AF4254">
        <v>14</v>
      </c>
      <c r="AG4254">
        <v>1</v>
      </c>
      <c r="AH4254">
        <v>0</v>
      </c>
      <c r="AI4254">
        <v>160.13</v>
      </c>
      <c r="AL4254" t="s">
        <v>19614</v>
      </c>
      <c r="AM4254">
        <v>20000</v>
      </c>
      <c r="AS4254">
        <v>0</v>
      </c>
      <c r="AU4254" t="s">
        <v>20657</v>
      </c>
      <c r="AV4254" t="s">
        <v>20733</v>
      </c>
    </row>
    <row r="4255" spans="1:48">
      <c r="A4255" s="1">
        <f>HYPERLINK("https://lsnyc.legalserver.org/matter/dynamic-profile/view/1897816","19-1897816")</f>
        <v>0</v>
      </c>
      <c r="B4255" t="s">
        <v>136</v>
      </c>
      <c r="C4255" t="s">
        <v>256</v>
      </c>
      <c r="D4255" t="s">
        <v>499</v>
      </c>
      <c r="F4255" t="s">
        <v>1358</v>
      </c>
      <c r="G4255" t="s">
        <v>3058</v>
      </c>
      <c r="H4255" t="s">
        <v>6596</v>
      </c>
      <c r="I4255" t="s">
        <v>8745</v>
      </c>
      <c r="J4255" t="s">
        <v>9067</v>
      </c>
      <c r="K4255">
        <v>10035</v>
      </c>
      <c r="L4255" t="s">
        <v>9094</v>
      </c>
      <c r="M4255" t="s">
        <v>9094</v>
      </c>
      <c r="O4255" t="s">
        <v>9121</v>
      </c>
      <c r="P4255" t="s">
        <v>11167</v>
      </c>
      <c r="R4255" t="s">
        <v>11180</v>
      </c>
      <c r="S4255" t="s">
        <v>9094</v>
      </c>
      <c r="T4255" t="s">
        <v>11183</v>
      </c>
      <c r="U4255" t="s">
        <v>11201</v>
      </c>
      <c r="V4255" t="s">
        <v>499</v>
      </c>
      <c r="W4255">
        <v>552</v>
      </c>
      <c r="X4255" t="s">
        <v>11335</v>
      </c>
      <c r="Y4255" t="s">
        <v>11350</v>
      </c>
      <c r="Z4255" t="s">
        <v>14162</v>
      </c>
      <c r="AC4255">
        <v>60</v>
      </c>
      <c r="AD4255" t="s">
        <v>19566</v>
      </c>
      <c r="AE4255" t="s">
        <v>19580</v>
      </c>
      <c r="AF4255">
        <v>14</v>
      </c>
      <c r="AG4255">
        <v>1</v>
      </c>
      <c r="AH4255">
        <v>0</v>
      </c>
      <c r="AI4255">
        <v>160.13</v>
      </c>
      <c r="AL4255" t="s">
        <v>19614</v>
      </c>
      <c r="AM4255">
        <v>20000</v>
      </c>
      <c r="AN4255" t="s">
        <v>19728</v>
      </c>
      <c r="AS4255">
        <v>8.5</v>
      </c>
      <c r="AT4255" t="s">
        <v>487</v>
      </c>
      <c r="AU4255" t="s">
        <v>20657</v>
      </c>
      <c r="AV4255" t="s">
        <v>20733</v>
      </c>
    </row>
    <row r="4256" spans="1:48">
      <c r="A4256" s="1">
        <f>HYPERLINK("https://lsnyc.legalserver.org/matter/dynamic-profile/view/1901004","19-1901004")</f>
        <v>0</v>
      </c>
      <c r="B4256" t="s">
        <v>133</v>
      </c>
      <c r="C4256" t="s">
        <v>256</v>
      </c>
      <c r="D4256" t="s">
        <v>445</v>
      </c>
      <c r="F4256" t="s">
        <v>2578</v>
      </c>
      <c r="G4256" t="s">
        <v>4809</v>
      </c>
      <c r="H4256" t="s">
        <v>5943</v>
      </c>
      <c r="I4256" t="s">
        <v>8134</v>
      </c>
      <c r="J4256" t="s">
        <v>9067</v>
      </c>
      <c r="K4256">
        <v>10034</v>
      </c>
      <c r="L4256" t="s">
        <v>9094</v>
      </c>
      <c r="M4256" t="s">
        <v>9095</v>
      </c>
      <c r="O4256" t="s">
        <v>11136</v>
      </c>
      <c r="P4256" t="s">
        <v>11167</v>
      </c>
      <c r="R4256" t="s">
        <v>11180</v>
      </c>
      <c r="S4256" t="s">
        <v>9096</v>
      </c>
      <c r="T4256" t="s">
        <v>11183</v>
      </c>
      <c r="V4256" t="s">
        <v>445</v>
      </c>
      <c r="W4256">
        <v>703.4</v>
      </c>
      <c r="X4256" t="s">
        <v>11335</v>
      </c>
      <c r="Y4256" t="s">
        <v>11338</v>
      </c>
      <c r="Z4256" t="s">
        <v>13746</v>
      </c>
      <c r="AA4256" t="s">
        <v>15853</v>
      </c>
      <c r="AB4256" t="s">
        <v>18484</v>
      </c>
      <c r="AC4256">
        <v>67</v>
      </c>
      <c r="AD4256" t="s">
        <v>19566</v>
      </c>
      <c r="AE4256" t="s">
        <v>9144</v>
      </c>
      <c r="AF4256">
        <v>19</v>
      </c>
      <c r="AG4256">
        <v>1</v>
      </c>
      <c r="AH4256">
        <v>0</v>
      </c>
      <c r="AI4256">
        <v>160.13</v>
      </c>
      <c r="AL4256" t="s">
        <v>19614</v>
      </c>
      <c r="AM4256">
        <v>20000</v>
      </c>
      <c r="AS4256">
        <v>5.4</v>
      </c>
      <c r="AT4256" t="s">
        <v>483</v>
      </c>
      <c r="AU4256" t="s">
        <v>130</v>
      </c>
      <c r="AV4256" t="s">
        <v>20733</v>
      </c>
    </row>
    <row r="4257" spans="1:48">
      <c r="A4257" s="1">
        <f>HYPERLINK("https://lsnyc.legalserver.org/matter/dynamic-profile/view/1912617","19-1912617")</f>
        <v>0</v>
      </c>
      <c r="B4257" t="s">
        <v>140</v>
      </c>
      <c r="C4257" t="s">
        <v>256</v>
      </c>
      <c r="D4257" t="s">
        <v>263</v>
      </c>
      <c r="F4257" t="s">
        <v>1152</v>
      </c>
      <c r="G4257" t="s">
        <v>3720</v>
      </c>
      <c r="H4257" t="s">
        <v>7148</v>
      </c>
      <c r="I4257" t="s">
        <v>8212</v>
      </c>
      <c r="J4257" t="s">
        <v>9067</v>
      </c>
      <c r="K4257">
        <v>10034</v>
      </c>
      <c r="L4257" t="s">
        <v>9094</v>
      </c>
      <c r="M4257" t="s">
        <v>9095</v>
      </c>
      <c r="P4257" t="s">
        <v>11167</v>
      </c>
      <c r="R4257" t="s">
        <v>11180</v>
      </c>
      <c r="S4257" t="s">
        <v>9096</v>
      </c>
      <c r="T4257" t="s">
        <v>11183</v>
      </c>
      <c r="V4257" t="s">
        <v>263</v>
      </c>
      <c r="W4257">
        <v>1702.26</v>
      </c>
      <c r="X4257" t="s">
        <v>11335</v>
      </c>
      <c r="Y4257" t="s">
        <v>11340</v>
      </c>
      <c r="Z4257" t="s">
        <v>11714</v>
      </c>
      <c r="AB4257" t="s">
        <v>18485</v>
      </c>
      <c r="AC4257">
        <v>25</v>
      </c>
      <c r="AD4257" t="s">
        <v>19566</v>
      </c>
      <c r="AE4257" t="s">
        <v>9144</v>
      </c>
      <c r="AF4257">
        <v>6</v>
      </c>
      <c r="AG4257">
        <v>1</v>
      </c>
      <c r="AH4257">
        <v>0</v>
      </c>
      <c r="AI4257">
        <v>160.13</v>
      </c>
      <c r="AL4257" t="s">
        <v>19614</v>
      </c>
      <c r="AM4257">
        <v>20000</v>
      </c>
      <c r="AS4257">
        <v>1</v>
      </c>
      <c r="AT4257" t="s">
        <v>263</v>
      </c>
      <c r="AU4257" t="s">
        <v>130</v>
      </c>
      <c r="AV4257" t="s">
        <v>20733</v>
      </c>
    </row>
    <row r="4258" spans="1:48">
      <c r="A4258" s="1">
        <f>HYPERLINK("https://lsnyc.legalserver.org/matter/dynamic-profile/view/1902440","19-1902440")</f>
        <v>0</v>
      </c>
      <c r="B4258" t="s">
        <v>132</v>
      </c>
      <c r="C4258" t="s">
        <v>257</v>
      </c>
      <c r="D4258" t="s">
        <v>798</v>
      </c>
      <c r="E4258" t="s">
        <v>297</v>
      </c>
      <c r="F4258" t="s">
        <v>1406</v>
      </c>
      <c r="G4258" t="s">
        <v>3220</v>
      </c>
      <c r="H4258" t="s">
        <v>7638</v>
      </c>
      <c r="I4258" t="s">
        <v>8149</v>
      </c>
      <c r="J4258" t="s">
        <v>9067</v>
      </c>
      <c r="K4258">
        <v>10033</v>
      </c>
      <c r="L4258" t="s">
        <v>9094</v>
      </c>
      <c r="M4258" t="s">
        <v>9095</v>
      </c>
      <c r="O4258" t="s">
        <v>11136</v>
      </c>
      <c r="P4258" t="s">
        <v>11164</v>
      </c>
      <c r="Q4258" t="s">
        <v>11172</v>
      </c>
      <c r="R4258" t="s">
        <v>11180</v>
      </c>
      <c r="S4258" t="s">
        <v>9096</v>
      </c>
      <c r="T4258" t="s">
        <v>11183</v>
      </c>
      <c r="V4258" t="s">
        <v>798</v>
      </c>
      <c r="W4258">
        <v>1595</v>
      </c>
      <c r="X4258" t="s">
        <v>11335</v>
      </c>
      <c r="Y4258" t="s">
        <v>11338</v>
      </c>
      <c r="Z4258" t="s">
        <v>13364</v>
      </c>
      <c r="AB4258" t="s">
        <v>18486</v>
      </c>
      <c r="AC4258">
        <v>43</v>
      </c>
      <c r="AD4258" t="s">
        <v>19566</v>
      </c>
      <c r="AE4258" t="s">
        <v>9144</v>
      </c>
      <c r="AF4258">
        <v>1</v>
      </c>
      <c r="AG4258">
        <v>1</v>
      </c>
      <c r="AH4258">
        <v>0</v>
      </c>
      <c r="AI4258">
        <v>160.13</v>
      </c>
      <c r="AL4258" t="s">
        <v>19614</v>
      </c>
      <c r="AM4258">
        <v>20000</v>
      </c>
      <c r="AS4258">
        <v>1.6</v>
      </c>
      <c r="AT4258" t="s">
        <v>669</v>
      </c>
      <c r="AU4258" t="s">
        <v>130</v>
      </c>
      <c r="AV4258" t="s">
        <v>20733</v>
      </c>
    </row>
    <row r="4259" spans="1:48">
      <c r="A4259" s="1">
        <f>HYPERLINK("https://lsnyc.legalserver.org/matter/dynamic-profile/view/1864066","18-1864066")</f>
        <v>0</v>
      </c>
      <c r="B4259" t="s">
        <v>136</v>
      </c>
      <c r="C4259" t="s">
        <v>256</v>
      </c>
      <c r="D4259" t="s">
        <v>505</v>
      </c>
      <c r="F4259" t="s">
        <v>1146</v>
      </c>
      <c r="G4259" t="s">
        <v>3811</v>
      </c>
      <c r="H4259" t="s">
        <v>5961</v>
      </c>
      <c r="I4259">
        <v>302</v>
      </c>
      <c r="J4259" t="s">
        <v>9067</v>
      </c>
      <c r="K4259">
        <v>10029</v>
      </c>
      <c r="L4259" t="s">
        <v>9094</v>
      </c>
      <c r="M4259" t="s">
        <v>9094</v>
      </c>
      <c r="N4259" t="s">
        <v>9287</v>
      </c>
      <c r="O4259" t="s">
        <v>11130</v>
      </c>
      <c r="P4259" t="s">
        <v>11165</v>
      </c>
      <c r="R4259" t="s">
        <v>11180</v>
      </c>
      <c r="S4259" t="s">
        <v>9094</v>
      </c>
      <c r="T4259" t="s">
        <v>11183</v>
      </c>
      <c r="U4259" t="s">
        <v>11201</v>
      </c>
      <c r="V4259" t="s">
        <v>505</v>
      </c>
      <c r="W4259">
        <v>0</v>
      </c>
      <c r="X4259" t="s">
        <v>11335</v>
      </c>
      <c r="Y4259" t="s">
        <v>11339</v>
      </c>
      <c r="Z4259" t="s">
        <v>14163</v>
      </c>
      <c r="AB4259" t="s">
        <v>18487</v>
      </c>
      <c r="AC4259">
        <v>108</v>
      </c>
      <c r="AD4259" t="s">
        <v>19567</v>
      </c>
      <c r="AE4259" t="s">
        <v>19580</v>
      </c>
      <c r="AF4259">
        <v>32</v>
      </c>
      <c r="AG4259">
        <v>1</v>
      </c>
      <c r="AH4259">
        <v>0</v>
      </c>
      <c r="AI4259">
        <v>160.23</v>
      </c>
      <c r="AL4259" t="s">
        <v>19615</v>
      </c>
      <c r="AM4259">
        <v>19452</v>
      </c>
      <c r="AS4259">
        <v>0.25</v>
      </c>
      <c r="AT4259" t="s">
        <v>289</v>
      </c>
      <c r="AU4259" t="s">
        <v>20657</v>
      </c>
    </row>
    <row r="4260" spans="1:48">
      <c r="A4260" s="1">
        <f>HYPERLINK("https://lsnyc.legalserver.org/matter/dynamic-profile/view/1866236","18-1866236")</f>
        <v>0</v>
      </c>
      <c r="B4260" t="s">
        <v>193</v>
      </c>
      <c r="C4260" t="s">
        <v>256</v>
      </c>
      <c r="D4260" t="s">
        <v>696</v>
      </c>
      <c r="F4260" t="s">
        <v>1264</v>
      </c>
      <c r="G4260" t="s">
        <v>3424</v>
      </c>
      <c r="H4260" t="s">
        <v>6711</v>
      </c>
      <c r="I4260" t="s">
        <v>8830</v>
      </c>
      <c r="J4260" t="s">
        <v>9039</v>
      </c>
      <c r="K4260">
        <v>11432</v>
      </c>
      <c r="L4260" t="s">
        <v>9094</v>
      </c>
      <c r="M4260" t="s">
        <v>9095</v>
      </c>
      <c r="N4260" t="s">
        <v>9651</v>
      </c>
      <c r="O4260" t="s">
        <v>11130</v>
      </c>
      <c r="P4260" t="s">
        <v>11165</v>
      </c>
      <c r="R4260" t="s">
        <v>11180</v>
      </c>
      <c r="S4260" t="s">
        <v>9094</v>
      </c>
      <c r="T4260" t="s">
        <v>11183</v>
      </c>
      <c r="V4260" t="s">
        <v>696</v>
      </c>
      <c r="W4260">
        <v>1324.07</v>
      </c>
      <c r="X4260" t="s">
        <v>11331</v>
      </c>
      <c r="Y4260" t="s">
        <v>11340</v>
      </c>
      <c r="Z4260" t="s">
        <v>14164</v>
      </c>
      <c r="AA4260" t="s">
        <v>9171</v>
      </c>
      <c r="AB4260" t="s">
        <v>18488</v>
      </c>
      <c r="AC4260">
        <v>60</v>
      </c>
      <c r="AD4260" t="s">
        <v>19566</v>
      </c>
      <c r="AE4260" t="s">
        <v>9144</v>
      </c>
      <c r="AF4260">
        <v>38</v>
      </c>
      <c r="AG4260">
        <v>2</v>
      </c>
      <c r="AH4260">
        <v>0</v>
      </c>
      <c r="AI4260">
        <v>160.39</v>
      </c>
      <c r="AJ4260" t="s">
        <v>19592</v>
      </c>
      <c r="AL4260" t="s">
        <v>19615</v>
      </c>
      <c r="AM4260">
        <v>26400</v>
      </c>
      <c r="AS4260">
        <v>4.5</v>
      </c>
      <c r="AT4260" t="s">
        <v>336</v>
      </c>
      <c r="AU4260" t="s">
        <v>20620</v>
      </c>
    </row>
    <row r="4261" spans="1:48">
      <c r="A4261" s="1">
        <f>HYPERLINK("https://lsnyc.legalserver.org/matter/dynamic-profile/view/1871618","18-1871618")</f>
        <v>0</v>
      </c>
      <c r="B4261" t="s">
        <v>78</v>
      </c>
      <c r="C4261" t="s">
        <v>256</v>
      </c>
      <c r="D4261" t="s">
        <v>609</v>
      </c>
      <c r="F4261" t="s">
        <v>1628</v>
      </c>
      <c r="G4261" t="s">
        <v>5055</v>
      </c>
      <c r="H4261" t="s">
        <v>5809</v>
      </c>
      <c r="I4261" t="s">
        <v>8134</v>
      </c>
      <c r="J4261" t="s">
        <v>9059</v>
      </c>
      <c r="K4261">
        <v>11212</v>
      </c>
      <c r="L4261" t="s">
        <v>9094</v>
      </c>
      <c r="M4261" t="s">
        <v>9095</v>
      </c>
      <c r="O4261" t="s">
        <v>9121</v>
      </c>
      <c r="P4261" t="s">
        <v>11167</v>
      </c>
      <c r="R4261" t="s">
        <v>11180</v>
      </c>
      <c r="S4261" t="s">
        <v>9094</v>
      </c>
      <c r="T4261" t="s">
        <v>11183</v>
      </c>
      <c r="V4261" t="s">
        <v>11214</v>
      </c>
      <c r="W4261">
        <v>922.9400000000001</v>
      </c>
      <c r="X4261" t="s">
        <v>11332</v>
      </c>
      <c r="Y4261" t="s">
        <v>11157</v>
      </c>
      <c r="Z4261" t="s">
        <v>14165</v>
      </c>
      <c r="AB4261" t="s">
        <v>18489</v>
      </c>
      <c r="AC4261">
        <v>32</v>
      </c>
      <c r="AD4261" t="s">
        <v>19566</v>
      </c>
      <c r="AE4261" t="s">
        <v>9144</v>
      </c>
      <c r="AF4261">
        <v>21</v>
      </c>
      <c r="AG4261">
        <v>2</v>
      </c>
      <c r="AH4261">
        <v>0</v>
      </c>
      <c r="AI4261">
        <v>160.39</v>
      </c>
      <c r="AL4261" t="s">
        <v>19614</v>
      </c>
      <c r="AM4261">
        <v>26400</v>
      </c>
      <c r="AS4261">
        <v>0</v>
      </c>
      <c r="AU4261" t="s">
        <v>20637</v>
      </c>
    </row>
    <row r="4262" spans="1:48">
      <c r="A4262" s="1">
        <f>HYPERLINK("https://lsnyc.legalserver.org/matter/dynamic-profile/view/1867073","18-1867073")</f>
        <v>0</v>
      </c>
      <c r="B4262" t="s">
        <v>78</v>
      </c>
      <c r="C4262" t="s">
        <v>256</v>
      </c>
      <c r="D4262" t="s">
        <v>390</v>
      </c>
      <c r="F4262" t="s">
        <v>1628</v>
      </c>
      <c r="G4262" t="s">
        <v>5055</v>
      </c>
      <c r="H4262" t="s">
        <v>5809</v>
      </c>
      <c r="I4262" t="s">
        <v>8134</v>
      </c>
      <c r="J4262" t="s">
        <v>9059</v>
      </c>
      <c r="K4262">
        <v>11212</v>
      </c>
      <c r="L4262" t="s">
        <v>9094</v>
      </c>
      <c r="M4262" t="s">
        <v>9095</v>
      </c>
      <c r="O4262" t="s">
        <v>11137</v>
      </c>
      <c r="P4262" t="s">
        <v>11168</v>
      </c>
      <c r="R4262" t="s">
        <v>11180</v>
      </c>
      <c r="S4262" t="s">
        <v>9094</v>
      </c>
      <c r="T4262" t="s">
        <v>11183</v>
      </c>
      <c r="V4262" t="s">
        <v>673</v>
      </c>
      <c r="W4262">
        <v>922.9400000000001</v>
      </c>
      <c r="X4262" t="s">
        <v>11332</v>
      </c>
      <c r="Y4262" t="s">
        <v>11157</v>
      </c>
      <c r="Z4262" t="s">
        <v>14165</v>
      </c>
      <c r="AB4262" t="s">
        <v>18489</v>
      </c>
      <c r="AC4262">
        <v>32</v>
      </c>
      <c r="AD4262" t="s">
        <v>19566</v>
      </c>
      <c r="AF4262">
        <v>21</v>
      </c>
      <c r="AG4262">
        <v>2</v>
      </c>
      <c r="AH4262">
        <v>0</v>
      </c>
      <c r="AI4262">
        <v>160.39</v>
      </c>
      <c r="AL4262" t="s">
        <v>19614</v>
      </c>
      <c r="AM4262">
        <v>26400</v>
      </c>
      <c r="AS4262">
        <v>0</v>
      </c>
      <c r="AU4262" t="s">
        <v>95</v>
      </c>
    </row>
    <row r="4263" spans="1:48">
      <c r="A4263" s="1">
        <f>HYPERLINK("https://lsnyc.legalserver.org/matter/dynamic-profile/view/1888518","19-1888518")</f>
        <v>0</v>
      </c>
      <c r="B4263" t="s">
        <v>112</v>
      </c>
      <c r="C4263" t="s">
        <v>257</v>
      </c>
      <c r="D4263" t="s">
        <v>354</v>
      </c>
      <c r="E4263" t="s">
        <v>484</v>
      </c>
      <c r="F4263" t="s">
        <v>1293</v>
      </c>
      <c r="G4263" t="s">
        <v>3405</v>
      </c>
      <c r="H4263" t="s">
        <v>7612</v>
      </c>
      <c r="I4263" t="s">
        <v>8133</v>
      </c>
      <c r="J4263" t="s">
        <v>9065</v>
      </c>
      <c r="K4263">
        <v>10456</v>
      </c>
      <c r="L4263" t="s">
        <v>9094</v>
      </c>
      <c r="M4263" t="s">
        <v>9094</v>
      </c>
      <c r="O4263" t="s">
        <v>9121</v>
      </c>
      <c r="P4263" t="s">
        <v>11166</v>
      </c>
      <c r="Q4263" t="s">
        <v>11173</v>
      </c>
      <c r="R4263" t="s">
        <v>11180</v>
      </c>
      <c r="S4263" t="s">
        <v>9096</v>
      </c>
      <c r="T4263" t="s">
        <v>11190</v>
      </c>
      <c r="V4263" t="s">
        <v>354</v>
      </c>
      <c r="W4263">
        <v>1004.69</v>
      </c>
      <c r="X4263" t="s">
        <v>11333</v>
      </c>
      <c r="Y4263" t="s">
        <v>11336</v>
      </c>
      <c r="Z4263" t="s">
        <v>14124</v>
      </c>
      <c r="AA4263" t="s">
        <v>15847</v>
      </c>
      <c r="AB4263" t="s">
        <v>18446</v>
      </c>
      <c r="AC4263">
        <v>48</v>
      </c>
      <c r="AD4263" t="s">
        <v>19566</v>
      </c>
      <c r="AE4263" t="s">
        <v>19588</v>
      </c>
      <c r="AF4263">
        <v>29</v>
      </c>
      <c r="AG4263">
        <v>2</v>
      </c>
      <c r="AH4263">
        <v>0</v>
      </c>
      <c r="AI4263">
        <v>160.45</v>
      </c>
      <c r="AL4263" t="s">
        <v>19614</v>
      </c>
      <c r="AM4263">
        <v>26410</v>
      </c>
      <c r="AQ4263" t="s">
        <v>20369</v>
      </c>
      <c r="AR4263" t="s">
        <v>20541</v>
      </c>
      <c r="AS4263">
        <v>3.5</v>
      </c>
      <c r="AT4263" t="s">
        <v>760</v>
      </c>
      <c r="AU4263" t="s">
        <v>20644</v>
      </c>
    </row>
    <row r="4264" spans="1:48">
      <c r="A4264" s="1">
        <f>HYPERLINK("https://lsnyc.legalserver.org/matter/dynamic-profile/view/1912252","19-1912252")</f>
        <v>0</v>
      </c>
      <c r="B4264" t="s">
        <v>52</v>
      </c>
      <c r="C4264" t="s">
        <v>256</v>
      </c>
      <c r="D4264" t="s">
        <v>570</v>
      </c>
      <c r="F4264" t="s">
        <v>2213</v>
      </c>
      <c r="G4264" t="s">
        <v>5056</v>
      </c>
      <c r="H4264" t="s">
        <v>5692</v>
      </c>
      <c r="I4264" t="s">
        <v>8491</v>
      </c>
      <c r="J4264" t="s">
        <v>9038</v>
      </c>
      <c r="K4264">
        <v>11691</v>
      </c>
      <c r="L4264" t="s">
        <v>9094</v>
      </c>
      <c r="M4264" t="s">
        <v>9095</v>
      </c>
      <c r="N4264" t="s">
        <v>9664</v>
      </c>
      <c r="O4264" t="s">
        <v>11130</v>
      </c>
      <c r="P4264" t="s">
        <v>11165</v>
      </c>
      <c r="R4264" t="s">
        <v>11180</v>
      </c>
      <c r="S4264" t="s">
        <v>9094</v>
      </c>
      <c r="T4264" t="s">
        <v>11183</v>
      </c>
      <c r="U4264" t="s">
        <v>11201</v>
      </c>
      <c r="V4264" t="s">
        <v>570</v>
      </c>
      <c r="W4264">
        <v>540</v>
      </c>
      <c r="X4264" t="s">
        <v>11331</v>
      </c>
      <c r="Y4264" t="s">
        <v>11339</v>
      </c>
      <c r="Z4264" t="s">
        <v>14166</v>
      </c>
      <c r="AB4264" t="s">
        <v>18490</v>
      </c>
      <c r="AC4264">
        <v>43</v>
      </c>
      <c r="AD4264" t="s">
        <v>19566</v>
      </c>
      <c r="AE4264" t="s">
        <v>9144</v>
      </c>
      <c r="AF4264">
        <v>40</v>
      </c>
      <c r="AG4264">
        <v>2</v>
      </c>
      <c r="AH4264">
        <v>0</v>
      </c>
      <c r="AI4264">
        <v>160.52</v>
      </c>
      <c r="AL4264" t="s">
        <v>19614</v>
      </c>
      <c r="AM4264">
        <v>27144</v>
      </c>
      <c r="AP4264" t="s">
        <v>11157</v>
      </c>
      <c r="AS4264">
        <v>0.4</v>
      </c>
      <c r="AT4264" t="s">
        <v>570</v>
      </c>
      <c r="AU4264" t="s">
        <v>20620</v>
      </c>
      <c r="AV4264" t="s">
        <v>20733</v>
      </c>
    </row>
    <row r="4265" spans="1:48">
      <c r="A4265" s="1">
        <f>HYPERLINK("https://lsnyc.legalserver.org/matter/dynamic-profile/view/0832574","17-0832574")</f>
        <v>0</v>
      </c>
      <c r="B4265" t="s">
        <v>139</v>
      </c>
      <c r="C4265" t="s">
        <v>256</v>
      </c>
      <c r="D4265" t="s">
        <v>807</v>
      </c>
      <c r="F4265" t="s">
        <v>1826</v>
      </c>
      <c r="G4265" t="s">
        <v>3356</v>
      </c>
      <c r="H4265" t="s">
        <v>7578</v>
      </c>
      <c r="I4265" t="s">
        <v>8140</v>
      </c>
      <c r="J4265" t="s">
        <v>9067</v>
      </c>
      <c r="K4265">
        <v>10032</v>
      </c>
      <c r="L4265" t="s">
        <v>9094</v>
      </c>
      <c r="M4265" t="s">
        <v>9095</v>
      </c>
      <c r="O4265" t="s">
        <v>9121</v>
      </c>
      <c r="P4265" t="s">
        <v>11165</v>
      </c>
      <c r="R4265" t="s">
        <v>11180</v>
      </c>
      <c r="S4265" t="s">
        <v>9094</v>
      </c>
      <c r="T4265" t="s">
        <v>11183</v>
      </c>
      <c r="V4265" t="s">
        <v>11231</v>
      </c>
      <c r="W4265">
        <v>831</v>
      </c>
      <c r="X4265" t="s">
        <v>11335</v>
      </c>
      <c r="Y4265" t="s">
        <v>11339</v>
      </c>
      <c r="Z4265" t="s">
        <v>12385</v>
      </c>
      <c r="AB4265" t="s">
        <v>18491</v>
      </c>
      <c r="AC4265">
        <v>44</v>
      </c>
      <c r="AD4265" t="s">
        <v>19566</v>
      </c>
      <c r="AE4265" t="s">
        <v>9144</v>
      </c>
      <c r="AF4265">
        <v>40</v>
      </c>
      <c r="AG4265">
        <v>2</v>
      </c>
      <c r="AH4265">
        <v>2</v>
      </c>
      <c r="AI4265">
        <v>160.65</v>
      </c>
      <c r="AJ4265" t="s">
        <v>1089</v>
      </c>
      <c r="AL4265" t="s">
        <v>19615</v>
      </c>
      <c r="AM4265">
        <v>68640</v>
      </c>
      <c r="AS4265">
        <v>17.55</v>
      </c>
      <c r="AT4265" t="s">
        <v>627</v>
      </c>
      <c r="AU4265" t="s">
        <v>20657</v>
      </c>
    </row>
    <row r="4266" spans="1:48">
      <c r="A4266" s="1">
        <f>HYPERLINK("https://lsnyc.legalserver.org/matter/dynamic-profile/view/1903859","19-1903859")</f>
        <v>0</v>
      </c>
      <c r="B4266" t="s">
        <v>234</v>
      </c>
      <c r="C4266" t="s">
        <v>256</v>
      </c>
      <c r="D4266" t="s">
        <v>597</v>
      </c>
      <c r="F4266" t="s">
        <v>1358</v>
      </c>
      <c r="G4266" t="s">
        <v>3220</v>
      </c>
      <c r="H4266" t="s">
        <v>7639</v>
      </c>
      <c r="I4266">
        <v>10</v>
      </c>
      <c r="J4266" t="s">
        <v>9067</v>
      </c>
      <c r="K4266">
        <v>10025</v>
      </c>
      <c r="L4266" t="s">
        <v>9094</v>
      </c>
      <c r="M4266" t="s">
        <v>9095</v>
      </c>
      <c r="O4266" t="s">
        <v>11133</v>
      </c>
      <c r="P4266" t="s">
        <v>11166</v>
      </c>
      <c r="R4266" t="s">
        <v>11180</v>
      </c>
      <c r="S4266" t="s">
        <v>9096</v>
      </c>
      <c r="T4266" t="s">
        <v>11183</v>
      </c>
      <c r="U4266" t="s">
        <v>11201</v>
      </c>
      <c r="V4266" t="s">
        <v>597</v>
      </c>
      <c r="W4266">
        <v>679.8200000000001</v>
      </c>
      <c r="X4266" t="s">
        <v>11335</v>
      </c>
      <c r="Y4266" t="s">
        <v>11347</v>
      </c>
      <c r="Z4266" t="s">
        <v>14167</v>
      </c>
      <c r="AB4266" t="s">
        <v>18492</v>
      </c>
      <c r="AC4266">
        <v>16</v>
      </c>
      <c r="AD4266" t="s">
        <v>19569</v>
      </c>
      <c r="AE4266" t="s">
        <v>9144</v>
      </c>
      <c r="AF4266">
        <v>40</v>
      </c>
      <c r="AG4266">
        <v>1</v>
      </c>
      <c r="AH4266">
        <v>0</v>
      </c>
      <c r="AI4266">
        <v>160.92</v>
      </c>
      <c r="AL4266" t="s">
        <v>19615</v>
      </c>
      <c r="AM4266">
        <v>20098.56</v>
      </c>
      <c r="AS4266">
        <v>3</v>
      </c>
      <c r="AT4266" t="s">
        <v>597</v>
      </c>
      <c r="AU4266" t="s">
        <v>20657</v>
      </c>
      <c r="AV4266" t="s">
        <v>20733</v>
      </c>
    </row>
    <row r="4267" spans="1:48">
      <c r="A4267" s="1">
        <f>HYPERLINK("https://lsnyc.legalserver.org/matter/dynamic-profile/view/1906918","19-1906918")</f>
        <v>0</v>
      </c>
      <c r="B4267" t="s">
        <v>108</v>
      </c>
      <c r="C4267" t="s">
        <v>257</v>
      </c>
      <c r="D4267" t="s">
        <v>370</v>
      </c>
      <c r="E4267" t="s">
        <v>483</v>
      </c>
      <c r="F4267" t="s">
        <v>2788</v>
      </c>
      <c r="G4267" t="s">
        <v>3344</v>
      </c>
      <c r="H4267" t="s">
        <v>7640</v>
      </c>
      <c r="I4267" t="s">
        <v>8161</v>
      </c>
      <c r="J4267" t="s">
        <v>9065</v>
      </c>
      <c r="K4267">
        <v>10457</v>
      </c>
      <c r="L4267" t="s">
        <v>9094</v>
      </c>
      <c r="M4267" t="s">
        <v>9095</v>
      </c>
      <c r="N4267" t="s">
        <v>10671</v>
      </c>
      <c r="O4267" t="s">
        <v>9121</v>
      </c>
      <c r="P4267" t="s">
        <v>11167</v>
      </c>
      <c r="Q4267" t="s">
        <v>11173</v>
      </c>
      <c r="R4267" t="s">
        <v>11180</v>
      </c>
      <c r="S4267" t="s">
        <v>9096</v>
      </c>
      <c r="T4267" t="s">
        <v>11183</v>
      </c>
      <c r="W4267">
        <v>873</v>
      </c>
      <c r="X4267" t="s">
        <v>11333</v>
      </c>
      <c r="Y4267" t="s">
        <v>11338</v>
      </c>
      <c r="Z4267" t="s">
        <v>14168</v>
      </c>
      <c r="AB4267" t="s">
        <v>18493</v>
      </c>
      <c r="AC4267">
        <v>0</v>
      </c>
      <c r="AD4267" t="s">
        <v>19566</v>
      </c>
      <c r="AE4267" t="s">
        <v>9144</v>
      </c>
      <c r="AF4267">
        <v>6</v>
      </c>
      <c r="AG4267">
        <v>1</v>
      </c>
      <c r="AH4267">
        <v>0</v>
      </c>
      <c r="AI4267">
        <v>160.93</v>
      </c>
      <c r="AL4267" t="s">
        <v>19614</v>
      </c>
      <c r="AM4267">
        <v>20100</v>
      </c>
      <c r="AS4267">
        <v>0.2</v>
      </c>
      <c r="AT4267" t="s">
        <v>483</v>
      </c>
      <c r="AU4267" t="s">
        <v>108</v>
      </c>
      <c r="AV4267" t="s">
        <v>20733</v>
      </c>
    </row>
    <row r="4268" spans="1:48">
      <c r="A4268" s="1">
        <f>HYPERLINK("https://lsnyc.legalserver.org/matter/dynamic-profile/view/1903779","19-1903779")</f>
        <v>0</v>
      </c>
      <c r="B4268" t="s">
        <v>183</v>
      </c>
      <c r="C4268" t="s">
        <v>256</v>
      </c>
      <c r="D4268" t="s">
        <v>706</v>
      </c>
      <c r="F4268" t="s">
        <v>2691</v>
      </c>
      <c r="G4268" t="s">
        <v>4944</v>
      </c>
      <c r="H4268" t="s">
        <v>7516</v>
      </c>
      <c r="I4268" t="s">
        <v>8124</v>
      </c>
      <c r="J4268" t="s">
        <v>9067</v>
      </c>
      <c r="K4268">
        <v>10027</v>
      </c>
      <c r="L4268" t="s">
        <v>9094</v>
      </c>
      <c r="M4268" t="s">
        <v>9095</v>
      </c>
      <c r="N4268" t="s">
        <v>10672</v>
      </c>
      <c r="P4268" t="s">
        <v>11165</v>
      </c>
      <c r="R4268" t="s">
        <v>11180</v>
      </c>
      <c r="T4268" t="s">
        <v>11193</v>
      </c>
      <c r="V4268" t="s">
        <v>663</v>
      </c>
      <c r="W4268">
        <v>0</v>
      </c>
      <c r="X4268" t="s">
        <v>11335</v>
      </c>
      <c r="Z4268" t="s">
        <v>13978</v>
      </c>
      <c r="AB4268" t="s">
        <v>18307</v>
      </c>
      <c r="AC4268">
        <v>0</v>
      </c>
      <c r="AF4268">
        <v>11</v>
      </c>
      <c r="AG4268">
        <v>7</v>
      </c>
      <c r="AH4268">
        <v>1</v>
      </c>
      <c r="AI4268">
        <v>161.18</v>
      </c>
      <c r="AL4268" t="s">
        <v>19614</v>
      </c>
      <c r="AM4268">
        <v>70000</v>
      </c>
      <c r="AR4268" t="s">
        <v>20542</v>
      </c>
      <c r="AS4268">
        <v>8.300000000000001</v>
      </c>
      <c r="AT4268" t="s">
        <v>1135</v>
      </c>
      <c r="AU4268" t="s">
        <v>20658</v>
      </c>
      <c r="AV4268" t="s">
        <v>20733</v>
      </c>
    </row>
    <row r="4269" spans="1:48">
      <c r="A4269" s="1">
        <f>HYPERLINK("https://lsnyc.legalserver.org/matter/dynamic-profile/view/1904718","19-1904718")</f>
        <v>0</v>
      </c>
      <c r="B4269" t="s">
        <v>197</v>
      </c>
      <c r="C4269" t="s">
        <v>256</v>
      </c>
      <c r="D4269" t="s">
        <v>497</v>
      </c>
      <c r="F4269" t="s">
        <v>2376</v>
      </c>
      <c r="G4269" t="s">
        <v>4609</v>
      </c>
      <c r="H4269" t="s">
        <v>5936</v>
      </c>
      <c r="I4269" t="s">
        <v>8264</v>
      </c>
      <c r="J4269" t="s">
        <v>9067</v>
      </c>
      <c r="K4269">
        <v>10040</v>
      </c>
      <c r="L4269" t="s">
        <v>9094</v>
      </c>
      <c r="M4269" t="s">
        <v>9095</v>
      </c>
      <c r="P4269" t="s">
        <v>11169</v>
      </c>
      <c r="R4269" t="s">
        <v>11180</v>
      </c>
      <c r="S4269" t="s">
        <v>9096</v>
      </c>
      <c r="T4269" t="s">
        <v>11183</v>
      </c>
      <c r="V4269" t="s">
        <v>497</v>
      </c>
      <c r="W4269">
        <v>1116.26</v>
      </c>
      <c r="X4269" t="s">
        <v>11335</v>
      </c>
      <c r="Y4269" t="s">
        <v>11338</v>
      </c>
      <c r="Z4269" t="s">
        <v>13342</v>
      </c>
      <c r="AB4269" t="s">
        <v>17682</v>
      </c>
      <c r="AC4269">
        <v>42</v>
      </c>
      <c r="AD4269" t="s">
        <v>19566</v>
      </c>
      <c r="AE4269" t="s">
        <v>9144</v>
      </c>
      <c r="AF4269">
        <v>22</v>
      </c>
      <c r="AG4269">
        <v>2</v>
      </c>
      <c r="AH4269">
        <v>0</v>
      </c>
      <c r="AI4269">
        <v>161.44</v>
      </c>
      <c r="AL4269" t="s">
        <v>19615</v>
      </c>
      <c r="AM4269">
        <v>27300</v>
      </c>
      <c r="AS4269">
        <v>8</v>
      </c>
      <c r="AT4269" t="s">
        <v>664</v>
      </c>
      <c r="AU4269" t="s">
        <v>130</v>
      </c>
      <c r="AV4269" t="s">
        <v>20733</v>
      </c>
    </row>
    <row r="4270" spans="1:48">
      <c r="A4270" s="1">
        <f>HYPERLINK("https://lsnyc.legalserver.org/matter/dynamic-profile/view/1910038","19-1910038")</f>
        <v>0</v>
      </c>
      <c r="B4270" t="s">
        <v>165</v>
      </c>
      <c r="C4270" t="s">
        <v>256</v>
      </c>
      <c r="D4270" t="s">
        <v>435</v>
      </c>
      <c r="F4270" t="s">
        <v>1489</v>
      </c>
      <c r="G4270" t="s">
        <v>3398</v>
      </c>
      <c r="H4270" t="s">
        <v>7641</v>
      </c>
      <c r="J4270" t="s">
        <v>9059</v>
      </c>
      <c r="K4270">
        <v>11212</v>
      </c>
      <c r="L4270" t="s">
        <v>9094</v>
      </c>
      <c r="M4270" t="s">
        <v>9095</v>
      </c>
      <c r="N4270" t="s">
        <v>10673</v>
      </c>
      <c r="O4270" t="s">
        <v>11128</v>
      </c>
      <c r="P4270" t="s">
        <v>11167</v>
      </c>
      <c r="R4270" t="s">
        <v>11180</v>
      </c>
      <c r="S4270" t="s">
        <v>9096</v>
      </c>
      <c r="T4270" t="s">
        <v>11183</v>
      </c>
      <c r="U4270" t="s">
        <v>11201</v>
      </c>
      <c r="V4270" t="s">
        <v>259</v>
      </c>
      <c r="W4270">
        <v>900</v>
      </c>
      <c r="X4270" t="s">
        <v>11332</v>
      </c>
      <c r="Z4270" t="s">
        <v>13905</v>
      </c>
      <c r="AA4270" t="s">
        <v>15290</v>
      </c>
      <c r="AB4270" t="s">
        <v>18494</v>
      </c>
      <c r="AC4270">
        <v>2</v>
      </c>
      <c r="AD4270" t="s">
        <v>19565</v>
      </c>
      <c r="AE4270" t="s">
        <v>11157</v>
      </c>
      <c r="AF4270">
        <v>17</v>
      </c>
      <c r="AG4270">
        <v>3</v>
      </c>
      <c r="AH4270">
        <v>1</v>
      </c>
      <c r="AI4270">
        <v>161.48</v>
      </c>
      <c r="AL4270" t="s">
        <v>19614</v>
      </c>
      <c r="AM4270">
        <v>41580</v>
      </c>
      <c r="AS4270">
        <v>4.4</v>
      </c>
      <c r="AT4270" t="s">
        <v>308</v>
      </c>
      <c r="AU4270" t="s">
        <v>20627</v>
      </c>
      <c r="AV4270" t="s">
        <v>20733</v>
      </c>
    </row>
    <row r="4271" spans="1:48">
      <c r="A4271" s="1">
        <f>HYPERLINK("https://lsnyc.legalserver.org/matter/dynamic-profile/view/1862088","18-1862088")</f>
        <v>0</v>
      </c>
      <c r="B4271" t="s">
        <v>216</v>
      </c>
      <c r="C4271" t="s">
        <v>256</v>
      </c>
      <c r="D4271" t="s">
        <v>677</v>
      </c>
      <c r="F4271" t="s">
        <v>2789</v>
      </c>
      <c r="G4271" t="s">
        <v>5057</v>
      </c>
      <c r="H4271" t="s">
        <v>7642</v>
      </c>
      <c r="I4271">
        <v>713</v>
      </c>
      <c r="J4271" t="s">
        <v>9067</v>
      </c>
      <c r="K4271">
        <v>10001</v>
      </c>
      <c r="L4271" t="s">
        <v>9094</v>
      </c>
      <c r="M4271" t="s">
        <v>9095</v>
      </c>
      <c r="N4271" t="s">
        <v>10674</v>
      </c>
      <c r="O4271" t="s">
        <v>11128</v>
      </c>
      <c r="P4271" t="s">
        <v>11165</v>
      </c>
      <c r="R4271" t="s">
        <v>11180</v>
      </c>
      <c r="S4271" t="s">
        <v>9096</v>
      </c>
      <c r="T4271" t="s">
        <v>11183</v>
      </c>
      <c r="V4271" t="s">
        <v>752</v>
      </c>
      <c r="W4271">
        <v>800</v>
      </c>
      <c r="X4271" t="s">
        <v>11335</v>
      </c>
      <c r="Y4271" t="s">
        <v>11341</v>
      </c>
      <c r="Z4271" t="s">
        <v>14169</v>
      </c>
      <c r="AB4271" t="s">
        <v>18495</v>
      </c>
      <c r="AC4271">
        <v>0</v>
      </c>
      <c r="AD4271" t="s">
        <v>15441</v>
      </c>
      <c r="AF4271">
        <v>18</v>
      </c>
      <c r="AG4271">
        <v>2</v>
      </c>
      <c r="AH4271">
        <v>1</v>
      </c>
      <c r="AI4271">
        <v>161.69</v>
      </c>
      <c r="AL4271" t="s">
        <v>19622</v>
      </c>
      <c r="AM4271">
        <v>33600</v>
      </c>
      <c r="AS4271">
        <v>119.8</v>
      </c>
      <c r="AT4271" t="s">
        <v>331</v>
      </c>
      <c r="AU4271" t="s">
        <v>20655</v>
      </c>
      <c r="AV4271" t="s">
        <v>20733</v>
      </c>
    </row>
    <row r="4272" spans="1:48">
      <c r="A4272" s="1">
        <f>HYPERLINK("https://lsnyc.legalserver.org/matter/dynamic-profile/view/1892218","19-1892218")</f>
        <v>0</v>
      </c>
      <c r="B4272" t="s">
        <v>98</v>
      </c>
      <c r="C4272" t="s">
        <v>257</v>
      </c>
      <c r="D4272" t="s">
        <v>663</v>
      </c>
      <c r="E4272" t="s">
        <v>612</v>
      </c>
      <c r="F4272" t="s">
        <v>2790</v>
      </c>
      <c r="G4272" t="s">
        <v>5058</v>
      </c>
      <c r="H4272" t="s">
        <v>7643</v>
      </c>
      <c r="I4272" t="s">
        <v>8831</v>
      </c>
      <c r="J4272" t="s">
        <v>9065</v>
      </c>
      <c r="K4272">
        <v>10461</v>
      </c>
      <c r="L4272" t="s">
        <v>9095</v>
      </c>
      <c r="M4272" t="s">
        <v>9095</v>
      </c>
      <c r="O4272" t="s">
        <v>11136</v>
      </c>
      <c r="P4272" t="s">
        <v>11167</v>
      </c>
      <c r="Q4272" t="s">
        <v>11173</v>
      </c>
      <c r="R4272" t="s">
        <v>11180</v>
      </c>
      <c r="S4272" t="s">
        <v>9096</v>
      </c>
      <c r="T4272" t="s">
        <v>11192</v>
      </c>
      <c r="W4272">
        <v>1500</v>
      </c>
      <c r="X4272" t="s">
        <v>11333</v>
      </c>
      <c r="Y4272" t="s">
        <v>11340</v>
      </c>
      <c r="Z4272" t="s">
        <v>14170</v>
      </c>
      <c r="AB4272" t="s">
        <v>18496</v>
      </c>
      <c r="AC4272">
        <v>125</v>
      </c>
      <c r="AD4272" t="s">
        <v>19566</v>
      </c>
      <c r="AE4272" t="s">
        <v>19580</v>
      </c>
      <c r="AF4272">
        <v>14</v>
      </c>
      <c r="AG4272">
        <v>1</v>
      </c>
      <c r="AH4272">
        <v>0</v>
      </c>
      <c r="AI4272">
        <v>161.73</v>
      </c>
      <c r="AL4272" t="s">
        <v>19615</v>
      </c>
      <c r="AM4272">
        <v>20200</v>
      </c>
      <c r="AN4272" t="s">
        <v>20010</v>
      </c>
      <c r="AS4272">
        <v>23.7</v>
      </c>
      <c r="AT4272" t="s">
        <v>335</v>
      </c>
      <c r="AU4272" t="s">
        <v>20642</v>
      </c>
      <c r="AV4272" t="s">
        <v>20733</v>
      </c>
    </row>
    <row r="4273" spans="1:48">
      <c r="A4273" s="1">
        <f>HYPERLINK("https://lsnyc.legalserver.org/matter/dynamic-profile/view/1890948","19-1890948")</f>
        <v>0</v>
      </c>
      <c r="B4273" t="s">
        <v>117</v>
      </c>
      <c r="C4273" t="s">
        <v>256</v>
      </c>
      <c r="D4273" t="s">
        <v>267</v>
      </c>
      <c r="F4273" t="s">
        <v>2791</v>
      </c>
      <c r="G4273" t="s">
        <v>2505</v>
      </c>
      <c r="H4273" t="s">
        <v>7644</v>
      </c>
      <c r="I4273" t="s">
        <v>8216</v>
      </c>
      <c r="J4273" t="s">
        <v>9065</v>
      </c>
      <c r="K4273">
        <v>10453</v>
      </c>
      <c r="L4273" t="s">
        <v>9094</v>
      </c>
      <c r="M4273" t="s">
        <v>9094</v>
      </c>
      <c r="O4273" t="s">
        <v>11134</v>
      </c>
      <c r="P4273" t="s">
        <v>11168</v>
      </c>
      <c r="R4273" t="s">
        <v>11180</v>
      </c>
      <c r="S4273" t="s">
        <v>9094</v>
      </c>
      <c r="T4273" t="s">
        <v>11183</v>
      </c>
      <c r="V4273" t="s">
        <v>512</v>
      </c>
      <c r="W4273">
        <v>0</v>
      </c>
      <c r="X4273" t="s">
        <v>11333</v>
      </c>
      <c r="Y4273" t="s">
        <v>11346</v>
      </c>
      <c r="Z4273" t="s">
        <v>14171</v>
      </c>
      <c r="AB4273" t="s">
        <v>18497</v>
      </c>
      <c r="AC4273">
        <v>44</v>
      </c>
      <c r="AD4273" t="s">
        <v>19566</v>
      </c>
      <c r="AE4273" t="s">
        <v>9144</v>
      </c>
      <c r="AF4273">
        <v>8</v>
      </c>
      <c r="AG4273">
        <v>1</v>
      </c>
      <c r="AH4273">
        <v>2</v>
      </c>
      <c r="AI4273">
        <v>161.75</v>
      </c>
      <c r="AL4273" t="s">
        <v>19614</v>
      </c>
      <c r="AM4273">
        <v>34502</v>
      </c>
      <c r="AS4273">
        <v>0</v>
      </c>
      <c r="AU4273" t="s">
        <v>163</v>
      </c>
    </row>
    <row r="4274" spans="1:48">
      <c r="A4274" s="1">
        <f>HYPERLINK("https://lsnyc.legalserver.org/matter/dynamic-profile/view/1890943","19-1890943")</f>
        <v>0</v>
      </c>
      <c r="B4274" t="s">
        <v>117</v>
      </c>
      <c r="C4274" t="s">
        <v>256</v>
      </c>
      <c r="D4274" t="s">
        <v>267</v>
      </c>
      <c r="F4274" t="s">
        <v>2791</v>
      </c>
      <c r="G4274" t="s">
        <v>2505</v>
      </c>
      <c r="H4274" t="s">
        <v>7644</v>
      </c>
      <c r="I4274" t="s">
        <v>8216</v>
      </c>
      <c r="J4274" t="s">
        <v>9065</v>
      </c>
      <c r="K4274">
        <v>10453</v>
      </c>
      <c r="L4274" t="s">
        <v>9094</v>
      </c>
      <c r="M4274" t="s">
        <v>9094</v>
      </c>
      <c r="N4274" t="s">
        <v>9243</v>
      </c>
      <c r="O4274" t="s">
        <v>11130</v>
      </c>
      <c r="P4274" t="s">
        <v>11165</v>
      </c>
      <c r="R4274" t="s">
        <v>11180</v>
      </c>
      <c r="S4274" t="s">
        <v>9094</v>
      </c>
      <c r="T4274" t="s">
        <v>11183</v>
      </c>
      <c r="V4274" t="s">
        <v>512</v>
      </c>
      <c r="W4274">
        <v>0</v>
      </c>
      <c r="X4274" t="s">
        <v>11333</v>
      </c>
      <c r="Y4274" t="s">
        <v>11346</v>
      </c>
      <c r="Z4274" t="s">
        <v>14171</v>
      </c>
      <c r="AB4274" t="s">
        <v>18497</v>
      </c>
      <c r="AC4274">
        <v>44</v>
      </c>
      <c r="AD4274" t="s">
        <v>19566</v>
      </c>
      <c r="AE4274" t="s">
        <v>9144</v>
      </c>
      <c r="AF4274">
        <v>8</v>
      </c>
      <c r="AG4274">
        <v>1</v>
      </c>
      <c r="AH4274">
        <v>2</v>
      </c>
      <c r="AI4274">
        <v>161.78</v>
      </c>
      <c r="AL4274" t="s">
        <v>19614</v>
      </c>
      <c r="AM4274">
        <v>34507.2</v>
      </c>
      <c r="AS4274">
        <v>0</v>
      </c>
      <c r="AU4274" t="s">
        <v>163</v>
      </c>
    </row>
    <row r="4275" spans="1:48">
      <c r="A4275" s="1">
        <f>HYPERLINK("https://lsnyc.legalserver.org/matter/dynamic-profile/view/1890939","19-1890939")</f>
        <v>0</v>
      </c>
      <c r="B4275" t="s">
        <v>117</v>
      </c>
      <c r="C4275" t="s">
        <v>256</v>
      </c>
      <c r="D4275" t="s">
        <v>267</v>
      </c>
      <c r="F4275" t="s">
        <v>2791</v>
      </c>
      <c r="G4275" t="s">
        <v>2505</v>
      </c>
      <c r="H4275" t="s">
        <v>7644</v>
      </c>
      <c r="I4275" t="s">
        <v>8216</v>
      </c>
      <c r="J4275" t="s">
        <v>9065</v>
      </c>
      <c r="K4275">
        <v>10453</v>
      </c>
      <c r="L4275" t="s">
        <v>9094</v>
      </c>
      <c r="M4275" t="s">
        <v>9094</v>
      </c>
      <c r="O4275" t="s">
        <v>9121</v>
      </c>
      <c r="P4275" t="s">
        <v>11166</v>
      </c>
      <c r="R4275" t="s">
        <v>11180</v>
      </c>
      <c r="S4275" t="s">
        <v>9094</v>
      </c>
      <c r="T4275" t="s">
        <v>11183</v>
      </c>
      <c r="V4275" t="s">
        <v>512</v>
      </c>
      <c r="W4275">
        <v>0</v>
      </c>
      <c r="X4275" t="s">
        <v>11333</v>
      </c>
      <c r="Y4275" t="s">
        <v>11346</v>
      </c>
      <c r="Z4275" t="s">
        <v>14171</v>
      </c>
      <c r="AB4275" t="s">
        <v>18497</v>
      </c>
      <c r="AC4275">
        <v>44</v>
      </c>
      <c r="AD4275" t="s">
        <v>19566</v>
      </c>
      <c r="AE4275" t="s">
        <v>9144</v>
      </c>
      <c r="AF4275">
        <v>8</v>
      </c>
      <c r="AG4275">
        <v>1</v>
      </c>
      <c r="AH4275">
        <v>2</v>
      </c>
      <c r="AI4275">
        <v>161.78</v>
      </c>
      <c r="AL4275" t="s">
        <v>19614</v>
      </c>
      <c r="AM4275">
        <v>34507.2</v>
      </c>
      <c r="AS4275">
        <v>0</v>
      </c>
      <c r="AU4275" t="s">
        <v>163</v>
      </c>
    </row>
    <row r="4276" spans="1:48">
      <c r="A4276" s="1">
        <f>HYPERLINK("https://lsnyc.legalserver.org/matter/dynamic-profile/view/1889730","19-1889730")</f>
        <v>0</v>
      </c>
      <c r="B4276" t="s">
        <v>108</v>
      </c>
      <c r="C4276" t="s">
        <v>256</v>
      </c>
      <c r="D4276" t="s">
        <v>391</v>
      </c>
      <c r="F4276" t="s">
        <v>1738</v>
      </c>
      <c r="G4276" t="s">
        <v>3993</v>
      </c>
      <c r="H4276" t="s">
        <v>7645</v>
      </c>
      <c r="I4276" t="s">
        <v>8475</v>
      </c>
      <c r="J4276" t="s">
        <v>9065</v>
      </c>
      <c r="K4276">
        <v>10453</v>
      </c>
      <c r="L4276" t="s">
        <v>9094</v>
      </c>
      <c r="M4276" t="s">
        <v>9095</v>
      </c>
      <c r="N4276" t="s">
        <v>10675</v>
      </c>
      <c r="O4276" t="s">
        <v>11129</v>
      </c>
      <c r="P4276" t="s">
        <v>11165</v>
      </c>
      <c r="R4276" t="s">
        <v>11180</v>
      </c>
      <c r="S4276" t="s">
        <v>9096</v>
      </c>
      <c r="T4276" t="s">
        <v>11183</v>
      </c>
      <c r="U4276" t="s">
        <v>11200</v>
      </c>
      <c r="V4276" t="s">
        <v>11218</v>
      </c>
      <c r="W4276">
        <v>868</v>
      </c>
      <c r="X4276" t="s">
        <v>11333</v>
      </c>
      <c r="Y4276" t="s">
        <v>11340</v>
      </c>
      <c r="Z4276" t="s">
        <v>14172</v>
      </c>
      <c r="AA4276" t="s">
        <v>15854</v>
      </c>
      <c r="AB4276" t="s">
        <v>18498</v>
      </c>
      <c r="AC4276">
        <v>87</v>
      </c>
      <c r="AD4276" t="s">
        <v>19570</v>
      </c>
      <c r="AE4276" t="s">
        <v>9144</v>
      </c>
      <c r="AF4276">
        <v>15</v>
      </c>
      <c r="AG4276">
        <v>2</v>
      </c>
      <c r="AH4276">
        <v>1</v>
      </c>
      <c r="AI4276">
        <v>162.06</v>
      </c>
      <c r="AL4276" t="s">
        <v>19614</v>
      </c>
      <c r="AM4276">
        <v>34568</v>
      </c>
      <c r="AS4276">
        <v>106.45</v>
      </c>
      <c r="AT4276" t="s">
        <v>395</v>
      </c>
      <c r="AU4276" t="s">
        <v>20647</v>
      </c>
      <c r="AV4276" t="s">
        <v>20733</v>
      </c>
    </row>
    <row r="4277" spans="1:48">
      <c r="A4277" s="1">
        <f>HYPERLINK("https://lsnyc.legalserver.org/matter/dynamic-profile/view/1884147","18-1884147")</f>
        <v>0</v>
      </c>
      <c r="B4277" t="s">
        <v>65</v>
      </c>
      <c r="C4277" t="s">
        <v>256</v>
      </c>
      <c r="D4277" t="s">
        <v>287</v>
      </c>
      <c r="F4277" t="s">
        <v>2769</v>
      </c>
      <c r="G4277" t="s">
        <v>5037</v>
      </c>
      <c r="H4277" t="s">
        <v>5744</v>
      </c>
      <c r="I4277">
        <v>26</v>
      </c>
      <c r="J4277" t="s">
        <v>9059</v>
      </c>
      <c r="K4277">
        <v>11238</v>
      </c>
      <c r="L4277" t="s">
        <v>9094</v>
      </c>
      <c r="M4277" t="s">
        <v>9095</v>
      </c>
      <c r="N4277" t="s">
        <v>10676</v>
      </c>
      <c r="O4277" t="s">
        <v>11129</v>
      </c>
      <c r="P4277" t="s">
        <v>11165</v>
      </c>
      <c r="R4277" t="s">
        <v>11180</v>
      </c>
      <c r="T4277" t="s">
        <v>11183</v>
      </c>
      <c r="U4277" t="s">
        <v>11201</v>
      </c>
      <c r="V4277" t="s">
        <v>287</v>
      </c>
      <c r="W4277">
        <v>1116.53</v>
      </c>
      <c r="X4277" t="s">
        <v>11332</v>
      </c>
      <c r="Y4277" t="s">
        <v>11340</v>
      </c>
      <c r="Z4277" t="s">
        <v>14134</v>
      </c>
      <c r="AA4277" t="s">
        <v>15848</v>
      </c>
      <c r="AB4277" t="s">
        <v>18456</v>
      </c>
      <c r="AC4277">
        <v>41</v>
      </c>
      <c r="AD4277" t="s">
        <v>19566</v>
      </c>
      <c r="AF4277">
        <v>17</v>
      </c>
      <c r="AG4277">
        <v>2</v>
      </c>
      <c r="AH4277">
        <v>0</v>
      </c>
      <c r="AI4277">
        <v>162.1</v>
      </c>
      <c r="AL4277" t="s">
        <v>19614</v>
      </c>
      <c r="AM4277">
        <v>26682</v>
      </c>
      <c r="AO4277" t="s">
        <v>20290</v>
      </c>
      <c r="AP4277" t="s">
        <v>20323</v>
      </c>
      <c r="AS4277">
        <v>32.2</v>
      </c>
      <c r="AT4277" t="s">
        <v>1063</v>
      </c>
      <c r="AU4277" t="s">
        <v>20628</v>
      </c>
      <c r="AV4277" t="s">
        <v>20733</v>
      </c>
    </row>
    <row r="4278" spans="1:48">
      <c r="A4278" s="1">
        <f>HYPERLINK("https://lsnyc.legalserver.org/matter/dynamic-profile/view/1857395","18-1857395")</f>
        <v>0</v>
      </c>
      <c r="B4278" t="s">
        <v>108</v>
      </c>
      <c r="C4278" t="s">
        <v>256</v>
      </c>
      <c r="D4278" t="s">
        <v>467</v>
      </c>
      <c r="F4278" t="s">
        <v>2792</v>
      </c>
      <c r="G4278" t="s">
        <v>2119</v>
      </c>
      <c r="H4278" t="s">
        <v>5897</v>
      </c>
      <c r="I4278" t="s">
        <v>8273</v>
      </c>
      <c r="J4278" t="s">
        <v>9065</v>
      </c>
      <c r="K4278">
        <v>10452</v>
      </c>
      <c r="L4278" t="s">
        <v>9094</v>
      </c>
      <c r="M4278" t="s">
        <v>9095</v>
      </c>
      <c r="O4278" t="s">
        <v>11135</v>
      </c>
      <c r="P4278" t="s">
        <v>11168</v>
      </c>
      <c r="R4278" t="s">
        <v>11180</v>
      </c>
      <c r="S4278" t="s">
        <v>9094</v>
      </c>
      <c r="T4278" t="s">
        <v>11183</v>
      </c>
      <c r="V4278" t="s">
        <v>675</v>
      </c>
      <c r="W4278">
        <v>779.61</v>
      </c>
      <c r="X4278" t="s">
        <v>11333</v>
      </c>
      <c r="Y4278" t="s">
        <v>11346</v>
      </c>
      <c r="Z4278" t="s">
        <v>14173</v>
      </c>
      <c r="AB4278" t="s">
        <v>18499</v>
      </c>
      <c r="AC4278">
        <v>122</v>
      </c>
      <c r="AD4278" t="s">
        <v>19566</v>
      </c>
      <c r="AF4278">
        <v>27</v>
      </c>
      <c r="AG4278">
        <v>2</v>
      </c>
      <c r="AH4278">
        <v>1</v>
      </c>
      <c r="AI4278">
        <v>162.19</v>
      </c>
      <c r="AL4278" t="s">
        <v>19614</v>
      </c>
      <c r="AM4278">
        <v>33704.04</v>
      </c>
      <c r="AN4278" t="s">
        <v>19693</v>
      </c>
      <c r="AS4278">
        <v>0</v>
      </c>
      <c r="AU4278" t="s">
        <v>20647</v>
      </c>
    </row>
    <row r="4279" spans="1:48">
      <c r="A4279" s="1">
        <f>HYPERLINK("https://lsnyc.legalserver.org/matter/dynamic-profile/view/1901723","19-1901723")</f>
        <v>0</v>
      </c>
      <c r="B4279" t="s">
        <v>73</v>
      </c>
      <c r="C4279" t="s">
        <v>257</v>
      </c>
      <c r="D4279" t="s">
        <v>610</v>
      </c>
      <c r="E4279" t="s">
        <v>372</v>
      </c>
      <c r="F4279" t="s">
        <v>1303</v>
      </c>
      <c r="G4279" t="s">
        <v>5059</v>
      </c>
      <c r="H4279" t="s">
        <v>5998</v>
      </c>
      <c r="I4279" t="s">
        <v>8832</v>
      </c>
      <c r="J4279" t="s">
        <v>9059</v>
      </c>
      <c r="K4279">
        <v>11208</v>
      </c>
      <c r="L4279" t="s">
        <v>9094</v>
      </c>
      <c r="M4279" t="s">
        <v>9095</v>
      </c>
      <c r="N4279" t="s">
        <v>10677</v>
      </c>
      <c r="O4279" t="s">
        <v>11129</v>
      </c>
      <c r="P4279" t="s">
        <v>11165</v>
      </c>
      <c r="Q4279" t="s">
        <v>11178</v>
      </c>
      <c r="R4279" t="s">
        <v>11180</v>
      </c>
      <c r="S4279" t="s">
        <v>9096</v>
      </c>
      <c r="T4279" t="s">
        <v>11183</v>
      </c>
      <c r="U4279" t="s">
        <v>11201</v>
      </c>
      <c r="V4279" t="s">
        <v>610</v>
      </c>
      <c r="W4279">
        <v>875</v>
      </c>
      <c r="X4279" t="s">
        <v>11332</v>
      </c>
      <c r="Y4279" t="s">
        <v>11340</v>
      </c>
      <c r="Z4279" t="s">
        <v>13378</v>
      </c>
      <c r="AB4279" t="s">
        <v>18500</v>
      </c>
      <c r="AC4279">
        <v>322</v>
      </c>
      <c r="AD4279" t="s">
        <v>19566</v>
      </c>
      <c r="AE4279" t="s">
        <v>9144</v>
      </c>
      <c r="AF4279">
        <v>6</v>
      </c>
      <c r="AG4279">
        <v>1</v>
      </c>
      <c r="AH4279">
        <v>0</v>
      </c>
      <c r="AI4279">
        <v>162.37</v>
      </c>
      <c r="AL4279" t="s">
        <v>19614</v>
      </c>
      <c r="AM4279">
        <v>20280</v>
      </c>
      <c r="AQ4279" t="s">
        <v>20369</v>
      </c>
      <c r="AR4279" t="s">
        <v>20412</v>
      </c>
      <c r="AS4279">
        <v>3</v>
      </c>
      <c r="AT4279" t="s">
        <v>660</v>
      </c>
      <c r="AU4279" t="s">
        <v>79</v>
      </c>
      <c r="AV4279" t="s">
        <v>20733</v>
      </c>
    </row>
    <row r="4280" spans="1:48">
      <c r="A4280" s="1">
        <f>HYPERLINK("https://lsnyc.legalserver.org/matter/dynamic-profile/view/1909921","19-1909921")</f>
        <v>0</v>
      </c>
      <c r="B4280" t="s">
        <v>126</v>
      </c>
      <c r="C4280" t="s">
        <v>256</v>
      </c>
      <c r="D4280" t="s">
        <v>435</v>
      </c>
      <c r="F4280" t="s">
        <v>2793</v>
      </c>
      <c r="G4280" t="s">
        <v>5060</v>
      </c>
      <c r="H4280" t="s">
        <v>7646</v>
      </c>
      <c r="J4280" t="s">
        <v>9066</v>
      </c>
      <c r="K4280">
        <v>10301</v>
      </c>
      <c r="L4280" t="s">
        <v>9094</v>
      </c>
      <c r="M4280" t="s">
        <v>9095</v>
      </c>
      <c r="N4280" t="s">
        <v>10678</v>
      </c>
      <c r="O4280" t="s">
        <v>11129</v>
      </c>
      <c r="P4280" t="s">
        <v>11165</v>
      </c>
      <c r="R4280" t="s">
        <v>11180</v>
      </c>
      <c r="S4280" t="s">
        <v>9096</v>
      </c>
      <c r="T4280" t="s">
        <v>11183</v>
      </c>
      <c r="U4280" t="s">
        <v>11201</v>
      </c>
      <c r="V4280" t="s">
        <v>992</v>
      </c>
      <c r="W4280">
        <v>2500</v>
      </c>
      <c r="X4280" t="s">
        <v>11334</v>
      </c>
      <c r="Y4280" t="s">
        <v>11338</v>
      </c>
      <c r="Z4280" t="s">
        <v>14174</v>
      </c>
      <c r="AB4280" t="s">
        <v>18501</v>
      </c>
      <c r="AC4280">
        <v>1</v>
      </c>
      <c r="AD4280" t="s">
        <v>19565</v>
      </c>
      <c r="AF4280">
        <v>1</v>
      </c>
      <c r="AG4280">
        <v>1</v>
      </c>
      <c r="AH4280">
        <v>0</v>
      </c>
      <c r="AI4280">
        <v>162.37</v>
      </c>
      <c r="AL4280" t="s">
        <v>19614</v>
      </c>
      <c r="AM4280">
        <v>20280</v>
      </c>
      <c r="AS4280">
        <v>13.65</v>
      </c>
      <c r="AT4280" t="s">
        <v>487</v>
      </c>
      <c r="AU4280" t="s">
        <v>128</v>
      </c>
      <c r="AV4280" t="s">
        <v>20733</v>
      </c>
    </row>
    <row r="4281" spans="1:48">
      <c r="A4281" s="1">
        <f>HYPERLINK("https://lsnyc.legalserver.org/matter/dynamic-profile/view/1912316","19-1912316")</f>
        <v>0</v>
      </c>
      <c r="B4281" t="s">
        <v>126</v>
      </c>
      <c r="C4281" t="s">
        <v>256</v>
      </c>
      <c r="D4281" t="s">
        <v>294</v>
      </c>
      <c r="F4281" t="s">
        <v>1655</v>
      </c>
      <c r="G4281" t="s">
        <v>3332</v>
      </c>
      <c r="H4281" t="s">
        <v>7647</v>
      </c>
      <c r="J4281" t="s">
        <v>9066</v>
      </c>
      <c r="K4281">
        <v>10305</v>
      </c>
      <c r="L4281" t="s">
        <v>9095</v>
      </c>
      <c r="M4281" t="s">
        <v>9095</v>
      </c>
      <c r="N4281" t="s">
        <v>10679</v>
      </c>
      <c r="O4281" t="s">
        <v>11128</v>
      </c>
      <c r="R4281" t="s">
        <v>11180</v>
      </c>
      <c r="S4281" t="s">
        <v>9096</v>
      </c>
      <c r="T4281" t="s">
        <v>11183</v>
      </c>
      <c r="U4281" t="s">
        <v>11201</v>
      </c>
      <c r="W4281">
        <v>1375</v>
      </c>
      <c r="X4281" t="s">
        <v>11334</v>
      </c>
      <c r="Y4281" t="s">
        <v>11345</v>
      </c>
      <c r="Z4281" t="s">
        <v>14175</v>
      </c>
      <c r="AB4281" t="s">
        <v>18502</v>
      </c>
      <c r="AC4281">
        <v>2</v>
      </c>
      <c r="AD4281" t="s">
        <v>19565</v>
      </c>
      <c r="AE4281" t="s">
        <v>9144</v>
      </c>
      <c r="AF4281">
        <v>1</v>
      </c>
      <c r="AG4281">
        <v>1</v>
      </c>
      <c r="AH4281">
        <v>0</v>
      </c>
      <c r="AI4281">
        <v>162.47</v>
      </c>
      <c r="AL4281" t="s">
        <v>19614</v>
      </c>
      <c r="AM4281">
        <v>20292</v>
      </c>
      <c r="AS4281">
        <v>7</v>
      </c>
      <c r="AT4281" t="s">
        <v>556</v>
      </c>
      <c r="AU4281" t="s">
        <v>20653</v>
      </c>
    </row>
    <row r="4282" spans="1:48">
      <c r="A4282" s="1">
        <f>HYPERLINK("https://lsnyc.legalserver.org/matter/dynamic-profile/view/0830161","17-0830161")</f>
        <v>0</v>
      </c>
      <c r="B4282" t="s">
        <v>78</v>
      </c>
      <c r="C4282" t="s">
        <v>256</v>
      </c>
      <c r="D4282" t="s">
        <v>804</v>
      </c>
      <c r="F4282" t="s">
        <v>1628</v>
      </c>
      <c r="G4282" t="s">
        <v>5055</v>
      </c>
      <c r="H4282" t="s">
        <v>5809</v>
      </c>
      <c r="I4282" t="s">
        <v>8134</v>
      </c>
      <c r="J4282" t="s">
        <v>9059</v>
      </c>
      <c r="K4282">
        <v>11212</v>
      </c>
      <c r="L4282" t="s">
        <v>9094</v>
      </c>
      <c r="M4282" t="s">
        <v>9095</v>
      </c>
      <c r="N4282" t="s">
        <v>9189</v>
      </c>
      <c r="O4282" t="s">
        <v>9121</v>
      </c>
      <c r="P4282" t="s">
        <v>11168</v>
      </c>
      <c r="R4282" t="s">
        <v>11180</v>
      </c>
      <c r="S4282" t="s">
        <v>9094</v>
      </c>
      <c r="T4282" t="s">
        <v>11183</v>
      </c>
      <c r="V4282" t="s">
        <v>804</v>
      </c>
      <c r="W4282">
        <v>922.9400000000001</v>
      </c>
      <c r="X4282" t="s">
        <v>11332</v>
      </c>
      <c r="Y4282" t="s">
        <v>11157</v>
      </c>
      <c r="Z4282" t="s">
        <v>14165</v>
      </c>
      <c r="AB4282" t="s">
        <v>18489</v>
      </c>
      <c r="AC4282">
        <v>32</v>
      </c>
      <c r="AD4282" t="s">
        <v>19566</v>
      </c>
      <c r="AF4282">
        <v>21</v>
      </c>
      <c r="AG4282">
        <v>2</v>
      </c>
      <c r="AH4282">
        <v>0</v>
      </c>
      <c r="AI4282">
        <v>162.56</v>
      </c>
      <c r="AL4282" t="s">
        <v>19614</v>
      </c>
      <c r="AM4282">
        <v>26400</v>
      </c>
      <c r="AS4282">
        <v>0.5</v>
      </c>
      <c r="AT4282" t="s">
        <v>778</v>
      </c>
      <c r="AU4282" t="s">
        <v>78</v>
      </c>
    </row>
    <row r="4283" spans="1:48">
      <c r="A4283" s="1">
        <f>HYPERLINK("https://lsnyc.legalserver.org/matter/dynamic-profile/view/1842703","17-1842703")</f>
        <v>0</v>
      </c>
      <c r="B4283" t="s">
        <v>111</v>
      </c>
      <c r="C4283" t="s">
        <v>256</v>
      </c>
      <c r="D4283" t="s">
        <v>851</v>
      </c>
      <c r="F4283" t="s">
        <v>2794</v>
      </c>
      <c r="G4283" t="s">
        <v>3926</v>
      </c>
      <c r="H4283" t="s">
        <v>7648</v>
      </c>
      <c r="I4283" t="s">
        <v>8409</v>
      </c>
      <c r="J4283" t="s">
        <v>9065</v>
      </c>
      <c r="K4283">
        <v>10453</v>
      </c>
      <c r="L4283" t="s">
        <v>9094</v>
      </c>
      <c r="M4283" t="s">
        <v>9095</v>
      </c>
      <c r="O4283" t="s">
        <v>9121</v>
      </c>
      <c r="P4283" t="s">
        <v>11164</v>
      </c>
      <c r="R4283" t="s">
        <v>11180</v>
      </c>
      <c r="S4283" t="s">
        <v>9094</v>
      </c>
      <c r="T4283" t="s">
        <v>11190</v>
      </c>
      <c r="V4283" t="s">
        <v>874</v>
      </c>
      <c r="W4283">
        <v>466.98</v>
      </c>
      <c r="X4283" t="s">
        <v>11333</v>
      </c>
      <c r="Y4283" t="s">
        <v>11157</v>
      </c>
      <c r="Z4283" t="s">
        <v>14176</v>
      </c>
      <c r="AB4283" t="s">
        <v>18503</v>
      </c>
      <c r="AC4283">
        <v>50</v>
      </c>
      <c r="AD4283" t="s">
        <v>19566</v>
      </c>
      <c r="AE4283" t="s">
        <v>9144</v>
      </c>
      <c r="AF4283">
        <v>5</v>
      </c>
      <c r="AG4283">
        <v>2</v>
      </c>
      <c r="AH4283">
        <v>2</v>
      </c>
      <c r="AI4283">
        <v>162.6</v>
      </c>
      <c r="AL4283" t="s">
        <v>19614</v>
      </c>
      <c r="AM4283">
        <v>40000</v>
      </c>
      <c r="AS4283">
        <v>2.9</v>
      </c>
      <c r="AT4283" t="s">
        <v>579</v>
      </c>
      <c r="AU4283" t="s">
        <v>20635</v>
      </c>
    </row>
    <row r="4284" spans="1:48">
      <c r="A4284" s="1">
        <f>HYPERLINK("https://lsnyc.legalserver.org/matter/dynamic-profile/view/1855004","18-1855004")</f>
        <v>0</v>
      </c>
      <c r="B4284" t="s">
        <v>114</v>
      </c>
      <c r="C4284" t="s">
        <v>256</v>
      </c>
      <c r="D4284" t="s">
        <v>792</v>
      </c>
      <c r="F4284" t="s">
        <v>2795</v>
      </c>
      <c r="G4284" t="s">
        <v>5061</v>
      </c>
      <c r="H4284" t="s">
        <v>7649</v>
      </c>
      <c r="I4284" t="s">
        <v>8168</v>
      </c>
      <c r="J4284" t="s">
        <v>9065</v>
      </c>
      <c r="K4284">
        <v>10453</v>
      </c>
      <c r="L4284" t="s">
        <v>9095</v>
      </c>
      <c r="M4284" t="s">
        <v>9095</v>
      </c>
      <c r="O4284" t="s">
        <v>11151</v>
      </c>
      <c r="R4284" t="s">
        <v>11180</v>
      </c>
      <c r="T4284" t="s">
        <v>11183</v>
      </c>
      <c r="W4284">
        <v>0</v>
      </c>
      <c r="X4284" t="s">
        <v>11333</v>
      </c>
      <c r="Z4284" t="s">
        <v>14177</v>
      </c>
      <c r="AB4284" t="s">
        <v>18504</v>
      </c>
      <c r="AC4284">
        <v>25</v>
      </c>
      <c r="AF4284">
        <v>0</v>
      </c>
      <c r="AG4284">
        <v>2</v>
      </c>
      <c r="AH4284">
        <v>2</v>
      </c>
      <c r="AI4284">
        <v>162.6</v>
      </c>
      <c r="AM4284">
        <v>40000</v>
      </c>
      <c r="AN4284" t="s">
        <v>20011</v>
      </c>
      <c r="AS4284">
        <v>4.5</v>
      </c>
      <c r="AT4284" t="s">
        <v>917</v>
      </c>
      <c r="AU4284" t="s">
        <v>20690</v>
      </c>
    </row>
    <row r="4285" spans="1:48">
      <c r="A4285" s="1">
        <f>HYPERLINK("https://lsnyc.legalserver.org/matter/dynamic-profile/view/1877510","18-1877510")</f>
        <v>0</v>
      </c>
      <c r="B4285" t="s">
        <v>49</v>
      </c>
      <c r="C4285" t="s">
        <v>256</v>
      </c>
      <c r="D4285" t="s">
        <v>958</v>
      </c>
      <c r="F4285" t="s">
        <v>1920</v>
      </c>
      <c r="G4285" t="s">
        <v>3765</v>
      </c>
      <c r="H4285" t="s">
        <v>7650</v>
      </c>
      <c r="I4285" t="s">
        <v>8833</v>
      </c>
      <c r="J4285" t="s">
        <v>9055</v>
      </c>
      <c r="K4285">
        <v>11354</v>
      </c>
      <c r="L4285" t="s">
        <v>9094</v>
      </c>
      <c r="M4285" t="s">
        <v>9094</v>
      </c>
      <c r="N4285" t="s">
        <v>10680</v>
      </c>
      <c r="O4285" t="s">
        <v>11128</v>
      </c>
      <c r="P4285" t="s">
        <v>11165</v>
      </c>
      <c r="R4285" t="s">
        <v>11180</v>
      </c>
      <c r="S4285" t="s">
        <v>9094</v>
      </c>
      <c r="T4285" t="s">
        <v>11183</v>
      </c>
      <c r="U4285" t="s">
        <v>11201</v>
      </c>
      <c r="V4285" t="s">
        <v>759</v>
      </c>
      <c r="W4285">
        <v>1281</v>
      </c>
      <c r="X4285" t="s">
        <v>11331</v>
      </c>
      <c r="Y4285" t="s">
        <v>11336</v>
      </c>
      <c r="Z4285" t="s">
        <v>14178</v>
      </c>
      <c r="AA4285" t="s">
        <v>15855</v>
      </c>
      <c r="AB4285" t="s">
        <v>18505</v>
      </c>
      <c r="AC4285">
        <v>100</v>
      </c>
      <c r="AD4285" t="s">
        <v>19566</v>
      </c>
      <c r="AE4285" t="s">
        <v>9144</v>
      </c>
      <c r="AF4285">
        <v>8</v>
      </c>
      <c r="AG4285">
        <v>2</v>
      </c>
      <c r="AH4285">
        <v>0</v>
      </c>
      <c r="AI4285">
        <v>162.65</v>
      </c>
      <c r="AL4285" t="s">
        <v>19615</v>
      </c>
      <c r="AM4285">
        <v>26772</v>
      </c>
      <c r="AO4285" t="s">
        <v>20292</v>
      </c>
      <c r="AP4285" t="s">
        <v>11157</v>
      </c>
      <c r="AQ4285" t="s">
        <v>20371</v>
      </c>
      <c r="AR4285" t="s">
        <v>20375</v>
      </c>
      <c r="AS4285">
        <v>61.3</v>
      </c>
      <c r="AT4285" t="s">
        <v>472</v>
      </c>
      <c r="AU4285" t="s">
        <v>153</v>
      </c>
      <c r="AV4285" t="s">
        <v>20733</v>
      </c>
    </row>
    <row r="4286" spans="1:48">
      <c r="A4286" s="1">
        <f>HYPERLINK("https://lsnyc.legalserver.org/matter/dynamic-profile/view/1907837","19-1907837")</f>
        <v>0</v>
      </c>
      <c r="B4286" t="s">
        <v>55</v>
      </c>
      <c r="C4286" t="s">
        <v>256</v>
      </c>
      <c r="D4286" t="s">
        <v>779</v>
      </c>
      <c r="F4286" t="s">
        <v>1532</v>
      </c>
      <c r="G4286" t="s">
        <v>5062</v>
      </c>
      <c r="H4286" t="s">
        <v>6954</v>
      </c>
      <c r="I4286" t="s">
        <v>8151</v>
      </c>
      <c r="J4286" t="s">
        <v>9050</v>
      </c>
      <c r="K4286">
        <v>11377</v>
      </c>
      <c r="L4286" t="s">
        <v>9094</v>
      </c>
      <c r="M4286" t="s">
        <v>9095</v>
      </c>
      <c r="N4286" t="s">
        <v>10067</v>
      </c>
      <c r="O4286" t="s">
        <v>11134</v>
      </c>
      <c r="P4286" t="s">
        <v>11168</v>
      </c>
      <c r="R4286" t="s">
        <v>11180</v>
      </c>
      <c r="S4286" t="s">
        <v>9094</v>
      </c>
      <c r="T4286" t="s">
        <v>11183</v>
      </c>
      <c r="U4286" t="s">
        <v>11201</v>
      </c>
      <c r="V4286" t="s">
        <v>779</v>
      </c>
      <c r="W4286">
        <v>892.88</v>
      </c>
      <c r="X4286" t="s">
        <v>11331</v>
      </c>
      <c r="Y4286" t="s">
        <v>11346</v>
      </c>
      <c r="Z4286" t="s">
        <v>14179</v>
      </c>
      <c r="AA4286" t="s">
        <v>15856</v>
      </c>
      <c r="AB4286" t="s">
        <v>18506</v>
      </c>
      <c r="AC4286">
        <v>67</v>
      </c>
      <c r="AD4286" t="s">
        <v>19566</v>
      </c>
      <c r="AE4286" t="s">
        <v>19587</v>
      </c>
      <c r="AF4286">
        <v>61</v>
      </c>
      <c r="AG4286">
        <v>1</v>
      </c>
      <c r="AH4286">
        <v>0</v>
      </c>
      <c r="AI4286">
        <v>162.66</v>
      </c>
      <c r="AL4286" t="s">
        <v>19614</v>
      </c>
      <c r="AM4286">
        <v>20316</v>
      </c>
      <c r="AP4286" t="s">
        <v>11157</v>
      </c>
      <c r="AS4286">
        <v>0.4</v>
      </c>
      <c r="AT4286" t="s">
        <v>779</v>
      </c>
      <c r="AU4286" t="s">
        <v>20620</v>
      </c>
      <c r="AV4286" t="s">
        <v>20733</v>
      </c>
    </row>
    <row r="4287" spans="1:48">
      <c r="A4287" s="1">
        <f>HYPERLINK("https://lsnyc.legalserver.org/matter/dynamic-profile/view/1907844","19-1907844")</f>
        <v>0</v>
      </c>
      <c r="B4287" t="s">
        <v>55</v>
      </c>
      <c r="C4287" t="s">
        <v>256</v>
      </c>
      <c r="D4287" t="s">
        <v>779</v>
      </c>
      <c r="F4287" t="s">
        <v>1532</v>
      </c>
      <c r="G4287" t="s">
        <v>5062</v>
      </c>
      <c r="H4287" t="s">
        <v>6954</v>
      </c>
      <c r="I4287" t="s">
        <v>8151</v>
      </c>
      <c r="J4287" t="s">
        <v>9050</v>
      </c>
      <c r="K4287">
        <v>11377</v>
      </c>
      <c r="L4287" t="s">
        <v>9094</v>
      </c>
      <c r="M4287" t="s">
        <v>9095</v>
      </c>
      <c r="N4287" t="s">
        <v>10068</v>
      </c>
      <c r="O4287" t="s">
        <v>11134</v>
      </c>
      <c r="P4287" t="s">
        <v>11168</v>
      </c>
      <c r="R4287" t="s">
        <v>11180</v>
      </c>
      <c r="S4287" t="s">
        <v>9096</v>
      </c>
      <c r="T4287" t="s">
        <v>11183</v>
      </c>
      <c r="V4287" t="s">
        <v>11267</v>
      </c>
      <c r="W4287">
        <v>892.58</v>
      </c>
      <c r="X4287" t="s">
        <v>11331</v>
      </c>
      <c r="Y4287" t="s">
        <v>11346</v>
      </c>
      <c r="Z4287" t="s">
        <v>14179</v>
      </c>
      <c r="AA4287" t="s">
        <v>15856</v>
      </c>
      <c r="AB4287" t="s">
        <v>18506</v>
      </c>
      <c r="AC4287">
        <v>66</v>
      </c>
      <c r="AD4287" t="s">
        <v>19566</v>
      </c>
      <c r="AE4287" t="s">
        <v>19587</v>
      </c>
      <c r="AF4287">
        <v>61</v>
      </c>
      <c r="AG4287">
        <v>1</v>
      </c>
      <c r="AH4287">
        <v>0</v>
      </c>
      <c r="AI4287">
        <v>162.66</v>
      </c>
      <c r="AL4287" t="s">
        <v>19614</v>
      </c>
      <c r="AM4287">
        <v>20316</v>
      </c>
      <c r="AS4287">
        <v>0.2</v>
      </c>
      <c r="AT4287" t="s">
        <v>779</v>
      </c>
      <c r="AU4287" t="s">
        <v>20620</v>
      </c>
      <c r="AV4287" t="s">
        <v>20733</v>
      </c>
    </row>
    <row r="4288" spans="1:48">
      <c r="A4288" s="1">
        <f>HYPERLINK("https://lsnyc.legalserver.org/matter/dynamic-profile/view/1902243","19-1902243")</f>
        <v>0</v>
      </c>
      <c r="B4288" t="s">
        <v>64</v>
      </c>
      <c r="C4288" t="s">
        <v>257</v>
      </c>
      <c r="D4288" t="s">
        <v>584</v>
      </c>
      <c r="E4288" t="s">
        <v>339</v>
      </c>
      <c r="F4288" t="s">
        <v>2796</v>
      </c>
      <c r="G4288" t="s">
        <v>2344</v>
      </c>
      <c r="H4288" t="s">
        <v>7651</v>
      </c>
      <c r="I4288" t="s">
        <v>8834</v>
      </c>
      <c r="J4288" t="s">
        <v>9059</v>
      </c>
      <c r="K4288">
        <v>11234</v>
      </c>
      <c r="L4288" t="s">
        <v>9094</v>
      </c>
      <c r="M4288" t="s">
        <v>9095</v>
      </c>
      <c r="N4288" t="s">
        <v>10681</v>
      </c>
      <c r="O4288" t="s">
        <v>11130</v>
      </c>
      <c r="P4288" t="s">
        <v>11164</v>
      </c>
      <c r="Q4288" t="s">
        <v>11172</v>
      </c>
      <c r="R4288" t="s">
        <v>11180</v>
      </c>
      <c r="S4288" t="s">
        <v>9096</v>
      </c>
      <c r="T4288" t="s">
        <v>11183</v>
      </c>
      <c r="U4288" t="s">
        <v>11201</v>
      </c>
      <c r="V4288" t="s">
        <v>706</v>
      </c>
      <c r="W4288">
        <v>0</v>
      </c>
      <c r="X4288" t="s">
        <v>11332</v>
      </c>
      <c r="Y4288" t="s">
        <v>11336</v>
      </c>
      <c r="Z4288" t="s">
        <v>14180</v>
      </c>
      <c r="AA4288" t="s">
        <v>15857</v>
      </c>
      <c r="AB4288" t="s">
        <v>16898</v>
      </c>
      <c r="AC4288">
        <v>710</v>
      </c>
      <c r="AD4288" t="s">
        <v>15441</v>
      </c>
      <c r="AF4288">
        <v>0</v>
      </c>
      <c r="AG4288">
        <v>1</v>
      </c>
      <c r="AH4288">
        <v>1</v>
      </c>
      <c r="AI4288">
        <v>162.67</v>
      </c>
      <c r="AL4288" t="s">
        <v>19614</v>
      </c>
      <c r="AM4288">
        <v>27508</v>
      </c>
      <c r="AS4288">
        <v>0.1</v>
      </c>
      <c r="AT4288" t="s">
        <v>327</v>
      </c>
      <c r="AU4288" t="s">
        <v>20626</v>
      </c>
      <c r="AV4288" t="s">
        <v>20734</v>
      </c>
    </row>
    <row r="4289" spans="1:48">
      <c r="A4289" s="1">
        <f>HYPERLINK("https://lsnyc.legalserver.org/matter/dynamic-profile/view/1900420","19-1900420")</f>
        <v>0</v>
      </c>
      <c r="B4289" t="s">
        <v>82</v>
      </c>
      <c r="C4289" t="s">
        <v>256</v>
      </c>
      <c r="D4289" t="s">
        <v>262</v>
      </c>
      <c r="F4289" t="s">
        <v>1969</v>
      </c>
      <c r="G4289" t="s">
        <v>2154</v>
      </c>
      <c r="H4289" t="s">
        <v>6393</v>
      </c>
      <c r="I4289" t="s">
        <v>8266</v>
      </c>
      <c r="J4289" t="s">
        <v>9059</v>
      </c>
      <c r="K4289">
        <v>11226</v>
      </c>
      <c r="L4289" t="s">
        <v>9094</v>
      </c>
      <c r="M4289" t="s">
        <v>9095</v>
      </c>
      <c r="N4289" t="s">
        <v>9634</v>
      </c>
      <c r="O4289" t="s">
        <v>11130</v>
      </c>
      <c r="P4289" t="s">
        <v>11165</v>
      </c>
      <c r="R4289" t="s">
        <v>11180</v>
      </c>
      <c r="S4289" t="s">
        <v>9094</v>
      </c>
      <c r="T4289" t="s">
        <v>11183</v>
      </c>
      <c r="U4289" t="s">
        <v>11201</v>
      </c>
      <c r="V4289" t="s">
        <v>262</v>
      </c>
      <c r="W4289">
        <v>1107</v>
      </c>
      <c r="X4289" t="s">
        <v>11332</v>
      </c>
      <c r="Y4289" t="s">
        <v>11339</v>
      </c>
      <c r="Z4289" t="s">
        <v>13741</v>
      </c>
      <c r="AB4289" t="s">
        <v>18071</v>
      </c>
      <c r="AC4289">
        <v>36</v>
      </c>
      <c r="AD4289" t="s">
        <v>19566</v>
      </c>
      <c r="AE4289" t="s">
        <v>9144</v>
      </c>
      <c r="AF4289">
        <v>18</v>
      </c>
      <c r="AG4289">
        <v>2</v>
      </c>
      <c r="AH4289">
        <v>0</v>
      </c>
      <c r="AI4289">
        <v>162.67</v>
      </c>
      <c r="AL4289" t="s">
        <v>19620</v>
      </c>
      <c r="AM4289">
        <v>27508</v>
      </c>
      <c r="AS4289">
        <v>0</v>
      </c>
      <c r="AU4289" t="s">
        <v>215</v>
      </c>
      <c r="AV4289" t="s">
        <v>20733</v>
      </c>
    </row>
    <row r="4290" spans="1:48">
      <c r="A4290" s="1">
        <f>HYPERLINK("https://lsnyc.legalserver.org/matter/dynamic-profile/view/0825788","17-0825788")</f>
        <v>0</v>
      </c>
      <c r="B4290" t="s">
        <v>184</v>
      </c>
      <c r="C4290" t="s">
        <v>256</v>
      </c>
      <c r="D4290" t="s">
        <v>916</v>
      </c>
      <c r="F4290" t="s">
        <v>2797</v>
      </c>
      <c r="G4290" t="s">
        <v>5063</v>
      </c>
      <c r="H4290" t="s">
        <v>6140</v>
      </c>
      <c r="I4290" t="s">
        <v>8446</v>
      </c>
      <c r="J4290" t="s">
        <v>9065</v>
      </c>
      <c r="K4290">
        <v>10453</v>
      </c>
      <c r="L4290" t="s">
        <v>9094</v>
      </c>
      <c r="M4290" t="s">
        <v>9095</v>
      </c>
      <c r="N4290" t="s">
        <v>10682</v>
      </c>
      <c r="O4290" t="s">
        <v>11129</v>
      </c>
      <c r="P4290" t="s">
        <v>11165</v>
      </c>
      <c r="R4290" t="s">
        <v>11180</v>
      </c>
      <c r="S4290" t="s">
        <v>9096</v>
      </c>
      <c r="T4290" t="s">
        <v>11183</v>
      </c>
      <c r="V4290" t="s">
        <v>916</v>
      </c>
      <c r="W4290">
        <v>1036.54</v>
      </c>
      <c r="X4290" t="s">
        <v>11333</v>
      </c>
      <c r="Y4290" t="s">
        <v>11338</v>
      </c>
      <c r="Z4290" t="s">
        <v>14181</v>
      </c>
      <c r="AB4290" t="s">
        <v>18507</v>
      </c>
      <c r="AC4290">
        <v>84</v>
      </c>
      <c r="AD4290" t="s">
        <v>19566</v>
      </c>
      <c r="AE4290" t="s">
        <v>9144</v>
      </c>
      <c r="AF4290">
        <v>4</v>
      </c>
      <c r="AG4290">
        <v>2</v>
      </c>
      <c r="AH4290">
        <v>2</v>
      </c>
      <c r="AI4290">
        <v>162.76</v>
      </c>
      <c r="AL4290" t="s">
        <v>19614</v>
      </c>
      <c r="AM4290">
        <v>40038</v>
      </c>
      <c r="AS4290">
        <v>99.40000000000001</v>
      </c>
      <c r="AT4290" t="s">
        <v>594</v>
      </c>
      <c r="AU4290" t="s">
        <v>189</v>
      </c>
    </row>
    <row r="4291" spans="1:48">
      <c r="A4291" s="1">
        <f>HYPERLINK("https://lsnyc.legalserver.org/matter/dynamic-profile/view/1838729","17-1838729")</f>
        <v>0</v>
      </c>
      <c r="B4291" t="s">
        <v>103</v>
      </c>
      <c r="C4291" t="s">
        <v>256</v>
      </c>
      <c r="D4291" t="s">
        <v>1058</v>
      </c>
      <c r="F4291" t="s">
        <v>2798</v>
      </c>
      <c r="G4291" t="s">
        <v>1488</v>
      </c>
      <c r="H4291" t="s">
        <v>7562</v>
      </c>
      <c r="I4291" t="s">
        <v>8835</v>
      </c>
      <c r="J4291" t="s">
        <v>9065</v>
      </c>
      <c r="K4291">
        <v>10473</v>
      </c>
      <c r="L4291" t="s">
        <v>9094</v>
      </c>
      <c r="M4291" t="s">
        <v>9095</v>
      </c>
      <c r="N4291" t="s">
        <v>10609</v>
      </c>
      <c r="O4291" t="s">
        <v>11135</v>
      </c>
      <c r="P4291" t="s">
        <v>11168</v>
      </c>
      <c r="R4291" t="s">
        <v>11180</v>
      </c>
      <c r="S4291" t="s">
        <v>9094</v>
      </c>
      <c r="T4291" t="s">
        <v>11183</v>
      </c>
      <c r="V4291" t="s">
        <v>11223</v>
      </c>
      <c r="W4291">
        <v>744.03</v>
      </c>
      <c r="X4291" t="s">
        <v>11333</v>
      </c>
      <c r="Y4291" t="s">
        <v>11351</v>
      </c>
      <c r="Z4291" t="s">
        <v>14182</v>
      </c>
      <c r="AB4291" t="s">
        <v>18508</v>
      </c>
      <c r="AC4291">
        <v>976</v>
      </c>
      <c r="AD4291" t="s">
        <v>19566</v>
      </c>
      <c r="AE4291" t="s">
        <v>19587</v>
      </c>
      <c r="AF4291">
        <v>40</v>
      </c>
      <c r="AG4291">
        <v>2</v>
      </c>
      <c r="AH4291">
        <v>0</v>
      </c>
      <c r="AI4291">
        <v>163.01</v>
      </c>
      <c r="AJ4291" t="s">
        <v>936</v>
      </c>
      <c r="AL4291" t="s">
        <v>19614</v>
      </c>
      <c r="AM4291">
        <v>33672.36</v>
      </c>
      <c r="AS4291">
        <v>0</v>
      </c>
      <c r="AU4291" t="s">
        <v>20643</v>
      </c>
    </row>
    <row r="4292" spans="1:48">
      <c r="A4292" s="1">
        <f>HYPERLINK("https://lsnyc.legalserver.org/matter/dynamic-profile/view/1905033","19-1905033")</f>
        <v>0</v>
      </c>
      <c r="B4292" t="s">
        <v>103</v>
      </c>
      <c r="C4292" t="s">
        <v>256</v>
      </c>
      <c r="D4292" t="s">
        <v>367</v>
      </c>
      <c r="F4292" t="s">
        <v>2799</v>
      </c>
      <c r="G4292" t="s">
        <v>4022</v>
      </c>
      <c r="H4292" t="s">
        <v>5887</v>
      </c>
      <c r="I4292" t="s">
        <v>8836</v>
      </c>
      <c r="J4292" t="s">
        <v>9065</v>
      </c>
      <c r="K4292">
        <v>10453</v>
      </c>
      <c r="L4292" t="s">
        <v>9094</v>
      </c>
      <c r="M4292" t="s">
        <v>9095</v>
      </c>
      <c r="N4292" t="s">
        <v>9239</v>
      </c>
      <c r="O4292" t="s">
        <v>11134</v>
      </c>
      <c r="P4292" t="s">
        <v>11168</v>
      </c>
      <c r="R4292" t="s">
        <v>11180</v>
      </c>
      <c r="S4292" t="s">
        <v>9094</v>
      </c>
      <c r="T4292" t="s">
        <v>11183</v>
      </c>
      <c r="V4292" t="s">
        <v>1061</v>
      </c>
      <c r="W4292">
        <v>900</v>
      </c>
      <c r="X4292" t="s">
        <v>11333</v>
      </c>
      <c r="Y4292" t="s">
        <v>11346</v>
      </c>
      <c r="Z4292" t="s">
        <v>14183</v>
      </c>
      <c r="AB4292" t="s">
        <v>18509</v>
      </c>
      <c r="AC4292">
        <v>170</v>
      </c>
      <c r="AD4292" t="s">
        <v>19566</v>
      </c>
      <c r="AE4292" t="s">
        <v>19580</v>
      </c>
      <c r="AF4292">
        <v>10</v>
      </c>
      <c r="AG4292">
        <v>1</v>
      </c>
      <c r="AH4292">
        <v>3</v>
      </c>
      <c r="AI4292">
        <v>163.11</v>
      </c>
      <c r="AL4292" t="s">
        <v>19615</v>
      </c>
      <c r="AM4292">
        <v>42000</v>
      </c>
      <c r="AS4292">
        <v>0</v>
      </c>
      <c r="AU4292" t="s">
        <v>220</v>
      </c>
      <c r="AV4292" t="s">
        <v>20733</v>
      </c>
    </row>
    <row r="4293" spans="1:48">
      <c r="A4293" s="1">
        <f>HYPERLINK("https://lsnyc.legalserver.org/matter/dynamic-profile/view/1905041","19-1905041")</f>
        <v>0</v>
      </c>
      <c r="B4293" t="s">
        <v>103</v>
      </c>
      <c r="C4293" t="s">
        <v>256</v>
      </c>
      <c r="D4293" t="s">
        <v>367</v>
      </c>
      <c r="F4293" t="s">
        <v>2799</v>
      </c>
      <c r="G4293" t="s">
        <v>4022</v>
      </c>
      <c r="H4293" t="s">
        <v>5887</v>
      </c>
      <c r="I4293" t="s">
        <v>8836</v>
      </c>
      <c r="J4293" t="s">
        <v>9065</v>
      </c>
      <c r="K4293">
        <v>10453</v>
      </c>
      <c r="L4293" t="s">
        <v>9094</v>
      </c>
      <c r="M4293" t="s">
        <v>9095</v>
      </c>
      <c r="N4293" t="s">
        <v>9240</v>
      </c>
      <c r="O4293" t="s">
        <v>11134</v>
      </c>
      <c r="P4293" t="s">
        <v>11168</v>
      </c>
      <c r="R4293" t="s">
        <v>11180</v>
      </c>
      <c r="S4293" t="s">
        <v>9094</v>
      </c>
      <c r="T4293" t="s">
        <v>11183</v>
      </c>
      <c r="V4293" t="s">
        <v>422</v>
      </c>
      <c r="W4293">
        <v>900</v>
      </c>
      <c r="X4293" t="s">
        <v>11333</v>
      </c>
      <c r="Y4293" t="s">
        <v>11346</v>
      </c>
      <c r="Z4293" t="s">
        <v>14183</v>
      </c>
      <c r="AB4293" t="s">
        <v>18509</v>
      </c>
      <c r="AC4293">
        <v>170</v>
      </c>
      <c r="AD4293" t="s">
        <v>19566</v>
      </c>
      <c r="AE4293" t="s">
        <v>19580</v>
      </c>
      <c r="AF4293">
        <v>10</v>
      </c>
      <c r="AG4293">
        <v>1</v>
      </c>
      <c r="AH4293">
        <v>3</v>
      </c>
      <c r="AI4293">
        <v>163.11</v>
      </c>
      <c r="AL4293" t="s">
        <v>19615</v>
      </c>
      <c r="AM4293">
        <v>42000</v>
      </c>
      <c r="AS4293">
        <v>0</v>
      </c>
      <c r="AU4293" t="s">
        <v>220</v>
      </c>
      <c r="AV4293" t="s">
        <v>20733</v>
      </c>
    </row>
    <row r="4294" spans="1:48">
      <c r="A4294" s="1">
        <f>HYPERLINK("https://lsnyc.legalserver.org/matter/dynamic-profile/view/1862565","18-1862565")</f>
        <v>0</v>
      </c>
      <c r="B4294" t="s">
        <v>52</v>
      </c>
      <c r="C4294" t="s">
        <v>256</v>
      </c>
      <c r="D4294" t="s">
        <v>576</v>
      </c>
      <c r="F4294" t="s">
        <v>2800</v>
      </c>
      <c r="G4294" t="s">
        <v>5064</v>
      </c>
      <c r="H4294" t="s">
        <v>6711</v>
      </c>
      <c r="I4294" t="s">
        <v>8837</v>
      </c>
      <c r="J4294" t="s">
        <v>9039</v>
      </c>
      <c r="K4294">
        <v>11432</v>
      </c>
      <c r="L4294" t="s">
        <v>9094</v>
      </c>
      <c r="M4294" t="s">
        <v>9095</v>
      </c>
      <c r="N4294" t="s">
        <v>9703</v>
      </c>
      <c r="O4294" t="s">
        <v>11135</v>
      </c>
      <c r="P4294" t="s">
        <v>11168</v>
      </c>
      <c r="R4294" t="s">
        <v>11180</v>
      </c>
      <c r="S4294" t="s">
        <v>9094</v>
      </c>
      <c r="T4294" t="s">
        <v>11183</v>
      </c>
      <c r="V4294" t="s">
        <v>576</v>
      </c>
      <c r="W4294">
        <v>1904</v>
      </c>
      <c r="X4294" t="s">
        <v>11331</v>
      </c>
      <c r="Y4294" t="s">
        <v>11341</v>
      </c>
      <c r="Z4294" t="s">
        <v>14184</v>
      </c>
      <c r="AA4294" t="s">
        <v>9171</v>
      </c>
      <c r="AB4294" t="s">
        <v>18510</v>
      </c>
      <c r="AC4294">
        <v>60</v>
      </c>
      <c r="AD4294" t="s">
        <v>19566</v>
      </c>
      <c r="AE4294" t="s">
        <v>9144</v>
      </c>
      <c r="AF4294">
        <v>12</v>
      </c>
      <c r="AG4294">
        <v>3</v>
      </c>
      <c r="AH4294">
        <v>2</v>
      </c>
      <c r="AI4294">
        <v>163.15</v>
      </c>
      <c r="AJ4294" t="s">
        <v>19592</v>
      </c>
      <c r="AL4294" t="s">
        <v>19616</v>
      </c>
      <c r="AM4294">
        <v>48000</v>
      </c>
      <c r="AS4294">
        <v>0.2</v>
      </c>
      <c r="AT4294" t="s">
        <v>848</v>
      </c>
      <c r="AU4294" t="s">
        <v>20620</v>
      </c>
    </row>
    <row r="4295" spans="1:48">
      <c r="A4295" s="1">
        <f>HYPERLINK("https://lsnyc.legalserver.org/matter/dynamic-profile/view/1862573","18-1862573")</f>
        <v>0</v>
      </c>
      <c r="B4295" t="s">
        <v>52</v>
      </c>
      <c r="C4295" t="s">
        <v>256</v>
      </c>
      <c r="D4295" t="s">
        <v>576</v>
      </c>
      <c r="F4295" t="s">
        <v>2800</v>
      </c>
      <c r="G4295" t="s">
        <v>5064</v>
      </c>
      <c r="H4295" t="s">
        <v>6711</v>
      </c>
      <c r="I4295" t="s">
        <v>8837</v>
      </c>
      <c r="J4295" t="s">
        <v>9039</v>
      </c>
      <c r="K4295">
        <v>11432</v>
      </c>
      <c r="L4295" t="s">
        <v>9094</v>
      </c>
      <c r="M4295" t="s">
        <v>9095</v>
      </c>
      <c r="N4295" t="s">
        <v>9698</v>
      </c>
      <c r="O4295" t="s">
        <v>11135</v>
      </c>
      <c r="P4295" t="s">
        <v>11168</v>
      </c>
      <c r="R4295" t="s">
        <v>11180</v>
      </c>
      <c r="S4295" t="s">
        <v>9094</v>
      </c>
      <c r="T4295" t="s">
        <v>11183</v>
      </c>
      <c r="V4295" t="s">
        <v>576</v>
      </c>
      <c r="W4295">
        <v>1904</v>
      </c>
      <c r="X4295" t="s">
        <v>11331</v>
      </c>
      <c r="Y4295" t="s">
        <v>11341</v>
      </c>
      <c r="Z4295" t="s">
        <v>14184</v>
      </c>
      <c r="AA4295" t="s">
        <v>9171</v>
      </c>
      <c r="AB4295" t="s">
        <v>18510</v>
      </c>
      <c r="AC4295">
        <v>60</v>
      </c>
      <c r="AD4295" t="s">
        <v>15441</v>
      </c>
      <c r="AE4295" t="s">
        <v>9144</v>
      </c>
      <c r="AF4295">
        <v>12</v>
      </c>
      <c r="AG4295">
        <v>3</v>
      </c>
      <c r="AH4295">
        <v>2</v>
      </c>
      <c r="AI4295">
        <v>163.15</v>
      </c>
      <c r="AJ4295" t="s">
        <v>19592</v>
      </c>
      <c r="AL4295" t="s">
        <v>19616</v>
      </c>
      <c r="AM4295">
        <v>48000</v>
      </c>
      <c r="AS4295">
        <v>0.2</v>
      </c>
      <c r="AT4295" t="s">
        <v>848</v>
      </c>
      <c r="AU4295" t="s">
        <v>20620</v>
      </c>
    </row>
    <row r="4296" spans="1:48">
      <c r="A4296" s="1">
        <f>HYPERLINK("https://lsnyc.legalserver.org/matter/dynamic-profile/view/1879905","18-1879905")</f>
        <v>0</v>
      </c>
      <c r="B4296" t="s">
        <v>139</v>
      </c>
      <c r="C4296" t="s">
        <v>256</v>
      </c>
      <c r="D4296" t="s">
        <v>313</v>
      </c>
      <c r="F4296" t="s">
        <v>2801</v>
      </c>
      <c r="G4296" t="s">
        <v>3419</v>
      </c>
      <c r="H4296" t="s">
        <v>6363</v>
      </c>
      <c r="I4296" t="s">
        <v>8279</v>
      </c>
      <c r="J4296" t="s">
        <v>9067</v>
      </c>
      <c r="K4296">
        <v>10040</v>
      </c>
      <c r="L4296" t="s">
        <v>9094</v>
      </c>
      <c r="M4296" t="s">
        <v>9096</v>
      </c>
      <c r="O4296" t="s">
        <v>11134</v>
      </c>
      <c r="P4296" t="s">
        <v>11168</v>
      </c>
      <c r="R4296" t="s">
        <v>11180</v>
      </c>
      <c r="S4296" t="s">
        <v>9094</v>
      </c>
      <c r="T4296" t="s">
        <v>11183</v>
      </c>
      <c r="V4296" t="s">
        <v>313</v>
      </c>
      <c r="W4296">
        <v>1585</v>
      </c>
      <c r="X4296" t="s">
        <v>11335</v>
      </c>
      <c r="Y4296" t="s">
        <v>11340</v>
      </c>
      <c r="Z4296" t="s">
        <v>14185</v>
      </c>
      <c r="AC4296">
        <v>88</v>
      </c>
      <c r="AD4296" t="s">
        <v>19566</v>
      </c>
      <c r="AE4296" t="s">
        <v>9144</v>
      </c>
      <c r="AF4296">
        <v>20</v>
      </c>
      <c r="AG4296">
        <v>3</v>
      </c>
      <c r="AH4296">
        <v>2</v>
      </c>
      <c r="AI4296">
        <v>163.15</v>
      </c>
      <c r="AL4296" t="s">
        <v>19614</v>
      </c>
      <c r="AM4296">
        <v>48000</v>
      </c>
      <c r="AS4296">
        <v>4</v>
      </c>
      <c r="AT4296" t="s">
        <v>493</v>
      </c>
      <c r="AU4296" t="s">
        <v>130</v>
      </c>
    </row>
    <row r="4297" spans="1:48">
      <c r="A4297" s="1">
        <f>HYPERLINK("https://lsnyc.legalserver.org/matter/dynamic-profile/view/1864044","18-1864044")</f>
        <v>0</v>
      </c>
      <c r="B4297" t="s">
        <v>140</v>
      </c>
      <c r="C4297" t="s">
        <v>256</v>
      </c>
      <c r="D4297" t="s">
        <v>505</v>
      </c>
      <c r="F4297" t="s">
        <v>1457</v>
      </c>
      <c r="G4297" t="s">
        <v>3536</v>
      </c>
      <c r="H4297" t="s">
        <v>5999</v>
      </c>
      <c r="I4297" t="s">
        <v>8170</v>
      </c>
      <c r="J4297" t="s">
        <v>9067</v>
      </c>
      <c r="K4297">
        <v>10040</v>
      </c>
      <c r="L4297" t="s">
        <v>9094</v>
      </c>
      <c r="M4297" t="s">
        <v>9095</v>
      </c>
      <c r="N4297" t="s">
        <v>9314</v>
      </c>
      <c r="O4297" t="s">
        <v>11130</v>
      </c>
      <c r="P4297" t="s">
        <v>11165</v>
      </c>
      <c r="R4297" t="s">
        <v>11180</v>
      </c>
      <c r="S4297" t="s">
        <v>9094</v>
      </c>
      <c r="T4297" t="s">
        <v>11183</v>
      </c>
      <c r="V4297" t="s">
        <v>505</v>
      </c>
      <c r="W4297">
        <v>1355</v>
      </c>
      <c r="X4297" t="s">
        <v>11335</v>
      </c>
      <c r="Y4297" t="s">
        <v>11340</v>
      </c>
      <c r="Z4297" t="s">
        <v>13966</v>
      </c>
      <c r="AB4297" t="s">
        <v>18296</v>
      </c>
      <c r="AC4297">
        <v>44</v>
      </c>
      <c r="AD4297" t="s">
        <v>19566</v>
      </c>
      <c r="AE4297" t="s">
        <v>9144</v>
      </c>
      <c r="AF4297">
        <v>19</v>
      </c>
      <c r="AG4297">
        <v>3</v>
      </c>
      <c r="AH4297">
        <v>2</v>
      </c>
      <c r="AI4297">
        <v>163.15</v>
      </c>
      <c r="AJ4297" t="s">
        <v>982</v>
      </c>
      <c r="AL4297" t="s">
        <v>19615</v>
      </c>
      <c r="AM4297">
        <v>76800</v>
      </c>
      <c r="AS4297">
        <v>1.3</v>
      </c>
      <c r="AT4297" t="s">
        <v>1135</v>
      </c>
      <c r="AU4297" t="s">
        <v>130</v>
      </c>
    </row>
    <row r="4298" spans="1:48">
      <c r="A4298" s="1">
        <f>HYPERLINK("https://lsnyc.legalserver.org/matter/dynamic-profile/view/1900722","19-1900722")</f>
        <v>0</v>
      </c>
      <c r="B4298" t="s">
        <v>76</v>
      </c>
      <c r="C4298" t="s">
        <v>256</v>
      </c>
      <c r="D4298" t="s">
        <v>338</v>
      </c>
      <c r="F4298" t="s">
        <v>1264</v>
      </c>
      <c r="G4298" t="s">
        <v>3536</v>
      </c>
      <c r="H4298" t="s">
        <v>7008</v>
      </c>
      <c r="I4298" t="s">
        <v>8273</v>
      </c>
      <c r="J4298" t="s">
        <v>9059</v>
      </c>
      <c r="K4298">
        <v>11213</v>
      </c>
      <c r="L4298" t="s">
        <v>9094</v>
      </c>
      <c r="M4298" t="s">
        <v>9095</v>
      </c>
      <c r="O4298" t="s">
        <v>9121</v>
      </c>
      <c r="P4298" t="s">
        <v>11166</v>
      </c>
      <c r="R4298" t="s">
        <v>11180</v>
      </c>
      <c r="S4298" t="s">
        <v>9094</v>
      </c>
      <c r="T4298" t="s">
        <v>11183</v>
      </c>
      <c r="U4298" t="s">
        <v>11201</v>
      </c>
      <c r="V4298" t="s">
        <v>291</v>
      </c>
      <c r="W4298">
        <v>905.59</v>
      </c>
      <c r="X4298" t="s">
        <v>11332</v>
      </c>
      <c r="Y4298" t="s">
        <v>11346</v>
      </c>
      <c r="Z4298" t="s">
        <v>14186</v>
      </c>
      <c r="AB4298" t="s">
        <v>18511</v>
      </c>
      <c r="AC4298">
        <v>34</v>
      </c>
      <c r="AD4298" t="s">
        <v>19566</v>
      </c>
      <c r="AE4298" t="s">
        <v>9144</v>
      </c>
      <c r="AF4298">
        <v>25</v>
      </c>
      <c r="AG4298">
        <v>2</v>
      </c>
      <c r="AH4298">
        <v>0</v>
      </c>
      <c r="AI4298">
        <v>163.22</v>
      </c>
      <c r="AL4298" t="s">
        <v>19615</v>
      </c>
      <c r="AM4298">
        <v>27600</v>
      </c>
      <c r="AN4298" t="s">
        <v>20012</v>
      </c>
      <c r="AS4298">
        <v>0</v>
      </c>
      <c r="AU4298" t="s">
        <v>95</v>
      </c>
      <c r="AV4298" t="s">
        <v>20733</v>
      </c>
    </row>
    <row r="4299" spans="1:48">
      <c r="A4299" s="1">
        <f>HYPERLINK("https://lsnyc.legalserver.org/matter/dynamic-profile/view/1889877","19-1889877")</f>
        <v>0</v>
      </c>
      <c r="B4299" t="s">
        <v>113</v>
      </c>
      <c r="C4299" t="s">
        <v>256</v>
      </c>
      <c r="D4299" t="s">
        <v>447</v>
      </c>
      <c r="F4299" t="s">
        <v>1745</v>
      </c>
      <c r="G4299" t="s">
        <v>5065</v>
      </c>
      <c r="H4299" t="s">
        <v>5864</v>
      </c>
      <c r="I4299" t="s">
        <v>8838</v>
      </c>
      <c r="J4299" t="s">
        <v>9065</v>
      </c>
      <c r="K4299">
        <v>10460</v>
      </c>
      <c r="L4299" t="s">
        <v>9094</v>
      </c>
      <c r="M4299" t="s">
        <v>9095</v>
      </c>
      <c r="O4299" t="s">
        <v>11129</v>
      </c>
      <c r="P4299" t="s">
        <v>11165</v>
      </c>
      <c r="R4299" t="s">
        <v>11180</v>
      </c>
      <c r="S4299" t="s">
        <v>9096</v>
      </c>
      <c r="T4299" t="s">
        <v>11183</v>
      </c>
      <c r="V4299" t="s">
        <v>11218</v>
      </c>
      <c r="W4299">
        <v>1967</v>
      </c>
      <c r="X4299" t="s">
        <v>11333</v>
      </c>
      <c r="Y4299" t="s">
        <v>11340</v>
      </c>
      <c r="Z4299" t="s">
        <v>14187</v>
      </c>
      <c r="AB4299" t="s">
        <v>18512</v>
      </c>
      <c r="AC4299">
        <v>169</v>
      </c>
      <c r="AD4299" t="s">
        <v>19572</v>
      </c>
      <c r="AE4299" t="s">
        <v>19580</v>
      </c>
      <c r="AF4299">
        <v>3</v>
      </c>
      <c r="AG4299">
        <v>2</v>
      </c>
      <c r="AH4299">
        <v>0</v>
      </c>
      <c r="AI4299">
        <v>163.22</v>
      </c>
      <c r="AL4299" t="s">
        <v>19614</v>
      </c>
      <c r="AM4299">
        <v>27600</v>
      </c>
      <c r="AN4299" t="s">
        <v>20013</v>
      </c>
      <c r="AS4299">
        <v>63.1</v>
      </c>
      <c r="AT4299" t="s">
        <v>1130</v>
      </c>
      <c r="AU4299" t="s">
        <v>20647</v>
      </c>
      <c r="AV4299" t="s">
        <v>20733</v>
      </c>
    </row>
    <row r="4300" spans="1:48">
      <c r="A4300" s="1">
        <f>HYPERLINK("https://lsnyc.legalserver.org/matter/dynamic-profile/view/1896423","19-1896423")</f>
        <v>0</v>
      </c>
      <c r="B4300" t="s">
        <v>137</v>
      </c>
      <c r="C4300" t="s">
        <v>256</v>
      </c>
      <c r="D4300" t="s">
        <v>300</v>
      </c>
      <c r="F4300" t="s">
        <v>1264</v>
      </c>
      <c r="G4300" t="s">
        <v>3881</v>
      </c>
      <c r="H4300" t="s">
        <v>6449</v>
      </c>
      <c r="I4300">
        <v>3</v>
      </c>
      <c r="J4300" t="s">
        <v>9067</v>
      </c>
      <c r="K4300">
        <v>10033</v>
      </c>
      <c r="L4300" t="s">
        <v>9094</v>
      </c>
      <c r="M4300" t="s">
        <v>9095</v>
      </c>
      <c r="O4300" t="s">
        <v>11130</v>
      </c>
      <c r="P4300" t="s">
        <v>11165</v>
      </c>
      <c r="R4300" t="s">
        <v>11180</v>
      </c>
      <c r="S4300" t="s">
        <v>9096</v>
      </c>
      <c r="T4300" t="s">
        <v>11183</v>
      </c>
      <c r="V4300" t="s">
        <v>300</v>
      </c>
      <c r="W4300">
        <v>649.8099999999999</v>
      </c>
      <c r="X4300" t="s">
        <v>11335</v>
      </c>
      <c r="Y4300" t="s">
        <v>11338</v>
      </c>
      <c r="Z4300" t="s">
        <v>13854</v>
      </c>
      <c r="AB4300" t="s">
        <v>18186</v>
      </c>
      <c r="AC4300">
        <v>20</v>
      </c>
      <c r="AD4300" t="s">
        <v>19566</v>
      </c>
      <c r="AE4300" t="s">
        <v>9144</v>
      </c>
      <c r="AF4300">
        <v>48</v>
      </c>
      <c r="AG4300">
        <v>1</v>
      </c>
      <c r="AH4300">
        <v>0</v>
      </c>
      <c r="AI4300">
        <v>163.23</v>
      </c>
      <c r="AL4300" t="s">
        <v>19615</v>
      </c>
      <c r="AM4300">
        <v>20388</v>
      </c>
      <c r="AS4300">
        <v>85.75</v>
      </c>
      <c r="AT4300" t="s">
        <v>1130</v>
      </c>
      <c r="AU4300" t="s">
        <v>20658</v>
      </c>
      <c r="AV4300" t="s">
        <v>20733</v>
      </c>
    </row>
    <row r="4301" spans="1:48">
      <c r="A4301" s="1">
        <f>HYPERLINK("https://lsnyc.legalserver.org/matter/dynamic-profile/view/1895811","19-1895811")</f>
        <v>0</v>
      </c>
      <c r="B4301" t="s">
        <v>52</v>
      </c>
      <c r="C4301" t="s">
        <v>257</v>
      </c>
      <c r="D4301" t="s">
        <v>376</v>
      </c>
      <c r="E4301" t="s">
        <v>1016</v>
      </c>
      <c r="F4301" t="s">
        <v>2802</v>
      </c>
      <c r="G4301" t="s">
        <v>5066</v>
      </c>
      <c r="H4301" t="s">
        <v>5692</v>
      </c>
      <c r="I4301" t="s">
        <v>8839</v>
      </c>
      <c r="J4301" t="s">
        <v>9038</v>
      </c>
      <c r="K4301">
        <v>11691</v>
      </c>
      <c r="L4301" t="s">
        <v>9094</v>
      </c>
      <c r="M4301" t="s">
        <v>9094</v>
      </c>
      <c r="O4301" t="s">
        <v>11134</v>
      </c>
      <c r="P4301" t="s">
        <v>11167</v>
      </c>
      <c r="Q4301" t="s">
        <v>11173</v>
      </c>
      <c r="R4301" t="s">
        <v>11180</v>
      </c>
      <c r="S4301" t="s">
        <v>9094</v>
      </c>
      <c r="T4301" t="s">
        <v>11183</v>
      </c>
      <c r="U4301" t="s">
        <v>11201</v>
      </c>
      <c r="V4301" t="s">
        <v>376</v>
      </c>
      <c r="W4301">
        <v>637</v>
      </c>
      <c r="X4301" t="s">
        <v>11331</v>
      </c>
      <c r="Y4301" t="s">
        <v>11339</v>
      </c>
      <c r="Z4301" t="s">
        <v>14188</v>
      </c>
      <c r="AA4301" t="s">
        <v>15274</v>
      </c>
      <c r="AB4301" t="s">
        <v>18513</v>
      </c>
      <c r="AC4301">
        <v>43</v>
      </c>
      <c r="AD4301" t="s">
        <v>19566</v>
      </c>
      <c r="AE4301" t="s">
        <v>9144</v>
      </c>
      <c r="AF4301">
        <v>10</v>
      </c>
      <c r="AG4301">
        <v>1</v>
      </c>
      <c r="AH4301">
        <v>0</v>
      </c>
      <c r="AI4301">
        <v>163.33</v>
      </c>
      <c r="AL4301" t="s">
        <v>19614</v>
      </c>
      <c r="AM4301">
        <v>20400</v>
      </c>
      <c r="AS4301">
        <v>0.2</v>
      </c>
      <c r="AT4301" t="s">
        <v>1016</v>
      </c>
      <c r="AU4301" t="s">
        <v>20622</v>
      </c>
      <c r="AV4301" t="s">
        <v>20733</v>
      </c>
    </row>
    <row r="4302" spans="1:48">
      <c r="A4302" s="1">
        <f>HYPERLINK("https://lsnyc.legalserver.org/matter/dynamic-profile/view/1895817","19-1895817")</f>
        <v>0</v>
      </c>
      <c r="B4302" t="s">
        <v>52</v>
      </c>
      <c r="C4302" t="s">
        <v>256</v>
      </c>
      <c r="D4302" t="s">
        <v>376</v>
      </c>
      <c r="F4302" t="s">
        <v>2802</v>
      </c>
      <c r="G4302" t="s">
        <v>5066</v>
      </c>
      <c r="H4302" t="s">
        <v>5692</v>
      </c>
      <c r="I4302" t="s">
        <v>8839</v>
      </c>
      <c r="J4302" t="s">
        <v>9038</v>
      </c>
      <c r="K4302">
        <v>11691</v>
      </c>
      <c r="L4302" t="s">
        <v>9094</v>
      </c>
      <c r="M4302" t="s">
        <v>9094</v>
      </c>
      <c r="O4302" t="s">
        <v>11136</v>
      </c>
      <c r="P4302" t="s">
        <v>11167</v>
      </c>
      <c r="R4302" t="s">
        <v>11180</v>
      </c>
      <c r="S4302" t="s">
        <v>9094</v>
      </c>
      <c r="T4302" t="s">
        <v>11183</v>
      </c>
      <c r="V4302" t="s">
        <v>376</v>
      </c>
      <c r="W4302">
        <v>637</v>
      </c>
      <c r="X4302" t="s">
        <v>11331</v>
      </c>
      <c r="Y4302" t="s">
        <v>11339</v>
      </c>
      <c r="Z4302" t="s">
        <v>14188</v>
      </c>
      <c r="AA4302" t="s">
        <v>15274</v>
      </c>
      <c r="AB4302" t="s">
        <v>18513</v>
      </c>
      <c r="AC4302">
        <v>43</v>
      </c>
      <c r="AD4302" t="s">
        <v>19566</v>
      </c>
      <c r="AE4302" t="s">
        <v>9144</v>
      </c>
      <c r="AF4302">
        <v>10</v>
      </c>
      <c r="AG4302">
        <v>1</v>
      </c>
      <c r="AH4302">
        <v>0</v>
      </c>
      <c r="AI4302">
        <v>163.33</v>
      </c>
      <c r="AL4302" t="s">
        <v>19614</v>
      </c>
      <c r="AM4302">
        <v>20400</v>
      </c>
      <c r="AS4302">
        <v>0.1</v>
      </c>
      <c r="AT4302" t="s">
        <v>736</v>
      </c>
      <c r="AU4302" t="s">
        <v>20622</v>
      </c>
    </row>
    <row r="4303" spans="1:48">
      <c r="A4303" s="1">
        <f>HYPERLINK("https://lsnyc.legalserver.org/matter/dynamic-profile/view/1905584","19-1905584")</f>
        <v>0</v>
      </c>
      <c r="B4303" t="s">
        <v>49</v>
      </c>
      <c r="C4303" t="s">
        <v>256</v>
      </c>
      <c r="D4303" t="s">
        <v>457</v>
      </c>
      <c r="F4303" t="s">
        <v>2028</v>
      </c>
      <c r="G4303" t="s">
        <v>3503</v>
      </c>
      <c r="H4303" t="s">
        <v>7652</v>
      </c>
      <c r="I4303" t="s">
        <v>8141</v>
      </c>
      <c r="J4303" t="s">
        <v>9056</v>
      </c>
      <c r="K4303">
        <v>11365</v>
      </c>
      <c r="L4303" t="s">
        <v>9094</v>
      </c>
      <c r="M4303" t="s">
        <v>9095</v>
      </c>
      <c r="N4303" t="s">
        <v>10683</v>
      </c>
      <c r="O4303" t="s">
        <v>11128</v>
      </c>
      <c r="P4303" t="s">
        <v>11165</v>
      </c>
      <c r="R4303" t="s">
        <v>11181</v>
      </c>
      <c r="S4303" t="s">
        <v>9096</v>
      </c>
      <c r="T4303" t="s">
        <v>11183</v>
      </c>
      <c r="U4303" t="s">
        <v>11199</v>
      </c>
      <c r="V4303" t="s">
        <v>328</v>
      </c>
      <c r="W4303">
        <v>1350</v>
      </c>
      <c r="X4303" t="s">
        <v>11331</v>
      </c>
      <c r="Y4303" t="s">
        <v>11337</v>
      </c>
      <c r="Z4303" t="s">
        <v>14189</v>
      </c>
      <c r="AA4303" t="s">
        <v>9144</v>
      </c>
      <c r="AB4303" t="s">
        <v>18514</v>
      </c>
      <c r="AC4303">
        <v>5</v>
      </c>
      <c r="AD4303" t="s">
        <v>19565</v>
      </c>
      <c r="AE4303" t="s">
        <v>9144</v>
      </c>
      <c r="AF4303">
        <v>9</v>
      </c>
      <c r="AG4303">
        <v>1</v>
      </c>
      <c r="AH4303">
        <v>0</v>
      </c>
      <c r="AI4303">
        <v>163.33</v>
      </c>
      <c r="AJ4303" t="s">
        <v>19591</v>
      </c>
      <c r="AK4303" t="s">
        <v>19608</v>
      </c>
      <c r="AL4303" t="s">
        <v>19614</v>
      </c>
      <c r="AM4303">
        <v>20400</v>
      </c>
      <c r="AP4303" t="s">
        <v>11157</v>
      </c>
      <c r="AS4303">
        <v>34.71</v>
      </c>
      <c r="AT4303" t="s">
        <v>1130</v>
      </c>
      <c r="AU4303" t="s">
        <v>49</v>
      </c>
      <c r="AV4303" t="s">
        <v>20733</v>
      </c>
    </row>
    <row r="4304" spans="1:48">
      <c r="A4304" s="1">
        <f>HYPERLINK("https://lsnyc.legalserver.org/matter/dynamic-profile/view/1898780","19-1898780")</f>
        <v>0</v>
      </c>
      <c r="B4304" t="s">
        <v>67</v>
      </c>
      <c r="C4304" t="s">
        <v>256</v>
      </c>
      <c r="D4304" t="s">
        <v>361</v>
      </c>
      <c r="F4304" t="s">
        <v>1215</v>
      </c>
      <c r="G4304" t="s">
        <v>3419</v>
      </c>
      <c r="H4304" t="s">
        <v>7653</v>
      </c>
      <c r="I4304" t="s">
        <v>8840</v>
      </c>
      <c r="J4304" t="s">
        <v>9059</v>
      </c>
      <c r="K4304">
        <v>11225</v>
      </c>
      <c r="L4304" t="s">
        <v>9095</v>
      </c>
      <c r="M4304" t="s">
        <v>9095</v>
      </c>
      <c r="R4304" t="s">
        <v>11180</v>
      </c>
      <c r="T4304" t="s">
        <v>11183</v>
      </c>
      <c r="V4304" t="s">
        <v>361</v>
      </c>
      <c r="W4304">
        <v>0</v>
      </c>
      <c r="X4304" t="s">
        <v>11332</v>
      </c>
      <c r="Z4304" t="s">
        <v>14190</v>
      </c>
      <c r="AB4304" t="s">
        <v>18515</v>
      </c>
      <c r="AC4304">
        <v>0</v>
      </c>
      <c r="AF4304">
        <v>0</v>
      </c>
      <c r="AG4304">
        <v>1</v>
      </c>
      <c r="AH4304">
        <v>0</v>
      </c>
      <c r="AI4304">
        <v>163.33</v>
      </c>
      <c r="AL4304" t="s">
        <v>19614</v>
      </c>
      <c r="AM4304">
        <v>20400</v>
      </c>
      <c r="AS4304">
        <v>1</v>
      </c>
      <c r="AT4304" t="s">
        <v>411</v>
      </c>
      <c r="AU4304" t="s">
        <v>67</v>
      </c>
    </row>
    <row r="4305" spans="1:48">
      <c r="A4305" s="1">
        <f>HYPERLINK("https://lsnyc.legalserver.org/matter/dynamic-profile/view/1905232","19-1905232")</f>
        <v>0</v>
      </c>
      <c r="B4305" t="s">
        <v>103</v>
      </c>
      <c r="C4305" t="s">
        <v>256</v>
      </c>
      <c r="D4305" t="s">
        <v>414</v>
      </c>
      <c r="F4305" t="s">
        <v>2498</v>
      </c>
      <c r="G4305" t="s">
        <v>1193</v>
      </c>
      <c r="H4305" t="s">
        <v>5887</v>
      </c>
      <c r="I4305" t="s">
        <v>8660</v>
      </c>
      <c r="J4305" t="s">
        <v>9065</v>
      </c>
      <c r="K4305">
        <v>10453</v>
      </c>
      <c r="L4305" t="s">
        <v>9094</v>
      </c>
      <c r="M4305" t="s">
        <v>9095</v>
      </c>
      <c r="N4305" t="s">
        <v>9239</v>
      </c>
      <c r="O4305" t="s">
        <v>11134</v>
      </c>
      <c r="P4305" t="s">
        <v>11168</v>
      </c>
      <c r="R4305" t="s">
        <v>11180</v>
      </c>
      <c r="S4305" t="s">
        <v>9094</v>
      </c>
      <c r="T4305" t="s">
        <v>11183</v>
      </c>
      <c r="V4305" t="s">
        <v>422</v>
      </c>
      <c r="W4305">
        <v>1175</v>
      </c>
      <c r="X4305" t="s">
        <v>11333</v>
      </c>
      <c r="Y4305" t="s">
        <v>11346</v>
      </c>
      <c r="Z4305" t="s">
        <v>14191</v>
      </c>
      <c r="AB4305" t="s">
        <v>18516</v>
      </c>
      <c r="AC4305">
        <v>170</v>
      </c>
      <c r="AD4305" t="s">
        <v>19566</v>
      </c>
      <c r="AF4305">
        <v>30</v>
      </c>
      <c r="AG4305">
        <v>1</v>
      </c>
      <c r="AH4305">
        <v>0</v>
      </c>
      <c r="AI4305">
        <v>163.33</v>
      </c>
      <c r="AL4305" t="s">
        <v>19614</v>
      </c>
      <c r="AM4305">
        <v>20400</v>
      </c>
      <c r="AS4305">
        <v>0</v>
      </c>
      <c r="AU4305" t="s">
        <v>163</v>
      </c>
      <c r="AV4305" t="s">
        <v>20733</v>
      </c>
    </row>
    <row r="4306" spans="1:48">
      <c r="A4306" s="1">
        <f>HYPERLINK("https://lsnyc.legalserver.org/matter/dynamic-profile/view/1905234","19-1905234")</f>
        <v>0</v>
      </c>
      <c r="B4306" t="s">
        <v>103</v>
      </c>
      <c r="C4306" t="s">
        <v>256</v>
      </c>
      <c r="D4306" t="s">
        <v>414</v>
      </c>
      <c r="F4306" t="s">
        <v>2498</v>
      </c>
      <c r="G4306" t="s">
        <v>1193</v>
      </c>
      <c r="H4306" t="s">
        <v>5887</v>
      </c>
      <c r="I4306" t="s">
        <v>8660</v>
      </c>
      <c r="J4306" t="s">
        <v>9065</v>
      </c>
      <c r="K4306">
        <v>10453</v>
      </c>
      <c r="L4306" t="s">
        <v>9094</v>
      </c>
      <c r="M4306" t="s">
        <v>9095</v>
      </c>
      <c r="N4306" t="s">
        <v>9240</v>
      </c>
      <c r="O4306" t="s">
        <v>11134</v>
      </c>
      <c r="P4306" t="s">
        <v>11168</v>
      </c>
      <c r="R4306" t="s">
        <v>11180</v>
      </c>
      <c r="S4306" t="s">
        <v>9094</v>
      </c>
      <c r="T4306" t="s">
        <v>11183</v>
      </c>
      <c r="V4306" t="s">
        <v>422</v>
      </c>
      <c r="W4306">
        <v>1175</v>
      </c>
      <c r="X4306" t="s">
        <v>11333</v>
      </c>
      <c r="Y4306" t="s">
        <v>11346</v>
      </c>
      <c r="Z4306" t="s">
        <v>14191</v>
      </c>
      <c r="AB4306" t="s">
        <v>18516</v>
      </c>
      <c r="AC4306">
        <v>170</v>
      </c>
      <c r="AD4306" t="s">
        <v>19566</v>
      </c>
      <c r="AE4306" t="s">
        <v>9144</v>
      </c>
      <c r="AF4306">
        <v>30</v>
      </c>
      <c r="AG4306">
        <v>1</v>
      </c>
      <c r="AH4306">
        <v>0</v>
      </c>
      <c r="AI4306">
        <v>163.33</v>
      </c>
      <c r="AL4306" t="s">
        <v>19614</v>
      </c>
      <c r="AM4306">
        <v>20400</v>
      </c>
      <c r="AS4306">
        <v>0</v>
      </c>
      <c r="AU4306" t="s">
        <v>163</v>
      </c>
      <c r="AV4306" t="s">
        <v>20733</v>
      </c>
    </row>
    <row r="4307" spans="1:48">
      <c r="A4307" s="1">
        <f>HYPERLINK("https://lsnyc.legalserver.org/matter/dynamic-profile/view/1907066","19-1907066")</f>
        <v>0</v>
      </c>
      <c r="B4307" t="s">
        <v>140</v>
      </c>
      <c r="C4307" t="s">
        <v>256</v>
      </c>
      <c r="D4307" t="s">
        <v>498</v>
      </c>
      <c r="F4307" t="s">
        <v>1781</v>
      </c>
      <c r="G4307" t="s">
        <v>4045</v>
      </c>
      <c r="H4307" t="s">
        <v>7630</v>
      </c>
      <c r="I4307" t="s">
        <v>8217</v>
      </c>
      <c r="J4307" t="s">
        <v>9067</v>
      </c>
      <c r="K4307">
        <v>10034</v>
      </c>
      <c r="L4307" t="s">
        <v>9094</v>
      </c>
      <c r="M4307" t="s">
        <v>9095</v>
      </c>
      <c r="O4307" t="s">
        <v>9121</v>
      </c>
      <c r="P4307" t="s">
        <v>11167</v>
      </c>
      <c r="R4307" t="s">
        <v>11180</v>
      </c>
      <c r="S4307" t="s">
        <v>9096</v>
      </c>
      <c r="T4307" t="s">
        <v>11183</v>
      </c>
      <c r="V4307" t="s">
        <v>498</v>
      </c>
      <c r="W4307">
        <v>1220</v>
      </c>
      <c r="X4307" t="s">
        <v>11335</v>
      </c>
      <c r="Y4307" t="s">
        <v>11340</v>
      </c>
      <c r="Z4307" t="s">
        <v>14192</v>
      </c>
      <c r="AB4307" t="s">
        <v>18517</v>
      </c>
      <c r="AC4307">
        <v>70</v>
      </c>
      <c r="AD4307" t="s">
        <v>19566</v>
      </c>
      <c r="AE4307" t="s">
        <v>9144</v>
      </c>
      <c r="AF4307">
        <v>33</v>
      </c>
      <c r="AG4307">
        <v>1</v>
      </c>
      <c r="AH4307">
        <v>0</v>
      </c>
      <c r="AI4307">
        <v>163.33</v>
      </c>
      <c r="AL4307" t="s">
        <v>19615</v>
      </c>
      <c r="AM4307">
        <v>20400</v>
      </c>
      <c r="AS4307">
        <v>4.1</v>
      </c>
      <c r="AT4307" t="s">
        <v>334</v>
      </c>
      <c r="AU4307" t="s">
        <v>130</v>
      </c>
      <c r="AV4307" t="s">
        <v>20733</v>
      </c>
    </row>
    <row r="4308" spans="1:48">
      <c r="A4308" s="1">
        <f>HYPERLINK("https://lsnyc.legalserver.org/matter/dynamic-profile/view/1907775","19-1907775")</f>
        <v>0</v>
      </c>
      <c r="B4308" t="s">
        <v>133</v>
      </c>
      <c r="C4308" t="s">
        <v>257</v>
      </c>
      <c r="D4308" t="s">
        <v>396</v>
      </c>
      <c r="E4308" t="s">
        <v>339</v>
      </c>
      <c r="F4308" t="s">
        <v>1781</v>
      </c>
      <c r="G4308" t="s">
        <v>4045</v>
      </c>
      <c r="H4308" t="s">
        <v>7630</v>
      </c>
      <c r="I4308" t="s">
        <v>8217</v>
      </c>
      <c r="J4308" t="s">
        <v>9067</v>
      </c>
      <c r="K4308">
        <v>10034</v>
      </c>
      <c r="L4308" t="s">
        <v>9094</v>
      </c>
      <c r="M4308" t="s">
        <v>9095</v>
      </c>
      <c r="O4308" t="s">
        <v>11133</v>
      </c>
      <c r="P4308" t="s">
        <v>11164</v>
      </c>
      <c r="Q4308" t="s">
        <v>11172</v>
      </c>
      <c r="R4308" t="s">
        <v>11180</v>
      </c>
      <c r="S4308" t="s">
        <v>9096</v>
      </c>
      <c r="T4308" t="s">
        <v>11191</v>
      </c>
      <c r="V4308" t="s">
        <v>396</v>
      </c>
      <c r="W4308">
        <v>1200</v>
      </c>
      <c r="X4308" t="s">
        <v>11335</v>
      </c>
      <c r="Z4308" t="s">
        <v>14192</v>
      </c>
      <c r="AB4308" t="s">
        <v>18517</v>
      </c>
      <c r="AC4308">
        <v>0</v>
      </c>
      <c r="AD4308" t="s">
        <v>15441</v>
      </c>
      <c r="AE4308" t="s">
        <v>19587</v>
      </c>
      <c r="AF4308">
        <v>33</v>
      </c>
      <c r="AG4308">
        <v>1</v>
      </c>
      <c r="AH4308">
        <v>0</v>
      </c>
      <c r="AI4308">
        <v>163.33</v>
      </c>
      <c r="AL4308" t="s">
        <v>19615</v>
      </c>
      <c r="AM4308">
        <v>20400</v>
      </c>
      <c r="AS4308">
        <v>0.8</v>
      </c>
      <c r="AT4308" t="s">
        <v>396</v>
      </c>
      <c r="AU4308" t="s">
        <v>20659</v>
      </c>
      <c r="AV4308" t="s">
        <v>20733</v>
      </c>
    </row>
    <row r="4309" spans="1:48">
      <c r="A4309" s="1">
        <f>HYPERLINK("https://lsnyc.legalserver.org/matter/dynamic-profile/view/1885062","18-1885062")</f>
        <v>0</v>
      </c>
      <c r="B4309" t="s">
        <v>82</v>
      </c>
      <c r="C4309" t="s">
        <v>256</v>
      </c>
      <c r="D4309" t="s">
        <v>629</v>
      </c>
      <c r="F4309" t="s">
        <v>2803</v>
      </c>
      <c r="G4309" t="s">
        <v>2105</v>
      </c>
      <c r="H4309" t="s">
        <v>7157</v>
      </c>
      <c r="J4309" t="s">
        <v>9059</v>
      </c>
      <c r="K4309">
        <v>11226</v>
      </c>
      <c r="L4309" t="s">
        <v>9094</v>
      </c>
      <c r="M4309" t="s">
        <v>9094</v>
      </c>
      <c r="N4309" t="s">
        <v>10532</v>
      </c>
      <c r="O4309" t="s">
        <v>11134</v>
      </c>
      <c r="P4309" t="s">
        <v>11169</v>
      </c>
      <c r="R4309" t="s">
        <v>11180</v>
      </c>
      <c r="S4309" t="s">
        <v>9094</v>
      </c>
      <c r="T4309" t="s">
        <v>11183</v>
      </c>
      <c r="V4309" t="s">
        <v>649</v>
      </c>
      <c r="W4309">
        <v>1295</v>
      </c>
      <c r="X4309" t="s">
        <v>11332</v>
      </c>
      <c r="Y4309" t="s">
        <v>11346</v>
      </c>
      <c r="Z4309" t="s">
        <v>14193</v>
      </c>
      <c r="AC4309">
        <v>48</v>
      </c>
      <c r="AD4309" t="s">
        <v>19566</v>
      </c>
      <c r="AF4309">
        <v>10</v>
      </c>
      <c r="AG4309">
        <v>2</v>
      </c>
      <c r="AH4309">
        <v>2</v>
      </c>
      <c r="AI4309">
        <v>163.35</v>
      </c>
      <c r="AL4309" t="s">
        <v>19614</v>
      </c>
      <c r="AM4309">
        <v>41000</v>
      </c>
      <c r="AS4309">
        <v>1.1</v>
      </c>
      <c r="AT4309" t="s">
        <v>582</v>
      </c>
      <c r="AU4309" t="s">
        <v>215</v>
      </c>
    </row>
    <row r="4310" spans="1:48">
      <c r="A4310" s="1">
        <f>HYPERLINK("https://lsnyc.legalserver.org/matter/dynamic-profile/view/1913378","19-1913378")</f>
        <v>0</v>
      </c>
      <c r="B4310" t="s">
        <v>71</v>
      </c>
      <c r="C4310" t="s">
        <v>256</v>
      </c>
      <c r="D4310" t="s">
        <v>286</v>
      </c>
      <c r="F4310" t="s">
        <v>1187</v>
      </c>
      <c r="G4310" t="s">
        <v>5067</v>
      </c>
      <c r="H4310" t="s">
        <v>6112</v>
      </c>
      <c r="I4310" t="s">
        <v>8212</v>
      </c>
      <c r="J4310" t="s">
        <v>9059</v>
      </c>
      <c r="K4310">
        <v>11212</v>
      </c>
      <c r="L4310" t="s">
        <v>9096</v>
      </c>
      <c r="M4310" t="s">
        <v>9095</v>
      </c>
      <c r="N4310" t="s">
        <v>10684</v>
      </c>
      <c r="O4310" t="s">
        <v>11129</v>
      </c>
      <c r="R4310" t="s">
        <v>11180</v>
      </c>
      <c r="S4310" t="s">
        <v>9096</v>
      </c>
      <c r="T4310" t="s">
        <v>11183</v>
      </c>
      <c r="U4310" t="s">
        <v>11201</v>
      </c>
      <c r="W4310">
        <v>1500</v>
      </c>
      <c r="X4310" t="s">
        <v>11332</v>
      </c>
      <c r="Y4310" t="s">
        <v>11350</v>
      </c>
      <c r="Z4310" t="s">
        <v>14194</v>
      </c>
      <c r="AA4310" t="s">
        <v>15858</v>
      </c>
      <c r="AB4310" t="s">
        <v>18518</v>
      </c>
      <c r="AC4310">
        <v>32</v>
      </c>
      <c r="AD4310" t="s">
        <v>19566</v>
      </c>
      <c r="AE4310" t="s">
        <v>9144</v>
      </c>
      <c r="AF4310">
        <v>3</v>
      </c>
      <c r="AG4310">
        <v>1</v>
      </c>
      <c r="AH4310">
        <v>2</v>
      </c>
      <c r="AI4310">
        <v>163.62</v>
      </c>
      <c r="AL4310" t="s">
        <v>19614</v>
      </c>
      <c r="AM4310">
        <v>34900</v>
      </c>
      <c r="AS4310">
        <v>3.1</v>
      </c>
      <c r="AT4310" t="s">
        <v>487</v>
      </c>
      <c r="AU4310" t="s">
        <v>95</v>
      </c>
      <c r="AV4310" t="s">
        <v>9144</v>
      </c>
    </row>
    <row r="4311" spans="1:48">
      <c r="A4311" s="1">
        <f>HYPERLINK("https://lsnyc.legalserver.org/matter/dynamic-profile/view/1915309","19-1915309")</f>
        <v>0</v>
      </c>
      <c r="B4311" t="s">
        <v>69</v>
      </c>
      <c r="C4311" t="s">
        <v>256</v>
      </c>
      <c r="D4311" t="s">
        <v>321</v>
      </c>
      <c r="F4311" t="s">
        <v>1187</v>
      </c>
      <c r="G4311" t="s">
        <v>5067</v>
      </c>
      <c r="H4311" t="s">
        <v>6112</v>
      </c>
      <c r="I4311" t="s">
        <v>8212</v>
      </c>
      <c r="J4311" t="s">
        <v>9059</v>
      </c>
      <c r="K4311">
        <v>11212</v>
      </c>
      <c r="L4311" t="s">
        <v>9096</v>
      </c>
      <c r="M4311" t="s">
        <v>9095</v>
      </c>
      <c r="N4311" t="s">
        <v>10685</v>
      </c>
      <c r="O4311" t="s">
        <v>11129</v>
      </c>
      <c r="R4311" t="s">
        <v>11180</v>
      </c>
      <c r="S4311" t="s">
        <v>9096</v>
      </c>
      <c r="T4311" t="s">
        <v>11191</v>
      </c>
      <c r="U4311" t="s">
        <v>11201</v>
      </c>
      <c r="W4311">
        <v>1500</v>
      </c>
      <c r="X4311" t="s">
        <v>11332</v>
      </c>
      <c r="Y4311" t="s">
        <v>11350</v>
      </c>
      <c r="Z4311" t="s">
        <v>14194</v>
      </c>
      <c r="AA4311" t="s">
        <v>15858</v>
      </c>
      <c r="AB4311" t="s">
        <v>18518</v>
      </c>
      <c r="AC4311">
        <v>32</v>
      </c>
      <c r="AD4311" t="s">
        <v>19566</v>
      </c>
      <c r="AE4311" t="s">
        <v>9144</v>
      </c>
      <c r="AF4311">
        <v>3</v>
      </c>
      <c r="AG4311">
        <v>1</v>
      </c>
      <c r="AH4311">
        <v>2</v>
      </c>
      <c r="AI4311">
        <v>163.62</v>
      </c>
      <c r="AL4311" t="s">
        <v>19614</v>
      </c>
      <c r="AM4311">
        <v>34900</v>
      </c>
      <c r="AS4311">
        <v>0</v>
      </c>
      <c r="AU4311" t="s">
        <v>95</v>
      </c>
      <c r="AV4311" t="s">
        <v>9144</v>
      </c>
    </row>
    <row r="4312" spans="1:48">
      <c r="A4312" s="1">
        <f>HYPERLINK("https://lsnyc.legalserver.org/matter/dynamic-profile/view/1875244","18-1875244")</f>
        <v>0</v>
      </c>
      <c r="B4312" t="s">
        <v>68</v>
      </c>
      <c r="C4312" t="s">
        <v>256</v>
      </c>
      <c r="D4312" t="s">
        <v>547</v>
      </c>
      <c r="F4312" t="s">
        <v>2778</v>
      </c>
      <c r="G4312" t="s">
        <v>3733</v>
      </c>
      <c r="H4312" t="s">
        <v>7629</v>
      </c>
      <c r="I4312" t="s">
        <v>8161</v>
      </c>
      <c r="J4312" t="s">
        <v>9059</v>
      </c>
      <c r="K4312">
        <v>11208</v>
      </c>
      <c r="L4312" t="s">
        <v>9094</v>
      </c>
      <c r="M4312" t="s">
        <v>9096</v>
      </c>
      <c r="N4312" t="s">
        <v>10664</v>
      </c>
      <c r="O4312" t="s">
        <v>11129</v>
      </c>
      <c r="P4312" t="s">
        <v>11165</v>
      </c>
      <c r="R4312" t="s">
        <v>11180</v>
      </c>
      <c r="S4312" t="s">
        <v>9096</v>
      </c>
      <c r="T4312" t="s">
        <v>11183</v>
      </c>
      <c r="U4312" t="s">
        <v>11201</v>
      </c>
      <c r="V4312" t="s">
        <v>547</v>
      </c>
      <c r="W4312">
        <v>1515</v>
      </c>
      <c r="X4312" t="s">
        <v>11332</v>
      </c>
      <c r="Y4312" t="s">
        <v>11340</v>
      </c>
      <c r="Z4312" t="s">
        <v>11531</v>
      </c>
      <c r="AA4312" t="s">
        <v>15852</v>
      </c>
      <c r="AB4312" t="s">
        <v>18470</v>
      </c>
      <c r="AC4312">
        <v>6</v>
      </c>
      <c r="AD4312" t="s">
        <v>19566</v>
      </c>
      <c r="AE4312" t="s">
        <v>19581</v>
      </c>
      <c r="AF4312">
        <v>3</v>
      </c>
      <c r="AG4312">
        <v>1</v>
      </c>
      <c r="AH4312">
        <v>2</v>
      </c>
      <c r="AI4312">
        <v>163.62</v>
      </c>
      <c r="AL4312" t="s">
        <v>19614</v>
      </c>
      <c r="AM4312">
        <v>34000</v>
      </c>
      <c r="AS4312">
        <v>12.5</v>
      </c>
      <c r="AT4312" t="s">
        <v>337</v>
      </c>
      <c r="AU4312" t="s">
        <v>95</v>
      </c>
      <c r="AV4312" t="s">
        <v>20733</v>
      </c>
    </row>
    <row r="4313" spans="1:48">
      <c r="A4313" s="1">
        <f>HYPERLINK("https://lsnyc.legalserver.org/matter/dynamic-profile/view/1868764","18-1868764")</f>
        <v>0</v>
      </c>
      <c r="B4313" t="s">
        <v>101</v>
      </c>
      <c r="C4313" t="s">
        <v>257</v>
      </c>
      <c r="D4313" t="s">
        <v>678</v>
      </c>
      <c r="E4313" t="s">
        <v>415</v>
      </c>
      <c r="F4313" t="s">
        <v>2804</v>
      </c>
      <c r="G4313" t="s">
        <v>4593</v>
      </c>
      <c r="H4313" t="s">
        <v>5902</v>
      </c>
      <c r="I4313" t="s">
        <v>8250</v>
      </c>
      <c r="J4313" t="s">
        <v>9065</v>
      </c>
      <c r="K4313">
        <v>10452</v>
      </c>
      <c r="L4313" t="s">
        <v>9094</v>
      </c>
      <c r="M4313" t="s">
        <v>9095</v>
      </c>
      <c r="O4313" t="s">
        <v>9121</v>
      </c>
      <c r="P4313" t="s">
        <v>11166</v>
      </c>
      <c r="Q4313" t="s">
        <v>11178</v>
      </c>
      <c r="R4313" t="s">
        <v>11180</v>
      </c>
      <c r="S4313" t="s">
        <v>9094</v>
      </c>
      <c r="T4313" t="s">
        <v>11183</v>
      </c>
      <c r="V4313" t="s">
        <v>675</v>
      </c>
      <c r="W4313">
        <v>1300</v>
      </c>
      <c r="X4313" t="s">
        <v>11333</v>
      </c>
      <c r="Y4313" t="s">
        <v>11347</v>
      </c>
      <c r="Z4313" t="s">
        <v>11389</v>
      </c>
      <c r="AB4313" t="s">
        <v>18519</v>
      </c>
      <c r="AC4313">
        <v>60</v>
      </c>
      <c r="AD4313" t="s">
        <v>19566</v>
      </c>
      <c r="AE4313" t="s">
        <v>9144</v>
      </c>
      <c r="AF4313">
        <v>1</v>
      </c>
      <c r="AG4313">
        <v>2</v>
      </c>
      <c r="AH4313">
        <v>1</v>
      </c>
      <c r="AI4313">
        <v>163.62</v>
      </c>
      <c r="AL4313" t="s">
        <v>19614</v>
      </c>
      <c r="AM4313">
        <v>34000</v>
      </c>
      <c r="AS4313">
        <v>0.3</v>
      </c>
      <c r="AT4313" t="s">
        <v>415</v>
      </c>
      <c r="AU4313" t="s">
        <v>20647</v>
      </c>
    </row>
    <row r="4314" spans="1:48">
      <c r="A4314" s="1">
        <f>HYPERLINK("https://lsnyc.legalserver.org/matter/dynamic-profile/view/1891823","19-1891823")</f>
        <v>0</v>
      </c>
      <c r="B4314" t="s">
        <v>122</v>
      </c>
      <c r="C4314" t="s">
        <v>257</v>
      </c>
      <c r="D4314" t="s">
        <v>553</v>
      </c>
      <c r="E4314" t="s">
        <v>410</v>
      </c>
      <c r="F4314" t="s">
        <v>1323</v>
      </c>
      <c r="G4314" t="s">
        <v>5068</v>
      </c>
      <c r="H4314" t="s">
        <v>7654</v>
      </c>
      <c r="J4314" t="s">
        <v>9066</v>
      </c>
      <c r="K4314">
        <v>10305</v>
      </c>
      <c r="L4314" t="s">
        <v>9094</v>
      </c>
      <c r="M4314" t="s">
        <v>9094</v>
      </c>
      <c r="N4314" t="s">
        <v>10686</v>
      </c>
      <c r="O4314" t="s">
        <v>11129</v>
      </c>
      <c r="P4314" t="s">
        <v>11165</v>
      </c>
      <c r="Q4314" t="s">
        <v>11174</v>
      </c>
      <c r="R4314" t="s">
        <v>11180</v>
      </c>
      <c r="S4314" t="s">
        <v>9096</v>
      </c>
      <c r="T4314" t="s">
        <v>11183</v>
      </c>
      <c r="U4314" t="s">
        <v>11201</v>
      </c>
      <c r="V4314" t="s">
        <v>553</v>
      </c>
      <c r="W4314">
        <v>1300</v>
      </c>
      <c r="X4314" t="s">
        <v>11334</v>
      </c>
      <c r="Y4314" t="s">
        <v>11340</v>
      </c>
      <c r="Z4314" t="s">
        <v>14195</v>
      </c>
      <c r="AB4314" t="s">
        <v>18520</v>
      </c>
      <c r="AC4314">
        <v>1</v>
      </c>
      <c r="AD4314" t="s">
        <v>19565</v>
      </c>
      <c r="AE4314" t="s">
        <v>9144</v>
      </c>
      <c r="AF4314">
        <v>1</v>
      </c>
      <c r="AG4314">
        <v>1</v>
      </c>
      <c r="AH4314">
        <v>3</v>
      </c>
      <c r="AI4314">
        <v>163.68</v>
      </c>
      <c r="AL4314" t="s">
        <v>19614</v>
      </c>
      <c r="AM4314">
        <v>42148</v>
      </c>
      <c r="AO4314" t="s">
        <v>20290</v>
      </c>
      <c r="AP4314" t="s">
        <v>20319</v>
      </c>
      <c r="AQ4314" t="s">
        <v>20368</v>
      </c>
      <c r="AR4314" t="s">
        <v>20380</v>
      </c>
      <c r="AS4314">
        <v>21.7</v>
      </c>
      <c r="AT4314" t="s">
        <v>410</v>
      </c>
      <c r="AU4314" t="s">
        <v>20654</v>
      </c>
      <c r="AV4314" t="s">
        <v>20733</v>
      </c>
    </row>
    <row r="4315" spans="1:48">
      <c r="A4315" s="1">
        <f>HYPERLINK("https://lsnyc.legalserver.org/matter/dynamic-profile/view/1869551","18-1869551")</f>
        <v>0</v>
      </c>
      <c r="B4315" t="s">
        <v>115</v>
      </c>
      <c r="C4315" t="s">
        <v>257</v>
      </c>
      <c r="D4315" t="s">
        <v>469</v>
      </c>
      <c r="E4315" t="s">
        <v>1134</v>
      </c>
      <c r="F4315" t="s">
        <v>2530</v>
      </c>
      <c r="G4315" t="s">
        <v>3805</v>
      </c>
      <c r="H4315" t="s">
        <v>7655</v>
      </c>
      <c r="I4315" t="s">
        <v>8197</v>
      </c>
      <c r="J4315" t="s">
        <v>9065</v>
      </c>
      <c r="K4315">
        <v>10462</v>
      </c>
      <c r="L4315" t="s">
        <v>9094</v>
      </c>
      <c r="M4315" t="s">
        <v>9094</v>
      </c>
      <c r="N4315" t="s">
        <v>10687</v>
      </c>
      <c r="O4315" t="s">
        <v>11129</v>
      </c>
      <c r="P4315" t="s">
        <v>11165</v>
      </c>
      <c r="Q4315" t="s">
        <v>11174</v>
      </c>
      <c r="R4315" t="s">
        <v>11180</v>
      </c>
      <c r="S4315" t="s">
        <v>9096</v>
      </c>
      <c r="T4315" t="s">
        <v>11183</v>
      </c>
      <c r="U4315" t="s">
        <v>11201</v>
      </c>
      <c r="V4315" t="s">
        <v>808</v>
      </c>
      <c r="W4315">
        <v>1100</v>
      </c>
      <c r="X4315" t="s">
        <v>11333</v>
      </c>
      <c r="Y4315" t="s">
        <v>11345</v>
      </c>
      <c r="Z4315" t="s">
        <v>14196</v>
      </c>
      <c r="AA4315" t="s">
        <v>15859</v>
      </c>
      <c r="AB4315" t="s">
        <v>18521</v>
      </c>
      <c r="AC4315">
        <v>10</v>
      </c>
      <c r="AD4315" t="s">
        <v>19566</v>
      </c>
      <c r="AE4315" t="s">
        <v>9144</v>
      </c>
      <c r="AF4315">
        <v>4</v>
      </c>
      <c r="AG4315">
        <v>1</v>
      </c>
      <c r="AH4315">
        <v>0</v>
      </c>
      <c r="AI4315">
        <v>163.75</v>
      </c>
      <c r="AL4315" t="s">
        <v>19614</v>
      </c>
      <c r="AM4315">
        <v>19879.08</v>
      </c>
      <c r="AS4315">
        <v>24.95</v>
      </c>
      <c r="AT4315" t="s">
        <v>1134</v>
      </c>
      <c r="AU4315" t="s">
        <v>20642</v>
      </c>
      <c r="AV4315" t="s">
        <v>20733</v>
      </c>
    </row>
    <row r="4316" spans="1:48">
      <c r="A4316" s="1">
        <f>HYPERLINK("https://lsnyc.legalserver.org/matter/dynamic-profile/view/1839006","17-1839006")</f>
        <v>0</v>
      </c>
      <c r="B4316" t="s">
        <v>103</v>
      </c>
      <c r="C4316" t="s">
        <v>256</v>
      </c>
      <c r="D4316" t="s">
        <v>1059</v>
      </c>
      <c r="F4316" t="s">
        <v>1374</v>
      </c>
      <c r="G4316" t="s">
        <v>2212</v>
      </c>
      <c r="H4316" t="s">
        <v>6915</v>
      </c>
      <c r="I4316" t="s">
        <v>8841</v>
      </c>
      <c r="J4316" t="s">
        <v>9065</v>
      </c>
      <c r="K4316">
        <v>10473</v>
      </c>
      <c r="L4316" t="s">
        <v>9094</v>
      </c>
      <c r="M4316" t="s">
        <v>9095</v>
      </c>
      <c r="N4316" t="s">
        <v>10039</v>
      </c>
      <c r="O4316" t="s">
        <v>11135</v>
      </c>
      <c r="P4316" t="s">
        <v>11168</v>
      </c>
      <c r="R4316" t="s">
        <v>11180</v>
      </c>
      <c r="S4316" t="s">
        <v>9094</v>
      </c>
      <c r="T4316" t="s">
        <v>11183</v>
      </c>
      <c r="V4316" t="s">
        <v>11223</v>
      </c>
      <c r="W4316">
        <v>927</v>
      </c>
      <c r="X4316" t="s">
        <v>11333</v>
      </c>
      <c r="Y4316" t="s">
        <v>11351</v>
      </c>
      <c r="Z4316" t="s">
        <v>14197</v>
      </c>
      <c r="AB4316" t="s">
        <v>18522</v>
      </c>
      <c r="AC4316">
        <v>976</v>
      </c>
      <c r="AD4316" t="s">
        <v>19566</v>
      </c>
      <c r="AE4316" t="s">
        <v>9144</v>
      </c>
      <c r="AF4316">
        <v>37</v>
      </c>
      <c r="AG4316">
        <v>1</v>
      </c>
      <c r="AH4316">
        <v>0</v>
      </c>
      <c r="AI4316">
        <v>163.78</v>
      </c>
      <c r="AJ4316" t="s">
        <v>936</v>
      </c>
      <c r="AL4316" t="s">
        <v>19614</v>
      </c>
      <c r="AM4316">
        <v>19752</v>
      </c>
      <c r="AS4316">
        <v>0.25</v>
      </c>
      <c r="AT4316" t="s">
        <v>316</v>
      </c>
      <c r="AU4316" t="s">
        <v>20643</v>
      </c>
    </row>
    <row r="4317" spans="1:48">
      <c r="A4317" s="1">
        <f>HYPERLINK("https://lsnyc.legalserver.org/matter/dynamic-profile/view/1899588","19-1899588")</f>
        <v>0</v>
      </c>
      <c r="B4317" t="s">
        <v>174</v>
      </c>
      <c r="C4317" t="s">
        <v>256</v>
      </c>
      <c r="D4317" t="s">
        <v>418</v>
      </c>
      <c r="F4317" t="s">
        <v>1282</v>
      </c>
      <c r="G4317" t="s">
        <v>1404</v>
      </c>
      <c r="H4317" t="s">
        <v>7656</v>
      </c>
      <c r="J4317" t="s">
        <v>9065</v>
      </c>
      <c r="K4317">
        <v>10462</v>
      </c>
      <c r="L4317" t="s">
        <v>9094</v>
      </c>
      <c r="M4317" t="s">
        <v>9095</v>
      </c>
      <c r="O4317" t="s">
        <v>9121</v>
      </c>
      <c r="P4317" t="s">
        <v>11164</v>
      </c>
      <c r="R4317" t="s">
        <v>11180</v>
      </c>
      <c r="S4317" t="s">
        <v>9096</v>
      </c>
      <c r="T4317" t="s">
        <v>11183</v>
      </c>
      <c r="V4317" t="s">
        <v>785</v>
      </c>
      <c r="W4317">
        <v>920</v>
      </c>
      <c r="X4317" t="s">
        <v>11333</v>
      </c>
      <c r="Y4317" t="s">
        <v>11346</v>
      </c>
      <c r="Z4317" t="s">
        <v>14198</v>
      </c>
      <c r="AB4317" t="s">
        <v>18523</v>
      </c>
      <c r="AC4317">
        <v>0</v>
      </c>
      <c r="AD4317" t="s">
        <v>19566</v>
      </c>
      <c r="AE4317" t="s">
        <v>19587</v>
      </c>
      <c r="AF4317">
        <v>14</v>
      </c>
      <c r="AG4317">
        <v>1</v>
      </c>
      <c r="AH4317">
        <v>0</v>
      </c>
      <c r="AI4317">
        <v>163.91</v>
      </c>
      <c r="AL4317" t="s">
        <v>19615</v>
      </c>
      <c r="AM4317">
        <v>20472</v>
      </c>
      <c r="AS4317">
        <v>3.5</v>
      </c>
      <c r="AT4317" t="s">
        <v>275</v>
      </c>
      <c r="AU4317" t="s">
        <v>174</v>
      </c>
      <c r="AV4317" t="s">
        <v>20733</v>
      </c>
    </row>
    <row r="4318" spans="1:48">
      <c r="A4318" s="1">
        <f>HYPERLINK("https://lsnyc.legalserver.org/matter/dynamic-profile/view/1881226","18-1881226")</f>
        <v>0</v>
      </c>
      <c r="B4318" t="s">
        <v>132</v>
      </c>
      <c r="C4318" t="s">
        <v>256</v>
      </c>
      <c r="D4318" t="s">
        <v>639</v>
      </c>
      <c r="F4318" t="s">
        <v>2805</v>
      </c>
      <c r="G4318" t="s">
        <v>4038</v>
      </c>
      <c r="H4318" t="s">
        <v>5936</v>
      </c>
      <c r="I4318" t="s">
        <v>8279</v>
      </c>
      <c r="J4318" t="s">
        <v>9067</v>
      </c>
      <c r="K4318">
        <v>10040</v>
      </c>
      <c r="L4318" t="s">
        <v>9094</v>
      </c>
      <c r="M4318" t="s">
        <v>9094</v>
      </c>
      <c r="O4318" t="s">
        <v>11130</v>
      </c>
      <c r="P4318" t="s">
        <v>11165</v>
      </c>
      <c r="R4318" t="s">
        <v>11180</v>
      </c>
      <c r="S4318" t="s">
        <v>9094</v>
      </c>
      <c r="T4318" t="s">
        <v>11183</v>
      </c>
      <c r="V4318" t="s">
        <v>639</v>
      </c>
      <c r="W4318">
        <v>1000</v>
      </c>
      <c r="X4318" t="s">
        <v>11335</v>
      </c>
      <c r="Y4318" t="s">
        <v>11338</v>
      </c>
      <c r="Z4318" t="s">
        <v>14199</v>
      </c>
      <c r="AC4318">
        <v>42</v>
      </c>
      <c r="AD4318" t="s">
        <v>19566</v>
      </c>
      <c r="AE4318" t="s">
        <v>9144</v>
      </c>
      <c r="AF4318">
        <v>1</v>
      </c>
      <c r="AG4318">
        <v>2</v>
      </c>
      <c r="AH4318">
        <v>0</v>
      </c>
      <c r="AI4318">
        <v>164.03</v>
      </c>
      <c r="AJ4318" t="s">
        <v>527</v>
      </c>
      <c r="AK4318" t="s">
        <v>19613</v>
      </c>
      <c r="AL4318" t="s">
        <v>19614</v>
      </c>
      <c r="AM4318">
        <v>27000</v>
      </c>
      <c r="AS4318">
        <v>0.1</v>
      </c>
      <c r="AT4318" t="s">
        <v>377</v>
      </c>
      <c r="AU4318" t="s">
        <v>130</v>
      </c>
      <c r="AV4318" t="s">
        <v>20733</v>
      </c>
    </row>
    <row r="4319" spans="1:48">
      <c r="A4319" s="1">
        <f>HYPERLINK("https://lsnyc.legalserver.org/matter/dynamic-profile/view/1880682","18-1880682")</f>
        <v>0</v>
      </c>
      <c r="B4319" t="s">
        <v>87</v>
      </c>
      <c r="C4319" t="s">
        <v>256</v>
      </c>
      <c r="D4319" t="s">
        <v>285</v>
      </c>
      <c r="F4319" t="s">
        <v>2411</v>
      </c>
      <c r="G4319" t="s">
        <v>5069</v>
      </c>
      <c r="H4319" t="s">
        <v>5788</v>
      </c>
      <c r="I4319" t="s">
        <v>8129</v>
      </c>
      <c r="J4319" t="s">
        <v>9059</v>
      </c>
      <c r="K4319">
        <v>11221</v>
      </c>
      <c r="L4319" t="s">
        <v>9094</v>
      </c>
      <c r="M4319" t="s">
        <v>9094</v>
      </c>
      <c r="N4319" t="s">
        <v>9172</v>
      </c>
      <c r="O4319" t="s">
        <v>11130</v>
      </c>
      <c r="P4319" t="s">
        <v>11165</v>
      </c>
      <c r="R4319" t="s">
        <v>11180</v>
      </c>
      <c r="T4319" t="s">
        <v>11183</v>
      </c>
      <c r="V4319" t="s">
        <v>285</v>
      </c>
      <c r="W4319">
        <v>750</v>
      </c>
      <c r="X4319" t="s">
        <v>11332</v>
      </c>
      <c r="Y4319" t="s">
        <v>11340</v>
      </c>
      <c r="Z4319" t="s">
        <v>14200</v>
      </c>
      <c r="AB4319" t="s">
        <v>18524</v>
      </c>
      <c r="AC4319">
        <v>7</v>
      </c>
      <c r="AE4319" t="s">
        <v>9144</v>
      </c>
      <c r="AF4319">
        <v>23</v>
      </c>
      <c r="AG4319">
        <v>1</v>
      </c>
      <c r="AH4319">
        <v>0</v>
      </c>
      <c r="AI4319">
        <v>164.05</v>
      </c>
      <c r="AL4319" t="s">
        <v>19614</v>
      </c>
      <c r="AM4319">
        <v>19916</v>
      </c>
      <c r="AS4319">
        <v>0</v>
      </c>
      <c r="AU4319" t="s">
        <v>20633</v>
      </c>
    </row>
    <row r="4320" spans="1:48">
      <c r="A4320" s="1">
        <f>HYPERLINK("https://lsnyc.legalserver.org/matter/dynamic-profile/view/1902048","19-1902048")</f>
        <v>0</v>
      </c>
      <c r="B4320" t="s">
        <v>70</v>
      </c>
      <c r="C4320" t="s">
        <v>256</v>
      </c>
      <c r="D4320" t="s">
        <v>319</v>
      </c>
      <c r="F4320" t="s">
        <v>2806</v>
      </c>
      <c r="G4320" t="s">
        <v>5070</v>
      </c>
      <c r="H4320" t="s">
        <v>5748</v>
      </c>
      <c r="I4320" t="s">
        <v>8578</v>
      </c>
      <c r="J4320" t="s">
        <v>9059</v>
      </c>
      <c r="K4320">
        <v>11233</v>
      </c>
      <c r="L4320" t="s">
        <v>9094</v>
      </c>
      <c r="M4320" t="s">
        <v>9095</v>
      </c>
      <c r="N4320" t="s">
        <v>9145</v>
      </c>
      <c r="O4320" t="s">
        <v>11134</v>
      </c>
      <c r="P4320" t="s">
        <v>11168</v>
      </c>
      <c r="R4320" t="s">
        <v>11180</v>
      </c>
      <c r="S4320" t="s">
        <v>9094</v>
      </c>
      <c r="T4320" t="s">
        <v>11183</v>
      </c>
      <c r="U4320" t="s">
        <v>11201</v>
      </c>
      <c r="V4320" t="s">
        <v>482</v>
      </c>
      <c r="W4320">
        <v>787</v>
      </c>
      <c r="X4320" t="s">
        <v>11332</v>
      </c>
      <c r="Y4320" t="s">
        <v>11157</v>
      </c>
      <c r="Z4320" t="s">
        <v>14201</v>
      </c>
      <c r="AC4320">
        <v>359</v>
      </c>
      <c r="AD4320" t="s">
        <v>19566</v>
      </c>
      <c r="AF4320">
        <v>10</v>
      </c>
      <c r="AG4320">
        <v>1</v>
      </c>
      <c r="AH4320">
        <v>2</v>
      </c>
      <c r="AI4320">
        <v>164.09</v>
      </c>
      <c r="AL4320" t="s">
        <v>19614</v>
      </c>
      <c r="AM4320">
        <v>35000</v>
      </c>
      <c r="AN4320" t="s">
        <v>19974</v>
      </c>
      <c r="AS4320">
        <v>0</v>
      </c>
      <c r="AU4320" t="s">
        <v>79</v>
      </c>
      <c r="AV4320" t="s">
        <v>9144</v>
      </c>
    </row>
    <row r="4321" spans="1:48">
      <c r="A4321" s="1">
        <f>HYPERLINK("https://lsnyc.legalserver.org/matter/dynamic-profile/view/1902052","19-1902052")</f>
        <v>0</v>
      </c>
      <c r="B4321" t="s">
        <v>70</v>
      </c>
      <c r="C4321" t="s">
        <v>256</v>
      </c>
      <c r="D4321" t="s">
        <v>319</v>
      </c>
      <c r="F4321" t="s">
        <v>2806</v>
      </c>
      <c r="G4321" t="s">
        <v>5070</v>
      </c>
      <c r="H4321" t="s">
        <v>5748</v>
      </c>
      <c r="I4321" t="s">
        <v>8578</v>
      </c>
      <c r="J4321" t="s">
        <v>9059</v>
      </c>
      <c r="K4321">
        <v>11233</v>
      </c>
      <c r="L4321" t="s">
        <v>9094</v>
      </c>
      <c r="M4321" t="s">
        <v>9095</v>
      </c>
      <c r="N4321" t="s">
        <v>9121</v>
      </c>
      <c r="O4321" t="s">
        <v>11137</v>
      </c>
      <c r="P4321" t="s">
        <v>11167</v>
      </c>
      <c r="R4321" t="s">
        <v>11180</v>
      </c>
      <c r="S4321" t="s">
        <v>9094</v>
      </c>
      <c r="T4321" t="s">
        <v>11183</v>
      </c>
      <c r="U4321" t="s">
        <v>11201</v>
      </c>
      <c r="V4321" t="s">
        <v>749</v>
      </c>
      <c r="W4321">
        <v>787</v>
      </c>
      <c r="X4321" t="s">
        <v>11332</v>
      </c>
      <c r="Y4321" t="s">
        <v>11157</v>
      </c>
      <c r="Z4321" t="s">
        <v>14201</v>
      </c>
      <c r="AC4321">
        <v>359</v>
      </c>
      <c r="AD4321" t="s">
        <v>19566</v>
      </c>
      <c r="AF4321">
        <v>10</v>
      </c>
      <c r="AG4321">
        <v>1</v>
      </c>
      <c r="AH4321">
        <v>2</v>
      </c>
      <c r="AI4321">
        <v>164.09</v>
      </c>
      <c r="AL4321" t="s">
        <v>19614</v>
      </c>
      <c r="AM4321">
        <v>35000</v>
      </c>
      <c r="AN4321" t="s">
        <v>20014</v>
      </c>
      <c r="AS4321">
        <v>0</v>
      </c>
      <c r="AU4321" t="s">
        <v>79</v>
      </c>
      <c r="AV4321" t="s">
        <v>20733</v>
      </c>
    </row>
    <row r="4322" spans="1:48">
      <c r="A4322" s="1">
        <f>HYPERLINK("https://lsnyc.legalserver.org/matter/dynamic-profile/view/1901450","19-1901450")</f>
        <v>0</v>
      </c>
      <c r="B4322" t="s">
        <v>67</v>
      </c>
      <c r="C4322" t="s">
        <v>257</v>
      </c>
      <c r="D4322" t="s">
        <v>559</v>
      </c>
      <c r="E4322" t="s">
        <v>498</v>
      </c>
      <c r="F4322" t="s">
        <v>2807</v>
      </c>
      <c r="G4322" t="s">
        <v>1206</v>
      </c>
      <c r="H4322" t="s">
        <v>6658</v>
      </c>
      <c r="I4322" t="s">
        <v>8169</v>
      </c>
      <c r="J4322" t="s">
        <v>9059</v>
      </c>
      <c r="K4322">
        <v>11206</v>
      </c>
      <c r="L4322" t="s">
        <v>9094</v>
      </c>
      <c r="M4322" t="s">
        <v>9095</v>
      </c>
      <c r="O4322" t="s">
        <v>11130</v>
      </c>
      <c r="P4322" t="s">
        <v>11167</v>
      </c>
      <c r="Q4322" t="s">
        <v>11172</v>
      </c>
      <c r="R4322" t="s">
        <v>11180</v>
      </c>
      <c r="T4322" t="s">
        <v>11183</v>
      </c>
      <c r="V4322" t="s">
        <v>559</v>
      </c>
      <c r="W4322">
        <v>0</v>
      </c>
      <c r="X4322" t="s">
        <v>11332</v>
      </c>
      <c r="Z4322" t="s">
        <v>14202</v>
      </c>
      <c r="AC4322">
        <v>0</v>
      </c>
      <c r="AF4322">
        <v>0</v>
      </c>
      <c r="AG4322">
        <v>2</v>
      </c>
      <c r="AH4322">
        <v>1</v>
      </c>
      <c r="AI4322">
        <v>164.09</v>
      </c>
      <c r="AL4322" t="s">
        <v>19614</v>
      </c>
      <c r="AM4322">
        <v>35000</v>
      </c>
      <c r="AS4322">
        <v>0.5</v>
      </c>
      <c r="AT4322" t="s">
        <v>498</v>
      </c>
      <c r="AU4322" t="s">
        <v>67</v>
      </c>
    </row>
    <row r="4323" spans="1:48">
      <c r="A4323" s="1">
        <f>HYPERLINK("https://lsnyc.legalserver.org/matter/dynamic-profile/view/1893027","19-1893027")</f>
        <v>0</v>
      </c>
      <c r="B4323" t="s">
        <v>108</v>
      </c>
      <c r="C4323" t="s">
        <v>256</v>
      </c>
      <c r="D4323" t="s">
        <v>423</v>
      </c>
      <c r="F4323" t="s">
        <v>2106</v>
      </c>
      <c r="G4323" t="s">
        <v>5071</v>
      </c>
      <c r="H4323" t="s">
        <v>5859</v>
      </c>
      <c r="I4323" t="s">
        <v>8149</v>
      </c>
      <c r="J4323" t="s">
        <v>9065</v>
      </c>
      <c r="K4323">
        <v>10467</v>
      </c>
      <c r="L4323" t="s">
        <v>9094</v>
      </c>
      <c r="M4323" t="s">
        <v>9094</v>
      </c>
      <c r="P4323" t="s">
        <v>11166</v>
      </c>
      <c r="R4323" t="s">
        <v>11180</v>
      </c>
      <c r="S4323" t="s">
        <v>9094</v>
      </c>
      <c r="T4323" t="s">
        <v>11183</v>
      </c>
      <c r="V4323" t="s">
        <v>11218</v>
      </c>
      <c r="W4323">
        <v>1400</v>
      </c>
      <c r="X4323" t="s">
        <v>11333</v>
      </c>
      <c r="Z4323" t="s">
        <v>14203</v>
      </c>
      <c r="AB4323" t="s">
        <v>18525</v>
      </c>
      <c r="AC4323">
        <v>122</v>
      </c>
      <c r="AD4323" t="s">
        <v>19565</v>
      </c>
      <c r="AE4323" t="s">
        <v>19580</v>
      </c>
      <c r="AF4323">
        <v>18</v>
      </c>
      <c r="AG4323">
        <v>3</v>
      </c>
      <c r="AH4323">
        <v>0</v>
      </c>
      <c r="AI4323">
        <v>164.09</v>
      </c>
      <c r="AL4323" t="s">
        <v>19614</v>
      </c>
      <c r="AM4323">
        <v>35000</v>
      </c>
      <c r="AS4323">
        <v>4.1</v>
      </c>
      <c r="AT4323" t="s">
        <v>648</v>
      </c>
      <c r="AU4323" t="s">
        <v>220</v>
      </c>
      <c r="AV4323" t="s">
        <v>20733</v>
      </c>
    </row>
    <row r="4324" spans="1:48">
      <c r="A4324" s="1">
        <f>HYPERLINK("https://lsnyc.legalserver.org/matter/dynamic-profile/view/1889697","19-1889697")</f>
        <v>0</v>
      </c>
      <c r="B4324" t="s">
        <v>119</v>
      </c>
      <c r="C4324" t="s">
        <v>256</v>
      </c>
      <c r="D4324" t="s">
        <v>784</v>
      </c>
      <c r="F4324" t="s">
        <v>1428</v>
      </c>
      <c r="G4324" t="s">
        <v>4529</v>
      </c>
      <c r="H4324" t="s">
        <v>6095</v>
      </c>
      <c r="I4324" t="s">
        <v>8206</v>
      </c>
      <c r="J4324" t="s">
        <v>9065</v>
      </c>
      <c r="K4324">
        <v>10456</v>
      </c>
      <c r="L4324" t="s">
        <v>9094</v>
      </c>
      <c r="M4324" t="s">
        <v>9094</v>
      </c>
      <c r="O4324" t="s">
        <v>11134</v>
      </c>
      <c r="P4324" t="s">
        <v>11168</v>
      </c>
      <c r="R4324" t="s">
        <v>11180</v>
      </c>
      <c r="S4324" t="s">
        <v>9094</v>
      </c>
      <c r="T4324" t="s">
        <v>11183</v>
      </c>
      <c r="V4324" t="s">
        <v>512</v>
      </c>
      <c r="W4324">
        <v>1268.04</v>
      </c>
      <c r="X4324" t="s">
        <v>11333</v>
      </c>
      <c r="Y4324" t="s">
        <v>11346</v>
      </c>
      <c r="Z4324" t="s">
        <v>13367</v>
      </c>
      <c r="AB4324" t="s">
        <v>18526</v>
      </c>
      <c r="AC4324">
        <v>131</v>
      </c>
      <c r="AD4324" t="s">
        <v>19566</v>
      </c>
      <c r="AE4324" t="s">
        <v>9144</v>
      </c>
      <c r="AF4324">
        <v>21</v>
      </c>
      <c r="AG4324">
        <v>3</v>
      </c>
      <c r="AH4324">
        <v>0</v>
      </c>
      <c r="AI4324">
        <v>164.09</v>
      </c>
      <c r="AL4324" t="s">
        <v>19615</v>
      </c>
      <c r="AM4324">
        <v>35000</v>
      </c>
      <c r="AS4324">
        <v>0</v>
      </c>
      <c r="AU4324" t="s">
        <v>163</v>
      </c>
    </row>
    <row r="4325" spans="1:48">
      <c r="A4325" s="1">
        <f>HYPERLINK("https://lsnyc.legalserver.org/matter/dynamic-profile/view/1904825","19-1904825")</f>
        <v>0</v>
      </c>
      <c r="B4325" t="s">
        <v>119</v>
      </c>
      <c r="C4325" t="s">
        <v>256</v>
      </c>
      <c r="D4325" t="s">
        <v>748</v>
      </c>
      <c r="F4325" t="s">
        <v>1428</v>
      </c>
      <c r="G4325" t="s">
        <v>4529</v>
      </c>
      <c r="H4325" t="s">
        <v>6095</v>
      </c>
      <c r="I4325" t="s">
        <v>8206</v>
      </c>
      <c r="J4325" t="s">
        <v>9065</v>
      </c>
      <c r="K4325">
        <v>10456</v>
      </c>
      <c r="L4325" t="s">
        <v>9094</v>
      </c>
      <c r="M4325" t="s">
        <v>9095</v>
      </c>
      <c r="N4325" t="s">
        <v>9401</v>
      </c>
      <c r="O4325" t="s">
        <v>11134</v>
      </c>
      <c r="P4325" t="s">
        <v>11168</v>
      </c>
      <c r="R4325" t="s">
        <v>11180</v>
      </c>
      <c r="S4325" t="s">
        <v>9094</v>
      </c>
      <c r="T4325" t="s">
        <v>11183</v>
      </c>
      <c r="V4325" t="s">
        <v>11218</v>
      </c>
      <c r="W4325">
        <v>1268.04</v>
      </c>
      <c r="X4325" t="s">
        <v>11333</v>
      </c>
      <c r="Y4325" t="s">
        <v>11346</v>
      </c>
      <c r="Z4325" t="s">
        <v>13367</v>
      </c>
      <c r="AB4325" t="s">
        <v>18526</v>
      </c>
      <c r="AC4325">
        <v>131</v>
      </c>
      <c r="AD4325" t="s">
        <v>19566</v>
      </c>
      <c r="AE4325" t="s">
        <v>9144</v>
      </c>
      <c r="AF4325">
        <v>21</v>
      </c>
      <c r="AG4325">
        <v>3</v>
      </c>
      <c r="AH4325">
        <v>0</v>
      </c>
      <c r="AI4325">
        <v>164.09</v>
      </c>
      <c r="AL4325" t="s">
        <v>19615</v>
      </c>
      <c r="AM4325">
        <v>35000</v>
      </c>
      <c r="AS4325">
        <v>0</v>
      </c>
      <c r="AU4325" t="s">
        <v>163</v>
      </c>
      <c r="AV4325" t="s">
        <v>20733</v>
      </c>
    </row>
    <row r="4326" spans="1:48">
      <c r="A4326" s="1">
        <f>HYPERLINK("https://lsnyc.legalserver.org/matter/dynamic-profile/view/1915011","19-1915011")</f>
        <v>0</v>
      </c>
      <c r="B4326" t="s">
        <v>119</v>
      </c>
      <c r="C4326" t="s">
        <v>256</v>
      </c>
      <c r="D4326" t="s">
        <v>377</v>
      </c>
      <c r="F4326" t="s">
        <v>1428</v>
      </c>
      <c r="G4326" t="s">
        <v>4529</v>
      </c>
      <c r="H4326" t="s">
        <v>6095</v>
      </c>
      <c r="I4326" t="s">
        <v>8206</v>
      </c>
      <c r="J4326" t="s">
        <v>9065</v>
      </c>
      <c r="K4326">
        <v>10456</v>
      </c>
      <c r="L4326" t="s">
        <v>9094</v>
      </c>
      <c r="M4326" t="s">
        <v>9095</v>
      </c>
      <c r="N4326" t="s">
        <v>9419</v>
      </c>
      <c r="O4326" t="s">
        <v>11134</v>
      </c>
      <c r="P4326" t="s">
        <v>11168</v>
      </c>
      <c r="R4326" t="s">
        <v>11180</v>
      </c>
      <c r="S4326" t="s">
        <v>9094</v>
      </c>
      <c r="T4326" t="s">
        <v>11183</v>
      </c>
      <c r="W4326">
        <v>1268.04</v>
      </c>
      <c r="X4326" t="s">
        <v>11333</v>
      </c>
      <c r="Y4326" t="s">
        <v>11346</v>
      </c>
      <c r="Z4326" t="s">
        <v>13367</v>
      </c>
      <c r="AB4326" t="s">
        <v>18526</v>
      </c>
      <c r="AC4326">
        <v>131</v>
      </c>
      <c r="AD4326" t="s">
        <v>19566</v>
      </c>
      <c r="AE4326" t="s">
        <v>9144</v>
      </c>
      <c r="AF4326">
        <v>22</v>
      </c>
      <c r="AG4326">
        <v>3</v>
      </c>
      <c r="AH4326">
        <v>0</v>
      </c>
      <c r="AI4326">
        <v>164.09</v>
      </c>
      <c r="AL4326" t="s">
        <v>19615</v>
      </c>
      <c r="AM4326">
        <v>35000</v>
      </c>
      <c r="AS4326">
        <v>0</v>
      </c>
      <c r="AU4326" t="s">
        <v>220</v>
      </c>
    </row>
    <row r="4327" spans="1:48">
      <c r="A4327" s="1">
        <f>HYPERLINK("https://lsnyc.legalserver.org/matter/dynamic-profile/view/1909597","19-1909597")</f>
        <v>0</v>
      </c>
      <c r="B4327" t="s">
        <v>142</v>
      </c>
      <c r="C4327" t="s">
        <v>256</v>
      </c>
      <c r="D4327" t="s">
        <v>444</v>
      </c>
      <c r="F4327" t="s">
        <v>1163</v>
      </c>
      <c r="G4327" t="s">
        <v>1193</v>
      </c>
      <c r="H4327" t="s">
        <v>6596</v>
      </c>
      <c r="I4327" t="s">
        <v>8192</v>
      </c>
      <c r="J4327" t="s">
        <v>9067</v>
      </c>
      <c r="K4327">
        <v>10035</v>
      </c>
      <c r="L4327" t="s">
        <v>9094</v>
      </c>
      <c r="M4327" t="s">
        <v>9095</v>
      </c>
      <c r="N4327" t="s">
        <v>10562</v>
      </c>
      <c r="O4327" t="s">
        <v>11130</v>
      </c>
      <c r="P4327" t="s">
        <v>11165</v>
      </c>
      <c r="R4327" t="s">
        <v>11180</v>
      </c>
      <c r="S4327" t="s">
        <v>9094</v>
      </c>
      <c r="T4327" t="s">
        <v>11183</v>
      </c>
      <c r="U4327" t="s">
        <v>11201</v>
      </c>
      <c r="V4327" t="s">
        <v>273</v>
      </c>
      <c r="W4327">
        <v>793</v>
      </c>
      <c r="X4327" t="s">
        <v>11335</v>
      </c>
      <c r="Y4327" t="s">
        <v>11157</v>
      </c>
      <c r="Z4327" t="s">
        <v>14204</v>
      </c>
      <c r="AB4327" t="s">
        <v>18527</v>
      </c>
      <c r="AC4327">
        <v>60</v>
      </c>
      <c r="AD4327" t="s">
        <v>19566</v>
      </c>
      <c r="AE4327" t="s">
        <v>19580</v>
      </c>
      <c r="AF4327">
        <v>14</v>
      </c>
      <c r="AG4327">
        <v>2</v>
      </c>
      <c r="AH4327">
        <v>1</v>
      </c>
      <c r="AI4327">
        <v>164.09</v>
      </c>
      <c r="AL4327" t="s">
        <v>19614</v>
      </c>
      <c r="AM4327">
        <v>35000</v>
      </c>
      <c r="AS4327">
        <v>0</v>
      </c>
      <c r="AU4327" t="s">
        <v>20657</v>
      </c>
      <c r="AV4327" t="s">
        <v>20733</v>
      </c>
    </row>
    <row r="4328" spans="1:48">
      <c r="A4328" s="1">
        <f>HYPERLINK("https://lsnyc.legalserver.org/matter/dynamic-profile/view/1870636","18-1870636")</f>
        <v>0</v>
      </c>
      <c r="B4328" t="s">
        <v>149</v>
      </c>
      <c r="C4328" t="s">
        <v>257</v>
      </c>
      <c r="D4328" t="s">
        <v>707</v>
      </c>
      <c r="E4328" t="s">
        <v>497</v>
      </c>
      <c r="F4328" t="s">
        <v>2808</v>
      </c>
      <c r="G4328" t="s">
        <v>3351</v>
      </c>
      <c r="H4328" t="s">
        <v>7657</v>
      </c>
      <c r="I4328">
        <v>12</v>
      </c>
      <c r="J4328" t="s">
        <v>9067</v>
      </c>
      <c r="K4328">
        <v>10027</v>
      </c>
      <c r="L4328" t="s">
        <v>9094</v>
      </c>
      <c r="M4328" t="s">
        <v>9095</v>
      </c>
      <c r="O4328" t="s">
        <v>9121</v>
      </c>
      <c r="P4328" t="s">
        <v>11166</v>
      </c>
      <c r="Q4328" t="s">
        <v>11173</v>
      </c>
      <c r="R4328" t="s">
        <v>11180</v>
      </c>
      <c r="T4328" t="s">
        <v>11183</v>
      </c>
      <c r="V4328" t="s">
        <v>707</v>
      </c>
      <c r="W4328">
        <v>1507.97</v>
      </c>
      <c r="X4328" t="s">
        <v>11335</v>
      </c>
      <c r="Y4328" t="s">
        <v>11340</v>
      </c>
      <c r="Z4328" t="s">
        <v>14066</v>
      </c>
      <c r="AB4328" t="s">
        <v>18528</v>
      </c>
      <c r="AC4328">
        <v>0</v>
      </c>
      <c r="AD4328" t="s">
        <v>15441</v>
      </c>
      <c r="AE4328" t="s">
        <v>9144</v>
      </c>
      <c r="AF4328">
        <v>15</v>
      </c>
      <c r="AG4328">
        <v>4</v>
      </c>
      <c r="AH4328">
        <v>2</v>
      </c>
      <c r="AI4328">
        <v>164.16</v>
      </c>
      <c r="AL4328" t="s">
        <v>19615</v>
      </c>
      <c r="AM4328">
        <v>55387</v>
      </c>
      <c r="AS4328">
        <v>3.25</v>
      </c>
      <c r="AT4328" t="s">
        <v>265</v>
      </c>
      <c r="AU4328" t="s">
        <v>20680</v>
      </c>
      <c r="AV4328" t="s">
        <v>20733</v>
      </c>
    </row>
    <row r="4329" spans="1:48">
      <c r="A4329" s="1">
        <f>HYPERLINK("https://lsnyc.legalserver.org/matter/dynamic-profile/view/0795225","15-0795225")</f>
        <v>0</v>
      </c>
      <c r="B4329" t="s">
        <v>49</v>
      </c>
      <c r="C4329" t="s">
        <v>256</v>
      </c>
      <c r="D4329" t="s">
        <v>895</v>
      </c>
      <c r="F4329" t="s">
        <v>2809</v>
      </c>
      <c r="G4329" t="s">
        <v>5072</v>
      </c>
      <c r="H4329" t="s">
        <v>5736</v>
      </c>
      <c r="I4329" t="s">
        <v>8142</v>
      </c>
      <c r="J4329" t="s">
        <v>9055</v>
      </c>
      <c r="K4329">
        <v>11354</v>
      </c>
      <c r="L4329" t="s">
        <v>9094</v>
      </c>
      <c r="M4329" t="s">
        <v>9095</v>
      </c>
      <c r="N4329" t="s">
        <v>9717</v>
      </c>
      <c r="O4329" t="s">
        <v>11135</v>
      </c>
      <c r="P4329" t="s">
        <v>11168</v>
      </c>
      <c r="R4329" t="s">
        <v>11180</v>
      </c>
      <c r="T4329" t="s">
        <v>11183</v>
      </c>
      <c r="V4329" t="s">
        <v>303</v>
      </c>
      <c r="W4329">
        <v>1926</v>
      </c>
      <c r="X4329" t="s">
        <v>11331</v>
      </c>
      <c r="Y4329" t="s">
        <v>11342</v>
      </c>
      <c r="Z4329" t="s">
        <v>12205</v>
      </c>
      <c r="AB4329" t="s">
        <v>17056</v>
      </c>
      <c r="AC4329">
        <v>175</v>
      </c>
      <c r="AD4329" t="s">
        <v>19566</v>
      </c>
      <c r="AE4329" t="s">
        <v>9144</v>
      </c>
      <c r="AF4329">
        <v>3</v>
      </c>
      <c r="AG4329">
        <v>3</v>
      </c>
      <c r="AH4329">
        <v>0</v>
      </c>
      <c r="AI4329">
        <v>164.26</v>
      </c>
      <c r="AL4329" t="s">
        <v>19615</v>
      </c>
      <c r="AM4329">
        <v>33000</v>
      </c>
      <c r="AS4329">
        <v>0.35</v>
      </c>
      <c r="AT4329" t="s">
        <v>448</v>
      </c>
      <c r="AU4329" t="s">
        <v>20621</v>
      </c>
    </row>
    <row r="4330" spans="1:48">
      <c r="A4330" s="1">
        <f>HYPERLINK("https://lsnyc.legalserver.org/matter/dynamic-profile/view/1885588","18-1885588")</f>
        <v>0</v>
      </c>
      <c r="B4330" t="s">
        <v>113</v>
      </c>
      <c r="C4330" t="s">
        <v>257</v>
      </c>
      <c r="D4330" t="s">
        <v>848</v>
      </c>
      <c r="E4330" t="s">
        <v>301</v>
      </c>
      <c r="F4330" t="s">
        <v>1325</v>
      </c>
      <c r="G4330" t="s">
        <v>1193</v>
      </c>
      <c r="H4330" t="s">
        <v>5864</v>
      </c>
      <c r="I4330" t="s">
        <v>8219</v>
      </c>
      <c r="J4330" t="s">
        <v>9065</v>
      </c>
      <c r="K4330">
        <v>10460</v>
      </c>
      <c r="L4330" t="s">
        <v>9094</v>
      </c>
      <c r="M4330" t="s">
        <v>9094</v>
      </c>
      <c r="N4330" t="s">
        <v>9222</v>
      </c>
      <c r="O4330" t="s">
        <v>11130</v>
      </c>
      <c r="P4330" t="s">
        <v>11165</v>
      </c>
      <c r="Q4330" t="s">
        <v>11174</v>
      </c>
      <c r="R4330" t="s">
        <v>11180</v>
      </c>
      <c r="S4330" t="s">
        <v>9094</v>
      </c>
      <c r="T4330" t="s">
        <v>11183</v>
      </c>
      <c r="V4330" t="s">
        <v>512</v>
      </c>
      <c r="W4330">
        <v>485</v>
      </c>
      <c r="X4330" t="s">
        <v>11333</v>
      </c>
      <c r="Y4330" t="s">
        <v>11346</v>
      </c>
      <c r="Z4330" t="s">
        <v>11568</v>
      </c>
      <c r="AB4330" t="s">
        <v>16060</v>
      </c>
      <c r="AC4330">
        <v>169</v>
      </c>
      <c r="AE4330" t="s">
        <v>19580</v>
      </c>
      <c r="AF4330">
        <v>12</v>
      </c>
      <c r="AG4330">
        <v>1</v>
      </c>
      <c r="AH4330">
        <v>1</v>
      </c>
      <c r="AI4330">
        <v>164.28</v>
      </c>
      <c r="AL4330" t="s">
        <v>19614</v>
      </c>
      <c r="AM4330">
        <v>27040</v>
      </c>
      <c r="AS4330">
        <v>2.45</v>
      </c>
      <c r="AT4330" t="s">
        <v>301</v>
      </c>
      <c r="AU4330" t="s">
        <v>163</v>
      </c>
    </row>
    <row r="4331" spans="1:48">
      <c r="A4331" s="1">
        <f>HYPERLINK("https://lsnyc.legalserver.org/matter/dynamic-profile/view/1887430","19-1887430")</f>
        <v>0</v>
      </c>
      <c r="B4331" t="s">
        <v>115</v>
      </c>
      <c r="C4331" t="s">
        <v>256</v>
      </c>
      <c r="D4331" t="s">
        <v>604</v>
      </c>
      <c r="F4331" t="s">
        <v>1325</v>
      </c>
      <c r="G4331" t="s">
        <v>1193</v>
      </c>
      <c r="H4331" t="s">
        <v>5864</v>
      </c>
      <c r="I4331" t="s">
        <v>8219</v>
      </c>
      <c r="J4331" t="s">
        <v>9065</v>
      </c>
      <c r="K4331">
        <v>10460</v>
      </c>
      <c r="L4331" t="s">
        <v>9094</v>
      </c>
      <c r="M4331" t="s">
        <v>9094</v>
      </c>
      <c r="N4331" t="s">
        <v>10688</v>
      </c>
      <c r="O4331" t="s">
        <v>11129</v>
      </c>
      <c r="P4331" t="s">
        <v>11165</v>
      </c>
      <c r="R4331" t="s">
        <v>11180</v>
      </c>
      <c r="T4331" t="s">
        <v>11183</v>
      </c>
      <c r="U4331" t="s">
        <v>11199</v>
      </c>
      <c r="V4331" t="s">
        <v>494</v>
      </c>
      <c r="W4331">
        <v>485</v>
      </c>
      <c r="X4331" t="s">
        <v>11333</v>
      </c>
      <c r="Y4331" t="s">
        <v>11346</v>
      </c>
      <c r="Z4331" t="s">
        <v>11568</v>
      </c>
      <c r="AB4331" t="s">
        <v>16060</v>
      </c>
      <c r="AC4331">
        <v>169</v>
      </c>
      <c r="AE4331" t="s">
        <v>19580</v>
      </c>
      <c r="AF4331">
        <v>12</v>
      </c>
      <c r="AG4331">
        <v>1</v>
      </c>
      <c r="AH4331">
        <v>1</v>
      </c>
      <c r="AI4331">
        <v>164.28</v>
      </c>
      <c r="AL4331" t="s">
        <v>19614</v>
      </c>
      <c r="AM4331">
        <v>27040</v>
      </c>
      <c r="AS4331">
        <v>99.5</v>
      </c>
      <c r="AT4331" t="s">
        <v>1130</v>
      </c>
      <c r="AU4331" t="s">
        <v>163</v>
      </c>
    </row>
    <row r="4332" spans="1:48">
      <c r="A4332" s="1">
        <f>HYPERLINK("https://lsnyc.legalserver.org/matter/dynamic-profile/view/1906762","19-1906762")</f>
        <v>0</v>
      </c>
      <c r="B4332" t="s">
        <v>141</v>
      </c>
      <c r="C4332" t="s">
        <v>257</v>
      </c>
      <c r="D4332" t="s">
        <v>474</v>
      </c>
      <c r="E4332" t="s">
        <v>594</v>
      </c>
      <c r="F4332" t="s">
        <v>2598</v>
      </c>
      <c r="G4332" t="s">
        <v>2961</v>
      </c>
      <c r="H4332" t="s">
        <v>7533</v>
      </c>
      <c r="I4332">
        <v>12</v>
      </c>
      <c r="J4332" t="s">
        <v>9067</v>
      </c>
      <c r="K4332">
        <v>10034</v>
      </c>
      <c r="L4332" t="s">
        <v>9094</v>
      </c>
      <c r="M4332" t="s">
        <v>9095</v>
      </c>
      <c r="N4332" t="s">
        <v>10689</v>
      </c>
      <c r="O4332" t="s">
        <v>11129</v>
      </c>
      <c r="P4332" t="s">
        <v>11165</v>
      </c>
      <c r="Q4332" t="s">
        <v>11174</v>
      </c>
      <c r="R4332" t="s">
        <v>11180</v>
      </c>
      <c r="S4332" t="s">
        <v>9096</v>
      </c>
      <c r="T4332" t="s">
        <v>11183</v>
      </c>
      <c r="U4332" t="s">
        <v>11201</v>
      </c>
      <c r="V4332" t="s">
        <v>474</v>
      </c>
      <c r="W4332">
        <v>889</v>
      </c>
      <c r="X4332" t="s">
        <v>11335</v>
      </c>
      <c r="Y4332" t="s">
        <v>11340</v>
      </c>
      <c r="Z4332" t="s">
        <v>14205</v>
      </c>
      <c r="AB4332" t="s">
        <v>18529</v>
      </c>
      <c r="AC4332">
        <v>22</v>
      </c>
      <c r="AD4332" t="s">
        <v>19566</v>
      </c>
      <c r="AE4332" t="s">
        <v>19580</v>
      </c>
      <c r="AF4332">
        <v>27</v>
      </c>
      <c r="AG4332">
        <v>3</v>
      </c>
      <c r="AH4332">
        <v>0</v>
      </c>
      <c r="AI4332">
        <v>164.41</v>
      </c>
      <c r="AL4332" t="s">
        <v>19615</v>
      </c>
      <c r="AM4332">
        <v>35068.8</v>
      </c>
      <c r="AS4332">
        <v>12.3</v>
      </c>
      <c r="AT4332" t="s">
        <v>331</v>
      </c>
      <c r="AU4332" t="s">
        <v>130</v>
      </c>
      <c r="AV4332" t="s">
        <v>20733</v>
      </c>
    </row>
    <row r="4333" spans="1:48">
      <c r="A4333" s="1">
        <f>HYPERLINK("https://lsnyc.legalserver.org/matter/dynamic-profile/view/1906955","19-1906955")</f>
        <v>0</v>
      </c>
      <c r="B4333" t="s">
        <v>117</v>
      </c>
      <c r="C4333" t="s">
        <v>256</v>
      </c>
      <c r="D4333" t="s">
        <v>370</v>
      </c>
      <c r="F4333" t="s">
        <v>2444</v>
      </c>
      <c r="G4333" t="s">
        <v>4686</v>
      </c>
      <c r="H4333" t="s">
        <v>5899</v>
      </c>
      <c r="I4333" t="s">
        <v>8169</v>
      </c>
      <c r="J4333" t="s">
        <v>9065</v>
      </c>
      <c r="K4333">
        <v>10452</v>
      </c>
      <c r="L4333" t="s">
        <v>9094</v>
      </c>
      <c r="M4333" t="s">
        <v>9095</v>
      </c>
      <c r="R4333" t="s">
        <v>11180</v>
      </c>
      <c r="S4333" t="s">
        <v>9094</v>
      </c>
      <c r="T4333" t="s">
        <v>11183</v>
      </c>
      <c r="W4333">
        <v>979.97</v>
      </c>
      <c r="X4333" t="s">
        <v>11333</v>
      </c>
      <c r="Y4333" t="s">
        <v>11339</v>
      </c>
      <c r="Z4333" t="s">
        <v>13488</v>
      </c>
      <c r="AB4333" t="s">
        <v>17824</v>
      </c>
      <c r="AC4333">
        <v>65</v>
      </c>
      <c r="AD4333" t="s">
        <v>19566</v>
      </c>
      <c r="AE4333" t="s">
        <v>9144</v>
      </c>
      <c r="AF4333">
        <v>45</v>
      </c>
      <c r="AG4333">
        <v>1</v>
      </c>
      <c r="AH4333">
        <v>0</v>
      </c>
      <c r="AI4333">
        <v>164.68</v>
      </c>
      <c r="AL4333" t="s">
        <v>19614</v>
      </c>
      <c r="AM4333">
        <v>20569.08</v>
      </c>
      <c r="AS4333">
        <v>0</v>
      </c>
      <c r="AU4333" t="s">
        <v>220</v>
      </c>
    </row>
    <row r="4334" spans="1:48">
      <c r="A4334" s="1">
        <f>HYPERLINK("https://lsnyc.legalserver.org/matter/dynamic-profile/view/1914954","19-1914954")</f>
        <v>0</v>
      </c>
      <c r="B4334" t="s">
        <v>117</v>
      </c>
      <c r="C4334" t="s">
        <v>256</v>
      </c>
      <c r="D4334" t="s">
        <v>331</v>
      </c>
      <c r="F4334" t="s">
        <v>2444</v>
      </c>
      <c r="G4334" t="s">
        <v>4686</v>
      </c>
      <c r="H4334" t="s">
        <v>5899</v>
      </c>
      <c r="I4334" t="s">
        <v>8169</v>
      </c>
      <c r="J4334" t="s">
        <v>9065</v>
      </c>
      <c r="K4334">
        <v>10452</v>
      </c>
      <c r="L4334" t="s">
        <v>9095</v>
      </c>
      <c r="M4334" t="s">
        <v>9095</v>
      </c>
      <c r="R4334" t="s">
        <v>11180</v>
      </c>
      <c r="S4334" t="s">
        <v>9094</v>
      </c>
      <c r="T4334" t="s">
        <v>11183</v>
      </c>
      <c r="W4334">
        <v>979.97</v>
      </c>
      <c r="X4334" t="s">
        <v>11333</v>
      </c>
      <c r="Y4334" t="s">
        <v>11346</v>
      </c>
      <c r="Z4334" t="s">
        <v>13488</v>
      </c>
      <c r="AB4334" t="s">
        <v>17824</v>
      </c>
      <c r="AC4334">
        <v>65</v>
      </c>
      <c r="AD4334" t="s">
        <v>19566</v>
      </c>
      <c r="AF4334">
        <v>45</v>
      </c>
      <c r="AG4334">
        <v>1</v>
      </c>
      <c r="AH4334">
        <v>0</v>
      </c>
      <c r="AI4334">
        <v>164.68</v>
      </c>
      <c r="AL4334" t="s">
        <v>19614</v>
      </c>
      <c r="AM4334">
        <v>20569.08</v>
      </c>
      <c r="AS4334">
        <v>0</v>
      </c>
      <c r="AU4334" t="s">
        <v>20647</v>
      </c>
    </row>
    <row r="4335" spans="1:48">
      <c r="A4335" s="1">
        <f>HYPERLINK("https://lsnyc.legalserver.org/matter/dynamic-profile/view/1886099","18-1886099")</f>
        <v>0</v>
      </c>
      <c r="B4335" t="s">
        <v>113</v>
      </c>
      <c r="C4335" t="s">
        <v>256</v>
      </c>
      <c r="D4335" t="s">
        <v>397</v>
      </c>
      <c r="F4335" t="s">
        <v>2059</v>
      </c>
      <c r="G4335" t="s">
        <v>5073</v>
      </c>
      <c r="H4335" t="s">
        <v>5892</v>
      </c>
      <c r="I4335" t="s">
        <v>8682</v>
      </c>
      <c r="J4335" t="s">
        <v>9065</v>
      </c>
      <c r="K4335">
        <v>10453</v>
      </c>
      <c r="L4335" t="s">
        <v>9094</v>
      </c>
      <c r="M4335" t="s">
        <v>9094</v>
      </c>
      <c r="O4335" t="s">
        <v>9121</v>
      </c>
      <c r="P4335" t="s">
        <v>11167</v>
      </c>
      <c r="R4335" t="s">
        <v>11180</v>
      </c>
      <c r="S4335" t="s">
        <v>9094</v>
      </c>
      <c r="T4335" t="s">
        <v>11183</v>
      </c>
      <c r="V4335" t="s">
        <v>11218</v>
      </c>
      <c r="W4335">
        <v>1366.88</v>
      </c>
      <c r="X4335" t="s">
        <v>11333</v>
      </c>
      <c r="Y4335" t="s">
        <v>11346</v>
      </c>
      <c r="Z4335" t="s">
        <v>14206</v>
      </c>
      <c r="AB4335" t="s">
        <v>18530</v>
      </c>
      <c r="AC4335">
        <v>99</v>
      </c>
      <c r="AD4335" t="s">
        <v>19566</v>
      </c>
      <c r="AE4335" t="s">
        <v>9144</v>
      </c>
      <c r="AF4335">
        <v>2</v>
      </c>
      <c r="AG4335">
        <v>1</v>
      </c>
      <c r="AH4335">
        <v>0</v>
      </c>
      <c r="AI4335">
        <v>164.74</v>
      </c>
      <c r="AL4335" t="s">
        <v>19614</v>
      </c>
      <c r="AM4335">
        <v>20000</v>
      </c>
      <c r="AS4335">
        <v>7</v>
      </c>
      <c r="AT4335" t="s">
        <v>454</v>
      </c>
      <c r="AU4335" t="s">
        <v>20647</v>
      </c>
      <c r="AV4335" t="s">
        <v>20733</v>
      </c>
    </row>
    <row r="4336" spans="1:48">
      <c r="A4336" s="1">
        <f>HYPERLINK("https://lsnyc.legalserver.org/matter/dynamic-profile/view/1888303","19-1888303")</f>
        <v>0</v>
      </c>
      <c r="B4336" t="s">
        <v>113</v>
      </c>
      <c r="C4336" t="s">
        <v>257</v>
      </c>
      <c r="D4336" t="s">
        <v>540</v>
      </c>
      <c r="E4336" t="s">
        <v>333</v>
      </c>
      <c r="F4336" t="s">
        <v>2059</v>
      </c>
      <c r="G4336" t="s">
        <v>5073</v>
      </c>
      <c r="H4336" t="s">
        <v>5892</v>
      </c>
      <c r="I4336" t="s">
        <v>8682</v>
      </c>
      <c r="J4336" t="s">
        <v>9065</v>
      </c>
      <c r="K4336">
        <v>10453</v>
      </c>
      <c r="L4336" t="s">
        <v>9094</v>
      </c>
      <c r="M4336" t="s">
        <v>9094</v>
      </c>
      <c r="N4336" t="s">
        <v>10690</v>
      </c>
      <c r="O4336" t="s">
        <v>11129</v>
      </c>
      <c r="P4336" t="s">
        <v>11165</v>
      </c>
      <c r="Q4336" t="s">
        <v>11174</v>
      </c>
      <c r="R4336" t="s">
        <v>11180</v>
      </c>
      <c r="S4336" t="s">
        <v>9096</v>
      </c>
      <c r="T4336" t="s">
        <v>11183</v>
      </c>
      <c r="V4336" t="s">
        <v>596</v>
      </c>
      <c r="W4336">
        <v>1366.88</v>
      </c>
      <c r="X4336" t="s">
        <v>11333</v>
      </c>
      <c r="Y4336" t="s">
        <v>11347</v>
      </c>
      <c r="Z4336" t="s">
        <v>14206</v>
      </c>
      <c r="AB4336" t="s">
        <v>18530</v>
      </c>
      <c r="AC4336">
        <v>99</v>
      </c>
      <c r="AD4336" t="s">
        <v>19566</v>
      </c>
      <c r="AE4336" t="s">
        <v>9144</v>
      </c>
      <c r="AF4336">
        <v>2</v>
      </c>
      <c r="AG4336">
        <v>1</v>
      </c>
      <c r="AH4336">
        <v>0</v>
      </c>
      <c r="AI4336">
        <v>164.74</v>
      </c>
      <c r="AL4336" t="s">
        <v>19614</v>
      </c>
      <c r="AM4336">
        <v>20000</v>
      </c>
      <c r="AN4336" t="s">
        <v>20015</v>
      </c>
      <c r="AS4336">
        <v>1</v>
      </c>
      <c r="AT4336" t="s">
        <v>350</v>
      </c>
      <c r="AU4336" t="s">
        <v>20647</v>
      </c>
      <c r="AV4336" t="s">
        <v>20733</v>
      </c>
    </row>
    <row r="4337" spans="1:48">
      <c r="A4337" s="1">
        <f>HYPERLINK("https://lsnyc.legalserver.org/matter/dynamic-profile/view/1874448","18-1874448")</f>
        <v>0</v>
      </c>
      <c r="B4337" t="s">
        <v>140</v>
      </c>
      <c r="C4337" t="s">
        <v>256</v>
      </c>
      <c r="D4337" t="s">
        <v>260</v>
      </c>
      <c r="F4337" t="s">
        <v>1152</v>
      </c>
      <c r="G4337" t="s">
        <v>3720</v>
      </c>
      <c r="H4337" t="s">
        <v>7148</v>
      </c>
      <c r="I4337" t="s">
        <v>8212</v>
      </c>
      <c r="J4337" t="s">
        <v>9067</v>
      </c>
      <c r="K4337">
        <v>10034</v>
      </c>
      <c r="L4337" t="s">
        <v>9094</v>
      </c>
      <c r="M4337" t="s">
        <v>9095</v>
      </c>
      <c r="O4337" t="s">
        <v>9121</v>
      </c>
      <c r="P4337" t="s">
        <v>11168</v>
      </c>
      <c r="R4337" t="s">
        <v>11180</v>
      </c>
      <c r="S4337" t="s">
        <v>9096</v>
      </c>
      <c r="T4337" t="s">
        <v>11183</v>
      </c>
      <c r="V4337" t="s">
        <v>260</v>
      </c>
      <c r="W4337">
        <v>1634</v>
      </c>
      <c r="X4337" t="s">
        <v>11335</v>
      </c>
      <c r="Y4337" t="s">
        <v>11338</v>
      </c>
      <c r="Z4337" t="s">
        <v>11714</v>
      </c>
      <c r="AB4337" t="s">
        <v>18485</v>
      </c>
      <c r="AC4337">
        <v>20</v>
      </c>
      <c r="AD4337" t="s">
        <v>15441</v>
      </c>
      <c r="AE4337" t="s">
        <v>9144</v>
      </c>
      <c r="AF4337">
        <v>5</v>
      </c>
      <c r="AG4337">
        <v>1</v>
      </c>
      <c r="AH4337">
        <v>0</v>
      </c>
      <c r="AI4337">
        <v>164.74</v>
      </c>
      <c r="AL4337" t="s">
        <v>19614</v>
      </c>
      <c r="AM4337">
        <v>20000</v>
      </c>
      <c r="AS4337">
        <v>9.25</v>
      </c>
      <c r="AT4337" t="s">
        <v>404</v>
      </c>
      <c r="AU4337" t="s">
        <v>20635</v>
      </c>
      <c r="AV4337" t="s">
        <v>20733</v>
      </c>
    </row>
    <row r="4338" spans="1:48">
      <c r="A4338" s="1">
        <f>HYPERLINK("https://lsnyc.legalserver.org/matter/dynamic-profile/view/1854705","17-1854705")</f>
        <v>0</v>
      </c>
      <c r="B4338" t="s">
        <v>101</v>
      </c>
      <c r="C4338" t="s">
        <v>256</v>
      </c>
      <c r="D4338" t="s">
        <v>990</v>
      </c>
      <c r="F4338" t="s">
        <v>1750</v>
      </c>
      <c r="G4338" t="s">
        <v>3510</v>
      </c>
      <c r="H4338" t="s">
        <v>6041</v>
      </c>
      <c r="I4338" t="s">
        <v>8229</v>
      </c>
      <c r="J4338" t="s">
        <v>9065</v>
      </c>
      <c r="K4338">
        <v>10452</v>
      </c>
      <c r="L4338" t="s">
        <v>9094</v>
      </c>
      <c r="M4338" t="s">
        <v>9095</v>
      </c>
      <c r="N4338" t="s">
        <v>9356</v>
      </c>
      <c r="O4338" t="s">
        <v>11135</v>
      </c>
      <c r="P4338" t="s">
        <v>11168</v>
      </c>
      <c r="R4338" t="s">
        <v>11180</v>
      </c>
      <c r="S4338" t="s">
        <v>9094</v>
      </c>
      <c r="T4338" t="s">
        <v>11183</v>
      </c>
      <c r="V4338" t="s">
        <v>1122</v>
      </c>
      <c r="W4338">
        <v>1642.54</v>
      </c>
      <c r="X4338" t="s">
        <v>11333</v>
      </c>
      <c r="Y4338" t="s">
        <v>11346</v>
      </c>
      <c r="Z4338" t="s">
        <v>14207</v>
      </c>
      <c r="AB4338" t="s">
        <v>18531</v>
      </c>
      <c r="AC4338">
        <v>62</v>
      </c>
      <c r="AD4338" t="s">
        <v>19566</v>
      </c>
      <c r="AE4338" t="s">
        <v>19580</v>
      </c>
      <c r="AF4338">
        <v>15</v>
      </c>
      <c r="AG4338">
        <v>3</v>
      </c>
      <c r="AH4338">
        <v>0</v>
      </c>
      <c r="AI4338">
        <v>164.93</v>
      </c>
      <c r="AL4338" t="s">
        <v>19615</v>
      </c>
      <c r="AM4338">
        <v>33677.8</v>
      </c>
      <c r="AS4338">
        <v>0.6</v>
      </c>
      <c r="AT4338" t="s">
        <v>990</v>
      </c>
      <c r="AU4338" t="s">
        <v>174</v>
      </c>
    </row>
    <row r="4339" spans="1:48">
      <c r="A4339" s="1">
        <f>HYPERLINK("https://lsnyc.legalserver.org/matter/dynamic-profile/view/1853335","17-1853335")</f>
        <v>0</v>
      </c>
      <c r="B4339" t="s">
        <v>114</v>
      </c>
      <c r="C4339" t="s">
        <v>256</v>
      </c>
      <c r="D4339" t="s">
        <v>449</v>
      </c>
      <c r="F4339" t="s">
        <v>2810</v>
      </c>
      <c r="G4339" t="s">
        <v>5074</v>
      </c>
      <c r="H4339" t="s">
        <v>5889</v>
      </c>
      <c r="I4339" t="s">
        <v>8842</v>
      </c>
      <c r="J4339" t="s">
        <v>9065</v>
      </c>
      <c r="K4339">
        <v>10453</v>
      </c>
      <c r="L4339" t="s">
        <v>9094</v>
      </c>
      <c r="M4339" t="s">
        <v>9095</v>
      </c>
      <c r="N4339" t="s">
        <v>9241</v>
      </c>
      <c r="O4339" t="s">
        <v>11135</v>
      </c>
      <c r="P4339" t="s">
        <v>11168</v>
      </c>
      <c r="R4339" t="s">
        <v>11180</v>
      </c>
      <c r="S4339" t="s">
        <v>9094</v>
      </c>
      <c r="T4339" t="s">
        <v>11183</v>
      </c>
      <c r="V4339" t="s">
        <v>11223</v>
      </c>
      <c r="W4339">
        <v>836.0700000000001</v>
      </c>
      <c r="X4339" t="s">
        <v>11333</v>
      </c>
      <c r="Y4339" t="s">
        <v>11346</v>
      </c>
      <c r="Z4339" t="s">
        <v>14208</v>
      </c>
      <c r="AB4339" t="s">
        <v>18532</v>
      </c>
      <c r="AC4339">
        <v>21</v>
      </c>
      <c r="AD4339" t="s">
        <v>19566</v>
      </c>
      <c r="AE4339" t="s">
        <v>9144</v>
      </c>
      <c r="AF4339">
        <v>0</v>
      </c>
      <c r="AG4339">
        <v>2</v>
      </c>
      <c r="AH4339">
        <v>1</v>
      </c>
      <c r="AI4339">
        <v>165.01</v>
      </c>
      <c r="AL4339" t="s">
        <v>19615</v>
      </c>
      <c r="AM4339">
        <v>33696</v>
      </c>
      <c r="AS4339">
        <v>10.25</v>
      </c>
      <c r="AT4339" t="s">
        <v>376</v>
      </c>
      <c r="AU4339" t="s">
        <v>20645</v>
      </c>
    </row>
    <row r="4340" spans="1:48">
      <c r="A4340" s="1">
        <f>HYPERLINK("https://lsnyc.legalserver.org/matter/dynamic-profile/view/1906683","19-1906683")</f>
        <v>0</v>
      </c>
      <c r="B4340" t="s">
        <v>98</v>
      </c>
      <c r="C4340" t="s">
        <v>256</v>
      </c>
      <c r="D4340" t="s">
        <v>333</v>
      </c>
      <c r="F4340" t="s">
        <v>2811</v>
      </c>
      <c r="G4340" t="s">
        <v>5075</v>
      </c>
      <c r="H4340" t="s">
        <v>7658</v>
      </c>
      <c r="I4340" t="s">
        <v>8265</v>
      </c>
      <c r="J4340" t="s">
        <v>9065</v>
      </c>
      <c r="K4340">
        <v>10462</v>
      </c>
      <c r="L4340" t="s">
        <v>9095</v>
      </c>
      <c r="M4340" t="s">
        <v>9095</v>
      </c>
      <c r="N4340" t="s">
        <v>10691</v>
      </c>
      <c r="O4340" t="s">
        <v>11155</v>
      </c>
      <c r="P4340" t="s">
        <v>11168</v>
      </c>
      <c r="R4340" t="s">
        <v>11180</v>
      </c>
      <c r="S4340" t="s">
        <v>9096</v>
      </c>
      <c r="T4340" t="s">
        <v>11192</v>
      </c>
      <c r="W4340">
        <v>1600</v>
      </c>
      <c r="X4340" t="s">
        <v>11333</v>
      </c>
      <c r="Y4340" t="s">
        <v>11350</v>
      </c>
      <c r="Z4340" t="s">
        <v>14209</v>
      </c>
      <c r="AB4340" t="s">
        <v>18533</v>
      </c>
      <c r="AC4340">
        <v>40</v>
      </c>
      <c r="AD4340" t="s">
        <v>15441</v>
      </c>
      <c r="AE4340" t="s">
        <v>19580</v>
      </c>
      <c r="AF4340">
        <v>1</v>
      </c>
      <c r="AG4340">
        <v>2</v>
      </c>
      <c r="AH4340">
        <v>0</v>
      </c>
      <c r="AI4340">
        <v>165.42</v>
      </c>
      <c r="AL4340" t="s">
        <v>19614</v>
      </c>
      <c r="AM4340">
        <v>27972</v>
      </c>
      <c r="AS4340">
        <v>11</v>
      </c>
      <c r="AT4340" t="s">
        <v>833</v>
      </c>
      <c r="AU4340" t="s">
        <v>220</v>
      </c>
    </row>
    <row r="4341" spans="1:48">
      <c r="A4341" s="1">
        <f>HYPERLINK("https://lsnyc.legalserver.org/matter/dynamic-profile/view/1903614","19-1903614")</f>
        <v>0</v>
      </c>
      <c r="B4341" t="s">
        <v>143</v>
      </c>
      <c r="C4341" t="s">
        <v>257</v>
      </c>
      <c r="D4341" t="s">
        <v>700</v>
      </c>
      <c r="E4341" t="s">
        <v>307</v>
      </c>
      <c r="F4341" t="s">
        <v>2091</v>
      </c>
      <c r="G4341" t="s">
        <v>3589</v>
      </c>
      <c r="H4341" t="s">
        <v>7659</v>
      </c>
      <c r="I4341" t="s">
        <v>8216</v>
      </c>
      <c r="J4341" t="s">
        <v>9067</v>
      </c>
      <c r="K4341">
        <v>10017</v>
      </c>
      <c r="L4341" t="s">
        <v>9094</v>
      </c>
      <c r="M4341" t="s">
        <v>9095</v>
      </c>
      <c r="N4341" t="s">
        <v>10692</v>
      </c>
      <c r="O4341" t="s">
        <v>11129</v>
      </c>
      <c r="P4341" t="s">
        <v>11164</v>
      </c>
      <c r="Q4341" t="s">
        <v>11172</v>
      </c>
      <c r="R4341" t="s">
        <v>11180</v>
      </c>
      <c r="S4341" t="s">
        <v>9096</v>
      </c>
      <c r="T4341" t="s">
        <v>11183</v>
      </c>
      <c r="U4341" t="s">
        <v>11201</v>
      </c>
      <c r="V4341" t="s">
        <v>700</v>
      </c>
      <c r="W4341">
        <v>1420.95</v>
      </c>
      <c r="X4341" t="s">
        <v>11335</v>
      </c>
      <c r="Y4341" t="s">
        <v>11336</v>
      </c>
      <c r="Z4341" t="s">
        <v>14210</v>
      </c>
      <c r="AB4341" t="s">
        <v>18534</v>
      </c>
      <c r="AC4341">
        <v>28</v>
      </c>
      <c r="AD4341" t="s">
        <v>19569</v>
      </c>
      <c r="AE4341" t="s">
        <v>9144</v>
      </c>
      <c r="AF4341">
        <v>51</v>
      </c>
      <c r="AG4341">
        <v>1</v>
      </c>
      <c r="AH4341">
        <v>0</v>
      </c>
      <c r="AI4341">
        <v>165.49</v>
      </c>
      <c r="AL4341" t="s">
        <v>19614</v>
      </c>
      <c r="AM4341">
        <v>20670</v>
      </c>
      <c r="AS4341">
        <v>0.1</v>
      </c>
      <c r="AT4341" t="s">
        <v>700</v>
      </c>
      <c r="AU4341" t="s">
        <v>20657</v>
      </c>
      <c r="AV4341" t="s">
        <v>20733</v>
      </c>
    </row>
    <row r="4342" spans="1:48">
      <c r="A4342" s="1">
        <f>HYPERLINK("https://lsnyc.legalserver.org/matter/dynamic-profile/view/1857623","18-1857623")</f>
        <v>0</v>
      </c>
      <c r="B4342" t="s">
        <v>122</v>
      </c>
      <c r="C4342" t="s">
        <v>257</v>
      </c>
      <c r="D4342" t="s">
        <v>755</v>
      </c>
      <c r="E4342" t="s">
        <v>416</v>
      </c>
      <c r="F4342" t="s">
        <v>2812</v>
      </c>
      <c r="G4342" t="s">
        <v>4282</v>
      </c>
      <c r="H4342" t="s">
        <v>6444</v>
      </c>
      <c r="I4342" t="s">
        <v>8119</v>
      </c>
      <c r="J4342" t="s">
        <v>9066</v>
      </c>
      <c r="K4342">
        <v>10304</v>
      </c>
      <c r="L4342" t="s">
        <v>9094</v>
      </c>
      <c r="M4342" t="s">
        <v>9095</v>
      </c>
      <c r="N4342" t="s">
        <v>9102</v>
      </c>
      <c r="O4342" t="s">
        <v>11137</v>
      </c>
      <c r="P4342" t="s">
        <v>11166</v>
      </c>
      <c r="Q4342" t="s">
        <v>11176</v>
      </c>
      <c r="R4342" t="s">
        <v>11180</v>
      </c>
      <c r="S4342" t="s">
        <v>9094</v>
      </c>
      <c r="T4342" t="s">
        <v>11183</v>
      </c>
      <c r="U4342" t="s">
        <v>11201</v>
      </c>
      <c r="V4342" t="s">
        <v>755</v>
      </c>
      <c r="W4342">
        <v>0</v>
      </c>
      <c r="X4342" t="s">
        <v>11334</v>
      </c>
      <c r="Y4342" t="s">
        <v>11346</v>
      </c>
      <c r="Z4342" t="s">
        <v>14211</v>
      </c>
      <c r="AB4342" t="s">
        <v>18535</v>
      </c>
      <c r="AC4342">
        <v>86</v>
      </c>
      <c r="AD4342" t="s">
        <v>19566</v>
      </c>
      <c r="AE4342" t="s">
        <v>19580</v>
      </c>
      <c r="AF4342">
        <v>18</v>
      </c>
      <c r="AG4342">
        <v>2</v>
      </c>
      <c r="AH4342">
        <v>0</v>
      </c>
      <c r="AI4342">
        <v>165.52</v>
      </c>
      <c r="AM4342">
        <v>26880</v>
      </c>
      <c r="AS4342">
        <v>0.85</v>
      </c>
      <c r="AT4342" t="s">
        <v>416</v>
      </c>
      <c r="AU4342" t="s">
        <v>128</v>
      </c>
      <c r="AV4342" t="s">
        <v>20733</v>
      </c>
    </row>
    <row r="4343" spans="1:48">
      <c r="A4343" s="1">
        <f>HYPERLINK("https://lsnyc.legalserver.org/matter/dynamic-profile/view/1906497","19-1906497")</f>
        <v>0</v>
      </c>
      <c r="B4343" t="s">
        <v>246</v>
      </c>
      <c r="C4343" t="s">
        <v>256</v>
      </c>
      <c r="D4343" t="s">
        <v>864</v>
      </c>
      <c r="F4343" t="s">
        <v>1197</v>
      </c>
      <c r="G4343" t="s">
        <v>3544</v>
      </c>
      <c r="H4343" t="s">
        <v>6853</v>
      </c>
      <c r="I4343" t="s">
        <v>8689</v>
      </c>
      <c r="J4343" t="s">
        <v>9038</v>
      </c>
      <c r="K4343">
        <v>11691</v>
      </c>
      <c r="L4343" t="s">
        <v>9094</v>
      </c>
      <c r="M4343" t="s">
        <v>9095</v>
      </c>
      <c r="N4343" t="s">
        <v>10693</v>
      </c>
      <c r="O4343" t="s">
        <v>11129</v>
      </c>
      <c r="P4343" t="s">
        <v>11164</v>
      </c>
      <c r="R4343" t="s">
        <v>11180</v>
      </c>
      <c r="S4343" t="s">
        <v>9096</v>
      </c>
      <c r="T4343" t="s">
        <v>11183</v>
      </c>
      <c r="U4343" t="s">
        <v>11198</v>
      </c>
      <c r="V4343" t="s">
        <v>864</v>
      </c>
      <c r="W4343">
        <v>1185</v>
      </c>
      <c r="X4343" t="s">
        <v>11331</v>
      </c>
      <c r="Y4343" t="s">
        <v>11336</v>
      </c>
      <c r="Z4343" t="s">
        <v>14212</v>
      </c>
      <c r="AB4343" t="s">
        <v>18536</v>
      </c>
      <c r="AC4343">
        <v>200</v>
      </c>
      <c r="AD4343" t="s">
        <v>19568</v>
      </c>
      <c r="AE4343" t="s">
        <v>19580</v>
      </c>
      <c r="AF4343">
        <v>2</v>
      </c>
      <c r="AG4343">
        <v>2</v>
      </c>
      <c r="AH4343">
        <v>0</v>
      </c>
      <c r="AI4343">
        <v>165.58</v>
      </c>
      <c r="AL4343" t="s">
        <v>19614</v>
      </c>
      <c r="AM4343">
        <v>28000</v>
      </c>
      <c r="AS4343">
        <v>1.85</v>
      </c>
      <c r="AT4343" t="s">
        <v>377</v>
      </c>
      <c r="AU4343" t="s">
        <v>20620</v>
      </c>
      <c r="AV4343" t="s">
        <v>20733</v>
      </c>
    </row>
    <row r="4344" spans="1:48">
      <c r="A4344" s="1">
        <f>HYPERLINK("https://lsnyc.legalserver.org/matter/dynamic-profile/view/1902312","19-1902312")</f>
        <v>0</v>
      </c>
      <c r="B4344" t="s">
        <v>55</v>
      </c>
      <c r="C4344" t="s">
        <v>256</v>
      </c>
      <c r="D4344" t="s">
        <v>268</v>
      </c>
      <c r="F4344" t="s">
        <v>2813</v>
      </c>
      <c r="G4344" t="s">
        <v>5076</v>
      </c>
      <c r="H4344" t="s">
        <v>7660</v>
      </c>
      <c r="I4344" t="s">
        <v>8114</v>
      </c>
      <c r="J4344" t="s">
        <v>9057</v>
      </c>
      <c r="K4344">
        <v>11361</v>
      </c>
      <c r="L4344" t="s">
        <v>9094</v>
      </c>
      <c r="M4344" t="s">
        <v>9095</v>
      </c>
      <c r="N4344" t="s">
        <v>10694</v>
      </c>
      <c r="O4344" t="s">
        <v>11128</v>
      </c>
      <c r="P4344" t="s">
        <v>11165</v>
      </c>
      <c r="R4344" t="s">
        <v>11180</v>
      </c>
      <c r="S4344" t="s">
        <v>9096</v>
      </c>
      <c r="T4344" t="s">
        <v>11183</v>
      </c>
      <c r="U4344" t="s">
        <v>11201</v>
      </c>
      <c r="V4344" t="s">
        <v>268</v>
      </c>
      <c r="W4344">
        <v>2150</v>
      </c>
      <c r="X4344" t="s">
        <v>11331</v>
      </c>
      <c r="Y4344" t="s">
        <v>11336</v>
      </c>
      <c r="Z4344" t="s">
        <v>14213</v>
      </c>
      <c r="AB4344" t="s">
        <v>18537</v>
      </c>
      <c r="AC4344">
        <v>26</v>
      </c>
      <c r="AD4344" t="s">
        <v>15441</v>
      </c>
      <c r="AE4344" t="s">
        <v>9144</v>
      </c>
      <c r="AF4344">
        <v>8</v>
      </c>
      <c r="AG4344">
        <v>1</v>
      </c>
      <c r="AH4344">
        <v>1</v>
      </c>
      <c r="AI4344">
        <v>165.58</v>
      </c>
      <c r="AL4344" t="s">
        <v>19614</v>
      </c>
      <c r="AM4344">
        <v>28000</v>
      </c>
      <c r="AS4344">
        <v>20.51</v>
      </c>
      <c r="AT4344" t="s">
        <v>612</v>
      </c>
      <c r="AU4344" t="s">
        <v>20620</v>
      </c>
      <c r="AV4344" t="s">
        <v>20733</v>
      </c>
    </row>
    <row r="4345" spans="1:48">
      <c r="A4345" s="1">
        <f>HYPERLINK("https://lsnyc.legalserver.org/matter/dynamic-profile/view/1905784","19-1905784")</f>
        <v>0</v>
      </c>
      <c r="B4345" t="s">
        <v>92</v>
      </c>
      <c r="C4345" t="s">
        <v>256</v>
      </c>
      <c r="D4345" t="s">
        <v>328</v>
      </c>
      <c r="F4345" t="s">
        <v>1147</v>
      </c>
      <c r="G4345" t="s">
        <v>5077</v>
      </c>
      <c r="H4345" t="s">
        <v>5808</v>
      </c>
      <c r="I4345" t="s">
        <v>8132</v>
      </c>
      <c r="J4345" t="s">
        <v>9059</v>
      </c>
      <c r="K4345">
        <v>11212</v>
      </c>
      <c r="L4345" t="s">
        <v>9094</v>
      </c>
      <c r="M4345" t="s">
        <v>9095</v>
      </c>
      <c r="N4345" t="s">
        <v>10695</v>
      </c>
      <c r="O4345" t="s">
        <v>11129</v>
      </c>
      <c r="P4345" t="s">
        <v>11165</v>
      </c>
      <c r="R4345" t="s">
        <v>11180</v>
      </c>
      <c r="S4345" t="s">
        <v>9094</v>
      </c>
      <c r="T4345" t="s">
        <v>11183</v>
      </c>
      <c r="U4345" t="s">
        <v>11201</v>
      </c>
      <c r="V4345" t="s">
        <v>512</v>
      </c>
      <c r="W4345">
        <v>625.95</v>
      </c>
      <c r="X4345" t="s">
        <v>11332</v>
      </c>
      <c r="Y4345" t="s">
        <v>11340</v>
      </c>
      <c r="Z4345" t="s">
        <v>14214</v>
      </c>
      <c r="AA4345" t="s">
        <v>9171</v>
      </c>
      <c r="AB4345" t="s">
        <v>18538</v>
      </c>
      <c r="AC4345">
        <v>8</v>
      </c>
      <c r="AD4345" t="s">
        <v>19566</v>
      </c>
      <c r="AE4345" t="s">
        <v>9144</v>
      </c>
      <c r="AF4345">
        <v>22</v>
      </c>
      <c r="AG4345">
        <v>2</v>
      </c>
      <c r="AH4345">
        <v>0</v>
      </c>
      <c r="AI4345">
        <v>165.58</v>
      </c>
      <c r="AL4345" t="s">
        <v>19614</v>
      </c>
      <c r="AM4345">
        <v>28000</v>
      </c>
      <c r="AN4345" t="s">
        <v>20016</v>
      </c>
      <c r="AS4345">
        <v>0</v>
      </c>
      <c r="AU4345" t="s">
        <v>95</v>
      </c>
      <c r="AV4345" t="s">
        <v>20733</v>
      </c>
    </row>
    <row r="4346" spans="1:48">
      <c r="A4346" s="1">
        <f>HYPERLINK("https://lsnyc.legalserver.org/matter/dynamic-profile/view/1895312","19-1895312")</f>
        <v>0</v>
      </c>
      <c r="B4346" t="s">
        <v>92</v>
      </c>
      <c r="C4346" t="s">
        <v>256</v>
      </c>
      <c r="D4346" t="s">
        <v>264</v>
      </c>
      <c r="F4346" t="s">
        <v>1147</v>
      </c>
      <c r="G4346" t="s">
        <v>5077</v>
      </c>
      <c r="H4346" t="s">
        <v>5808</v>
      </c>
      <c r="I4346" t="s">
        <v>8132</v>
      </c>
      <c r="J4346" t="s">
        <v>9059</v>
      </c>
      <c r="K4346">
        <v>11212</v>
      </c>
      <c r="L4346" t="s">
        <v>9094</v>
      </c>
      <c r="M4346" t="s">
        <v>9094</v>
      </c>
      <c r="N4346" t="s">
        <v>9182</v>
      </c>
      <c r="O4346" t="s">
        <v>11141</v>
      </c>
      <c r="P4346" t="s">
        <v>11165</v>
      </c>
      <c r="R4346" t="s">
        <v>11180</v>
      </c>
      <c r="S4346" t="s">
        <v>9094</v>
      </c>
      <c r="T4346" t="s">
        <v>11183</v>
      </c>
      <c r="V4346" t="s">
        <v>264</v>
      </c>
      <c r="W4346">
        <v>625.95</v>
      </c>
      <c r="X4346" t="s">
        <v>11332</v>
      </c>
      <c r="Y4346" t="s">
        <v>11339</v>
      </c>
      <c r="Z4346" t="s">
        <v>14214</v>
      </c>
      <c r="AA4346" t="s">
        <v>9171</v>
      </c>
      <c r="AB4346" t="s">
        <v>18538</v>
      </c>
      <c r="AC4346">
        <v>8</v>
      </c>
      <c r="AD4346" t="s">
        <v>19566</v>
      </c>
      <c r="AE4346" t="s">
        <v>9144</v>
      </c>
      <c r="AF4346">
        <v>22</v>
      </c>
      <c r="AG4346">
        <v>2</v>
      </c>
      <c r="AH4346">
        <v>0</v>
      </c>
      <c r="AI4346">
        <v>165.58</v>
      </c>
      <c r="AL4346" t="s">
        <v>19614</v>
      </c>
      <c r="AM4346">
        <v>28000</v>
      </c>
      <c r="AN4346" t="s">
        <v>20017</v>
      </c>
      <c r="AS4346">
        <v>0</v>
      </c>
      <c r="AU4346" t="s">
        <v>95</v>
      </c>
    </row>
    <row r="4347" spans="1:48">
      <c r="A4347" s="1">
        <f>HYPERLINK("https://lsnyc.legalserver.org/matter/dynamic-profile/view/1905783","19-1905783")</f>
        <v>0</v>
      </c>
      <c r="B4347" t="s">
        <v>92</v>
      </c>
      <c r="C4347" t="s">
        <v>256</v>
      </c>
      <c r="D4347" t="s">
        <v>328</v>
      </c>
      <c r="F4347" t="s">
        <v>1147</v>
      </c>
      <c r="G4347" t="s">
        <v>5077</v>
      </c>
      <c r="H4347" t="s">
        <v>5808</v>
      </c>
      <c r="I4347" t="s">
        <v>8132</v>
      </c>
      <c r="J4347" t="s">
        <v>9059</v>
      </c>
      <c r="K4347">
        <v>11212</v>
      </c>
      <c r="L4347" t="s">
        <v>9094</v>
      </c>
      <c r="M4347" t="s">
        <v>9095</v>
      </c>
      <c r="N4347" t="s">
        <v>9192</v>
      </c>
      <c r="O4347" t="s">
        <v>11141</v>
      </c>
      <c r="P4347" t="s">
        <v>11165</v>
      </c>
      <c r="R4347" t="s">
        <v>11180</v>
      </c>
      <c r="S4347" t="s">
        <v>9094</v>
      </c>
      <c r="T4347" t="s">
        <v>11185</v>
      </c>
      <c r="U4347" t="s">
        <v>11201</v>
      </c>
      <c r="V4347" t="s">
        <v>264</v>
      </c>
      <c r="W4347">
        <v>625.95</v>
      </c>
      <c r="X4347" t="s">
        <v>11332</v>
      </c>
      <c r="Y4347" t="s">
        <v>11340</v>
      </c>
      <c r="Z4347" t="s">
        <v>14214</v>
      </c>
      <c r="AA4347" t="s">
        <v>9171</v>
      </c>
      <c r="AB4347" t="s">
        <v>18538</v>
      </c>
      <c r="AC4347">
        <v>8</v>
      </c>
      <c r="AD4347" t="s">
        <v>19566</v>
      </c>
      <c r="AE4347" t="s">
        <v>9144</v>
      </c>
      <c r="AF4347">
        <v>22</v>
      </c>
      <c r="AG4347">
        <v>2</v>
      </c>
      <c r="AH4347">
        <v>0</v>
      </c>
      <c r="AI4347">
        <v>165.58</v>
      </c>
      <c r="AL4347" t="s">
        <v>19614</v>
      </c>
      <c r="AM4347">
        <v>28000</v>
      </c>
      <c r="AN4347" t="s">
        <v>20016</v>
      </c>
      <c r="AS4347">
        <v>0</v>
      </c>
      <c r="AU4347" t="s">
        <v>95</v>
      </c>
      <c r="AV4347" t="s">
        <v>20733</v>
      </c>
    </row>
    <row r="4348" spans="1:48">
      <c r="A4348" s="1">
        <f>HYPERLINK("https://lsnyc.legalserver.org/matter/dynamic-profile/view/1911458","19-1911458")</f>
        <v>0</v>
      </c>
      <c r="B4348" t="s">
        <v>147</v>
      </c>
      <c r="C4348" t="s">
        <v>256</v>
      </c>
      <c r="D4348" t="s">
        <v>362</v>
      </c>
      <c r="F4348" t="s">
        <v>1450</v>
      </c>
      <c r="G4348" t="s">
        <v>4258</v>
      </c>
      <c r="H4348" t="s">
        <v>7395</v>
      </c>
      <c r="I4348" t="s">
        <v>8843</v>
      </c>
      <c r="J4348" t="s">
        <v>9066</v>
      </c>
      <c r="K4348">
        <v>10301</v>
      </c>
      <c r="L4348" t="s">
        <v>9094</v>
      </c>
      <c r="M4348" t="s">
        <v>9095</v>
      </c>
      <c r="N4348" t="s">
        <v>9102</v>
      </c>
      <c r="O4348" t="s">
        <v>9121</v>
      </c>
      <c r="P4348" t="s">
        <v>11164</v>
      </c>
      <c r="R4348" t="s">
        <v>11180</v>
      </c>
      <c r="S4348" t="s">
        <v>9096</v>
      </c>
      <c r="T4348" t="s">
        <v>11183</v>
      </c>
      <c r="U4348" t="s">
        <v>11201</v>
      </c>
      <c r="V4348" t="s">
        <v>728</v>
      </c>
      <c r="W4348">
        <v>1595</v>
      </c>
      <c r="X4348" t="s">
        <v>11334</v>
      </c>
      <c r="Y4348" t="s">
        <v>11352</v>
      </c>
      <c r="Z4348" t="s">
        <v>14215</v>
      </c>
      <c r="AB4348" t="s">
        <v>18539</v>
      </c>
      <c r="AC4348">
        <v>224</v>
      </c>
      <c r="AD4348" t="s">
        <v>19567</v>
      </c>
      <c r="AE4348" t="s">
        <v>19580</v>
      </c>
      <c r="AF4348">
        <v>3</v>
      </c>
      <c r="AG4348">
        <v>1</v>
      </c>
      <c r="AH4348">
        <v>2</v>
      </c>
      <c r="AI4348">
        <v>165.78</v>
      </c>
      <c r="AL4348" t="s">
        <v>19614</v>
      </c>
      <c r="AM4348">
        <v>35360</v>
      </c>
      <c r="AS4348">
        <v>2.8</v>
      </c>
      <c r="AT4348" t="s">
        <v>487</v>
      </c>
      <c r="AU4348" t="s">
        <v>20638</v>
      </c>
      <c r="AV4348" t="s">
        <v>20733</v>
      </c>
    </row>
    <row r="4349" spans="1:48">
      <c r="A4349" s="1">
        <f>HYPERLINK("https://lsnyc.legalserver.org/matter/dynamic-profile/view/1903783","19-1903783")</f>
        <v>0</v>
      </c>
      <c r="B4349" t="s">
        <v>165</v>
      </c>
      <c r="C4349" t="s">
        <v>256</v>
      </c>
      <c r="D4349" t="s">
        <v>706</v>
      </c>
      <c r="F4349" t="s">
        <v>1943</v>
      </c>
      <c r="G4349" t="s">
        <v>4120</v>
      </c>
      <c r="H4349" t="s">
        <v>6588</v>
      </c>
      <c r="I4349" t="s">
        <v>8153</v>
      </c>
      <c r="J4349" t="s">
        <v>9059</v>
      </c>
      <c r="K4349">
        <v>11208</v>
      </c>
      <c r="L4349" t="s">
        <v>9094</v>
      </c>
      <c r="M4349" t="s">
        <v>9095</v>
      </c>
      <c r="N4349" t="s">
        <v>9154</v>
      </c>
      <c r="O4349" t="s">
        <v>11137</v>
      </c>
      <c r="P4349" t="s">
        <v>11167</v>
      </c>
      <c r="R4349" t="s">
        <v>11180</v>
      </c>
      <c r="S4349" t="s">
        <v>9096</v>
      </c>
      <c r="T4349" t="s">
        <v>11183</v>
      </c>
      <c r="U4349" t="s">
        <v>11201</v>
      </c>
      <c r="V4349" t="s">
        <v>706</v>
      </c>
      <c r="W4349">
        <v>1350</v>
      </c>
      <c r="X4349" t="s">
        <v>11332</v>
      </c>
      <c r="Y4349" t="s">
        <v>11340</v>
      </c>
      <c r="Z4349" t="s">
        <v>12481</v>
      </c>
      <c r="AA4349" t="s">
        <v>15860</v>
      </c>
      <c r="AB4349" t="s">
        <v>16882</v>
      </c>
      <c r="AC4349">
        <v>15</v>
      </c>
      <c r="AD4349" t="s">
        <v>19566</v>
      </c>
      <c r="AE4349" t="s">
        <v>9144</v>
      </c>
      <c r="AF4349">
        <v>2</v>
      </c>
      <c r="AG4349">
        <v>2</v>
      </c>
      <c r="AH4349">
        <v>3</v>
      </c>
      <c r="AI4349">
        <v>165.81</v>
      </c>
      <c r="AL4349" t="s">
        <v>19614</v>
      </c>
      <c r="AM4349">
        <v>50024</v>
      </c>
      <c r="AS4349">
        <v>0.1</v>
      </c>
      <c r="AT4349" t="s">
        <v>597</v>
      </c>
      <c r="AU4349" t="s">
        <v>95</v>
      </c>
      <c r="AV4349" t="s">
        <v>20734</v>
      </c>
    </row>
    <row r="4350" spans="1:48">
      <c r="A4350" s="1">
        <f>HYPERLINK("https://lsnyc.legalserver.org/matter/dynamic-profile/view/1841364","17-1841364")</f>
        <v>0</v>
      </c>
      <c r="B4350" t="s">
        <v>165</v>
      </c>
      <c r="C4350" t="s">
        <v>257</v>
      </c>
      <c r="D4350" t="s">
        <v>1010</v>
      </c>
      <c r="E4350" t="s">
        <v>498</v>
      </c>
      <c r="F4350" t="s">
        <v>1296</v>
      </c>
      <c r="G4350" t="s">
        <v>5078</v>
      </c>
      <c r="H4350" t="s">
        <v>7661</v>
      </c>
      <c r="I4350" t="s">
        <v>8213</v>
      </c>
      <c r="J4350" t="s">
        <v>9059</v>
      </c>
      <c r="K4350">
        <v>11226</v>
      </c>
      <c r="L4350" t="s">
        <v>9094</v>
      </c>
      <c r="M4350" t="s">
        <v>9095</v>
      </c>
      <c r="N4350" t="s">
        <v>10696</v>
      </c>
      <c r="O4350" t="s">
        <v>11128</v>
      </c>
      <c r="P4350" t="s">
        <v>11165</v>
      </c>
      <c r="Q4350" t="s">
        <v>11175</v>
      </c>
      <c r="R4350" t="s">
        <v>11180</v>
      </c>
      <c r="S4350" t="s">
        <v>9094</v>
      </c>
      <c r="T4350" t="s">
        <v>11183</v>
      </c>
      <c r="V4350" t="s">
        <v>11297</v>
      </c>
      <c r="W4350">
        <v>1021.56</v>
      </c>
      <c r="X4350" t="s">
        <v>11332</v>
      </c>
      <c r="Y4350" t="s">
        <v>11346</v>
      </c>
      <c r="Z4350" t="s">
        <v>14216</v>
      </c>
      <c r="AC4350">
        <v>66</v>
      </c>
      <c r="AD4350" t="s">
        <v>19566</v>
      </c>
      <c r="AE4350" t="s">
        <v>9144</v>
      </c>
      <c r="AF4350">
        <v>17</v>
      </c>
      <c r="AG4350">
        <v>2</v>
      </c>
      <c r="AH4350">
        <v>0</v>
      </c>
      <c r="AI4350">
        <v>166.26</v>
      </c>
      <c r="AM4350">
        <v>27000</v>
      </c>
      <c r="AS4350">
        <v>85.2</v>
      </c>
      <c r="AT4350" t="s">
        <v>498</v>
      </c>
      <c r="AU4350" t="s">
        <v>227</v>
      </c>
    </row>
    <row r="4351" spans="1:48">
      <c r="A4351" s="1">
        <f>HYPERLINK("https://lsnyc.legalserver.org/matter/dynamic-profile/view/1841525","17-1841525")</f>
        <v>0</v>
      </c>
      <c r="B4351" t="s">
        <v>101</v>
      </c>
      <c r="C4351" t="s">
        <v>256</v>
      </c>
      <c r="D4351" t="s">
        <v>613</v>
      </c>
      <c r="F4351" t="s">
        <v>1201</v>
      </c>
      <c r="G4351" t="s">
        <v>3465</v>
      </c>
      <c r="H4351" t="s">
        <v>7662</v>
      </c>
      <c r="I4351" t="s">
        <v>8170</v>
      </c>
      <c r="J4351" t="s">
        <v>9065</v>
      </c>
      <c r="K4351">
        <v>10453</v>
      </c>
      <c r="L4351" t="s">
        <v>9094</v>
      </c>
      <c r="M4351" t="s">
        <v>9095</v>
      </c>
      <c r="N4351" t="s">
        <v>10697</v>
      </c>
      <c r="O4351" t="s">
        <v>11130</v>
      </c>
      <c r="P4351" t="s">
        <v>11165</v>
      </c>
      <c r="R4351" t="s">
        <v>11180</v>
      </c>
      <c r="S4351" t="s">
        <v>9096</v>
      </c>
      <c r="T4351" t="s">
        <v>11183</v>
      </c>
      <c r="V4351" t="s">
        <v>837</v>
      </c>
      <c r="W4351">
        <v>1295</v>
      </c>
      <c r="X4351" t="s">
        <v>11333</v>
      </c>
      <c r="Y4351" t="s">
        <v>11346</v>
      </c>
      <c r="Z4351" t="s">
        <v>14217</v>
      </c>
      <c r="AB4351" t="s">
        <v>18540</v>
      </c>
      <c r="AC4351">
        <v>56</v>
      </c>
      <c r="AD4351" t="s">
        <v>19566</v>
      </c>
      <c r="AE4351" t="s">
        <v>19580</v>
      </c>
      <c r="AF4351">
        <v>20</v>
      </c>
      <c r="AG4351">
        <v>1</v>
      </c>
      <c r="AH4351">
        <v>1</v>
      </c>
      <c r="AI4351">
        <v>166.26</v>
      </c>
      <c r="AL4351" t="s">
        <v>19614</v>
      </c>
      <c r="AM4351">
        <v>27000</v>
      </c>
      <c r="AS4351">
        <v>117.25</v>
      </c>
      <c r="AT4351" t="s">
        <v>457</v>
      </c>
      <c r="AU4351" t="s">
        <v>20704</v>
      </c>
    </row>
    <row r="4352" spans="1:48">
      <c r="A4352" s="1">
        <f>HYPERLINK("https://lsnyc.legalserver.org/matter/dynamic-profile/view/1841251","17-1841251")</f>
        <v>0</v>
      </c>
      <c r="B4352" t="s">
        <v>101</v>
      </c>
      <c r="C4352" t="s">
        <v>256</v>
      </c>
      <c r="D4352" t="s">
        <v>770</v>
      </c>
      <c r="F4352" t="s">
        <v>2814</v>
      </c>
      <c r="G4352" t="s">
        <v>3498</v>
      </c>
      <c r="H4352" t="s">
        <v>5898</v>
      </c>
      <c r="I4352" t="s">
        <v>8844</v>
      </c>
      <c r="J4352" t="s">
        <v>9065</v>
      </c>
      <c r="K4352">
        <v>10452</v>
      </c>
      <c r="L4352" t="s">
        <v>9094</v>
      </c>
      <c r="M4352" t="s">
        <v>9095</v>
      </c>
      <c r="O4352" t="s">
        <v>11154</v>
      </c>
      <c r="P4352" t="s">
        <v>11170</v>
      </c>
      <c r="R4352" t="s">
        <v>11180</v>
      </c>
      <c r="T4352" t="s">
        <v>11183</v>
      </c>
      <c r="V4352" t="s">
        <v>770</v>
      </c>
      <c r="W4352">
        <v>1495</v>
      </c>
      <c r="X4352" t="s">
        <v>11333</v>
      </c>
      <c r="Y4352" t="s">
        <v>11338</v>
      </c>
      <c r="Z4352" t="s">
        <v>14218</v>
      </c>
      <c r="AB4352" t="s">
        <v>18541</v>
      </c>
      <c r="AC4352">
        <v>131</v>
      </c>
      <c r="AD4352" t="s">
        <v>19566</v>
      </c>
      <c r="AE4352" t="s">
        <v>19580</v>
      </c>
      <c r="AF4352">
        <v>8</v>
      </c>
      <c r="AG4352">
        <v>2</v>
      </c>
      <c r="AH4352">
        <v>0</v>
      </c>
      <c r="AI4352">
        <v>166.26</v>
      </c>
      <c r="AL4352" t="s">
        <v>19614</v>
      </c>
      <c r="AM4352">
        <v>27000</v>
      </c>
      <c r="AS4352">
        <v>78.02</v>
      </c>
      <c r="AT4352" t="s">
        <v>327</v>
      </c>
      <c r="AU4352" t="s">
        <v>20643</v>
      </c>
    </row>
    <row r="4353" spans="1:48">
      <c r="A4353" s="1">
        <f>HYPERLINK("https://lsnyc.legalserver.org/matter/dynamic-profile/view/1881235","18-1881235")</f>
        <v>0</v>
      </c>
      <c r="B4353" t="s">
        <v>132</v>
      </c>
      <c r="C4353" t="s">
        <v>256</v>
      </c>
      <c r="D4353" t="s">
        <v>639</v>
      </c>
      <c r="F4353" t="s">
        <v>2815</v>
      </c>
      <c r="G4353" t="s">
        <v>5079</v>
      </c>
      <c r="H4353" t="s">
        <v>5936</v>
      </c>
      <c r="I4353" t="s">
        <v>8191</v>
      </c>
      <c r="J4353" t="s">
        <v>9067</v>
      </c>
      <c r="K4353">
        <v>10040</v>
      </c>
      <c r="L4353" t="s">
        <v>9094</v>
      </c>
      <c r="M4353" t="s">
        <v>9094</v>
      </c>
      <c r="O4353" t="s">
        <v>11130</v>
      </c>
      <c r="P4353" t="s">
        <v>11164</v>
      </c>
      <c r="R4353" t="s">
        <v>11180</v>
      </c>
      <c r="S4353" t="s">
        <v>9094</v>
      </c>
      <c r="T4353" t="s">
        <v>11183</v>
      </c>
      <c r="V4353" t="s">
        <v>639</v>
      </c>
      <c r="W4353">
        <v>2000</v>
      </c>
      <c r="X4353" t="s">
        <v>11335</v>
      </c>
      <c r="Y4353" t="s">
        <v>11338</v>
      </c>
      <c r="Z4353" t="s">
        <v>14219</v>
      </c>
      <c r="AB4353" t="s">
        <v>18542</v>
      </c>
      <c r="AC4353">
        <v>42</v>
      </c>
      <c r="AD4353" t="s">
        <v>19566</v>
      </c>
      <c r="AE4353" t="s">
        <v>9144</v>
      </c>
      <c r="AF4353">
        <v>2</v>
      </c>
      <c r="AG4353">
        <v>2</v>
      </c>
      <c r="AH4353">
        <v>0</v>
      </c>
      <c r="AI4353">
        <v>166.46</v>
      </c>
      <c r="AJ4353" t="s">
        <v>527</v>
      </c>
      <c r="AK4353" t="s">
        <v>19613</v>
      </c>
      <c r="AL4353" t="s">
        <v>19614</v>
      </c>
      <c r="AM4353">
        <v>27400</v>
      </c>
      <c r="AS4353">
        <v>0.1</v>
      </c>
      <c r="AT4353" t="s">
        <v>263</v>
      </c>
      <c r="AU4353" t="s">
        <v>130</v>
      </c>
    </row>
    <row r="4354" spans="1:48">
      <c r="A4354" s="1">
        <f>HYPERLINK("https://lsnyc.legalserver.org/matter/dynamic-profile/view/1912533","19-1912533")</f>
        <v>0</v>
      </c>
      <c r="B4354" t="s">
        <v>52</v>
      </c>
      <c r="C4354" t="s">
        <v>256</v>
      </c>
      <c r="D4354" t="s">
        <v>263</v>
      </c>
      <c r="F4354" t="s">
        <v>2816</v>
      </c>
      <c r="G4354" t="s">
        <v>3551</v>
      </c>
      <c r="H4354" t="s">
        <v>5692</v>
      </c>
      <c r="I4354" t="s">
        <v>8218</v>
      </c>
      <c r="J4354" t="s">
        <v>9038</v>
      </c>
      <c r="K4354">
        <v>11691</v>
      </c>
      <c r="L4354" t="s">
        <v>9094</v>
      </c>
      <c r="M4354" t="s">
        <v>9095</v>
      </c>
      <c r="N4354" t="s">
        <v>9664</v>
      </c>
      <c r="O4354" t="s">
        <v>11130</v>
      </c>
      <c r="P4354" t="s">
        <v>11165</v>
      </c>
      <c r="R4354" t="s">
        <v>11180</v>
      </c>
      <c r="S4354" t="s">
        <v>9096</v>
      </c>
      <c r="T4354" t="s">
        <v>11183</v>
      </c>
      <c r="U4354" t="s">
        <v>11201</v>
      </c>
      <c r="V4354" t="s">
        <v>263</v>
      </c>
      <c r="W4354">
        <v>637</v>
      </c>
      <c r="X4354" t="s">
        <v>11331</v>
      </c>
      <c r="Y4354" t="s">
        <v>11339</v>
      </c>
      <c r="Z4354" t="s">
        <v>14220</v>
      </c>
      <c r="AB4354" t="s">
        <v>18543</v>
      </c>
      <c r="AC4354">
        <v>43</v>
      </c>
      <c r="AD4354" t="s">
        <v>19566</v>
      </c>
      <c r="AE4354" t="s">
        <v>9144</v>
      </c>
      <c r="AF4354">
        <v>20</v>
      </c>
      <c r="AG4354">
        <v>1</v>
      </c>
      <c r="AH4354">
        <v>0</v>
      </c>
      <c r="AI4354">
        <v>166.53</v>
      </c>
      <c r="AL4354" t="s">
        <v>19614</v>
      </c>
      <c r="AM4354">
        <v>20800</v>
      </c>
      <c r="AP4354" t="s">
        <v>11157</v>
      </c>
      <c r="AS4354">
        <v>0.4</v>
      </c>
      <c r="AT4354" t="s">
        <v>263</v>
      </c>
      <c r="AU4354" t="s">
        <v>20620</v>
      </c>
      <c r="AV4354" t="s">
        <v>20733</v>
      </c>
    </row>
    <row r="4355" spans="1:48">
      <c r="A4355" s="1">
        <f>HYPERLINK("https://lsnyc.legalserver.org/matter/dynamic-profile/view/1915213","19-1915213")</f>
        <v>0</v>
      </c>
      <c r="B4355" t="s">
        <v>52</v>
      </c>
      <c r="C4355" t="s">
        <v>256</v>
      </c>
      <c r="D4355" t="s">
        <v>321</v>
      </c>
      <c r="F4355" t="s">
        <v>2816</v>
      </c>
      <c r="G4355" t="s">
        <v>3551</v>
      </c>
      <c r="H4355" t="s">
        <v>5692</v>
      </c>
      <c r="I4355" t="s">
        <v>8218</v>
      </c>
      <c r="J4355" t="s">
        <v>9038</v>
      </c>
      <c r="K4355">
        <v>11691</v>
      </c>
      <c r="L4355" t="s">
        <v>9094</v>
      </c>
      <c r="M4355" t="s">
        <v>9095</v>
      </c>
      <c r="O4355" t="s">
        <v>11129</v>
      </c>
      <c r="P4355" t="s">
        <v>11165</v>
      </c>
      <c r="R4355" t="s">
        <v>11180</v>
      </c>
      <c r="S4355" t="s">
        <v>9096</v>
      </c>
      <c r="T4355" t="s">
        <v>11183</v>
      </c>
      <c r="V4355" t="s">
        <v>321</v>
      </c>
      <c r="W4355">
        <v>637</v>
      </c>
      <c r="X4355" t="s">
        <v>11331</v>
      </c>
      <c r="Y4355" t="s">
        <v>11339</v>
      </c>
      <c r="Z4355" t="s">
        <v>14220</v>
      </c>
      <c r="AB4355" t="s">
        <v>18543</v>
      </c>
      <c r="AC4355">
        <v>48</v>
      </c>
      <c r="AE4355" t="s">
        <v>9144</v>
      </c>
      <c r="AF4355">
        <v>20</v>
      </c>
      <c r="AG4355">
        <v>1</v>
      </c>
      <c r="AH4355">
        <v>0</v>
      </c>
      <c r="AI4355">
        <v>166.53</v>
      </c>
      <c r="AL4355" t="s">
        <v>19614</v>
      </c>
      <c r="AM4355">
        <v>20800</v>
      </c>
      <c r="AS4355">
        <v>0.4</v>
      </c>
      <c r="AT4355" t="s">
        <v>321</v>
      </c>
      <c r="AU4355" t="s">
        <v>20620</v>
      </c>
      <c r="AV4355" t="s">
        <v>20733</v>
      </c>
    </row>
    <row r="4356" spans="1:48">
      <c r="A4356" s="1">
        <f>HYPERLINK("https://lsnyc.legalserver.org/matter/dynamic-profile/view/1915479","19-1915479")</f>
        <v>0</v>
      </c>
      <c r="B4356" t="s">
        <v>134</v>
      </c>
      <c r="C4356" t="s">
        <v>256</v>
      </c>
      <c r="D4356" t="s">
        <v>594</v>
      </c>
      <c r="F4356" t="s">
        <v>2817</v>
      </c>
      <c r="G4356" t="s">
        <v>5080</v>
      </c>
      <c r="H4356" t="s">
        <v>7663</v>
      </c>
      <c r="I4356" t="s">
        <v>8140</v>
      </c>
      <c r="J4356" t="s">
        <v>9078</v>
      </c>
      <c r="K4356">
        <v>11372</v>
      </c>
      <c r="L4356" t="s">
        <v>9094</v>
      </c>
      <c r="M4356" t="s">
        <v>9095</v>
      </c>
      <c r="P4356" t="s">
        <v>11169</v>
      </c>
      <c r="R4356" t="s">
        <v>11180</v>
      </c>
      <c r="S4356" t="s">
        <v>9096</v>
      </c>
      <c r="T4356" t="s">
        <v>11183</v>
      </c>
      <c r="V4356" t="s">
        <v>594</v>
      </c>
      <c r="W4356">
        <v>1300</v>
      </c>
      <c r="X4356" t="s">
        <v>11335</v>
      </c>
      <c r="Y4356" t="s">
        <v>11339</v>
      </c>
      <c r="Z4356" t="s">
        <v>14221</v>
      </c>
      <c r="AB4356" t="s">
        <v>18544</v>
      </c>
      <c r="AC4356">
        <v>0</v>
      </c>
      <c r="AD4356" t="s">
        <v>19565</v>
      </c>
      <c r="AE4356" t="s">
        <v>9144</v>
      </c>
      <c r="AF4356">
        <v>0</v>
      </c>
      <c r="AG4356">
        <v>1</v>
      </c>
      <c r="AH4356">
        <v>0</v>
      </c>
      <c r="AI4356">
        <v>166.53</v>
      </c>
      <c r="AL4356" t="s">
        <v>19628</v>
      </c>
      <c r="AM4356">
        <v>20800</v>
      </c>
      <c r="AS4356">
        <v>0</v>
      </c>
      <c r="AU4356" t="s">
        <v>130</v>
      </c>
      <c r="AV4356" t="s">
        <v>20733</v>
      </c>
    </row>
    <row r="4357" spans="1:48">
      <c r="A4357" s="1">
        <f>HYPERLINK("https://lsnyc.legalserver.org/matter/dynamic-profile/view/1905577","19-1905577")</f>
        <v>0</v>
      </c>
      <c r="B4357" t="s">
        <v>71</v>
      </c>
      <c r="C4357" t="s">
        <v>257</v>
      </c>
      <c r="D4357" t="s">
        <v>457</v>
      </c>
      <c r="E4357" t="s">
        <v>728</v>
      </c>
      <c r="F4357" t="s">
        <v>2818</v>
      </c>
      <c r="G4357" t="s">
        <v>5081</v>
      </c>
      <c r="H4357" t="s">
        <v>7664</v>
      </c>
      <c r="I4357" t="s">
        <v>8308</v>
      </c>
      <c r="J4357" t="s">
        <v>9059</v>
      </c>
      <c r="K4357">
        <v>11239</v>
      </c>
      <c r="L4357" t="s">
        <v>9094</v>
      </c>
      <c r="M4357" t="s">
        <v>9095</v>
      </c>
      <c r="N4357" t="s">
        <v>10698</v>
      </c>
      <c r="O4357" t="s">
        <v>11129</v>
      </c>
      <c r="P4357" t="s">
        <v>11164</v>
      </c>
      <c r="Q4357" t="s">
        <v>11172</v>
      </c>
      <c r="R4357" t="s">
        <v>11180</v>
      </c>
      <c r="S4357" t="s">
        <v>9096</v>
      </c>
      <c r="T4357" t="s">
        <v>11183</v>
      </c>
      <c r="U4357" t="s">
        <v>11201</v>
      </c>
      <c r="V4357" t="s">
        <v>493</v>
      </c>
      <c r="W4357">
        <v>989</v>
      </c>
      <c r="X4357" t="s">
        <v>11332</v>
      </c>
      <c r="Y4357" t="s">
        <v>11345</v>
      </c>
      <c r="Z4357" t="s">
        <v>14222</v>
      </c>
      <c r="AA4357" t="s">
        <v>9171</v>
      </c>
      <c r="AB4357" t="s">
        <v>18545</v>
      </c>
      <c r="AC4357">
        <v>55</v>
      </c>
      <c r="AD4357" t="s">
        <v>15441</v>
      </c>
      <c r="AE4357" t="s">
        <v>9144</v>
      </c>
      <c r="AF4357">
        <v>6</v>
      </c>
      <c r="AG4357">
        <v>1</v>
      </c>
      <c r="AH4357">
        <v>0</v>
      </c>
      <c r="AI4357">
        <v>166.53</v>
      </c>
      <c r="AL4357" t="s">
        <v>19614</v>
      </c>
      <c r="AM4357">
        <v>20800</v>
      </c>
      <c r="AS4357">
        <v>0.6</v>
      </c>
      <c r="AT4357" t="s">
        <v>728</v>
      </c>
      <c r="AU4357" t="s">
        <v>20672</v>
      </c>
      <c r="AV4357" t="s">
        <v>20733</v>
      </c>
    </row>
    <row r="4358" spans="1:48">
      <c r="A4358" s="1">
        <f>HYPERLINK("https://lsnyc.legalserver.org/matter/dynamic-profile/view/1904239","19-1904239")</f>
        <v>0</v>
      </c>
      <c r="B4358" t="s">
        <v>78</v>
      </c>
      <c r="C4358" t="s">
        <v>256</v>
      </c>
      <c r="D4358" t="s">
        <v>312</v>
      </c>
      <c r="F4358" t="s">
        <v>2819</v>
      </c>
      <c r="G4358" t="s">
        <v>5082</v>
      </c>
      <c r="H4358" t="s">
        <v>6712</v>
      </c>
      <c r="I4358" t="s">
        <v>8170</v>
      </c>
      <c r="J4358" t="s">
        <v>9059</v>
      </c>
      <c r="K4358">
        <v>11221</v>
      </c>
      <c r="L4358" t="s">
        <v>9094</v>
      </c>
      <c r="M4358" t="s">
        <v>9095</v>
      </c>
      <c r="N4358" t="s">
        <v>9184</v>
      </c>
      <c r="O4358" t="s">
        <v>11137</v>
      </c>
      <c r="P4358" t="s">
        <v>11167</v>
      </c>
      <c r="R4358" t="s">
        <v>11180</v>
      </c>
      <c r="S4358" t="s">
        <v>9094</v>
      </c>
      <c r="T4358" t="s">
        <v>11186</v>
      </c>
      <c r="U4358" t="s">
        <v>11201</v>
      </c>
      <c r="V4358" t="s">
        <v>635</v>
      </c>
      <c r="W4358">
        <v>763</v>
      </c>
      <c r="X4358" t="s">
        <v>11332</v>
      </c>
      <c r="Y4358" t="s">
        <v>11339</v>
      </c>
      <c r="Z4358" t="s">
        <v>14223</v>
      </c>
      <c r="AA4358" t="s">
        <v>9144</v>
      </c>
      <c r="AB4358" t="s">
        <v>18546</v>
      </c>
      <c r="AC4358">
        <v>12</v>
      </c>
      <c r="AD4358" t="s">
        <v>19566</v>
      </c>
      <c r="AE4358" t="s">
        <v>9144</v>
      </c>
      <c r="AF4358">
        <v>10</v>
      </c>
      <c r="AG4358">
        <v>1</v>
      </c>
      <c r="AH4358">
        <v>0</v>
      </c>
      <c r="AI4358">
        <v>166.53</v>
      </c>
      <c r="AL4358" t="s">
        <v>19614</v>
      </c>
      <c r="AM4358">
        <v>20800</v>
      </c>
      <c r="AN4358" t="s">
        <v>20018</v>
      </c>
      <c r="AS4358">
        <v>2</v>
      </c>
      <c r="AT4358" t="s">
        <v>312</v>
      </c>
      <c r="AU4358" t="s">
        <v>95</v>
      </c>
      <c r="AV4358" t="s">
        <v>20733</v>
      </c>
    </row>
    <row r="4359" spans="1:48">
      <c r="A4359" s="1">
        <f>HYPERLINK("https://lsnyc.legalserver.org/matter/dynamic-profile/view/1904223","19-1904223")</f>
        <v>0</v>
      </c>
      <c r="B4359" t="s">
        <v>74</v>
      </c>
      <c r="C4359" t="s">
        <v>256</v>
      </c>
      <c r="D4359" t="s">
        <v>312</v>
      </c>
      <c r="F4359" t="s">
        <v>2819</v>
      </c>
      <c r="G4359" t="s">
        <v>5082</v>
      </c>
      <c r="H4359" t="s">
        <v>6712</v>
      </c>
      <c r="I4359" t="s">
        <v>8170</v>
      </c>
      <c r="J4359" t="s">
        <v>9059</v>
      </c>
      <c r="K4359">
        <v>11221</v>
      </c>
      <c r="L4359" t="s">
        <v>9094</v>
      </c>
      <c r="M4359" t="s">
        <v>9095</v>
      </c>
      <c r="N4359" t="s">
        <v>10699</v>
      </c>
      <c r="O4359" t="s">
        <v>11129</v>
      </c>
      <c r="P4359" t="s">
        <v>11165</v>
      </c>
      <c r="R4359" t="s">
        <v>11180</v>
      </c>
      <c r="S4359" t="s">
        <v>9096</v>
      </c>
      <c r="T4359" t="s">
        <v>11183</v>
      </c>
      <c r="U4359" t="s">
        <v>11201</v>
      </c>
      <c r="V4359" t="s">
        <v>635</v>
      </c>
      <c r="W4359">
        <v>763</v>
      </c>
      <c r="X4359" t="s">
        <v>11332</v>
      </c>
      <c r="Y4359" t="s">
        <v>11339</v>
      </c>
      <c r="Z4359" t="s">
        <v>14223</v>
      </c>
      <c r="AA4359" t="s">
        <v>9144</v>
      </c>
      <c r="AB4359" t="s">
        <v>18546</v>
      </c>
      <c r="AC4359">
        <v>12</v>
      </c>
      <c r="AD4359" t="s">
        <v>19566</v>
      </c>
      <c r="AE4359" t="s">
        <v>9144</v>
      </c>
      <c r="AF4359">
        <v>10</v>
      </c>
      <c r="AG4359">
        <v>1</v>
      </c>
      <c r="AH4359">
        <v>0</v>
      </c>
      <c r="AI4359">
        <v>166.53</v>
      </c>
      <c r="AL4359" t="s">
        <v>19614</v>
      </c>
      <c r="AM4359">
        <v>20800</v>
      </c>
      <c r="AN4359" t="s">
        <v>20019</v>
      </c>
      <c r="AS4359">
        <v>0</v>
      </c>
      <c r="AU4359" t="s">
        <v>95</v>
      </c>
      <c r="AV4359" t="s">
        <v>20733</v>
      </c>
    </row>
    <row r="4360" spans="1:48">
      <c r="A4360" s="1">
        <f>HYPERLINK("https://lsnyc.legalserver.org/matter/dynamic-profile/view/1895385","19-1895385")</f>
        <v>0</v>
      </c>
      <c r="B4360" t="s">
        <v>74</v>
      </c>
      <c r="C4360" t="s">
        <v>256</v>
      </c>
      <c r="D4360" t="s">
        <v>264</v>
      </c>
      <c r="F4360" t="s">
        <v>2819</v>
      </c>
      <c r="G4360" t="s">
        <v>5082</v>
      </c>
      <c r="H4360" t="s">
        <v>6712</v>
      </c>
      <c r="I4360" t="s">
        <v>8170</v>
      </c>
      <c r="J4360" t="s">
        <v>9059</v>
      </c>
      <c r="K4360">
        <v>11221</v>
      </c>
      <c r="L4360" t="s">
        <v>9094</v>
      </c>
      <c r="M4360" t="s">
        <v>9096</v>
      </c>
      <c r="N4360" t="s">
        <v>10700</v>
      </c>
      <c r="O4360" t="s">
        <v>11141</v>
      </c>
      <c r="P4360" t="s">
        <v>11170</v>
      </c>
      <c r="R4360" t="s">
        <v>11180</v>
      </c>
      <c r="S4360" t="s">
        <v>9094</v>
      </c>
      <c r="T4360" t="s">
        <v>11185</v>
      </c>
      <c r="V4360" t="s">
        <v>264</v>
      </c>
      <c r="W4360">
        <v>763</v>
      </c>
      <c r="X4360" t="s">
        <v>11332</v>
      </c>
      <c r="Y4360" t="s">
        <v>11339</v>
      </c>
      <c r="Z4360" t="s">
        <v>14223</v>
      </c>
      <c r="AB4360" t="s">
        <v>18546</v>
      </c>
      <c r="AC4360">
        <v>12</v>
      </c>
      <c r="AD4360" t="s">
        <v>19566</v>
      </c>
      <c r="AE4360" t="s">
        <v>9144</v>
      </c>
      <c r="AF4360">
        <v>10</v>
      </c>
      <c r="AG4360">
        <v>1</v>
      </c>
      <c r="AH4360">
        <v>0</v>
      </c>
      <c r="AI4360">
        <v>166.53</v>
      </c>
      <c r="AL4360" t="s">
        <v>19614</v>
      </c>
      <c r="AM4360">
        <v>20800</v>
      </c>
      <c r="AN4360" t="s">
        <v>20019</v>
      </c>
      <c r="AS4360">
        <v>60.5</v>
      </c>
      <c r="AT4360" t="s">
        <v>632</v>
      </c>
      <c r="AU4360" t="s">
        <v>95</v>
      </c>
      <c r="AV4360" t="s">
        <v>20733</v>
      </c>
    </row>
    <row r="4361" spans="1:48">
      <c r="A4361" s="1">
        <f>HYPERLINK("https://lsnyc.legalserver.org/matter/dynamic-profile/view/1913141","19-1913141")</f>
        <v>0</v>
      </c>
      <c r="B4361" t="s">
        <v>162</v>
      </c>
      <c r="C4361" t="s">
        <v>256</v>
      </c>
      <c r="D4361" t="s">
        <v>276</v>
      </c>
      <c r="F4361" t="s">
        <v>2478</v>
      </c>
      <c r="G4361" t="s">
        <v>3419</v>
      </c>
      <c r="H4361" t="s">
        <v>6100</v>
      </c>
      <c r="I4361" t="s">
        <v>8139</v>
      </c>
      <c r="J4361" t="s">
        <v>9065</v>
      </c>
      <c r="K4361">
        <v>10452</v>
      </c>
      <c r="L4361" t="s">
        <v>9094</v>
      </c>
      <c r="M4361" t="s">
        <v>9095</v>
      </c>
      <c r="N4361" t="s">
        <v>10701</v>
      </c>
      <c r="O4361" t="s">
        <v>11129</v>
      </c>
      <c r="P4361" t="s">
        <v>11165</v>
      </c>
      <c r="R4361" t="s">
        <v>11180</v>
      </c>
      <c r="S4361" t="s">
        <v>9096</v>
      </c>
      <c r="T4361" t="s">
        <v>11183</v>
      </c>
      <c r="U4361" t="s">
        <v>11201</v>
      </c>
      <c r="W4361">
        <v>1308</v>
      </c>
      <c r="X4361" t="s">
        <v>11333</v>
      </c>
      <c r="Y4361" t="s">
        <v>11352</v>
      </c>
      <c r="Z4361" t="s">
        <v>14224</v>
      </c>
      <c r="AA4361" t="s">
        <v>15861</v>
      </c>
      <c r="AB4361" t="s">
        <v>18547</v>
      </c>
      <c r="AC4361">
        <v>53</v>
      </c>
      <c r="AD4361" t="s">
        <v>19566</v>
      </c>
      <c r="AE4361" t="s">
        <v>19581</v>
      </c>
      <c r="AF4361">
        <v>3</v>
      </c>
      <c r="AG4361">
        <v>1</v>
      </c>
      <c r="AH4361">
        <v>0</v>
      </c>
      <c r="AI4361">
        <v>166.53</v>
      </c>
      <c r="AL4361" t="s">
        <v>19614</v>
      </c>
      <c r="AM4361">
        <v>20800</v>
      </c>
      <c r="AS4361">
        <v>11.3</v>
      </c>
      <c r="AT4361" t="s">
        <v>632</v>
      </c>
      <c r="AU4361" t="s">
        <v>20640</v>
      </c>
      <c r="AV4361" t="s">
        <v>20734</v>
      </c>
    </row>
    <row r="4362" spans="1:48">
      <c r="A4362" s="1">
        <f>HYPERLINK("https://lsnyc.legalserver.org/matter/dynamic-profile/view/1911924","19-1911924")</f>
        <v>0</v>
      </c>
      <c r="B4362" t="s">
        <v>136</v>
      </c>
      <c r="C4362" t="s">
        <v>256</v>
      </c>
      <c r="D4362" t="s">
        <v>292</v>
      </c>
      <c r="F4362" t="s">
        <v>2820</v>
      </c>
      <c r="G4362" t="s">
        <v>4683</v>
      </c>
      <c r="H4362" t="s">
        <v>6949</v>
      </c>
      <c r="I4362" t="s">
        <v>8845</v>
      </c>
      <c r="J4362" t="s">
        <v>9067</v>
      </c>
      <c r="K4362">
        <v>10037</v>
      </c>
      <c r="L4362" t="s">
        <v>9094</v>
      </c>
      <c r="M4362" t="s">
        <v>9095</v>
      </c>
      <c r="N4362" t="s">
        <v>10702</v>
      </c>
      <c r="O4362" t="s">
        <v>11129</v>
      </c>
      <c r="P4362" t="s">
        <v>11165</v>
      </c>
      <c r="R4362" t="s">
        <v>11180</v>
      </c>
      <c r="S4362" t="s">
        <v>9094</v>
      </c>
      <c r="T4362" t="s">
        <v>11183</v>
      </c>
      <c r="U4362" t="s">
        <v>11201</v>
      </c>
      <c r="V4362" t="s">
        <v>290</v>
      </c>
      <c r="W4362">
        <v>0</v>
      </c>
      <c r="X4362" t="s">
        <v>11335</v>
      </c>
      <c r="Y4362" t="s">
        <v>11339</v>
      </c>
      <c r="Z4362" t="s">
        <v>14225</v>
      </c>
      <c r="AB4362" t="s">
        <v>18548</v>
      </c>
      <c r="AC4362">
        <v>771</v>
      </c>
      <c r="AD4362" t="s">
        <v>19566</v>
      </c>
      <c r="AE4362" t="s">
        <v>9144</v>
      </c>
      <c r="AF4362">
        <v>10</v>
      </c>
      <c r="AG4362">
        <v>1</v>
      </c>
      <c r="AH4362">
        <v>0</v>
      </c>
      <c r="AI4362">
        <v>166.53</v>
      </c>
      <c r="AL4362" t="s">
        <v>19614</v>
      </c>
      <c r="AM4362">
        <v>20800</v>
      </c>
      <c r="AS4362">
        <v>2.45</v>
      </c>
      <c r="AT4362" t="s">
        <v>395</v>
      </c>
      <c r="AU4362" t="s">
        <v>20657</v>
      </c>
      <c r="AV4362" t="s">
        <v>20733</v>
      </c>
    </row>
    <row r="4363" spans="1:48">
      <c r="A4363" s="1">
        <f>HYPERLINK("https://lsnyc.legalserver.org/matter/dynamic-profile/view/1890689","19-1890689")</f>
        <v>0</v>
      </c>
      <c r="B4363" t="s">
        <v>138</v>
      </c>
      <c r="C4363" t="s">
        <v>256</v>
      </c>
      <c r="D4363" t="s">
        <v>381</v>
      </c>
      <c r="F4363" t="s">
        <v>1147</v>
      </c>
      <c r="G4363" t="s">
        <v>3936</v>
      </c>
      <c r="H4363" t="s">
        <v>7665</v>
      </c>
      <c r="I4363" t="s">
        <v>8225</v>
      </c>
      <c r="J4363" t="s">
        <v>9067</v>
      </c>
      <c r="K4363">
        <v>10034</v>
      </c>
      <c r="L4363" t="s">
        <v>9094</v>
      </c>
      <c r="M4363" t="s">
        <v>9094</v>
      </c>
      <c r="O4363" t="s">
        <v>11129</v>
      </c>
      <c r="P4363" t="s">
        <v>11164</v>
      </c>
      <c r="R4363" t="s">
        <v>11180</v>
      </c>
      <c r="S4363" t="s">
        <v>9096</v>
      </c>
      <c r="T4363" t="s">
        <v>11183</v>
      </c>
      <c r="V4363" t="s">
        <v>381</v>
      </c>
      <c r="W4363">
        <v>1125.59</v>
      </c>
      <c r="X4363" t="s">
        <v>11335</v>
      </c>
      <c r="Y4363" t="s">
        <v>11338</v>
      </c>
      <c r="Z4363" t="s">
        <v>14226</v>
      </c>
      <c r="AB4363" t="s">
        <v>18549</v>
      </c>
      <c r="AC4363">
        <v>59</v>
      </c>
      <c r="AD4363" t="s">
        <v>19566</v>
      </c>
      <c r="AE4363" t="s">
        <v>9144</v>
      </c>
      <c r="AF4363">
        <v>33</v>
      </c>
      <c r="AG4363">
        <v>1</v>
      </c>
      <c r="AH4363">
        <v>0</v>
      </c>
      <c r="AI4363">
        <v>166.53</v>
      </c>
      <c r="AL4363" t="s">
        <v>19615</v>
      </c>
      <c r="AM4363">
        <v>20800</v>
      </c>
      <c r="AS4363">
        <v>1.4</v>
      </c>
      <c r="AT4363" t="s">
        <v>381</v>
      </c>
      <c r="AU4363" t="s">
        <v>130</v>
      </c>
      <c r="AV4363" t="s">
        <v>20733</v>
      </c>
    </row>
    <row r="4364" spans="1:48">
      <c r="A4364" s="1">
        <f>HYPERLINK("https://lsnyc.legalserver.org/matter/dynamic-profile/view/1912069","19-1912069")</f>
        <v>0</v>
      </c>
      <c r="B4364" t="s">
        <v>109</v>
      </c>
      <c r="C4364" t="s">
        <v>256</v>
      </c>
      <c r="D4364" t="s">
        <v>404</v>
      </c>
      <c r="F4364" t="s">
        <v>2821</v>
      </c>
      <c r="G4364" t="s">
        <v>3448</v>
      </c>
      <c r="H4364" t="s">
        <v>7666</v>
      </c>
      <c r="I4364" t="s">
        <v>8149</v>
      </c>
      <c r="J4364" t="s">
        <v>9065</v>
      </c>
      <c r="K4364">
        <v>10459</v>
      </c>
      <c r="L4364" t="s">
        <v>9094</v>
      </c>
      <c r="M4364" t="s">
        <v>9095</v>
      </c>
      <c r="P4364" t="s">
        <v>11167</v>
      </c>
      <c r="R4364" t="s">
        <v>11180</v>
      </c>
      <c r="T4364" t="s">
        <v>11183</v>
      </c>
      <c r="W4364">
        <v>738</v>
      </c>
      <c r="X4364" t="s">
        <v>11333</v>
      </c>
      <c r="Y4364" t="s">
        <v>11340</v>
      </c>
      <c r="Z4364" t="s">
        <v>14227</v>
      </c>
      <c r="AB4364" t="s">
        <v>18550</v>
      </c>
      <c r="AC4364">
        <v>40</v>
      </c>
      <c r="AD4364" t="s">
        <v>19566</v>
      </c>
      <c r="AE4364" t="s">
        <v>19580</v>
      </c>
      <c r="AF4364">
        <v>41</v>
      </c>
      <c r="AG4364">
        <v>2</v>
      </c>
      <c r="AH4364">
        <v>0</v>
      </c>
      <c r="AI4364">
        <v>166.65</v>
      </c>
      <c r="AL4364" t="s">
        <v>19614</v>
      </c>
      <c r="AM4364">
        <v>28179.96</v>
      </c>
      <c r="AS4364">
        <v>2.36</v>
      </c>
      <c r="AT4364" t="s">
        <v>301</v>
      </c>
      <c r="AU4364" t="s">
        <v>20639</v>
      </c>
      <c r="AV4364" t="s">
        <v>20733</v>
      </c>
    </row>
    <row r="4365" spans="1:48">
      <c r="A4365" s="1">
        <f>HYPERLINK("https://lsnyc.legalserver.org/matter/dynamic-profile/view/1836315","17-1836315")</f>
        <v>0</v>
      </c>
      <c r="B4365" t="s">
        <v>120</v>
      </c>
      <c r="C4365" t="s">
        <v>256</v>
      </c>
      <c r="D4365" t="s">
        <v>732</v>
      </c>
      <c r="F4365" t="s">
        <v>1276</v>
      </c>
      <c r="G4365" t="s">
        <v>3630</v>
      </c>
      <c r="H4365" t="s">
        <v>5898</v>
      </c>
      <c r="I4365" t="s">
        <v>8329</v>
      </c>
      <c r="J4365" t="s">
        <v>9065</v>
      </c>
      <c r="K4365">
        <v>10452</v>
      </c>
      <c r="L4365" t="s">
        <v>9094</v>
      </c>
      <c r="M4365" t="s">
        <v>9095</v>
      </c>
      <c r="N4365" t="s">
        <v>9251</v>
      </c>
      <c r="O4365" t="s">
        <v>11132</v>
      </c>
      <c r="P4365" t="s">
        <v>11165</v>
      </c>
      <c r="R4365" t="s">
        <v>11180</v>
      </c>
      <c r="S4365" t="s">
        <v>9094</v>
      </c>
      <c r="T4365" t="s">
        <v>11183</v>
      </c>
      <c r="V4365" t="s">
        <v>770</v>
      </c>
      <c r="W4365">
        <v>968.8</v>
      </c>
      <c r="X4365" t="s">
        <v>11333</v>
      </c>
      <c r="Y4365" t="s">
        <v>11339</v>
      </c>
      <c r="Z4365" t="s">
        <v>14228</v>
      </c>
      <c r="AA4365" t="s">
        <v>15862</v>
      </c>
      <c r="AB4365" t="s">
        <v>18551</v>
      </c>
      <c r="AC4365">
        <v>0</v>
      </c>
      <c r="AD4365" t="s">
        <v>19566</v>
      </c>
      <c r="AF4365">
        <v>8</v>
      </c>
      <c r="AG4365">
        <v>2</v>
      </c>
      <c r="AH4365">
        <v>2</v>
      </c>
      <c r="AI4365">
        <v>166.67</v>
      </c>
      <c r="AL4365" t="s">
        <v>19615</v>
      </c>
      <c r="AM4365">
        <v>82000</v>
      </c>
      <c r="AS4365">
        <v>0</v>
      </c>
      <c r="AU4365" t="s">
        <v>20704</v>
      </c>
    </row>
    <row r="4366" spans="1:48">
      <c r="A4366" s="1">
        <f>HYPERLINK("https://lsnyc.legalserver.org/matter/dynamic-profile/view/1836325","17-1836325")</f>
        <v>0</v>
      </c>
      <c r="B4366" t="s">
        <v>120</v>
      </c>
      <c r="C4366" t="s">
        <v>256</v>
      </c>
      <c r="D4366" t="s">
        <v>732</v>
      </c>
      <c r="F4366" t="s">
        <v>1883</v>
      </c>
      <c r="G4366" t="s">
        <v>3630</v>
      </c>
      <c r="H4366" t="s">
        <v>5898</v>
      </c>
      <c r="J4366" t="s">
        <v>9065</v>
      </c>
      <c r="K4366">
        <v>10452</v>
      </c>
      <c r="L4366" t="s">
        <v>9094</v>
      </c>
      <c r="M4366" t="s">
        <v>9095</v>
      </c>
      <c r="N4366" t="s">
        <v>9251</v>
      </c>
      <c r="O4366" t="s">
        <v>11132</v>
      </c>
      <c r="P4366" t="s">
        <v>11165</v>
      </c>
      <c r="R4366" t="s">
        <v>11180</v>
      </c>
      <c r="S4366" t="s">
        <v>9094</v>
      </c>
      <c r="T4366" t="s">
        <v>11183</v>
      </c>
      <c r="V4366" t="s">
        <v>770</v>
      </c>
      <c r="W4366">
        <v>968</v>
      </c>
      <c r="X4366" t="s">
        <v>11333</v>
      </c>
      <c r="Y4366" t="s">
        <v>11339</v>
      </c>
      <c r="Z4366" t="s">
        <v>13121</v>
      </c>
      <c r="AB4366" t="s">
        <v>18552</v>
      </c>
      <c r="AC4366">
        <v>0</v>
      </c>
      <c r="AD4366" t="s">
        <v>19566</v>
      </c>
      <c r="AE4366" t="s">
        <v>9144</v>
      </c>
      <c r="AF4366">
        <v>8</v>
      </c>
      <c r="AG4366">
        <v>2</v>
      </c>
      <c r="AH4366">
        <v>2</v>
      </c>
      <c r="AI4366">
        <v>166.67</v>
      </c>
      <c r="AL4366" t="s">
        <v>19615</v>
      </c>
      <c r="AM4366">
        <v>41000</v>
      </c>
      <c r="AS4366">
        <v>0</v>
      </c>
      <c r="AU4366" t="s">
        <v>20704</v>
      </c>
    </row>
    <row r="4367" spans="1:48">
      <c r="A4367" s="1">
        <f>HYPERLINK("https://lsnyc.legalserver.org/matter/dynamic-profile/view/1836298","17-1836298")</f>
        <v>0</v>
      </c>
      <c r="B4367" t="s">
        <v>120</v>
      </c>
      <c r="C4367" t="s">
        <v>256</v>
      </c>
      <c r="D4367" t="s">
        <v>732</v>
      </c>
      <c r="F4367" t="s">
        <v>1276</v>
      </c>
      <c r="G4367" t="s">
        <v>3630</v>
      </c>
      <c r="H4367" t="s">
        <v>5898</v>
      </c>
      <c r="I4367" t="s">
        <v>8329</v>
      </c>
      <c r="J4367" t="s">
        <v>9065</v>
      </c>
      <c r="K4367">
        <v>10452</v>
      </c>
      <c r="L4367" t="s">
        <v>9094</v>
      </c>
      <c r="M4367" t="s">
        <v>9095</v>
      </c>
      <c r="P4367" t="s">
        <v>11166</v>
      </c>
      <c r="R4367" t="s">
        <v>11180</v>
      </c>
      <c r="S4367" t="s">
        <v>9094</v>
      </c>
      <c r="T4367" t="s">
        <v>11183</v>
      </c>
      <c r="V4367" t="s">
        <v>770</v>
      </c>
      <c r="W4367">
        <v>968.8</v>
      </c>
      <c r="X4367" t="s">
        <v>11333</v>
      </c>
      <c r="Y4367" t="s">
        <v>11339</v>
      </c>
      <c r="Z4367" t="s">
        <v>14228</v>
      </c>
      <c r="AA4367" t="s">
        <v>15862</v>
      </c>
      <c r="AB4367" t="s">
        <v>18551</v>
      </c>
      <c r="AC4367">
        <v>0</v>
      </c>
      <c r="AD4367" t="s">
        <v>19566</v>
      </c>
      <c r="AE4367" t="s">
        <v>9144</v>
      </c>
      <c r="AF4367">
        <v>8</v>
      </c>
      <c r="AG4367">
        <v>2</v>
      </c>
      <c r="AH4367">
        <v>2</v>
      </c>
      <c r="AI4367">
        <v>166.67</v>
      </c>
      <c r="AL4367" t="s">
        <v>19615</v>
      </c>
      <c r="AM4367">
        <v>41000</v>
      </c>
      <c r="AS4367">
        <v>0</v>
      </c>
      <c r="AU4367" t="s">
        <v>20704</v>
      </c>
    </row>
    <row r="4368" spans="1:48">
      <c r="A4368" s="1">
        <f>HYPERLINK("https://lsnyc.legalserver.org/matter/dynamic-profile/view/1836321","17-1836321")</f>
        <v>0</v>
      </c>
      <c r="B4368" t="s">
        <v>120</v>
      </c>
      <c r="C4368" t="s">
        <v>256</v>
      </c>
      <c r="D4368" t="s">
        <v>732</v>
      </c>
      <c r="F4368" t="s">
        <v>1883</v>
      </c>
      <c r="G4368" t="s">
        <v>3630</v>
      </c>
      <c r="H4368" t="s">
        <v>5898</v>
      </c>
      <c r="J4368" t="s">
        <v>9065</v>
      </c>
      <c r="K4368">
        <v>10452</v>
      </c>
      <c r="L4368" t="s">
        <v>9094</v>
      </c>
      <c r="M4368" t="s">
        <v>9095</v>
      </c>
      <c r="P4368" t="s">
        <v>11166</v>
      </c>
      <c r="R4368" t="s">
        <v>11180</v>
      </c>
      <c r="S4368" t="s">
        <v>9094</v>
      </c>
      <c r="T4368" t="s">
        <v>11183</v>
      </c>
      <c r="V4368" t="s">
        <v>770</v>
      </c>
      <c r="W4368">
        <v>968.8</v>
      </c>
      <c r="X4368" t="s">
        <v>11333</v>
      </c>
      <c r="Y4368" t="s">
        <v>11339</v>
      </c>
      <c r="Z4368" t="s">
        <v>13121</v>
      </c>
      <c r="AB4368" t="s">
        <v>18552</v>
      </c>
      <c r="AC4368">
        <v>0</v>
      </c>
      <c r="AD4368" t="s">
        <v>19566</v>
      </c>
      <c r="AE4368" t="s">
        <v>9144</v>
      </c>
      <c r="AF4368">
        <v>8</v>
      </c>
      <c r="AG4368">
        <v>2</v>
      </c>
      <c r="AH4368">
        <v>2</v>
      </c>
      <c r="AI4368">
        <v>166.67</v>
      </c>
      <c r="AL4368" t="s">
        <v>19615</v>
      </c>
      <c r="AM4368">
        <v>41000</v>
      </c>
      <c r="AS4368">
        <v>0</v>
      </c>
      <c r="AU4368" t="s">
        <v>20704</v>
      </c>
    </row>
    <row r="4369" spans="1:48">
      <c r="A4369" s="1">
        <f>HYPERLINK("https://lsnyc.legalserver.org/matter/dynamic-profile/view/1890637","19-1890637")</f>
        <v>0</v>
      </c>
      <c r="B4369" t="s">
        <v>70</v>
      </c>
      <c r="C4369" t="s">
        <v>256</v>
      </c>
      <c r="D4369" t="s">
        <v>695</v>
      </c>
      <c r="F4369" t="s">
        <v>1199</v>
      </c>
      <c r="G4369" t="s">
        <v>5083</v>
      </c>
      <c r="H4369" t="s">
        <v>5749</v>
      </c>
      <c r="I4369" t="s">
        <v>8615</v>
      </c>
      <c r="J4369" t="s">
        <v>9059</v>
      </c>
      <c r="K4369">
        <v>11233</v>
      </c>
      <c r="L4369" t="s">
        <v>9094</v>
      </c>
      <c r="M4369" t="s">
        <v>9096</v>
      </c>
      <c r="N4369" t="s">
        <v>9146</v>
      </c>
      <c r="O4369" t="s">
        <v>11134</v>
      </c>
      <c r="P4369" t="s">
        <v>11168</v>
      </c>
      <c r="R4369" t="s">
        <v>11180</v>
      </c>
      <c r="S4369" t="s">
        <v>9094</v>
      </c>
      <c r="T4369" t="s">
        <v>11183</v>
      </c>
      <c r="U4369" t="s">
        <v>11201</v>
      </c>
      <c r="V4369" t="s">
        <v>482</v>
      </c>
      <c r="W4369">
        <v>1148.69</v>
      </c>
      <c r="X4369" t="s">
        <v>11332</v>
      </c>
      <c r="Y4369" t="s">
        <v>11157</v>
      </c>
      <c r="Z4369" t="s">
        <v>14229</v>
      </c>
      <c r="AA4369" t="s">
        <v>9171</v>
      </c>
      <c r="AC4369">
        <v>359</v>
      </c>
      <c r="AD4369" t="s">
        <v>19566</v>
      </c>
      <c r="AE4369" t="s">
        <v>9144</v>
      </c>
      <c r="AF4369">
        <v>34</v>
      </c>
      <c r="AG4369">
        <v>1</v>
      </c>
      <c r="AH4369">
        <v>0</v>
      </c>
      <c r="AI4369">
        <v>166.73</v>
      </c>
      <c r="AL4369" t="s">
        <v>19614</v>
      </c>
      <c r="AM4369">
        <v>20824.62</v>
      </c>
      <c r="AN4369" t="s">
        <v>19642</v>
      </c>
      <c r="AS4369">
        <v>0</v>
      </c>
      <c r="AU4369" t="s">
        <v>79</v>
      </c>
      <c r="AV4369" t="s">
        <v>9144</v>
      </c>
    </row>
    <row r="4370" spans="1:48">
      <c r="A4370" s="1">
        <f>HYPERLINK("https://lsnyc.legalserver.org/matter/dynamic-profile/view/1891624","19-1891624")</f>
        <v>0</v>
      </c>
      <c r="B4370" t="s">
        <v>70</v>
      </c>
      <c r="C4370" t="s">
        <v>256</v>
      </c>
      <c r="D4370" t="s">
        <v>788</v>
      </c>
      <c r="F4370" t="s">
        <v>1199</v>
      </c>
      <c r="G4370" t="s">
        <v>5083</v>
      </c>
      <c r="H4370" t="s">
        <v>5749</v>
      </c>
      <c r="I4370" t="s">
        <v>8615</v>
      </c>
      <c r="J4370" t="s">
        <v>9059</v>
      </c>
      <c r="K4370">
        <v>11233</v>
      </c>
      <c r="L4370" t="s">
        <v>9094</v>
      </c>
      <c r="M4370" t="s">
        <v>9096</v>
      </c>
      <c r="O4370" t="s">
        <v>11137</v>
      </c>
      <c r="P4370" t="s">
        <v>11167</v>
      </c>
      <c r="R4370" t="s">
        <v>11180</v>
      </c>
      <c r="S4370" t="s">
        <v>9094</v>
      </c>
      <c r="T4370" t="s">
        <v>11183</v>
      </c>
      <c r="U4370" t="s">
        <v>11201</v>
      </c>
      <c r="V4370" t="s">
        <v>749</v>
      </c>
      <c r="W4370">
        <v>1148.69</v>
      </c>
      <c r="X4370" t="s">
        <v>11332</v>
      </c>
      <c r="Y4370" t="s">
        <v>11157</v>
      </c>
      <c r="Z4370" t="s">
        <v>14229</v>
      </c>
      <c r="AC4370">
        <v>359</v>
      </c>
      <c r="AD4370" t="s">
        <v>19566</v>
      </c>
      <c r="AE4370" t="s">
        <v>9144</v>
      </c>
      <c r="AF4370">
        <v>34</v>
      </c>
      <c r="AG4370">
        <v>1</v>
      </c>
      <c r="AH4370">
        <v>0</v>
      </c>
      <c r="AI4370">
        <v>166.73</v>
      </c>
      <c r="AL4370" t="s">
        <v>19614</v>
      </c>
      <c r="AM4370">
        <v>20824.62</v>
      </c>
      <c r="AN4370" t="s">
        <v>20020</v>
      </c>
      <c r="AS4370">
        <v>0</v>
      </c>
      <c r="AU4370" t="s">
        <v>79</v>
      </c>
      <c r="AV4370" t="s">
        <v>9144</v>
      </c>
    </row>
    <row r="4371" spans="1:48">
      <c r="A4371" s="1">
        <f>HYPERLINK("https://lsnyc.legalserver.org/matter/dynamic-profile/view/1895803","19-1895803")</f>
        <v>0</v>
      </c>
      <c r="B4371" t="s">
        <v>52</v>
      </c>
      <c r="C4371" t="s">
        <v>257</v>
      </c>
      <c r="D4371" t="s">
        <v>376</v>
      </c>
      <c r="E4371" t="s">
        <v>1016</v>
      </c>
      <c r="F4371" t="s">
        <v>1137</v>
      </c>
      <c r="G4371" t="s">
        <v>3826</v>
      </c>
      <c r="H4371" t="s">
        <v>7667</v>
      </c>
      <c r="J4371" t="s">
        <v>9038</v>
      </c>
      <c r="K4371">
        <v>11691</v>
      </c>
      <c r="L4371" t="s">
        <v>9094</v>
      </c>
      <c r="M4371" t="s">
        <v>9094</v>
      </c>
      <c r="O4371" t="s">
        <v>11134</v>
      </c>
      <c r="P4371" t="s">
        <v>11167</v>
      </c>
      <c r="Q4371" t="s">
        <v>11173</v>
      </c>
      <c r="R4371" t="s">
        <v>11180</v>
      </c>
      <c r="S4371" t="s">
        <v>9094</v>
      </c>
      <c r="T4371" t="s">
        <v>11183</v>
      </c>
      <c r="U4371" t="s">
        <v>11201</v>
      </c>
      <c r="V4371" t="s">
        <v>376</v>
      </c>
      <c r="W4371">
        <v>475</v>
      </c>
      <c r="X4371" t="s">
        <v>11331</v>
      </c>
      <c r="Y4371" t="s">
        <v>11339</v>
      </c>
      <c r="Z4371" t="s">
        <v>14230</v>
      </c>
      <c r="AA4371" t="s">
        <v>15274</v>
      </c>
      <c r="AB4371" t="s">
        <v>18553</v>
      </c>
      <c r="AC4371">
        <v>43</v>
      </c>
      <c r="AD4371" t="s">
        <v>19566</v>
      </c>
      <c r="AE4371" t="s">
        <v>9144</v>
      </c>
      <c r="AF4371">
        <v>4</v>
      </c>
      <c r="AG4371">
        <v>2</v>
      </c>
      <c r="AH4371">
        <v>0</v>
      </c>
      <c r="AI4371">
        <v>166.77</v>
      </c>
      <c r="AL4371" t="s">
        <v>19614</v>
      </c>
      <c r="AM4371">
        <v>28200</v>
      </c>
      <c r="AS4371">
        <v>0.1</v>
      </c>
      <c r="AT4371" t="s">
        <v>1016</v>
      </c>
      <c r="AU4371" t="s">
        <v>20622</v>
      </c>
      <c r="AV4371" t="s">
        <v>20733</v>
      </c>
    </row>
    <row r="4372" spans="1:48">
      <c r="A4372" s="1">
        <f>HYPERLINK("https://lsnyc.legalserver.org/matter/dynamic-profile/view/1895808","19-1895808")</f>
        <v>0</v>
      </c>
      <c r="B4372" t="s">
        <v>52</v>
      </c>
      <c r="C4372" t="s">
        <v>256</v>
      </c>
      <c r="D4372" t="s">
        <v>376</v>
      </c>
      <c r="F4372" t="s">
        <v>1137</v>
      </c>
      <c r="G4372" t="s">
        <v>3826</v>
      </c>
      <c r="H4372" t="s">
        <v>7667</v>
      </c>
      <c r="I4372">
        <v>4</v>
      </c>
      <c r="J4372" t="s">
        <v>9038</v>
      </c>
      <c r="K4372">
        <v>11691</v>
      </c>
      <c r="L4372" t="s">
        <v>9094</v>
      </c>
      <c r="M4372" t="s">
        <v>9094</v>
      </c>
      <c r="O4372" t="s">
        <v>11136</v>
      </c>
      <c r="P4372" t="s">
        <v>11167</v>
      </c>
      <c r="R4372" t="s">
        <v>11180</v>
      </c>
      <c r="S4372" t="s">
        <v>9094</v>
      </c>
      <c r="T4372" t="s">
        <v>11183</v>
      </c>
      <c r="V4372" t="s">
        <v>376</v>
      </c>
      <c r="W4372">
        <v>475</v>
      </c>
      <c r="X4372" t="s">
        <v>11331</v>
      </c>
      <c r="Y4372" t="s">
        <v>11339</v>
      </c>
      <c r="Z4372" t="s">
        <v>14230</v>
      </c>
      <c r="AA4372" t="s">
        <v>15274</v>
      </c>
      <c r="AB4372" t="s">
        <v>18553</v>
      </c>
      <c r="AC4372">
        <v>43</v>
      </c>
      <c r="AD4372" t="s">
        <v>19566</v>
      </c>
      <c r="AE4372" t="s">
        <v>9144</v>
      </c>
      <c r="AF4372">
        <v>4</v>
      </c>
      <c r="AG4372">
        <v>2</v>
      </c>
      <c r="AH4372">
        <v>0</v>
      </c>
      <c r="AI4372">
        <v>166.77</v>
      </c>
      <c r="AL4372" t="s">
        <v>19614</v>
      </c>
      <c r="AM4372">
        <v>28200</v>
      </c>
      <c r="AS4372">
        <v>0</v>
      </c>
      <c r="AU4372" t="s">
        <v>20622</v>
      </c>
    </row>
    <row r="4373" spans="1:48">
      <c r="A4373" s="1">
        <f>HYPERLINK("https://lsnyc.legalserver.org/matter/dynamic-profile/view/0831483","17-0831483")</f>
        <v>0</v>
      </c>
      <c r="B4373" t="s">
        <v>139</v>
      </c>
      <c r="C4373" t="s">
        <v>256</v>
      </c>
      <c r="D4373" t="s">
        <v>661</v>
      </c>
      <c r="F4373" t="s">
        <v>2801</v>
      </c>
      <c r="G4373" t="s">
        <v>3419</v>
      </c>
      <c r="H4373" t="s">
        <v>6363</v>
      </c>
      <c r="I4373" t="s">
        <v>8279</v>
      </c>
      <c r="J4373" t="s">
        <v>9067</v>
      </c>
      <c r="K4373">
        <v>10040</v>
      </c>
      <c r="L4373" t="s">
        <v>9095</v>
      </c>
      <c r="M4373" t="s">
        <v>9095</v>
      </c>
      <c r="N4373" t="s">
        <v>10703</v>
      </c>
      <c r="O4373" t="s">
        <v>11130</v>
      </c>
      <c r="P4373" t="s">
        <v>11165</v>
      </c>
      <c r="R4373" t="s">
        <v>11180</v>
      </c>
      <c r="S4373" t="s">
        <v>9094</v>
      </c>
      <c r="T4373" t="s">
        <v>11183</v>
      </c>
      <c r="V4373" t="s">
        <v>11298</v>
      </c>
      <c r="W4373">
        <v>1585</v>
      </c>
      <c r="X4373" t="s">
        <v>11335</v>
      </c>
      <c r="Y4373" t="s">
        <v>11339</v>
      </c>
      <c r="Z4373" t="s">
        <v>14185</v>
      </c>
      <c r="AC4373">
        <v>83</v>
      </c>
      <c r="AD4373" t="s">
        <v>19566</v>
      </c>
      <c r="AE4373" t="s">
        <v>9144</v>
      </c>
      <c r="AF4373">
        <v>20</v>
      </c>
      <c r="AG4373">
        <v>3</v>
      </c>
      <c r="AH4373">
        <v>2</v>
      </c>
      <c r="AI4373">
        <v>166.78</v>
      </c>
      <c r="AJ4373" t="s">
        <v>463</v>
      </c>
      <c r="AL4373" t="s">
        <v>19614</v>
      </c>
      <c r="AM4373">
        <v>48000</v>
      </c>
      <c r="AS4373">
        <v>0</v>
      </c>
      <c r="AT4373" t="s">
        <v>537</v>
      </c>
      <c r="AU4373" t="s">
        <v>20657</v>
      </c>
    </row>
    <row r="4374" spans="1:48">
      <c r="A4374" s="1">
        <f>HYPERLINK("https://lsnyc.legalserver.org/matter/dynamic-profile/view/0831484","17-0831484")</f>
        <v>0</v>
      </c>
      <c r="B4374" t="s">
        <v>139</v>
      </c>
      <c r="C4374" t="s">
        <v>256</v>
      </c>
      <c r="D4374" t="s">
        <v>661</v>
      </c>
      <c r="F4374" t="s">
        <v>2801</v>
      </c>
      <c r="G4374" t="s">
        <v>3419</v>
      </c>
      <c r="H4374" t="s">
        <v>6363</v>
      </c>
      <c r="I4374" t="s">
        <v>8279</v>
      </c>
      <c r="J4374" t="s">
        <v>9067</v>
      </c>
      <c r="K4374">
        <v>10040</v>
      </c>
      <c r="L4374" t="s">
        <v>9095</v>
      </c>
      <c r="M4374" t="s">
        <v>9095</v>
      </c>
      <c r="N4374" t="s">
        <v>10703</v>
      </c>
      <c r="O4374" t="s">
        <v>9121</v>
      </c>
      <c r="P4374" t="s">
        <v>11166</v>
      </c>
      <c r="R4374" t="s">
        <v>11180</v>
      </c>
      <c r="S4374" t="s">
        <v>9094</v>
      </c>
      <c r="T4374" t="s">
        <v>11183</v>
      </c>
      <c r="V4374" t="s">
        <v>11298</v>
      </c>
      <c r="W4374">
        <v>1585</v>
      </c>
      <c r="X4374" t="s">
        <v>11335</v>
      </c>
      <c r="Y4374" t="s">
        <v>11339</v>
      </c>
      <c r="Z4374" t="s">
        <v>14185</v>
      </c>
      <c r="AC4374">
        <v>83</v>
      </c>
      <c r="AD4374" t="s">
        <v>19566</v>
      </c>
      <c r="AE4374" t="s">
        <v>9144</v>
      </c>
      <c r="AF4374">
        <v>20</v>
      </c>
      <c r="AG4374">
        <v>3</v>
      </c>
      <c r="AH4374">
        <v>2</v>
      </c>
      <c r="AI4374">
        <v>166.78</v>
      </c>
      <c r="AJ4374" t="s">
        <v>463</v>
      </c>
      <c r="AL4374" t="s">
        <v>19614</v>
      </c>
      <c r="AM4374">
        <v>48000</v>
      </c>
      <c r="AS4374">
        <v>0</v>
      </c>
      <c r="AU4374" t="s">
        <v>20657</v>
      </c>
    </row>
    <row r="4375" spans="1:48">
      <c r="A4375" s="1">
        <f>HYPERLINK("https://lsnyc.legalserver.org/matter/dynamic-profile/view/1909630","19-1909630")</f>
        <v>0</v>
      </c>
      <c r="B4375" t="s">
        <v>137</v>
      </c>
      <c r="C4375" t="s">
        <v>256</v>
      </c>
      <c r="D4375" t="s">
        <v>444</v>
      </c>
      <c r="F4375" t="s">
        <v>2822</v>
      </c>
      <c r="G4375" t="s">
        <v>3427</v>
      </c>
      <c r="H4375" t="s">
        <v>7668</v>
      </c>
      <c r="I4375">
        <v>48</v>
      </c>
      <c r="J4375" t="s">
        <v>9067</v>
      </c>
      <c r="K4375">
        <v>10032</v>
      </c>
      <c r="L4375" t="s">
        <v>9094</v>
      </c>
      <c r="M4375" t="s">
        <v>9095</v>
      </c>
      <c r="P4375" t="s">
        <v>11169</v>
      </c>
      <c r="R4375" t="s">
        <v>11180</v>
      </c>
      <c r="S4375" t="s">
        <v>9096</v>
      </c>
      <c r="T4375" t="s">
        <v>11183</v>
      </c>
      <c r="V4375" t="s">
        <v>444</v>
      </c>
      <c r="W4375">
        <v>419.62</v>
      </c>
      <c r="X4375" t="s">
        <v>11335</v>
      </c>
      <c r="Y4375" t="s">
        <v>11340</v>
      </c>
      <c r="Z4375" t="s">
        <v>14231</v>
      </c>
      <c r="AB4375" t="s">
        <v>18554</v>
      </c>
      <c r="AC4375">
        <v>70</v>
      </c>
      <c r="AD4375" t="s">
        <v>19566</v>
      </c>
      <c r="AE4375" t="s">
        <v>9144</v>
      </c>
      <c r="AF4375">
        <v>57</v>
      </c>
      <c r="AG4375">
        <v>1</v>
      </c>
      <c r="AH4375">
        <v>0</v>
      </c>
      <c r="AI4375">
        <v>166.79</v>
      </c>
      <c r="AL4375" t="s">
        <v>19614</v>
      </c>
      <c r="AM4375">
        <v>20832</v>
      </c>
      <c r="AS4375">
        <v>0.5</v>
      </c>
      <c r="AT4375" t="s">
        <v>308</v>
      </c>
      <c r="AU4375" t="s">
        <v>130</v>
      </c>
      <c r="AV4375" t="s">
        <v>20733</v>
      </c>
    </row>
    <row r="4376" spans="1:48">
      <c r="A4376" s="1">
        <f>HYPERLINK("https://lsnyc.legalserver.org/matter/dynamic-profile/view/1892495","19-1892495")</f>
        <v>0</v>
      </c>
      <c r="B4376" t="s">
        <v>151</v>
      </c>
      <c r="C4376" t="s">
        <v>257</v>
      </c>
      <c r="D4376" t="s">
        <v>311</v>
      </c>
      <c r="E4376" t="s">
        <v>326</v>
      </c>
      <c r="F4376" t="s">
        <v>2490</v>
      </c>
      <c r="G4376" t="s">
        <v>5084</v>
      </c>
      <c r="H4376" t="s">
        <v>6376</v>
      </c>
      <c r="I4376" t="s">
        <v>8218</v>
      </c>
      <c r="J4376" t="s">
        <v>9059</v>
      </c>
      <c r="K4376">
        <v>11213</v>
      </c>
      <c r="L4376" t="s">
        <v>9094</v>
      </c>
      <c r="M4376" t="s">
        <v>9094</v>
      </c>
      <c r="N4376" t="s">
        <v>9121</v>
      </c>
      <c r="O4376" t="s">
        <v>9121</v>
      </c>
      <c r="P4376" t="s">
        <v>11164</v>
      </c>
      <c r="Q4376" t="s">
        <v>11172</v>
      </c>
      <c r="R4376" t="s">
        <v>11180</v>
      </c>
      <c r="S4376" t="s">
        <v>9096</v>
      </c>
      <c r="T4376" t="s">
        <v>11183</v>
      </c>
      <c r="V4376" t="s">
        <v>635</v>
      </c>
      <c r="W4376">
        <v>0</v>
      </c>
      <c r="X4376" t="s">
        <v>11332</v>
      </c>
      <c r="Y4376" t="s">
        <v>11157</v>
      </c>
      <c r="Z4376" t="s">
        <v>14232</v>
      </c>
      <c r="AC4376">
        <v>6</v>
      </c>
      <c r="AD4376" t="s">
        <v>19566</v>
      </c>
      <c r="AE4376" t="s">
        <v>9144</v>
      </c>
      <c r="AF4376">
        <v>0</v>
      </c>
      <c r="AG4376">
        <v>3</v>
      </c>
      <c r="AH4376">
        <v>0</v>
      </c>
      <c r="AI4376">
        <v>166.9</v>
      </c>
      <c r="AL4376" t="s">
        <v>19614</v>
      </c>
      <c r="AM4376">
        <v>35600</v>
      </c>
      <c r="AS4376">
        <v>0.1</v>
      </c>
      <c r="AT4376" t="s">
        <v>326</v>
      </c>
      <c r="AU4376" t="s">
        <v>79</v>
      </c>
    </row>
    <row r="4377" spans="1:48">
      <c r="A4377" s="1">
        <f>HYPERLINK("https://lsnyc.legalserver.org/matter/dynamic-profile/view/1904303","19-1904303")</f>
        <v>0</v>
      </c>
      <c r="B4377" t="s">
        <v>139</v>
      </c>
      <c r="C4377" t="s">
        <v>256</v>
      </c>
      <c r="D4377" t="s">
        <v>265</v>
      </c>
      <c r="F4377" t="s">
        <v>1404</v>
      </c>
      <c r="G4377" t="s">
        <v>3419</v>
      </c>
      <c r="H4377" t="s">
        <v>6625</v>
      </c>
      <c r="I4377">
        <v>33</v>
      </c>
      <c r="J4377" t="s">
        <v>9067</v>
      </c>
      <c r="K4377">
        <v>10034</v>
      </c>
      <c r="L4377" t="s">
        <v>9094</v>
      </c>
      <c r="M4377" t="s">
        <v>9095</v>
      </c>
      <c r="N4377" t="s">
        <v>10704</v>
      </c>
      <c r="O4377" t="s">
        <v>11129</v>
      </c>
      <c r="P4377" t="s">
        <v>11165</v>
      </c>
      <c r="R4377" t="s">
        <v>11180</v>
      </c>
      <c r="S4377" t="s">
        <v>9096</v>
      </c>
      <c r="T4377" t="s">
        <v>11183</v>
      </c>
      <c r="V4377" t="s">
        <v>265</v>
      </c>
      <c r="W4377">
        <v>818</v>
      </c>
      <c r="X4377" t="s">
        <v>11335</v>
      </c>
      <c r="Y4377" t="s">
        <v>11340</v>
      </c>
      <c r="Z4377" t="s">
        <v>14233</v>
      </c>
      <c r="AB4377" t="s">
        <v>18555</v>
      </c>
      <c r="AC4377">
        <v>25</v>
      </c>
      <c r="AD4377" t="s">
        <v>19566</v>
      </c>
      <c r="AE4377" t="s">
        <v>9144</v>
      </c>
      <c r="AF4377">
        <v>18</v>
      </c>
      <c r="AG4377">
        <v>3</v>
      </c>
      <c r="AH4377">
        <v>0</v>
      </c>
      <c r="AI4377">
        <v>166.9</v>
      </c>
      <c r="AL4377" t="s">
        <v>19615</v>
      </c>
      <c r="AM4377">
        <v>35600</v>
      </c>
      <c r="AS4377">
        <v>32.42</v>
      </c>
      <c r="AT4377" t="s">
        <v>484</v>
      </c>
      <c r="AU4377" t="s">
        <v>130</v>
      </c>
      <c r="AV4377" t="s">
        <v>20733</v>
      </c>
    </row>
    <row r="4378" spans="1:48">
      <c r="A4378" s="1">
        <f>HYPERLINK("https://lsnyc.legalserver.org/matter/dynamic-profile/view/0832882","17-0832882")</f>
        <v>0</v>
      </c>
      <c r="B4378" t="s">
        <v>149</v>
      </c>
      <c r="C4378" t="s">
        <v>256</v>
      </c>
      <c r="D4378" t="s">
        <v>1060</v>
      </c>
      <c r="F4378" t="s">
        <v>2686</v>
      </c>
      <c r="G4378" t="s">
        <v>3762</v>
      </c>
      <c r="H4378" t="s">
        <v>7509</v>
      </c>
      <c r="I4378">
        <v>905</v>
      </c>
      <c r="J4378" t="s">
        <v>9067</v>
      </c>
      <c r="K4378">
        <v>10029</v>
      </c>
      <c r="L4378" t="s">
        <v>9094</v>
      </c>
      <c r="M4378" t="s">
        <v>9095</v>
      </c>
      <c r="O4378" t="s">
        <v>11152</v>
      </c>
      <c r="P4378" t="s">
        <v>11165</v>
      </c>
      <c r="R4378" t="s">
        <v>11180</v>
      </c>
      <c r="S4378" t="s">
        <v>9096</v>
      </c>
      <c r="T4378" t="s">
        <v>11189</v>
      </c>
      <c r="V4378" t="s">
        <v>11299</v>
      </c>
      <c r="W4378">
        <v>860</v>
      </c>
      <c r="X4378" t="s">
        <v>11335</v>
      </c>
      <c r="Y4378" t="s">
        <v>11340</v>
      </c>
      <c r="Z4378" t="s">
        <v>13969</v>
      </c>
      <c r="AB4378" t="s">
        <v>18299</v>
      </c>
      <c r="AC4378">
        <v>31</v>
      </c>
      <c r="AD4378" t="s">
        <v>19568</v>
      </c>
      <c r="AE4378" t="s">
        <v>9144</v>
      </c>
      <c r="AF4378">
        <v>43</v>
      </c>
      <c r="AG4378">
        <v>1</v>
      </c>
      <c r="AH4378">
        <v>0</v>
      </c>
      <c r="AI4378">
        <v>166.97</v>
      </c>
      <c r="AL4378" t="s">
        <v>19615</v>
      </c>
      <c r="AM4378">
        <v>20136</v>
      </c>
      <c r="AS4378">
        <v>114.06</v>
      </c>
      <c r="AT4378" t="s">
        <v>466</v>
      </c>
      <c r="AU4378" t="s">
        <v>20657</v>
      </c>
    </row>
    <row r="4379" spans="1:48">
      <c r="A4379" s="1">
        <f>HYPERLINK("https://lsnyc.legalserver.org/matter/dynamic-profile/view/1912403","19-1912403")</f>
        <v>0</v>
      </c>
      <c r="B4379" t="s">
        <v>52</v>
      </c>
      <c r="C4379" t="s">
        <v>256</v>
      </c>
      <c r="D4379" t="s">
        <v>744</v>
      </c>
      <c r="F4379" t="s">
        <v>2615</v>
      </c>
      <c r="G4379" t="s">
        <v>2903</v>
      </c>
      <c r="H4379" t="s">
        <v>5692</v>
      </c>
      <c r="I4379" t="s">
        <v>8419</v>
      </c>
      <c r="J4379" t="s">
        <v>9038</v>
      </c>
      <c r="K4379">
        <v>11691</v>
      </c>
      <c r="L4379" t="s">
        <v>9094</v>
      </c>
      <c r="M4379" t="s">
        <v>9095</v>
      </c>
      <c r="N4379" t="s">
        <v>9664</v>
      </c>
      <c r="O4379" t="s">
        <v>11130</v>
      </c>
      <c r="P4379" t="s">
        <v>11165</v>
      </c>
      <c r="R4379" t="s">
        <v>11180</v>
      </c>
      <c r="S4379" t="s">
        <v>9094</v>
      </c>
      <c r="T4379" t="s">
        <v>11183</v>
      </c>
      <c r="U4379" t="s">
        <v>11201</v>
      </c>
      <c r="V4379" t="s">
        <v>744</v>
      </c>
      <c r="W4379">
        <v>637</v>
      </c>
      <c r="X4379" t="s">
        <v>11331</v>
      </c>
      <c r="Y4379" t="s">
        <v>11339</v>
      </c>
      <c r="Z4379" t="s">
        <v>13821</v>
      </c>
      <c r="AB4379" t="s">
        <v>18150</v>
      </c>
      <c r="AC4379">
        <v>43</v>
      </c>
      <c r="AD4379" t="s">
        <v>19566</v>
      </c>
      <c r="AE4379" t="s">
        <v>9144</v>
      </c>
      <c r="AF4379">
        <v>30</v>
      </c>
      <c r="AG4379">
        <v>4</v>
      </c>
      <c r="AH4379">
        <v>0</v>
      </c>
      <c r="AI4379">
        <v>166.99</v>
      </c>
      <c r="AL4379" t="s">
        <v>19614</v>
      </c>
      <c r="AM4379">
        <v>43000</v>
      </c>
      <c r="AP4379" t="s">
        <v>11157</v>
      </c>
      <c r="AS4379">
        <v>0.3</v>
      </c>
      <c r="AT4379" t="s">
        <v>744</v>
      </c>
      <c r="AU4379" t="s">
        <v>20620</v>
      </c>
      <c r="AV4379" t="s">
        <v>20733</v>
      </c>
    </row>
    <row r="4380" spans="1:48">
      <c r="A4380" s="1">
        <f>HYPERLINK("https://lsnyc.legalserver.org/matter/dynamic-profile/view/1912394","19-1912394")</f>
        <v>0</v>
      </c>
      <c r="B4380" t="s">
        <v>52</v>
      </c>
      <c r="C4380" t="s">
        <v>256</v>
      </c>
      <c r="D4380" t="s">
        <v>744</v>
      </c>
      <c r="F4380" t="s">
        <v>2615</v>
      </c>
      <c r="G4380" t="s">
        <v>2903</v>
      </c>
      <c r="H4380" t="s">
        <v>5692</v>
      </c>
      <c r="I4380" t="s">
        <v>8767</v>
      </c>
      <c r="J4380" t="s">
        <v>9038</v>
      </c>
      <c r="K4380">
        <v>11691</v>
      </c>
      <c r="L4380" t="s">
        <v>9094</v>
      </c>
      <c r="M4380" t="s">
        <v>9095</v>
      </c>
      <c r="O4380" t="s">
        <v>11129</v>
      </c>
      <c r="P4380" t="s">
        <v>11166</v>
      </c>
      <c r="R4380" t="s">
        <v>11180</v>
      </c>
      <c r="S4380" t="s">
        <v>9094</v>
      </c>
      <c r="T4380" t="s">
        <v>11183</v>
      </c>
      <c r="V4380" t="s">
        <v>744</v>
      </c>
      <c r="W4380">
        <v>637</v>
      </c>
      <c r="X4380" t="s">
        <v>11331</v>
      </c>
      <c r="Y4380" t="s">
        <v>11339</v>
      </c>
      <c r="Z4380" t="s">
        <v>13821</v>
      </c>
      <c r="AB4380" t="s">
        <v>18150</v>
      </c>
      <c r="AC4380">
        <v>43</v>
      </c>
      <c r="AD4380" t="s">
        <v>19566</v>
      </c>
      <c r="AE4380" t="s">
        <v>9144</v>
      </c>
      <c r="AF4380">
        <v>30</v>
      </c>
      <c r="AG4380">
        <v>4</v>
      </c>
      <c r="AH4380">
        <v>0</v>
      </c>
      <c r="AI4380">
        <v>166.99</v>
      </c>
      <c r="AL4380" t="s">
        <v>19614</v>
      </c>
      <c r="AM4380">
        <v>43000</v>
      </c>
      <c r="AS4380">
        <v>0.4</v>
      </c>
      <c r="AT4380" t="s">
        <v>744</v>
      </c>
      <c r="AU4380" t="s">
        <v>20620</v>
      </c>
      <c r="AV4380" t="s">
        <v>20733</v>
      </c>
    </row>
    <row r="4381" spans="1:48">
      <c r="A4381" s="1">
        <f>HYPERLINK("https://lsnyc.legalserver.org/matter/dynamic-profile/view/1907897","19-1907897")</f>
        <v>0</v>
      </c>
      <c r="B4381" t="s">
        <v>70</v>
      </c>
      <c r="C4381" t="s">
        <v>256</v>
      </c>
      <c r="D4381" t="s">
        <v>779</v>
      </c>
      <c r="F4381" t="s">
        <v>2823</v>
      </c>
      <c r="G4381" t="s">
        <v>3673</v>
      </c>
      <c r="H4381" t="s">
        <v>7669</v>
      </c>
      <c r="I4381" t="s">
        <v>8154</v>
      </c>
      <c r="J4381" t="s">
        <v>9059</v>
      </c>
      <c r="K4381">
        <v>11233</v>
      </c>
      <c r="L4381" t="s">
        <v>9094</v>
      </c>
      <c r="M4381" t="s">
        <v>9095</v>
      </c>
      <c r="N4381" t="s">
        <v>9144</v>
      </c>
      <c r="O4381" t="s">
        <v>11137</v>
      </c>
      <c r="P4381" t="s">
        <v>11167</v>
      </c>
      <c r="R4381" t="s">
        <v>11180</v>
      </c>
      <c r="S4381" t="s">
        <v>9096</v>
      </c>
      <c r="T4381" t="s">
        <v>11183</v>
      </c>
      <c r="U4381" t="s">
        <v>11201</v>
      </c>
      <c r="V4381" t="s">
        <v>779</v>
      </c>
      <c r="W4381">
        <v>482.02</v>
      </c>
      <c r="X4381" t="s">
        <v>11332</v>
      </c>
      <c r="Y4381" t="s">
        <v>11340</v>
      </c>
      <c r="Z4381" t="s">
        <v>14234</v>
      </c>
      <c r="AB4381" t="s">
        <v>18556</v>
      </c>
      <c r="AC4381">
        <v>8</v>
      </c>
      <c r="AD4381" t="s">
        <v>19572</v>
      </c>
      <c r="AF4381">
        <v>13</v>
      </c>
      <c r="AG4381">
        <v>2</v>
      </c>
      <c r="AH4381">
        <v>2</v>
      </c>
      <c r="AI4381">
        <v>166.99</v>
      </c>
      <c r="AL4381" t="s">
        <v>19614</v>
      </c>
      <c r="AM4381">
        <v>43000</v>
      </c>
      <c r="AS4381">
        <v>1.6</v>
      </c>
      <c r="AT4381" t="s">
        <v>444</v>
      </c>
      <c r="AU4381" t="s">
        <v>70</v>
      </c>
      <c r="AV4381" t="s">
        <v>20733</v>
      </c>
    </row>
    <row r="4382" spans="1:48">
      <c r="A4382" s="1">
        <f>HYPERLINK("https://lsnyc.legalserver.org/matter/dynamic-profile/view/1905550","19-1905550")</f>
        <v>0</v>
      </c>
      <c r="B4382" t="s">
        <v>141</v>
      </c>
      <c r="C4382" t="s">
        <v>256</v>
      </c>
      <c r="D4382" t="s">
        <v>457</v>
      </c>
      <c r="F4382" t="s">
        <v>1842</v>
      </c>
      <c r="G4382" t="s">
        <v>3536</v>
      </c>
      <c r="H4382" t="s">
        <v>7061</v>
      </c>
      <c r="I4382" t="s">
        <v>8132</v>
      </c>
      <c r="J4382" t="s">
        <v>9067</v>
      </c>
      <c r="K4382">
        <v>10035</v>
      </c>
      <c r="L4382" t="s">
        <v>9094</v>
      </c>
      <c r="M4382" t="s">
        <v>9095</v>
      </c>
      <c r="N4382" t="s">
        <v>10705</v>
      </c>
      <c r="O4382" t="s">
        <v>11152</v>
      </c>
      <c r="P4382" t="s">
        <v>11165</v>
      </c>
      <c r="R4382" t="s">
        <v>11180</v>
      </c>
      <c r="S4382" t="s">
        <v>9096</v>
      </c>
      <c r="T4382" t="s">
        <v>11183</v>
      </c>
      <c r="V4382" t="s">
        <v>457</v>
      </c>
      <c r="W4382">
        <v>1575</v>
      </c>
      <c r="X4382" t="s">
        <v>11335</v>
      </c>
      <c r="Y4382" t="s">
        <v>11340</v>
      </c>
      <c r="Z4382" t="s">
        <v>13751</v>
      </c>
      <c r="AB4382" t="s">
        <v>18077</v>
      </c>
      <c r="AC4382">
        <v>10</v>
      </c>
      <c r="AD4382" t="s">
        <v>19566</v>
      </c>
      <c r="AE4382" t="s">
        <v>9144</v>
      </c>
      <c r="AF4382">
        <v>0</v>
      </c>
      <c r="AG4382">
        <v>3</v>
      </c>
      <c r="AH4382">
        <v>1</v>
      </c>
      <c r="AI4382">
        <v>166.99</v>
      </c>
      <c r="AL4382" t="s">
        <v>19614</v>
      </c>
      <c r="AM4382">
        <v>43000</v>
      </c>
      <c r="AS4382">
        <v>6.5</v>
      </c>
      <c r="AT4382" t="s">
        <v>276</v>
      </c>
      <c r="AU4382" t="s">
        <v>130</v>
      </c>
      <c r="AV4382" t="s">
        <v>20733</v>
      </c>
    </row>
    <row r="4383" spans="1:48">
      <c r="A4383" s="1">
        <f>HYPERLINK("https://lsnyc.legalserver.org/matter/dynamic-profile/view/1905547","19-1905547")</f>
        <v>0</v>
      </c>
      <c r="B4383" t="s">
        <v>141</v>
      </c>
      <c r="C4383" t="s">
        <v>257</v>
      </c>
      <c r="D4383" t="s">
        <v>457</v>
      </c>
      <c r="E4383" t="s">
        <v>457</v>
      </c>
      <c r="F4383" t="s">
        <v>1842</v>
      </c>
      <c r="G4383" t="s">
        <v>3536</v>
      </c>
      <c r="H4383" t="s">
        <v>7061</v>
      </c>
      <c r="I4383" t="s">
        <v>8132</v>
      </c>
      <c r="J4383" t="s">
        <v>9067</v>
      </c>
      <c r="K4383">
        <v>10035</v>
      </c>
      <c r="L4383" t="s">
        <v>9094</v>
      </c>
      <c r="M4383" t="s">
        <v>9095</v>
      </c>
      <c r="N4383" t="s">
        <v>10706</v>
      </c>
      <c r="O4383" t="s">
        <v>11134</v>
      </c>
      <c r="P4383" t="s">
        <v>11168</v>
      </c>
      <c r="Q4383" t="s">
        <v>11177</v>
      </c>
      <c r="R4383" t="s">
        <v>11180</v>
      </c>
      <c r="S4383" t="s">
        <v>9096</v>
      </c>
      <c r="T4383" t="s">
        <v>11183</v>
      </c>
      <c r="V4383" t="s">
        <v>457</v>
      </c>
      <c r="W4383">
        <v>1575</v>
      </c>
      <c r="X4383" t="s">
        <v>11335</v>
      </c>
      <c r="Y4383" t="s">
        <v>11340</v>
      </c>
      <c r="Z4383" t="s">
        <v>13751</v>
      </c>
      <c r="AB4383" t="s">
        <v>18077</v>
      </c>
      <c r="AC4383">
        <v>10</v>
      </c>
      <c r="AD4383" t="s">
        <v>19566</v>
      </c>
      <c r="AE4383" t="s">
        <v>9144</v>
      </c>
      <c r="AF4383">
        <v>0</v>
      </c>
      <c r="AG4383">
        <v>3</v>
      </c>
      <c r="AH4383">
        <v>1</v>
      </c>
      <c r="AI4383">
        <v>166.99</v>
      </c>
      <c r="AL4383" t="s">
        <v>19614</v>
      </c>
      <c r="AM4383">
        <v>43000</v>
      </c>
      <c r="AS4383">
        <v>0.1</v>
      </c>
      <c r="AT4383" t="s">
        <v>457</v>
      </c>
      <c r="AU4383" t="s">
        <v>130</v>
      </c>
      <c r="AV4383" t="s">
        <v>20733</v>
      </c>
    </row>
    <row r="4384" spans="1:48">
      <c r="A4384" s="1">
        <f>HYPERLINK("https://lsnyc.legalserver.org/matter/dynamic-profile/view/1915275","19-1915275")</f>
        <v>0</v>
      </c>
      <c r="B4384" t="s">
        <v>142</v>
      </c>
      <c r="C4384" t="s">
        <v>256</v>
      </c>
      <c r="D4384" t="s">
        <v>321</v>
      </c>
      <c r="F4384" t="s">
        <v>1402</v>
      </c>
      <c r="G4384" t="s">
        <v>3364</v>
      </c>
      <c r="H4384" t="s">
        <v>6596</v>
      </c>
      <c r="I4384" t="s">
        <v>8160</v>
      </c>
      <c r="J4384" t="s">
        <v>9067</v>
      </c>
      <c r="K4384">
        <v>10035</v>
      </c>
      <c r="L4384" t="s">
        <v>9094</v>
      </c>
      <c r="M4384" t="s">
        <v>9095</v>
      </c>
      <c r="O4384" t="s">
        <v>11134</v>
      </c>
      <c r="P4384" t="s">
        <v>11165</v>
      </c>
      <c r="R4384" t="s">
        <v>11180</v>
      </c>
      <c r="S4384" t="s">
        <v>9094</v>
      </c>
      <c r="T4384" t="s">
        <v>11183</v>
      </c>
      <c r="U4384" t="s">
        <v>11201</v>
      </c>
      <c r="V4384" t="s">
        <v>321</v>
      </c>
      <c r="W4384">
        <v>1051</v>
      </c>
      <c r="X4384" t="s">
        <v>11335</v>
      </c>
      <c r="Y4384" t="s">
        <v>11340</v>
      </c>
      <c r="Z4384" t="s">
        <v>14235</v>
      </c>
      <c r="AB4384" t="s">
        <v>18557</v>
      </c>
      <c r="AC4384">
        <v>60</v>
      </c>
      <c r="AD4384" t="s">
        <v>19566</v>
      </c>
      <c r="AE4384" t="s">
        <v>9144</v>
      </c>
      <c r="AF4384">
        <v>14</v>
      </c>
      <c r="AG4384">
        <v>3</v>
      </c>
      <c r="AH4384">
        <v>1</v>
      </c>
      <c r="AI4384">
        <v>166.99</v>
      </c>
      <c r="AL4384" t="s">
        <v>19614</v>
      </c>
      <c r="AM4384">
        <v>43000</v>
      </c>
      <c r="AS4384">
        <v>0</v>
      </c>
      <c r="AU4384" t="s">
        <v>20657</v>
      </c>
      <c r="AV4384" t="s">
        <v>20733</v>
      </c>
    </row>
    <row r="4385" spans="1:48">
      <c r="A4385" s="1">
        <f>HYPERLINK("https://lsnyc.legalserver.org/matter/dynamic-profile/view/1914814","19-1914814")</f>
        <v>0</v>
      </c>
      <c r="B4385" t="s">
        <v>142</v>
      </c>
      <c r="C4385" t="s">
        <v>256</v>
      </c>
      <c r="D4385" t="s">
        <v>331</v>
      </c>
      <c r="F4385" t="s">
        <v>1402</v>
      </c>
      <c r="G4385" t="s">
        <v>3364</v>
      </c>
      <c r="H4385" t="s">
        <v>6596</v>
      </c>
      <c r="I4385" t="s">
        <v>8160</v>
      </c>
      <c r="J4385" t="s">
        <v>9067</v>
      </c>
      <c r="K4385">
        <v>10035</v>
      </c>
      <c r="L4385" t="s">
        <v>9094</v>
      </c>
      <c r="M4385" t="s">
        <v>9095</v>
      </c>
      <c r="O4385" t="s">
        <v>11130</v>
      </c>
      <c r="P4385" t="s">
        <v>11165</v>
      </c>
      <c r="R4385" t="s">
        <v>11180</v>
      </c>
      <c r="S4385" t="s">
        <v>9096</v>
      </c>
      <c r="T4385" t="s">
        <v>11183</v>
      </c>
      <c r="U4385" t="s">
        <v>11201</v>
      </c>
      <c r="V4385" t="s">
        <v>632</v>
      </c>
      <c r="W4385">
        <v>1051</v>
      </c>
      <c r="X4385" t="s">
        <v>11335</v>
      </c>
      <c r="Y4385" t="s">
        <v>11340</v>
      </c>
      <c r="Z4385" t="s">
        <v>14235</v>
      </c>
      <c r="AB4385" t="s">
        <v>18557</v>
      </c>
      <c r="AC4385">
        <v>60</v>
      </c>
      <c r="AD4385" t="s">
        <v>19566</v>
      </c>
      <c r="AE4385" t="s">
        <v>9144</v>
      </c>
      <c r="AF4385">
        <v>14</v>
      </c>
      <c r="AG4385">
        <v>3</v>
      </c>
      <c r="AH4385">
        <v>1</v>
      </c>
      <c r="AI4385">
        <v>166.99</v>
      </c>
      <c r="AL4385" t="s">
        <v>19614</v>
      </c>
      <c r="AM4385">
        <v>43000</v>
      </c>
      <c r="AS4385">
        <v>0</v>
      </c>
      <c r="AU4385" t="s">
        <v>20657</v>
      </c>
      <c r="AV4385" t="s">
        <v>20733</v>
      </c>
    </row>
    <row r="4386" spans="1:48">
      <c r="A4386" s="1">
        <f>HYPERLINK("https://lsnyc.legalserver.org/matter/dynamic-profile/view/1897550","19-1897550")</f>
        <v>0</v>
      </c>
      <c r="B4386" t="s">
        <v>142</v>
      </c>
      <c r="C4386" t="s">
        <v>256</v>
      </c>
      <c r="D4386" t="s">
        <v>617</v>
      </c>
      <c r="F4386" t="s">
        <v>1402</v>
      </c>
      <c r="G4386" t="s">
        <v>3364</v>
      </c>
      <c r="H4386" t="s">
        <v>6596</v>
      </c>
      <c r="I4386" t="s">
        <v>8160</v>
      </c>
      <c r="J4386" t="s">
        <v>9067</v>
      </c>
      <c r="K4386">
        <v>10035</v>
      </c>
      <c r="L4386" t="s">
        <v>9094</v>
      </c>
      <c r="M4386" t="s">
        <v>9094</v>
      </c>
      <c r="O4386" t="s">
        <v>9121</v>
      </c>
      <c r="P4386" t="s">
        <v>11167</v>
      </c>
      <c r="R4386" t="s">
        <v>11180</v>
      </c>
      <c r="S4386" t="s">
        <v>9094</v>
      </c>
      <c r="T4386" t="s">
        <v>11183</v>
      </c>
      <c r="U4386" t="s">
        <v>11201</v>
      </c>
      <c r="V4386" t="s">
        <v>317</v>
      </c>
      <c r="W4386">
        <v>1051</v>
      </c>
      <c r="X4386" t="s">
        <v>11335</v>
      </c>
      <c r="Y4386" t="s">
        <v>11350</v>
      </c>
      <c r="Z4386" t="s">
        <v>14235</v>
      </c>
      <c r="AB4386" t="s">
        <v>18557</v>
      </c>
      <c r="AC4386">
        <v>60</v>
      </c>
      <c r="AD4386" t="s">
        <v>19566</v>
      </c>
      <c r="AE4386" t="s">
        <v>9144</v>
      </c>
      <c r="AF4386">
        <v>14</v>
      </c>
      <c r="AG4386">
        <v>3</v>
      </c>
      <c r="AH4386">
        <v>1</v>
      </c>
      <c r="AI4386">
        <v>166.99</v>
      </c>
      <c r="AL4386" t="s">
        <v>19614</v>
      </c>
      <c r="AM4386">
        <v>43000</v>
      </c>
      <c r="AS4386">
        <v>0</v>
      </c>
      <c r="AU4386" t="s">
        <v>20657</v>
      </c>
      <c r="AV4386" t="s">
        <v>20733</v>
      </c>
    </row>
    <row r="4387" spans="1:48">
      <c r="A4387" s="1">
        <f>HYPERLINK("https://lsnyc.legalserver.org/matter/dynamic-profile/view/1904010","19-1904010")</f>
        <v>0</v>
      </c>
      <c r="B4387" t="s">
        <v>135</v>
      </c>
      <c r="C4387" t="s">
        <v>256</v>
      </c>
      <c r="D4387" t="s">
        <v>663</v>
      </c>
      <c r="F4387" t="s">
        <v>1689</v>
      </c>
      <c r="G4387" t="s">
        <v>5085</v>
      </c>
      <c r="H4387" t="s">
        <v>7022</v>
      </c>
      <c r="I4387" t="s">
        <v>8112</v>
      </c>
      <c r="J4387" t="s">
        <v>9067</v>
      </c>
      <c r="K4387">
        <v>10024</v>
      </c>
      <c r="L4387" t="s">
        <v>9094</v>
      </c>
      <c r="M4387" t="s">
        <v>9095</v>
      </c>
      <c r="O4387" t="s">
        <v>11130</v>
      </c>
      <c r="P4387" t="s">
        <v>11169</v>
      </c>
      <c r="R4387" t="s">
        <v>11180</v>
      </c>
      <c r="S4387" t="s">
        <v>9094</v>
      </c>
      <c r="T4387" t="s">
        <v>11183</v>
      </c>
      <c r="U4387" t="s">
        <v>11201</v>
      </c>
      <c r="V4387" t="s">
        <v>663</v>
      </c>
      <c r="W4387">
        <v>495</v>
      </c>
      <c r="X4387" t="s">
        <v>11335</v>
      </c>
      <c r="Y4387" t="s">
        <v>11346</v>
      </c>
      <c r="Z4387" t="s">
        <v>12339</v>
      </c>
      <c r="AB4387" t="s">
        <v>18558</v>
      </c>
      <c r="AC4387">
        <v>29</v>
      </c>
      <c r="AD4387" t="s">
        <v>19569</v>
      </c>
      <c r="AE4387" t="s">
        <v>9144</v>
      </c>
      <c r="AF4387">
        <v>31</v>
      </c>
      <c r="AG4387">
        <v>4</v>
      </c>
      <c r="AH4387">
        <v>0</v>
      </c>
      <c r="AI4387">
        <v>166.99</v>
      </c>
      <c r="AL4387" t="s">
        <v>19614</v>
      </c>
      <c r="AM4387">
        <v>43000</v>
      </c>
      <c r="AS4387">
        <v>1.5</v>
      </c>
      <c r="AT4387" t="s">
        <v>330</v>
      </c>
      <c r="AU4387" t="s">
        <v>20657</v>
      </c>
      <c r="AV4387" t="s">
        <v>20733</v>
      </c>
    </row>
    <row r="4388" spans="1:48">
      <c r="A4388" s="1">
        <f>HYPERLINK("https://lsnyc.legalserver.org/matter/dynamic-profile/view/1905420","19-1905420")</f>
        <v>0</v>
      </c>
      <c r="B4388" t="s">
        <v>144</v>
      </c>
      <c r="C4388" t="s">
        <v>256</v>
      </c>
      <c r="D4388" t="s">
        <v>408</v>
      </c>
      <c r="F4388" t="s">
        <v>2824</v>
      </c>
      <c r="G4388" t="s">
        <v>5086</v>
      </c>
      <c r="H4388" t="s">
        <v>7670</v>
      </c>
      <c r="I4388">
        <v>9</v>
      </c>
      <c r="J4388" t="s">
        <v>9067</v>
      </c>
      <c r="K4388">
        <v>10002</v>
      </c>
      <c r="L4388" t="s">
        <v>9094</v>
      </c>
      <c r="M4388" t="s">
        <v>9095</v>
      </c>
      <c r="N4388" t="s">
        <v>10707</v>
      </c>
      <c r="O4388" t="s">
        <v>11128</v>
      </c>
      <c r="P4388" t="s">
        <v>11169</v>
      </c>
      <c r="R4388" t="s">
        <v>11180</v>
      </c>
      <c r="S4388" t="s">
        <v>9096</v>
      </c>
      <c r="T4388" t="s">
        <v>11183</v>
      </c>
      <c r="U4388" t="s">
        <v>11201</v>
      </c>
      <c r="W4388">
        <v>1114</v>
      </c>
      <c r="X4388" t="s">
        <v>11335</v>
      </c>
      <c r="Y4388" t="s">
        <v>11339</v>
      </c>
      <c r="Z4388" t="s">
        <v>14236</v>
      </c>
      <c r="AB4388" t="s">
        <v>18559</v>
      </c>
      <c r="AC4388">
        <v>0</v>
      </c>
      <c r="AD4388" t="s">
        <v>15441</v>
      </c>
      <c r="AE4388" t="s">
        <v>9144</v>
      </c>
      <c r="AF4388">
        <v>23</v>
      </c>
      <c r="AG4388">
        <v>4</v>
      </c>
      <c r="AH4388">
        <v>0</v>
      </c>
      <c r="AI4388">
        <v>166.99</v>
      </c>
      <c r="AL4388" t="s">
        <v>19622</v>
      </c>
      <c r="AM4388">
        <v>43000</v>
      </c>
      <c r="AS4388">
        <v>0.5</v>
      </c>
      <c r="AT4388" t="s">
        <v>408</v>
      </c>
      <c r="AU4388" t="s">
        <v>20655</v>
      </c>
      <c r="AV4388" t="s">
        <v>20733</v>
      </c>
    </row>
    <row r="4389" spans="1:48">
      <c r="A4389" s="1">
        <f>HYPERLINK("https://lsnyc.legalserver.org/matter/dynamic-profile/view/1867816","18-1867816")</f>
        <v>0</v>
      </c>
      <c r="B4389" t="s">
        <v>145</v>
      </c>
      <c r="C4389" t="s">
        <v>257</v>
      </c>
      <c r="D4389" t="s">
        <v>894</v>
      </c>
      <c r="E4389" t="s">
        <v>362</v>
      </c>
      <c r="F4389" t="s">
        <v>2825</v>
      </c>
      <c r="G4389" t="s">
        <v>4265</v>
      </c>
      <c r="H4389" t="s">
        <v>7671</v>
      </c>
      <c r="I4389" t="s">
        <v>8673</v>
      </c>
      <c r="J4389" t="s">
        <v>9067</v>
      </c>
      <c r="K4389">
        <v>10009</v>
      </c>
      <c r="L4389" t="s">
        <v>9094</v>
      </c>
      <c r="M4389" t="s">
        <v>9094</v>
      </c>
      <c r="O4389" t="s">
        <v>9121</v>
      </c>
      <c r="P4389" t="s">
        <v>11164</v>
      </c>
      <c r="Q4389" t="s">
        <v>11172</v>
      </c>
      <c r="R4389" t="s">
        <v>11180</v>
      </c>
      <c r="S4389" t="s">
        <v>9096</v>
      </c>
      <c r="T4389" t="s">
        <v>11183</v>
      </c>
      <c r="V4389" t="s">
        <v>578</v>
      </c>
      <c r="W4389">
        <v>0</v>
      </c>
      <c r="X4389" t="s">
        <v>11335</v>
      </c>
      <c r="Y4389" t="s">
        <v>11340</v>
      </c>
      <c r="Z4389" t="s">
        <v>14237</v>
      </c>
      <c r="AB4389" t="s">
        <v>18560</v>
      </c>
      <c r="AC4389">
        <v>743</v>
      </c>
      <c r="AD4389" t="s">
        <v>15441</v>
      </c>
      <c r="AE4389" t="s">
        <v>9144</v>
      </c>
      <c r="AF4389">
        <v>0</v>
      </c>
      <c r="AG4389">
        <v>3</v>
      </c>
      <c r="AH4389">
        <v>2</v>
      </c>
      <c r="AI4389">
        <v>167</v>
      </c>
      <c r="AL4389" t="s">
        <v>19614</v>
      </c>
      <c r="AM4389">
        <v>49132.04</v>
      </c>
      <c r="AS4389">
        <v>0.9</v>
      </c>
      <c r="AT4389" t="s">
        <v>810</v>
      </c>
      <c r="AU4389" t="s">
        <v>20655</v>
      </c>
      <c r="AV4389" t="s">
        <v>20733</v>
      </c>
    </row>
    <row r="4390" spans="1:48">
      <c r="A4390" s="1">
        <f>HYPERLINK("https://lsnyc.legalserver.org/matter/dynamic-profile/view/1888147","19-1888147")</f>
        <v>0</v>
      </c>
      <c r="B4390" t="s">
        <v>153</v>
      </c>
      <c r="C4390" t="s">
        <v>256</v>
      </c>
      <c r="D4390" t="s">
        <v>510</v>
      </c>
      <c r="F4390" t="s">
        <v>2826</v>
      </c>
      <c r="G4390" t="s">
        <v>4265</v>
      </c>
      <c r="H4390" t="s">
        <v>7672</v>
      </c>
      <c r="I4390" t="s">
        <v>8583</v>
      </c>
      <c r="J4390" t="s">
        <v>9040</v>
      </c>
      <c r="K4390">
        <v>11423</v>
      </c>
      <c r="L4390" t="s">
        <v>9094</v>
      </c>
      <c r="M4390" t="s">
        <v>9094</v>
      </c>
      <c r="N4390" t="s">
        <v>9102</v>
      </c>
      <c r="O4390" t="s">
        <v>11130</v>
      </c>
      <c r="P4390" t="s">
        <v>11164</v>
      </c>
      <c r="R4390" t="s">
        <v>11180</v>
      </c>
      <c r="T4390" t="s">
        <v>11189</v>
      </c>
      <c r="U4390" t="s">
        <v>11201</v>
      </c>
      <c r="V4390" t="s">
        <v>543</v>
      </c>
      <c r="W4390">
        <v>1140</v>
      </c>
      <c r="X4390" t="s">
        <v>11331</v>
      </c>
      <c r="Y4390" t="s">
        <v>11337</v>
      </c>
      <c r="Z4390" t="s">
        <v>11993</v>
      </c>
      <c r="AA4390" t="s">
        <v>15274</v>
      </c>
      <c r="AB4390" t="s">
        <v>18561</v>
      </c>
      <c r="AC4390">
        <v>16</v>
      </c>
      <c r="AD4390" t="s">
        <v>19566</v>
      </c>
      <c r="AE4390" t="s">
        <v>9144</v>
      </c>
      <c r="AF4390">
        <v>3</v>
      </c>
      <c r="AG4390">
        <v>1</v>
      </c>
      <c r="AH4390">
        <v>0</v>
      </c>
      <c r="AI4390">
        <v>167.05</v>
      </c>
      <c r="AM4390">
        <v>20280</v>
      </c>
      <c r="AS4390">
        <v>0</v>
      </c>
      <c r="AU4390" t="s">
        <v>153</v>
      </c>
      <c r="AV4390" t="s">
        <v>20733</v>
      </c>
    </row>
    <row r="4391" spans="1:48">
      <c r="A4391" s="1">
        <f>HYPERLINK("https://lsnyc.legalserver.org/matter/dynamic-profile/view/0799258","16-0799258")</f>
        <v>0</v>
      </c>
      <c r="B4391" t="s">
        <v>101</v>
      </c>
      <c r="C4391" t="s">
        <v>256</v>
      </c>
      <c r="D4391" t="s">
        <v>656</v>
      </c>
      <c r="F4391" t="s">
        <v>1750</v>
      </c>
      <c r="G4391" t="s">
        <v>3510</v>
      </c>
      <c r="H4391" t="s">
        <v>6041</v>
      </c>
      <c r="I4391" t="s">
        <v>8229</v>
      </c>
      <c r="J4391" t="s">
        <v>9065</v>
      </c>
      <c r="K4391">
        <v>10452</v>
      </c>
      <c r="L4391" t="s">
        <v>9094</v>
      </c>
      <c r="M4391" t="s">
        <v>9095</v>
      </c>
      <c r="N4391" t="s">
        <v>9499</v>
      </c>
      <c r="O4391" t="s">
        <v>11135</v>
      </c>
      <c r="P4391" t="s">
        <v>11168</v>
      </c>
      <c r="R4391" t="s">
        <v>11180</v>
      </c>
      <c r="S4391" t="s">
        <v>9094</v>
      </c>
      <c r="T4391" t="s">
        <v>11183</v>
      </c>
      <c r="V4391" t="s">
        <v>1094</v>
      </c>
      <c r="W4391">
        <v>1642.54</v>
      </c>
      <c r="X4391" t="s">
        <v>11333</v>
      </c>
      <c r="Y4391" t="s">
        <v>11346</v>
      </c>
      <c r="Z4391" t="s">
        <v>14207</v>
      </c>
      <c r="AB4391" t="s">
        <v>18531</v>
      </c>
      <c r="AC4391">
        <v>61</v>
      </c>
      <c r="AD4391" t="s">
        <v>19566</v>
      </c>
      <c r="AE4391" t="s">
        <v>19580</v>
      </c>
      <c r="AF4391">
        <v>15</v>
      </c>
      <c r="AG4391">
        <v>3</v>
      </c>
      <c r="AH4391">
        <v>0</v>
      </c>
      <c r="AI4391">
        <v>167.05</v>
      </c>
      <c r="AL4391" t="s">
        <v>19615</v>
      </c>
      <c r="AM4391">
        <v>33677.8</v>
      </c>
      <c r="AS4391">
        <v>0.55</v>
      </c>
      <c r="AT4391" t="s">
        <v>873</v>
      </c>
      <c r="AU4391" t="s">
        <v>109</v>
      </c>
    </row>
    <row r="4392" spans="1:48">
      <c r="A4392" s="1">
        <f>HYPERLINK("https://lsnyc.legalserver.org/matter/dynamic-profile/view/0816978","16-0816978")</f>
        <v>0</v>
      </c>
      <c r="B4392" t="s">
        <v>101</v>
      </c>
      <c r="C4392" t="s">
        <v>256</v>
      </c>
      <c r="D4392" t="s">
        <v>437</v>
      </c>
      <c r="F4392" t="s">
        <v>1750</v>
      </c>
      <c r="G4392" t="s">
        <v>3510</v>
      </c>
      <c r="H4392" t="s">
        <v>6041</v>
      </c>
      <c r="I4392" t="s">
        <v>8229</v>
      </c>
      <c r="J4392" t="s">
        <v>9065</v>
      </c>
      <c r="K4392">
        <v>10452</v>
      </c>
      <c r="L4392" t="s">
        <v>9094</v>
      </c>
      <c r="M4392" t="s">
        <v>9095</v>
      </c>
      <c r="N4392" t="s">
        <v>9500</v>
      </c>
      <c r="O4392" t="s">
        <v>11135</v>
      </c>
      <c r="P4392" t="s">
        <v>11168</v>
      </c>
      <c r="R4392" t="s">
        <v>11180</v>
      </c>
      <c r="S4392" t="s">
        <v>9094</v>
      </c>
      <c r="T4392" t="s">
        <v>11183</v>
      </c>
      <c r="V4392" t="s">
        <v>1024</v>
      </c>
      <c r="W4392">
        <v>1642.54</v>
      </c>
      <c r="X4392" t="s">
        <v>11333</v>
      </c>
      <c r="Y4392" t="s">
        <v>11346</v>
      </c>
      <c r="Z4392" t="s">
        <v>14207</v>
      </c>
      <c r="AB4392" t="s">
        <v>18531</v>
      </c>
      <c r="AC4392">
        <v>62</v>
      </c>
      <c r="AD4392" t="s">
        <v>19566</v>
      </c>
      <c r="AE4392" t="s">
        <v>19580</v>
      </c>
      <c r="AF4392">
        <v>15</v>
      </c>
      <c r="AG4392">
        <v>3</v>
      </c>
      <c r="AH4392">
        <v>0</v>
      </c>
      <c r="AI4392">
        <v>167.05</v>
      </c>
      <c r="AL4392" t="s">
        <v>19615</v>
      </c>
      <c r="AM4392">
        <v>33677.8</v>
      </c>
      <c r="AS4392">
        <v>0.8</v>
      </c>
      <c r="AT4392" t="s">
        <v>873</v>
      </c>
      <c r="AU4392" t="s">
        <v>20643</v>
      </c>
    </row>
    <row r="4393" spans="1:48">
      <c r="A4393" s="1">
        <f>HYPERLINK("https://lsnyc.legalserver.org/matter/dynamic-profile/view/0822575","16-0822575")</f>
        <v>0</v>
      </c>
      <c r="B4393" t="s">
        <v>101</v>
      </c>
      <c r="C4393" t="s">
        <v>256</v>
      </c>
      <c r="D4393" t="s">
        <v>657</v>
      </c>
      <c r="F4393" t="s">
        <v>1750</v>
      </c>
      <c r="G4393" t="s">
        <v>3510</v>
      </c>
      <c r="H4393" t="s">
        <v>6041</v>
      </c>
      <c r="I4393" t="s">
        <v>8229</v>
      </c>
      <c r="J4393" t="s">
        <v>9065</v>
      </c>
      <c r="K4393">
        <v>10452</v>
      </c>
      <c r="L4393" t="s">
        <v>9094</v>
      </c>
      <c r="M4393" t="s">
        <v>9095</v>
      </c>
      <c r="N4393" t="s">
        <v>9501</v>
      </c>
      <c r="O4393" t="s">
        <v>11135</v>
      </c>
      <c r="P4393" t="s">
        <v>11168</v>
      </c>
      <c r="R4393" t="s">
        <v>11180</v>
      </c>
      <c r="S4393" t="s">
        <v>9094</v>
      </c>
      <c r="T4393" t="s">
        <v>11183</v>
      </c>
      <c r="V4393" t="s">
        <v>657</v>
      </c>
      <c r="W4393">
        <v>1642.54</v>
      </c>
      <c r="X4393" t="s">
        <v>11333</v>
      </c>
      <c r="Y4393" t="s">
        <v>11346</v>
      </c>
      <c r="Z4393" t="s">
        <v>14207</v>
      </c>
      <c r="AB4393" t="s">
        <v>18531</v>
      </c>
      <c r="AC4393">
        <v>62</v>
      </c>
      <c r="AD4393" t="s">
        <v>19566</v>
      </c>
      <c r="AE4393" t="s">
        <v>19580</v>
      </c>
      <c r="AF4393">
        <v>15</v>
      </c>
      <c r="AG4393">
        <v>3</v>
      </c>
      <c r="AH4393">
        <v>0</v>
      </c>
      <c r="AI4393">
        <v>167.05</v>
      </c>
      <c r="AL4393" t="s">
        <v>19615</v>
      </c>
      <c r="AM4393">
        <v>33677.8</v>
      </c>
      <c r="AS4393">
        <v>0.3</v>
      </c>
      <c r="AT4393" t="s">
        <v>1122</v>
      </c>
      <c r="AU4393" t="s">
        <v>20643</v>
      </c>
    </row>
    <row r="4394" spans="1:48">
      <c r="A4394" s="1">
        <f>HYPERLINK("https://lsnyc.legalserver.org/matter/dynamic-profile/view/1890618","19-1890618")</f>
        <v>0</v>
      </c>
      <c r="B4394" t="s">
        <v>117</v>
      </c>
      <c r="C4394" t="s">
        <v>256</v>
      </c>
      <c r="D4394" t="s">
        <v>695</v>
      </c>
      <c r="F4394" t="s">
        <v>2366</v>
      </c>
      <c r="G4394" t="s">
        <v>3498</v>
      </c>
      <c r="H4394" t="s">
        <v>6714</v>
      </c>
      <c r="I4394">
        <v>610</v>
      </c>
      <c r="J4394" t="s">
        <v>9065</v>
      </c>
      <c r="K4394">
        <v>10459</v>
      </c>
      <c r="L4394" t="s">
        <v>9094</v>
      </c>
      <c r="M4394" t="s">
        <v>9095</v>
      </c>
      <c r="N4394" t="s">
        <v>10708</v>
      </c>
      <c r="O4394" t="s">
        <v>11129</v>
      </c>
      <c r="P4394" t="s">
        <v>11165</v>
      </c>
      <c r="R4394" t="s">
        <v>11180</v>
      </c>
      <c r="S4394" t="s">
        <v>9096</v>
      </c>
      <c r="T4394" t="s">
        <v>11183</v>
      </c>
      <c r="V4394" t="s">
        <v>11218</v>
      </c>
      <c r="W4394">
        <v>1220.06</v>
      </c>
      <c r="X4394" t="s">
        <v>11333</v>
      </c>
      <c r="Y4394" t="s">
        <v>11338</v>
      </c>
      <c r="Z4394" t="s">
        <v>14238</v>
      </c>
      <c r="AB4394" t="s">
        <v>18562</v>
      </c>
      <c r="AC4394">
        <v>135</v>
      </c>
      <c r="AD4394" t="s">
        <v>19566</v>
      </c>
      <c r="AF4394">
        <v>2</v>
      </c>
      <c r="AG4394">
        <v>2</v>
      </c>
      <c r="AH4394">
        <v>0</v>
      </c>
      <c r="AI4394">
        <v>167.13</v>
      </c>
      <c r="AL4394" t="s">
        <v>19614</v>
      </c>
      <c r="AM4394">
        <v>28262</v>
      </c>
      <c r="AS4394">
        <v>10.15</v>
      </c>
      <c r="AT4394" t="s">
        <v>290</v>
      </c>
      <c r="AU4394" t="s">
        <v>20635</v>
      </c>
      <c r="AV4394" t="s">
        <v>20733</v>
      </c>
    </row>
    <row r="4395" spans="1:48">
      <c r="A4395" s="1">
        <f>HYPERLINK("https://lsnyc.legalserver.org/matter/dynamic-profile/view/1895477","19-1895477")</f>
        <v>0</v>
      </c>
      <c r="B4395" t="s">
        <v>202</v>
      </c>
      <c r="C4395" t="s">
        <v>257</v>
      </c>
      <c r="D4395" t="s">
        <v>512</v>
      </c>
      <c r="E4395" t="s">
        <v>308</v>
      </c>
      <c r="F4395" t="s">
        <v>1212</v>
      </c>
      <c r="G4395" t="s">
        <v>3763</v>
      </c>
      <c r="H4395" t="s">
        <v>5973</v>
      </c>
      <c r="I4395" t="s">
        <v>8132</v>
      </c>
      <c r="J4395" t="s">
        <v>9059</v>
      </c>
      <c r="K4395">
        <v>11206</v>
      </c>
      <c r="L4395" t="s">
        <v>9094</v>
      </c>
      <c r="M4395" t="s">
        <v>9094</v>
      </c>
      <c r="N4395" t="s">
        <v>9154</v>
      </c>
      <c r="O4395" t="s">
        <v>9121</v>
      </c>
      <c r="P4395" t="s">
        <v>11167</v>
      </c>
      <c r="Q4395" t="s">
        <v>11172</v>
      </c>
      <c r="R4395" t="s">
        <v>11180</v>
      </c>
      <c r="S4395" t="s">
        <v>9094</v>
      </c>
      <c r="T4395" t="s">
        <v>11183</v>
      </c>
      <c r="V4395" t="s">
        <v>264</v>
      </c>
      <c r="W4395">
        <v>872.36</v>
      </c>
      <c r="X4395" t="s">
        <v>11332</v>
      </c>
      <c r="Y4395" t="s">
        <v>11339</v>
      </c>
      <c r="Z4395" t="s">
        <v>14239</v>
      </c>
      <c r="AB4395" t="s">
        <v>18563</v>
      </c>
      <c r="AC4395">
        <v>8</v>
      </c>
      <c r="AD4395" t="s">
        <v>19566</v>
      </c>
      <c r="AE4395" t="s">
        <v>9144</v>
      </c>
      <c r="AF4395">
        <v>0</v>
      </c>
      <c r="AG4395">
        <v>1</v>
      </c>
      <c r="AH4395">
        <v>0</v>
      </c>
      <c r="AI4395">
        <v>167.17</v>
      </c>
      <c r="AL4395" t="s">
        <v>19614</v>
      </c>
      <c r="AM4395">
        <v>20880</v>
      </c>
      <c r="AN4395" t="s">
        <v>20021</v>
      </c>
      <c r="AS4395">
        <v>0.2</v>
      </c>
      <c r="AT4395" t="s">
        <v>308</v>
      </c>
      <c r="AU4395" t="s">
        <v>79</v>
      </c>
      <c r="AV4395" t="s">
        <v>20733</v>
      </c>
    </row>
    <row r="4396" spans="1:48">
      <c r="A4396" s="1">
        <f>HYPERLINK("https://lsnyc.legalserver.org/matter/dynamic-profile/view/0823540","16-0823540")</f>
        <v>0</v>
      </c>
      <c r="B4396" t="s">
        <v>108</v>
      </c>
      <c r="C4396" t="s">
        <v>256</v>
      </c>
      <c r="D4396" t="s">
        <v>965</v>
      </c>
      <c r="F4396" t="s">
        <v>2792</v>
      </c>
      <c r="G4396" t="s">
        <v>2119</v>
      </c>
      <c r="H4396" t="s">
        <v>5897</v>
      </c>
      <c r="I4396" t="s">
        <v>8273</v>
      </c>
      <c r="J4396" t="s">
        <v>9065</v>
      </c>
      <c r="K4396">
        <v>10452</v>
      </c>
      <c r="L4396" t="s">
        <v>9094</v>
      </c>
      <c r="M4396" t="s">
        <v>9095</v>
      </c>
      <c r="N4396" t="s">
        <v>9252</v>
      </c>
      <c r="O4396" t="s">
        <v>11135</v>
      </c>
      <c r="P4396" t="s">
        <v>11168</v>
      </c>
      <c r="R4396" t="s">
        <v>11180</v>
      </c>
      <c r="S4396" t="s">
        <v>9094</v>
      </c>
      <c r="T4396" t="s">
        <v>11183</v>
      </c>
      <c r="V4396" t="s">
        <v>965</v>
      </c>
      <c r="W4396">
        <v>779.61</v>
      </c>
      <c r="X4396" t="s">
        <v>11333</v>
      </c>
      <c r="Y4396" t="s">
        <v>11347</v>
      </c>
      <c r="Z4396" t="s">
        <v>14173</v>
      </c>
      <c r="AB4396" t="s">
        <v>18499</v>
      </c>
      <c r="AC4396">
        <v>122</v>
      </c>
      <c r="AD4396" t="s">
        <v>19566</v>
      </c>
      <c r="AF4396">
        <v>26</v>
      </c>
      <c r="AG4396">
        <v>2</v>
      </c>
      <c r="AH4396">
        <v>1</v>
      </c>
      <c r="AI4396">
        <v>167.18</v>
      </c>
      <c r="AL4396" t="s">
        <v>19614</v>
      </c>
      <c r="AM4396">
        <v>41408</v>
      </c>
      <c r="AS4396">
        <v>0</v>
      </c>
      <c r="AU4396" t="s">
        <v>20647</v>
      </c>
    </row>
    <row r="4397" spans="1:48">
      <c r="A4397" s="1">
        <f>HYPERLINK("https://lsnyc.legalserver.org/matter/dynamic-profile/view/1859923","18-1859923")</f>
        <v>0</v>
      </c>
      <c r="B4397" t="s">
        <v>193</v>
      </c>
      <c r="C4397" t="s">
        <v>256</v>
      </c>
      <c r="D4397" t="s">
        <v>843</v>
      </c>
      <c r="F4397" t="s">
        <v>2827</v>
      </c>
      <c r="G4397" t="s">
        <v>5087</v>
      </c>
      <c r="H4397" t="s">
        <v>5706</v>
      </c>
      <c r="I4397" t="s">
        <v>8151</v>
      </c>
      <c r="J4397" t="s">
        <v>9039</v>
      </c>
      <c r="K4397">
        <v>11432</v>
      </c>
      <c r="L4397" t="s">
        <v>9094</v>
      </c>
      <c r="M4397" t="s">
        <v>9095</v>
      </c>
      <c r="N4397" t="s">
        <v>10709</v>
      </c>
      <c r="O4397" t="s">
        <v>11163</v>
      </c>
      <c r="P4397" t="s">
        <v>11165</v>
      </c>
      <c r="R4397" t="s">
        <v>11180</v>
      </c>
      <c r="S4397" t="s">
        <v>9096</v>
      </c>
      <c r="T4397" t="s">
        <v>11183</v>
      </c>
      <c r="V4397" t="s">
        <v>843</v>
      </c>
      <c r="W4397">
        <v>1150</v>
      </c>
      <c r="X4397" t="s">
        <v>11331</v>
      </c>
      <c r="Y4397" t="s">
        <v>11340</v>
      </c>
      <c r="Z4397" t="s">
        <v>14240</v>
      </c>
      <c r="AB4397" t="s">
        <v>18564</v>
      </c>
      <c r="AC4397">
        <v>168</v>
      </c>
      <c r="AD4397" t="s">
        <v>19566</v>
      </c>
      <c r="AE4397" t="s">
        <v>9144</v>
      </c>
      <c r="AF4397">
        <v>9</v>
      </c>
      <c r="AG4397">
        <v>2</v>
      </c>
      <c r="AH4397">
        <v>2</v>
      </c>
      <c r="AI4397">
        <v>167.33</v>
      </c>
      <c r="AJ4397" t="s">
        <v>19592</v>
      </c>
      <c r="AL4397" t="s">
        <v>19616</v>
      </c>
      <c r="AM4397">
        <v>42000</v>
      </c>
      <c r="AS4397">
        <v>67</v>
      </c>
      <c r="AT4397" t="s">
        <v>1092</v>
      </c>
      <c r="AU4397" t="s">
        <v>20620</v>
      </c>
    </row>
    <row r="4398" spans="1:48">
      <c r="A4398" s="1">
        <f>HYPERLINK("https://lsnyc.legalserver.org/matter/dynamic-profile/view/1854384","17-1854384")</f>
        <v>0</v>
      </c>
      <c r="B4398" t="s">
        <v>218</v>
      </c>
      <c r="C4398" t="s">
        <v>256</v>
      </c>
      <c r="D4398" t="s">
        <v>1014</v>
      </c>
      <c r="F4398" t="s">
        <v>1180</v>
      </c>
      <c r="G4398" t="s">
        <v>5088</v>
      </c>
      <c r="H4398" t="s">
        <v>7673</v>
      </c>
      <c r="I4398">
        <v>2501</v>
      </c>
      <c r="J4398" t="s">
        <v>9067</v>
      </c>
      <c r="K4398">
        <v>10035</v>
      </c>
      <c r="L4398" t="s">
        <v>9094</v>
      </c>
      <c r="M4398" t="s">
        <v>9094</v>
      </c>
      <c r="N4398" t="s">
        <v>10710</v>
      </c>
      <c r="O4398" t="s">
        <v>11129</v>
      </c>
      <c r="P4398" t="s">
        <v>11165</v>
      </c>
      <c r="R4398" t="s">
        <v>11180</v>
      </c>
      <c r="S4398" t="s">
        <v>9096</v>
      </c>
      <c r="T4398" t="s">
        <v>11183</v>
      </c>
      <c r="V4398" t="s">
        <v>466</v>
      </c>
      <c r="W4398">
        <v>2942.3</v>
      </c>
      <c r="X4398" t="s">
        <v>11335</v>
      </c>
      <c r="Y4398" t="s">
        <v>11338</v>
      </c>
      <c r="Z4398" t="s">
        <v>14241</v>
      </c>
      <c r="AB4398" t="s">
        <v>18565</v>
      </c>
      <c r="AC4398">
        <v>148</v>
      </c>
      <c r="AD4398" t="s">
        <v>19570</v>
      </c>
      <c r="AE4398" t="s">
        <v>19580</v>
      </c>
      <c r="AF4398">
        <v>38</v>
      </c>
      <c r="AG4398">
        <v>3</v>
      </c>
      <c r="AH4398">
        <v>0</v>
      </c>
      <c r="AI4398">
        <v>167.4</v>
      </c>
      <c r="AL4398" t="s">
        <v>19614</v>
      </c>
      <c r="AM4398">
        <v>34184</v>
      </c>
      <c r="AS4398">
        <v>140.4</v>
      </c>
      <c r="AT4398" t="s">
        <v>476</v>
      </c>
      <c r="AU4398" t="s">
        <v>20696</v>
      </c>
    </row>
    <row r="4399" spans="1:48">
      <c r="A4399" s="1">
        <f>HYPERLINK("https://lsnyc.legalserver.org/matter/dynamic-profile/view/1882015","18-1882015")</f>
        <v>0</v>
      </c>
      <c r="B4399" t="s">
        <v>138</v>
      </c>
      <c r="C4399" t="s">
        <v>256</v>
      </c>
      <c r="D4399" t="s">
        <v>440</v>
      </c>
      <c r="F4399" t="s">
        <v>2828</v>
      </c>
      <c r="G4399" t="s">
        <v>5089</v>
      </c>
      <c r="H4399" t="s">
        <v>5949</v>
      </c>
      <c r="I4399">
        <v>106</v>
      </c>
      <c r="J4399" t="s">
        <v>9067</v>
      </c>
      <c r="K4399">
        <v>10034</v>
      </c>
      <c r="L4399" t="s">
        <v>9094</v>
      </c>
      <c r="M4399" t="s">
        <v>9094</v>
      </c>
      <c r="O4399" t="s">
        <v>11133</v>
      </c>
      <c r="P4399" t="s">
        <v>11166</v>
      </c>
      <c r="R4399" t="s">
        <v>11180</v>
      </c>
      <c r="S4399" t="s">
        <v>9096</v>
      </c>
      <c r="T4399" t="s">
        <v>11183</v>
      </c>
      <c r="V4399" t="s">
        <v>440</v>
      </c>
      <c r="W4399">
        <v>1092</v>
      </c>
      <c r="X4399" t="s">
        <v>11335</v>
      </c>
      <c r="Y4399" t="s">
        <v>11340</v>
      </c>
      <c r="Z4399" t="s">
        <v>14242</v>
      </c>
      <c r="AB4399" t="s">
        <v>18566</v>
      </c>
      <c r="AC4399">
        <v>88</v>
      </c>
      <c r="AD4399" t="s">
        <v>19566</v>
      </c>
      <c r="AE4399" t="s">
        <v>9144</v>
      </c>
      <c r="AF4399">
        <v>9</v>
      </c>
      <c r="AG4399">
        <v>3</v>
      </c>
      <c r="AH4399">
        <v>0</v>
      </c>
      <c r="AI4399">
        <v>167.47</v>
      </c>
      <c r="AL4399" t="s">
        <v>19614</v>
      </c>
      <c r="AM4399">
        <v>34800</v>
      </c>
      <c r="AS4399">
        <v>12</v>
      </c>
      <c r="AT4399" t="s">
        <v>833</v>
      </c>
      <c r="AU4399" t="s">
        <v>130</v>
      </c>
      <c r="AV4399" t="s">
        <v>20733</v>
      </c>
    </row>
    <row r="4400" spans="1:48">
      <c r="A4400" s="1">
        <f>HYPERLINK("https://lsnyc.legalserver.org/matter/dynamic-profile/view/1903667","19-1903667")</f>
        <v>0</v>
      </c>
      <c r="B4400" t="s">
        <v>122</v>
      </c>
      <c r="C4400" t="s">
        <v>256</v>
      </c>
      <c r="D4400" t="s">
        <v>700</v>
      </c>
      <c r="F4400" t="s">
        <v>2829</v>
      </c>
      <c r="G4400" t="s">
        <v>5090</v>
      </c>
      <c r="H4400" t="s">
        <v>5911</v>
      </c>
      <c r="I4400" t="s">
        <v>8846</v>
      </c>
      <c r="J4400" t="s">
        <v>9066</v>
      </c>
      <c r="K4400">
        <v>10314</v>
      </c>
      <c r="L4400" t="s">
        <v>9094</v>
      </c>
      <c r="M4400" t="s">
        <v>9095</v>
      </c>
      <c r="N4400" t="s">
        <v>9580</v>
      </c>
      <c r="O4400" t="s">
        <v>11134</v>
      </c>
      <c r="P4400" t="s">
        <v>11168</v>
      </c>
      <c r="R4400" t="s">
        <v>11180</v>
      </c>
      <c r="S4400" t="s">
        <v>9094</v>
      </c>
      <c r="T4400" t="s">
        <v>11183</v>
      </c>
      <c r="U4400" t="s">
        <v>11201</v>
      </c>
      <c r="V4400" t="s">
        <v>610</v>
      </c>
      <c r="W4400">
        <v>859</v>
      </c>
      <c r="X4400" t="s">
        <v>11334</v>
      </c>
      <c r="Y4400" t="s">
        <v>11340</v>
      </c>
      <c r="Z4400" t="s">
        <v>14243</v>
      </c>
      <c r="AB4400" t="s">
        <v>18567</v>
      </c>
      <c r="AC4400">
        <v>96</v>
      </c>
      <c r="AD4400" t="s">
        <v>19566</v>
      </c>
      <c r="AE4400" t="s">
        <v>19587</v>
      </c>
      <c r="AF4400">
        <v>7</v>
      </c>
      <c r="AG4400">
        <v>1</v>
      </c>
      <c r="AH4400">
        <v>0</v>
      </c>
      <c r="AI4400">
        <v>167.65</v>
      </c>
      <c r="AL4400" t="s">
        <v>19614</v>
      </c>
      <c r="AM4400">
        <v>20940</v>
      </c>
      <c r="AO4400" t="s">
        <v>20293</v>
      </c>
      <c r="AP4400" t="s">
        <v>20316</v>
      </c>
      <c r="AQ4400" t="s">
        <v>20369</v>
      </c>
      <c r="AR4400" t="s">
        <v>20372</v>
      </c>
      <c r="AS4400">
        <v>0.6</v>
      </c>
      <c r="AT4400" t="s">
        <v>270</v>
      </c>
      <c r="AU4400" t="s">
        <v>20653</v>
      </c>
      <c r="AV4400" t="s">
        <v>20733</v>
      </c>
    </row>
    <row r="4401" spans="1:48">
      <c r="A4401" s="1">
        <f>HYPERLINK("https://lsnyc.legalserver.org/matter/dynamic-profile/view/1876512","18-1876512")</f>
        <v>0</v>
      </c>
      <c r="B4401" t="s">
        <v>76</v>
      </c>
      <c r="C4401" t="s">
        <v>256</v>
      </c>
      <c r="D4401" t="s">
        <v>1061</v>
      </c>
      <c r="F4401" t="s">
        <v>1264</v>
      </c>
      <c r="G4401" t="s">
        <v>3536</v>
      </c>
      <c r="H4401" t="s">
        <v>7008</v>
      </c>
      <c r="I4401" t="s">
        <v>8273</v>
      </c>
      <c r="J4401" t="s">
        <v>9059</v>
      </c>
      <c r="K4401">
        <v>11213</v>
      </c>
      <c r="L4401" t="s">
        <v>9094</v>
      </c>
      <c r="M4401" t="s">
        <v>9094</v>
      </c>
      <c r="N4401" t="s">
        <v>9179</v>
      </c>
      <c r="O4401" t="s">
        <v>11130</v>
      </c>
      <c r="P4401" t="s">
        <v>11165</v>
      </c>
      <c r="R4401" t="s">
        <v>11180</v>
      </c>
      <c r="S4401" t="s">
        <v>9094</v>
      </c>
      <c r="T4401" t="s">
        <v>11183</v>
      </c>
      <c r="V4401" t="s">
        <v>479</v>
      </c>
      <c r="W4401">
        <v>905.59</v>
      </c>
      <c r="X4401" t="s">
        <v>11332</v>
      </c>
      <c r="Y4401" t="s">
        <v>11346</v>
      </c>
      <c r="Z4401" t="s">
        <v>14186</v>
      </c>
      <c r="AB4401" t="s">
        <v>18511</v>
      </c>
      <c r="AC4401">
        <v>34</v>
      </c>
      <c r="AD4401" t="s">
        <v>19566</v>
      </c>
      <c r="AE4401" t="s">
        <v>9144</v>
      </c>
      <c r="AF4401">
        <v>25</v>
      </c>
      <c r="AG4401">
        <v>2</v>
      </c>
      <c r="AH4401">
        <v>0</v>
      </c>
      <c r="AI4401">
        <v>167.68</v>
      </c>
      <c r="AL4401" t="s">
        <v>19615</v>
      </c>
      <c r="AM4401">
        <v>27600</v>
      </c>
      <c r="AN4401" t="s">
        <v>19879</v>
      </c>
      <c r="AS4401">
        <v>0.2</v>
      </c>
      <c r="AT4401" t="s">
        <v>669</v>
      </c>
      <c r="AU4401" t="s">
        <v>95</v>
      </c>
      <c r="AV4401" t="s">
        <v>20733</v>
      </c>
    </row>
    <row r="4402" spans="1:48">
      <c r="A4402" s="1">
        <f>HYPERLINK("https://lsnyc.legalserver.org/matter/dynamic-profile/view/1864843","18-1864843")</f>
        <v>0</v>
      </c>
      <c r="B4402" t="s">
        <v>93</v>
      </c>
      <c r="C4402" t="s">
        <v>256</v>
      </c>
      <c r="D4402" t="s">
        <v>677</v>
      </c>
      <c r="F4402" t="s">
        <v>1550</v>
      </c>
      <c r="G4402" t="s">
        <v>5091</v>
      </c>
      <c r="H4402" t="s">
        <v>6277</v>
      </c>
      <c r="I4402" t="s">
        <v>8847</v>
      </c>
      <c r="J4402" t="s">
        <v>9059</v>
      </c>
      <c r="K4402">
        <v>11206</v>
      </c>
      <c r="L4402" t="s">
        <v>9094</v>
      </c>
      <c r="M4402" t="s">
        <v>9094</v>
      </c>
      <c r="N4402" t="s">
        <v>10711</v>
      </c>
      <c r="P4402" t="s">
        <v>11165</v>
      </c>
      <c r="R4402" t="s">
        <v>11180</v>
      </c>
      <c r="S4402" t="s">
        <v>9096</v>
      </c>
      <c r="T4402" t="s">
        <v>11183</v>
      </c>
      <c r="V4402" t="s">
        <v>600</v>
      </c>
      <c r="W4402">
        <v>0</v>
      </c>
      <c r="X4402" t="s">
        <v>11332</v>
      </c>
      <c r="Z4402" t="s">
        <v>14244</v>
      </c>
      <c r="AB4402" t="s">
        <v>18568</v>
      </c>
      <c r="AC4402">
        <v>11</v>
      </c>
      <c r="AD4402" t="s">
        <v>19566</v>
      </c>
      <c r="AF4402">
        <v>35</v>
      </c>
      <c r="AG4402">
        <v>2</v>
      </c>
      <c r="AH4402">
        <v>0</v>
      </c>
      <c r="AI4402">
        <v>167.68</v>
      </c>
      <c r="AL4402" t="s">
        <v>19614</v>
      </c>
      <c r="AM4402">
        <v>27600</v>
      </c>
      <c r="AN4402" t="s">
        <v>19679</v>
      </c>
      <c r="AS4402">
        <v>61.35</v>
      </c>
      <c r="AT4402" t="s">
        <v>335</v>
      </c>
      <c r="AU4402" t="s">
        <v>78</v>
      </c>
      <c r="AV4402" t="s">
        <v>20733</v>
      </c>
    </row>
    <row r="4403" spans="1:48">
      <c r="A4403" s="1">
        <f>HYPERLINK("https://lsnyc.legalserver.org/matter/dynamic-profile/view/1884560","18-1884560")</f>
        <v>0</v>
      </c>
      <c r="B4403" t="s">
        <v>114</v>
      </c>
      <c r="C4403" t="s">
        <v>257</v>
      </c>
      <c r="D4403" t="s">
        <v>452</v>
      </c>
      <c r="E4403" t="s">
        <v>263</v>
      </c>
      <c r="F4403" t="s">
        <v>1404</v>
      </c>
      <c r="G4403" t="s">
        <v>3756</v>
      </c>
      <c r="H4403" t="s">
        <v>5907</v>
      </c>
      <c r="I4403" t="s">
        <v>8848</v>
      </c>
      <c r="J4403" t="s">
        <v>9065</v>
      </c>
      <c r="K4403">
        <v>10451</v>
      </c>
      <c r="L4403" t="s">
        <v>9094</v>
      </c>
      <c r="M4403" t="s">
        <v>9094</v>
      </c>
      <c r="N4403" t="s">
        <v>9259</v>
      </c>
      <c r="O4403" t="s">
        <v>11130</v>
      </c>
      <c r="P4403" t="s">
        <v>11165</v>
      </c>
      <c r="Q4403" t="s">
        <v>11174</v>
      </c>
      <c r="R4403" t="s">
        <v>11180</v>
      </c>
      <c r="S4403" t="s">
        <v>9094</v>
      </c>
      <c r="T4403" t="s">
        <v>11183</v>
      </c>
      <c r="V4403" t="s">
        <v>738</v>
      </c>
      <c r="W4403">
        <v>1570</v>
      </c>
      <c r="X4403" t="s">
        <v>11333</v>
      </c>
      <c r="Y4403" t="s">
        <v>11346</v>
      </c>
      <c r="Z4403" t="s">
        <v>14245</v>
      </c>
      <c r="AB4403" t="s">
        <v>18569</v>
      </c>
      <c r="AC4403">
        <v>100</v>
      </c>
      <c r="AD4403" t="s">
        <v>19566</v>
      </c>
      <c r="AE4403" t="s">
        <v>19580</v>
      </c>
      <c r="AF4403">
        <v>41</v>
      </c>
      <c r="AG4403">
        <v>2</v>
      </c>
      <c r="AH4403">
        <v>0</v>
      </c>
      <c r="AI4403">
        <v>167.68</v>
      </c>
      <c r="AL4403" t="s">
        <v>19615</v>
      </c>
      <c r="AM4403">
        <v>27600</v>
      </c>
      <c r="AS4403">
        <v>0.25</v>
      </c>
      <c r="AT4403" t="s">
        <v>263</v>
      </c>
      <c r="AU4403" t="s">
        <v>163</v>
      </c>
    </row>
    <row r="4404" spans="1:48">
      <c r="A4404" s="1">
        <f>HYPERLINK("https://lsnyc.legalserver.org/matter/dynamic-profile/view/1899161","19-1899161")</f>
        <v>0</v>
      </c>
      <c r="B4404" t="s">
        <v>247</v>
      </c>
      <c r="C4404" t="s">
        <v>257</v>
      </c>
      <c r="D4404" t="s">
        <v>492</v>
      </c>
      <c r="E4404" t="s">
        <v>271</v>
      </c>
      <c r="F4404" t="s">
        <v>1365</v>
      </c>
      <c r="G4404" t="s">
        <v>5092</v>
      </c>
      <c r="H4404" t="s">
        <v>6836</v>
      </c>
      <c r="I4404" t="s">
        <v>8192</v>
      </c>
      <c r="J4404" t="s">
        <v>9065</v>
      </c>
      <c r="K4404">
        <v>10467</v>
      </c>
      <c r="L4404" t="s">
        <v>9094</v>
      </c>
      <c r="M4404" t="s">
        <v>9095</v>
      </c>
      <c r="O4404" t="s">
        <v>11133</v>
      </c>
      <c r="P4404" t="s">
        <v>11168</v>
      </c>
      <c r="Q4404" t="s">
        <v>11177</v>
      </c>
      <c r="R4404" t="s">
        <v>11180</v>
      </c>
      <c r="S4404" t="s">
        <v>9096</v>
      </c>
      <c r="T4404" t="s">
        <v>11190</v>
      </c>
      <c r="V4404" t="s">
        <v>11218</v>
      </c>
      <c r="W4404">
        <v>885</v>
      </c>
      <c r="X4404" t="s">
        <v>11333</v>
      </c>
      <c r="Z4404" t="s">
        <v>14246</v>
      </c>
      <c r="AB4404" t="s">
        <v>18570</v>
      </c>
      <c r="AC4404">
        <v>0</v>
      </c>
      <c r="AD4404" t="s">
        <v>19566</v>
      </c>
      <c r="AF4404">
        <v>20</v>
      </c>
      <c r="AG4404">
        <v>2</v>
      </c>
      <c r="AH4404">
        <v>0</v>
      </c>
      <c r="AI4404">
        <v>167.72</v>
      </c>
      <c r="AL4404" t="s">
        <v>19614</v>
      </c>
      <c r="AM4404">
        <v>28362</v>
      </c>
      <c r="AS4404">
        <v>11.75</v>
      </c>
      <c r="AT4404" t="s">
        <v>700</v>
      </c>
      <c r="AU4404" t="s">
        <v>20671</v>
      </c>
      <c r="AV4404" t="s">
        <v>20733</v>
      </c>
    </row>
    <row r="4405" spans="1:48">
      <c r="A4405" s="1">
        <f>HYPERLINK("https://lsnyc.legalserver.org/matter/dynamic-profile/view/1903512","19-1903512")</f>
        <v>0</v>
      </c>
      <c r="B4405" t="s">
        <v>55</v>
      </c>
      <c r="C4405" t="s">
        <v>256</v>
      </c>
      <c r="D4405" t="s">
        <v>750</v>
      </c>
      <c r="F4405" t="s">
        <v>2830</v>
      </c>
      <c r="G4405" t="s">
        <v>5093</v>
      </c>
      <c r="H4405" t="s">
        <v>7674</v>
      </c>
      <c r="I4405" t="s">
        <v>8154</v>
      </c>
      <c r="J4405" t="s">
        <v>9064</v>
      </c>
      <c r="K4405">
        <v>11101</v>
      </c>
      <c r="L4405" t="s">
        <v>9094</v>
      </c>
      <c r="M4405" t="s">
        <v>9095</v>
      </c>
      <c r="N4405" t="s">
        <v>10712</v>
      </c>
      <c r="O4405" t="s">
        <v>11129</v>
      </c>
      <c r="P4405" t="s">
        <v>11165</v>
      </c>
      <c r="R4405" t="s">
        <v>11180</v>
      </c>
      <c r="S4405" t="s">
        <v>9096</v>
      </c>
      <c r="T4405" t="s">
        <v>11183</v>
      </c>
      <c r="U4405" t="s">
        <v>11201</v>
      </c>
      <c r="V4405" t="s">
        <v>748</v>
      </c>
      <c r="W4405">
        <v>1800</v>
      </c>
      <c r="X4405" t="s">
        <v>11331</v>
      </c>
      <c r="Y4405" t="s">
        <v>11157</v>
      </c>
      <c r="Z4405" t="s">
        <v>14247</v>
      </c>
      <c r="AB4405" t="s">
        <v>18571</v>
      </c>
      <c r="AC4405">
        <v>6</v>
      </c>
      <c r="AD4405" t="s">
        <v>19565</v>
      </c>
      <c r="AE4405" t="s">
        <v>9144</v>
      </c>
      <c r="AF4405">
        <v>2</v>
      </c>
      <c r="AG4405">
        <v>2</v>
      </c>
      <c r="AH4405">
        <v>2</v>
      </c>
      <c r="AI4405">
        <v>167.77</v>
      </c>
      <c r="AL4405" t="s">
        <v>19615</v>
      </c>
      <c r="AM4405">
        <v>43200</v>
      </c>
      <c r="AP4405" t="s">
        <v>20317</v>
      </c>
      <c r="AS4405">
        <v>12.36</v>
      </c>
      <c r="AT4405" t="s">
        <v>1063</v>
      </c>
      <c r="AU4405" t="s">
        <v>20635</v>
      </c>
      <c r="AV4405" t="s">
        <v>20733</v>
      </c>
    </row>
    <row r="4406" spans="1:48">
      <c r="A4406" s="1">
        <f>HYPERLINK("https://lsnyc.legalserver.org/matter/dynamic-profile/view/0781142","15-0781142")</f>
        <v>0</v>
      </c>
      <c r="B4406" t="s">
        <v>108</v>
      </c>
      <c r="C4406" t="s">
        <v>256</v>
      </c>
      <c r="D4406" t="s">
        <v>1062</v>
      </c>
      <c r="F4406" t="s">
        <v>2792</v>
      </c>
      <c r="G4406" t="s">
        <v>2119</v>
      </c>
      <c r="H4406" t="s">
        <v>5897</v>
      </c>
      <c r="I4406" t="s">
        <v>8273</v>
      </c>
      <c r="J4406" t="s">
        <v>9065</v>
      </c>
      <c r="K4406">
        <v>10452</v>
      </c>
      <c r="L4406" t="s">
        <v>9094</v>
      </c>
      <c r="M4406" t="s">
        <v>9095</v>
      </c>
      <c r="N4406" t="s">
        <v>9250</v>
      </c>
      <c r="O4406" t="s">
        <v>11147</v>
      </c>
      <c r="P4406" t="s">
        <v>11165</v>
      </c>
      <c r="R4406" t="s">
        <v>11180</v>
      </c>
      <c r="S4406" t="s">
        <v>9094</v>
      </c>
      <c r="T4406" t="s">
        <v>11183</v>
      </c>
      <c r="V4406" t="s">
        <v>969</v>
      </c>
      <c r="W4406">
        <v>779.61</v>
      </c>
      <c r="X4406" t="s">
        <v>11333</v>
      </c>
      <c r="Y4406" t="s">
        <v>11346</v>
      </c>
      <c r="Z4406" t="s">
        <v>14173</v>
      </c>
      <c r="AB4406" t="s">
        <v>18499</v>
      </c>
      <c r="AC4406">
        <v>122</v>
      </c>
      <c r="AD4406" t="s">
        <v>19566</v>
      </c>
      <c r="AF4406">
        <v>25</v>
      </c>
      <c r="AG4406">
        <v>2</v>
      </c>
      <c r="AH4406">
        <v>1</v>
      </c>
      <c r="AI4406">
        <v>167.77</v>
      </c>
      <c r="AL4406" t="s">
        <v>19614</v>
      </c>
      <c r="AM4406">
        <v>33704</v>
      </c>
      <c r="AS4406">
        <v>0.1</v>
      </c>
      <c r="AT4406" t="s">
        <v>20594</v>
      </c>
      <c r="AU4406" t="s">
        <v>109</v>
      </c>
    </row>
    <row r="4407" spans="1:48">
      <c r="A4407" s="1">
        <f>HYPERLINK("https://lsnyc.legalserver.org/matter/dynamic-profile/view/1854343","17-1854343")</f>
        <v>0</v>
      </c>
      <c r="B4407" t="s">
        <v>101</v>
      </c>
      <c r="C4407" t="s">
        <v>256</v>
      </c>
      <c r="D4407" t="s">
        <v>852</v>
      </c>
      <c r="F4407" t="s">
        <v>2831</v>
      </c>
      <c r="G4407" t="s">
        <v>5094</v>
      </c>
      <c r="H4407" t="s">
        <v>6041</v>
      </c>
      <c r="I4407" t="s">
        <v>8168</v>
      </c>
      <c r="J4407" t="s">
        <v>9065</v>
      </c>
      <c r="K4407">
        <v>10452</v>
      </c>
      <c r="L4407" t="s">
        <v>9094</v>
      </c>
      <c r="M4407" t="s">
        <v>9095</v>
      </c>
      <c r="N4407" t="s">
        <v>9356</v>
      </c>
      <c r="O4407" t="s">
        <v>11135</v>
      </c>
      <c r="P4407" t="s">
        <v>11168</v>
      </c>
      <c r="R4407" t="s">
        <v>11180</v>
      </c>
      <c r="S4407" t="s">
        <v>9094</v>
      </c>
      <c r="T4407" t="s">
        <v>11183</v>
      </c>
      <c r="V4407" t="s">
        <v>1122</v>
      </c>
      <c r="W4407">
        <v>789.7</v>
      </c>
      <c r="X4407" t="s">
        <v>11333</v>
      </c>
      <c r="Y4407" t="s">
        <v>11346</v>
      </c>
      <c r="Z4407" t="s">
        <v>14248</v>
      </c>
      <c r="AB4407" t="s">
        <v>18572</v>
      </c>
      <c r="AC4407">
        <v>62</v>
      </c>
      <c r="AD4407" t="s">
        <v>19566</v>
      </c>
      <c r="AE4407" t="s">
        <v>9144</v>
      </c>
      <c r="AF4407">
        <v>39</v>
      </c>
      <c r="AG4407">
        <v>2</v>
      </c>
      <c r="AH4407">
        <v>0</v>
      </c>
      <c r="AI4407">
        <v>167.88</v>
      </c>
      <c r="AL4407" t="s">
        <v>19615</v>
      </c>
      <c r="AM4407">
        <v>35664</v>
      </c>
      <c r="AS4407">
        <v>0.9</v>
      </c>
      <c r="AT4407" t="s">
        <v>873</v>
      </c>
      <c r="AU4407" t="s">
        <v>174</v>
      </c>
    </row>
    <row r="4408" spans="1:48">
      <c r="A4408" s="1">
        <f>HYPERLINK("https://lsnyc.legalserver.org/matter/dynamic-profile/view/1894159","19-1894159")</f>
        <v>0</v>
      </c>
      <c r="B4408" t="s">
        <v>119</v>
      </c>
      <c r="C4408" t="s">
        <v>256</v>
      </c>
      <c r="D4408" t="s">
        <v>791</v>
      </c>
      <c r="F4408" t="s">
        <v>1784</v>
      </c>
      <c r="G4408" t="s">
        <v>3811</v>
      </c>
      <c r="H4408" t="s">
        <v>6095</v>
      </c>
      <c r="I4408" t="s">
        <v>8124</v>
      </c>
      <c r="J4408" t="s">
        <v>9065</v>
      </c>
      <c r="K4408">
        <v>10456</v>
      </c>
      <c r="L4408" t="s">
        <v>9094</v>
      </c>
      <c r="M4408" t="s">
        <v>9094</v>
      </c>
      <c r="O4408" t="s">
        <v>11134</v>
      </c>
      <c r="P4408" t="s">
        <v>11168</v>
      </c>
      <c r="R4408" t="s">
        <v>11180</v>
      </c>
      <c r="S4408" t="s">
        <v>9094</v>
      </c>
      <c r="T4408" t="s">
        <v>11183</v>
      </c>
      <c r="V4408" t="s">
        <v>512</v>
      </c>
      <c r="W4408">
        <v>1404.38</v>
      </c>
      <c r="X4408" t="s">
        <v>11333</v>
      </c>
      <c r="Y4408" t="s">
        <v>11346</v>
      </c>
      <c r="Z4408" t="s">
        <v>14249</v>
      </c>
      <c r="AB4408" t="s">
        <v>18573</v>
      </c>
      <c r="AC4408">
        <v>131</v>
      </c>
      <c r="AD4408" t="s">
        <v>19566</v>
      </c>
      <c r="AE4408" t="s">
        <v>9144</v>
      </c>
      <c r="AF4408">
        <v>4</v>
      </c>
      <c r="AG4408">
        <v>1</v>
      </c>
      <c r="AH4408">
        <v>1</v>
      </c>
      <c r="AI4408">
        <v>167.9</v>
      </c>
      <c r="AL4408" t="s">
        <v>19615</v>
      </c>
      <c r="AM4408">
        <v>28392</v>
      </c>
      <c r="AS4408">
        <v>0</v>
      </c>
      <c r="AU4408" t="s">
        <v>20647</v>
      </c>
    </row>
    <row r="4409" spans="1:48">
      <c r="A4409" s="1">
        <f>HYPERLINK("https://lsnyc.legalserver.org/matter/dynamic-profile/view/1907245","19-1907245")</f>
        <v>0</v>
      </c>
      <c r="B4409" t="s">
        <v>129</v>
      </c>
      <c r="C4409" t="s">
        <v>256</v>
      </c>
      <c r="D4409" t="s">
        <v>416</v>
      </c>
      <c r="F4409" t="s">
        <v>2832</v>
      </c>
      <c r="G4409" t="s">
        <v>1260</v>
      </c>
      <c r="H4409" t="s">
        <v>5921</v>
      </c>
      <c r="I4409" t="s">
        <v>8840</v>
      </c>
      <c r="J4409" t="s">
        <v>9066</v>
      </c>
      <c r="K4409">
        <v>10304</v>
      </c>
      <c r="L4409" t="s">
        <v>9094</v>
      </c>
      <c r="M4409" t="s">
        <v>9095</v>
      </c>
      <c r="N4409" t="s">
        <v>10713</v>
      </c>
      <c r="O4409" t="s">
        <v>11129</v>
      </c>
      <c r="P4409" t="s">
        <v>11165</v>
      </c>
      <c r="R4409" t="s">
        <v>11180</v>
      </c>
      <c r="S4409" t="s">
        <v>9096</v>
      </c>
      <c r="T4409" t="s">
        <v>11190</v>
      </c>
      <c r="U4409" t="s">
        <v>11201</v>
      </c>
      <c r="V4409" t="s">
        <v>416</v>
      </c>
      <c r="W4409">
        <v>213</v>
      </c>
      <c r="X4409" t="s">
        <v>11334</v>
      </c>
      <c r="Y4409" t="s">
        <v>11345</v>
      </c>
      <c r="Z4409" t="s">
        <v>14250</v>
      </c>
      <c r="AB4409" t="s">
        <v>18574</v>
      </c>
      <c r="AC4409">
        <v>403</v>
      </c>
      <c r="AD4409" t="s">
        <v>19567</v>
      </c>
      <c r="AE4409" t="s">
        <v>9144</v>
      </c>
      <c r="AF4409">
        <v>7</v>
      </c>
      <c r="AG4409">
        <v>1</v>
      </c>
      <c r="AH4409">
        <v>1</v>
      </c>
      <c r="AI4409">
        <v>167.9</v>
      </c>
      <c r="AL4409" t="s">
        <v>19614</v>
      </c>
      <c r="AM4409">
        <v>28392</v>
      </c>
      <c r="AS4409">
        <v>5.85</v>
      </c>
      <c r="AT4409" t="s">
        <v>549</v>
      </c>
      <c r="AU4409" t="s">
        <v>20653</v>
      </c>
      <c r="AV4409" t="s">
        <v>20733</v>
      </c>
    </row>
    <row r="4410" spans="1:48">
      <c r="A4410" s="1">
        <f>HYPERLINK("https://lsnyc.legalserver.org/matter/dynamic-profile/view/1891682","19-1891682")</f>
        <v>0</v>
      </c>
      <c r="B4410" t="s">
        <v>103</v>
      </c>
      <c r="C4410" t="s">
        <v>256</v>
      </c>
      <c r="D4410" t="s">
        <v>344</v>
      </c>
      <c r="F4410" t="s">
        <v>2498</v>
      </c>
      <c r="G4410" t="s">
        <v>1193</v>
      </c>
      <c r="H4410" t="s">
        <v>5887</v>
      </c>
      <c r="I4410" t="s">
        <v>8660</v>
      </c>
      <c r="J4410" t="s">
        <v>9065</v>
      </c>
      <c r="K4410">
        <v>10453</v>
      </c>
      <c r="L4410" t="s">
        <v>9094</v>
      </c>
      <c r="M4410" t="s">
        <v>9094</v>
      </c>
      <c r="N4410" t="s">
        <v>9352</v>
      </c>
      <c r="O4410" t="s">
        <v>11130</v>
      </c>
      <c r="P4410" t="s">
        <v>11165</v>
      </c>
      <c r="R4410" t="s">
        <v>11180</v>
      </c>
      <c r="S4410" t="s">
        <v>9094</v>
      </c>
      <c r="T4410" t="s">
        <v>11183</v>
      </c>
      <c r="V4410" t="s">
        <v>512</v>
      </c>
      <c r="W4410">
        <v>1175</v>
      </c>
      <c r="X4410" t="s">
        <v>11333</v>
      </c>
      <c r="Y4410" t="s">
        <v>11346</v>
      </c>
      <c r="Z4410" t="s">
        <v>14191</v>
      </c>
      <c r="AB4410" t="s">
        <v>18516</v>
      </c>
      <c r="AC4410">
        <v>170</v>
      </c>
      <c r="AD4410" t="s">
        <v>19566</v>
      </c>
      <c r="AF4410">
        <v>30</v>
      </c>
      <c r="AG4410">
        <v>1</v>
      </c>
      <c r="AH4410">
        <v>0</v>
      </c>
      <c r="AI4410">
        <v>168.04</v>
      </c>
      <c r="AL4410" t="s">
        <v>19614</v>
      </c>
      <c r="AM4410">
        <v>20400</v>
      </c>
      <c r="AS4410">
        <v>0</v>
      </c>
      <c r="AU4410" t="s">
        <v>158</v>
      </c>
    </row>
    <row r="4411" spans="1:48">
      <c r="A4411" s="1">
        <f>HYPERLINK("https://lsnyc.legalserver.org/matter/dynamic-profile/view/1848780","17-1848780")</f>
        <v>0</v>
      </c>
      <c r="B4411" t="s">
        <v>135</v>
      </c>
      <c r="C4411" t="s">
        <v>257</v>
      </c>
      <c r="D4411" t="s">
        <v>531</v>
      </c>
      <c r="E4411" t="s">
        <v>1130</v>
      </c>
      <c r="F4411" t="s">
        <v>1264</v>
      </c>
      <c r="G4411" t="s">
        <v>3802</v>
      </c>
      <c r="H4411" t="s">
        <v>7675</v>
      </c>
      <c r="I4411" t="s">
        <v>8169</v>
      </c>
      <c r="J4411" t="s">
        <v>9067</v>
      </c>
      <c r="K4411">
        <v>10029</v>
      </c>
      <c r="L4411" t="s">
        <v>9094</v>
      </c>
      <c r="M4411" t="s">
        <v>9095</v>
      </c>
      <c r="N4411" t="s">
        <v>10714</v>
      </c>
      <c r="O4411" t="s">
        <v>11129</v>
      </c>
      <c r="P4411" t="s">
        <v>11165</v>
      </c>
      <c r="Q4411" t="s">
        <v>11175</v>
      </c>
      <c r="R4411" t="s">
        <v>11180</v>
      </c>
      <c r="S4411" t="s">
        <v>9096</v>
      </c>
      <c r="T4411" t="s">
        <v>11183</v>
      </c>
      <c r="U4411" t="s">
        <v>11201</v>
      </c>
      <c r="V4411" t="s">
        <v>531</v>
      </c>
      <c r="W4411">
        <v>2100</v>
      </c>
      <c r="X4411" t="s">
        <v>11335</v>
      </c>
      <c r="Y4411" t="s">
        <v>11340</v>
      </c>
      <c r="Z4411" t="s">
        <v>14251</v>
      </c>
      <c r="AB4411" t="s">
        <v>18575</v>
      </c>
      <c r="AC4411">
        <v>10</v>
      </c>
      <c r="AD4411" t="s">
        <v>19565</v>
      </c>
      <c r="AE4411" t="s">
        <v>9144</v>
      </c>
      <c r="AF4411">
        <v>12</v>
      </c>
      <c r="AG4411">
        <v>1</v>
      </c>
      <c r="AH4411">
        <v>0</v>
      </c>
      <c r="AI4411">
        <v>168.06</v>
      </c>
      <c r="AL4411" t="s">
        <v>19614</v>
      </c>
      <c r="AM4411">
        <v>20268</v>
      </c>
      <c r="AO4411" t="s">
        <v>20300</v>
      </c>
      <c r="AP4411" t="s">
        <v>20352</v>
      </c>
      <c r="AQ4411" t="s">
        <v>20369</v>
      </c>
      <c r="AR4411" t="s">
        <v>20543</v>
      </c>
      <c r="AS4411">
        <v>97.2</v>
      </c>
      <c r="AT4411" t="s">
        <v>484</v>
      </c>
      <c r="AU4411" t="s">
        <v>20657</v>
      </c>
    </row>
    <row r="4412" spans="1:48">
      <c r="A4412" s="1">
        <f>HYPERLINK("https://lsnyc.legalserver.org/matter/dynamic-profile/view/1870023","18-1870023")</f>
        <v>0</v>
      </c>
      <c r="B4412" t="s">
        <v>111</v>
      </c>
      <c r="C4412" t="s">
        <v>256</v>
      </c>
      <c r="D4412" t="s">
        <v>592</v>
      </c>
      <c r="F4412" t="s">
        <v>1212</v>
      </c>
      <c r="G4412" t="s">
        <v>4689</v>
      </c>
      <c r="H4412" t="s">
        <v>7676</v>
      </c>
      <c r="I4412" t="s">
        <v>8849</v>
      </c>
      <c r="J4412" t="s">
        <v>9065</v>
      </c>
      <c r="K4412">
        <v>10467</v>
      </c>
      <c r="L4412" t="s">
        <v>9094</v>
      </c>
      <c r="M4412" t="s">
        <v>9095</v>
      </c>
      <c r="N4412" t="s">
        <v>10715</v>
      </c>
      <c r="O4412" t="s">
        <v>11129</v>
      </c>
      <c r="P4412" t="s">
        <v>11165</v>
      </c>
      <c r="R4412" t="s">
        <v>11180</v>
      </c>
      <c r="T4412" t="s">
        <v>11183</v>
      </c>
      <c r="V4412" t="s">
        <v>592</v>
      </c>
      <c r="W4412">
        <v>972.48</v>
      </c>
      <c r="X4412" t="s">
        <v>11333</v>
      </c>
      <c r="Y4412" t="s">
        <v>11349</v>
      </c>
      <c r="Z4412" t="s">
        <v>14252</v>
      </c>
      <c r="AA4412" t="s">
        <v>15863</v>
      </c>
      <c r="AB4412" t="s">
        <v>18576</v>
      </c>
      <c r="AC4412">
        <v>0</v>
      </c>
      <c r="AD4412" t="s">
        <v>19566</v>
      </c>
      <c r="AE4412" t="s">
        <v>9144</v>
      </c>
      <c r="AF4412">
        <v>21</v>
      </c>
      <c r="AG4412">
        <v>1</v>
      </c>
      <c r="AH4412">
        <v>1</v>
      </c>
      <c r="AI4412">
        <v>168.07</v>
      </c>
      <c r="AM4412">
        <v>27664</v>
      </c>
      <c r="AN4412" t="s">
        <v>19699</v>
      </c>
      <c r="AO4412" t="s">
        <v>20294</v>
      </c>
      <c r="AP4412" t="s">
        <v>20309</v>
      </c>
      <c r="AQ4412" t="s">
        <v>20369</v>
      </c>
      <c r="AR4412" t="s">
        <v>20544</v>
      </c>
      <c r="AS4412">
        <v>9.4</v>
      </c>
      <c r="AT4412" t="s">
        <v>620</v>
      </c>
      <c r="AU4412" t="s">
        <v>247</v>
      </c>
    </row>
    <row r="4413" spans="1:48">
      <c r="A4413" s="1">
        <f>HYPERLINK("https://lsnyc.legalserver.org/matter/dynamic-profile/view/1901968","19-1901968")</f>
        <v>0</v>
      </c>
      <c r="B4413" t="s">
        <v>133</v>
      </c>
      <c r="C4413" t="s">
        <v>257</v>
      </c>
      <c r="D4413" t="s">
        <v>319</v>
      </c>
      <c r="E4413" t="s">
        <v>339</v>
      </c>
      <c r="F4413" t="s">
        <v>2069</v>
      </c>
      <c r="G4413" t="s">
        <v>3366</v>
      </c>
      <c r="H4413" t="s">
        <v>7163</v>
      </c>
      <c r="I4413" t="s">
        <v>8149</v>
      </c>
      <c r="J4413" t="s">
        <v>9067</v>
      </c>
      <c r="K4413">
        <v>10034</v>
      </c>
      <c r="L4413" t="s">
        <v>9094</v>
      </c>
      <c r="M4413" t="s">
        <v>9095</v>
      </c>
      <c r="O4413" t="s">
        <v>11133</v>
      </c>
      <c r="P4413" t="s">
        <v>11167</v>
      </c>
      <c r="Q4413" t="s">
        <v>11173</v>
      </c>
      <c r="R4413" t="s">
        <v>11180</v>
      </c>
      <c r="S4413" t="s">
        <v>9096</v>
      </c>
      <c r="T4413" t="s">
        <v>11183</v>
      </c>
      <c r="V4413" t="s">
        <v>319</v>
      </c>
      <c r="W4413">
        <v>1194.97</v>
      </c>
      <c r="X4413" t="s">
        <v>11335</v>
      </c>
      <c r="Y4413" t="s">
        <v>11338</v>
      </c>
      <c r="Z4413" t="s">
        <v>14253</v>
      </c>
      <c r="AB4413" t="s">
        <v>18577</v>
      </c>
      <c r="AC4413">
        <v>48</v>
      </c>
      <c r="AD4413" t="s">
        <v>19566</v>
      </c>
      <c r="AE4413" t="s">
        <v>19587</v>
      </c>
      <c r="AF4413">
        <v>24</v>
      </c>
      <c r="AG4413">
        <v>1</v>
      </c>
      <c r="AH4413">
        <v>0</v>
      </c>
      <c r="AI4413">
        <v>168.07</v>
      </c>
      <c r="AL4413" t="s">
        <v>19615</v>
      </c>
      <c r="AM4413">
        <v>20991.6</v>
      </c>
      <c r="AS4413">
        <v>2.9</v>
      </c>
      <c r="AT4413" t="s">
        <v>367</v>
      </c>
      <c r="AU4413" t="s">
        <v>130</v>
      </c>
      <c r="AV4413" t="s">
        <v>20733</v>
      </c>
    </row>
    <row r="4414" spans="1:48">
      <c r="A4414" s="1">
        <f>HYPERLINK("https://lsnyc.legalserver.org/matter/dynamic-profile/view/1910905","19-1910905")</f>
        <v>0</v>
      </c>
      <c r="B4414" t="s">
        <v>231</v>
      </c>
      <c r="C4414" t="s">
        <v>256</v>
      </c>
      <c r="D4414" t="s">
        <v>295</v>
      </c>
      <c r="F4414" t="s">
        <v>2069</v>
      </c>
      <c r="G4414" t="s">
        <v>3366</v>
      </c>
      <c r="H4414" t="s">
        <v>7163</v>
      </c>
      <c r="I4414" t="s">
        <v>8149</v>
      </c>
      <c r="J4414" t="s">
        <v>9067</v>
      </c>
      <c r="K4414">
        <v>10034</v>
      </c>
      <c r="L4414" t="s">
        <v>9094</v>
      </c>
      <c r="M4414" t="s">
        <v>9095</v>
      </c>
      <c r="O4414" t="s">
        <v>11136</v>
      </c>
      <c r="P4414" t="s">
        <v>11169</v>
      </c>
      <c r="R4414" t="s">
        <v>11180</v>
      </c>
      <c r="S4414" t="s">
        <v>9096</v>
      </c>
      <c r="T4414" t="s">
        <v>11183</v>
      </c>
      <c r="V4414" t="s">
        <v>295</v>
      </c>
      <c r="W4414">
        <v>1191.97</v>
      </c>
      <c r="X4414" t="s">
        <v>11335</v>
      </c>
      <c r="Y4414" t="s">
        <v>11340</v>
      </c>
      <c r="Z4414" t="s">
        <v>14253</v>
      </c>
      <c r="AB4414" t="s">
        <v>18577</v>
      </c>
      <c r="AC4414">
        <v>48</v>
      </c>
      <c r="AD4414" t="s">
        <v>19566</v>
      </c>
      <c r="AE4414" t="s">
        <v>19587</v>
      </c>
      <c r="AF4414">
        <v>24</v>
      </c>
      <c r="AG4414">
        <v>1</v>
      </c>
      <c r="AH4414">
        <v>0</v>
      </c>
      <c r="AI4414">
        <v>168.07</v>
      </c>
      <c r="AL4414" t="s">
        <v>19615</v>
      </c>
      <c r="AM4414">
        <v>20991.6</v>
      </c>
      <c r="AS4414">
        <v>0.5</v>
      </c>
      <c r="AT4414" t="s">
        <v>295</v>
      </c>
      <c r="AU4414" t="s">
        <v>130</v>
      </c>
    </row>
    <row r="4415" spans="1:48">
      <c r="A4415" s="1">
        <f>HYPERLINK("https://lsnyc.legalserver.org/matter/dynamic-profile/view/1897503","19-1897503")</f>
        <v>0</v>
      </c>
      <c r="B4415" t="s">
        <v>50</v>
      </c>
      <c r="C4415" t="s">
        <v>256</v>
      </c>
      <c r="D4415" t="s">
        <v>318</v>
      </c>
      <c r="F4415" t="s">
        <v>1150</v>
      </c>
      <c r="G4415" t="s">
        <v>3769</v>
      </c>
      <c r="H4415" t="s">
        <v>5727</v>
      </c>
      <c r="I4415" t="s">
        <v>8850</v>
      </c>
      <c r="J4415" t="s">
        <v>9054</v>
      </c>
      <c r="K4415">
        <v>11368</v>
      </c>
      <c r="L4415" t="s">
        <v>9094</v>
      </c>
      <c r="M4415" t="s">
        <v>9094</v>
      </c>
      <c r="N4415" t="s">
        <v>10716</v>
      </c>
      <c r="O4415" t="s">
        <v>11134</v>
      </c>
      <c r="P4415" t="s">
        <v>11168</v>
      </c>
      <c r="R4415" t="s">
        <v>11180</v>
      </c>
      <c r="S4415" t="s">
        <v>9094</v>
      </c>
      <c r="T4415" t="s">
        <v>11183</v>
      </c>
      <c r="U4415" t="s">
        <v>11201</v>
      </c>
      <c r="V4415" t="s">
        <v>11217</v>
      </c>
      <c r="W4415">
        <v>1290</v>
      </c>
      <c r="X4415" t="s">
        <v>11331</v>
      </c>
      <c r="Y4415" t="s">
        <v>11157</v>
      </c>
      <c r="Z4415" t="s">
        <v>14254</v>
      </c>
      <c r="AA4415" t="s">
        <v>15274</v>
      </c>
      <c r="AB4415" t="s">
        <v>18578</v>
      </c>
      <c r="AC4415">
        <v>70</v>
      </c>
      <c r="AD4415" t="s">
        <v>19566</v>
      </c>
      <c r="AE4415" t="s">
        <v>9144</v>
      </c>
      <c r="AF4415">
        <v>45</v>
      </c>
      <c r="AG4415">
        <v>1</v>
      </c>
      <c r="AH4415">
        <v>0</v>
      </c>
      <c r="AI4415">
        <v>168.13</v>
      </c>
      <c r="AL4415" t="s">
        <v>19614</v>
      </c>
      <c r="AM4415">
        <v>21000</v>
      </c>
      <c r="AS4415">
        <v>0.5</v>
      </c>
      <c r="AT4415" t="s">
        <v>584</v>
      </c>
      <c r="AU4415" t="s">
        <v>50</v>
      </c>
      <c r="AV4415" t="s">
        <v>20733</v>
      </c>
    </row>
    <row r="4416" spans="1:48">
      <c r="A4416" s="1">
        <f>HYPERLINK("https://lsnyc.legalserver.org/matter/dynamic-profile/view/1891715","19-1891715")</f>
        <v>0</v>
      </c>
      <c r="B4416" t="s">
        <v>70</v>
      </c>
      <c r="C4416" t="s">
        <v>256</v>
      </c>
      <c r="D4416" t="s">
        <v>788</v>
      </c>
      <c r="F4416" t="s">
        <v>1861</v>
      </c>
      <c r="G4416" t="s">
        <v>2884</v>
      </c>
      <c r="H4416" t="s">
        <v>5750</v>
      </c>
      <c r="I4416" t="s">
        <v>8682</v>
      </c>
      <c r="J4416" t="s">
        <v>9059</v>
      </c>
      <c r="K4416">
        <v>11233</v>
      </c>
      <c r="L4416" t="s">
        <v>9094</v>
      </c>
      <c r="M4416" t="s">
        <v>9094</v>
      </c>
      <c r="N4416" t="s">
        <v>9171</v>
      </c>
      <c r="O4416" t="s">
        <v>11137</v>
      </c>
      <c r="P4416" t="s">
        <v>11167</v>
      </c>
      <c r="R4416" t="s">
        <v>11180</v>
      </c>
      <c r="S4416" t="s">
        <v>9094</v>
      </c>
      <c r="T4416" t="s">
        <v>11183</v>
      </c>
      <c r="U4416" t="s">
        <v>11201</v>
      </c>
      <c r="V4416" t="s">
        <v>749</v>
      </c>
      <c r="W4416">
        <v>446</v>
      </c>
      <c r="X4416" t="s">
        <v>11332</v>
      </c>
      <c r="Z4416" t="s">
        <v>11422</v>
      </c>
      <c r="AB4416" t="s">
        <v>18579</v>
      </c>
      <c r="AC4416">
        <v>359</v>
      </c>
      <c r="AD4416" t="s">
        <v>19566</v>
      </c>
      <c r="AE4416" t="s">
        <v>19580</v>
      </c>
      <c r="AF4416">
        <v>0</v>
      </c>
      <c r="AG4416">
        <v>1</v>
      </c>
      <c r="AH4416">
        <v>0</v>
      </c>
      <c r="AI4416">
        <v>168.13</v>
      </c>
      <c r="AL4416" t="s">
        <v>19614</v>
      </c>
      <c r="AM4416">
        <v>21000</v>
      </c>
      <c r="AN4416" t="s">
        <v>20022</v>
      </c>
      <c r="AS4416">
        <v>0</v>
      </c>
      <c r="AU4416" t="s">
        <v>95</v>
      </c>
    </row>
    <row r="4417" spans="1:48">
      <c r="A4417" s="1">
        <f>HYPERLINK("https://lsnyc.legalserver.org/matter/dynamic-profile/view/1907797","19-1907797")</f>
        <v>0</v>
      </c>
      <c r="B4417" t="s">
        <v>78</v>
      </c>
      <c r="C4417" t="s">
        <v>256</v>
      </c>
      <c r="D4417" t="s">
        <v>396</v>
      </c>
      <c r="F4417" t="s">
        <v>2028</v>
      </c>
      <c r="G4417" t="s">
        <v>5095</v>
      </c>
      <c r="H4417" t="s">
        <v>5984</v>
      </c>
      <c r="I4417" t="s">
        <v>8279</v>
      </c>
      <c r="J4417" t="s">
        <v>9059</v>
      </c>
      <c r="K4417">
        <v>11212</v>
      </c>
      <c r="L4417" t="s">
        <v>9094</v>
      </c>
      <c r="M4417" t="s">
        <v>9095</v>
      </c>
      <c r="N4417" t="s">
        <v>9144</v>
      </c>
      <c r="O4417" t="s">
        <v>11137</v>
      </c>
      <c r="P4417" t="s">
        <v>11167</v>
      </c>
      <c r="R4417" t="s">
        <v>11180</v>
      </c>
      <c r="S4417" t="s">
        <v>9094</v>
      </c>
      <c r="T4417" t="s">
        <v>11183</v>
      </c>
      <c r="U4417" t="s">
        <v>11201</v>
      </c>
      <c r="V4417" t="s">
        <v>330</v>
      </c>
      <c r="W4417">
        <v>1050</v>
      </c>
      <c r="X4417" t="s">
        <v>11332</v>
      </c>
      <c r="Y4417" t="s">
        <v>11346</v>
      </c>
      <c r="Z4417" t="s">
        <v>14255</v>
      </c>
      <c r="AB4417" t="s">
        <v>18580</v>
      </c>
      <c r="AC4417">
        <v>96</v>
      </c>
      <c r="AD4417" t="s">
        <v>19566</v>
      </c>
      <c r="AE4417" t="s">
        <v>19587</v>
      </c>
      <c r="AF4417">
        <v>30</v>
      </c>
      <c r="AG4417">
        <v>1</v>
      </c>
      <c r="AH4417">
        <v>0</v>
      </c>
      <c r="AI4417">
        <v>168.13</v>
      </c>
      <c r="AL4417" t="s">
        <v>19614</v>
      </c>
      <c r="AM4417">
        <v>21000</v>
      </c>
      <c r="AS4417">
        <v>38.08</v>
      </c>
      <c r="AT4417" t="s">
        <v>487</v>
      </c>
      <c r="AU4417" t="s">
        <v>79</v>
      </c>
      <c r="AV4417" t="s">
        <v>20733</v>
      </c>
    </row>
    <row r="4418" spans="1:48">
      <c r="A4418" s="1">
        <f>HYPERLINK("https://lsnyc.legalserver.org/matter/dynamic-profile/view/1904514","19-1904514")</f>
        <v>0</v>
      </c>
      <c r="B4418" t="s">
        <v>79</v>
      </c>
      <c r="C4418" t="s">
        <v>257</v>
      </c>
      <c r="D4418" t="s">
        <v>615</v>
      </c>
      <c r="E4418" t="s">
        <v>370</v>
      </c>
      <c r="F4418" t="s">
        <v>2833</v>
      </c>
      <c r="G4418" t="s">
        <v>1949</v>
      </c>
      <c r="H4418" t="s">
        <v>7677</v>
      </c>
      <c r="I4418">
        <v>2</v>
      </c>
      <c r="J4418" t="s">
        <v>9059</v>
      </c>
      <c r="K4418">
        <v>11208</v>
      </c>
      <c r="L4418" t="s">
        <v>9096</v>
      </c>
      <c r="M4418" t="s">
        <v>9095</v>
      </c>
      <c r="N4418" t="s">
        <v>9121</v>
      </c>
      <c r="O4418" t="s">
        <v>9121</v>
      </c>
      <c r="P4418" t="s">
        <v>11164</v>
      </c>
      <c r="Q4418" t="s">
        <v>11172</v>
      </c>
      <c r="R4418" t="s">
        <v>11180</v>
      </c>
      <c r="S4418" t="s">
        <v>9096</v>
      </c>
      <c r="T4418" t="s">
        <v>11183</v>
      </c>
      <c r="W4418">
        <v>1500</v>
      </c>
      <c r="X4418" t="s">
        <v>11332</v>
      </c>
      <c r="Z4418" t="s">
        <v>13235</v>
      </c>
      <c r="AC4418">
        <v>2</v>
      </c>
      <c r="AF4418">
        <v>4</v>
      </c>
      <c r="AG4418">
        <v>1</v>
      </c>
      <c r="AH4418">
        <v>0</v>
      </c>
      <c r="AI4418">
        <v>168.13</v>
      </c>
      <c r="AL4418" t="s">
        <v>19614</v>
      </c>
      <c r="AM4418">
        <v>21000</v>
      </c>
      <c r="AN4418" t="s">
        <v>20023</v>
      </c>
      <c r="AS4418">
        <v>1</v>
      </c>
      <c r="AT4418" t="s">
        <v>615</v>
      </c>
      <c r="AU4418" t="s">
        <v>20627</v>
      </c>
      <c r="AV4418" t="s">
        <v>9144</v>
      </c>
    </row>
    <row r="4419" spans="1:48">
      <c r="A4419" s="1">
        <f>HYPERLINK("https://lsnyc.legalserver.org/matter/dynamic-profile/view/1914899","19-1914899")</f>
        <v>0</v>
      </c>
      <c r="B4419" t="s">
        <v>132</v>
      </c>
      <c r="C4419" t="s">
        <v>256</v>
      </c>
      <c r="D4419" t="s">
        <v>331</v>
      </c>
      <c r="F4419" t="s">
        <v>2834</v>
      </c>
      <c r="G4419" t="s">
        <v>3333</v>
      </c>
      <c r="H4419" t="s">
        <v>7678</v>
      </c>
      <c r="I4419" t="s">
        <v>8471</v>
      </c>
      <c r="J4419" t="s">
        <v>9067</v>
      </c>
      <c r="K4419">
        <v>10033</v>
      </c>
      <c r="L4419" t="s">
        <v>9094</v>
      </c>
      <c r="M4419" t="s">
        <v>9095</v>
      </c>
      <c r="O4419" t="s">
        <v>11130</v>
      </c>
      <c r="P4419" t="s">
        <v>11165</v>
      </c>
      <c r="R4419" t="s">
        <v>11180</v>
      </c>
      <c r="S4419" t="s">
        <v>9096</v>
      </c>
      <c r="T4419" t="s">
        <v>11183</v>
      </c>
      <c r="V4419" t="s">
        <v>331</v>
      </c>
      <c r="W4419">
        <v>1200</v>
      </c>
      <c r="X4419" t="s">
        <v>11335</v>
      </c>
      <c r="Y4419" t="s">
        <v>11340</v>
      </c>
      <c r="Z4419" t="s">
        <v>14256</v>
      </c>
      <c r="AB4419" t="s">
        <v>18581</v>
      </c>
      <c r="AC4419">
        <v>60</v>
      </c>
      <c r="AD4419" t="s">
        <v>19566</v>
      </c>
      <c r="AE4419" t="s">
        <v>9144</v>
      </c>
      <c r="AF4419">
        <v>4</v>
      </c>
      <c r="AG4419">
        <v>1</v>
      </c>
      <c r="AH4419">
        <v>0</v>
      </c>
      <c r="AI4419">
        <v>168.13</v>
      </c>
      <c r="AL4419" t="s">
        <v>19614</v>
      </c>
      <c r="AM4419">
        <v>21000</v>
      </c>
      <c r="AS4419">
        <v>4.8</v>
      </c>
      <c r="AT4419" t="s">
        <v>377</v>
      </c>
      <c r="AU4419" t="s">
        <v>130</v>
      </c>
      <c r="AV4419" t="s">
        <v>20733</v>
      </c>
    </row>
    <row r="4420" spans="1:48">
      <c r="A4420" s="1">
        <f>HYPERLINK("https://lsnyc.legalserver.org/matter/dynamic-profile/view/1914180","19-1914180")</f>
        <v>0</v>
      </c>
      <c r="B4420" t="s">
        <v>132</v>
      </c>
      <c r="C4420" t="s">
        <v>256</v>
      </c>
      <c r="D4420" t="s">
        <v>395</v>
      </c>
      <c r="F4420" t="s">
        <v>2834</v>
      </c>
      <c r="G4420" t="s">
        <v>3333</v>
      </c>
      <c r="H4420" t="s">
        <v>7678</v>
      </c>
      <c r="I4420" t="s">
        <v>8471</v>
      </c>
      <c r="J4420" t="s">
        <v>9067</v>
      </c>
      <c r="K4420">
        <v>10033</v>
      </c>
      <c r="L4420" t="s">
        <v>9094</v>
      </c>
      <c r="M4420" t="s">
        <v>9095</v>
      </c>
      <c r="O4420" t="s">
        <v>11129</v>
      </c>
      <c r="P4420" t="s">
        <v>11165</v>
      </c>
      <c r="R4420" t="s">
        <v>11180</v>
      </c>
      <c r="S4420" t="s">
        <v>9096</v>
      </c>
      <c r="T4420" t="s">
        <v>11183</v>
      </c>
      <c r="V4420" t="s">
        <v>395</v>
      </c>
      <c r="W4420">
        <v>1200</v>
      </c>
      <c r="X4420" t="s">
        <v>11335</v>
      </c>
      <c r="Y4420" t="s">
        <v>11338</v>
      </c>
      <c r="Z4420" t="s">
        <v>14256</v>
      </c>
      <c r="AB4420" t="s">
        <v>18581</v>
      </c>
      <c r="AC4420">
        <v>60</v>
      </c>
      <c r="AD4420" t="s">
        <v>19566</v>
      </c>
      <c r="AE4420" t="s">
        <v>9144</v>
      </c>
      <c r="AF4420">
        <v>4</v>
      </c>
      <c r="AG4420">
        <v>1</v>
      </c>
      <c r="AH4420">
        <v>0</v>
      </c>
      <c r="AI4420">
        <v>168.13</v>
      </c>
      <c r="AL4420" t="s">
        <v>19614</v>
      </c>
      <c r="AM4420">
        <v>21000</v>
      </c>
      <c r="AS4420">
        <v>4.95</v>
      </c>
      <c r="AT4420" t="s">
        <v>1135</v>
      </c>
      <c r="AU4420" t="s">
        <v>130</v>
      </c>
      <c r="AV4420" t="s">
        <v>20733</v>
      </c>
    </row>
    <row r="4421" spans="1:48">
      <c r="A4421" s="1">
        <f>HYPERLINK("https://lsnyc.legalserver.org/matter/dynamic-profile/view/1914738","19-1914738")</f>
        <v>0</v>
      </c>
      <c r="B4421" t="s">
        <v>135</v>
      </c>
      <c r="C4421" t="s">
        <v>256</v>
      </c>
      <c r="D4421" t="s">
        <v>632</v>
      </c>
      <c r="F4421" t="s">
        <v>1264</v>
      </c>
      <c r="G4421" t="s">
        <v>3802</v>
      </c>
      <c r="H4421" t="s">
        <v>7675</v>
      </c>
      <c r="I4421" t="s">
        <v>8169</v>
      </c>
      <c r="J4421" t="s">
        <v>9067</v>
      </c>
      <c r="K4421">
        <v>10029</v>
      </c>
      <c r="L4421" t="s">
        <v>9094</v>
      </c>
      <c r="M4421" t="s">
        <v>9095</v>
      </c>
      <c r="N4421" t="s">
        <v>10717</v>
      </c>
      <c r="O4421" t="s">
        <v>11129</v>
      </c>
      <c r="P4421" t="s">
        <v>11165</v>
      </c>
      <c r="R4421" t="s">
        <v>11180</v>
      </c>
      <c r="S4421" t="s">
        <v>9096</v>
      </c>
      <c r="T4421" t="s">
        <v>11183</v>
      </c>
      <c r="U4421" t="s">
        <v>11201</v>
      </c>
      <c r="V4421" t="s">
        <v>476</v>
      </c>
      <c r="W4421">
        <v>2100</v>
      </c>
      <c r="X4421" t="s">
        <v>11335</v>
      </c>
      <c r="Z4421" t="s">
        <v>14251</v>
      </c>
      <c r="AB4421" t="s">
        <v>18575</v>
      </c>
      <c r="AC4421">
        <v>10</v>
      </c>
      <c r="AD4421" t="s">
        <v>19565</v>
      </c>
      <c r="AE4421" t="s">
        <v>9144</v>
      </c>
      <c r="AF4421">
        <v>14</v>
      </c>
      <c r="AG4421">
        <v>1</v>
      </c>
      <c r="AH4421">
        <v>0</v>
      </c>
      <c r="AI4421">
        <v>168.13</v>
      </c>
      <c r="AL4421" t="s">
        <v>19614</v>
      </c>
      <c r="AM4421">
        <v>21000</v>
      </c>
      <c r="AS4421">
        <v>10.5</v>
      </c>
      <c r="AT4421" t="s">
        <v>270</v>
      </c>
      <c r="AU4421" t="s">
        <v>20657</v>
      </c>
      <c r="AV4421" t="s">
        <v>20733</v>
      </c>
    </row>
    <row r="4422" spans="1:48">
      <c r="A4422" s="1">
        <f>HYPERLINK("https://lsnyc.legalserver.org/matter/dynamic-profile/view/1876857","18-1876857")</f>
        <v>0</v>
      </c>
      <c r="B4422" t="s">
        <v>119</v>
      </c>
      <c r="C4422" t="s">
        <v>256</v>
      </c>
      <c r="D4422" t="s">
        <v>536</v>
      </c>
      <c r="F4422" t="s">
        <v>1428</v>
      </c>
      <c r="G4422" t="s">
        <v>4529</v>
      </c>
      <c r="H4422" t="s">
        <v>6095</v>
      </c>
      <c r="I4422" t="s">
        <v>8206</v>
      </c>
      <c r="J4422" t="s">
        <v>9065</v>
      </c>
      <c r="K4422">
        <v>10456</v>
      </c>
      <c r="L4422" t="s">
        <v>9094</v>
      </c>
      <c r="M4422" t="s">
        <v>9094</v>
      </c>
      <c r="N4422" t="s">
        <v>9419</v>
      </c>
      <c r="O4422" t="s">
        <v>11134</v>
      </c>
      <c r="P4422" t="s">
        <v>11168</v>
      </c>
      <c r="R4422" t="s">
        <v>11180</v>
      </c>
      <c r="S4422" t="s">
        <v>9094</v>
      </c>
      <c r="T4422" t="s">
        <v>11183</v>
      </c>
      <c r="V4422" t="s">
        <v>945</v>
      </c>
      <c r="W4422">
        <v>1268.04</v>
      </c>
      <c r="X4422" t="s">
        <v>11333</v>
      </c>
      <c r="Y4422" t="s">
        <v>11346</v>
      </c>
      <c r="Z4422" t="s">
        <v>13367</v>
      </c>
      <c r="AB4422" t="s">
        <v>18526</v>
      </c>
      <c r="AC4422">
        <v>131</v>
      </c>
      <c r="AD4422" t="s">
        <v>19566</v>
      </c>
      <c r="AE4422" t="s">
        <v>9144</v>
      </c>
      <c r="AF4422">
        <v>21</v>
      </c>
      <c r="AG4422">
        <v>3</v>
      </c>
      <c r="AH4422">
        <v>0</v>
      </c>
      <c r="AI4422">
        <v>168.43</v>
      </c>
      <c r="AL4422" t="s">
        <v>19615</v>
      </c>
      <c r="AM4422">
        <v>35000</v>
      </c>
      <c r="AS4422">
        <v>0</v>
      </c>
      <c r="AU4422" t="s">
        <v>163</v>
      </c>
    </row>
    <row r="4423" spans="1:48">
      <c r="A4423" s="1">
        <f>HYPERLINK("https://lsnyc.legalserver.org/matter/dynamic-profile/view/1860883","18-1860883")</f>
        <v>0</v>
      </c>
      <c r="B4423" t="s">
        <v>101</v>
      </c>
      <c r="C4423" t="s">
        <v>256</v>
      </c>
      <c r="D4423" t="s">
        <v>450</v>
      </c>
      <c r="F4423" t="s">
        <v>1152</v>
      </c>
      <c r="G4423" t="s">
        <v>4265</v>
      </c>
      <c r="H4423" t="s">
        <v>5890</v>
      </c>
      <c r="I4423" t="s">
        <v>8370</v>
      </c>
      <c r="J4423" t="s">
        <v>9065</v>
      </c>
      <c r="K4423">
        <v>10453</v>
      </c>
      <c r="L4423" t="s">
        <v>9094</v>
      </c>
      <c r="M4423" t="s">
        <v>9095</v>
      </c>
      <c r="N4423" t="s">
        <v>9242</v>
      </c>
      <c r="O4423" t="s">
        <v>11130</v>
      </c>
      <c r="P4423" t="s">
        <v>11165</v>
      </c>
      <c r="R4423" t="s">
        <v>11180</v>
      </c>
      <c r="S4423" t="s">
        <v>9094</v>
      </c>
      <c r="T4423" t="s">
        <v>11183</v>
      </c>
      <c r="V4423" t="s">
        <v>874</v>
      </c>
      <c r="W4423">
        <v>1941</v>
      </c>
      <c r="X4423" t="s">
        <v>11333</v>
      </c>
      <c r="Y4423" t="s">
        <v>11338</v>
      </c>
      <c r="Z4423" t="s">
        <v>13994</v>
      </c>
      <c r="AB4423" t="s">
        <v>18322</v>
      </c>
      <c r="AC4423">
        <v>46</v>
      </c>
      <c r="AD4423" t="s">
        <v>19566</v>
      </c>
      <c r="AE4423" t="s">
        <v>19580</v>
      </c>
      <c r="AF4423">
        <v>7</v>
      </c>
      <c r="AG4423">
        <v>2</v>
      </c>
      <c r="AH4423">
        <v>1</v>
      </c>
      <c r="AI4423">
        <v>168.43</v>
      </c>
      <c r="AL4423" t="s">
        <v>19614</v>
      </c>
      <c r="AM4423">
        <v>35000</v>
      </c>
      <c r="AS4423">
        <v>2.3</v>
      </c>
      <c r="AT4423" t="s">
        <v>296</v>
      </c>
      <c r="AU4423" t="s">
        <v>174</v>
      </c>
    </row>
    <row r="4424" spans="1:48">
      <c r="A4424" s="1">
        <f>HYPERLINK("https://lsnyc.legalserver.org/matter/dynamic-profile/view/1864402","18-1864402")</f>
        <v>0</v>
      </c>
      <c r="B4424" t="s">
        <v>136</v>
      </c>
      <c r="C4424" t="s">
        <v>257</v>
      </c>
      <c r="D4424" t="s">
        <v>506</v>
      </c>
      <c r="E4424" t="s">
        <v>1130</v>
      </c>
      <c r="F4424" t="s">
        <v>1140</v>
      </c>
      <c r="G4424" t="s">
        <v>5096</v>
      </c>
      <c r="H4424" t="s">
        <v>5961</v>
      </c>
      <c r="I4424">
        <v>509</v>
      </c>
      <c r="J4424" t="s">
        <v>9067</v>
      </c>
      <c r="K4424">
        <v>10029</v>
      </c>
      <c r="L4424" t="s">
        <v>9094</v>
      </c>
      <c r="M4424" t="s">
        <v>9094</v>
      </c>
      <c r="N4424" t="s">
        <v>9287</v>
      </c>
      <c r="O4424" t="s">
        <v>11130</v>
      </c>
      <c r="P4424" t="s">
        <v>11165</v>
      </c>
      <c r="Q4424" t="s">
        <v>11172</v>
      </c>
      <c r="R4424" t="s">
        <v>11180</v>
      </c>
      <c r="S4424" t="s">
        <v>9094</v>
      </c>
      <c r="T4424" t="s">
        <v>11183</v>
      </c>
      <c r="U4424" t="s">
        <v>11201</v>
      </c>
      <c r="V4424" t="s">
        <v>506</v>
      </c>
      <c r="W4424">
        <v>0</v>
      </c>
      <c r="X4424" t="s">
        <v>11335</v>
      </c>
      <c r="Y4424" t="s">
        <v>11339</v>
      </c>
      <c r="Z4424" t="s">
        <v>14257</v>
      </c>
      <c r="AC4424">
        <v>108</v>
      </c>
      <c r="AD4424" t="s">
        <v>19567</v>
      </c>
      <c r="AE4424" t="s">
        <v>19580</v>
      </c>
      <c r="AF4424">
        <v>5</v>
      </c>
      <c r="AG4424">
        <v>1</v>
      </c>
      <c r="AH4424">
        <v>2</v>
      </c>
      <c r="AI4424">
        <v>168.43</v>
      </c>
      <c r="AL4424" t="s">
        <v>19614</v>
      </c>
      <c r="AM4424">
        <v>35000</v>
      </c>
      <c r="AS4424">
        <v>1.5</v>
      </c>
      <c r="AT4424" t="s">
        <v>605</v>
      </c>
      <c r="AU4424" t="s">
        <v>20657</v>
      </c>
      <c r="AV4424" t="s">
        <v>20733</v>
      </c>
    </row>
    <row r="4425" spans="1:48">
      <c r="A4425" s="1">
        <f>HYPERLINK("https://lsnyc.legalserver.org/matter/dynamic-profile/view/1885189","18-1885189")</f>
        <v>0</v>
      </c>
      <c r="B4425" t="s">
        <v>88</v>
      </c>
      <c r="C4425" t="s">
        <v>257</v>
      </c>
      <c r="D4425" t="s">
        <v>448</v>
      </c>
      <c r="E4425" t="s">
        <v>660</v>
      </c>
      <c r="F4425" t="s">
        <v>1960</v>
      </c>
      <c r="G4425" t="s">
        <v>1488</v>
      </c>
      <c r="H4425" t="s">
        <v>7679</v>
      </c>
      <c r="I4425" t="s">
        <v>8851</v>
      </c>
      <c r="J4425" t="s">
        <v>9059</v>
      </c>
      <c r="K4425">
        <v>11206</v>
      </c>
      <c r="L4425" t="s">
        <v>9095</v>
      </c>
      <c r="M4425" t="s">
        <v>9095</v>
      </c>
      <c r="O4425" t="s">
        <v>9121</v>
      </c>
      <c r="P4425" t="s">
        <v>11167</v>
      </c>
      <c r="Q4425" t="s">
        <v>11173</v>
      </c>
      <c r="R4425" t="s">
        <v>11180</v>
      </c>
      <c r="S4425" t="s">
        <v>9096</v>
      </c>
      <c r="T4425" t="s">
        <v>11183</v>
      </c>
      <c r="W4425">
        <v>1375</v>
      </c>
      <c r="X4425" t="s">
        <v>11332</v>
      </c>
      <c r="Y4425" t="s">
        <v>11340</v>
      </c>
      <c r="Z4425" t="s">
        <v>14258</v>
      </c>
      <c r="AB4425" t="s">
        <v>18582</v>
      </c>
      <c r="AC4425">
        <v>0</v>
      </c>
      <c r="AF4425">
        <v>11</v>
      </c>
      <c r="AG4425">
        <v>1</v>
      </c>
      <c r="AH4425">
        <v>0</v>
      </c>
      <c r="AI4425">
        <v>168.53</v>
      </c>
      <c r="AL4425" t="s">
        <v>19614</v>
      </c>
      <c r="AM4425">
        <v>20460</v>
      </c>
      <c r="AS4425">
        <v>16.25</v>
      </c>
      <c r="AT4425" t="s">
        <v>660</v>
      </c>
      <c r="AU4425" t="s">
        <v>200</v>
      </c>
    </row>
    <row r="4426" spans="1:48">
      <c r="A4426" s="1">
        <f>HYPERLINK("https://lsnyc.legalserver.org/matter/dynamic-profile/view/0805337","16-0805337")</f>
        <v>0</v>
      </c>
      <c r="B4426" t="s">
        <v>101</v>
      </c>
      <c r="C4426" t="s">
        <v>256</v>
      </c>
      <c r="D4426" t="s">
        <v>903</v>
      </c>
      <c r="F4426" t="s">
        <v>2814</v>
      </c>
      <c r="G4426" t="s">
        <v>3498</v>
      </c>
      <c r="H4426" t="s">
        <v>5898</v>
      </c>
      <c r="I4426" t="s">
        <v>8844</v>
      </c>
      <c r="J4426" t="s">
        <v>9065</v>
      </c>
      <c r="K4426">
        <v>10452</v>
      </c>
      <c r="L4426" t="s">
        <v>9094</v>
      </c>
      <c r="M4426" t="s">
        <v>9095</v>
      </c>
      <c r="O4426" t="s">
        <v>11154</v>
      </c>
      <c r="P4426" t="s">
        <v>11169</v>
      </c>
      <c r="R4426" t="s">
        <v>11180</v>
      </c>
      <c r="S4426" t="s">
        <v>9094</v>
      </c>
      <c r="T4426" t="s">
        <v>11183</v>
      </c>
      <c r="V4426" t="s">
        <v>11233</v>
      </c>
      <c r="W4426">
        <v>1495</v>
      </c>
      <c r="X4426" t="s">
        <v>11333</v>
      </c>
      <c r="Y4426" t="s">
        <v>11346</v>
      </c>
      <c r="Z4426" t="s">
        <v>14218</v>
      </c>
      <c r="AB4426" t="s">
        <v>18541</v>
      </c>
      <c r="AC4426">
        <v>130</v>
      </c>
      <c r="AD4426" t="s">
        <v>19566</v>
      </c>
      <c r="AE4426" t="s">
        <v>19580</v>
      </c>
      <c r="AF4426">
        <v>8</v>
      </c>
      <c r="AG4426">
        <v>2</v>
      </c>
      <c r="AH4426">
        <v>0</v>
      </c>
      <c r="AI4426">
        <v>168.54</v>
      </c>
      <c r="AL4426" t="s">
        <v>19614</v>
      </c>
      <c r="AM4426">
        <v>27000</v>
      </c>
      <c r="AS4426">
        <v>461</v>
      </c>
      <c r="AT4426" t="s">
        <v>308</v>
      </c>
      <c r="AU4426" t="s">
        <v>20650</v>
      </c>
    </row>
    <row r="4427" spans="1:48">
      <c r="A4427" s="1">
        <f>HYPERLINK("https://lsnyc.legalserver.org/matter/dynamic-profile/view/1898032","19-1898032")</f>
        <v>0</v>
      </c>
      <c r="B4427" t="s">
        <v>72</v>
      </c>
      <c r="C4427" t="s">
        <v>256</v>
      </c>
      <c r="D4427" t="s">
        <v>598</v>
      </c>
      <c r="F4427" t="s">
        <v>1173</v>
      </c>
      <c r="G4427" t="s">
        <v>3477</v>
      </c>
      <c r="H4427" t="s">
        <v>7680</v>
      </c>
      <c r="I4427" t="s">
        <v>8193</v>
      </c>
      <c r="J4427" t="s">
        <v>9059</v>
      </c>
      <c r="K4427">
        <v>11233</v>
      </c>
      <c r="L4427" t="s">
        <v>9094</v>
      </c>
      <c r="M4427" t="s">
        <v>9094</v>
      </c>
      <c r="N4427" t="s">
        <v>10718</v>
      </c>
      <c r="O4427" t="s">
        <v>11129</v>
      </c>
      <c r="P4427" t="s">
        <v>11164</v>
      </c>
      <c r="R4427" t="s">
        <v>11180</v>
      </c>
      <c r="S4427" t="s">
        <v>9096</v>
      </c>
      <c r="T4427" t="s">
        <v>11183</v>
      </c>
      <c r="U4427" t="s">
        <v>11201</v>
      </c>
      <c r="V4427" t="s">
        <v>394</v>
      </c>
      <c r="W4427">
        <v>1303</v>
      </c>
      <c r="X4427" t="s">
        <v>11332</v>
      </c>
      <c r="Y4427" t="s">
        <v>11340</v>
      </c>
      <c r="Z4427" t="s">
        <v>14259</v>
      </c>
      <c r="AA4427" t="s">
        <v>15864</v>
      </c>
      <c r="AB4427" t="s">
        <v>18583</v>
      </c>
      <c r="AC4427">
        <v>19</v>
      </c>
      <c r="AD4427" t="s">
        <v>19566</v>
      </c>
      <c r="AE4427" t="s">
        <v>9144</v>
      </c>
      <c r="AF4427">
        <v>7</v>
      </c>
      <c r="AG4427">
        <v>2</v>
      </c>
      <c r="AH4427">
        <v>1</v>
      </c>
      <c r="AI4427">
        <v>168.78</v>
      </c>
      <c r="AL4427" t="s">
        <v>19614</v>
      </c>
      <c r="AM4427">
        <v>36000</v>
      </c>
      <c r="AS4427">
        <v>4.5</v>
      </c>
      <c r="AT4427" t="s">
        <v>280</v>
      </c>
      <c r="AU4427" t="s">
        <v>95</v>
      </c>
      <c r="AV4427" t="s">
        <v>20733</v>
      </c>
    </row>
    <row r="4428" spans="1:48">
      <c r="A4428" s="1">
        <f>HYPERLINK("https://lsnyc.legalserver.org/matter/dynamic-profile/view/1913306","19-1913306")</f>
        <v>0</v>
      </c>
      <c r="B4428" t="s">
        <v>202</v>
      </c>
      <c r="C4428" t="s">
        <v>256</v>
      </c>
      <c r="D4428" t="s">
        <v>1063</v>
      </c>
      <c r="F4428" t="s">
        <v>1227</v>
      </c>
      <c r="G4428" t="s">
        <v>5097</v>
      </c>
      <c r="H4428" t="s">
        <v>6621</v>
      </c>
      <c r="I4428">
        <v>47</v>
      </c>
      <c r="J4428" t="s">
        <v>9059</v>
      </c>
      <c r="K4428">
        <v>11213</v>
      </c>
      <c r="L4428" t="s">
        <v>9094</v>
      </c>
      <c r="M4428" t="s">
        <v>9095</v>
      </c>
      <c r="N4428" t="s">
        <v>9144</v>
      </c>
      <c r="O4428" t="s">
        <v>9121</v>
      </c>
      <c r="P4428" t="s">
        <v>11167</v>
      </c>
      <c r="R4428" t="s">
        <v>11180</v>
      </c>
      <c r="S4428" t="s">
        <v>9094</v>
      </c>
      <c r="T4428" t="s">
        <v>11183</v>
      </c>
      <c r="V4428" t="s">
        <v>1063</v>
      </c>
      <c r="W4428">
        <v>1017.21</v>
      </c>
      <c r="X4428" t="s">
        <v>11332</v>
      </c>
      <c r="Y4428" t="s">
        <v>11339</v>
      </c>
      <c r="Z4428" t="s">
        <v>13878</v>
      </c>
      <c r="AB4428" t="s">
        <v>18584</v>
      </c>
      <c r="AC4428">
        <v>31</v>
      </c>
      <c r="AD4428" t="s">
        <v>19566</v>
      </c>
      <c r="AE4428" t="s">
        <v>9144</v>
      </c>
      <c r="AF4428">
        <v>22</v>
      </c>
      <c r="AG4428">
        <v>2</v>
      </c>
      <c r="AH4428">
        <v>1</v>
      </c>
      <c r="AI4428">
        <v>168.78</v>
      </c>
      <c r="AL4428" t="s">
        <v>19614</v>
      </c>
      <c r="AM4428">
        <v>36000</v>
      </c>
      <c r="AS4428">
        <v>1.5</v>
      </c>
      <c r="AT4428" t="s">
        <v>1063</v>
      </c>
      <c r="AU4428" t="s">
        <v>202</v>
      </c>
      <c r="AV4428" t="s">
        <v>20733</v>
      </c>
    </row>
    <row r="4429" spans="1:48">
      <c r="A4429" s="1">
        <f>HYPERLINK("https://lsnyc.legalserver.org/matter/dynamic-profile/view/1910829","19-1910829")</f>
        <v>0</v>
      </c>
      <c r="B4429" t="s">
        <v>91</v>
      </c>
      <c r="C4429" t="s">
        <v>256</v>
      </c>
      <c r="D4429" t="s">
        <v>308</v>
      </c>
      <c r="F4429" t="s">
        <v>2718</v>
      </c>
      <c r="G4429" t="s">
        <v>5098</v>
      </c>
      <c r="H4429" t="s">
        <v>7681</v>
      </c>
      <c r="J4429" t="s">
        <v>9059</v>
      </c>
      <c r="K4429">
        <v>11207</v>
      </c>
      <c r="L4429" t="s">
        <v>9094</v>
      </c>
      <c r="M4429" t="s">
        <v>9095</v>
      </c>
      <c r="N4429" t="s">
        <v>10719</v>
      </c>
      <c r="O4429" t="s">
        <v>11128</v>
      </c>
      <c r="P4429" t="s">
        <v>11167</v>
      </c>
      <c r="R4429" t="s">
        <v>11180</v>
      </c>
      <c r="S4429" t="s">
        <v>9096</v>
      </c>
      <c r="T4429" t="s">
        <v>11183</v>
      </c>
      <c r="U4429" t="s">
        <v>11201</v>
      </c>
      <c r="V4429" t="s">
        <v>307</v>
      </c>
      <c r="W4429">
        <v>2400</v>
      </c>
      <c r="X4429" t="s">
        <v>11332</v>
      </c>
      <c r="Y4429" t="s">
        <v>11345</v>
      </c>
      <c r="Z4429" t="s">
        <v>14260</v>
      </c>
      <c r="AA4429" t="s">
        <v>15865</v>
      </c>
      <c r="AB4429" t="s">
        <v>18585</v>
      </c>
      <c r="AC4429">
        <v>3</v>
      </c>
      <c r="AD4429" t="s">
        <v>19565</v>
      </c>
      <c r="AE4429" t="s">
        <v>9144</v>
      </c>
      <c r="AF4429">
        <v>8</v>
      </c>
      <c r="AG4429">
        <v>1</v>
      </c>
      <c r="AH4429">
        <v>2</v>
      </c>
      <c r="AI4429">
        <v>168.78</v>
      </c>
      <c r="AL4429" t="s">
        <v>19614</v>
      </c>
      <c r="AM4429">
        <v>36000</v>
      </c>
      <c r="AS4429">
        <v>2.5</v>
      </c>
      <c r="AT4429" t="s">
        <v>563</v>
      </c>
      <c r="AU4429" t="s">
        <v>95</v>
      </c>
      <c r="AV4429" t="s">
        <v>20734</v>
      </c>
    </row>
    <row r="4430" spans="1:48">
      <c r="A4430" s="1">
        <f>HYPERLINK("https://lsnyc.legalserver.org/matter/dynamic-profile/view/1899773","19-1899773")</f>
        <v>0</v>
      </c>
      <c r="B4430" t="s">
        <v>129</v>
      </c>
      <c r="C4430" t="s">
        <v>256</v>
      </c>
      <c r="D4430" t="s">
        <v>338</v>
      </c>
      <c r="F4430" t="s">
        <v>2835</v>
      </c>
      <c r="G4430" t="s">
        <v>1146</v>
      </c>
      <c r="H4430" t="s">
        <v>7682</v>
      </c>
      <c r="J4430" t="s">
        <v>9066</v>
      </c>
      <c r="K4430">
        <v>10312</v>
      </c>
      <c r="L4430" t="s">
        <v>9094</v>
      </c>
      <c r="M4430" t="s">
        <v>9095</v>
      </c>
      <c r="N4430" t="s">
        <v>10720</v>
      </c>
      <c r="O4430" t="s">
        <v>11128</v>
      </c>
      <c r="P4430" t="s">
        <v>11165</v>
      </c>
      <c r="R4430" t="s">
        <v>11180</v>
      </c>
      <c r="S4430" t="s">
        <v>9096</v>
      </c>
      <c r="T4430" t="s">
        <v>11183</v>
      </c>
      <c r="U4430" t="s">
        <v>11201</v>
      </c>
      <c r="W4430">
        <v>2200</v>
      </c>
      <c r="X4430" t="s">
        <v>11334</v>
      </c>
      <c r="Y4430" t="s">
        <v>11340</v>
      </c>
      <c r="Z4430" t="s">
        <v>11736</v>
      </c>
      <c r="AB4430" t="s">
        <v>18586</v>
      </c>
      <c r="AC4430">
        <v>1</v>
      </c>
      <c r="AD4430" t="s">
        <v>19565</v>
      </c>
      <c r="AE4430" t="s">
        <v>9144</v>
      </c>
      <c r="AF4430">
        <v>2</v>
      </c>
      <c r="AG4430">
        <v>1</v>
      </c>
      <c r="AH4430">
        <v>2</v>
      </c>
      <c r="AI4430">
        <v>168.78</v>
      </c>
      <c r="AL4430" t="s">
        <v>19618</v>
      </c>
      <c r="AM4430">
        <v>36000</v>
      </c>
      <c r="AS4430">
        <v>24.6</v>
      </c>
      <c r="AT4430" t="s">
        <v>286</v>
      </c>
      <c r="AU4430" t="s">
        <v>20653</v>
      </c>
      <c r="AV4430" t="s">
        <v>20733</v>
      </c>
    </row>
    <row r="4431" spans="1:48">
      <c r="A4431" s="1">
        <f>HYPERLINK("https://lsnyc.legalserver.org/matter/dynamic-profile/view/1841131","17-1841131")</f>
        <v>0</v>
      </c>
      <c r="B4431" t="s">
        <v>135</v>
      </c>
      <c r="C4431" t="s">
        <v>256</v>
      </c>
      <c r="D4431" t="s">
        <v>1064</v>
      </c>
      <c r="F4431" t="s">
        <v>1601</v>
      </c>
      <c r="G4431" t="s">
        <v>5099</v>
      </c>
      <c r="H4431" t="s">
        <v>7683</v>
      </c>
      <c r="I4431" t="s">
        <v>8266</v>
      </c>
      <c r="J4431" t="s">
        <v>9067</v>
      </c>
      <c r="K4431">
        <v>10029</v>
      </c>
      <c r="L4431" t="s">
        <v>9094</v>
      </c>
      <c r="M4431" t="s">
        <v>9094</v>
      </c>
      <c r="N4431" t="s">
        <v>10721</v>
      </c>
      <c r="O4431" t="s">
        <v>11128</v>
      </c>
      <c r="P4431" t="s">
        <v>11165</v>
      </c>
      <c r="R4431" t="s">
        <v>11180</v>
      </c>
      <c r="S4431" t="s">
        <v>9096</v>
      </c>
      <c r="T4431" t="s">
        <v>11183</v>
      </c>
      <c r="U4431" t="s">
        <v>11201</v>
      </c>
      <c r="V4431" t="s">
        <v>480</v>
      </c>
      <c r="W4431">
        <v>595</v>
      </c>
      <c r="X4431" t="s">
        <v>11335</v>
      </c>
      <c r="Y4431" t="s">
        <v>11349</v>
      </c>
      <c r="Z4431" t="s">
        <v>14261</v>
      </c>
      <c r="AB4431" t="s">
        <v>18587</v>
      </c>
      <c r="AC4431">
        <v>22</v>
      </c>
      <c r="AD4431" t="s">
        <v>19566</v>
      </c>
      <c r="AE4431" t="s">
        <v>9144</v>
      </c>
      <c r="AF4431">
        <v>20</v>
      </c>
      <c r="AG4431">
        <v>3</v>
      </c>
      <c r="AH4431">
        <v>1</v>
      </c>
      <c r="AI4431">
        <v>168.83</v>
      </c>
      <c r="AL4431" t="s">
        <v>19614</v>
      </c>
      <c r="AM4431">
        <v>41532</v>
      </c>
      <c r="AS4431">
        <v>221.05</v>
      </c>
      <c r="AT4431" t="s">
        <v>487</v>
      </c>
      <c r="AU4431" t="s">
        <v>20706</v>
      </c>
      <c r="AV4431" t="s">
        <v>20733</v>
      </c>
    </row>
    <row r="4432" spans="1:48">
      <c r="A4432" s="1">
        <f>HYPERLINK("https://lsnyc.legalserver.org/matter/dynamic-profile/view/1881708","18-1881708")</f>
        <v>0</v>
      </c>
      <c r="B4432" t="s">
        <v>52</v>
      </c>
      <c r="C4432" t="s">
        <v>256</v>
      </c>
      <c r="D4432" t="s">
        <v>711</v>
      </c>
      <c r="F4432" t="s">
        <v>1274</v>
      </c>
      <c r="G4432" t="s">
        <v>3637</v>
      </c>
      <c r="H4432" t="s">
        <v>7684</v>
      </c>
      <c r="I4432" t="s">
        <v>8149</v>
      </c>
      <c r="J4432" t="s">
        <v>9062</v>
      </c>
      <c r="K4432">
        <v>11104</v>
      </c>
      <c r="L4432" t="s">
        <v>9094</v>
      </c>
      <c r="M4432" t="s">
        <v>9094</v>
      </c>
      <c r="N4432" t="s">
        <v>10722</v>
      </c>
      <c r="O4432" t="s">
        <v>11128</v>
      </c>
      <c r="P4432" t="s">
        <v>11165</v>
      </c>
      <c r="R4432" t="s">
        <v>11180</v>
      </c>
      <c r="S4432" t="s">
        <v>9096</v>
      </c>
      <c r="T4432" t="s">
        <v>11183</v>
      </c>
      <c r="U4432" t="s">
        <v>11201</v>
      </c>
      <c r="V4432" t="s">
        <v>697</v>
      </c>
      <c r="W4432">
        <v>1142</v>
      </c>
      <c r="X4432" t="s">
        <v>11331</v>
      </c>
      <c r="Y4432" t="s">
        <v>11336</v>
      </c>
      <c r="Z4432" t="s">
        <v>14042</v>
      </c>
      <c r="AB4432" t="s">
        <v>18588</v>
      </c>
      <c r="AC4432">
        <v>54</v>
      </c>
      <c r="AD4432" t="s">
        <v>19566</v>
      </c>
      <c r="AE4432" t="s">
        <v>9144</v>
      </c>
      <c r="AF4432">
        <v>36</v>
      </c>
      <c r="AG4432">
        <v>1</v>
      </c>
      <c r="AH4432">
        <v>0</v>
      </c>
      <c r="AI4432">
        <v>168.86</v>
      </c>
      <c r="AL4432" t="s">
        <v>19614</v>
      </c>
      <c r="AM4432">
        <v>20500</v>
      </c>
      <c r="AO4432" t="s">
        <v>20292</v>
      </c>
      <c r="AP4432" t="s">
        <v>20353</v>
      </c>
      <c r="AS4432">
        <v>15.8</v>
      </c>
      <c r="AT4432" t="s">
        <v>20582</v>
      </c>
      <c r="AU4432" t="s">
        <v>153</v>
      </c>
      <c r="AV4432" t="s">
        <v>20733</v>
      </c>
    </row>
    <row r="4433" spans="1:48">
      <c r="A4433" s="1">
        <f>HYPERLINK("https://lsnyc.legalserver.org/matter/dynamic-profile/view/1891688","19-1891688")</f>
        <v>0</v>
      </c>
      <c r="B4433" t="s">
        <v>103</v>
      </c>
      <c r="C4433" t="s">
        <v>256</v>
      </c>
      <c r="D4433" t="s">
        <v>344</v>
      </c>
      <c r="F4433" t="s">
        <v>2498</v>
      </c>
      <c r="G4433" t="s">
        <v>1193</v>
      </c>
      <c r="H4433" t="s">
        <v>5887</v>
      </c>
      <c r="I4433" t="s">
        <v>8660</v>
      </c>
      <c r="J4433" t="s">
        <v>9065</v>
      </c>
      <c r="K4433">
        <v>10453</v>
      </c>
      <c r="L4433" t="s">
        <v>9094</v>
      </c>
      <c r="M4433" t="s">
        <v>9094</v>
      </c>
      <c r="O4433" t="s">
        <v>11134</v>
      </c>
      <c r="P4433" t="s">
        <v>11168</v>
      </c>
      <c r="R4433" t="s">
        <v>11180</v>
      </c>
      <c r="S4433" t="s">
        <v>9094</v>
      </c>
      <c r="T4433" t="s">
        <v>11183</v>
      </c>
      <c r="V4433" t="s">
        <v>512</v>
      </c>
      <c r="W4433">
        <v>1175</v>
      </c>
      <c r="X4433" t="s">
        <v>11333</v>
      </c>
      <c r="Y4433" t="s">
        <v>11346</v>
      </c>
      <c r="Z4433" t="s">
        <v>14191</v>
      </c>
      <c r="AB4433" t="s">
        <v>18516</v>
      </c>
      <c r="AC4433">
        <v>170</v>
      </c>
      <c r="AD4433" t="s">
        <v>19566</v>
      </c>
      <c r="AF4433">
        <v>30</v>
      </c>
      <c r="AG4433">
        <v>1</v>
      </c>
      <c r="AH4433">
        <v>0</v>
      </c>
      <c r="AI4433">
        <v>168.86</v>
      </c>
      <c r="AL4433" t="s">
        <v>19614</v>
      </c>
      <c r="AM4433">
        <v>20500</v>
      </c>
      <c r="AS4433">
        <v>0</v>
      </c>
      <c r="AU4433" t="s">
        <v>158</v>
      </c>
    </row>
    <row r="4434" spans="1:48">
      <c r="A4434" s="1">
        <f>HYPERLINK("https://lsnyc.legalserver.org/matter/dynamic-profile/view/1884940","18-1884940")</f>
        <v>0</v>
      </c>
      <c r="B4434" t="s">
        <v>115</v>
      </c>
      <c r="C4434" t="s">
        <v>256</v>
      </c>
      <c r="D4434" t="s">
        <v>359</v>
      </c>
      <c r="F4434" t="s">
        <v>2426</v>
      </c>
      <c r="G4434" t="s">
        <v>1186</v>
      </c>
      <c r="H4434" t="s">
        <v>5908</v>
      </c>
      <c r="I4434" t="s">
        <v>8264</v>
      </c>
      <c r="J4434" t="s">
        <v>9065</v>
      </c>
      <c r="K4434">
        <v>10451</v>
      </c>
      <c r="L4434" t="s">
        <v>9094</v>
      </c>
      <c r="M4434" t="s">
        <v>9094</v>
      </c>
      <c r="N4434" t="s">
        <v>10723</v>
      </c>
      <c r="O4434" t="s">
        <v>11129</v>
      </c>
      <c r="P4434" t="s">
        <v>11165</v>
      </c>
      <c r="R4434" t="s">
        <v>11180</v>
      </c>
      <c r="S4434" t="s">
        <v>9096</v>
      </c>
      <c r="T4434" t="s">
        <v>11183</v>
      </c>
      <c r="V4434" t="s">
        <v>359</v>
      </c>
      <c r="W4434">
        <v>1284.38</v>
      </c>
      <c r="X4434" t="s">
        <v>11333</v>
      </c>
      <c r="Y4434" t="s">
        <v>11340</v>
      </c>
      <c r="Z4434" t="s">
        <v>14262</v>
      </c>
      <c r="AB4434" t="s">
        <v>18589</v>
      </c>
      <c r="AC4434">
        <v>0</v>
      </c>
      <c r="AD4434" t="s">
        <v>19566</v>
      </c>
      <c r="AE4434" t="s">
        <v>9144</v>
      </c>
      <c r="AF4434">
        <v>8</v>
      </c>
      <c r="AG4434">
        <v>1</v>
      </c>
      <c r="AH4434">
        <v>0</v>
      </c>
      <c r="AI4434">
        <v>168.93</v>
      </c>
      <c r="AL4434" t="s">
        <v>19614</v>
      </c>
      <c r="AM4434">
        <v>20508</v>
      </c>
      <c r="AS4434">
        <v>17.3</v>
      </c>
      <c r="AT4434" t="s">
        <v>574</v>
      </c>
      <c r="AU4434" t="s">
        <v>163</v>
      </c>
    </row>
    <row r="4435" spans="1:48">
      <c r="A4435" s="1">
        <f>HYPERLINK("https://lsnyc.legalserver.org/matter/dynamic-profile/view/1847345","17-1847345")</f>
        <v>0</v>
      </c>
      <c r="B4435" t="s">
        <v>156</v>
      </c>
      <c r="C4435" t="s">
        <v>256</v>
      </c>
      <c r="D4435" t="s">
        <v>942</v>
      </c>
      <c r="F4435" t="s">
        <v>1778</v>
      </c>
      <c r="G4435" t="s">
        <v>3497</v>
      </c>
      <c r="H4435" t="s">
        <v>5855</v>
      </c>
      <c r="I4435" t="s">
        <v>8212</v>
      </c>
      <c r="J4435" t="s">
        <v>9065</v>
      </c>
      <c r="K4435">
        <v>10467</v>
      </c>
      <c r="L4435" t="s">
        <v>9094</v>
      </c>
      <c r="M4435" t="s">
        <v>9095</v>
      </c>
      <c r="N4435" t="s">
        <v>9220</v>
      </c>
      <c r="O4435" t="s">
        <v>11143</v>
      </c>
      <c r="P4435" t="s">
        <v>11165</v>
      </c>
      <c r="R4435" t="s">
        <v>11180</v>
      </c>
      <c r="S4435" t="s">
        <v>9094</v>
      </c>
      <c r="T4435" t="s">
        <v>11183</v>
      </c>
      <c r="V4435" t="s">
        <v>734</v>
      </c>
      <c r="W4435">
        <v>608</v>
      </c>
      <c r="X4435" t="s">
        <v>11333</v>
      </c>
      <c r="Y4435" t="s">
        <v>11338</v>
      </c>
      <c r="Z4435" t="s">
        <v>14263</v>
      </c>
      <c r="AB4435" t="s">
        <v>18590</v>
      </c>
      <c r="AC4435">
        <v>30</v>
      </c>
      <c r="AD4435" t="s">
        <v>19566</v>
      </c>
      <c r="AE4435" t="s">
        <v>19580</v>
      </c>
      <c r="AF4435">
        <v>7</v>
      </c>
      <c r="AG4435">
        <v>2</v>
      </c>
      <c r="AH4435">
        <v>2</v>
      </c>
      <c r="AI4435">
        <v>168.94</v>
      </c>
      <c r="AJ4435" t="s">
        <v>865</v>
      </c>
      <c r="AL4435" t="s">
        <v>19614</v>
      </c>
      <c r="AM4435">
        <v>41560</v>
      </c>
      <c r="AS4435">
        <v>1.7</v>
      </c>
      <c r="AT4435" t="s">
        <v>817</v>
      </c>
      <c r="AU4435" t="s">
        <v>20642</v>
      </c>
    </row>
    <row r="4436" spans="1:48">
      <c r="A4436" s="1">
        <f>HYPERLINK("https://lsnyc.legalserver.org/matter/dynamic-profile/view/0795218","15-0795218")</f>
        <v>0</v>
      </c>
      <c r="B4436" t="s">
        <v>49</v>
      </c>
      <c r="C4436" t="s">
        <v>256</v>
      </c>
      <c r="D4436" t="s">
        <v>895</v>
      </c>
      <c r="F4436" t="s">
        <v>2836</v>
      </c>
      <c r="G4436" t="s">
        <v>5100</v>
      </c>
      <c r="H4436" t="s">
        <v>5736</v>
      </c>
      <c r="I4436" t="s">
        <v>8216</v>
      </c>
      <c r="J4436" t="s">
        <v>9055</v>
      </c>
      <c r="K4436">
        <v>11354</v>
      </c>
      <c r="L4436" t="s">
        <v>9094</v>
      </c>
      <c r="M4436" t="s">
        <v>9095</v>
      </c>
      <c r="N4436" t="s">
        <v>9717</v>
      </c>
      <c r="O4436" t="s">
        <v>11135</v>
      </c>
      <c r="P4436" t="s">
        <v>11168</v>
      </c>
      <c r="R4436" t="s">
        <v>11180</v>
      </c>
      <c r="T4436" t="s">
        <v>11183</v>
      </c>
      <c r="V4436" t="s">
        <v>303</v>
      </c>
      <c r="W4436">
        <v>1400</v>
      </c>
      <c r="X4436" t="s">
        <v>11331</v>
      </c>
      <c r="Y4436" t="s">
        <v>11342</v>
      </c>
      <c r="Z4436" t="s">
        <v>14209</v>
      </c>
      <c r="AB4436" t="s">
        <v>18591</v>
      </c>
      <c r="AC4436">
        <v>175</v>
      </c>
      <c r="AD4436" t="s">
        <v>19566</v>
      </c>
      <c r="AE4436" t="s">
        <v>9144</v>
      </c>
      <c r="AF4436">
        <v>24</v>
      </c>
      <c r="AG4436">
        <v>3</v>
      </c>
      <c r="AH4436">
        <v>2</v>
      </c>
      <c r="AI4436">
        <v>168.95</v>
      </c>
      <c r="AL4436" t="s">
        <v>19615</v>
      </c>
      <c r="AM4436">
        <v>48000</v>
      </c>
      <c r="AS4436">
        <v>0.35</v>
      </c>
      <c r="AT4436" t="s">
        <v>448</v>
      </c>
      <c r="AU4436" t="s">
        <v>20621</v>
      </c>
    </row>
    <row r="4437" spans="1:48">
      <c r="A4437" s="1">
        <f>HYPERLINK("https://lsnyc.legalserver.org/matter/dynamic-profile/view/0824169","17-0824169")</f>
        <v>0</v>
      </c>
      <c r="B4437" t="s">
        <v>108</v>
      </c>
      <c r="C4437" t="s">
        <v>256</v>
      </c>
      <c r="D4437" t="s">
        <v>1065</v>
      </c>
      <c r="F4437" t="s">
        <v>2000</v>
      </c>
      <c r="G4437" t="s">
        <v>3497</v>
      </c>
      <c r="H4437" t="s">
        <v>7685</v>
      </c>
      <c r="I4437" t="s">
        <v>8124</v>
      </c>
      <c r="J4437" t="s">
        <v>9065</v>
      </c>
      <c r="K4437">
        <v>10455</v>
      </c>
      <c r="L4437" t="s">
        <v>9094</v>
      </c>
      <c r="M4437" t="s">
        <v>9095</v>
      </c>
      <c r="N4437" t="s">
        <v>10724</v>
      </c>
      <c r="O4437" t="s">
        <v>11128</v>
      </c>
      <c r="P4437" t="s">
        <v>11165</v>
      </c>
      <c r="R4437" t="s">
        <v>11180</v>
      </c>
      <c r="S4437" t="s">
        <v>9096</v>
      </c>
      <c r="T4437" t="s">
        <v>11183</v>
      </c>
      <c r="V4437" t="s">
        <v>11300</v>
      </c>
      <c r="W4437">
        <v>1200</v>
      </c>
      <c r="X4437" t="s">
        <v>11333</v>
      </c>
      <c r="Y4437" t="s">
        <v>11340</v>
      </c>
      <c r="Z4437" t="s">
        <v>14264</v>
      </c>
      <c r="AB4437" t="s">
        <v>18592</v>
      </c>
      <c r="AC4437">
        <v>8</v>
      </c>
      <c r="AD4437" t="s">
        <v>19566</v>
      </c>
      <c r="AE4437" t="s">
        <v>9144</v>
      </c>
      <c r="AF4437">
        <v>23</v>
      </c>
      <c r="AG4437">
        <v>2</v>
      </c>
      <c r="AH4437">
        <v>0</v>
      </c>
      <c r="AI4437">
        <v>168.99</v>
      </c>
      <c r="AJ4437" t="s">
        <v>11269</v>
      </c>
      <c r="AK4437" t="s">
        <v>19609</v>
      </c>
      <c r="AL4437" t="s">
        <v>19614</v>
      </c>
      <c r="AM4437">
        <v>27072</v>
      </c>
      <c r="AO4437" t="s">
        <v>20293</v>
      </c>
      <c r="AP4437" t="s">
        <v>20354</v>
      </c>
      <c r="AQ4437" t="s">
        <v>20369</v>
      </c>
      <c r="AR4437" t="s">
        <v>20545</v>
      </c>
      <c r="AS4437">
        <v>120.15</v>
      </c>
      <c r="AT4437" t="s">
        <v>487</v>
      </c>
      <c r="AU4437" t="s">
        <v>20632</v>
      </c>
    </row>
    <row r="4438" spans="1:48">
      <c r="A4438" s="1">
        <f>HYPERLINK("https://lsnyc.legalserver.org/matter/dynamic-profile/view/1881710","18-1881710")</f>
        <v>0</v>
      </c>
      <c r="B4438" t="s">
        <v>114</v>
      </c>
      <c r="C4438" t="s">
        <v>257</v>
      </c>
      <c r="D4438" t="s">
        <v>477</v>
      </c>
      <c r="E4438" t="s">
        <v>294</v>
      </c>
      <c r="F4438" t="s">
        <v>2837</v>
      </c>
      <c r="G4438" t="s">
        <v>3220</v>
      </c>
      <c r="H4438" t="s">
        <v>5907</v>
      </c>
      <c r="I4438" t="s">
        <v>8124</v>
      </c>
      <c r="J4438" t="s">
        <v>9065</v>
      </c>
      <c r="K4438">
        <v>10451</v>
      </c>
      <c r="L4438" t="s">
        <v>9094</v>
      </c>
      <c r="M4438" t="s">
        <v>9094</v>
      </c>
      <c r="N4438" t="s">
        <v>9259</v>
      </c>
      <c r="O4438" t="s">
        <v>11130</v>
      </c>
      <c r="P4438" t="s">
        <v>11165</v>
      </c>
      <c r="Q4438" t="s">
        <v>11174</v>
      </c>
      <c r="R4438" t="s">
        <v>11180</v>
      </c>
      <c r="S4438" t="s">
        <v>9094</v>
      </c>
      <c r="T4438" t="s">
        <v>11183</v>
      </c>
      <c r="V4438" t="s">
        <v>738</v>
      </c>
      <c r="W4438">
        <v>627.27</v>
      </c>
      <c r="X4438" t="s">
        <v>11333</v>
      </c>
      <c r="Y4438" t="s">
        <v>11346</v>
      </c>
      <c r="Z4438" t="s">
        <v>13008</v>
      </c>
      <c r="AC4438">
        <v>100</v>
      </c>
      <c r="AD4438" t="s">
        <v>19571</v>
      </c>
      <c r="AE4438" t="s">
        <v>19580</v>
      </c>
      <c r="AF4438">
        <v>34</v>
      </c>
      <c r="AG4438">
        <v>2</v>
      </c>
      <c r="AH4438">
        <v>0</v>
      </c>
      <c r="AI4438">
        <v>169.02</v>
      </c>
      <c r="AL4438" t="s">
        <v>19615</v>
      </c>
      <c r="AM4438">
        <v>27820</v>
      </c>
      <c r="AS4438">
        <v>0.5</v>
      </c>
      <c r="AT4438" t="s">
        <v>563</v>
      </c>
      <c r="AU4438" t="s">
        <v>163</v>
      </c>
    </row>
    <row r="4439" spans="1:48">
      <c r="A4439" s="1">
        <f>HYPERLINK("https://lsnyc.legalserver.org/matter/dynamic-profile/view/1880593","18-1880593")</f>
        <v>0</v>
      </c>
      <c r="B4439" t="s">
        <v>103</v>
      </c>
      <c r="C4439" t="s">
        <v>256</v>
      </c>
      <c r="D4439" t="s">
        <v>477</v>
      </c>
      <c r="F4439" t="s">
        <v>1318</v>
      </c>
      <c r="G4439" t="s">
        <v>3593</v>
      </c>
      <c r="H4439" t="s">
        <v>6413</v>
      </c>
      <c r="I4439" t="s">
        <v>8419</v>
      </c>
      <c r="J4439" t="s">
        <v>9065</v>
      </c>
      <c r="K4439">
        <v>10456</v>
      </c>
      <c r="L4439" t="s">
        <v>9094</v>
      </c>
      <c r="M4439" t="s">
        <v>9094</v>
      </c>
      <c r="N4439" t="s">
        <v>9732</v>
      </c>
      <c r="O4439" t="s">
        <v>11134</v>
      </c>
      <c r="P4439" t="s">
        <v>11168</v>
      </c>
      <c r="R4439" t="s">
        <v>11180</v>
      </c>
      <c r="S4439" t="s">
        <v>9094</v>
      </c>
      <c r="T4439" t="s">
        <v>11183</v>
      </c>
      <c r="V4439" t="s">
        <v>617</v>
      </c>
      <c r="W4439">
        <v>1573</v>
      </c>
      <c r="X4439" t="s">
        <v>11333</v>
      </c>
      <c r="Y4439" t="s">
        <v>11346</v>
      </c>
      <c r="Z4439" t="s">
        <v>13721</v>
      </c>
      <c r="AB4439" t="s">
        <v>18047</v>
      </c>
      <c r="AC4439">
        <v>61</v>
      </c>
      <c r="AD4439" t="s">
        <v>19566</v>
      </c>
      <c r="AE4439" t="s">
        <v>9144</v>
      </c>
      <c r="AF4439">
        <v>6</v>
      </c>
      <c r="AG4439">
        <v>4</v>
      </c>
      <c r="AH4439">
        <v>1</v>
      </c>
      <c r="AI4439">
        <v>169.11</v>
      </c>
      <c r="AL4439" t="s">
        <v>19615</v>
      </c>
      <c r="AM4439">
        <v>49752</v>
      </c>
      <c r="AS4439">
        <v>0</v>
      </c>
      <c r="AU4439" t="s">
        <v>20642</v>
      </c>
    </row>
    <row r="4440" spans="1:48">
      <c r="A4440" s="1">
        <f>HYPERLINK("https://lsnyc.legalserver.org/matter/dynamic-profile/view/1890363","19-1890363")</f>
        <v>0</v>
      </c>
      <c r="B4440" t="s">
        <v>138</v>
      </c>
      <c r="C4440" t="s">
        <v>256</v>
      </c>
      <c r="D4440" t="s">
        <v>482</v>
      </c>
      <c r="F4440" t="s">
        <v>2838</v>
      </c>
      <c r="G4440" t="s">
        <v>4152</v>
      </c>
      <c r="H4440" t="s">
        <v>7686</v>
      </c>
      <c r="I4440" t="s">
        <v>8212</v>
      </c>
      <c r="J4440" t="s">
        <v>9067</v>
      </c>
      <c r="K4440">
        <v>10034</v>
      </c>
      <c r="L4440" t="s">
        <v>9094</v>
      </c>
      <c r="M4440" t="s">
        <v>9094</v>
      </c>
      <c r="N4440" t="s">
        <v>10725</v>
      </c>
      <c r="O4440" t="s">
        <v>11128</v>
      </c>
      <c r="P4440" t="s">
        <v>11165</v>
      </c>
      <c r="R4440" t="s">
        <v>11180</v>
      </c>
      <c r="S4440" t="s">
        <v>9096</v>
      </c>
      <c r="T4440" t="s">
        <v>11183</v>
      </c>
      <c r="U4440" t="s">
        <v>11201</v>
      </c>
      <c r="V4440" t="s">
        <v>482</v>
      </c>
      <c r="W4440">
        <v>1300</v>
      </c>
      <c r="X4440" t="s">
        <v>11335</v>
      </c>
      <c r="Y4440" t="s">
        <v>11336</v>
      </c>
      <c r="Z4440" t="s">
        <v>14265</v>
      </c>
      <c r="AB4440" t="s">
        <v>18593</v>
      </c>
      <c r="AC4440">
        <v>259</v>
      </c>
      <c r="AD4440" t="s">
        <v>19566</v>
      </c>
      <c r="AE4440" t="s">
        <v>9144</v>
      </c>
      <c r="AF4440">
        <v>18</v>
      </c>
      <c r="AG4440">
        <v>2</v>
      </c>
      <c r="AH4440">
        <v>0</v>
      </c>
      <c r="AI4440">
        <v>169.13</v>
      </c>
      <c r="AL4440" t="s">
        <v>19615</v>
      </c>
      <c r="AM4440">
        <v>28600</v>
      </c>
      <c r="AS4440">
        <v>46.7</v>
      </c>
      <c r="AT4440" t="s">
        <v>703</v>
      </c>
      <c r="AU4440" t="s">
        <v>20657</v>
      </c>
      <c r="AV4440" t="s">
        <v>20733</v>
      </c>
    </row>
    <row r="4441" spans="1:48">
      <c r="A4441" s="1">
        <f>HYPERLINK("https://lsnyc.legalserver.org/matter/dynamic-profile/view/1870969","18-1870969")</f>
        <v>0</v>
      </c>
      <c r="B4441" t="s">
        <v>134</v>
      </c>
      <c r="C4441" t="s">
        <v>256</v>
      </c>
      <c r="D4441" t="s">
        <v>659</v>
      </c>
      <c r="F4441" t="s">
        <v>1350</v>
      </c>
      <c r="G4441" t="s">
        <v>4383</v>
      </c>
      <c r="H4441" t="s">
        <v>6784</v>
      </c>
      <c r="I4441">
        <v>46</v>
      </c>
      <c r="J4441" t="s">
        <v>9067</v>
      </c>
      <c r="K4441">
        <v>10034</v>
      </c>
      <c r="L4441" t="s">
        <v>9094</v>
      </c>
      <c r="M4441" t="s">
        <v>9095</v>
      </c>
      <c r="N4441" t="s">
        <v>10726</v>
      </c>
      <c r="O4441" t="s">
        <v>11128</v>
      </c>
      <c r="P4441" t="s">
        <v>11165</v>
      </c>
      <c r="R4441" t="s">
        <v>11180</v>
      </c>
      <c r="S4441" t="s">
        <v>9096</v>
      </c>
      <c r="T4441" t="s">
        <v>11183</v>
      </c>
      <c r="V4441" t="s">
        <v>659</v>
      </c>
      <c r="W4441">
        <v>846.78</v>
      </c>
      <c r="X4441" t="s">
        <v>11335</v>
      </c>
      <c r="Y4441" t="s">
        <v>11340</v>
      </c>
      <c r="Z4441" t="s">
        <v>14266</v>
      </c>
      <c r="AB4441" t="s">
        <v>18594</v>
      </c>
      <c r="AC4441">
        <v>28</v>
      </c>
      <c r="AD4441" t="s">
        <v>19566</v>
      </c>
      <c r="AE4441" t="s">
        <v>9144</v>
      </c>
      <c r="AF4441">
        <v>23</v>
      </c>
      <c r="AG4441">
        <v>3</v>
      </c>
      <c r="AH4441">
        <v>0</v>
      </c>
      <c r="AI4441">
        <v>169.18</v>
      </c>
      <c r="AL4441" t="s">
        <v>19615</v>
      </c>
      <c r="AM4441">
        <v>35156</v>
      </c>
      <c r="AS4441">
        <v>155.48</v>
      </c>
      <c r="AT4441" t="s">
        <v>521</v>
      </c>
      <c r="AU4441" t="s">
        <v>20723</v>
      </c>
    </row>
    <row r="4442" spans="1:48">
      <c r="A4442" s="1">
        <f>HYPERLINK("https://lsnyc.legalserver.org/matter/dynamic-profile/view/1894799","19-1894799")</f>
        <v>0</v>
      </c>
      <c r="B4442" t="s">
        <v>69</v>
      </c>
      <c r="C4442" t="s">
        <v>256</v>
      </c>
      <c r="D4442" t="s">
        <v>694</v>
      </c>
      <c r="F4442" t="s">
        <v>1749</v>
      </c>
      <c r="G4442" t="s">
        <v>5101</v>
      </c>
      <c r="H4442" t="s">
        <v>7687</v>
      </c>
      <c r="I4442">
        <v>212</v>
      </c>
      <c r="J4442" t="s">
        <v>9059</v>
      </c>
      <c r="K4442">
        <v>11208</v>
      </c>
      <c r="L4442" t="s">
        <v>9094</v>
      </c>
      <c r="M4442" t="s">
        <v>9094</v>
      </c>
      <c r="N4442" t="s">
        <v>10727</v>
      </c>
      <c r="O4442" t="s">
        <v>11129</v>
      </c>
      <c r="P4442" t="s">
        <v>11168</v>
      </c>
      <c r="R4442" t="s">
        <v>11180</v>
      </c>
      <c r="S4442" t="s">
        <v>9096</v>
      </c>
      <c r="T4442" t="s">
        <v>11184</v>
      </c>
      <c r="U4442" t="s">
        <v>11201</v>
      </c>
      <c r="V4442" t="s">
        <v>269</v>
      </c>
      <c r="W4442">
        <v>1092</v>
      </c>
      <c r="X4442" t="s">
        <v>11332</v>
      </c>
      <c r="Y4442" t="s">
        <v>11345</v>
      </c>
      <c r="Z4442" t="s">
        <v>14267</v>
      </c>
      <c r="AA4442" t="s">
        <v>15866</v>
      </c>
      <c r="AB4442" t="s">
        <v>18595</v>
      </c>
      <c r="AC4442">
        <v>323</v>
      </c>
      <c r="AD4442" t="s">
        <v>19566</v>
      </c>
      <c r="AE4442" t="s">
        <v>9144</v>
      </c>
      <c r="AF4442">
        <v>3</v>
      </c>
      <c r="AG4442">
        <v>1</v>
      </c>
      <c r="AH4442">
        <v>1</v>
      </c>
      <c r="AI4442">
        <v>169.44</v>
      </c>
      <c r="AL4442" t="s">
        <v>19614</v>
      </c>
      <c r="AM4442">
        <v>28652</v>
      </c>
      <c r="AS4442">
        <v>12</v>
      </c>
      <c r="AT4442" t="s">
        <v>471</v>
      </c>
      <c r="AU4442" t="s">
        <v>79</v>
      </c>
    </row>
    <row r="4443" spans="1:48">
      <c r="A4443" s="1">
        <f>HYPERLINK("https://lsnyc.legalserver.org/matter/dynamic-profile/view/1908602","19-1908602")</f>
        <v>0</v>
      </c>
      <c r="B4443" t="s">
        <v>55</v>
      </c>
      <c r="C4443" t="s">
        <v>256</v>
      </c>
      <c r="D4443" t="s">
        <v>574</v>
      </c>
      <c r="F4443" t="s">
        <v>1222</v>
      </c>
      <c r="G4443" t="s">
        <v>5102</v>
      </c>
      <c r="H4443" t="s">
        <v>7688</v>
      </c>
      <c r="J4443" t="s">
        <v>9041</v>
      </c>
      <c r="K4443">
        <v>11422</v>
      </c>
      <c r="L4443" t="s">
        <v>9094</v>
      </c>
      <c r="M4443" t="s">
        <v>9095</v>
      </c>
      <c r="N4443" t="s">
        <v>10728</v>
      </c>
      <c r="O4443" t="s">
        <v>11128</v>
      </c>
      <c r="P4443" t="s">
        <v>11169</v>
      </c>
      <c r="R4443" t="s">
        <v>11180</v>
      </c>
      <c r="S4443" t="s">
        <v>9096</v>
      </c>
      <c r="T4443" t="s">
        <v>11183</v>
      </c>
      <c r="U4443" t="s">
        <v>11199</v>
      </c>
      <c r="V4443" t="s">
        <v>574</v>
      </c>
      <c r="W4443">
        <v>1028</v>
      </c>
      <c r="X4443" t="s">
        <v>11331</v>
      </c>
      <c r="Y4443" t="s">
        <v>11336</v>
      </c>
      <c r="Z4443" t="s">
        <v>14268</v>
      </c>
      <c r="AA4443" t="s">
        <v>15867</v>
      </c>
      <c r="AB4443" t="s">
        <v>18596</v>
      </c>
      <c r="AC4443">
        <v>2</v>
      </c>
      <c r="AD4443" t="s">
        <v>19574</v>
      </c>
      <c r="AE4443" t="s">
        <v>9144</v>
      </c>
      <c r="AF4443">
        <v>13</v>
      </c>
      <c r="AG4443">
        <v>1</v>
      </c>
      <c r="AH4443">
        <v>0</v>
      </c>
      <c r="AI4443">
        <v>169.48</v>
      </c>
      <c r="AL4443" t="s">
        <v>19614</v>
      </c>
      <c r="AM4443">
        <v>21168</v>
      </c>
      <c r="AS4443">
        <v>1.36</v>
      </c>
      <c r="AT4443" t="s">
        <v>297</v>
      </c>
      <c r="AU4443" t="s">
        <v>20620</v>
      </c>
      <c r="AV4443" t="s">
        <v>20733</v>
      </c>
    </row>
    <row r="4444" spans="1:48">
      <c r="A4444" s="1">
        <f>HYPERLINK("https://lsnyc.legalserver.org/matter/dynamic-profile/view/0797188","16-0797188")</f>
        <v>0</v>
      </c>
      <c r="B4444" t="s">
        <v>102</v>
      </c>
      <c r="C4444" t="s">
        <v>256</v>
      </c>
      <c r="D4444" t="s">
        <v>1066</v>
      </c>
      <c r="F4444" t="s">
        <v>2814</v>
      </c>
      <c r="G4444" t="s">
        <v>3498</v>
      </c>
      <c r="H4444" t="s">
        <v>5898</v>
      </c>
      <c r="I4444" t="s">
        <v>8844</v>
      </c>
      <c r="J4444" t="s">
        <v>9065</v>
      </c>
      <c r="K4444">
        <v>10452</v>
      </c>
      <c r="L4444" t="s">
        <v>9094</v>
      </c>
      <c r="M4444" t="s">
        <v>9095</v>
      </c>
      <c r="N4444" t="s">
        <v>10729</v>
      </c>
      <c r="O4444" t="s">
        <v>11129</v>
      </c>
      <c r="P4444" t="s">
        <v>11165</v>
      </c>
      <c r="R4444" t="s">
        <v>11180</v>
      </c>
      <c r="S4444" t="s">
        <v>9096</v>
      </c>
      <c r="T4444" t="s">
        <v>11183</v>
      </c>
      <c r="V4444" t="s">
        <v>11221</v>
      </c>
      <c r="W4444">
        <v>1495</v>
      </c>
      <c r="X4444" t="s">
        <v>11333</v>
      </c>
      <c r="Y4444" t="s">
        <v>11346</v>
      </c>
      <c r="Z4444" t="s">
        <v>14218</v>
      </c>
      <c r="AB4444" t="s">
        <v>18541</v>
      </c>
      <c r="AC4444">
        <v>0</v>
      </c>
      <c r="AD4444" t="s">
        <v>19566</v>
      </c>
      <c r="AE4444" t="s">
        <v>19580</v>
      </c>
      <c r="AF4444">
        <v>8</v>
      </c>
      <c r="AG4444">
        <v>2</v>
      </c>
      <c r="AH4444">
        <v>0</v>
      </c>
      <c r="AI4444">
        <v>169.49</v>
      </c>
      <c r="AL4444" t="s">
        <v>19614</v>
      </c>
      <c r="AM4444">
        <v>27000</v>
      </c>
      <c r="AS4444">
        <v>333.25</v>
      </c>
      <c r="AT4444" t="s">
        <v>487</v>
      </c>
      <c r="AU4444" t="s">
        <v>109</v>
      </c>
    </row>
    <row r="4445" spans="1:48">
      <c r="A4445" s="1">
        <f>HYPERLINK("https://lsnyc.legalserver.org/matter/dynamic-profile/view/1842917","17-1842917")</f>
        <v>0</v>
      </c>
      <c r="B4445" t="s">
        <v>122</v>
      </c>
      <c r="C4445" t="s">
        <v>257</v>
      </c>
      <c r="D4445" t="s">
        <v>480</v>
      </c>
      <c r="E4445" t="s">
        <v>414</v>
      </c>
      <c r="F4445" t="s">
        <v>1804</v>
      </c>
      <c r="G4445" t="s">
        <v>5103</v>
      </c>
      <c r="H4445" t="s">
        <v>5911</v>
      </c>
      <c r="I4445" t="s">
        <v>8852</v>
      </c>
      <c r="J4445" t="s">
        <v>9066</v>
      </c>
      <c r="K4445">
        <v>10314</v>
      </c>
      <c r="L4445" t="s">
        <v>9094</v>
      </c>
      <c r="M4445" t="s">
        <v>9095</v>
      </c>
      <c r="N4445" t="s">
        <v>9260</v>
      </c>
      <c r="O4445" t="s">
        <v>11135</v>
      </c>
      <c r="P4445" t="s">
        <v>11168</v>
      </c>
      <c r="Q4445" t="s">
        <v>11177</v>
      </c>
      <c r="R4445" t="s">
        <v>11180</v>
      </c>
      <c r="S4445" t="s">
        <v>9094</v>
      </c>
      <c r="T4445" t="s">
        <v>11183</v>
      </c>
      <c r="U4445" t="s">
        <v>11201</v>
      </c>
      <c r="V4445" t="s">
        <v>712</v>
      </c>
      <c r="W4445">
        <v>952</v>
      </c>
      <c r="X4445" t="s">
        <v>11334</v>
      </c>
      <c r="Y4445" t="s">
        <v>11339</v>
      </c>
      <c r="Z4445" t="s">
        <v>14269</v>
      </c>
      <c r="AB4445" t="s">
        <v>18597</v>
      </c>
      <c r="AC4445">
        <v>96</v>
      </c>
      <c r="AD4445" t="s">
        <v>19566</v>
      </c>
      <c r="AE4445" t="s">
        <v>9144</v>
      </c>
      <c r="AF4445">
        <v>3</v>
      </c>
      <c r="AG4445">
        <v>1</v>
      </c>
      <c r="AH4445">
        <v>0</v>
      </c>
      <c r="AI4445">
        <v>169.55</v>
      </c>
      <c r="AJ4445" t="s">
        <v>19594</v>
      </c>
      <c r="AL4445" t="s">
        <v>19614</v>
      </c>
      <c r="AM4445">
        <v>20448</v>
      </c>
      <c r="AO4445" t="s">
        <v>20293</v>
      </c>
      <c r="AP4445" t="s">
        <v>20316</v>
      </c>
      <c r="AQ4445" t="s">
        <v>20369</v>
      </c>
      <c r="AR4445" t="s">
        <v>20385</v>
      </c>
      <c r="AS4445">
        <v>0.75</v>
      </c>
      <c r="AT4445" t="s">
        <v>414</v>
      </c>
      <c r="AU4445" t="s">
        <v>128</v>
      </c>
      <c r="AV4445" t="s">
        <v>20733</v>
      </c>
    </row>
    <row r="4446" spans="1:48">
      <c r="A4446" s="1">
        <f>HYPERLINK("https://lsnyc.legalserver.org/matter/dynamic-profile/view/1891718","19-1891718")</f>
        <v>0</v>
      </c>
      <c r="B4446" t="s">
        <v>70</v>
      </c>
      <c r="C4446" t="s">
        <v>256</v>
      </c>
      <c r="D4446" t="s">
        <v>788</v>
      </c>
      <c r="F4446" t="s">
        <v>2839</v>
      </c>
      <c r="G4446" t="s">
        <v>5104</v>
      </c>
      <c r="H4446" t="s">
        <v>5748</v>
      </c>
      <c r="I4446" t="s">
        <v>8853</v>
      </c>
      <c r="J4446" t="s">
        <v>9059</v>
      </c>
      <c r="K4446">
        <v>11233</v>
      </c>
      <c r="L4446" t="s">
        <v>9094</v>
      </c>
      <c r="M4446" t="s">
        <v>9094</v>
      </c>
      <c r="N4446" t="s">
        <v>9171</v>
      </c>
      <c r="O4446" t="s">
        <v>11137</v>
      </c>
      <c r="P4446" t="s">
        <v>11167</v>
      </c>
      <c r="R4446" t="s">
        <v>11180</v>
      </c>
      <c r="S4446" t="s">
        <v>9094</v>
      </c>
      <c r="T4446" t="s">
        <v>11183</v>
      </c>
      <c r="U4446" t="s">
        <v>11201</v>
      </c>
      <c r="V4446" t="s">
        <v>749</v>
      </c>
      <c r="W4446">
        <v>1353.11</v>
      </c>
      <c r="X4446" t="s">
        <v>11332</v>
      </c>
      <c r="Z4446" t="s">
        <v>14270</v>
      </c>
      <c r="AB4446" t="s">
        <v>18598</v>
      </c>
      <c r="AC4446">
        <v>359</v>
      </c>
      <c r="AD4446" t="s">
        <v>19566</v>
      </c>
      <c r="AE4446" t="s">
        <v>9144</v>
      </c>
      <c r="AF4446">
        <v>24</v>
      </c>
      <c r="AG4446">
        <v>5</v>
      </c>
      <c r="AH4446">
        <v>0</v>
      </c>
      <c r="AI4446">
        <v>169.71</v>
      </c>
      <c r="AL4446" t="s">
        <v>19614</v>
      </c>
      <c r="AM4446">
        <v>51200</v>
      </c>
      <c r="AN4446" t="s">
        <v>20024</v>
      </c>
      <c r="AS4446">
        <v>0</v>
      </c>
      <c r="AU4446" t="s">
        <v>95</v>
      </c>
    </row>
    <row r="4447" spans="1:48">
      <c r="A4447" s="1">
        <f>HYPERLINK("https://lsnyc.legalserver.org/matter/dynamic-profile/view/1915466","19-1915466")</f>
        <v>0</v>
      </c>
      <c r="B4447" t="s">
        <v>68</v>
      </c>
      <c r="C4447" t="s">
        <v>256</v>
      </c>
      <c r="D4447" t="s">
        <v>594</v>
      </c>
      <c r="F4447" t="s">
        <v>2840</v>
      </c>
      <c r="G4447" t="s">
        <v>5105</v>
      </c>
      <c r="H4447" t="s">
        <v>7689</v>
      </c>
      <c r="I4447" t="s">
        <v>8170</v>
      </c>
      <c r="J4447" t="s">
        <v>9059</v>
      </c>
      <c r="K4447">
        <v>11208</v>
      </c>
      <c r="L4447" t="s">
        <v>9094</v>
      </c>
      <c r="M4447" t="s">
        <v>9095</v>
      </c>
      <c r="N4447" t="s">
        <v>10730</v>
      </c>
      <c r="O4447" t="s">
        <v>11128</v>
      </c>
      <c r="R4447" t="s">
        <v>11180</v>
      </c>
      <c r="S4447" t="s">
        <v>9094</v>
      </c>
      <c r="T4447" t="s">
        <v>11183</v>
      </c>
      <c r="U4447" t="s">
        <v>11201</v>
      </c>
      <c r="W4447">
        <v>1250</v>
      </c>
      <c r="X4447" t="s">
        <v>11332</v>
      </c>
      <c r="Y4447" t="s">
        <v>11355</v>
      </c>
      <c r="Z4447" t="s">
        <v>14271</v>
      </c>
      <c r="AA4447" t="s">
        <v>9171</v>
      </c>
      <c r="AB4447" t="s">
        <v>18599</v>
      </c>
      <c r="AC4447">
        <v>1</v>
      </c>
      <c r="AD4447" t="s">
        <v>19565</v>
      </c>
      <c r="AE4447" t="s">
        <v>9144</v>
      </c>
      <c r="AF4447">
        <v>4</v>
      </c>
      <c r="AG4447">
        <v>2</v>
      </c>
      <c r="AH4447">
        <v>3</v>
      </c>
      <c r="AI4447">
        <v>169.71</v>
      </c>
      <c r="AL4447" t="s">
        <v>19615</v>
      </c>
      <c r="AM4447">
        <v>51200</v>
      </c>
      <c r="AS4447">
        <v>0</v>
      </c>
      <c r="AU4447" t="s">
        <v>95</v>
      </c>
      <c r="AV4447" t="s">
        <v>20733</v>
      </c>
    </row>
    <row r="4448" spans="1:48">
      <c r="A4448" s="1">
        <f>HYPERLINK("https://lsnyc.legalserver.org/matter/dynamic-profile/view/1895928","19-1895928")</f>
        <v>0</v>
      </c>
      <c r="B4448" t="s">
        <v>220</v>
      </c>
      <c r="C4448" t="s">
        <v>256</v>
      </c>
      <c r="D4448" t="s">
        <v>300</v>
      </c>
      <c r="F4448" t="s">
        <v>2841</v>
      </c>
      <c r="G4448" t="s">
        <v>5106</v>
      </c>
      <c r="H4448" t="s">
        <v>6624</v>
      </c>
      <c r="I4448" t="s">
        <v>8854</v>
      </c>
      <c r="J4448" t="s">
        <v>9065</v>
      </c>
      <c r="K4448">
        <v>10458</v>
      </c>
      <c r="L4448" t="s">
        <v>9094</v>
      </c>
      <c r="M4448" t="s">
        <v>9094</v>
      </c>
      <c r="N4448" t="s">
        <v>9819</v>
      </c>
      <c r="O4448" t="s">
        <v>11134</v>
      </c>
      <c r="P4448" t="s">
        <v>11168</v>
      </c>
      <c r="R4448" t="s">
        <v>11180</v>
      </c>
      <c r="S4448" t="s">
        <v>9094</v>
      </c>
      <c r="T4448" t="s">
        <v>11183</v>
      </c>
      <c r="V4448" t="s">
        <v>11212</v>
      </c>
      <c r="W4448">
        <v>1125</v>
      </c>
      <c r="X4448" t="s">
        <v>11333</v>
      </c>
      <c r="Y4448" t="s">
        <v>11346</v>
      </c>
      <c r="Z4448" t="s">
        <v>14272</v>
      </c>
      <c r="AC4448">
        <v>136</v>
      </c>
      <c r="AD4448" t="s">
        <v>19566</v>
      </c>
      <c r="AF4448">
        <v>19</v>
      </c>
      <c r="AG4448">
        <v>3</v>
      </c>
      <c r="AH4448">
        <v>0</v>
      </c>
      <c r="AI4448">
        <v>169.92</v>
      </c>
      <c r="AL4448" t="s">
        <v>19615</v>
      </c>
      <c r="AM4448">
        <v>36244</v>
      </c>
      <c r="AS4448">
        <v>0</v>
      </c>
      <c r="AU4448" t="s">
        <v>220</v>
      </c>
    </row>
    <row r="4449" spans="1:48">
      <c r="A4449" s="1">
        <f>HYPERLINK("https://lsnyc.legalserver.org/matter/dynamic-profile/view/1901186","19-1901186")</f>
        <v>0</v>
      </c>
      <c r="B4449" t="s">
        <v>235</v>
      </c>
      <c r="C4449" t="s">
        <v>256</v>
      </c>
      <c r="D4449" t="s">
        <v>422</v>
      </c>
      <c r="F4449" t="s">
        <v>2842</v>
      </c>
      <c r="G4449" t="s">
        <v>3499</v>
      </c>
      <c r="H4449" t="s">
        <v>7690</v>
      </c>
      <c r="I4449" t="s">
        <v>8160</v>
      </c>
      <c r="J4449" t="s">
        <v>9067</v>
      </c>
      <c r="K4449">
        <v>10036</v>
      </c>
      <c r="L4449" t="s">
        <v>9094</v>
      </c>
      <c r="M4449" t="s">
        <v>9095</v>
      </c>
      <c r="N4449" t="s">
        <v>10731</v>
      </c>
      <c r="O4449" t="s">
        <v>11129</v>
      </c>
      <c r="P4449" t="s">
        <v>11169</v>
      </c>
      <c r="R4449" t="s">
        <v>11180</v>
      </c>
      <c r="S4449" t="s">
        <v>9096</v>
      </c>
      <c r="T4449" t="s">
        <v>11183</v>
      </c>
      <c r="V4449" t="s">
        <v>422</v>
      </c>
      <c r="W4449">
        <v>898</v>
      </c>
      <c r="X4449" t="s">
        <v>11335</v>
      </c>
      <c r="Y4449" t="s">
        <v>11336</v>
      </c>
      <c r="Z4449" t="s">
        <v>14273</v>
      </c>
      <c r="AB4449" t="s">
        <v>18600</v>
      </c>
      <c r="AC4449">
        <v>0</v>
      </c>
      <c r="AD4449" t="s">
        <v>19571</v>
      </c>
      <c r="AE4449" t="s">
        <v>19580</v>
      </c>
      <c r="AF4449">
        <v>39</v>
      </c>
      <c r="AG4449">
        <v>3</v>
      </c>
      <c r="AH4449">
        <v>1</v>
      </c>
      <c r="AI4449">
        <v>169.92</v>
      </c>
      <c r="AL4449" t="s">
        <v>19614</v>
      </c>
      <c r="AM4449">
        <v>43754</v>
      </c>
      <c r="AS4449">
        <v>13</v>
      </c>
      <c r="AT4449" t="s">
        <v>321</v>
      </c>
      <c r="AU4449" t="s">
        <v>20659</v>
      </c>
      <c r="AV4449" t="s">
        <v>20733</v>
      </c>
    </row>
    <row r="4450" spans="1:48">
      <c r="A4450" s="1">
        <f>HYPERLINK("https://lsnyc.legalserver.org/matter/dynamic-profile/view/0795319","16-0795319")</f>
        <v>0</v>
      </c>
      <c r="B4450" t="s">
        <v>131</v>
      </c>
      <c r="C4450" t="s">
        <v>256</v>
      </c>
      <c r="D4450" t="s">
        <v>1067</v>
      </c>
      <c r="F4450" t="s">
        <v>2843</v>
      </c>
      <c r="G4450" t="s">
        <v>5107</v>
      </c>
      <c r="H4450" t="s">
        <v>7691</v>
      </c>
      <c r="I4450" t="s">
        <v>8267</v>
      </c>
      <c r="J4450" t="s">
        <v>9067</v>
      </c>
      <c r="K4450">
        <v>10025</v>
      </c>
      <c r="L4450" t="s">
        <v>9094</v>
      </c>
      <c r="M4450" t="s">
        <v>9095</v>
      </c>
      <c r="P4450" t="s">
        <v>11165</v>
      </c>
      <c r="R4450" t="s">
        <v>11180</v>
      </c>
      <c r="T4450" t="s">
        <v>11183</v>
      </c>
      <c r="V4450" t="s">
        <v>795</v>
      </c>
      <c r="W4450">
        <v>0</v>
      </c>
      <c r="X4450" t="s">
        <v>11335</v>
      </c>
      <c r="Z4450" t="s">
        <v>14274</v>
      </c>
      <c r="AC4450">
        <v>0</v>
      </c>
      <c r="AF4450">
        <v>0</v>
      </c>
      <c r="AG4450">
        <v>1</v>
      </c>
      <c r="AH4450">
        <v>0</v>
      </c>
      <c r="AI4450">
        <v>169.92</v>
      </c>
      <c r="AL4450" t="s">
        <v>19614</v>
      </c>
      <c r="AM4450">
        <v>20000</v>
      </c>
      <c r="AS4450">
        <v>133.05</v>
      </c>
      <c r="AT4450" t="s">
        <v>992</v>
      </c>
      <c r="AU4450" t="s">
        <v>131</v>
      </c>
    </row>
    <row r="4451" spans="1:48">
      <c r="A4451" s="1">
        <f>HYPERLINK("https://lsnyc.legalserver.org/matter/dynamic-profile/view/1899923","19-1899923")</f>
        <v>0</v>
      </c>
      <c r="B4451" t="s">
        <v>113</v>
      </c>
      <c r="C4451" t="s">
        <v>256</v>
      </c>
      <c r="D4451" t="s">
        <v>411</v>
      </c>
      <c r="F4451" t="s">
        <v>1534</v>
      </c>
      <c r="G4451" t="s">
        <v>4033</v>
      </c>
      <c r="H4451" t="s">
        <v>5864</v>
      </c>
      <c r="I4451" t="s">
        <v>8855</v>
      </c>
      <c r="J4451" t="s">
        <v>9065</v>
      </c>
      <c r="K4451">
        <v>10460</v>
      </c>
      <c r="L4451" t="s">
        <v>9094</v>
      </c>
      <c r="M4451" t="s">
        <v>9095</v>
      </c>
      <c r="N4451" t="s">
        <v>9171</v>
      </c>
      <c r="O4451" t="s">
        <v>9121</v>
      </c>
      <c r="P4451" t="s">
        <v>11166</v>
      </c>
      <c r="R4451" t="s">
        <v>11180</v>
      </c>
      <c r="S4451" t="s">
        <v>9094</v>
      </c>
      <c r="T4451" t="s">
        <v>11183</v>
      </c>
      <c r="V4451" t="s">
        <v>11218</v>
      </c>
      <c r="W4451">
        <v>751</v>
      </c>
      <c r="X4451" t="s">
        <v>11333</v>
      </c>
      <c r="Y4451" t="s">
        <v>11346</v>
      </c>
      <c r="Z4451" t="s">
        <v>12133</v>
      </c>
      <c r="AB4451" t="s">
        <v>18601</v>
      </c>
      <c r="AC4451">
        <v>168</v>
      </c>
      <c r="AD4451" t="s">
        <v>19566</v>
      </c>
      <c r="AE4451" t="s">
        <v>19580</v>
      </c>
      <c r="AF4451">
        <v>15</v>
      </c>
      <c r="AG4451">
        <v>2</v>
      </c>
      <c r="AH4451">
        <v>1</v>
      </c>
      <c r="AI4451">
        <v>169.95</v>
      </c>
      <c r="AL4451" t="s">
        <v>19614</v>
      </c>
      <c r="AM4451">
        <v>36250</v>
      </c>
      <c r="AS4451">
        <v>0</v>
      </c>
      <c r="AU4451" t="s">
        <v>20647</v>
      </c>
      <c r="AV4451" t="s">
        <v>20733</v>
      </c>
    </row>
    <row r="4452" spans="1:48">
      <c r="A4452" s="1">
        <f>HYPERLINK("https://lsnyc.legalserver.org/matter/dynamic-profile/view/1893585","19-1893585")</f>
        <v>0</v>
      </c>
      <c r="B4452" t="s">
        <v>114</v>
      </c>
      <c r="C4452" t="s">
        <v>256</v>
      </c>
      <c r="D4452" t="s">
        <v>739</v>
      </c>
      <c r="F4452" t="s">
        <v>1534</v>
      </c>
      <c r="G4452" t="s">
        <v>4033</v>
      </c>
      <c r="H4452" t="s">
        <v>5864</v>
      </c>
      <c r="I4452" t="s">
        <v>8855</v>
      </c>
      <c r="J4452" t="s">
        <v>9065</v>
      </c>
      <c r="K4452">
        <v>10460</v>
      </c>
      <c r="L4452" t="s">
        <v>9094</v>
      </c>
      <c r="M4452" t="s">
        <v>9094</v>
      </c>
      <c r="N4452" t="s">
        <v>10732</v>
      </c>
      <c r="O4452" t="s">
        <v>11129</v>
      </c>
      <c r="P4452" t="s">
        <v>11165</v>
      </c>
      <c r="R4452" t="s">
        <v>11180</v>
      </c>
      <c r="S4452" t="s">
        <v>9096</v>
      </c>
      <c r="T4452" t="s">
        <v>11183</v>
      </c>
      <c r="V4452" t="s">
        <v>11218</v>
      </c>
      <c r="W4452">
        <v>751</v>
      </c>
      <c r="X4452" t="s">
        <v>11333</v>
      </c>
      <c r="Y4452" t="s">
        <v>11346</v>
      </c>
      <c r="Z4452" t="s">
        <v>12133</v>
      </c>
      <c r="AB4452" t="s">
        <v>18601</v>
      </c>
      <c r="AC4452">
        <v>169</v>
      </c>
      <c r="AD4452" t="s">
        <v>15441</v>
      </c>
      <c r="AE4452" t="s">
        <v>19580</v>
      </c>
      <c r="AF4452">
        <v>15</v>
      </c>
      <c r="AG4452">
        <v>2</v>
      </c>
      <c r="AH4452">
        <v>1</v>
      </c>
      <c r="AI4452">
        <v>169.95</v>
      </c>
      <c r="AL4452" t="s">
        <v>19614</v>
      </c>
      <c r="AM4452">
        <v>36250</v>
      </c>
      <c r="AS4452">
        <v>20.8</v>
      </c>
      <c r="AT4452" t="s">
        <v>744</v>
      </c>
      <c r="AU4452" t="s">
        <v>163</v>
      </c>
      <c r="AV4452" t="s">
        <v>20733</v>
      </c>
    </row>
    <row r="4453" spans="1:48">
      <c r="A4453" s="1">
        <f>HYPERLINK("https://lsnyc.legalserver.org/matter/dynamic-profile/view/1833998","17-1833998")</f>
        <v>0</v>
      </c>
      <c r="B4453" t="s">
        <v>101</v>
      </c>
      <c r="C4453" t="s">
        <v>256</v>
      </c>
      <c r="D4453" t="s">
        <v>538</v>
      </c>
      <c r="F4453" t="s">
        <v>2844</v>
      </c>
      <c r="G4453" t="s">
        <v>3058</v>
      </c>
      <c r="H4453" t="s">
        <v>5898</v>
      </c>
      <c r="J4453" t="s">
        <v>9065</v>
      </c>
      <c r="K4453">
        <v>10452</v>
      </c>
      <c r="L4453" t="s">
        <v>9094</v>
      </c>
      <c r="M4453" t="s">
        <v>9095</v>
      </c>
      <c r="N4453" t="s">
        <v>9251</v>
      </c>
      <c r="O4453" t="s">
        <v>11132</v>
      </c>
      <c r="P4453" t="s">
        <v>11165</v>
      </c>
      <c r="R4453" t="s">
        <v>11180</v>
      </c>
      <c r="S4453" t="s">
        <v>9094</v>
      </c>
      <c r="T4453" t="s">
        <v>11183</v>
      </c>
      <c r="V4453" t="s">
        <v>770</v>
      </c>
      <c r="W4453">
        <v>896.3099999999999</v>
      </c>
      <c r="X4453" t="s">
        <v>11333</v>
      </c>
      <c r="Y4453" t="s">
        <v>11346</v>
      </c>
      <c r="Z4453" t="s">
        <v>14275</v>
      </c>
      <c r="AA4453" t="s">
        <v>15868</v>
      </c>
      <c r="AB4453" t="s">
        <v>18602</v>
      </c>
      <c r="AC4453">
        <v>0</v>
      </c>
      <c r="AD4453" t="s">
        <v>19566</v>
      </c>
      <c r="AE4453" t="s">
        <v>9144</v>
      </c>
      <c r="AF4453">
        <v>5</v>
      </c>
      <c r="AG4453">
        <v>1</v>
      </c>
      <c r="AH4453">
        <v>1</v>
      </c>
      <c r="AI4453">
        <v>169.95</v>
      </c>
      <c r="AL4453" t="s">
        <v>19614</v>
      </c>
      <c r="AM4453">
        <v>27600</v>
      </c>
      <c r="AS4453">
        <v>0</v>
      </c>
      <c r="AU4453" t="s">
        <v>20643</v>
      </c>
    </row>
    <row r="4454" spans="1:48">
      <c r="A4454" s="1">
        <f>HYPERLINK("https://lsnyc.legalserver.org/matter/dynamic-profile/view/1857139","18-1857139")</f>
        <v>0</v>
      </c>
      <c r="B4454" t="s">
        <v>119</v>
      </c>
      <c r="C4454" t="s">
        <v>256</v>
      </c>
      <c r="D4454" t="s">
        <v>751</v>
      </c>
      <c r="F4454" t="s">
        <v>1361</v>
      </c>
      <c r="G4454" t="s">
        <v>3543</v>
      </c>
      <c r="H4454" t="s">
        <v>5897</v>
      </c>
      <c r="I4454" t="s">
        <v>8237</v>
      </c>
      <c r="J4454" t="s">
        <v>9065</v>
      </c>
      <c r="K4454">
        <v>10452</v>
      </c>
      <c r="L4454" t="s">
        <v>9094</v>
      </c>
      <c r="M4454" t="s">
        <v>9095</v>
      </c>
      <c r="N4454" t="s">
        <v>9253</v>
      </c>
      <c r="O4454" t="s">
        <v>11135</v>
      </c>
      <c r="P4454" t="s">
        <v>11168</v>
      </c>
      <c r="R4454" t="s">
        <v>11180</v>
      </c>
      <c r="S4454" t="s">
        <v>9094</v>
      </c>
      <c r="T4454" t="s">
        <v>11183</v>
      </c>
      <c r="V4454" t="s">
        <v>673</v>
      </c>
      <c r="W4454">
        <v>0</v>
      </c>
      <c r="X4454" t="s">
        <v>11333</v>
      </c>
      <c r="Y4454" t="s">
        <v>11346</v>
      </c>
      <c r="Z4454" t="s">
        <v>11610</v>
      </c>
      <c r="AC4454">
        <v>122</v>
      </c>
      <c r="AD4454" t="s">
        <v>19566</v>
      </c>
      <c r="AF4454">
        <v>0</v>
      </c>
      <c r="AG4454">
        <v>2</v>
      </c>
      <c r="AH4454">
        <v>3</v>
      </c>
      <c r="AI4454">
        <v>169.95</v>
      </c>
      <c r="AL4454" t="s">
        <v>19614</v>
      </c>
      <c r="AM4454">
        <v>50000</v>
      </c>
      <c r="AS4454">
        <v>0</v>
      </c>
      <c r="AU4454" t="s">
        <v>20647</v>
      </c>
    </row>
    <row r="4455" spans="1:48">
      <c r="A4455" s="1">
        <f>HYPERLINK("https://lsnyc.legalserver.org/matter/dynamic-profile/view/1834690","17-1834690")</f>
        <v>0</v>
      </c>
      <c r="B4455" t="s">
        <v>101</v>
      </c>
      <c r="C4455" t="s">
        <v>256</v>
      </c>
      <c r="D4455" t="s">
        <v>550</v>
      </c>
      <c r="F4455" t="s">
        <v>2844</v>
      </c>
      <c r="G4455" t="s">
        <v>3058</v>
      </c>
      <c r="H4455" t="s">
        <v>5898</v>
      </c>
      <c r="J4455" t="s">
        <v>9065</v>
      </c>
      <c r="K4455">
        <v>10452</v>
      </c>
      <c r="L4455" t="s">
        <v>9094</v>
      </c>
      <c r="M4455" t="s">
        <v>9095</v>
      </c>
      <c r="P4455" t="s">
        <v>11166</v>
      </c>
      <c r="R4455" t="s">
        <v>11180</v>
      </c>
      <c r="S4455" t="s">
        <v>9094</v>
      </c>
      <c r="T4455" t="s">
        <v>11183</v>
      </c>
      <c r="V4455" t="s">
        <v>770</v>
      </c>
      <c r="W4455">
        <v>896.3099999999999</v>
      </c>
      <c r="X4455" t="s">
        <v>11333</v>
      </c>
      <c r="Y4455" t="s">
        <v>11354</v>
      </c>
      <c r="Z4455" t="s">
        <v>14275</v>
      </c>
      <c r="AA4455" t="s">
        <v>15868</v>
      </c>
      <c r="AB4455" t="s">
        <v>18602</v>
      </c>
      <c r="AC4455">
        <v>0</v>
      </c>
      <c r="AD4455" t="s">
        <v>19566</v>
      </c>
      <c r="AE4455" t="s">
        <v>9144</v>
      </c>
      <c r="AF4455">
        <v>5</v>
      </c>
      <c r="AG4455">
        <v>1</v>
      </c>
      <c r="AH4455">
        <v>1</v>
      </c>
      <c r="AI4455">
        <v>169.95</v>
      </c>
      <c r="AL4455" t="s">
        <v>19614</v>
      </c>
      <c r="AM4455">
        <v>27600</v>
      </c>
      <c r="AS4455">
        <v>0</v>
      </c>
      <c r="AU4455" t="s">
        <v>20647</v>
      </c>
    </row>
    <row r="4456" spans="1:48">
      <c r="A4456" s="1">
        <f>HYPERLINK("https://lsnyc.legalserver.org/matter/dynamic-profile/view/1896099","19-1896099")</f>
        <v>0</v>
      </c>
      <c r="B4456" t="s">
        <v>106</v>
      </c>
      <c r="C4456" t="s">
        <v>256</v>
      </c>
      <c r="D4456" t="s">
        <v>545</v>
      </c>
      <c r="F4456" t="s">
        <v>2650</v>
      </c>
      <c r="G4456" t="s">
        <v>4011</v>
      </c>
      <c r="H4456" t="s">
        <v>6624</v>
      </c>
      <c r="J4456" t="s">
        <v>9065</v>
      </c>
      <c r="K4456">
        <v>10458</v>
      </c>
      <c r="L4456" t="s">
        <v>9094</v>
      </c>
      <c r="M4456" t="s">
        <v>9094</v>
      </c>
      <c r="N4456" t="s">
        <v>9819</v>
      </c>
      <c r="O4456" t="s">
        <v>11134</v>
      </c>
      <c r="P4456" t="s">
        <v>11168</v>
      </c>
      <c r="R4456" t="s">
        <v>11180</v>
      </c>
      <c r="S4456" t="s">
        <v>9094</v>
      </c>
      <c r="T4456" t="s">
        <v>11183</v>
      </c>
      <c r="V4456" t="s">
        <v>11212</v>
      </c>
      <c r="W4456">
        <v>1218</v>
      </c>
      <c r="X4456" t="s">
        <v>11333</v>
      </c>
      <c r="Y4456" t="s">
        <v>11346</v>
      </c>
      <c r="Z4456" t="s">
        <v>14276</v>
      </c>
      <c r="AC4456">
        <v>142</v>
      </c>
      <c r="AD4456" t="s">
        <v>15441</v>
      </c>
      <c r="AE4456" t="s">
        <v>9144</v>
      </c>
      <c r="AF4456">
        <v>3</v>
      </c>
      <c r="AG4456">
        <v>1</v>
      </c>
      <c r="AH4456">
        <v>1</v>
      </c>
      <c r="AI4456">
        <v>170.11</v>
      </c>
      <c r="AL4456" t="s">
        <v>19615</v>
      </c>
      <c r="AM4456">
        <v>28000</v>
      </c>
      <c r="AS4456">
        <v>0</v>
      </c>
      <c r="AU4456" t="s">
        <v>220</v>
      </c>
    </row>
    <row r="4457" spans="1:48">
      <c r="A4457" s="1">
        <f>HYPERLINK("https://lsnyc.legalserver.org/matter/dynamic-profile/view/1882960","18-1882960")</f>
        <v>0</v>
      </c>
      <c r="B4457" t="s">
        <v>106</v>
      </c>
      <c r="C4457" t="s">
        <v>257</v>
      </c>
      <c r="D4457" t="s">
        <v>831</v>
      </c>
      <c r="E4457" t="s">
        <v>396</v>
      </c>
      <c r="F4457" t="s">
        <v>2650</v>
      </c>
      <c r="G4457" t="s">
        <v>4011</v>
      </c>
      <c r="H4457" t="s">
        <v>6624</v>
      </c>
      <c r="J4457" t="s">
        <v>9065</v>
      </c>
      <c r="K4457">
        <v>10458</v>
      </c>
      <c r="L4457" t="s">
        <v>9094</v>
      </c>
      <c r="M4457" t="s">
        <v>9094</v>
      </c>
      <c r="N4457" t="s">
        <v>9825</v>
      </c>
      <c r="O4457" t="s">
        <v>11130</v>
      </c>
      <c r="P4457" t="s">
        <v>11165</v>
      </c>
      <c r="Q4457" t="s">
        <v>11179</v>
      </c>
      <c r="R4457" t="s">
        <v>11180</v>
      </c>
      <c r="S4457" t="s">
        <v>9094</v>
      </c>
      <c r="T4457" t="s">
        <v>11183</v>
      </c>
      <c r="V4457" t="s">
        <v>11212</v>
      </c>
      <c r="W4457">
        <v>1218</v>
      </c>
      <c r="X4457" t="s">
        <v>11333</v>
      </c>
      <c r="Y4457" t="s">
        <v>11346</v>
      </c>
      <c r="Z4457" t="s">
        <v>14276</v>
      </c>
      <c r="AC4457">
        <v>0</v>
      </c>
      <c r="AD4457" t="s">
        <v>19569</v>
      </c>
      <c r="AE4457" t="s">
        <v>9144</v>
      </c>
      <c r="AF4457">
        <v>3</v>
      </c>
      <c r="AG4457">
        <v>1</v>
      </c>
      <c r="AH4457">
        <v>1</v>
      </c>
      <c r="AI4457">
        <v>170.11</v>
      </c>
      <c r="AL4457" t="s">
        <v>19615</v>
      </c>
      <c r="AM4457">
        <v>28000</v>
      </c>
      <c r="AS4457">
        <v>0.6</v>
      </c>
      <c r="AT4457" t="s">
        <v>396</v>
      </c>
      <c r="AU4457" t="s">
        <v>163</v>
      </c>
    </row>
    <row r="4458" spans="1:48">
      <c r="A4458" s="1">
        <f>HYPERLINK("https://lsnyc.legalserver.org/matter/dynamic-profile/view/1872758","18-1872758")</f>
        <v>0</v>
      </c>
      <c r="B4458" t="s">
        <v>111</v>
      </c>
      <c r="C4458" t="s">
        <v>256</v>
      </c>
      <c r="D4458" t="s">
        <v>638</v>
      </c>
      <c r="F4458" t="s">
        <v>2482</v>
      </c>
      <c r="G4458" t="s">
        <v>3220</v>
      </c>
      <c r="H4458" t="s">
        <v>6895</v>
      </c>
      <c r="I4458" t="s">
        <v>8181</v>
      </c>
      <c r="J4458" t="s">
        <v>9065</v>
      </c>
      <c r="K4458">
        <v>10452</v>
      </c>
      <c r="L4458" t="s">
        <v>9094</v>
      </c>
      <c r="M4458" t="s">
        <v>9095</v>
      </c>
      <c r="N4458" t="s">
        <v>9407</v>
      </c>
      <c r="O4458" t="s">
        <v>11135</v>
      </c>
      <c r="P4458" t="s">
        <v>11168</v>
      </c>
      <c r="R4458" t="s">
        <v>11180</v>
      </c>
      <c r="S4458" t="s">
        <v>9094</v>
      </c>
      <c r="T4458" t="s">
        <v>11183</v>
      </c>
      <c r="V4458" t="s">
        <v>638</v>
      </c>
      <c r="W4458">
        <v>922.02</v>
      </c>
      <c r="X4458" t="s">
        <v>11333</v>
      </c>
      <c r="Y4458" t="s">
        <v>11346</v>
      </c>
      <c r="Z4458" t="s">
        <v>13558</v>
      </c>
      <c r="AB4458" t="s">
        <v>17895</v>
      </c>
      <c r="AC4458">
        <v>0</v>
      </c>
      <c r="AD4458" t="s">
        <v>19566</v>
      </c>
      <c r="AE4458" t="s">
        <v>9144</v>
      </c>
      <c r="AF4458">
        <v>12</v>
      </c>
      <c r="AG4458">
        <v>2</v>
      </c>
      <c r="AH4458">
        <v>0</v>
      </c>
      <c r="AI4458">
        <v>170.11</v>
      </c>
      <c r="AL4458" t="s">
        <v>19615</v>
      </c>
      <c r="AM4458">
        <v>28000</v>
      </c>
      <c r="AS4458">
        <v>0.25</v>
      </c>
      <c r="AT4458" t="s">
        <v>869</v>
      </c>
      <c r="AU4458" t="s">
        <v>20642</v>
      </c>
    </row>
    <row r="4459" spans="1:48">
      <c r="A4459" s="1">
        <f>HYPERLINK("https://lsnyc.legalserver.org/matter/dynamic-profile/view/1872761","18-1872761")</f>
        <v>0</v>
      </c>
      <c r="B4459" t="s">
        <v>111</v>
      </c>
      <c r="C4459" t="s">
        <v>256</v>
      </c>
      <c r="D4459" t="s">
        <v>675</v>
      </c>
      <c r="F4459" t="s">
        <v>2482</v>
      </c>
      <c r="G4459" t="s">
        <v>3220</v>
      </c>
      <c r="H4459" t="s">
        <v>6895</v>
      </c>
      <c r="I4459" t="s">
        <v>8181</v>
      </c>
      <c r="J4459" t="s">
        <v>9065</v>
      </c>
      <c r="K4459">
        <v>10452</v>
      </c>
      <c r="L4459" t="s">
        <v>9094</v>
      </c>
      <c r="M4459" t="s">
        <v>9095</v>
      </c>
      <c r="O4459" t="s">
        <v>11135</v>
      </c>
      <c r="P4459" t="s">
        <v>11168</v>
      </c>
      <c r="R4459" t="s">
        <v>11180</v>
      </c>
      <c r="S4459" t="s">
        <v>9094</v>
      </c>
      <c r="T4459" t="s">
        <v>11183</v>
      </c>
      <c r="V4459" t="s">
        <v>675</v>
      </c>
      <c r="W4459">
        <v>922.02</v>
      </c>
      <c r="X4459" t="s">
        <v>11333</v>
      </c>
      <c r="Y4459" t="s">
        <v>11346</v>
      </c>
      <c r="Z4459" t="s">
        <v>13558</v>
      </c>
      <c r="AB4459" t="s">
        <v>17895</v>
      </c>
      <c r="AC4459">
        <v>0</v>
      </c>
      <c r="AD4459" t="s">
        <v>19566</v>
      </c>
      <c r="AE4459" t="s">
        <v>9144</v>
      </c>
      <c r="AF4459">
        <v>12</v>
      </c>
      <c r="AG4459">
        <v>2</v>
      </c>
      <c r="AH4459">
        <v>0</v>
      </c>
      <c r="AI4459">
        <v>170.11</v>
      </c>
      <c r="AL4459" t="s">
        <v>19615</v>
      </c>
      <c r="AM4459">
        <v>28000</v>
      </c>
      <c r="AS4459">
        <v>0.25</v>
      </c>
      <c r="AT4459" t="s">
        <v>869</v>
      </c>
      <c r="AU4459" t="s">
        <v>20642</v>
      </c>
    </row>
    <row r="4460" spans="1:48">
      <c r="A4460" s="1">
        <f>HYPERLINK("https://lsnyc.legalserver.org/matter/dynamic-profile/view/1883662","18-1883662")</f>
        <v>0</v>
      </c>
      <c r="B4460" t="s">
        <v>114</v>
      </c>
      <c r="C4460" t="s">
        <v>256</v>
      </c>
      <c r="D4460" t="s">
        <v>1068</v>
      </c>
      <c r="F4460" t="s">
        <v>2650</v>
      </c>
      <c r="G4460" t="s">
        <v>3097</v>
      </c>
      <c r="H4460" t="s">
        <v>6895</v>
      </c>
      <c r="I4460" t="s">
        <v>8856</v>
      </c>
      <c r="J4460" t="s">
        <v>9065</v>
      </c>
      <c r="K4460">
        <v>10452</v>
      </c>
      <c r="L4460" t="s">
        <v>9094</v>
      </c>
      <c r="M4460" t="s">
        <v>9094</v>
      </c>
      <c r="N4460" t="s">
        <v>10733</v>
      </c>
      <c r="O4460" t="s">
        <v>11128</v>
      </c>
      <c r="P4460" t="s">
        <v>11165</v>
      </c>
      <c r="R4460" t="s">
        <v>11180</v>
      </c>
      <c r="S4460" t="s">
        <v>9096</v>
      </c>
      <c r="T4460" t="s">
        <v>11183</v>
      </c>
      <c r="U4460" t="s">
        <v>11201</v>
      </c>
      <c r="V4460" t="s">
        <v>739</v>
      </c>
      <c r="W4460">
        <v>850</v>
      </c>
      <c r="X4460" t="s">
        <v>11333</v>
      </c>
      <c r="Z4460" t="s">
        <v>14277</v>
      </c>
      <c r="AA4460">
        <v>13789714</v>
      </c>
      <c r="AB4460" t="s">
        <v>18603</v>
      </c>
      <c r="AC4460">
        <v>0</v>
      </c>
      <c r="AD4460" t="s">
        <v>19566</v>
      </c>
      <c r="AF4460">
        <v>4</v>
      </c>
      <c r="AG4460">
        <v>1</v>
      </c>
      <c r="AH4460">
        <v>1</v>
      </c>
      <c r="AI4460">
        <v>170.11</v>
      </c>
      <c r="AL4460" t="s">
        <v>19615</v>
      </c>
      <c r="AM4460">
        <v>28000</v>
      </c>
      <c r="AN4460" t="s">
        <v>20025</v>
      </c>
      <c r="AS4460">
        <v>3.8</v>
      </c>
      <c r="AT4460" t="s">
        <v>963</v>
      </c>
      <c r="AU4460" t="s">
        <v>114</v>
      </c>
    </row>
    <row r="4461" spans="1:48">
      <c r="A4461" s="1">
        <f>HYPERLINK("https://lsnyc.legalserver.org/matter/dynamic-profile/view/1864141","18-1864141")</f>
        <v>0</v>
      </c>
      <c r="B4461" t="s">
        <v>136</v>
      </c>
      <c r="C4461" t="s">
        <v>256</v>
      </c>
      <c r="D4461" t="s">
        <v>505</v>
      </c>
      <c r="F4461" t="s">
        <v>2845</v>
      </c>
      <c r="G4461" t="s">
        <v>4871</v>
      </c>
      <c r="H4461" t="s">
        <v>5961</v>
      </c>
      <c r="I4461">
        <v>506</v>
      </c>
      <c r="J4461" t="s">
        <v>9067</v>
      </c>
      <c r="K4461">
        <v>10029</v>
      </c>
      <c r="L4461" t="s">
        <v>9094</v>
      </c>
      <c r="M4461" t="s">
        <v>9094</v>
      </c>
      <c r="O4461" t="s">
        <v>11130</v>
      </c>
      <c r="P4461" t="s">
        <v>11167</v>
      </c>
      <c r="R4461" t="s">
        <v>11180</v>
      </c>
      <c r="S4461" t="s">
        <v>9094</v>
      </c>
      <c r="T4461" t="s">
        <v>11183</v>
      </c>
      <c r="U4461" t="s">
        <v>11201</v>
      </c>
      <c r="V4461" t="s">
        <v>505</v>
      </c>
      <c r="W4461">
        <v>0</v>
      </c>
      <c r="X4461" t="s">
        <v>11335</v>
      </c>
      <c r="Y4461" t="s">
        <v>11339</v>
      </c>
      <c r="Z4461" t="s">
        <v>14278</v>
      </c>
      <c r="AB4461" t="s">
        <v>18604</v>
      </c>
      <c r="AC4461">
        <v>108</v>
      </c>
      <c r="AD4461" t="s">
        <v>19567</v>
      </c>
      <c r="AE4461" t="s">
        <v>19580</v>
      </c>
      <c r="AF4461">
        <v>-1</v>
      </c>
      <c r="AG4461">
        <v>1</v>
      </c>
      <c r="AH4461">
        <v>1</v>
      </c>
      <c r="AI4461">
        <v>170.11</v>
      </c>
      <c r="AL4461" t="s">
        <v>19614</v>
      </c>
      <c r="AM4461">
        <v>28000</v>
      </c>
      <c r="AS4461">
        <v>0</v>
      </c>
      <c r="AU4461" t="s">
        <v>20657</v>
      </c>
    </row>
    <row r="4462" spans="1:48">
      <c r="A4462" s="1">
        <f>HYPERLINK("https://lsnyc.legalserver.org/matter/dynamic-profile/view/0799619","16-0799619")</f>
        <v>0</v>
      </c>
      <c r="B4462" t="s">
        <v>101</v>
      </c>
      <c r="C4462" t="s">
        <v>256</v>
      </c>
      <c r="D4462" t="s">
        <v>656</v>
      </c>
      <c r="F4462" t="s">
        <v>2831</v>
      </c>
      <c r="G4462" t="s">
        <v>5094</v>
      </c>
      <c r="H4462" t="s">
        <v>6041</v>
      </c>
      <c r="I4462" t="s">
        <v>8168</v>
      </c>
      <c r="J4462" t="s">
        <v>9065</v>
      </c>
      <c r="K4462">
        <v>10452</v>
      </c>
      <c r="L4462" t="s">
        <v>9094</v>
      </c>
      <c r="M4462" t="s">
        <v>9095</v>
      </c>
      <c r="N4462" t="s">
        <v>9499</v>
      </c>
      <c r="O4462" t="s">
        <v>11135</v>
      </c>
      <c r="P4462" t="s">
        <v>11168</v>
      </c>
      <c r="R4462" t="s">
        <v>11180</v>
      </c>
      <c r="S4462" t="s">
        <v>9094</v>
      </c>
      <c r="T4462" t="s">
        <v>11183</v>
      </c>
      <c r="V4462" t="s">
        <v>1094</v>
      </c>
      <c r="W4462">
        <v>789.7</v>
      </c>
      <c r="X4462" t="s">
        <v>11333</v>
      </c>
      <c r="Y4462" t="s">
        <v>11346</v>
      </c>
      <c r="Z4462" t="s">
        <v>14248</v>
      </c>
      <c r="AB4462" t="s">
        <v>18572</v>
      </c>
      <c r="AC4462">
        <v>61</v>
      </c>
      <c r="AD4462" t="s">
        <v>19566</v>
      </c>
      <c r="AE4462" t="s">
        <v>9144</v>
      </c>
      <c r="AF4462">
        <v>39</v>
      </c>
      <c r="AG4462">
        <v>2</v>
      </c>
      <c r="AH4462">
        <v>0</v>
      </c>
      <c r="AI4462">
        <v>170.19</v>
      </c>
      <c r="AL4462" t="s">
        <v>19632</v>
      </c>
      <c r="AM4462">
        <v>27264</v>
      </c>
      <c r="AS4462">
        <v>0.5</v>
      </c>
      <c r="AT4462" t="s">
        <v>873</v>
      </c>
      <c r="AU4462" t="s">
        <v>109</v>
      </c>
    </row>
    <row r="4463" spans="1:48">
      <c r="A4463" s="1">
        <f>HYPERLINK("https://lsnyc.legalserver.org/matter/dynamic-profile/view/0816936","16-0816936")</f>
        <v>0</v>
      </c>
      <c r="B4463" t="s">
        <v>101</v>
      </c>
      <c r="C4463" t="s">
        <v>256</v>
      </c>
      <c r="D4463" t="s">
        <v>437</v>
      </c>
      <c r="F4463" t="s">
        <v>2831</v>
      </c>
      <c r="G4463" t="s">
        <v>5094</v>
      </c>
      <c r="H4463" t="s">
        <v>6041</v>
      </c>
      <c r="I4463" t="s">
        <v>8168</v>
      </c>
      <c r="J4463" t="s">
        <v>9065</v>
      </c>
      <c r="K4463">
        <v>10452</v>
      </c>
      <c r="L4463" t="s">
        <v>9094</v>
      </c>
      <c r="M4463" t="s">
        <v>9095</v>
      </c>
      <c r="N4463" t="s">
        <v>9500</v>
      </c>
      <c r="O4463" t="s">
        <v>11135</v>
      </c>
      <c r="P4463" t="s">
        <v>11168</v>
      </c>
      <c r="R4463" t="s">
        <v>11180</v>
      </c>
      <c r="S4463" t="s">
        <v>9094</v>
      </c>
      <c r="T4463" t="s">
        <v>11183</v>
      </c>
      <c r="V4463" t="s">
        <v>1024</v>
      </c>
      <c r="W4463">
        <v>789.7</v>
      </c>
      <c r="X4463" t="s">
        <v>11333</v>
      </c>
      <c r="Y4463" t="s">
        <v>11346</v>
      </c>
      <c r="Z4463" t="s">
        <v>14248</v>
      </c>
      <c r="AB4463" t="s">
        <v>18572</v>
      </c>
      <c r="AC4463">
        <v>62</v>
      </c>
      <c r="AD4463" t="s">
        <v>19566</v>
      </c>
      <c r="AE4463" t="s">
        <v>9144</v>
      </c>
      <c r="AF4463">
        <v>39</v>
      </c>
      <c r="AG4463">
        <v>2</v>
      </c>
      <c r="AH4463">
        <v>0</v>
      </c>
      <c r="AI4463">
        <v>170.19</v>
      </c>
      <c r="AL4463" t="s">
        <v>19615</v>
      </c>
      <c r="AM4463">
        <v>35664</v>
      </c>
      <c r="AS4463">
        <v>0.8</v>
      </c>
      <c r="AT4463" t="s">
        <v>873</v>
      </c>
      <c r="AU4463" t="s">
        <v>20643</v>
      </c>
    </row>
    <row r="4464" spans="1:48">
      <c r="A4464" s="1">
        <f>HYPERLINK("https://lsnyc.legalserver.org/matter/dynamic-profile/view/0822724","16-0822724")</f>
        <v>0</v>
      </c>
      <c r="B4464" t="s">
        <v>101</v>
      </c>
      <c r="C4464" t="s">
        <v>256</v>
      </c>
      <c r="D4464" t="s">
        <v>944</v>
      </c>
      <c r="F4464" t="s">
        <v>2831</v>
      </c>
      <c r="G4464" t="s">
        <v>5094</v>
      </c>
      <c r="H4464" t="s">
        <v>6041</v>
      </c>
      <c r="I4464" t="s">
        <v>8168</v>
      </c>
      <c r="J4464" t="s">
        <v>9065</v>
      </c>
      <c r="K4464">
        <v>10452</v>
      </c>
      <c r="L4464" t="s">
        <v>9094</v>
      </c>
      <c r="M4464" t="s">
        <v>9095</v>
      </c>
      <c r="N4464" t="s">
        <v>9501</v>
      </c>
      <c r="O4464" t="s">
        <v>11135</v>
      </c>
      <c r="P4464" t="s">
        <v>11168</v>
      </c>
      <c r="R4464" t="s">
        <v>11180</v>
      </c>
      <c r="S4464" t="s">
        <v>9094</v>
      </c>
      <c r="T4464" t="s">
        <v>11183</v>
      </c>
      <c r="V4464" t="s">
        <v>1089</v>
      </c>
      <c r="W4464">
        <v>789.7</v>
      </c>
      <c r="X4464" t="s">
        <v>11333</v>
      </c>
      <c r="Y4464" t="s">
        <v>11346</v>
      </c>
      <c r="Z4464" t="s">
        <v>14248</v>
      </c>
      <c r="AB4464" t="s">
        <v>18572</v>
      </c>
      <c r="AC4464">
        <v>62</v>
      </c>
      <c r="AD4464" t="s">
        <v>19566</v>
      </c>
      <c r="AE4464" t="s">
        <v>9144</v>
      </c>
      <c r="AF4464">
        <v>39</v>
      </c>
      <c r="AG4464">
        <v>2</v>
      </c>
      <c r="AH4464">
        <v>0</v>
      </c>
      <c r="AI4464">
        <v>170.19</v>
      </c>
      <c r="AL4464" t="s">
        <v>19632</v>
      </c>
      <c r="AM4464">
        <v>35664</v>
      </c>
      <c r="AS4464">
        <v>0.3</v>
      </c>
      <c r="AT4464" t="s">
        <v>873</v>
      </c>
      <c r="AU4464" t="s">
        <v>20643</v>
      </c>
    </row>
    <row r="4465" spans="1:48">
      <c r="A4465" s="1">
        <f>HYPERLINK("https://lsnyc.legalserver.org/matter/dynamic-profile/view/1857270","18-1857270")</f>
        <v>0</v>
      </c>
      <c r="B4465" t="s">
        <v>138</v>
      </c>
      <c r="C4465" t="s">
        <v>256</v>
      </c>
      <c r="D4465" t="s">
        <v>466</v>
      </c>
      <c r="F4465" t="s">
        <v>2828</v>
      </c>
      <c r="G4465" t="s">
        <v>5089</v>
      </c>
      <c r="H4465" t="s">
        <v>5949</v>
      </c>
      <c r="I4465">
        <v>106</v>
      </c>
      <c r="J4465" t="s">
        <v>9067</v>
      </c>
      <c r="K4465">
        <v>10034</v>
      </c>
      <c r="L4465" t="s">
        <v>9094</v>
      </c>
      <c r="M4465" t="s">
        <v>9095</v>
      </c>
      <c r="N4465" t="s">
        <v>10734</v>
      </c>
      <c r="O4465" t="s">
        <v>11129</v>
      </c>
      <c r="P4465" t="s">
        <v>11165</v>
      </c>
      <c r="R4465" t="s">
        <v>11180</v>
      </c>
      <c r="S4465" t="s">
        <v>9096</v>
      </c>
      <c r="T4465" t="s">
        <v>11183</v>
      </c>
      <c r="V4465" t="s">
        <v>466</v>
      </c>
      <c r="W4465">
        <v>1092</v>
      </c>
      <c r="X4465" t="s">
        <v>11335</v>
      </c>
      <c r="Y4465" t="s">
        <v>11338</v>
      </c>
      <c r="Z4465" t="s">
        <v>14242</v>
      </c>
      <c r="AA4465" t="s">
        <v>15869</v>
      </c>
      <c r="AB4465" t="s">
        <v>18566</v>
      </c>
      <c r="AC4465">
        <v>47</v>
      </c>
      <c r="AD4465" t="s">
        <v>19566</v>
      </c>
      <c r="AE4465" t="s">
        <v>9144</v>
      </c>
      <c r="AF4465">
        <v>11</v>
      </c>
      <c r="AG4465">
        <v>3</v>
      </c>
      <c r="AH4465">
        <v>0</v>
      </c>
      <c r="AI4465">
        <v>170.42</v>
      </c>
      <c r="AL4465" t="s">
        <v>19614</v>
      </c>
      <c r="AM4465">
        <v>34800</v>
      </c>
      <c r="AS4465">
        <v>84.5</v>
      </c>
      <c r="AT4465" t="s">
        <v>311</v>
      </c>
      <c r="AU4465" t="s">
        <v>130</v>
      </c>
    </row>
    <row r="4466" spans="1:48">
      <c r="A4466" s="1">
        <f>HYPERLINK("https://lsnyc.legalserver.org/matter/dynamic-profile/view/1836768","17-1836768")</f>
        <v>0</v>
      </c>
      <c r="B4466" t="s">
        <v>139</v>
      </c>
      <c r="C4466" t="s">
        <v>256</v>
      </c>
      <c r="D4466" t="s">
        <v>740</v>
      </c>
      <c r="F4466" t="s">
        <v>1143</v>
      </c>
      <c r="G4466" t="s">
        <v>5108</v>
      </c>
      <c r="H4466" t="s">
        <v>6363</v>
      </c>
      <c r="I4466" t="s">
        <v>8287</v>
      </c>
      <c r="J4466" t="s">
        <v>9067</v>
      </c>
      <c r="K4466">
        <v>10040</v>
      </c>
      <c r="L4466" t="s">
        <v>9094</v>
      </c>
      <c r="M4466" t="s">
        <v>9095</v>
      </c>
      <c r="N4466" t="s">
        <v>10561</v>
      </c>
      <c r="O4466" t="s">
        <v>11130</v>
      </c>
      <c r="P4466" t="s">
        <v>11165</v>
      </c>
      <c r="R4466" t="s">
        <v>11180</v>
      </c>
      <c r="S4466" t="s">
        <v>9094</v>
      </c>
      <c r="T4466" t="s">
        <v>11183</v>
      </c>
      <c r="V4466" t="s">
        <v>837</v>
      </c>
      <c r="W4466">
        <v>2180</v>
      </c>
      <c r="X4466" t="s">
        <v>11335</v>
      </c>
      <c r="Y4466" t="s">
        <v>11339</v>
      </c>
      <c r="Z4466" t="s">
        <v>14279</v>
      </c>
      <c r="AB4466" t="s">
        <v>18605</v>
      </c>
      <c r="AC4466">
        <v>50</v>
      </c>
      <c r="AD4466" t="s">
        <v>19566</v>
      </c>
      <c r="AE4466" t="s">
        <v>9144</v>
      </c>
      <c r="AF4466">
        <v>23</v>
      </c>
      <c r="AG4466">
        <v>2</v>
      </c>
      <c r="AH4466">
        <v>4</v>
      </c>
      <c r="AI4466">
        <v>170.48</v>
      </c>
      <c r="AJ4466" t="s">
        <v>463</v>
      </c>
      <c r="AL4466" t="s">
        <v>19614</v>
      </c>
      <c r="AM4466">
        <v>87190</v>
      </c>
      <c r="AS4466">
        <v>0</v>
      </c>
      <c r="AU4466" t="s">
        <v>20657</v>
      </c>
    </row>
    <row r="4467" spans="1:48">
      <c r="A4467" s="1">
        <f>HYPERLINK("https://lsnyc.legalserver.org/matter/dynamic-profile/view/1914495","19-1914495")</f>
        <v>0</v>
      </c>
      <c r="B4467" t="s">
        <v>117</v>
      </c>
      <c r="C4467" t="s">
        <v>256</v>
      </c>
      <c r="D4467" t="s">
        <v>301</v>
      </c>
      <c r="F4467" t="s">
        <v>1969</v>
      </c>
      <c r="G4467" t="s">
        <v>2118</v>
      </c>
      <c r="H4467" t="s">
        <v>5899</v>
      </c>
      <c r="I4467" t="s">
        <v>8214</v>
      </c>
      <c r="J4467" t="s">
        <v>9065</v>
      </c>
      <c r="K4467">
        <v>10452</v>
      </c>
      <c r="L4467" t="s">
        <v>9094</v>
      </c>
      <c r="M4467" t="s">
        <v>9095</v>
      </c>
      <c r="P4467" t="s">
        <v>11164</v>
      </c>
      <c r="R4467" t="s">
        <v>11180</v>
      </c>
      <c r="T4467" t="s">
        <v>11183</v>
      </c>
      <c r="W4467">
        <v>2170.39</v>
      </c>
      <c r="X4467" t="s">
        <v>11333</v>
      </c>
      <c r="Y4467" t="s">
        <v>11346</v>
      </c>
      <c r="Z4467" t="s">
        <v>14280</v>
      </c>
      <c r="AC4467">
        <v>63</v>
      </c>
      <c r="AE4467" t="s">
        <v>9144</v>
      </c>
      <c r="AF4467">
        <v>14</v>
      </c>
      <c r="AG4467">
        <v>3</v>
      </c>
      <c r="AH4467">
        <v>0</v>
      </c>
      <c r="AI4467">
        <v>170.65</v>
      </c>
      <c r="AL4467" t="s">
        <v>19614</v>
      </c>
      <c r="AM4467">
        <v>36400</v>
      </c>
      <c r="AS4467">
        <v>0</v>
      </c>
      <c r="AU4467" t="s">
        <v>163</v>
      </c>
      <c r="AV4467" t="s">
        <v>20733</v>
      </c>
    </row>
    <row r="4468" spans="1:48">
      <c r="A4468" s="1">
        <f>HYPERLINK("https://lsnyc.legalserver.org/matter/dynamic-profile/view/1914843","19-1914843")</f>
        <v>0</v>
      </c>
      <c r="B4468" t="s">
        <v>117</v>
      </c>
      <c r="C4468" t="s">
        <v>256</v>
      </c>
      <c r="D4468" t="s">
        <v>331</v>
      </c>
      <c r="F4468" t="s">
        <v>1969</v>
      </c>
      <c r="G4468" t="s">
        <v>2118</v>
      </c>
      <c r="H4468" t="s">
        <v>5899</v>
      </c>
      <c r="I4468" t="s">
        <v>8214</v>
      </c>
      <c r="J4468" t="s">
        <v>9065</v>
      </c>
      <c r="K4468">
        <v>10452</v>
      </c>
      <c r="L4468" t="s">
        <v>9094</v>
      </c>
      <c r="M4468" t="s">
        <v>9095</v>
      </c>
      <c r="R4468" t="s">
        <v>11180</v>
      </c>
      <c r="S4468" t="s">
        <v>9094</v>
      </c>
      <c r="T4468" t="s">
        <v>11183</v>
      </c>
      <c r="W4468">
        <v>2170.39</v>
      </c>
      <c r="X4468" t="s">
        <v>11333</v>
      </c>
      <c r="Y4468" t="s">
        <v>11346</v>
      </c>
      <c r="Z4468" t="s">
        <v>14280</v>
      </c>
      <c r="AC4468">
        <v>63</v>
      </c>
      <c r="AD4468" t="s">
        <v>15441</v>
      </c>
      <c r="AE4468" t="s">
        <v>9144</v>
      </c>
      <c r="AF4468">
        <v>14</v>
      </c>
      <c r="AG4468">
        <v>3</v>
      </c>
      <c r="AH4468">
        <v>0</v>
      </c>
      <c r="AI4468">
        <v>170.65</v>
      </c>
      <c r="AL4468" t="s">
        <v>19614</v>
      </c>
      <c r="AM4468">
        <v>36400</v>
      </c>
      <c r="AS4468">
        <v>0</v>
      </c>
      <c r="AU4468" t="s">
        <v>220</v>
      </c>
    </row>
    <row r="4469" spans="1:48">
      <c r="A4469" s="1">
        <f>HYPERLINK("https://lsnyc.legalserver.org/matter/dynamic-profile/view/1890333","19-1890333")</f>
        <v>0</v>
      </c>
      <c r="B4469" t="s">
        <v>117</v>
      </c>
      <c r="C4469" t="s">
        <v>257</v>
      </c>
      <c r="D4469" t="s">
        <v>633</v>
      </c>
      <c r="E4469" t="s">
        <v>621</v>
      </c>
      <c r="F4469" t="s">
        <v>2846</v>
      </c>
      <c r="G4469" t="s">
        <v>3628</v>
      </c>
      <c r="H4469" t="s">
        <v>6130</v>
      </c>
      <c r="I4469" t="s">
        <v>8153</v>
      </c>
      <c r="J4469" t="s">
        <v>9065</v>
      </c>
      <c r="K4469">
        <v>10451</v>
      </c>
      <c r="L4469" t="s">
        <v>9094</v>
      </c>
      <c r="M4469" t="s">
        <v>9094</v>
      </c>
      <c r="O4469" t="s">
        <v>11134</v>
      </c>
      <c r="P4469" t="s">
        <v>11167</v>
      </c>
      <c r="Q4469" t="s">
        <v>11172</v>
      </c>
      <c r="R4469" t="s">
        <v>11180</v>
      </c>
      <c r="S4469" t="s">
        <v>9096</v>
      </c>
      <c r="T4469" t="s">
        <v>11183</v>
      </c>
      <c r="V4469" t="s">
        <v>633</v>
      </c>
      <c r="W4469">
        <v>1600</v>
      </c>
      <c r="X4469" t="s">
        <v>11333</v>
      </c>
      <c r="Y4469" t="s">
        <v>11346</v>
      </c>
      <c r="Z4469" t="s">
        <v>14281</v>
      </c>
      <c r="AC4469">
        <v>59</v>
      </c>
      <c r="AD4469" t="s">
        <v>19566</v>
      </c>
      <c r="AE4469" t="s">
        <v>9144</v>
      </c>
      <c r="AF4469">
        <v>3</v>
      </c>
      <c r="AG4469">
        <v>2</v>
      </c>
      <c r="AH4469">
        <v>1</v>
      </c>
      <c r="AI4469">
        <v>170.65</v>
      </c>
      <c r="AL4469" t="s">
        <v>19615</v>
      </c>
      <c r="AM4469">
        <v>36400</v>
      </c>
      <c r="AS4469">
        <v>14.5</v>
      </c>
      <c r="AT4469" t="s">
        <v>621</v>
      </c>
      <c r="AU4469" t="s">
        <v>99</v>
      </c>
    </row>
    <row r="4470" spans="1:48">
      <c r="A4470" s="1">
        <f>HYPERLINK("https://lsnyc.legalserver.org/matter/dynamic-profile/view/1898568","19-1898568")</f>
        <v>0</v>
      </c>
      <c r="B4470" t="s">
        <v>136</v>
      </c>
      <c r="C4470" t="s">
        <v>256</v>
      </c>
      <c r="D4470" t="s">
        <v>614</v>
      </c>
      <c r="F4470" t="s">
        <v>2684</v>
      </c>
      <c r="G4470" t="s">
        <v>4938</v>
      </c>
      <c r="H4470" t="s">
        <v>6596</v>
      </c>
      <c r="I4470" t="s">
        <v>8164</v>
      </c>
      <c r="J4470" t="s">
        <v>9067</v>
      </c>
      <c r="K4470">
        <v>10035</v>
      </c>
      <c r="L4470" t="s">
        <v>9094</v>
      </c>
      <c r="M4470" t="s">
        <v>9094</v>
      </c>
      <c r="N4470" t="s">
        <v>10735</v>
      </c>
      <c r="O4470" t="s">
        <v>11129</v>
      </c>
      <c r="P4470" t="s">
        <v>11165</v>
      </c>
      <c r="R4470" t="s">
        <v>11180</v>
      </c>
      <c r="S4470" t="s">
        <v>9094</v>
      </c>
      <c r="T4470" t="s">
        <v>11183</v>
      </c>
      <c r="U4470" t="s">
        <v>11201</v>
      </c>
      <c r="V4470" t="s">
        <v>596</v>
      </c>
      <c r="W4470">
        <v>847</v>
      </c>
      <c r="X4470" t="s">
        <v>11335</v>
      </c>
      <c r="Y4470" t="s">
        <v>11350</v>
      </c>
      <c r="Z4470" t="s">
        <v>13960</v>
      </c>
      <c r="AB4470" t="s">
        <v>18290</v>
      </c>
      <c r="AC4470">
        <v>60</v>
      </c>
      <c r="AD4470" t="s">
        <v>19566</v>
      </c>
      <c r="AE4470" t="s">
        <v>19580</v>
      </c>
      <c r="AF4470">
        <v>14</v>
      </c>
      <c r="AG4470">
        <v>1</v>
      </c>
      <c r="AH4470">
        <v>2</v>
      </c>
      <c r="AI4470">
        <v>170.65</v>
      </c>
      <c r="AL4470" t="s">
        <v>19614</v>
      </c>
      <c r="AM4470">
        <v>36400</v>
      </c>
      <c r="AS4470">
        <v>34.4</v>
      </c>
      <c r="AT4470" t="s">
        <v>832</v>
      </c>
      <c r="AU4470" t="s">
        <v>20657</v>
      </c>
      <c r="AV4470" t="s">
        <v>20733</v>
      </c>
    </row>
    <row r="4471" spans="1:48">
      <c r="A4471" s="1">
        <f>HYPERLINK("https://lsnyc.legalserver.org/matter/dynamic-profile/view/1838002","17-1838002")</f>
        <v>0</v>
      </c>
      <c r="B4471" t="s">
        <v>173</v>
      </c>
      <c r="C4471" t="s">
        <v>256</v>
      </c>
      <c r="D4471" t="s">
        <v>776</v>
      </c>
      <c r="F4471" t="s">
        <v>2827</v>
      </c>
      <c r="G4471" t="s">
        <v>5087</v>
      </c>
      <c r="H4471" t="s">
        <v>7692</v>
      </c>
      <c r="I4471" t="s">
        <v>8151</v>
      </c>
      <c r="J4471" t="s">
        <v>9039</v>
      </c>
      <c r="K4471">
        <v>11432</v>
      </c>
      <c r="L4471" t="s">
        <v>9094</v>
      </c>
      <c r="M4471" t="s">
        <v>9095</v>
      </c>
      <c r="N4471" t="s">
        <v>9112</v>
      </c>
      <c r="O4471" t="s">
        <v>11132</v>
      </c>
      <c r="P4471" t="s">
        <v>11165</v>
      </c>
      <c r="R4471" t="s">
        <v>11180</v>
      </c>
      <c r="S4471" t="s">
        <v>9094</v>
      </c>
      <c r="T4471" t="s">
        <v>11183</v>
      </c>
      <c r="V4471" t="s">
        <v>878</v>
      </c>
      <c r="W4471">
        <v>1150</v>
      </c>
      <c r="X4471" t="s">
        <v>11331</v>
      </c>
      <c r="Y4471" t="s">
        <v>11340</v>
      </c>
      <c r="Z4471" t="s">
        <v>14240</v>
      </c>
      <c r="AB4471" t="s">
        <v>18564</v>
      </c>
      <c r="AC4471">
        <v>168</v>
      </c>
      <c r="AD4471" t="s">
        <v>19566</v>
      </c>
      <c r="AE4471" t="s">
        <v>9144</v>
      </c>
      <c r="AF4471">
        <v>9</v>
      </c>
      <c r="AG4471">
        <v>2</v>
      </c>
      <c r="AH4471">
        <v>2</v>
      </c>
      <c r="AI4471">
        <v>170.73</v>
      </c>
      <c r="AJ4471" t="s">
        <v>19592</v>
      </c>
      <c r="AL4471" t="s">
        <v>19616</v>
      </c>
      <c r="AM4471">
        <v>42000</v>
      </c>
      <c r="AS4471">
        <v>0.3</v>
      </c>
      <c r="AT4471" t="s">
        <v>448</v>
      </c>
      <c r="AU4471" t="s">
        <v>242</v>
      </c>
    </row>
    <row r="4472" spans="1:48">
      <c r="A4472" s="1">
        <f>HYPERLINK("https://lsnyc.legalserver.org/matter/dynamic-profile/view/1835565","17-1835565")</f>
        <v>0</v>
      </c>
      <c r="B4472" t="s">
        <v>58</v>
      </c>
      <c r="C4472" t="s">
        <v>256</v>
      </c>
      <c r="D4472" t="s">
        <v>495</v>
      </c>
      <c r="F4472" t="s">
        <v>2827</v>
      </c>
      <c r="G4472" t="s">
        <v>5087</v>
      </c>
      <c r="H4472" t="s">
        <v>7692</v>
      </c>
      <c r="I4472" t="s">
        <v>8151</v>
      </c>
      <c r="J4472" t="s">
        <v>9039</v>
      </c>
      <c r="K4472">
        <v>11432</v>
      </c>
      <c r="L4472" t="s">
        <v>9094</v>
      </c>
      <c r="M4472" t="s">
        <v>9095</v>
      </c>
      <c r="N4472" t="s">
        <v>10736</v>
      </c>
      <c r="O4472" t="s">
        <v>11128</v>
      </c>
      <c r="P4472" t="s">
        <v>11165</v>
      </c>
      <c r="R4472" t="s">
        <v>11180</v>
      </c>
      <c r="S4472" t="s">
        <v>9096</v>
      </c>
      <c r="T4472" t="s">
        <v>11183</v>
      </c>
      <c r="V4472" t="s">
        <v>495</v>
      </c>
      <c r="W4472">
        <v>1150</v>
      </c>
      <c r="X4472" t="s">
        <v>11331</v>
      </c>
      <c r="Y4472" t="s">
        <v>11340</v>
      </c>
      <c r="Z4472" t="s">
        <v>14240</v>
      </c>
      <c r="AA4472" t="s">
        <v>9171</v>
      </c>
      <c r="AB4472" t="s">
        <v>18564</v>
      </c>
      <c r="AC4472">
        <v>168</v>
      </c>
      <c r="AD4472" t="s">
        <v>19566</v>
      </c>
      <c r="AE4472" t="s">
        <v>9144</v>
      </c>
      <c r="AF4472">
        <v>9</v>
      </c>
      <c r="AG4472">
        <v>2</v>
      </c>
      <c r="AH4472">
        <v>2</v>
      </c>
      <c r="AI4472">
        <v>170.73</v>
      </c>
      <c r="AJ4472" t="s">
        <v>19592</v>
      </c>
      <c r="AL4472" t="s">
        <v>19616</v>
      </c>
      <c r="AM4472">
        <v>42000</v>
      </c>
      <c r="AS4472">
        <v>31.4</v>
      </c>
      <c r="AT4472" t="s">
        <v>733</v>
      </c>
      <c r="AU4472" t="s">
        <v>242</v>
      </c>
    </row>
    <row r="4473" spans="1:48">
      <c r="A4473" s="1">
        <f>HYPERLINK("https://lsnyc.legalserver.org/matter/dynamic-profile/view/1836131","17-1836131")</f>
        <v>0</v>
      </c>
      <c r="B4473" t="s">
        <v>140</v>
      </c>
      <c r="C4473" t="s">
        <v>256</v>
      </c>
      <c r="D4473" t="s">
        <v>973</v>
      </c>
      <c r="F4473" t="s">
        <v>2091</v>
      </c>
      <c r="G4473" t="s">
        <v>3636</v>
      </c>
      <c r="H4473" t="s">
        <v>5999</v>
      </c>
      <c r="I4473" t="s">
        <v>8178</v>
      </c>
      <c r="J4473" t="s">
        <v>9067</v>
      </c>
      <c r="K4473">
        <v>10040</v>
      </c>
      <c r="L4473" t="s">
        <v>9095</v>
      </c>
      <c r="M4473" t="s">
        <v>9095</v>
      </c>
      <c r="O4473" t="s">
        <v>11130</v>
      </c>
      <c r="P4473" t="s">
        <v>11168</v>
      </c>
      <c r="R4473" t="s">
        <v>11180</v>
      </c>
      <c r="S4473" t="s">
        <v>9094</v>
      </c>
      <c r="T4473" t="s">
        <v>11183</v>
      </c>
      <c r="V4473" t="s">
        <v>709</v>
      </c>
      <c r="W4473">
        <v>1444.48</v>
      </c>
      <c r="X4473" t="s">
        <v>11335</v>
      </c>
      <c r="Y4473" t="s">
        <v>11339</v>
      </c>
      <c r="Z4473" t="s">
        <v>12526</v>
      </c>
      <c r="AB4473" t="s">
        <v>18606</v>
      </c>
      <c r="AC4473">
        <v>45</v>
      </c>
      <c r="AD4473" t="s">
        <v>19566</v>
      </c>
      <c r="AE4473" t="s">
        <v>9144</v>
      </c>
      <c r="AF4473">
        <v>25</v>
      </c>
      <c r="AG4473">
        <v>2</v>
      </c>
      <c r="AH4473">
        <v>2</v>
      </c>
      <c r="AI4473">
        <v>170.73</v>
      </c>
      <c r="AL4473" t="s">
        <v>19614</v>
      </c>
      <c r="AM4473">
        <v>57000</v>
      </c>
      <c r="AS4473">
        <v>0.51</v>
      </c>
      <c r="AT4473" t="s">
        <v>327</v>
      </c>
      <c r="AU4473" t="s">
        <v>20657</v>
      </c>
    </row>
    <row r="4474" spans="1:48">
      <c r="A4474" s="1">
        <f>HYPERLINK("https://lsnyc.legalserver.org/matter/dynamic-profile/view/1895988","19-1895988")</f>
        <v>0</v>
      </c>
      <c r="B4474" t="s">
        <v>74</v>
      </c>
      <c r="C4474" t="s">
        <v>256</v>
      </c>
      <c r="D4474" t="s">
        <v>300</v>
      </c>
      <c r="F4474" t="s">
        <v>2847</v>
      </c>
      <c r="G4474" t="s">
        <v>5109</v>
      </c>
      <c r="H4474" t="s">
        <v>7693</v>
      </c>
      <c r="I4474" t="s">
        <v>8132</v>
      </c>
      <c r="J4474" t="s">
        <v>9059</v>
      </c>
      <c r="K4474">
        <v>11212</v>
      </c>
      <c r="L4474" t="s">
        <v>9094</v>
      </c>
      <c r="M4474" t="s">
        <v>9094</v>
      </c>
      <c r="N4474" t="s">
        <v>10737</v>
      </c>
      <c r="O4474" t="s">
        <v>11129</v>
      </c>
      <c r="P4474" t="s">
        <v>11165</v>
      </c>
      <c r="R4474" t="s">
        <v>11180</v>
      </c>
      <c r="T4474" t="s">
        <v>11183</v>
      </c>
      <c r="V4474" t="s">
        <v>360</v>
      </c>
      <c r="W4474">
        <v>0</v>
      </c>
      <c r="X4474" t="s">
        <v>11332</v>
      </c>
      <c r="Y4474" t="s">
        <v>11340</v>
      </c>
      <c r="Z4474" t="s">
        <v>14282</v>
      </c>
      <c r="AC4474">
        <v>42</v>
      </c>
      <c r="AD4474" t="s">
        <v>19566</v>
      </c>
      <c r="AF4474">
        <v>0</v>
      </c>
      <c r="AG4474">
        <v>2</v>
      </c>
      <c r="AH4474">
        <v>2</v>
      </c>
      <c r="AI4474">
        <v>170.87</v>
      </c>
      <c r="AL4474" t="s">
        <v>19614</v>
      </c>
      <c r="AM4474">
        <v>44000</v>
      </c>
      <c r="AS4474">
        <v>22.5</v>
      </c>
      <c r="AT4474" t="s">
        <v>301</v>
      </c>
      <c r="AU4474" t="s">
        <v>79</v>
      </c>
    </row>
    <row r="4475" spans="1:48">
      <c r="A4475" s="1">
        <f>HYPERLINK("https://lsnyc.legalserver.org/matter/dynamic-profile/view/0799269","16-0799269")</f>
        <v>0</v>
      </c>
      <c r="B4475" t="s">
        <v>101</v>
      </c>
      <c r="C4475" t="s">
        <v>256</v>
      </c>
      <c r="D4475" t="s">
        <v>656</v>
      </c>
      <c r="F4475" t="s">
        <v>1721</v>
      </c>
      <c r="G4475" t="s">
        <v>3825</v>
      </c>
      <c r="H4475" t="s">
        <v>6041</v>
      </c>
      <c r="I4475" t="s">
        <v>8375</v>
      </c>
      <c r="J4475" t="s">
        <v>9065</v>
      </c>
      <c r="K4475">
        <v>10452</v>
      </c>
      <c r="L4475" t="s">
        <v>9094</v>
      </c>
      <c r="M4475" t="s">
        <v>9095</v>
      </c>
      <c r="N4475" t="s">
        <v>9499</v>
      </c>
      <c r="O4475" t="s">
        <v>11135</v>
      </c>
      <c r="P4475" t="s">
        <v>11168</v>
      </c>
      <c r="R4475" t="s">
        <v>11180</v>
      </c>
      <c r="S4475" t="s">
        <v>9094</v>
      </c>
      <c r="T4475" t="s">
        <v>11183</v>
      </c>
      <c r="V4475" t="s">
        <v>1094</v>
      </c>
      <c r="W4475">
        <v>783.99</v>
      </c>
      <c r="X4475" t="s">
        <v>11333</v>
      </c>
      <c r="Y4475" t="s">
        <v>11346</v>
      </c>
      <c r="Z4475" t="s">
        <v>13608</v>
      </c>
      <c r="AB4475" t="s">
        <v>17946</v>
      </c>
      <c r="AC4475">
        <v>61</v>
      </c>
      <c r="AD4475" t="s">
        <v>19566</v>
      </c>
      <c r="AE4475" t="s">
        <v>9144</v>
      </c>
      <c r="AF4475">
        <v>40</v>
      </c>
      <c r="AG4475">
        <v>2</v>
      </c>
      <c r="AH4475">
        <v>0</v>
      </c>
      <c r="AI4475">
        <v>170.94</v>
      </c>
      <c r="AL4475" t="s">
        <v>19615</v>
      </c>
      <c r="AM4475">
        <v>27384</v>
      </c>
      <c r="AS4475">
        <v>1</v>
      </c>
      <c r="AT4475" t="s">
        <v>873</v>
      </c>
      <c r="AU4475" t="s">
        <v>109</v>
      </c>
    </row>
    <row r="4476" spans="1:48">
      <c r="A4476" s="1">
        <f>HYPERLINK("https://lsnyc.legalserver.org/matter/dynamic-profile/view/1857034","18-1857034")</f>
        <v>0</v>
      </c>
      <c r="B4476" t="s">
        <v>119</v>
      </c>
      <c r="C4476" t="s">
        <v>256</v>
      </c>
      <c r="D4476" t="s">
        <v>465</v>
      </c>
      <c r="F4476" t="s">
        <v>2848</v>
      </c>
      <c r="G4476" t="s">
        <v>5110</v>
      </c>
      <c r="H4476" t="s">
        <v>5897</v>
      </c>
      <c r="I4476" t="s">
        <v>8857</v>
      </c>
      <c r="J4476" t="s">
        <v>9065</v>
      </c>
      <c r="K4476">
        <v>10452</v>
      </c>
      <c r="L4476" t="s">
        <v>9094</v>
      </c>
      <c r="M4476" t="s">
        <v>9094</v>
      </c>
      <c r="N4476" t="s">
        <v>9252</v>
      </c>
      <c r="O4476" t="s">
        <v>11135</v>
      </c>
      <c r="P4476" t="s">
        <v>11168</v>
      </c>
      <c r="R4476" t="s">
        <v>11180</v>
      </c>
      <c r="S4476" t="s">
        <v>9094</v>
      </c>
      <c r="T4476" t="s">
        <v>11183</v>
      </c>
      <c r="V4476" t="s">
        <v>440</v>
      </c>
      <c r="W4476">
        <v>858.6900000000001</v>
      </c>
      <c r="X4476" t="s">
        <v>11333</v>
      </c>
      <c r="Y4476" t="s">
        <v>11346</v>
      </c>
      <c r="Z4476" t="s">
        <v>14283</v>
      </c>
      <c r="AB4476" t="s">
        <v>18607</v>
      </c>
      <c r="AC4476">
        <v>122</v>
      </c>
      <c r="AD4476" t="s">
        <v>19566</v>
      </c>
      <c r="AE4476" t="s">
        <v>9144</v>
      </c>
      <c r="AF4476">
        <v>4</v>
      </c>
      <c r="AG4476">
        <v>2</v>
      </c>
      <c r="AH4476">
        <v>2</v>
      </c>
      <c r="AI4476">
        <v>171.22</v>
      </c>
      <c r="AL4476" t="s">
        <v>19614</v>
      </c>
      <c r="AM4476">
        <v>42120</v>
      </c>
      <c r="AN4476" t="s">
        <v>20026</v>
      </c>
      <c r="AS4476">
        <v>0</v>
      </c>
      <c r="AU4476" t="s">
        <v>20647</v>
      </c>
    </row>
    <row r="4477" spans="1:48">
      <c r="A4477" s="1">
        <f>HYPERLINK("https://lsnyc.legalserver.org/matter/dynamic-profile/view/1857490","18-1857490")</f>
        <v>0</v>
      </c>
      <c r="B4477" t="s">
        <v>119</v>
      </c>
      <c r="C4477" t="s">
        <v>256</v>
      </c>
      <c r="D4477" t="s">
        <v>468</v>
      </c>
      <c r="F4477" t="s">
        <v>2848</v>
      </c>
      <c r="G4477" t="s">
        <v>5110</v>
      </c>
      <c r="H4477" t="s">
        <v>5897</v>
      </c>
      <c r="I4477" t="s">
        <v>8857</v>
      </c>
      <c r="J4477" t="s">
        <v>9065</v>
      </c>
      <c r="K4477">
        <v>10452</v>
      </c>
      <c r="L4477" t="s">
        <v>9094</v>
      </c>
      <c r="M4477" t="s">
        <v>9095</v>
      </c>
      <c r="N4477" t="s">
        <v>9253</v>
      </c>
      <c r="O4477" t="s">
        <v>11135</v>
      </c>
      <c r="P4477" t="s">
        <v>11168</v>
      </c>
      <c r="R4477" t="s">
        <v>11180</v>
      </c>
      <c r="S4477" t="s">
        <v>9094</v>
      </c>
      <c r="T4477" t="s">
        <v>11183</v>
      </c>
      <c r="V4477" t="s">
        <v>675</v>
      </c>
      <c r="W4477">
        <v>858.6900000000001</v>
      </c>
      <c r="X4477" t="s">
        <v>11333</v>
      </c>
      <c r="Y4477" t="s">
        <v>11346</v>
      </c>
      <c r="Z4477" t="s">
        <v>14283</v>
      </c>
      <c r="AB4477" t="s">
        <v>18607</v>
      </c>
      <c r="AC4477">
        <v>122</v>
      </c>
      <c r="AD4477" t="s">
        <v>19566</v>
      </c>
      <c r="AE4477" t="s">
        <v>9144</v>
      </c>
      <c r="AF4477">
        <v>5</v>
      </c>
      <c r="AG4477">
        <v>2</v>
      </c>
      <c r="AH4477">
        <v>2</v>
      </c>
      <c r="AI4477">
        <v>171.22</v>
      </c>
      <c r="AL4477" t="s">
        <v>19614</v>
      </c>
      <c r="AM4477">
        <v>42120</v>
      </c>
      <c r="AN4477" t="s">
        <v>20027</v>
      </c>
      <c r="AS4477">
        <v>0</v>
      </c>
      <c r="AU4477" t="s">
        <v>20647</v>
      </c>
    </row>
    <row r="4478" spans="1:48">
      <c r="A4478" s="1">
        <f>HYPERLINK("https://lsnyc.legalserver.org/matter/dynamic-profile/view/1909513","19-1909513")</f>
        <v>0</v>
      </c>
      <c r="B4478" t="s">
        <v>141</v>
      </c>
      <c r="C4478" t="s">
        <v>256</v>
      </c>
      <c r="D4478" t="s">
        <v>273</v>
      </c>
      <c r="F4478" t="s">
        <v>2023</v>
      </c>
      <c r="G4478" t="s">
        <v>3418</v>
      </c>
      <c r="H4478" t="s">
        <v>7148</v>
      </c>
      <c r="I4478" t="s">
        <v>8149</v>
      </c>
      <c r="J4478" t="s">
        <v>9067</v>
      </c>
      <c r="K4478">
        <v>10034</v>
      </c>
      <c r="L4478" t="s">
        <v>9094</v>
      </c>
      <c r="M4478" t="s">
        <v>9095</v>
      </c>
      <c r="O4478" t="s">
        <v>11136</v>
      </c>
      <c r="P4478" t="s">
        <v>11166</v>
      </c>
      <c r="R4478" t="s">
        <v>11180</v>
      </c>
      <c r="S4478" t="s">
        <v>9096</v>
      </c>
      <c r="T4478" t="s">
        <v>11183</v>
      </c>
      <c r="V4478" t="s">
        <v>273</v>
      </c>
      <c r="W4478">
        <v>1525</v>
      </c>
      <c r="X4478" t="s">
        <v>11335</v>
      </c>
      <c r="Y4478" t="s">
        <v>11340</v>
      </c>
      <c r="Z4478" t="s">
        <v>14284</v>
      </c>
      <c r="AB4478" t="s">
        <v>18608</v>
      </c>
      <c r="AC4478">
        <v>25</v>
      </c>
      <c r="AD4478" t="s">
        <v>19566</v>
      </c>
      <c r="AE4478" t="s">
        <v>9144</v>
      </c>
      <c r="AF4478">
        <v>8</v>
      </c>
      <c r="AG4478">
        <v>4</v>
      </c>
      <c r="AH4478">
        <v>0</v>
      </c>
      <c r="AI4478">
        <v>171.25</v>
      </c>
      <c r="AL4478" t="s">
        <v>19615</v>
      </c>
      <c r="AM4478">
        <v>44096</v>
      </c>
      <c r="AS4478">
        <v>1.9</v>
      </c>
      <c r="AT4478" t="s">
        <v>309</v>
      </c>
      <c r="AU4478" t="s">
        <v>130</v>
      </c>
      <c r="AV4478" t="s">
        <v>20733</v>
      </c>
    </row>
    <row r="4479" spans="1:48">
      <c r="A4479" s="1">
        <f>HYPERLINK("https://lsnyc.legalserver.org/matter/dynamic-profile/view/1880702","18-1880702")</f>
        <v>0</v>
      </c>
      <c r="B4479" t="s">
        <v>54</v>
      </c>
      <c r="C4479" t="s">
        <v>256</v>
      </c>
      <c r="D4479" t="s">
        <v>285</v>
      </c>
      <c r="F4479" t="s">
        <v>1146</v>
      </c>
      <c r="G4479" t="s">
        <v>5111</v>
      </c>
      <c r="H4479" t="s">
        <v>7694</v>
      </c>
      <c r="I4479" t="s">
        <v>8794</v>
      </c>
      <c r="J4479" t="s">
        <v>9038</v>
      </c>
      <c r="K4479">
        <v>11691</v>
      </c>
      <c r="L4479" t="s">
        <v>9094</v>
      </c>
      <c r="M4479" t="s">
        <v>9094</v>
      </c>
      <c r="N4479" t="s">
        <v>10738</v>
      </c>
      <c r="O4479" t="s">
        <v>11128</v>
      </c>
      <c r="P4479" t="s">
        <v>11169</v>
      </c>
      <c r="R4479" t="s">
        <v>11180</v>
      </c>
      <c r="S4479" t="s">
        <v>9096</v>
      </c>
      <c r="T4479" t="s">
        <v>11183</v>
      </c>
      <c r="U4479" t="s">
        <v>11201</v>
      </c>
      <c r="V4479" t="s">
        <v>285</v>
      </c>
      <c r="W4479">
        <v>850</v>
      </c>
      <c r="X4479" t="s">
        <v>11331</v>
      </c>
      <c r="Y4479" t="s">
        <v>11336</v>
      </c>
      <c r="Z4479" t="s">
        <v>14285</v>
      </c>
      <c r="AB4479" t="s">
        <v>18609</v>
      </c>
      <c r="AC4479">
        <v>2</v>
      </c>
      <c r="AD4479" t="s">
        <v>19565</v>
      </c>
      <c r="AE4479" t="s">
        <v>9144</v>
      </c>
      <c r="AF4479">
        <v>2</v>
      </c>
      <c r="AG4479">
        <v>1</v>
      </c>
      <c r="AH4479">
        <v>0</v>
      </c>
      <c r="AI4479">
        <v>171.33</v>
      </c>
      <c r="AL4479" t="s">
        <v>19614</v>
      </c>
      <c r="AM4479">
        <v>20800</v>
      </c>
      <c r="AS4479">
        <v>1.25</v>
      </c>
      <c r="AT4479" t="s">
        <v>295</v>
      </c>
      <c r="AU4479" t="s">
        <v>20620</v>
      </c>
    </row>
    <row r="4480" spans="1:48">
      <c r="A4480" s="1">
        <f>HYPERLINK("https://lsnyc.legalserver.org/matter/dynamic-profile/view/1863782","18-1863782")</f>
        <v>0</v>
      </c>
      <c r="B4480" t="s">
        <v>86</v>
      </c>
      <c r="C4480" t="s">
        <v>256</v>
      </c>
      <c r="D4480" t="s">
        <v>504</v>
      </c>
      <c r="F4480" t="s">
        <v>2148</v>
      </c>
      <c r="G4480" t="s">
        <v>5112</v>
      </c>
      <c r="H4480" t="s">
        <v>6787</v>
      </c>
      <c r="I4480" t="s">
        <v>8358</v>
      </c>
      <c r="J4480" t="s">
        <v>9059</v>
      </c>
      <c r="K4480">
        <v>11226</v>
      </c>
      <c r="L4480" t="s">
        <v>9094</v>
      </c>
      <c r="M4480" t="s">
        <v>9094</v>
      </c>
      <c r="O4480" t="s">
        <v>11130</v>
      </c>
      <c r="P4480" t="s">
        <v>11166</v>
      </c>
      <c r="R4480" t="s">
        <v>11180</v>
      </c>
      <c r="S4480" t="s">
        <v>9094</v>
      </c>
      <c r="T4480" t="s">
        <v>11183</v>
      </c>
      <c r="V4480" t="s">
        <v>945</v>
      </c>
      <c r="W4480">
        <v>560</v>
      </c>
      <c r="X4480" t="s">
        <v>11332</v>
      </c>
      <c r="Y4480" t="s">
        <v>11346</v>
      </c>
      <c r="Z4480" t="s">
        <v>14286</v>
      </c>
      <c r="AC4480">
        <v>6</v>
      </c>
      <c r="AD4480" t="s">
        <v>19566</v>
      </c>
      <c r="AE4480" t="s">
        <v>9144</v>
      </c>
      <c r="AF4480">
        <v>17</v>
      </c>
      <c r="AG4480">
        <v>1</v>
      </c>
      <c r="AH4480">
        <v>0</v>
      </c>
      <c r="AI4480">
        <v>171.33</v>
      </c>
      <c r="AL4480" t="s">
        <v>19614</v>
      </c>
      <c r="AM4480">
        <v>20800</v>
      </c>
      <c r="AS4480">
        <v>44.75</v>
      </c>
      <c r="AT4480" t="s">
        <v>373</v>
      </c>
      <c r="AU4480" t="s">
        <v>20630</v>
      </c>
    </row>
    <row r="4481" spans="1:48">
      <c r="A4481" s="1">
        <f>HYPERLINK("https://lsnyc.legalserver.org/matter/dynamic-profile/view/1864898","18-1864898")</f>
        <v>0</v>
      </c>
      <c r="B4481" t="s">
        <v>86</v>
      </c>
      <c r="C4481" t="s">
        <v>256</v>
      </c>
      <c r="D4481" t="s">
        <v>525</v>
      </c>
      <c r="F4481" t="s">
        <v>2148</v>
      </c>
      <c r="G4481" t="s">
        <v>5112</v>
      </c>
      <c r="H4481" t="s">
        <v>6787</v>
      </c>
      <c r="I4481" t="s">
        <v>8358</v>
      </c>
      <c r="J4481" t="s">
        <v>9059</v>
      </c>
      <c r="K4481">
        <v>11226</v>
      </c>
      <c r="L4481" t="s">
        <v>9094</v>
      </c>
      <c r="M4481" t="s">
        <v>9094</v>
      </c>
      <c r="O4481" t="s">
        <v>11136</v>
      </c>
      <c r="P4481" t="s">
        <v>11166</v>
      </c>
      <c r="R4481" t="s">
        <v>11180</v>
      </c>
      <c r="S4481" t="s">
        <v>9094</v>
      </c>
      <c r="T4481" t="s">
        <v>11183</v>
      </c>
      <c r="V4481" t="s">
        <v>582</v>
      </c>
      <c r="W4481">
        <v>560</v>
      </c>
      <c r="X4481" t="s">
        <v>11332</v>
      </c>
      <c r="Y4481" t="s">
        <v>11346</v>
      </c>
      <c r="Z4481" t="s">
        <v>14286</v>
      </c>
      <c r="AC4481">
        <v>6</v>
      </c>
      <c r="AD4481" t="s">
        <v>19566</v>
      </c>
      <c r="AE4481" t="s">
        <v>9144</v>
      </c>
      <c r="AF4481">
        <v>17</v>
      </c>
      <c r="AG4481">
        <v>1</v>
      </c>
      <c r="AH4481">
        <v>0</v>
      </c>
      <c r="AI4481">
        <v>171.33</v>
      </c>
      <c r="AL4481" t="s">
        <v>19614</v>
      </c>
      <c r="AM4481">
        <v>20800</v>
      </c>
      <c r="AS4481">
        <v>28.25</v>
      </c>
      <c r="AT4481" t="s">
        <v>777</v>
      </c>
      <c r="AU4481" t="s">
        <v>20630</v>
      </c>
    </row>
    <row r="4482" spans="1:48">
      <c r="A4482" s="1">
        <f>HYPERLINK("https://lsnyc.legalserver.org/matter/dynamic-profile/view/1871226","18-1871226")</f>
        <v>0</v>
      </c>
      <c r="B4482" t="s">
        <v>78</v>
      </c>
      <c r="C4482" t="s">
        <v>256</v>
      </c>
      <c r="D4482" t="s">
        <v>599</v>
      </c>
      <c r="F4482" t="s">
        <v>2819</v>
      </c>
      <c r="G4482" t="s">
        <v>5082</v>
      </c>
      <c r="H4482" t="s">
        <v>6712</v>
      </c>
      <c r="I4482" t="s">
        <v>8170</v>
      </c>
      <c r="J4482" t="s">
        <v>9059</v>
      </c>
      <c r="K4482">
        <v>11221</v>
      </c>
      <c r="L4482" t="s">
        <v>9094</v>
      </c>
      <c r="M4482" t="s">
        <v>9094</v>
      </c>
      <c r="O4482" t="s">
        <v>11134</v>
      </c>
      <c r="P4482" t="s">
        <v>11168</v>
      </c>
      <c r="R4482" t="s">
        <v>11180</v>
      </c>
      <c r="S4482" t="s">
        <v>9094</v>
      </c>
      <c r="T4482" t="s">
        <v>11183</v>
      </c>
      <c r="V4482" t="s">
        <v>1096</v>
      </c>
      <c r="W4482">
        <v>763</v>
      </c>
      <c r="X4482" t="s">
        <v>11332</v>
      </c>
      <c r="Y4482" t="s">
        <v>11339</v>
      </c>
      <c r="Z4482" t="s">
        <v>14223</v>
      </c>
      <c r="AB4482" t="s">
        <v>18546</v>
      </c>
      <c r="AC4482">
        <v>12</v>
      </c>
      <c r="AD4482" t="s">
        <v>19566</v>
      </c>
      <c r="AE4482" t="s">
        <v>9144</v>
      </c>
      <c r="AF4482">
        <v>10</v>
      </c>
      <c r="AG4482">
        <v>1</v>
      </c>
      <c r="AH4482">
        <v>0</v>
      </c>
      <c r="AI4482">
        <v>171.33</v>
      </c>
      <c r="AL4482" t="s">
        <v>19614</v>
      </c>
      <c r="AM4482">
        <v>20800</v>
      </c>
      <c r="AS4482">
        <v>38.5</v>
      </c>
      <c r="AT4482" t="s">
        <v>408</v>
      </c>
      <c r="AU4482" t="s">
        <v>95</v>
      </c>
    </row>
    <row r="4483" spans="1:48">
      <c r="A4483" s="1">
        <f>HYPERLINK("https://lsnyc.legalserver.org/matter/dynamic-profile/view/1875998","18-1875998")</f>
        <v>0</v>
      </c>
      <c r="B4483" t="s">
        <v>78</v>
      </c>
      <c r="C4483" t="s">
        <v>256</v>
      </c>
      <c r="D4483" t="s">
        <v>366</v>
      </c>
      <c r="F4483" t="s">
        <v>2819</v>
      </c>
      <c r="G4483" t="s">
        <v>5082</v>
      </c>
      <c r="H4483" t="s">
        <v>6712</v>
      </c>
      <c r="I4483" t="s">
        <v>8170</v>
      </c>
      <c r="J4483" t="s">
        <v>9059</v>
      </c>
      <c r="K4483">
        <v>11221</v>
      </c>
      <c r="L4483" t="s">
        <v>9094</v>
      </c>
      <c r="M4483" t="s">
        <v>9094</v>
      </c>
      <c r="N4483" t="s">
        <v>10105</v>
      </c>
      <c r="O4483" t="s">
        <v>11130</v>
      </c>
      <c r="P4483" t="s">
        <v>11165</v>
      </c>
      <c r="R4483" t="s">
        <v>11180</v>
      </c>
      <c r="S4483" t="s">
        <v>9094</v>
      </c>
      <c r="T4483" t="s">
        <v>11183</v>
      </c>
      <c r="U4483" t="s">
        <v>11201</v>
      </c>
      <c r="V4483" t="s">
        <v>1096</v>
      </c>
      <c r="W4483">
        <v>763</v>
      </c>
      <c r="X4483" t="s">
        <v>11332</v>
      </c>
      <c r="Y4483" t="s">
        <v>11348</v>
      </c>
      <c r="Z4483" t="s">
        <v>14223</v>
      </c>
      <c r="AB4483" t="s">
        <v>18546</v>
      </c>
      <c r="AC4483">
        <v>12</v>
      </c>
      <c r="AD4483" t="s">
        <v>19566</v>
      </c>
      <c r="AE4483" t="s">
        <v>9144</v>
      </c>
      <c r="AF4483">
        <v>10</v>
      </c>
      <c r="AG4483">
        <v>1</v>
      </c>
      <c r="AH4483">
        <v>0</v>
      </c>
      <c r="AI4483">
        <v>171.33</v>
      </c>
      <c r="AL4483" t="s">
        <v>19614</v>
      </c>
      <c r="AM4483">
        <v>20800</v>
      </c>
      <c r="AS4483">
        <v>71</v>
      </c>
      <c r="AT4483" t="s">
        <v>297</v>
      </c>
      <c r="AU4483" t="s">
        <v>95</v>
      </c>
    </row>
    <row r="4484" spans="1:48">
      <c r="A4484" s="1">
        <f>HYPERLINK("https://lsnyc.legalserver.org/matter/dynamic-profile/view/1876008","18-1876008")</f>
        <v>0</v>
      </c>
      <c r="B4484" t="s">
        <v>91</v>
      </c>
      <c r="C4484" t="s">
        <v>256</v>
      </c>
      <c r="D4484" t="s">
        <v>366</v>
      </c>
      <c r="F4484" t="s">
        <v>2819</v>
      </c>
      <c r="G4484" t="s">
        <v>5082</v>
      </c>
      <c r="H4484" t="s">
        <v>6712</v>
      </c>
      <c r="I4484" t="s">
        <v>8170</v>
      </c>
      <c r="J4484" t="s">
        <v>9059</v>
      </c>
      <c r="K4484">
        <v>11221</v>
      </c>
      <c r="L4484" t="s">
        <v>9094</v>
      </c>
      <c r="M4484" t="s">
        <v>9094</v>
      </c>
      <c r="N4484" t="s">
        <v>10739</v>
      </c>
      <c r="O4484" t="s">
        <v>11130</v>
      </c>
      <c r="P4484" t="s">
        <v>11165</v>
      </c>
      <c r="R4484" t="s">
        <v>11180</v>
      </c>
      <c r="S4484" t="s">
        <v>9094</v>
      </c>
      <c r="T4484" t="s">
        <v>11183</v>
      </c>
      <c r="V4484" t="s">
        <v>697</v>
      </c>
      <c r="W4484">
        <v>763</v>
      </c>
      <c r="X4484" t="s">
        <v>11332</v>
      </c>
      <c r="Y4484" t="s">
        <v>11339</v>
      </c>
      <c r="Z4484" t="s">
        <v>14223</v>
      </c>
      <c r="AB4484" t="s">
        <v>18546</v>
      </c>
      <c r="AC4484">
        <v>12</v>
      </c>
      <c r="AD4484" t="s">
        <v>19566</v>
      </c>
      <c r="AE4484" t="s">
        <v>9144</v>
      </c>
      <c r="AF4484">
        <v>10</v>
      </c>
      <c r="AG4484">
        <v>1</v>
      </c>
      <c r="AH4484">
        <v>0</v>
      </c>
      <c r="AI4484">
        <v>171.33</v>
      </c>
      <c r="AL4484" t="s">
        <v>19614</v>
      </c>
      <c r="AM4484">
        <v>20800</v>
      </c>
      <c r="AS4484">
        <v>25.6</v>
      </c>
      <c r="AT4484" t="s">
        <v>521</v>
      </c>
      <c r="AU4484" t="s">
        <v>95</v>
      </c>
    </row>
    <row r="4485" spans="1:48">
      <c r="A4485" s="1">
        <f>HYPERLINK("https://lsnyc.legalserver.org/matter/dynamic-profile/view/1879625","18-1879625")</f>
        <v>0</v>
      </c>
      <c r="B4485" t="s">
        <v>76</v>
      </c>
      <c r="C4485" t="s">
        <v>257</v>
      </c>
      <c r="D4485" t="s">
        <v>855</v>
      </c>
      <c r="E4485" t="s">
        <v>328</v>
      </c>
      <c r="F4485" t="s">
        <v>1553</v>
      </c>
      <c r="G4485" t="s">
        <v>3911</v>
      </c>
      <c r="H4485" t="s">
        <v>6312</v>
      </c>
      <c r="I4485" t="s">
        <v>8117</v>
      </c>
      <c r="J4485" t="s">
        <v>9059</v>
      </c>
      <c r="K4485">
        <v>11207</v>
      </c>
      <c r="L4485" t="s">
        <v>9094</v>
      </c>
      <c r="M4485" t="s">
        <v>9096</v>
      </c>
      <c r="N4485" t="s">
        <v>9121</v>
      </c>
      <c r="O4485" t="s">
        <v>11143</v>
      </c>
      <c r="P4485" t="s">
        <v>11167</v>
      </c>
      <c r="Q4485" t="s">
        <v>11172</v>
      </c>
      <c r="R4485" t="s">
        <v>11180</v>
      </c>
      <c r="S4485" t="s">
        <v>9094</v>
      </c>
      <c r="T4485" t="s">
        <v>11183</v>
      </c>
      <c r="U4485" t="s">
        <v>11201</v>
      </c>
      <c r="V4485" t="s">
        <v>697</v>
      </c>
      <c r="W4485">
        <v>1000</v>
      </c>
      <c r="X4485" t="s">
        <v>11332</v>
      </c>
      <c r="Y4485" t="s">
        <v>11340</v>
      </c>
      <c r="Z4485" t="s">
        <v>12121</v>
      </c>
      <c r="AA4485" t="s">
        <v>15290</v>
      </c>
      <c r="AB4485" t="s">
        <v>16558</v>
      </c>
      <c r="AC4485">
        <v>6</v>
      </c>
      <c r="AD4485" t="s">
        <v>19566</v>
      </c>
      <c r="AE4485" t="s">
        <v>9144</v>
      </c>
      <c r="AF4485">
        <v>4</v>
      </c>
      <c r="AG4485">
        <v>1</v>
      </c>
      <c r="AH4485">
        <v>0</v>
      </c>
      <c r="AI4485">
        <v>171.33</v>
      </c>
      <c r="AL4485" t="s">
        <v>19614</v>
      </c>
      <c r="AM4485">
        <v>20800</v>
      </c>
      <c r="AS4485">
        <v>0.1</v>
      </c>
      <c r="AT4485" t="s">
        <v>328</v>
      </c>
      <c r="AU4485" t="s">
        <v>95</v>
      </c>
      <c r="AV4485" t="s">
        <v>20733</v>
      </c>
    </row>
    <row r="4486" spans="1:48">
      <c r="A4486" s="1">
        <f>HYPERLINK("https://lsnyc.legalserver.org/matter/dynamic-profile/view/1879627","18-1879627")</f>
        <v>0</v>
      </c>
      <c r="B4486" t="s">
        <v>76</v>
      </c>
      <c r="C4486" t="s">
        <v>256</v>
      </c>
      <c r="D4486" t="s">
        <v>855</v>
      </c>
      <c r="F4486" t="s">
        <v>1553</v>
      </c>
      <c r="G4486" t="s">
        <v>3911</v>
      </c>
      <c r="H4486" t="s">
        <v>6312</v>
      </c>
      <c r="I4486" t="s">
        <v>8117</v>
      </c>
      <c r="J4486" t="s">
        <v>9059</v>
      </c>
      <c r="K4486">
        <v>11207</v>
      </c>
      <c r="L4486" t="s">
        <v>9094</v>
      </c>
      <c r="M4486" t="s">
        <v>9096</v>
      </c>
      <c r="N4486" t="s">
        <v>9121</v>
      </c>
      <c r="O4486" t="s">
        <v>11132</v>
      </c>
      <c r="P4486" t="s">
        <v>11167</v>
      </c>
      <c r="R4486" t="s">
        <v>11180</v>
      </c>
      <c r="S4486" t="s">
        <v>9094</v>
      </c>
      <c r="T4486" t="s">
        <v>11183</v>
      </c>
      <c r="U4486" t="s">
        <v>11201</v>
      </c>
      <c r="V4486" t="s">
        <v>11236</v>
      </c>
      <c r="W4486">
        <v>1000</v>
      </c>
      <c r="X4486" t="s">
        <v>11332</v>
      </c>
      <c r="Y4486" t="s">
        <v>11340</v>
      </c>
      <c r="Z4486" t="s">
        <v>12121</v>
      </c>
      <c r="AB4486" t="s">
        <v>16558</v>
      </c>
      <c r="AC4486">
        <v>6</v>
      </c>
      <c r="AD4486" t="s">
        <v>19566</v>
      </c>
      <c r="AE4486" t="s">
        <v>9144</v>
      </c>
      <c r="AF4486">
        <v>4</v>
      </c>
      <c r="AG4486">
        <v>1</v>
      </c>
      <c r="AH4486">
        <v>0</v>
      </c>
      <c r="AI4486">
        <v>171.33</v>
      </c>
      <c r="AL4486" t="s">
        <v>19614</v>
      </c>
      <c r="AM4486">
        <v>20800</v>
      </c>
      <c r="AS4486">
        <v>0</v>
      </c>
      <c r="AU4486" t="s">
        <v>95</v>
      </c>
      <c r="AV4486" t="s">
        <v>20733</v>
      </c>
    </row>
    <row r="4487" spans="1:48">
      <c r="A4487" s="1">
        <f>HYPERLINK("https://lsnyc.legalserver.org/matter/dynamic-profile/view/1879623","18-1879623")</f>
        <v>0</v>
      </c>
      <c r="B4487" t="s">
        <v>76</v>
      </c>
      <c r="C4487" t="s">
        <v>256</v>
      </c>
      <c r="D4487" t="s">
        <v>855</v>
      </c>
      <c r="F4487" t="s">
        <v>1553</v>
      </c>
      <c r="G4487" t="s">
        <v>3911</v>
      </c>
      <c r="H4487" t="s">
        <v>6312</v>
      </c>
      <c r="I4487" t="s">
        <v>8117</v>
      </c>
      <c r="J4487" t="s">
        <v>9059</v>
      </c>
      <c r="K4487">
        <v>11207</v>
      </c>
      <c r="L4487" t="s">
        <v>9094</v>
      </c>
      <c r="M4487" t="s">
        <v>9096</v>
      </c>
      <c r="N4487" t="s">
        <v>9579</v>
      </c>
      <c r="O4487" t="s">
        <v>11134</v>
      </c>
      <c r="P4487" t="s">
        <v>11168</v>
      </c>
      <c r="R4487" t="s">
        <v>11180</v>
      </c>
      <c r="S4487" t="s">
        <v>9094</v>
      </c>
      <c r="T4487" t="s">
        <v>11183</v>
      </c>
      <c r="U4487" t="s">
        <v>11201</v>
      </c>
      <c r="V4487" t="s">
        <v>697</v>
      </c>
      <c r="W4487">
        <v>1000</v>
      </c>
      <c r="X4487" t="s">
        <v>11332</v>
      </c>
      <c r="Y4487" t="s">
        <v>11340</v>
      </c>
      <c r="Z4487" t="s">
        <v>12121</v>
      </c>
      <c r="AA4487" t="s">
        <v>15290</v>
      </c>
      <c r="AB4487" t="s">
        <v>16558</v>
      </c>
      <c r="AC4487">
        <v>6</v>
      </c>
      <c r="AD4487" t="s">
        <v>19566</v>
      </c>
      <c r="AE4487" t="s">
        <v>9144</v>
      </c>
      <c r="AF4487">
        <v>4</v>
      </c>
      <c r="AG4487">
        <v>1</v>
      </c>
      <c r="AH4487">
        <v>0</v>
      </c>
      <c r="AI4487">
        <v>171.33</v>
      </c>
      <c r="AL4487" t="s">
        <v>19614</v>
      </c>
      <c r="AM4487">
        <v>20800</v>
      </c>
      <c r="AS4487">
        <v>0.5</v>
      </c>
      <c r="AT4487" t="s">
        <v>746</v>
      </c>
      <c r="AU4487" t="s">
        <v>95</v>
      </c>
      <c r="AV4487" t="s">
        <v>20733</v>
      </c>
    </row>
    <row r="4488" spans="1:48">
      <c r="A4488" s="1">
        <f>HYPERLINK("https://lsnyc.legalserver.org/matter/dynamic-profile/view/1879613","18-1879613")</f>
        <v>0</v>
      </c>
      <c r="B4488" t="s">
        <v>76</v>
      </c>
      <c r="C4488" t="s">
        <v>256</v>
      </c>
      <c r="D4488" t="s">
        <v>855</v>
      </c>
      <c r="F4488" t="s">
        <v>1553</v>
      </c>
      <c r="G4488" t="s">
        <v>3911</v>
      </c>
      <c r="H4488" t="s">
        <v>6312</v>
      </c>
      <c r="I4488" t="s">
        <v>8117</v>
      </c>
      <c r="J4488" t="s">
        <v>9059</v>
      </c>
      <c r="K4488">
        <v>11207</v>
      </c>
      <c r="L4488" t="s">
        <v>9094</v>
      </c>
      <c r="M4488" t="s">
        <v>9096</v>
      </c>
      <c r="N4488" t="s">
        <v>9121</v>
      </c>
      <c r="O4488" t="s">
        <v>9121</v>
      </c>
      <c r="P4488" t="s">
        <v>11167</v>
      </c>
      <c r="R4488" t="s">
        <v>11180</v>
      </c>
      <c r="S4488" t="s">
        <v>9094</v>
      </c>
      <c r="T4488" t="s">
        <v>11183</v>
      </c>
      <c r="U4488" t="s">
        <v>11201</v>
      </c>
      <c r="V4488" t="s">
        <v>572</v>
      </c>
      <c r="W4488">
        <v>1000</v>
      </c>
      <c r="X4488" t="s">
        <v>11332</v>
      </c>
      <c r="Y4488" t="s">
        <v>11340</v>
      </c>
      <c r="Z4488" t="s">
        <v>12121</v>
      </c>
      <c r="AB4488" t="s">
        <v>16558</v>
      </c>
      <c r="AC4488">
        <v>6</v>
      </c>
      <c r="AD4488" t="s">
        <v>19566</v>
      </c>
      <c r="AE4488" t="s">
        <v>9144</v>
      </c>
      <c r="AF4488">
        <v>4</v>
      </c>
      <c r="AG4488">
        <v>1</v>
      </c>
      <c r="AH4488">
        <v>0</v>
      </c>
      <c r="AI4488">
        <v>171.33</v>
      </c>
      <c r="AL4488" t="s">
        <v>19614</v>
      </c>
      <c r="AM4488">
        <v>20800</v>
      </c>
      <c r="AS4488">
        <v>0</v>
      </c>
      <c r="AU4488" t="s">
        <v>95</v>
      </c>
      <c r="AV4488" t="s">
        <v>20733</v>
      </c>
    </row>
    <row r="4489" spans="1:48">
      <c r="A4489" s="1">
        <f>HYPERLINK("https://lsnyc.legalserver.org/matter/dynamic-profile/view/1884939","18-1884939")</f>
        <v>0</v>
      </c>
      <c r="B4489" t="s">
        <v>108</v>
      </c>
      <c r="C4489" t="s">
        <v>257</v>
      </c>
      <c r="D4489" t="s">
        <v>359</v>
      </c>
      <c r="E4489" t="s">
        <v>483</v>
      </c>
      <c r="F4489" t="s">
        <v>1698</v>
      </c>
      <c r="G4489" t="s">
        <v>5113</v>
      </c>
      <c r="H4489" t="s">
        <v>6923</v>
      </c>
      <c r="I4489" t="s">
        <v>8283</v>
      </c>
      <c r="J4489" t="s">
        <v>9065</v>
      </c>
      <c r="K4489">
        <v>10459</v>
      </c>
      <c r="L4489" t="s">
        <v>9094</v>
      </c>
      <c r="M4489" t="s">
        <v>9094</v>
      </c>
      <c r="N4489" t="s">
        <v>10740</v>
      </c>
      <c r="O4489" t="s">
        <v>11128</v>
      </c>
      <c r="P4489" t="s">
        <v>11164</v>
      </c>
      <c r="Q4489" t="s">
        <v>11172</v>
      </c>
      <c r="R4489" t="s">
        <v>11180</v>
      </c>
      <c r="S4489" t="s">
        <v>9096</v>
      </c>
      <c r="T4489" t="s">
        <v>11183</v>
      </c>
      <c r="U4489" t="s">
        <v>11201</v>
      </c>
      <c r="V4489" t="s">
        <v>359</v>
      </c>
      <c r="W4489">
        <v>843.08</v>
      </c>
      <c r="X4489" t="s">
        <v>11333</v>
      </c>
      <c r="Y4489" t="s">
        <v>11338</v>
      </c>
      <c r="Z4489" t="s">
        <v>14287</v>
      </c>
      <c r="AB4489" t="s">
        <v>18610</v>
      </c>
      <c r="AC4489">
        <v>0</v>
      </c>
      <c r="AD4489" t="s">
        <v>19566</v>
      </c>
      <c r="AE4489" t="s">
        <v>9144</v>
      </c>
      <c r="AF4489">
        <v>1</v>
      </c>
      <c r="AG4489">
        <v>1</v>
      </c>
      <c r="AH4489">
        <v>0</v>
      </c>
      <c r="AI4489">
        <v>171.33</v>
      </c>
      <c r="AL4489" t="s">
        <v>19614</v>
      </c>
      <c r="AM4489">
        <v>20800</v>
      </c>
      <c r="AS4489">
        <v>1.3</v>
      </c>
      <c r="AT4489" t="s">
        <v>483</v>
      </c>
      <c r="AU4489" t="s">
        <v>108</v>
      </c>
      <c r="AV4489" t="s">
        <v>20733</v>
      </c>
    </row>
    <row r="4490" spans="1:48">
      <c r="A4490" s="1">
        <f>HYPERLINK("https://lsnyc.legalserver.org/matter/dynamic-profile/view/1869473","18-1869473")</f>
        <v>0</v>
      </c>
      <c r="B4490" t="s">
        <v>113</v>
      </c>
      <c r="C4490" t="s">
        <v>256</v>
      </c>
      <c r="D4490" t="s">
        <v>456</v>
      </c>
      <c r="F4490" t="s">
        <v>1173</v>
      </c>
      <c r="G4490" t="s">
        <v>4544</v>
      </c>
      <c r="H4490" t="s">
        <v>7695</v>
      </c>
      <c r="I4490" t="s">
        <v>8197</v>
      </c>
      <c r="J4490" t="s">
        <v>9065</v>
      </c>
      <c r="K4490">
        <v>10459</v>
      </c>
      <c r="L4490" t="s">
        <v>9094</v>
      </c>
      <c r="M4490" t="s">
        <v>9094</v>
      </c>
      <c r="N4490" t="s">
        <v>10741</v>
      </c>
      <c r="O4490" t="s">
        <v>11129</v>
      </c>
      <c r="P4490" t="s">
        <v>11165</v>
      </c>
      <c r="R4490" t="s">
        <v>11180</v>
      </c>
      <c r="S4490" t="s">
        <v>9096</v>
      </c>
      <c r="T4490" t="s">
        <v>11183</v>
      </c>
      <c r="V4490" t="s">
        <v>456</v>
      </c>
      <c r="W4490">
        <v>1200</v>
      </c>
      <c r="X4490" t="s">
        <v>11333</v>
      </c>
      <c r="Y4490" t="s">
        <v>11345</v>
      </c>
      <c r="Z4490" t="s">
        <v>14288</v>
      </c>
      <c r="AA4490" t="s">
        <v>15870</v>
      </c>
      <c r="AB4490" t="s">
        <v>18611</v>
      </c>
      <c r="AC4490">
        <v>69</v>
      </c>
      <c r="AD4490" t="s">
        <v>19566</v>
      </c>
      <c r="AE4490" t="s">
        <v>19588</v>
      </c>
      <c r="AF4490">
        <v>1</v>
      </c>
      <c r="AG4490">
        <v>1</v>
      </c>
      <c r="AH4490">
        <v>0</v>
      </c>
      <c r="AI4490">
        <v>171.33</v>
      </c>
      <c r="AM4490">
        <v>20800</v>
      </c>
      <c r="AS4490">
        <v>20.07</v>
      </c>
      <c r="AT4490" t="s">
        <v>711</v>
      </c>
      <c r="AU4490" t="s">
        <v>20642</v>
      </c>
    </row>
    <row r="4491" spans="1:48">
      <c r="A4491" s="1">
        <f>HYPERLINK("https://lsnyc.legalserver.org/matter/dynamic-profile/view/1866313","18-1866313")</f>
        <v>0</v>
      </c>
      <c r="B4491" t="s">
        <v>111</v>
      </c>
      <c r="C4491" t="s">
        <v>256</v>
      </c>
      <c r="D4491" t="s">
        <v>696</v>
      </c>
      <c r="F4491" t="s">
        <v>1212</v>
      </c>
      <c r="G4491" t="s">
        <v>3338</v>
      </c>
      <c r="H4491" t="s">
        <v>7696</v>
      </c>
      <c r="I4491" t="s">
        <v>8278</v>
      </c>
      <c r="J4491" t="s">
        <v>9065</v>
      </c>
      <c r="K4491">
        <v>10475</v>
      </c>
      <c r="L4491" t="s">
        <v>9094</v>
      </c>
      <c r="M4491" t="s">
        <v>9095</v>
      </c>
      <c r="N4491" t="s">
        <v>10742</v>
      </c>
      <c r="O4491" t="s">
        <v>11129</v>
      </c>
      <c r="P4491" t="s">
        <v>11165</v>
      </c>
      <c r="R4491" t="s">
        <v>11180</v>
      </c>
      <c r="S4491" t="s">
        <v>9096</v>
      </c>
      <c r="T4491" t="s">
        <v>11183</v>
      </c>
      <c r="V4491" t="s">
        <v>272</v>
      </c>
      <c r="W4491">
        <v>736.5</v>
      </c>
      <c r="X4491" t="s">
        <v>11333</v>
      </c>
      <c r="Y4491" t="s">
        <v>11338</v>
      </c>
      <c r="Z4491" t="s">
        <v>14289</v>
      </c>
      <c r="AB4491" t="s">
        <v>18612</v>
      </c>
      <c r="AC4491">
        <v>384</v>
      </c>
      <c r="AD4491" t="s">
        <v>19568</v>
      </c>
      <c r="AE4491" t="s">
        <v>9144</v>
      </c>
      <c r="AF4491">
        <v>33</v>
      </c>
      <c r="AG4491">
        <v>2</v>
      </c>
      <c r="AH4491">
        <v>0</v>
      </c>
      <c r="AI4491">
        <v>171.39</v>
      </c>
      <c r="AL4491" t="s">
        <v>19614</v>
      </c>
      <c r="AM4491">
        <v>28210</v>
      </c>
      <c r="AR4491" t="s">
        <v>20405</v>
      </c>
      <c r="AS4491">
        <v>11.65</v>
      </c>
      <c r="AT4491" t="s">
        <v>774</v>
      </c>
      <c r="AU4491" t="s">
        <v>20642</v>
      </c>
    </row>
    <row r="4492" spans="1:48">
      <c r="A4492" s="1">
        <f>HYPERLINK("https://lsnyc.legalserver.org/matter/dynamic-profile/view/1902194","19-1902194")</f>
        <v>0</v>
      </c>
      <c r="B4492" t="s">
        <v>134</v>
      </c>
      <c r="C4492" t="s">
        <v>257</v>
      </c>
      <c r="D4492" t="s">
        <v>584</v>
      </c>
      <c r="E4492" t="s">
        <v>404</v>
      </c>
      <c r="F4492" t="s">
        <v>1805</v>
      </c>
      <c r="G4492" t="s">
        <v>5114</v>
      </c>
      <c r="H4492" t="s">
        <v>7697</v>
      </c>
      <c r="I4492">
        <v>33</v>
      </c>
      <c r="J4492" t="s">
        <v>9067</v>
      </c>
      <c r="K4492">
        <v>10033</v>
      </c>
      <c r="L4492" t="s">
        <v>9094</v>
      </c>
      <c r="M4492" t="s">
        <v>9095</v>
      </c>
      <c r="O4492" t="s">
        <v>11136</v>
      </c>
      <c r="P4492" t="s">
        <v>11167</v>
      </c>
      <c r="Q4492" t="s">
        <v>11173</v>
      </c>
      <c r="R4492" t="s">
        <v>11180</v>
      </c>
      <c r="S4492" t="s">
        <v>9096</v>
      </c>
      <c r="T4492" t="s">
        <v>11183</v>
      </c>
      <c r="V4492" t="s">
        <v>584</v>
      </c>
      <c r="W4492">
        <v>1548.25</v>
      </c>
      <c r="X4492" t="s">
        <v>11335</v>
      </c>
      <c r="Y4492" t="s">
        <v>11338</v>
      </c>
      <c r="Z4492" t="s">
        <v>14290</v>
      </c>
      <c r="AC4492">
        <v>55</v>
      </c>
      <c r="AD4492" t="s">
        <v>19566</v>
      </c>
      <c r="AE4492" t="s">
        <v>9144</v>
      </c>
      <c r="AF4492">
        <v>12</v>
      </c>
      <c r="AG4492">
        <v>2</v>
      </c>
      <c r="AH4492">
        <v>0</v>
      </c>
      <c r="AI4492">
        <v>171.5</v>
      </c>
      <c r="AL4492" t="s">
        <v>19614</v>
      </c>
      <c r="AM4492">
        <v>29000</v>
      </c>
      <c r="AS4492">
        <v>0.4</v>
      </c>
      <c r="AT4492" t="s">
        <v>268</v>
      </c>
      <c r="AU4492" t="s">
        <v>130</v>
      </c>
      <c r="AV4492" t="s">
        <v>20733</v>
      </c>
    </row>
    <row r="4493" spans="1:48">
      <c r="A4493" s="1">
        <f>HYPERLINK("https://lsnyc.legalserver.org/matter/dynamic-profile/view/1873550","18-1873550")</f>
        <v>0</v>
      </c>
      <c r="B4493" t="s">
        <v>100</v>
      </c>
      <c r="C4493" t="s">
        <v>256</v>
      </c>
      <c r="D4493" t="s">
        <v>870</v>
      </c>
      <c r="F4493" t="s">
        <v>2849</v>
      </c>
      <c r="G4493" t="s">
        <v>4339</v>
      </c>
      <c r="H4493" t="s">
        <v>7698</v>
      </c>
      <c r="I4493" t="s">
        <v>8109</v>
      </c>
      <c r="J4493" t="s">
        <v>9065</v>
      </c>
      <c r="K4493">
        <v>10457</v>
      </c>
      <c r="L4493" t="s">
        <v>9094</v>
      </c>
      <c r="M4493" t="s">
        <v>9094</v>
      </c>
      <c r="N4493" t="s">
        <v>10743</v>
      </c>
      <c r="O4493" t="s">
        <v>11129</v>
      </c>
      <c r="P4493" t="s">
        <v>11165</v>
      </c>
      <c r="R4493" t="s">
        <v>11180</v>
      </c>
      <c r="S4493" t="s">
        <v>9096</v>
      </c>
      <c r="T4493" t="s">
        <v>11183</v>
      </c>
      <c r="U4493" t="s">
        <v>11201</v>
      </c>
      <c r="V4493" t="s">
        <v>11301</v>
      </c>
      <c r="W4493">
        <v>1840</v>
      </c>
      <c r="X4493" t="s">
        <v>11333</v>
      </c>
      <c r="Y4493" t="s">
        <v>11349</v>
      </c>
      <c r="Z4493" t="s">
        <v>14291</v>
      </c>
      <c r="AA4493" t="s">
        <v>15871</v>
      </c>
      <c r="AB4493" t="s">
        <v>18613</v>
      </c>
      <c r="AC4493">
        <v>120</v>
      </c>
      <c r="AD4493" t="s">
        <v>19572</v>
      </c>
      <c r="AE4493" t="s">
        <v>9144</v>
      </c>
      <c r="AF4493">
        <v>2</v>
      </c>
      <c r="AG4493">
        <v>3</v>
      </c>
      <c r="AH4493">
        <v>2</v>
      </c>
      <c r="AI4493">
        <v>171.64</v>
      </c>
      <c r="AL4493" t="s">
        <v>19614</v>
      </c>
      <c r="AM4493">
        <v>50496</v>
      </c>
      <c r="AS4493">
        <v>120.45</v>
      </c>
      <c r="AT4493" t="s">
        <v>594</v>
      </c>
      <c r="AU4493" t="s">
        <v>20728</v>
      </c>
    </row>
    <row r="4494" spans="1:48">
      <c r="A4494" s="1">
        <f>HYPERLINK("https://lsnyc.legalserver.org/matter/dynamic-profile/view/1861191","18-1861191")</f>
        <v>0</v>
      </c>
      <c r="B4494" t="s">
        <v>108</v>
      </c>
      <c r="C4494" t="s">
        <v>256</v>
      </c>
      <c r="D4494" t="s">
        <v>835</v>
      </c>
      <c r="F4494" t="s">
        <v>2414</v>
      </c>
      <c r="G4494" t="s">
        <v>4555</v>
      </c>
      <c r="H4494" t="s">
        <v>7193</v>
      </c>
      <c r="I4494" t="s">
        <v>8446</v>
      </c>
      <c r="J4494" t="s">
        <v>9065</v>
      </c>
      <c r="K4494">
        <v>10453</v>
      </c>
      <c r="L4494" t="s">
        <v>9094</v>
      </c>
      <c r="M4494" t="s">
        <v>9094</v>
      </c>
      <c r="N4494" t="s">
        <v>10744</v>
      </c>
      <c r="O4494" t="s">
        <v>11129</v>
      </c>
      <c r="P4494" t="s">
        <v>11165</v>
      </c>
      <c r="R4494" t="s">
        <v>11180</v>
      </c>
      <c r="T4494" t="s">
        <v>11183</v>
      </c>
      <c r="V4494" t="s">
        <v>795</v>
      </c>
      <c r="W4494">
        <v>1437</v>
      </c>
      <c r="X4494" t="s">
        <v>11333</v>
      </c>
      <c r="Y4494" t="s">
        <v>11340</v>
      </c>
      <c r="Z4494" t="s">
        <v>13421</v>
      </c>
      <c r="AB4494" t="s">
        <v>17758</v>
      </c>
      <c r="AC4494">
        <v>0</v>
      </c>
      <c r="AD4494" t="s">
        <v>19566</v>
      </c>
      <c r="AE4494" t="s">
        <v>19580</v>
      </c>
      <c r="AF4494">
        <v>25</v>
      </c>
      <c r="AG4494">
        <v>1</v>
      </c>
      <c r="AH4494">
        <v>0</v>
      </c>
      <c r="AI4494">
        <v>171.7</v>
      </c>
      <c r="AL4494" t="s">
        <v>19615</v>
      </c>
      <c r="AM4494">
        <v>20844</v>
      </c>
      <c r="AN4494" t="s">
        <v>20028</v>
      </c>
      <c r="AP4494" t="s">
        <v>20329</v>
      </c>
      <c r="AQ4494" t="s">
        <v>20369</v>
      </c>
      <c r="AR4494" t="s">
        <v>20546</v>
      </c>
      <c r="AS4494">
        <v>20.5</v>
      </c>
      <c r="AT4494" t="s">
        <v>377</v>
      </c>
      <c r="AU4494" t="s">
        <v>20672</v>
      </c>
    </row>
    <row r="4495" spans="1:48">
      <c r="A4495" s="1">
        <f>HYPERLINK("https://lsnyc.legalserver.org/matter/dynamic-profile/view/1892505","19-1892505")</f>
        <v>0</v>
      </c>
      <c r="B4495" t="s">
        <v>70</v>
      </c>
      <c r="C4495" t="s">
        <v>256</v>
      </c>
      <c r="D4495" t="s">
        <v>311</v>
      </c>
      <c r="F4495" t="s">
        <v>1150</v>
      </c>
      <c r="G4495" t="s">
        <v>3344</v>
      </c>
      <c r="H4495" t="s">
        <v>5748</v>
      </c>
      <c r="I4495" t="s">
        <v>8291</v>
      </c>
      <c r="J4495" t="s">
        <v>9059</v>
      </c>
      <c r="K4495">
        <v>11233</v>
      </c>
      <c r="L4495" t="s">
        <v>9094</v>
      </c>
      <c r="M4495" t="s">
        <v>9096</v>
      </c>
      <c r="N4495" t="s">
        <v>9145</v>
      </c>
      <c r="O4495" t="s">
        <v>11134</v>
      </c>
      <c r="P4495" t="s">
        <v>11168</v>
      </c>
      <c r="R4495" t="s">
        <v>11180</v>
      </c>
      <c r="S4495" t="s">
        <v>9094</v>
      </c>
      <c r="T4495" t="s">
        <v>11183</v>
      </c>
      <c r="U4495" t="s">
        <v>11201</v>
      </c>
      <c r="V4495" t="s">
        <v>482</v>
      </c>
      <c r="W4495">
        <v>986</v>
      </c>
      <c r="X4495" t="s">
        <v>11332</v>
      </c>
      <c r="Y4495" t="s">
        <v>11157</v>
      </c>
      <c r="Z4495" t="s">
        <v>14292</v>
      </c>
      <c r="AA4495" t="s">
        <v>9171</v>
      </c>
      <c r="AC4495">
        <v>359</v>
      </c>
      <c r="AD4495" t="s">
        <v>19566</v>
      </c>
      <c r="AE4495" t="s">
        <v>9144</v>
      </c>
      <c r="AF4495">
        <v>16</v>
      </c>
      <c r="AG4495">
        <v>2</v>
      </c>
      <c r="AH4495">
        <v>1</v>
      </c>
      <c r="AI4495">
        <v>171.84</v>
      </c>
      <c r="AL4495" t="s">
        <v>19614</v>
      </c>
      <c r="AM4495">
        <v>36653</v>
      </c>
      <c r="AN4495" t="s">
        <v>19885</v>
      </c>
      <c r="AS4495">
        <v>0</v>
      </c>
      <c r="AU4495" t="s">
        <v>79</v>
      </c>
      <c r="AV4495" t="s">
        <v>9144</v>
      </c>
    </row>
    <row r="4496" spans="1:48">
      <c r="A4496" s="1">
        <f>HYPERLINK("https://lsnyc.legalserver.org/matter/dynamic-profile/view/1892508","19-1892508")</f>
        <v>0</v>
      </c>
      <c r="B4496" t="s">
        <v>70</v>
      </c>
      <c r="C4496" t="s">
        <v>256</v>
      </c>
      <c r="D4496" t="s">
        <v>311</v>
      </c>
      <c r="F4496" t="s">
        <v>1150</v>
      </c>
      <c r="G4496" t="s">
        <v>3344</v>
      </c>
      <c r="H4496" t="s">
        <v>5748</v>
      </c>
      <c r="I4496" t="s">
        <v>8291</v>
      </c>
      <c r="J4496" t="s">
        <v>9059</v>
      </c>
      <c r="K4496">
        <v>11233</v>
      </c>
      <c r="L4496" t="s">
        <v>9094</v>
      </c>
      <c r="M4496" t="s">
        <v>9096</v>
      </c>
      <c r="N4496" t="s">
        <v>9144</v>
      </c>
      <c r="O4496" t="s">
        <v>11137</v>
      </c>
      <c r="P4496" t="s">
        <v>11167</v>
      </c>
      <c r="R4496" t="s">
        <v>11180</v>
      </c>
      <c r="S4496" t="s">
        <v>9094</v>
      </c>
      <c r="T4496" t="s">
        <v>11183</v>
      </c>
      <c r="U4496" t="s">
        <v>11201</v>
      </c>
      <c r="V4496" t="s">
        <v>749</v>
      </c>
      <c r="W4496">
        <v>986</v>
      </c>
      <c r="X4496" t="s">
        <v>11332</v>
      </c>
      <c r="Y4496" t="s">
        <v>11157</v>
      </c>
      <c r="Z4496" t="s">
        <v>14292</v>
      </c>
      <c r="AA4496" t="s">
        <v>9171</v>
      </c>
      <c r="AC4496">
        <v>359</v>
      </c>
      <c r="AD4496" t="s">
        <v>19566</v>
      </c>
      <c r="AE4496" t="s">
        <v>9144</v>
      </c>
      <c r="AF4496">
        <v>16</v>
      </c>
      <c r="AG4496">
        <v>2</v>
      </c>
      <c r="AH4496">
        <v>1</v>
      </c>
      <c r="AI4496">
        <v>171.84</v>
      </c>
      <c r="AL4496" t="s">
        <v>19614</v>
      </c>
      <c r="AM4496">
        <v>36653</v>
      </c>
      <c r="AN4496" t="s">
        <v>20029</v>
      </c>
      <c r="AS4496">
        <v>0</v>
      </c>
      <c r="AU4496" t="s">
        <v>79</v>
      </c>
      <c r="AV4496" t="s">
        <v>9144</v>
      </c>
    </row>
    <row r="4497" spans="1:48">
      <c r="A4497" s="1">
        <f>HYPERLINK("https://lsnyc.legalserver.org/matter/dynamic-profile/view/1900602","19-1900602")</f>
        <v>0</v>
      </c>
      <c r="B4497" t="s">
        <v>62</v>
      </c>
      <c r="C4497" t="s">
        <v>256</v>
      </c>
      <c r="D4497" t="s">
        <v>283</v>
      </c>
      <c r="F4497" t="s">
        <v>2850</v>
      </c>
      <c r="G4497" t="s">
        <v>3544</v>
      </c>
      <c r="H4497" t="s">
        <v>7699</v>
      </c>
      <c r="I4497" t="s">
        <v>8858</v>
      </c>
      <c r="J4497" t="s">
        <v>9054</v>
      </c>
      <c r="K4497">
        <v>11368</v>
      </c>
      <c r="L4497" t="s">
        <v>9094</v>
      </c>
      <c r="M4497" t="s">
        <v>9095</v>
      </c>
      <c r="N4497" t="s">
        <v>10745</v>
      </c>
      <c r="O4497" t="s">
        <v>11129</v>
      </c>
      <c r="P4497" t="s">
        <v>11165</v>
      </c>
      <c r="R4497" t="s">
        <v>11180</v>
      </c>
      <c r="S4497" t="s">
        <v>9096</v>
      </c>
      <c r="T4497" t="s">
        <v>11183</v>
      </c>
      <c r="U4497" t="s">
        <v>11203</v>
      </c>
      <c r="V4497" t="s">
        <v>283</v>
      </c>
      <c r="W4497">
        <v>975</v>
      </c>
      <c r="X4497" t="s">
        <v>11331</v>
      </c>
      <c r="Y4497" t="s">
        <v>11336</v>
      </c>
      <c r="Z4497" t="s">
        <v>14293</v>
      </c>
      <c r="AA4497" t="s">
        <v>15872</v>
      </c>
      <c r="AB4497" t="s">
        <v>18614</v>
      </c>
      <c r="AC4497">
        <v>225</v>
      </c>
      <c r="AD4497" t="s">
        <v>19566</v>
      </c>
      <c r="AE4497" t="s">
        <v>11157</v>
      </c>
      <c r="AF4497">
        <v>27</v>
      </c>
      <c r="AG4497">
        <v>1</v>
      </c>
      <c r="AH4497">
        <v>0</v>
      </c>
      <c r="AI4497">
        <v>171.98</v>
      </c>
      <c r="AL4497" t="s">
        <v>19614</v>
      </c>
      <c r="AM4497">
        <v>21480</v>
      </c>
      <c r="AS4497">
        <v>32.4</v>
      </c>
      <c r="AT4497" t="s">
        <v>290</v>
      </c>
      <c r="AU4497" t="s">
        <v>20622</v>
      </c>
      <c r="AV4497" t="s">
        <v>20733</v>
      </c>
    </row>
    <row r="4498" spans="1:48">
      <c r="A4498" s="1">
        <f>HYPERLINK("https://lsnyc.legalserver.org/matter/dynamic-profile/view/1838338","17-1838338")</f>
        <v>0</v>
      </c>
      <c r="B4498" t="s">
        <v>115</v>
      </c>
      <c r="C4498" t="s">
        <v>256</v>
      </c>
      <c r="D4498" t="s">
        <v>1069</v>
      </c>
      <c r="F4498" t="s">
        <v>1450</v>
      </c>
      <c r="G4498" t="s">
        <v>3370</v>
      </c>
      <c r="H4498" t="s">
        <v>7594</v>
      </c>
      <c r="I4498" t="s">
        <v>8217</v>
      </c>
      <c r="J4498" t="s">
        <v>9065</v>
      </c>
      <c r="K4498">
        <v>10453</v>
      </c>
      <c r="L4498" t="s">
        <v>9094</v>
      </c>
      <c r="M4498" t="s">
        <v>9095</v>
      </c>
      <c r="N4498" t="s">
        <v>10746</v>
      </c>
      <c r="O4498" t="s">
        <v>11129</v>
      </c>
      <c r="P4498" t="s">
        <v>11165</v>
      </c>
      <c r="R4498" t="s">
        <v>11180</v>
      </c>
      <c r="S4498" t="s">
        <v>9096</v>
      </c>
      <c r="T4498" t="s">
        <v>11183</v>
      </c>
      <c r="V4498" t="s">
        <v>770</v>
      </c>
      <c r="W4498">
        <v>860.2</v>
      </c>
      <c r="X4498" t="s">
        <v>11333</v>
      </c>
      <c r="Y4498" t="s">
        <v>11344</v>
      </c>
      <c r="Z4498" t="s">
        <v>14094</v>
      </c>
      <c r="AA4498" t="s">
        <v>15843</v>
      </c>
      <c r="AB4498" t="s">
        <v>18418</v>
      </c>
      <c r="AC4498">
        <v>0</v>
      </c>
      <c r="AD4498" t="s">
        <v>19566</v>
      </c>
      <c r="AE4498" t="s">
        <v>19587</v>
      </c>
      <c r="AF4498">
        <v>39</v>
      </c>
      <c r="AG4498">
        <v>4</v>
      </c>
      <c r="AH4498">
        <v>1</v>
      </c>
      <c r="AI4498">
        <v>172.04</v>
      </c>
      <c r="AL4498" t="s">
        <v>19615</v>
      </c>
      <c r="AM4498">
        <v>49512</v>
      </c>
      <c r="AS4498">
        <v>162.65</v>
      </c>
      <c r="AT4498" t="s">
        <v>779</v>
      </c>
      <c r="AU4498" t="s">
        <v>20643</v>
      </c>
    </row>
    <row r="4499" spans="1:48">
      <c r="A4499" s="1">
        <f>HYPERLINK("https://lsnyc.legalserver.org/matter/dynamic-profile/view/1887994","19-1887994")</f>
        <v>0</v>
      </c>
      <c r="B4499" t="s">
        <v>119</v>
      </c>
      <c r="C4499" t="s">
        <v>256</v>
      </c>
      <c r="D4499" t="s">
        <v>443</v>
      </c>
      <c r="F4499" t="s">
        <v>2851</v>
      </c>
      <c r="G4499" t="s">
        <v>3418</v>
      </c>
      <c r="H4499" t="s">
        <v>5880</v>
      </c>
      <c r="I4499" t="s">
        <v>8132</v>
      </c>
      <c r="J4499" t="s">
        <v>9065</v>
      </c>
      <c r="K4499">
        <v>10456</v>
      </c>
      <c r="L4499" t="s">
        <v>9094</v>
      </c>
      <c r="M4499" t="s">
        <v>9094</v>
      </c>
      <c r="O4499" t="s">
        <v>11132</v>
      </c>
      <c r="P4499" t="s">
        <v>11169</v>
      </c>
      <c r="R4499" t="s">
        <v>11180</v>
      </c>
      <c r="S4499" t="s">
        <v>9094</v>
      </c>
      <c r="T4499" t="s">
        <v>11183</v>
      </c>
      <c r="W4499">
        <v>375</v>
      </c>
      <c r="X4499" t="s">
        <v>11333</v>
      </c>
      <c r="Y4499" t="s">
        <v>11347</v>
      </c>
      <c r="AB4499" t="s">
        <v>18615</v>
      </c>
      <c r="AC4499">
        <v>17</v>
      </c>
      <c r="AD4499" t="s">
        <v>19569</v>
      </c>
      <c r="AE4499" t="s">
        <v>9144</v>
      </c>
      <c r="AF4499">
        <v>60</v>
      </c>
      <c r="AG4499">
        <v>3</v>
      </c>
      <c r="AH4499">
        <v>0</v>
      </c>
      <c r="AI4499">
        <v>172.09</v>
      </c>
      <c r="AL4499" t="s">
        <v>19615</v>
      </c>
      <c r="AM4499">
        <v>36707.84</v>
      </c>
      <c r="AS4499">
        <v>1</v>
      </c>
      <c r="AT4499" t="s">
        <v>443</v>
      </c>
      <c r="AU4499" t="s">
        <v>174</v>
      </c>
    </row>
    <row r="4500" spans="1:48">
      <c r="A4500" s="1">
        <f>HYPERLINK("https://lsnyc.legalserver.org/matter/dynamic-profile/view/0823697","17-0823697")</f>
        <v>0</v>
      </c>
      <c r="B4500" t="s">
        <v>100</v>
      </c>
      <c r="C4500" t="s">
        <v>256</v>
      </c>
      <c r="D4500" t="s">
        <v>866</v>
      </c>
      <c r="F4500" t="s">
        <v>1358</v>
      </c>
      <c r="G4500" t="s">
        <v>2008</v>
      </c>
      <c r="H4500" t="s">
        <v>5893</v>
      </c>
      <c r="I4500" t="s">
        <v>8859</v>
      </c>
      <c r="J4500" t="s">
        <v>9065</v>
      </c>
      <c r="K4500">
        <v>10453</v>
      </c>
      <c r="L4500" t="s">
        <v>9094</v>
      </c>
      <c r="M4500" t="s">
        <v>9094</v>
      </c>
      <c r="N4500" t="s">
        <v>10747</v>
      </c>
      <c r="O4500" t="s">
        <v>11128</v>
      </c>
      <c r="P4500" t="s">
        <v>11165</v>
      </c>
      <c r="R4500" t="s">
        <v>11180</v>
      </c>
      <c r="S4500" t="s">
        <v>9096</v>
      </c>
      <c r="T4500" t="s">
        <v>11183</v>
      </c>
      <c r="V4500" t="s">
        <v>862</v>
      </c>
      <c r="W4500">
        <v>222.4</v>
      </c>
      <c r="X4500" t="s">
        <v>11333</v>
      </c>
      <c r="Y4500" t="s">
        <v>11349</v>
      </c>
      <c r="Z4500" t="s">
        <v>14294</v>
      </c>
      <c r="AA4500" t="s">
        <v>15873</v>
      </c>
      <c r="AB4500" t="s">
        <v>18616</v>
      </c>
      <c r="AC4500">
        <v>16</v>
      </c>
      <c r="AD4500" t="s">
        <v>19569</v>
      </c>
      <c r="AE4500" t="s">
        <v>9144</v>
      </c>
      <c r="AF4500">
        <v>48</v>
      </c>
      <c r="AG4500">
        <v>2</v>
      </c>
      <c r="AH4500">
        <v>0</v>
      </c>
      <c r="AI4500">
        <v>172.16</v>
      </c>
      <c r="AL4500" t="s">
        <v>19614</v>
      </c>
      <c r="AM4500">
        <v>27580</v>
      </c>
      <c r="AS4500">
        <v>43.85</v>
      </c>
      <c r="AT4500" t="s">
        <v>663</v>
      </c>
      <c r="AU4500" t="s">
        <v>20660</v>
      </c>
    </row>
    <row r="4501" spans="1:48">
      <c r="A4501" s="1">
        <f>HYPERLINK("https://lsnyc.legalserver.org/matter/dynamic-profile/view/1839153","17-1839153")</f>
        <v>0</v>
      </c>
      <c r="B4501" t="s">
        <v>101</v>
      </c>
      <c r="C4501" t="s">
        <v>256</v>
      </c>
      <c r="D4501" t="s">
        <v>1027</v>
      </c>
      <c r="F4501" t="s">
        <v>1381</v>
      </c>
      <c r="G4501" t="s">
        <v>4045</v>
      </c>
      <c r="H4501" t="s">
        <v>6041</v>
      </c>
      <c r="I4501" t="s">
        <v>8410</v>
      </c>
      <c r="J4501" t="s">
        <v>9065</v>
      </c>
      <c r="K4501">
        <v>10452</v>
      </c>
      <c r="L4501" t="s">
        <v>9094</v>
      </c>
      <c r="M4501" t="s">
        <v>9095</v>
      </c>
      <c r="N4501" t="s">
        <v>9356</v>
      </c>
      <c r="O4501" t="s">
        <v>11135</v>
      </c>
      <c r="P4501" t="s">
        <v>11168</v>
      </c>
      <c r="R4501" t="s">
        <v>11180</v>
      </c>
      <c r="S4501" t="s">
        <v>9094</v>
      </c>
      <c r="T4501" t="s">
        <v>11183</v>
      </c>
      <c r="V4501" t="s">
        <v>770</v>
      </c>
      <c r="W4501">
        <v>818.04</v>
      </c>
      <c r="X4501" t="s">
        <v>11333</v>
      </c>
      <c r="Y4501" t="s">
        <v>11346</v>
      </c>
      <c r="Z4501" t="s">
        <v>14295</v>
      </c>
      <c r="AB4501" t="s">
        <v>18617</v>
      </c>
      <c r="AC4501">
        <v>61</v>
      </c>
      <c r="AD4501" t="s">
        <v>19566</v>
      </c>
      <c r="AE4501" t="s">
        <v>9144</v>
      </c>
      <c r="AF4501">
        <v>41</v>
      </c>
      <c r="AG4501">
        <v>4</v>
      </c>
      <c r="AH4501">
        <v>1</v>
      </c>
      <c r="AI4501">
        <v>172.2</v>
      </c>
      <c r="AL4501" t="s">
        <v>19615</v>
      </c>
      <c r="AM4501">
        <v>79559.07000000001</v>
      </c>
      <c r="AS4501">
        <v>4.7</v>
      </c>
      <c r="AT4501" t="s">
        <v>873</v>
      </c>
      <c r="AU4501" t="s">
        <v>225</v>
      </c>
    </row>
    <row r="4502" spans="1:48">
      <c r="A4502" s="1">
        <f>HYPERLINK("https://lsnyc.legalserver.org/matter/dynamic-profile/view/1853774","17-1853774")</f>
        <v>0</v>
      </c>
      <c r="B4502" t="s">
        <v>101</v>
      </c>
      <c r="C4502" t="s">
        <v>256</v>
      </c>
      <c r="D4502" t="s">
        <v>542</v>
      </c>
      <c r="F4502" t="s">
        <v>1381</v>
      </c>
      <c r="G4502" t="s">
        <v>4045</v>
      </c>
      <c r="H4502" t="s">
        <v>6041</v>
      </c>
      <c r="I4502" t="s">
        <v>8410</v>
      </c>
      <c r="J4502" t="s">
        <v>9065</v>
      </c>
      <c r="K4502">
        <v>10452</v>
      </c>
      <c r="L4502" t="s">
        <v>9094</v>
      </c>
      <c r="M4502" t="s">
        <v>9095</v>
      </c>
      <c r="O4502" t="s">
        <v>11135</v>
      </c>
      <c r="P4502" t="s">
        <v>11168</v>
      </c>
      <c r="R4502" t="s">
        <v>11180</v>
      </c>
      <c r="S4502" t="s">
        <v>9094</v>
      </c>
      <c r="T4502" t="s">
        <v>11183</v>
      </c>
      <c r="V4502" t="s">
        <v>1122</v>
      </c>
      <c r="W4502">
        <v>818.04</v>
      </c>
      <c r="X4502" t="s">
        <v>11333</v>
      </c>
      <c r="Y4502" t="s">
        <v>11346</v>
      </c>
      <c r="Z4502" t="s">
        <v>14295</v>
      </c>
      <c r="AB4502" t="s">
        <v>18617</v>
      </c>
      <c r="AC4502">
        <v>62</v>
      </c>
      <c r="AD4502" t="s">
        <v>19566</v>
      </c>
      <c r="AE4502" t="s">
        <v>9144</v>
      </c>
      <c r="AF4502">
        <v>41</v>
      </c>
      <c r="AG4502">
        <v>4</v>
      </c>
      <c r="AH4502">
        <v>1</v>
      </c>
      <c r="AI4502">
        <v>172.2</v>
      </c>
      <c r="AL4502" t="s">
        <v>19615</v>
      </c>
      <c r="AM4502">
        <v>79559.07000000001</v>
      </c>
      <c r="AS4502">
        <v>5.8</v>
      </c>
      <c r="AT4502" t="s">
        <v>11285</v>
      </c>
      <c r="AU4502" t="s">
        <v>20643</v>
      </c>
    </row>
    <row r="4503" spans="1:48">
      <c r="A4503" s="1">
        <f>HYPERLINK("https://lsnyc.legalserver.org/matter/dynamic-profile/view/1854350","17-1854350")</f>
        <v>0</v>
      </c>
      <c r="B4503" t="s">
        <v>101</v>
      </c>
      <c r="C4503" t="s">
        <v>256</v>
      </c>
      <c r="D4503" t="s">
        <v>1014</v>
      </c>
      <c r="F4503" t="s">
        <v>1381</v>
      </c>
      <c r="G4503" t="s">
        <v>4045</v>
      </c>
      <c r="H4503" t="s">
        <v>6041</v>
      </c>
      <c r="I4503" t="s">
        <v>8410</v>
      </c>
      <c r="J4503" t="s">
        <v>9065</v>
      </c>
      <c r="K4503">
        <v>10452</v>
      </c>
      <c r="L4503" t="s">
        <v>9094</v>
      </c>
      <c r="M4503" t="s">
        <v>9095</v>
      </c>
      <c r="N4503" t="s">
        <v>9496</v>
      </c>
      <c r="O4503" t="s">
        <v>11135</v>
      </c>
      <c r="P4503" t="s">
        <v>11168</v>
      </c>
      <c r="R4503" t="s">
        <v>11180</v>
      </c>
      <c r="S4503" t="s">
        <v>9094</v>
      </c>
      <c r="T4503" t="s">
        <v>11183</v>
      </c>
      <c r="V4503" t="s">
        <v>11223</v>
      </c>
      <c r="W4503">
        <v>818.04</v>
      </c>
      <c r="X4503" t="s">
        <v>11333</v>
      </c>
      <c r="Y4503" t="s">
        <v>11346</v>
      </c>
      <c r="Z4503" t="s">
        <v>14295</v>
      </c>
      <c r="AB4503" t="s">
        <v>18617</v>
      </c>
      <c r="AC4503">
        <v>63</v>
      </c>
      <c r="AD4503" t="s">
        <v>19566</v>
      </c>
      <c r="AE4503" t="s">
        <v>9144</v>
      </c>
      <c r="AF4503">
        <v>41</v>
      </c>
      <c r="AG4503">
        <v>4</v>
      </c>
      <c r="AH4503">
        <v>1</v>
      </c>
      <c r="AI4503">
        <v>172.2</v>
      </c>
      <c r="AL4503" t="s">
        <v>19615</v>
      </c>
      <c r="AM4503">
        <v>79559.07000000001</v>
      </c>
      <c r="AS4503">
        <v>81.5</v>
      </c>
      <c r="AT4503" t="s">
        <v>428</v>
      </c>
      <c r="AU4503" t="s">
        <v>174</v>
      </c>
    </row>
    <row r="4504" spans="1:48">
      <c r="A4504" s="1">
        <f>HYPERLINK("https://lsnyc.legalserver.org/matter/dynamic-profile/view/1912469","19-1912469")</f>
        <v>0</v>
      </c>
      <c r="B4504" t="s">
        <v>52</v>
      </c>
      <c r="C4504" t="s">
        <v>256</v>
      </c>
      <c r="D4504" t="s">
        <v>744</v>
      </c>
      <c r="F4504" t="s">
        <v>1270</v>
      </c>
      <c r="G4504" t="s">
        <v>4939</v>
      </c>
      <c r="H4504" t="s">
        <v>5692</v>
      </c>
      <c r="I4504" t="s">
        <v>8191</v>
      </c>
      <c r="J4504" t="s">
        <v>9038</v>
      </c>
      <c r="K4504">
        <v>11691</v>
      </c>
      <c r="L4504" t="s">
        <v>9094</v>
      </c>
      <c r="M4504" t="s">
        <v>9095</v>
      </c>
      <c r="N4504" t="s">
        <v>9664</v>
      </c>
      <c r="O4504" t="s">
        <v>11130</v>
      </c>
      <c r="P4504" t="s">
        <v>11165</v>
      </c>
      <c r="R4504" t="s">
        <v>11180</v>
      </c>
      <c r="S4504" t="s">
        <v>9096</v>
      </c>
      <c r="T4504" t="s">
        <v>11183</v>
      </c>
      <c r="U4504" t="s">
        <v>11201</v>
      </c>
      <c r="V4504" t="s">
        <v>744</v>
      </c>
      <c r="W4504">
        <v>675</v>
      </c>
      <c r="X4504" t="s">
        <v>11331</v>
      </c>
      <c r="Y4504" t="s">
        <v>11339</v>
      </c>
      <c r="Z4504" t="s">
        <v>13962</v>
      </c>
      <c r="AB4504" t="s">
        <v>18292</v>
      </c>
      <c r="AC4504">
        <v>43</v>
      </c>
      <c r="AD4504" t="s">
        <v>19566</v>
      </c>
      <c r="AE4504" t="s">
        <v>9144</v>
      </c>
      <c r="AF4504">
        <v>5</v>
      </c>
      <c r="AG4504">
        <v>2</v>
      </c>
      <c r="AH4504">
        <v>0</v>
      </c>
      <c r="AI4504">
        <v>172.21</v>
      </c>
      <c r="AL4504" t="s">
        <v>19614</v>
      </c>
      <c r="AM4504">
        <v>29120</v>
      </c>
      <c r="AP4504" t="s">
        <v>11157</v>
      </c>
      <c r="AS4504">
        <v>0.5</v>
      </c>
      <c r="AT4504" t="s">
        <v>744</v>
      </c>
      <c r="AU4504" t="s">
        <v>20620</v>
      </c>
      <c r="AV4504" t="s">
        <v>20733</v>
      </c>
    </row>
    <row r="4505" spans="1:48">
      <c r="A4505" s="1">
        <f>HYPERLINK("https://lsnyc.legalserver.org/matter/dynamic-profile/view/1912457","19-1912457")</f>
        <v>0</v>
      </c>
      <c r="B4505" t="s">
        <v>52</v>
      </c>
      <c r="C4505" t="s">
        <v>256</v>
      </c>
      <c r="D4505" t="s">
        <v>744</v>
      </c>
      <c r="F4505" t="s">
        <v>1270</v>
      </c>
      <c r="G4505" t="s">
        <v>4939</v>
      </c>
      <c r="H4505" t="s">
        <v>5692</v>
      </c>
      <c r="I4505" t="s">
        <v>8191</v>
      </c>
      <c r="J4505" t="s">
        <v>9038</v>
      </c>
      <c r="K4505">
        <v>11691</v>
      </c>
      <c r="L4505" t="s">
        <v>9094</v>
      </c>
      <c r="M4505" t="s">
        <v>9095</v>
      </c>
      <c r="O4505" t="s">
        <v>11129</v>
      </c>
      <c r="P4505" t="s">
        <v>11166</v>
      </c>
      <c r="R4505" t="s">
        <v>11180</v>
      </c>
      <c r="S4505" t="s">
        <v>9094</v>
      </c>
      <c r="T4505" t="s">
        <v>11183</v>
      </c>
      <c r="V4505" t="s">
        <v>744</v>
      </c>
      <c r="W4505">
        <v>675</v>
      </c>
      <c r="X4505" t="s">
        <v>11331</v>
      </c>
      <c r="Y4505" t="s">
        <v>11339</v>
      </c>
      <c r="Z4505" t="s">
        <v>13962</v>
      </c>
      <c r="AB4505" t="s">
        <v>18292</v>
      </c>
      <c r="AC4505">
        <v>43</v>
      </c>
      <c r="AD4505" t="s">
        <v>19566</v>
      </c>
      <c r="AE4505" t="s">
        <v>9144</v>
      </c>
      <c r="AF4505">
        <v>5</v>
      </c>
      <c r="AG4505">
        <v>2</v>
      </c>
      <c r="AH4505">
        <v>0</v>
      </c>
      <c r="AI4505">
        <v>172.21</v>
      </c>
      <c r="AL4505" t="s">
        <v>19614</v>
      </c>
      <c r="AM4505">
        <v>29120</v>
      </c>
      <c r="AS4505">
        <v>0.5</v>
      </c>
      <c r="AT4505" t="s">
        <v>744</v>
      </c>
      <c r="AU4505" t="s">
        <v>20620</v>
      </c>
      <c r="AV4505" t="s">
        <v>20733</v>
      </c>
    </row>
    <row r="4506" spans="1:48">
      <c r="A4506" s="1">
        <f>HYPERLINK("https://lsnyc.legalserver.org/matter/dynamic-profile/view/1907090","19-1907090")</f>
        <v>0</v>
      </c>
      <c r="B4506" t="s">
        <v>98</v>
      </c>
      <c r="C4506" t="s">
        <v>257</v>
      </c>
      <c r="D4506" t="s">
        <v>498</v>
      </c>
      <c r="E4506" t="s">
        <v>574</v>
      </c>
      <c r="F4506" t="s">
        <v>2852</v>
      </c>
      <c r="G4506" t="s">
        <v>5115</v>
      </c>
      <c r="H4506" t="s">
        <v>7700</v>
      </c>
      <c r="I4506" t="s">
        <v>8119</v>
      </c>
      <c r="J4506" t="s">
        <v>9065</v>
      </c>
      <c r="K4506">
        <v>10468</v>
      </c>
      <c r="L4506" t="s">
        <v>9096</v>
      </c>
      <c r="M4506" t="s">
        <v>9095</v>
      </c>
      <c r="O4506" t="s">
        <v>11128</v>
      </c>
      <c r="P4506" t="s">
        <v>11164</v>
      </c>
      <c r="Q4506" t="s">
        <v>11172</v>
      </c>
      <c r="R4506" t="s">
        <v>11180</v>
      </c>
      <c r="S4506" t="s">
        <v>9096</v>
      </c>
      <c r="T4506" t="s">
        <v>11183</v>
      </c>
      <c r="U4506" t="s">
        <v>11201</v>
      </c>
      <c r="W4506">
        <v>978.29</v>
      </c>
      <c r="X4506" t="s">
        <v>11333</v>
      </c>
      <c r="Y4506" t="s">
        <v>11346</v>
      </c>
      <c r="Z4506" t="s">
        <v>13008</v>
      </c>
      <c r="AB4506" t="s">
        <v>18618</v>
      </c>
      <c r="AC4506">
        <v>62</v>
      </c>
      <c r="AD4506" t="s">
        <v>15441</v>
      </c>
      <c r="AE4506" t="s">
        <v>9144</v>
      </c>
      <c r="AF4506">
        <v>21</v>
      </c>
      <c r="AG4506">
        <v>2</v>
      </c>
      <c r="AH4506">
        <v>0</v>
      </c>
      <c r="AI4506">
        <v>172.21</v>
      </c>
      <c r="AL4506" t="s">
        <v>19615</v>
      </c>
      <c r="AM4506">
        <v>29120</v>
      </c>
      <c r="AS4506">
        <v>1</v>
      </c>
      <c r="AT4506" t="s">
        <v>574</v>
      </c>
      <c r="AU4506" t="s">
        <v>220</v>
      </c>
    </row>
    <row r="4507" spans="1:48">
      <c r="A4507" s="1">
        <f>HYPERLINK("https://lsnyc.legalserver.org/matter/dynamic-profile/view/1906076","19-1906076")</f>
        <v>0</v>
      </c>
      <c r="B4507" t="s">
        <v>138</v>
      </c>
      <c r="C4507" t="s">
        <v>256</v>
      </c>
      <c r="D4507" t="s">
        <v>330</v>
      </c>
      <c r="F4507" t="s">
        <v>1346</v>
      </c>
      <c r="G4507" t="s">
        <v>3419</v>
      </c>
      <c r="H4507" t="s">
        <v>6093</v>
      </c>
      <c r="I4507">
        <v>54</v>
      </c>
      <c r="J4507" t="s">
        <v>9067</v>
      </c>
      <c r="K4507">
        <v>10034</v>
      </c>
      <c r="L4507" t="s">
        <v>9094</v>
      </c>
      <c r="M4507" t="s">
        <v>9095</v>
      </c>
      <c r="O4507" t="s">
        <v>11130</v>
      </c>
      <c r="P4507" t="s">
        <v>11164</v>
      </c>
      <c r="R4507" t="s">
        <v>11180</v>
      </c>
      <c r="S4507" t="s">
        <v>9096</v>
      </c>
      <c r="T4507" t="s">
        <v>11183</v>
      </c>
      <c r="V4507" t="s">
        <v>11302</v>
      </c>
      <c r="W4507">
        <v>2448.74</v>
      </c>
      <c r="X4507" t="s">
        <v>11335</v>
      </c>
      <c r="Y4507" t="s">
        <v>11338</v>
      </c>
      <c r="Z4507" t="s">
        <v>14296</v>
      </c>
      <c r="AB4507" t="s">
        <v>18619</v>
      </c>
      <c r="AC4507">
        <v>25</v>
      </c>
      <c r="AD4507" t="s">
        <v>19566</v>
      </c>
      <c r="AE4507" t="s">
        <v>9144</v>
      </c>
      <c r="AF4507">
        <v>9</v>
      </c>
      <c r="AG4507">
        <v>2</v>
      </c>
      <c r="AH4507">
        <v>3</v>
      </c>
      <c r="AI4507">
        <v>172.36</v>
      </c>
      <c r="AL4507" t="s">
        <v>19615</v>
      </c>
      <c r="AM4507">
        <v>52000</v>
      </c>
      <c r="AS4507">
        <v>1.2</v>
      </c>
      <c r="AT4507" t="s">
        <v>330</v>
      </c>
      <c r="AU4507" t="s">
        <v>130</v>
      </c>
      <c r="AV4507" t="s">
        <v>20733</v>
      </c>
    </row>
    <row r="4508" spans="1:48">
      <c r="A4508" s="1">
        <f>HYPERLINK("https://lsnyc.legalserver.org/matter/dynamic-profile/view/0831668","17-0831668")</f>
        <v>0</v>
      </c>
      <c r="B4508" t="s">
        <v>135</v>
      </c>
      <c r="C4508" t="s">
        <v>257</v>
      </c>
      <c r="D4508" t="s">
        <v>1070</v>
      </c>
      <c r="E4508" t="s">
        <v>1130</v>
      </c>
      <c r="F4508" t="s">
        <v>1206</v>
      </c>
      <c r="G4508" t="s">
        <v>5116</v>
      </c>
      <c r="H4508" t="s">
        <v>5991</v>
      </c>
      <c r="I4508" t="s">
        <v>8279</v>
      </c>
      <c r="J4508" t="s">
        <v>9067</v>
      </c>
      <c r="K4508">
        <v>10035</v>
      </c>
      <c r="L4508" t="s">
        <v>9094</v>
      </c>
      <c r="M4508" t="s">
        <v>9095</v>
      </c>
      <c r="O4508" t="s">
        <v>9121</v>
      </c>
      <c r="P4508" t="s">
        <v>11166</v>
      </c>
      <c r="Q4508" t="s">
        <v>11175</v>
      </c>
      <c r="R4508" t="s">
        <v>11180</v>
      </c>
      <c r="S4508" t="s">
        <v>9096</v>
      </c>
      <c r="T4508" t="s">
        <v>11183</v>
      </c>
      <c r="V4508" t="s">
        <v>1070</v>
      </c>
      <c r="W4508">
        <v>1550</v>
      </c>
      <c r="X4508" t="s">
        <v>11335</v>
      </c>
      <c r="Y4508" t="s">
        <v>11338</v>
      </c>
      <c r="Z4508" t="s">
        <v>14297</v>
      </c>
      <c r="AB4508" t="s">
        <v>18620</v>
      </c>
      <c r="AC4508">
        <v>35</v>
      </c>
      <c r="AD4508" t="s">
        <v>19566</v>
      </c>
      <c r="AE4508" t="s">
        <v>9144</v>
      </c>
      <c r="AF4508">
        <v>5</v>
      </c>
      <c r="AG4508">
        <v>2</v>
      </c>
      <c r="AH4508">
        <v>0</v>
      </c>
      <c r="AI4508">
        <v>172.41</v>
      </c>
      <c r="AL4508" t="s">
        <v>19614</v>
      </c>
      <c r="AM4508">
        <v>28000</v>
      </c>
      <c r="AS4508">
        <v>176</v>
      </c>
      <c r="AT4508" t="s">
        <v>362</v>
      </c>
      <c r="AU4508" t="s">
        <v>20710</v>
      </c>
    </row>
    <row r="4509" spans="1:48">
      <c r="A4509" s="1">
        <f>HYPERLINK("https://lsnyc.legalserver.org/matter/dynamic-profile/view/0832892","17-0832892")</f>
        <v>0</v>
      </c>
      <c r="B4509" t="s">
        <v>149</v>
      </c>
      <c r="C4509" t="s">
        <v>257</v>
      </c>
      <c r="D4509" t="s">
        <v>1060</v>
      </c>
      <c r="E4509" t="s">
        <v>457</v>
      </c>
      <c r="F4509" t="s">
        <v>2853</v>
      </c>
      <c r="G4509" t="s">
        <v>3419</v>
      </c>
      <c r="H4509" t="s">
        <v>7701</v>
      </c>
      <c r="I4509" t="s">
        <v>8218</v>
      </c>
      <c r="J4509" t="s">
        <v>9067</v>
      </c>
      <c r="K4509">
        <v>10029</v>
      </c>
      <c r="L4509" t="s">
        <v>9094</v>
      </c>
      <c r="M4509" t="s">
        <v>9095</v>
      </c>
      <c r="N4509" t="s">
        <v>10748</v>
      </c>
      <c r="O4509" t="s">
        <v>11129</v>
      </c>
      <c r="P4509" t="s">
        <v>11165</v>
      </c>
      <c r="Q4509" t="s">
        <v>11174</v>
      </c>
      <c r="R4509" t="s">
        <v>11180</v>
      </c>
      <c r="S4509" t="s">
        <v>9096</v>
      </c>
      <c r="T4509" t="s">
        <v>11183</v>
      </c>
      <c r="V4509" t="s">
        <v>11219</v>
      </c>
      <c r="W4509">
        <v>641</v>
      </c>
      <c r="X4509" t="s">
        <v>11335</v>
      </c>
      <c r="Y4509" t="s">
        <v>11338</v>
      </c>
      <c r="Z4509" t="s">
        <v>14298</v>
      </c>
      <c r="AB4509" t="s">
        <v>18621</v>
      </c>
      <c r="AC4509">
        <v>92</v>
      </c>
      <c r="AD4509" t="s">
        <v>19566</v>
      </c>
      <c r="AE4509" t="s">
        <v>9144</v>
      </c>
      <c r="AF4509">
        <v>7</v>
      </c>
      <c r="AG4509">
        <v>2</v>
      </c>
      <c r="AH4509">
        <v>0</v>
      </c>
      <c r="AI4509">
        <v>172.41</v>
      </c>
      <c r="AL4509" t="s">
        <v>19615</v>
      </c>
      <c r="AM4509">
        <v>28000</v>
      </c>
      <c r="AS4509">
        <v>34.6</v>
      </c>
      <c r="AT4509" t="s">
        <v>265</v>
      </c>
      <c r="AU4509" t="s">
        <v>20657</v>
      </c>
      <c r="AV4509" t="s">
        <v>20733</v>
      </c>
    </row>
    <row r="4510" spans="1:48">
      <c r="A4510" s="1">
        <f>HYPERLINK("https://lsnyc.legalserver.org/matter/dynamic-profile/view/0829999","17-0829999")</f>
        <v>0</v>
      </c>
      <c r="B4510" t="s">
        <v>148</v>
      </c>
      <c r="C4510" t="s">
        <v>256</v>
      </c>
      <c r="D4510" t="s">
        <v>981</v>
      </c>
      <c r="F4510" t="s">
        <v>2854</v>
      </c>
      <c r="G4510" t="s">
        <v>5117</v>
      </c>
      <c r="H4510" t="s">
        <v>7702</v>
      </c>
      <c r="I4510" t="s">
        <v>8860</v>
      </c>
      <c r="J4510" t="s">
        <v>9067</v>
      </c>
      <c r="K4510">
        <v>10029</v>
      </c>
      <c r="L4510" t="s">
        <v>9094</v>
      </c>
      <c r="M4510" t="s">
        <v>9095</v>
      </c>
      <c r="N4510" t="s">
        <v>10749</v>
      </c>
      <c r="O4510" t="s">
        <v>11128</v>
      </c>
      <c r="P4510" t="s">
        <v>11165</v>
      </c>
      <c r="R4510" t="s">
        <v>11180</v>
      </c>
      <c r="S4510" t="s">
        <v>9096</v>
      </c>
      <c r="T4510" t="s">
        <v>11183</v>
      </c>
      <c r="V4510" t="s">
        <v>896</v>
      </c>
      <c r="W4510">
        <v>682</v>
      </c>
      <c r="X4510" t="s">
        <v>11335</v>
      </c>
      <c r="Y4510" t="s">
        <v>11157</v>
      </c>
      <c r="Z4510" t="s">
        <v>11585</v>
      </c>
      <c r="AB4510" t="s">
        <v>18622</v>
      </c>
      <c r="AC4510">
        <v>18</v>
      </c>
      <c r="AD4510" t="s">
        <v>19566</v>
      </c>
      <c r="AE4510" t="s">
        <v>9144</v>
      </c>
      <c r="AF4510">
        <v>12</v>
      </c>
      <c r="AG4510">
        <v>1</v>
      </c>
      <c r="AH4510">
        <v>0</v>
      </c>
      <c r="AI4510">
        <v>172.47</v>
      </c>
      <c r="AL4510" t="s">
        <v>19614</v>
      </c>
      <c r="AM4510">
        <v>20800</v>
      </c>
      <c r="AS4510">
        <v>34.1</v>
      </c>
      <c r="AT4510" t="s">
        <v>328</v>
      </c>
      <c r="AU4510" t="s">
        <v>222</v>
      </c>
    </row>
    <row r="4511" spans="1:48">
      <c r="A4511" s="1">
        <f>HYPERLINK("https://lsnyc.legalserver.org/matter/dynamic-profile/view/1908592","19-1908592")</f>
        <v>0</v>
      </c>
      <c r="B4511" t="s">
        <v>173</v>
      </c>
      <c r="C4511" t="s">
        <v>256</v>
      </c>
      <c r="D4511" t="s">
        <v>574</v>
      </c>
      <c r="F4511" t="s">
        <v>1144</v>
      </c>
      <c r="G4511" t="s">
        <v>3220</v>
      </c>
      <c r="H4511" t="s">
        <v>7703</v>
      </c>
      <c r="I4511" t="s">
        <v>8164</v>
      </c>
      <c r="J4511" t="s">
        <v>9093</v>
      </c>
      <c r="K4511">
        <v>11375</v>
      </c>
      <c r="L4511" t="s">
        <v>9094</v>
      </c>
      <c r="M4511" t="s">
        <v>9095</v>
      </c>
      <c r="N4511" t="s">
        <v>10750</v>
      </c>
      <c r="O4511" t="s">
        <v>11129</v>
      </c>
      <c r="P4511" t="s">
        <v>11165</v>
      </c>
      <c r="R4511" t="s">
        <v>11180</v>
      </c>
      <c r="S4511" t="s">
        <v>9096</v>
      </c>
      <c r="T4511" t="s">
        <v>11183</v>
      </c>
      <c r="U4511" t="s">
        <v>11201</v>
      </c>
      <c r="V4511" t="s">
        <v>574</v>
      </c>
      <c r="W4511">
        <v>1413.52</v>
      </c>
      <c r="X4511" t="s">
        <v>11331</v>
      </c>
      <c r="Y4511" t="s">
        <v>11336</v>
      </c>
      <c r="Z4511" t="s">
        <v>14299</v>
      </c>
      <c r="AA4511" t="s">
        <v>15874</v>
      </c>
      <c r="AB4511" t="s">
        <v>18623</v>
      </c>
      <c r="AC4511">
        <v>40</v>
      </c>
      <c r="AD4511" t="s">
        <v>15441</v>
      </c>
      <c r="AE4511" t="s">
        <v>9144</v>
      </c>
      <c r="AF4511">
        <v>15</v>
      </c>
      <c r="AG4511">
        <v>3</v>
      </c>
      <c r="AH4511">
        <v>0</v>
      </c>
      <c r="AI4511">
        <v>172.53</v>
      </c>
      <c r="AL4511" t="s">
        <v>19614</v>
      </c>
      <c r="AM4511">
        <v>36800</v>
      </c>
      <c r="AP4511" t="s">
        <v>11157</v>
      </c>
      <c r="AS4511">
        <v>30.06</v>
      </c>
      <c r="AT4511" t="s">
        <v>612</v>
      </c>
      <c r="AU4511" t="s">
        <v>20620</v>
      </c>
      <c r="AV4511" t="s">
        <v>20733</v>
      </c>
    </row>
    <row r="4512" spans="1:48">
      <c r="A4512" s="1">
        <f>HYPERLINK("https://lsnyc.legalserver.org/matter/dynamic-profile/view/1909766","19-1909766")</f>
        <v>0</v>
      </c>
      <c r="B4512" t="s">
        <v>122</v>
      </c>
      <c r="C4512" t="s">
        <v>256</v>
      </c>
      <c r="D4512" t="s">
        <v>992</v>
      </c>
      <c r="F4512" t="s">
        <v>2361</v>
      </c>
      <c r="G4512" t="s">
        <v>3473</v>
      </c>
      <c r="H4512" t="s">
        <v>6090</v>
      </c>
      <c r="I4512" t="s">
        <v>8861</v>
      </c>
      <c r="J4512" t="s">
        <v>9066</v>
      </c>
      <c r="K4512">
        <v>10304</v>
      </c>
      <c r="L4512" t="s">
        <v>9094</v>
      </c>
      <c r="M4512" t="s">
        <v>9095</v>
      </c>
      <c r="N4512" t="s">
        <v>9154</v>
      </c>
      <c r="O4512" t="s">
        <v>9121</v>
      </c>
      <c r="P4512" t="s">
        <v>11164</v>
      </c>
      <c r="R4512" t="s">
        <v>11180</v>
      </c>
      <c r="S4512" t="s">
        <v>9096</v>
      </c>
      <c r="T4512" t="s">
        <v>11183</v>
      </c>
      <c r="U4512" t="s">
        <v>11201</v>
      </c>
      <c r="V4512" t="s">
        <v>992</v>
      </c>
      <c r="W4512">
        <v>694</v>
      </c>
      <c r="X4512" t="s">
        <v>11334</v>
      </c>
      <c r="Y4512" t="s">
        <v>11342</v>
      </c>
      <c r="Z4512" t="s">
        <v>14300</v>
      </c>
      <c r="AB4512" t="s">
        <v>18624</v>
      </c>
      <c r="AC4512">
        <v>150</v>
      </c>
      <c r="AD4512" t="s">
        <v>19567</v>
      </c>
      <c r="AE4512" t="s">
        <v>19580</v>
      </c>
      <c r="AF4512">
        <v>4</v>
      </c>
      <c r="AG4512">
        <v>1</v>
      </c>
      <c r="AH4512">
        <v>0</v>
      </c>
      <c r="AI4512">
        <v>172.55</v>
      </c>
      <c r="AL4512" t="s">
        <v>19614</v>
      </c>
      <c r="AM4512">
        <v>21552</v>
      </c>
      <c r="AS4512">
        <v>1.8</v>
      </c>
      <c r="AT4512" t="s">
        <v>331</v>
      </c>
      <c r="AU4512" t="s">
        <v>20653</v>
      </c>
      <c r="AV4512" t="s">
        <v>20733</v>
      </c>
    </row>
    <row r="4513" spans="1:48">
      <c r="A4513" s="1">
        <f>HYPERLINK("https://lsnyc.legalserver.org/matter/dynamic-profile/view/1879944","18-1879944")</f>
        <v>0</v>
      </c>
      <c r="B4513" t="s">
        <v>71</v>
      </c>
      <c r="C4513" t="s">
        <v>256</v>
      </c>
      <c r="D4513" t="s">
        <v>452</v>
      </c>
      <c r="F4513" t="s">
        <v>2593</v>
      </c>
      <c r="G4513" t="s">
        <v>5118</v>
      </c>
      <c r="H4513" t="s">
        <v>7704</v>
      </c>
      <c r="I4513" t="s">
        <v>8112</v>
      </c>
      <c r="J4513" t="s">
        <v>9059</v>
      </c>
      <c r="K4513">
        <v>11213</v>
      </c>
      <c r="L4513" t="s">
        <v>9094</v>
      </c>
      <c r="M4513" t="s">
        <v>9094</v>
      </c>
      <c r="N4513" t="s">
        <v>10751</v>
      </c>
      <c r="O4513" t="s">
        <v>11136</v>
      </c>
      <c r="P4513" t="s">
        <v>11165</v>
      </c>
      <c r="R4513" t="s">
        <v>11180</v>
      </c>
      <c r="S4513" t="s">
        <v>9094</v>
      </c>
      <c r="T4513" t="s">
        <v>11183</v>
      </c>
      <c r="U4513" t="s">
        <v>11201</v>
      </c>
      <c r="V4513" t="s">
        <v>452</v>
      </c>
      <c r="W4513">
        <v>575</v>
      </c>
      <c r="X4513" t="s">
        <v>11332</v>
      </c>
      <c r="Y4513" t="s">
        <v>11157</v>
      </c>
      <c r="Z4513" t="s">
        <v>14301</v>
      </c>
      <c r="AC4513">
        <v>6</v>
      </c>
      <c r="AD4513" t="s">
        <v>19566</v>
      </c>
      <c r="AE4513" t="s">
        <v>9144</v>
      </c>
      <c r="AF4513">
        <v>22</v>
      </c>
      <c r="AG4513">
        <v>1</v>
      </c>
      <c r="AH4513">
        <v>0</v>
      </c>
      <c r="AI4513">
        <v>172.59</v>
      </c>
      <c r="AL4513" t="s">
        <v>19614</v>
      </c>
      <c r="AM4513">
        <v>20952</v>
      </c>
      <c r="AS4513">
        <v>50.2</v>
      </c>
      <c r="AT4513" t="s">
        <v>476</v>
      </c>
      <c r="AU4513" t="s">
        <v>71</v>
      </c>
    </row>
    <row r="4514" spans="1:48">
      <c r="A4514" s="1">
        <f>HYPERLINK("https://lsnyc.legalserver.org/matter/dynamic-profile/view/1882209","18-1882209")</f>
        <v>0</v>
      </c>
      <c r="B4514" t="s">
        <v>92</v>
      </c>
      <c r="C4514" t="s">
        <v>256</v>
      </c>
      <c r="D4514" t="s">
        <v>697</v>
      </c>
      <c r="F4514" t="s">
        <v>2855</v>
      </c>
      <c r="G4514" t="s">
        <v>5119</v>
      </c>
      <c r="H4514" t="s">
        <v>6919</v>
      </c>
      <c r="I4514" t="s">
        <v>8154</v>
      </c>
      <c r="J4514" t="s">
        <v>9059</v>
      </c>
      <c r="K4514">
        <v>11233</v>
      </c>
      <c r="L4514" t="s">
        <v>9094</v>
      </c>
      <c r="M4514" t="s">
        <v>9096</v>
      </c>
      <c r="O4514" t="s">
        <v>11137</v>
      </c>
      <c r="P4514" t="s">
        <v>11167</v>
      </c>
      <c r="R4514" t="s">
        <v>11180</v>
      </c>
      <c r="S4514" t="s">
        <v>9094</v>
      </c>
      <c r="T4514" t="s">
        <v>11183</v>
      </c>
      <c r="U4514" t="s">
        <v>11201</v>
      </c>
      <c r="V4514" t="s">
        <v>11303</v>
      </c>
      <c r="W4514">
        <v>1500</v>
      </c>
      <c r="X4514" t="s">
        <v>11332</v>
      </c>
      <c r="Y4514" t="s">
        <v>11340</v>
      </c>
      <c r="Z4514" t="s">
        <v>14302</v>
      </c>
      <c r="AB4514" t="s">
        <v>18625</v>
      </c>
      <c r="AC4514">
        <v>6</v>
      </c>
      <c r="AD4514" t="s">
        <v>19566</v>
      </c>
      <c r="AF4514">
        <v>1</v>
      </c>
      <c r="AG4514">
        <v>1</v>
      </c>
      <c r="AH4514">
        <v>1</v>
      </c>
      <c r="AI4514">
        <v>172.67</v>
      </c>
      <c r="AL4514" t="s">
        <v>19614</v>
      </c>
      <c r="AM4514">
        <v>28422.12</v>
      </c>
      <c r="AN4514" t="s">
        <v>20030</v>
      </c>
      <c r="AS4514">
        <v>1</v>
      </c>
      <c r="AT4514" t="s">
        <v>612</v>
      </c>
      <c r="AU4514" t="s">
        <v>95</v>
      </c>
    </row>
    <row r="4515" spans="1:48">
      <c r="A4515" s="1">
        <f>HYPERLINK("https://lsnyc.legalserver.org/matter/dynamic-profile/view/1875703","18-1875703")</f>
        <v>0</v>
      </c>
      <c r="B4515" t="s">
        <v>50</v>
      </c>
      <c r="C4515" t="s">
        <v>256</v>
      </c>
      <c r="D4515" t="s">
        <v>742</v>
      </c>
      <c r="F4515" t="s">
        <v>2856</v>
      </c>
      <c r="G4515" t="s">
        <v>5120</v>
      </c>
      <c r="H4515" t="s">
        <v>7705</v>
      </c>
      <c r="I4515" t="s">
        <v>8112</v>
      </c>
      <c r="J4515" t="s">
        <v>9038</v>
      </c>
      <c r="K4515">
        <v>11691</v>
      </c>
      <c r="L4515" t="s">
        <v>9094</v>
      </c>
      <c r="M4515" t="s">
        <v>9094</v>
      </c>
      <c r="N4515" t="s">
        <v>10752</v>
      </c>
      <c r="O4515" t="s">
        <v>11129</v>
      </c>
      <c r="P4515" t="s">
        <v>11164</v>
      </c>
      <c r="R4515" t="s">
        <v>11180</v>
      </c>
      <c r="S4515" t="s">
        <v>9096</v>
      </c>
      <c r="T4515" t="s">
        <v>11183</v>
      </c>
      <c r="U4515" t="s">
        <v>11201</v>
      </c>
      <c r="V4515" t="s">
        <v>742</v>
      </c>
      <c r="W4515">
        <v>1461</v>
      </c>
      <c r="X4515" t="s">
        <v>11331</v>
      </c>
      <c r="Y4515" t="s">
        <v>11336</v>
      </c>
      <c r="Z4515" t="s">
        <v>14303</v>
      </c>
      <c r="AA4515" t="s">
        <v>15875</v>
      </c>
      <c r="AB4515" t="s">
        <v>18626</v>
      </c>
      <c r="AC4515">
        <v>60</v>
      </c>
      <c r="AD4515" t="s">
        <v>19566</v>
      </c>
      <c r="AE4515" t="s">
        <v>9144</v>
      </c>
      <c r="AF4515">
        <v>6</v>
      </c>
      <c r="AG4515">
        <v>3</v>
      </c>
      <c r="AH4515">
        <v>0</v>
      </c>
      <c r="AI4515">
        <v>172.72</v>
      </c>
      <c r="AL4515" t="s">
        <v>19614</v>
      </c>
      <c r="AM4515">
        <v>35892</v>
      </c>
      <c r="AS4515">
        <v>1.45</v>
      </c>
      <c r="AT4515" t="s">
        <v>779</v>
      </c>
      <c r="AU4515" t="s">
        <v>153</v>
      </c>
    </row>
    <row r="4516" spans="1:48">
      <c r="A4516" s="1">
        <f>HYPERLINK("https://lsnyc.legalserver.org/matter/dynamic-profile/view/0820614","16-0820614")</f>
        <v>0</v>
      </c>
      <c r="B4516" t="s">
        <v>101</v>
      </c>
      <c r="C4516" t="s">
        <v>256</v>
      </c>
      <c r="D4516" t="s">
        <v>461</v>
      </c>
      <c r="F4516" t="s">
        <v>2530</v>
      </c>
      <c r="G4516" t="s">
        <v>2681</v>
      </c>
      <c r="H4516" t="s">
        <v>5898</v>
      </c>
      <c r="I4516" t="s">
        <v>8862</v>
      </c>
      <c r="J4516" t="s">
        <v>9065</v>
      </c>
      <c r="K4516">
        <v>10452</v>
      </c>
      <c r="L4516" t="s">
        <v>9094</v>
      </c>
      <c r="M4516" t="s">
        <v>9095</v>
      </c>
      <c r="O4516" t="s">
        <v>11132</v>
      </c>
      <c r="P4516" t="s">
        <v>11165</v>
      </c>
      <c r="R4516" t="s">
        <v>11180</v>
      </c>
      <c r="S4516" t="s">
        <v>9094</v>
      </c>
      <c r="T4516" t="s">
        <v>11183</v>
      </c>
      <c r="V4516" t="s">
        <v>11225</v>
      </c>
      <c r="W4516">
        <v>486</v>
      </c>
      <c r="X4516" t="s">
        <v>11333</v>
      </c>
      <c r="Y4516" t="s">
        <v>11338</v>
      </c>
      <c r="Z4516" t="s">
        <v>13786</v>
      </c>
      <c r="AB4516" t="s">
        <v>18627</v>
      </c>
      <c r="AC4516">
        <v>130</v>
      </c>
      <c r="AD4516" t="s">
        <v>19566</v>
      </c>
      <c r="AE4516" t="s">
        <v>19580</v>
      </c>
      <c r="AF4516">
        <v>6</v>
      </c>
      <c r="AG4516">
        <v>1</v>
      </c>
      <c r="AH4516">
        <v>0</v>
      </c>
      <c r="AI4516">
        <v>172.75</v>
      </c>
      <c r="AL4516" t="s">
        <v>19615</v>
      </c>
      <c r="AM4516">
        <v>20522.4</v>
      </c>
      <c r="AS4516">
        <v>21.2</v>
      </c>
      <c r="AT4516" t="s">
        <v>361</v>
      </c>
      <c r="AU4516" t="s">
        <v>20643</v>
      </c>
    </row>
    <row r="4517" spans="1:48">
      <c r="A4517" s="1">
        <f>HYPERLINK("https://lsnyc.legalserver.org/matter/dynamic-profile/view/1852367","17-1852367")</f>
        <v>0</v>
      </c>
      <c r="B4517" t="s">
        <v>103</v>
      </c>
      <c r="C4517" t="s">
        <v>256</v>
      </c>
      <c r="D4517" t="s">
        <v>924</v>
      </c>
      <c r="F4517" t="s">
        <v>1318</v>
      </c>
      <c r="G4517" t="s">
        <v>3593</v>
      </c>
      <c r="H4517" t="s">
        <v>6413</v>
      </c>
      <c r="I4517" t="s">
        <v>8419</v>
      </c>
      <c r="J4517" t="s">
        <v>9065</v>
      </c>
      <c r="K4517">
        <v>10456</v>
      </c>
      <c r="L4517" t="s">
        <v>9094</v>
      </c>
      <c r="M4517" t="s">
        <v>9095</v>
      </c>
      <c r="N4517" t="s">
        <v>9740</v>
      </c>
      <c r="O4517" t="s">
        <v>11135</v>
      </c>
      <c r="P4517" t="s">
        <v>11168</v>
      </c>
      <c r="R4517" t="s">
        <v>11180</v>
      </c>
      <c r="S4517" t="s">
        <v>9094</v>
      </c>
      <c r="T4517" t="s">
        <v>11183</v>
      </c>
      <c r="V4517" t="s">
        <v>924</v>
      </c>
      <c r="W4517">
        <v>1573</v>
      </c>
      <c r="X4517" t="s">
        <v>11333</v>
      </c>
      <c r="Y4517" t="s">
        <v>11346</v>
      </c>
      <c r="Z4517" t="s">
        <v>13721</v>
      </c>
      <c r="AB4517" t="s">
        <v>18047</v>
      </c>
      <c r="AC4517">
        <v>61</v>
      </c>
      <c r="AD4517" t="s">
        <v>19566</v>
      </c>
      <c r="AE4517" t="s">
        <v>9144</v>
      </c>
      <c r="AF4517">
        <v>5</v>
      </c>
      <c r="AG4517">
        <v>4</v>
      </c>
      <c r="AH4517">
        <v>1</v>
      </c>
      <c r="AI4517">
        <v>172.87</v>
      </c>
      <c r="AJ4517" t="s">
        <v>19597</v>
      </c>
      <c r="AL4517" t="s">
        <v>19615</v>
      </c>
      <c r="AM4517">
        <v>49752</v>
      </c>
      <c r="AS4517">
        <v>0.75</v>
      </c>
      <c r="AT4517" t="s">
        <v>734</v>
      </c>
      <c r="AU4517" t="s">
        <v>20642</v>
      </c>
    </row>
    <row r="4518" spans="1:48">
      <c r="A4518" s="1">
        <f>HYPERLINK("https://lsnyc.legalserver.org/matter/dynamic-profile/view/1895258","19-1895258")</f>
        <v>0</v>
      </c>
      <c r="B4518" t="s">
        <v>52</v>
      </c>
      <c r="C4518" t="s">
        <v>257</v>
      </c>
      <c r="D4518" t="s">
        <v>264</v>
      </c>
      <c r="E4518" t="s">
        <v>1016</v>
      </c>
      <c r="F4518" t="s">
        <v>2665</v>
      </c>
      <c r="G4518" t="s">
        <v>5121</v>
      </c>
      <c r="H4518" t="s">
        <v>7706</v>
      </c>
      <c r="I4518" t="s">
        <v>8573</v>
      </c>
      <c r="J4518" t="s">
        <v>9038</v>
      </c>
      <c r="K4518">
        <v>11691</v>
      </c>
      <c r="L4518" t="s">
        <v>9094</v>
      </c>
      <c r="M4518" t="s">
        <v>9094</v>
      </c>
      <c r="O4518" t="s">
        <v>9121</v>
      </c>
      <c r="P4518" t="s">
        <v>11167</v>
      </c>
      <c r="Q4518" t="s">
        <v>11173</v>
      </c>
      <c r="R4518" t="s">
        <v>11180</v>
      </c>
      <c r="S4518" t="s">
        <v>9096</v>
      </c>
      <c r="T4518" t="s">
        <v>11183</v>
      </c>
      <c r="U4518" t="s">
        <v>11201</v>
      </c>
      <c r="V4518" t="s">
        <v>278</v>
      </c>
      <c r="W4518">
        <v>1350</v>
      </c>
      <c r="X4518" t="s">
        <v>11331</v>
      </c>
      <c r="Y4518" t="s">
        <v>11339</v>
      </c>
      <c r="Z4518" t="s">
        <v>14304</v>
      </c>
      <c r="AA4518" t="s">
        <v>15274</v>
      </c>
      <c r="AB4518" t="s">
        <v>18628</v>
      </c>
      <c r="AC4518">
        <v>917</v>
      </c>
      <c r="AD4518" t="s">
        <v>19566</v>
      </c>
      <c r="AE4518" t="s">
        <v>9144</v>
      </c>
      <c r="AF4518">
        <v>3</v>
      </c>
      <c r="AG4518">
        <v>1</v>
      </c>
      <c r="AH4518">
        <v>0</v>
      </c>
      <c r="AI4518">
        <v>172.94</v>
      </c>
      <c r="AL4518" t="s">
        <v>19614</v>
      </c>
      <c r="AM4518">
        <v>21600</v>
      </c>
      <c r="AS4518">
        <v>0.8</v>
      </c>
      <c r="AT4518" t="s">
        <v>1016</v>
      </c>
      <c r="AU4518" t="s">
        <v>52</v>
      </c>
      <c r="AV4518" t="s">
        <v>20733</v>
      </c>
    </row>
    <row r="4519" spans="1:48">
      <c r="A4519" s="1">
        <f>HYPERLINK("https://lsnyc.legalserver.org/matter/dynamic-profile/view/1902030","19-1902030")</f>
        <v>0</v>
      </c>
      <c r="B4519" t="s">
        <v>73</v>
      </c>
      <c r="C4519" t="s">
        <v>256</v>
      </c>
      <c r="D4519" t="s">
        <v>279</v>
      </c>
      <c r="F4519" t="s">
        <v>2857</v>
      </c>
      <c r="G4519" t="s">
        <v>5122</v>
      </c>
      <c r="H4519" t="s">
        <v>7707</v>
      </c>
      <c r="I4519">
        <v>2</v>
      </c>
      <c r="J4519" t="s">
        <v>9059</v>
      </c>
      <c r="K4519">
        <v>11233</v>
      </c>
      <c r="L4519" t="s">
        <v>9094</v>
      </c>
      <c r="M4519" t="s">
        <v>9095</v>
      </c>
      <c r="N4519" t="s">
        <v>10753</v>
      </c>
      <c r="O4519" t="s">
        <v>11128</v>
      </c>
      <c r="P4519" t="s">
        <v>11165</v>
      </c>
      <c r="R4519" t="s">
        <v>11180</v>
      </c>
      <c r="S4519" t="s">
        <v>9096</v>
      </c>
      <c r="T4519" t="s">
        <v>11183</v>
      </c>
      <c r="U4519" t="s">
        <v>11201</v>
      </c>
      <c r="V4519" t="s">
        <v>482</v>
      </c>
      <c r="W4519">
        <v>650</v>
      </c>
      <c r="X4519" t="s">
        <v>11332</v>
      </c>
      <c r="Y4519" t="s">
        <v>11339</v>
      </c>
      <c r="Z4519" t="s">
        <v>14305</v>
      </c>
      <c r="AA4519" t="s">
        <v>9144</v>
      </c>
      <c r="AB4519" t="s">
        <v>18629</v>
      </c>
      <c r="AC4519">
        <v>6</v>
      </c>
      <c r="AD4519" t="s">
        <v>19566</v>
      </c>
      <c r="AE4519" t="s">
        <v>9144</v>
      </c>
      <c r="AF4519">
        <v>3</v>
      </c>
      <c r="AG4519">
        <v>1</v>
      </c>
      <c r="AH4519">
        <v>0</v>
      </c>
      <c r="AI4519">
        <v>172.94</v>
      </c>
      <c r="AL4519" t="s">
        <v>19614</v>
      </c>
      <c r="AM4519">
        <v>21600</v>
      </c>
      <c r="AS4519">
        <v>0.1</v>
      </c>
      <c r="AT4519" t="s">
        <v>416</v>
      </c>
      <c r="AU4519" t="s">
        <v>95</v>
      </c>
      <c r="AV4519" t="s">
        <v>20733</v>
      </c>
    </row>
    <row r="4520" spans="1:48">
      <c r="A4520" s="1">
        <f>HYPERLINK("https://lsnyc.legalserver.org/matter/dynamic-profile/view/1895629","19-1895629")</f>
        <v>0</v>
      </c>
      <c r="B4520" t="s">
        <v>65</v>
      </c>
      <c r="C4520" t="s">
        <v>256</v>
      </c>
      <c r="D4520" t="s">
        <v>360</v>
      </c>
      <c r="F4520" t="s">
        <v>2045</v>
      </c>
      <c r="G4520" t="s">
        <v>3836</v>
      </c>
      <c r="H4520" t="s">
        <v>7708</v>
      </c>
      <c r="I4520" t="s">
        <v>8555</v>
      </c>
      <c r="J4520" t="s">
        <v>9059</v>
      </c>
      <c r="K4520">
        <v>11217</v>
      </c>
      <c r="L4520" t="s">
        <v>9094</v>
      </c>
      <c r="M4520" t="s">
        <v>9094</v>
      </c>
      <c r="O4520" t="s">
        <v>9121</v>
      </c>
      <c r="P4520" t="s">
        <v>11166</v>
      </c>
      <c r="R4520" t="s">
        <v>11180</v>
      </c>
      <c r="S4520" t="s">
        <v>9094</v>
      </c>
      <c r="T4520" t="s">
        <v>11183</v>
      </c>
      <c r="V4520" t="s">
        <v>512</v>
      </c>
      <c r="W4520">
        <v>773.53</v>
      </c>
      <c r="X4520" t="s">
        <v>11332</v>
      </c>
      <c r="Y4520" t="s">
        <v>11339</v>
      </c>
      <c r="Z4520" t="s">
        <v>14306</v>
      </c>
      <c r="AC4520">
        <v>8</v>
      </c>
      <c r="AD4520" t="s">
        <v>19566</v>
      </c>
      <c r="AF4520">
        <v>20</v>
      </c>
      <c r="AG4520">
        <v>1</v>
      </c>
      <c r="AH4520">
        <v>0</v>
      </c>
      <c r="AI4520">
        <v>172.94</v>
      </c>
      <c r="AL4520" t="s">
        <v>19614</v>
      </c>
      <c r="AM4520">
        <v>21600</v>
      </c>
      <c r="AS4520">
        <v>8.1</v>
      </c>
      <c r="AT4520" t="s">
        <v>334</v>
      </c>
      <c r="AU4520" t="s">
        <v>20630</v>
      </c>
      <c r="AV4520" t="s">
        <v>20733</v>
      </c>
    </row>
    <row r="4521" spans="1:48">
      <c r="A4521" s="1">
        <f>HYPERLINK("https://lsnyc.legalserver.org/matter/dynamic-profile/view/1903999","19-1903999")</f>
        <v>0</v>
      </c>
      <c r="B4521" t="s">
        <v>78</v>
      </c>
      <c r="C4521" t="s">
        <v>256</v>
      </c>
      <c r="D4521" t="s">
        <v>663</v>
      </c>
      <c r="F4521" t="s">
        <v>2858</v>
      </c>
      <c r="G4521" t="s">
        <v>3227</v>
      </c>
      <c r="H4521" t="s">
        <v>5805</v>
      </c>
      <c r="I4521" t="s">
        <v>8229</v>
      </c>
      <c r="J4521" t="s">
        <v>9059</v>
      </c>
      <c r="K4521">
        <v>11213</v>
      </c>
      <c r="L4521" t="s">
        <v>9094</v>
      </c>
      <c r="M4521" t="s">
        <v>9095</v>
      </c>
      <c r="N4521" t="s">
        <v>9184</v>
      </c>
      <c r="O4521" t="s">
        <v>11132</v>
      </c>
      <c r="P4521" t="s">
        <v>11167</v>
      </c>
      <c r="R4521" t="s">
        <v>11180</v>
      </c>
      <c r="S4521" t="s">
        <v>9094</v>
      </c>
      <c r="T4521" t="s">
        <v>11186</v>
      </c>
      <c r="U4521" t="s">
        <v>11201</v>
      </c>
      <c r="V4521" t="s">
        <v>512</v>
      </c>
      <c r="W4521">
        <v>0</v>
      </c>
      <c r="X4521" t="s">
        <v>11332</v>
      </c>
      <c r="Y4521" t="s">
        <v>11157</v>
      </c>
      <c r="Z4521" t="s">
        <v>14307</v>
      </c>
      <c r="AC4521">
        <v>19</v>
      </c>
      <c r="AD4521" t="s">
        <v>19566</v>
      </c>
      <c r="AF4521">
        <v>0</v>
      </c>
      <c r="AG4521">
        <v>1</v>
      </c>
      <c r="AH4521">
        <v>0</v>
      </c>
      <c r="AI4521">
        <v>172.94</v>
      </c>
      <c r="AL4521" t="s">
        <v>19614</v>
      </c>
      <c r="AM4521">
        <v>21600</v>
      </c>
      <c r="AN4521" t="s">
        <v>20031</v>
      </c>
      <c r="AS4521">
        <v>0</v>
      </c>
      <c r="AU4521" t="s">
        <v>79</v>
      </c>
      <c r="AV4521" t="s">
        <v>20733</v>
      </c>
    </row>
    <row r="4522" spans="1:48">
      <c r="A4522" s="1">
        <f>HYPERLINK("https://lsnyc.legalserver.org/matter/dynamic-profile/view/1900103","19-1900103")</f>
        <v>0</v>
      </c>
      <c r="B4522" t="s">
        <v>90</v>
      </c>
      <c r="C4522" t="s">
        <v>257</v>
      </c>
      <c r="D4522" t="s">
        <v>289</v>
      </c>
      <c r="E4522" t="s">
        <v>259</v>
      </c>
      <c r="F4522" t="s">
        <v>2858</v>
      </c>
      <c r="G4522" t="s">
        <v>3227</v>
      </c>
      <c r="H4522" t="s">
        <v>5805</v>
      </c>
      <c r="I4522" t="s">
        <v>8229</v>
      </c>
      <c r="J4522" t="s">
        <v>9059</v>
      </c>
      <c r="K4522">
        <v>11213</v>
      </c>
      <c r="L4522" t="s">
        <v>9094</v>
      </c>
      <c r="M4522" t="s">
        <v>9095</v>
      </c>
      <c r="N4522" t="s">
        <v>10754</v>
      </c>
      <c r="O4522" t="s">
        <v>11129</v>
      </c>
      <c r="P4522" t="s">
        <v>11165</v>
      </c>
      <c r="Q4522" t="s">
        <v>11174</v>
      </c>
      <c r="R4522" t="s">
        <v>11180</v>
      </c>
      <c r="S4522" t="s">
        <v>9096</v>
      </c>
      <c r="T4522" t="s">
        <v>11183</v>
      </c>
      <c r="U4522" t="s">
        <v>11201</v>
      </c>
      <c r="V4522" t="s">
        <v>411</v>
      </c>
      <c r="W4522">
        <v>1110.38</v>
      </c>
      <c r="X4522" t="s">
        <v>11332</v>
      </c>
      <c r="Y4522" t="s">
        <v>11339</v>
      </c>
      <c r="Z4522" t="s">
        <v>14307</v>
      </c>
      <c r="AA4522" t="s">
        <v>9144</v>
      </c>
      <c r="AC4522">
        <v>19</v>
      </c>
      <c r="AD4522" t="s">
        <v>19566</v>
      </c>
      <c r="AE4522" t="s">
        <v>9144</v>
      </c>
      <c r="AF4522">
        <v>12</v>
      </c>
      <c r="AG4522">
        <v>1</v>
      </c>
      <c r="AH4522">
        <v>0</v>
      </c>
      <c r="AI4522">
        <v>172.94</v>
      </c>
      <c r="AL4522" t="s">
        <v>19614</v>
      </c>
      <c r="AM4522">
        <v>21600</v>
      </c>
      <c r="AN4522" t="s">
        <v>20032</v>
      </c>
      <c r="AS4522">
        <v>6.5</v>
      </c>
      <c r="AT4522" t="s">
        <v>706</v>
      </c>
      <c r="AU4522" t="s">
        <v>95</v>
      </c>
      <c r="AV4522" t="s">
        <v>20733</v>
      </c>
    </row>
    <row r="4523" spans="1:48">
      <c r="A4523" s="1">
        <f>HYPERLINK("https://lsnyc.legalserver.org/matter/dynamic-profile/view/1900984","19-1900984")</f>
        <v>0</v>
      </c>
      <c r="B4523" t="s">
        <v>90</v>
      </c>
      <c r="C4523" t="s">
        <v>256</v>
      </c>
      <c r="D4523" t="s">
        <v>445</v>
      </c>
      <c r="F4523" t="s">
        <v>2858</v>
      </c>
      <c r="G4523" t="s">
        <v>3227</v>
      </c>
      <c r="H4523" t="s">
        <v>5805</v>
      </c>
      <c r="I4523" t="s">
        <v>8229</v>
      </c>
      <c r="J4523" t="s">
        <v>9059</v>
      </c>
      <c r="K4523">
        <v>11213</v>
      </c>
      <c r="L4523" t="s">
        <v>9094</v>
      </c>
      <c r="M4523" t="s">
        <v>9095</v>
      </c>
      <c r="N4523" t="s">
        <v>9182</v>
      </c>
      <c r="O4523" t="s">
        <v>11141</v>
      </c>
      <c r="P4523" t="s">
        <v>11170</v>
      </c>
      <c r="R4523" t="s">
        <v>11180</v>
      </c>
      <c r="S4523" t="s">
        <v>9094</v>
      </c>
      <c r="T4523" t="s">
        <v>11185</v>
      </c>
      <c r="U4523" t="s">
        <v>11201</v>
      </c>
      <c r="V4523" t="s">
        <v>614</v>
      </c>
      <c r="W4523">
        <v>1110.38</v>
      </c>
      <c r="X4523" t="s">
        <v>11332</v>
      </c>
      <c r="Y4523" t="s">
        <v>11339</v>
      </c>
      <c r="Z4523" t="s">
        <v>14307</v>
      </c>
      <c r="AA4523" t="s">
        <v>9144</v>
      </c>
      <c r="AC4523">
        <v>19</v>
      </c>
      <c r="AD4523" t="s">
        <v>19566</v>
      </c>
      <c r="AE4523" t="s">
        <v>9144</v>
      </c>
      <c r="AF4523">
        <v>12</v>
      </c>
      <c r="AG4523">
        <v>1</v>
      </c>
      <c r="AH4523">
        <v>0</v>
      </c>
      <c r="AI4523">
        <v>172.94</v>
      </c>
      <c r="AL4523" t="s">
        <v>19614</v>
      </c>
      <c r="AM4523">
        <v>21600</v>
      </c>
      <c r="AN4523" t="s">
        <v>20033</v>
      </c>
      <c r="AS4523">
        <v>4.5</v>
      </c>
      <c r="AT4523" t="s">
        <v>457</v>
      </c>
      <c r="AU4523" t="s">
        <v>95</v>
      </c>
      <c r="AV4523" t="s">
        <v>20733</v>
      </c>
    </row>
    <row r="4524" spans="1:48">
      <c r="A4524" s="1">
        <f>HYPERLINK("https://lsnyc.legalserver.org/matter/dynamic-profile/view/1886536","18-1886536")</f>
        <v>0</v>
      </c>
      <c r="B4524" t="s">
        <v>70</v>
      </c>
      <c r="C4524" t="s">
        <v>256</v>
      </c>
      <c r="D4524" t="s">
        <v>427</v>
      </c>
      <c r="F4524" t="s">
        <v>1861</v>
      </c>
      <c r="G4524" t="s">
        <v>2884</v>
      </c>
      <c r="H4524" t="s">
        <v>5750</v>
      </c>
      <c r="I4524" t="s">
        <v>8682</v>
      </c>
      <c r="J4524" t="s">
        <v>9059</v>
      </c>
      <c r="K4524">
        <v>11233</v>
      </c>
      <c r="L4524" t="s">
        <v>9094</v>
      </c>
      <c r="M4524" t="s">
        <v>9094</v>
      </c>
      <c r="N4524" t="s">
        <v>9145</v>
      </c>
      <c r="O4524" t="s">
        <v>11134</v>
      </c>
      <c r="P4524" t="s">
        <v>11168</v>
      </c>
      <c r="R4524" t="s">
        <v>11180</v>
      </c>
      <c r="S4524" t="s">
        <v>9094</v>
      </c>
      <c r="T4524" t="s">
        <v>11183</v>
      </c>
      <c r="U4524" t="s">
        <v>11201</v>
      </c>
      <c r="V4524" t="s">
        <v>11289</v>
      </c>
      <c r="W4524">
        <v>446</v>
      </c>
      <c r="X4524" t="s">
        <v>11332</v>
      </c>
      <c r="Y4524" t="s">
        <v>11347</v>
      </c>
      <c r="Z4524" t="s">
        <v>11422</v>
      </c>
      <c r="AB4524" t="s">
        <v>18579</v>
      </c>
      <c r="AC4524">
        <v>764</v>
      </c>
      <c r="AD4524" t="s">
        <v>19566</v>
      </c>
      <c r="AE4524" t="s">
        <v>19580</v>
      </c>
      <c r="AF4524">
        <v>0</v>
      </c>
      <c r="AG4524">
        <v>1</v>
      </c>
      <c r="AH4524">
        <v>0</v>
      </c>
      <c r="AI4524">
        <v>172.98</v>
      </c>
      <c r="AL4524" t="s">
        <v>19614</v>
      </c>
      <c r="AM4524">
        <v>21000</v>
      </c>
      <c r="AS4524">
        <v>0</v>
      </c>
      <c r="AU4524" t="s">
        <v>79</v>
      </c>
    </row>
    <row r="4525" spans="1:48">
      <c r="A4525" s="1">
        <f>HYPERLINK("https://lsnyc.legalserver.org/matter/dynamic-profile/view/1886444","18-1886444")</f>
        <v>0</v>
      </c>
      <c r="B4525" t="s">
        <v>79</v>
      </c>
      <c r="C4525" t="s">
        <v>257</v>
      </c>
      <c r="D4525" t="s">
        <v>347</v>
      </c>
      <c r="E4525" t="s">
        <v>396</v>
      </c>
      <c r="F4525" t="s">
        <v>1266</v>
      </c>
      <c r="G4525" t="s">
        <v>5123</v>
      </c>
      <c r="H4525" t="s">
        <v>7709</v>
      </c>
      <c r="I4525" t="s">
        <v>8107</v>
      </c>
      <c r="J4525" t="s">
        <v>9059</v>
      </c>
      <c r="K4525">
        <v>11208</v>
      </c>
      <c r="L4525" t="s">
        <v>9094</v>
      </c>
      <c r="M4525" t="s">
        <v>9094</v>
      </c>
      <c r="N4525" t="s">
        <v>10755</v>
      </c>
      <c r="O4525" t="s">
        <v>9121</v>
      </c>
      <c r="P4525" t="s">
        <v>11164</v>
      </c>
      <c r="Q4525" t="s">
        <v>11172</v>
      </c>
      <c r="R4525" t="s">
        <v>11180</v>
      </c>
      <c r="S4525" t="s">
        <v>9096</v>
      </c>
      <c r="T4525" t="s">
        <v>11183</v>
      </c>
      <c r="V4525" t="s">
        <v>516</v>
      </c>
      <c r="W4525">
        <v>600</v>
      </c>
      <c r="X4525" t="s">
        <v>11332</v>
      </c>
      <c r="Y4525" t="s">
        <v>11336</v>
      </c>
      <c r="Z4525" t="s">
        <v>14308</v>
      </c>
      <c r="AB4525" t="s">
        <v>18630</v>
      </c>
      <c r="AC4525">
        <v>3</v>
      </c>
      <c r="AD4525" t="s">
        <v>19565</v>
      </c>
      <c r="AE4525" t="s">
        <v>9144</v>
      </c>
      <c r="AF4525">
        <v>1</v>
      </c>
      <c r="AG4525">
        <v>1</v>
      </c>
      <c r="AH4525">
        <v>0</v>
      </c>
      <c r="AI4525">
        <v>172.98</v>
      </c>
      <c r="AL4525" t="s">
        <v>19614</v>
      </c>
      <c r="AM4525">
        <v>21000</v>
      </c>
      <c r="AS4525">
        <v>0.1</v>
      </c>
      <c r="AT4525" t="s">
        <v>396</v>
      </c>
      <c r="AU4525" t="s">
        <v>79</v>
      </c>
    </row>
    <row r="4526" spans="1:48">
      <c r="A4526" s="1">
        <f>HYPERLINK("https://lsnyc.legalserver.org/matter/dynamic-profile/view/1860636","18-1860636")</f>
        <v>0</v>
      </c>
      <c r="B4526" t="s">
        <v>136</v>
      </c>
      <c r="C4526" t="s">
        <v>256</v>
      </c>
      <c r="D4526" t="s">
        <v>683</v>
      </c>
      <c r="F4526" t="s">
        <v>2859</v>
      </c>
      <c r="G4526" t="s">
        <v>4680</v>
      </c>
      <c r="H4526" t="s">
        <v>6119</v>
      </c>
      <c r="I4526" t="s">
        <v>8191</v>
      </c>
      <c r="J4526" t="s">
        <v>9067</v>
      </c>
      <c r="K4526">
        <v>10031</v>
      </c>
      <c r="L4526" t="s">
        <v>9094</v>
      </c>
      <c r="M4526" t="s">
        <v>9095</v>
      </c>
      <c r="O4526" t="s">
        <v>11130</v>
      </c>
      <c r="P4526" t="s">
        <v>11167</v>
      </c>
      <c r="R4526" t="s">
        <v>11180</v>
      </c>
      <c r="S4526" t="s">
        <v>9094</v>
      </c>
      <c r="T4526" t="s">
        <v>11183</v>
      </c>
      <c r="V4526" t="s">
        <v>638</v>
      </c>
      <c r="W4526">
        <v>2697</v>
      </c>
      <c r="X4526" t="s">
        <v>11335</v>
      </c>
      <c r="Y4526" t="s">
        <v>11339</v>
      </c>
      <c r="Z4526" t="s">
        <v>14309</v>
      </c>
      <c r="AB4526" t="s">
        <v>18631</v>
      </c>
      <c r="AC4526">
        <v>44</v>
      </c>
      <c r="AD4526" t="s">
        <v>19567</v>
      </c>
      <c r="AE4526" t="s">
        <v>19580</v>
      </c>
      <c r="AF4526">
        <v>9</v>
      </c>
      <c r="AG4526">
        <v>2</v>
      </c>
      <c r="AH4526">
        <v>0</v>
      </c>
      <c r="AI4526">
        <v>172.99</v>
      </c>
      <c r="AL4526" t="s">
        <v>19615</v>
      </c>
      <c r="AM4526">
        <v>28474</v>
      </c>
      <c r="AS4526">
        <v>1.15</v>
      </c>
      <c r="AT4526" t="s">
        <v>271</v>
      </c>
      <c r="AU4526" t="s">
        <v>20657</v>
      </c>
      <c r="AV4526" t="s">
        <v>20733</v>
      </c>
    </row>
    <row r="4527" spans="1:48">
      <c r="A4527" s="1">
        <f>HYPERLINK("https://lsnyc.legalserver.org/matter/dynamic-profile/view/1842740","17-1842740")</f>
        <v>0</v>
      </c>
      <c r="B4527" t="s">
        <v>149</v>
      </c>
      <c r="C4527" t="s">
        <v>256</v>
      </c>
      <c r="D4527" t="s">
        <v>851</v>
      </c>
      <c r="F4527" t="s">
        <v>2860</v>
      </c>
      <c r="G4527" t="s">
        <v>5124</v>
      </c>
      <c r="H4527" t="s">
        <v>7378</v>
      </c>
      <c r="I4527" t="s">
        <v>8598</v>
      </c>
      <c r="J4527" t="s">
        <v>9067</v>
      </c>
      <c r="K4527">
        <v>10002</v>
      </c>
      <c r="L4527" t="s">
        <v>9096</v>
      </c>
      <c r="M4527" t="s">
        <v>9095</v>
      </c>
      <c r="P4527" t="s">
        <v>11165</v>
      </c>
      <c r="R4527" t="s">
        <v>11180</v>
      </c>
      <c r="T4527" t="s">
        <v>11183</v>
      </c>
      <c r="W4527">
        <v>0</v>
      </c>
      <c r="X4527" t="s">
        <v>11335</v>
      </c>
      <c r="Z4527" t="s">
        <v>14310</v>
      </c>
      <c r="AB4527" t="s">
        <v>18632</v>
      </c>
      <c r="AC4527">
        <v>0</v>
      </c>
      <c r="AF4527">
        <v>0</v>
      </c>
      <c r="AG4527">
        <v>8</v>
      </c>
      <c r="AH4527">
        <v>0</v>
      </c>
      <c r="AI4527">
        <v>173.18</v>
      </c>
      <c r="AL4527" t="s">
        <v>19622</v>
      </c>
      <c r="AM4527">
        <v>137920</v>
      </c>
      <c r="AS4527">
        <v>138.3</v>
      </c>
      <c r="AT4527" t="s">
        <v>664</v>
      </c>
      <c r="AU4527" t="s">
        <v>20696</v>
      </c>
    </row>
    <row r="4528" spans="1:48">
      <c r="A4528" s="1">
        <f>HYPERLINK("https://lsnyc.legalserver.org/matter/dynamic-profile/view/1901217","19-1901217")</f>
        <v>0</v>
      </c>
      <c r="B4528" t="s">
        <v>145</v>
      </c>
      <c r="C4528" t="s">
        <v>257</v>
      </c>
      <c r="D4528" t="s">
        <v>422</v>
      </c>
      <c r="E4528" t="s">
        <v>331</v>
      </c>
      <c r="F4528" t="s">
        <v>2861</v>
      </c>
      <c r="G4528" t="s">
        <v>5125</v>
      </c>
      <c r="H4528" t="s">
        <v>7710</v>
      </c>
      <c r="I4528">
        <v>11</v>
      </c>
      <c r="J4528" t="s">
        <v>9067</v>
      </c>
      <c r="K4528">
        <v>10002</v>
      </c>
      <c r="L4528" t="s">
        <v>9094</v>
      </c>
      <c r="M4528" t="s">
        <v>9095</v>
      </c>
      <c r="N4528" t="s">
        <v>10756</v>
      </c>
      <c r="O4528" t="s">
        <v>11128</v>
      </c>
      <c r="P4528" t="s">
        <v>11164</v>
      </c>
      <c r="Q4528" t="s">
        <v>11172</v>
      </c>
      <c r="R4528" t="s">
        <v>11180</v>
      </c>
      <c r="S4528" t="s">
        <v>9096</v>
      </c>
      <c r="T4528" t="s">
        <v>11183</v>
      </c>
      <c r="U4528" t="s">
        <v>11201</v>
      </c>
      <c r="V4528" t="s">
        <v>422</v>
      </c>
      <c r="W4528">
        <v>252</v>
      </c>
      <c r="X4528" t="s">
        <v>11335</v>
      </c>
      <c r="Y4528" t="s">
        <v>11336</v>
      </c>
      <c r="Z4528" t="s">
        <v>14311</v>
      </c>
      <c r="AB4528" t="s">
        <v>18633</v>
      </c>
      <c r="AC4528">
        <v>20</v>
      </c>
      <c r="AD4528" t="s">
        <v>19569</v>
      </c>
      <c r="AE4528" t="s">
        <v>9144</v>
      </c>
      <c r="AF4528">
        <v>39</v>
      </c>
      <c r="AG4528">
        <v>1</v>
      </c>
      <c r="AH4528">
        <v>0</v>
      </c>
      <c r="AI4528">
        <v>173.23</v>
      </c>
      <c r="AL4528" t="s">
        <v>19619</v>
      </c>
      <c r="AM4528">
        <v>21636</v>
      </c>
      <c r="AS4528">
        <v>1.9</v>
      </c>
      <c r="AT4528" t="s">
        <v>736</v>
      </c>
      <c r="AU4528" t="s">
        <v>20657</v>
      </c>
      <c r="AV4528" t="s">
        <v>20733</v>
      </c>
    </row>
    <row r="4529" spans="1:48">
      <c r="A4529" s="1">
        <f>HYPERLINK("https://lsnyc.legalserver.org/matter/dynamic-profile/view/1887928","19-1887928")</f>
        <v>0</v>
      </c>
      <c r="B4529" t="s">
        <v>215</v>
      </c>
      <c r="C4529" t="s">
        <v>257</v>
      </c>
      <c r="D4529" t="s">
        <v>443</v>
      </c>
      <c r="E4529" t="s">
        <v>1130</v>
      </c>
      <c r="F4529" t="s">
        <v>1624</v>
      </c>
      <c r="G4529" t="s">
        <v>3498</v>
      </c>
      <c r="H4529" t="s">
        <v>7711</v>
      </c>
      <c r="J4529" t="s">
        <v>9059</v>
      </c>
      <c r="K4529">
        <v>11206</v>
      </c>
      <c r="L4529" t="s">
        <v>9094</v>
      </c>
      <c r="M4529" t="s">
        <v>9094</v>
      </c>
      <c r="O4529" t="s">
        <v>11129</v>
      </c>
      <c r="P4529" t="s">
        <v>11164</v>
      </c>
      <c r="Q4529" t="s">
        <v>11173</v>
      </c>
      <c r="R4529" t="s">
        <v>11180</v>
      </c>
      <c r="S4529" t="s">
        <v>9096</v>
      </c>
      <c r="T4529" t="s">
        <v>11183</v>
      </c>
      <c r="V4529" t="s">
        <v>635</v>
      </c>
      <c r="W4529">
        <v>1199.56</v>
      </c>
      <c r="X4529" t="s">
        <v>11332</v>
      </c>
      <c r="Z4529" t="s">
        <v>14312</v>
      </c>
      <c r="AB4529" t="s">
        <v>18634</v>
      </c>
      <c r="AC4529">
        <v>0</v>
      </c>
      <c r="AF4529">
        <v>11</v>
      </c>
      <c r="AG4529">
        <v>2</v>
      </c>
      <c r="AH4529">
        <v>1</v>
      </c>
      <c r="AI4529">
        <v>173.24</v>
      </c>
      <c r="AL4529" t="s">
        <v>19614</v>
      </c>
      <c r="AM4529">
        <v>36000</v>
      </c>
      <c r="AS4529">
        <v>0.7</v>
      </c>
      <c r="AT4529" t="s">
        <v>1130</v>
      </c>
      <c r="AU4529" t="s">
        <v>215</v>
      </c>
    </row>
    <row r="4530" spans="1:48">
      <c r="A4530" s="1">
        <f>HYPERLINK("https://lsnyc.legalserver.org/matter/dynamic-profile/view/1914905","19-1914905")</f>
        <v>0</v>
      </c>
      <c r="B4530" t="s">
        <v>202</v>
      </c>
      <c r="C4530" t="s">
        <v>256</v>
      </c>
      <c r="D4530" t="s">
        <v>331</v>
      </c>
      <c r="F4530" t="s">
        <v>2862</v>
      </c>
      <c r="G4530" t="s">
        <v>5126</v>
      </c>
      <c r="H4530" t="s">
        <v>7712</v>
      </c>
      <c r="I4530">
        <v>6</v>
      </c>
      <c r="J4530" t="s">
        <v>9059</v>
      </c>
      <c r="K4530">
        <v>11213</v>
      </c>
      <c r="L4530" t="s">
        <v>9094</v>
      </c>
      <c r="M4530" t="s">
        <v>9095</v>
      </c>
      <c r="N4530" t="s">
        <v>10263</v>
      </c>
      <c r="O4530" t="s">
        <v>11132</v>
      </c>
      <c r="P4530" t="s">
        <v>11165</v>
      </c>
      <c r="R4530" t="s">
        <v>11180</v>
      </c>
      <c r="S4530" t="s">
        <v>9094</v>
      </c>
      <c r="T4530" t="s">
        <v>11183</v>
      </c>
      <c r="U4530" t="s">
        <v>11201</v>
      </c>
      <c r="V4530" t="s">
        <v>11243</v>
      </c>
      <c r="W4530">
        <v>998.03</v>
      </c>
      <c r="X4530" t="s">
        <v>11332</v>
      </c>
      <c r="Y4530" t="s">
        <v>11346</v>
      </c>
      <c r="Z4530" t="s">
        <v>14313</v>
      </c>
      <c r="AA4530" t="s">
        <v>9171</v>
      </c>
      <c r="AB4530" t="s">
        <v>18635</v>
      </c>
      <c r="AC4530">
        <v>31</v>
      </c>
      <c r="AD4530" t="s">
        <v>19566</v>
      </c>
      <c r="AE4530" t="s">
        <v>9144</v>
      </c>
      <c r="AF4530">
        <v>15</v>
      </c>
      <c r="AG4530">
        <v>3</v>
      </c>
      <c r="AH4530">
        <v>0</v>
      </c>
      <c r="AI4530">
        <v>173.28</v>
      </c>
      <c r="AL4530" t="s">
        <v>5133</v>
      </c>
      <c r="AM4530">
        <v>36960</v>
      </c>
      <c r="AS4530">
        <v>0</v>
      </c>
      <c r="AU4530" t="s">
        <v>95</v>
      </c>
      <c r="AV4530" t="s">
        <v>20733</v>
      </c>
    </row>
    <row r="4531" spans="1:48">
      <c r="A4531" s="1">
        <f>HYPERLINK("https://lsnyc.legalserver.org/matter/dynamic-profile/view/1913104","19-1913104")</f>
        <v>0</v>
      </c>
      <c r="B4531" t="s">
        <v>202</v>
      </c>
      <c r="C4531" t="s">
        <v>256</v>
      </c>
      <c r="D4531" t="s">
        <v>276</v>
      </c>
      <c r="F4531" t="s">
        <v>2862</v>
      </c>
      <c r="G4531" t="s">
        <v>5126</v>
      </c>
      <c r="H4531" t="s">
        <v>7712</v>
      </c>
      <c r="I4531">
        <v>6</v>
      </c>
      <c r="J4531" t="s">
        <v>9059</v>
      </c>
      <c r="K4531">
        <v>11213</v>
      </c>
      <c r="L4531" t="s">
        <v>9094</v>
      </c>
      <c r="M4531" t="s">
        <v>9095</v>
      </c>
      <c r="N4531" t="s">
        <v>9121</v>
      </c>
      <c r="O4531" t="s">
        <v>9121</v>
      </c>
      <c r="P4531" t="s">
        <v>11167</v>
      </c>
      <c r="R4531" t="s">
        <v>11180</v>
      </c>
      <c r="S4531" t="s">
        <v>9094</v>
      </c>
      <c r="T4531" t="s">
        <v>11183</v>
      </c>
      <c r="U4531" t="s">
        <v>11201</v>
      </c>
      <c r="V4531" t="s">
        <v>483</v>
      </c>
      <c r="W4531">
        <v>998.03</v>
      </c>
      <c r="X4531" t="s">
        <v>11332</v>
      </c>
      <c r="Y4531" t="s">
        <v>11346</v>
      </c>
      <c r="Z4531" t="s">
        <v>14313</v>
      </c>
      <c r="AB4531" t="s">
        <v>18635</v>
      </c>
      <c r="AC4531">
        <v>31</v>
      </c>
      <c r="AD4531" t="s">
        <v>19566</v>
      </c>
      <c r="AE4531" t="s">
        <v>9144</v>
      </c>
      <c r="AF4531">
        <v>15</v>
      </c>
      <c r="AG4531">
        <v>3</v>
      </c>
      <c r="AH4531">
        <v>0</v>
      </c>
      <c r="AI4531">
        <v>173.28</v>
      </c>
      <c r="AL4531" t="s">
        <v>5133</v>
      </c>
      <c r="AM4531">
        <v>36960</v>
      </c>
      <c r="AS4531">
        <v>1.2</v>
      </c>
      <c r="AT4531" t="s">
        <v>276</v>
      </c>
      <c r="AU4531" t="s">
        <v>79</v>
      </c>
      <c r="AV4531" t="s">
        <v>20733</v>
      </c>
    </row>
    <row r="4532" spans="1:48">
      <c r="A4532" s="1">
        <f>HYPERLINK("https://lsnyc.legalserver.org/matter/dynamic-profile/view/1836155","17-1836155")</f>
        <v>0</v>
      </c>
      <c r="B4532" t="s">
        <v>140</v>
      </c>
      <c r="C4532" t="s">
        <v>256</v>
      </c>
      <c r="D4532" t="s">
        <v>973</v>
      </c>
      <c r="F4532" t="s">
        <v>1904</v>
      </c>
      <c r="G4532" t="s">
        <v>3370</v>
      </c>
      <c r="H4532" t="s">
        <v>7713</v>
      </c>
      <c r="I4532" t="s">
        <v>8156</v>
      </c>
      <c r="J4532" t="s">
        <v>9067</v>
      </c>
      <c r="K4532">
        <v>10040</v>
      </c>
      <c r="L4532" t="s">
        <v>9094</v>
      </c>
      <c r="M4532" t="s">
        <v>9095</v>
      </c>
      <c r="N4532" t="s">
        <v>9314</v>
      </c>
      <c r="O4532" t="s">
        <v>11130</v>
      </c>
      <c r="P4532" t="s">
        <v>11168</v>
      </c>
      <c r="R4532" t="s">
        <v>11180</v>
      </c>
      <c r="S4532" t="s">
        <v>9094</v>
      </c>
      <c r="T4532" t="s">
        <v>11183</v>
      </c>
      <c r="V4532" t="s">
        <v>11249</v>
      </c>
      <c r="W4532">
        <v>1045.94</v>
      </c>
      <c r="X4532" t="s">
        <v>11335</v>
      </c>
      <c r="Y4532" t="s">
        <v>11339</v>
      </c>
      <c r="Z4532" t="s">
        <v>13195</v>
      </c>
      <c r="AB4532" t="s">
        <v>17552</v>
      </c>
      <c r="AC4532">
        <v>45</v>
      </c>
      <c r="AD4532" t="s">
        <v>19566</v>
      </c>
      <c r="AE4532" t="s">
        <v>9144</v>
      </c>
      <c r="AF4532">
        <v>36</v>
      </c>
      <c r="AG4532">
        <v>3</v>
      </c>
      <c r="AH4532">
        <v>0</v>
      </c>
      <c r="AI4532">
        <v>173.36</v>
      </c>
      <c r="AJ4532" t="s">
        <v>982</v>
      </c>
      <c r="AL4532" t="s">
        <v>19615</v>
      </c>
      <c r="AM4532">
        <v>45648</v>
      </c>
      <c r="AS4532">
        <v>96.20999999999999</v>
      </c>
      <c r="AT4532" t="s">
        <v>426</v>
      </c>
      <c r="AU4532" t="s">
        <v>20657</v>
      </c>
    </row>
    <row r="4533" spans="1:48">
      <c r="A4533" s="1">
        <f>HYPERLINK("https://lsnyc.legalserver.org/matter/dynamic-profile/view/1845301","17-1845301")</f>
        <v>0</v>
      </c>
      <c r="B4533" t="s">
        <v>150</v>
      </c>
      <c r="C4533" t="s">
        <v>256</v>
      </c>
      <c r="D4533" t="s">
        <v>399</v>
      </c>
      <c r="F4533" t="s">
        <v>2863</v>
      </c>
      <c r="G4533" t="s">
        <v>5127</v>
      </c>
      <c r="H4533" t="s">
        <v>6207</v>
      </c>
      <c r="I4533" t="s">
        <v>8863</v>
      </c>
      <c r="J4533" t="s">
        <v>9059</v>
      </c>
      <c r="K4533">
        <v>11213</v>
      </c>
      <c r="L4533" t="s">
        <v>9094</v>
      </c>
      <c r="M4533" t="s">
        <v>9095</v>
      </c>
      <c r="O4533" t="s">
        <v>11130</v>
      </c>
      <c r="P4533" t="s">
        <v>11165</v>
      </c>
      <c r="R4533" t="s">
        <v>11180</v>
      </c>
      <c r="S4533" t="s">
        <v>9094</v>
      </c>
      <c r="T4533" t="s">
        <v>11183</v>
      </c>
      <c r="V4533" t="s">
        <v>837</v>
      </c>
      <c r="W4533">
        <v>0</v>
      </c>
      <c r="X4533" t="s">
        <v>11332</v>
      </c>
      <c r="Y4533" t="s">
        <v>11346</v>
      </c>
      <c r="Z4533" t="s">
        <v>14314</v>
      </c>
      <c r="AC4533">
        <v>74</v>
      </c>
      <c r="AD4533" t="s">
        <v>19566</v>
      </c>
      <c r="AF4533">
        <v>0</v>
      </c>
      <c r="AG4533">
        <v>2</v>
      </c>
      <c r="AH4533">
        <v>2</v>
      </c>
      <c r="AI4533">
        <v>173.38</v>
      </c>
      <c r="AJ4533" t="s">
        <v>1108</v>
      </c>
      <c r="AL4533" t="s">
        <v>19614</v>
      </c>
      <c r="AM4533">
        <v>58252</v>
      </c>
      <c r="AS4533">
        <v>0</v>
      </c>
      <c r="AU4533" t="s">
        <v>20636</v>
      </c>
    </row>
    <row r="4534" spans="1:48">
      <c r="A4534" s="1">
        <f>HYPERLINK("https://lsnyc.legalserver.org/matter/dynamic-profile/view/1887643","19-1887643")</f>
        <v>0</v>
      </c>
      <c r="B4534" t="s">
        <v>64</v>
      </c>
      <c r="C4534" t="s">
        <v>256</v>
      </c>
      <c r="D4534" t="s">
        <v>650</v>
      </c>
      <c r="F4534" t="s">
        <v>2493</v>
      </c>
      <c r="G4534" t="s">
        <v>3498</v>
      </c>
      <c r="H4534" t="s">
        <v>7714</v>
      </c>
      <c r="I4534" t="s">
        <v>8391</v>
      </c>
      <c r="J4534" t="s">
        <v>9059</v>
      </c>
      <c r="K4534">
        <v>11208</v>
      </c>
      <c r="L4534" t="s">
        <v>9094</v>
      </c>
      <c r="M4534" t="s">
        <v>9094</v>
      </c>
      <c r="N4534" t="s">
        <v>10757</v>
      </c>
      <c r="O4534" t="s">
        <v>11129</v>
      </c>
      <c r="P4534" t="s">
        <v>11165</v>
      </c>
      <c r="R4534" t="s">
        <v>11180</v>
      </c>
      <c r="S4534" t="s">
        <v>9096</v>
      </c>
      <c r="T4534" t="s">
        <v>11183</v>
      </c>
      <c r="V4534" t="s">
        <v>635</v>
      </c>
      <c r="W4534">
        <v>2000</v>
      </c>
      <c r="X4534" t="s">
        <v>11332</v>
      </c>
      <c r="Y4534" t="s">
        <v>11336</v>
      </c>
      <c r="Z4534" t="s">
        <v>14315</v>
      </c>
      <c r="AB4534" t="s">
        <v>18636</v>
      </c>
      <c r="AC4534">
        <v>2</v>
      </c>
      <c r="AD4534" t="s">
        <v>19565</v>
      </c>
      <c r="AE4534" t="s">
        <v>19580</v>
      </c>
      <c r="AF4534">
        <v>1</v>
      </c>
      <c r="AG4534">
        <v>2</v>
      </c>
      <c r="AH4534">
        <v>1</v>
      </c>
      <c r="AI4534">
        <v>173.46</v>
      </c>
      <c r="AL4534" t="s">
        <v>19614</v>
      </c>
      <c r="AM4534">
        <v>36044</v>
      </c>
      <c r="AS4534">
        <v>17.9</v>
      </c>
      <c r="AT4534" t="s">
        <v>594</v>
      </c>
      <c r="AU4534" t="s">
        <v>79</v>
      </c>
    </row>
    <row r="4535" spans="1:48">
      <c r="A4535" s="1">
        <f>HYPERLINK("https://lsnyc.legalserver.org/matter/dynamic-profile/view/1902184","19-1902184")</f>
        <v>0</v>
      </c>
      <c r="B4535" t="s">
        <v>64</v>
      </c>
      <c r="C4535" t="s">
        <v>257</v>
      </c>
      <c r="D4535" t="s">
        <v>584</v>
      </c>
      <c r="E4535" t="s">
        <v>472</v>
      </c>
      <c r="F4535" t="s">
        <v>2864</v>
      </c>
      <c r="G4535" t="s">
        <v>4647</v>
      </c>
      <c r="H4535" t="s">
        <v>7715</v>
      </c>
      <c r="I4535">
        <v>2</v>
      </c>
      <c r="J4535" t="s">
        <v>9059</v>
      </c>
      <c r="K4535">
        <v>11207</v>
      </c>
      <c r="L4535" t="s">
        <v>9094</v>
      </c>
      <c r="M4535" t="s">
        <v>9095</v>
      </c>
      <c r="N4535" t="s">
        <v>10758</v>
      </c>
      <c r="O4535" t="s">
        <v>11130</v>
      </c>
      <c r="P4535" t="s">
        <v>11167</v>
      </c>
      <c r="Q4535" t="s">
        <v>11173</v>
      </c>
      <c r="R4535" t="s">
        <v>11180</v>
      </c>
      <c r="S4535" t="s">
        <v>9096</v>
      </c>
      <c r="T4535" t="s">
        <v>11183</v>
      </c>
      <c r="U4535" t="s">
        <v>11201</v>
      </c>
      <c r="V4535" t="s">
        <v>706</v>
      </c>
      <c r="W4535">
        <v>2379</v>
      </c>
      <c r="X4535" t="s">
        <v>11332</v>
      </c>
      <c r="Y4535" t="s">
        <v>11338</v>
      </c>
      <c r="Z4535" t="s">
        <v>14316</v>
      </c>
      <c r="AA4535" t="s">
        <v>15287</v>
      </c>
      <c r="AB4535" t="s">
        <v>18637</v>
      </c>
      <c r="AC4535">
        <v>4</v>
      </c>
      <c r="AD4535" t="s">
        <v>19565</v>
      </c>
      <c r="AE4535" t="s">
        <v>19580</v>
      </c>
      <c r="AF4535">
        <v>0</v>
      </c>
      <c r="AG4535">
        <v>1</v>
      </c>
      <c r="AH4535">
        <v>2</v>
      </c>
      <c r="AI4535">
        <v>173.46</v>
      </c>
      <c r="AL4535" t="s">
        <v>19614</v>
      </c>
      <c r="AM4535">
        <v>37000</v>
      </c>
      <c r="AS4535">
        <v>1.7</v>
      </c>
      <c r="AT4535" t="s">
        <v>663</v>
      </c>
      <c r="AU4535" t="s">
        <v>20629</v>
      </c>
      <c r="AV4535" t="s">
        <v>20733</v>
      </c>
    </row>
    <row r="4536" spans="1:48">
      <c r="A4536" s="1">
        <f>HYPERLINK("https://lsnyc.legalserver.org/matter/dynamic-profile/view/1908695","19-1908695")</f>
        <v>0</v>
      </c>
      <c r="B4536" t="s">
        <v>71</v>
      </c>
      <c r="C4536" t="s">
        <v>256</v>
      </c>
      <c r="D4536" t="s">
        <v>669</v>
      </c>
      <c r="F4536" t="s">
        <v>1380</v>
      </c>
      <c r="G4536" t="s">
        <v>2232</v>
      </c>
      <c r="H4536" t="s">
        <v>7716</v>
      </c>
      <c r="I4536">
        <v>50</v>
      </c>
      <c r="J4536" t="s">
        <v>9059</v>
      </c>
      <c r="K4536">
        <v>11207</v>
      </c>
      <c r="L4536" t="s">
        <v>9096</v>
      </c>
      <c r="M4536" t="s">
        <v>9095</v>
      </c>
      <c r="N4536" t="s">
        <v>10759</v>
      </c>
      <c r="O4536" t="s">
        <v>11129</v>
      </c>
      <c r="R4536" t="s">
        <v>11180</v>
      </c>
      <c r="S4536" t="s">
        <v>9096</v>
      </c>
      <c r="T4536" t="s">
        <v>11183</v>
      </c>
      <c r="U4536" t="s">
        <v>11201</v>
      </c>
      <c r="W4536">
        <v>1300</v>
      </c>
      <c r="X4536" t="s">
        <v>11332</v>
      </c>
      <c r="Y4536" t="s">
        <v>11340</v>
      </c>
      <c r="Z4536" t="s">
        <v>14317</v>
      </c>
      <c r="AA4536" t="s">
        <v>15334</v>
      </c>
      <c r="AB4536" t="s">
        <v>18638</v>
      </c>
      <c r="AC4536">
        <v>83</v>
      </c>
      <c r="AD4536" t="s">
        <v>19567</v>
      </c>
      <c r="AE4536" t="s">
        <v>9144</v>
      </c>
      <c r="AF4536">
        <v>31</v>
      </c>
      <c r="AG4536">
        <v>3</v>
      </c>
      <c r="AH4536">
        <v>0</v>
      </c>
      <c r="AI4536">
        <v>173.46</v>
      </c>
      <c r="AL4536" t="s">
        <v>19614</v>
      </c>
      <c r="AM4536">
        <v>37000</v>
      </c>
      <c r="AS4536">
        <v>0</v>
      </c>
      <c r="AU4536" t="s">
        <v>95</v>
      </c>
      <c r="AV4536" t="s">
        <v>9144</v>
      </c>
    </row>
    <row r="4537" spans="1:48">
      <c r="A4537" s="1">
        <f>HYPERLINK("https://lsnyc.legalserver.org/matter/dynamic-profile/view/1911533","19-1911533")</f>
        <v>0</v>
      </c>
      <c r="B4537" t="s">
        <v>141</v>
      </c>
      <c r="C4537" t="s">
        <v>256</v>
      </c>
      <c r="D4537" t="s">
        <v>362</v>
      </c>
      <c r="F4537" t="s">
        <v>2865</v>
      </c>
      <c r="G4537" t="s">
        <v>3765</v>
      </c>
      <c r="H4537" t="s">
        <v>5999</v>
      </c>
      <c r="J4537" t="s">
        <v>9067</v>
      </c>
      <c r="K4537">
        <v>10040</v>
      </c>
      <c r="L4537" t="s">
        <v>9094</v>
      </c>
      <c r="M4537" t="s">
        <v>9095</v>
      </c>
      <c r="O4537" t="s">
        <v>11132</v>
      </c>
      <c r="P4537" t="s">
        <v>11165</v>
      </c>
      <c r="R4537" t="s">
        <v>11180</v>
      </c>
      <c r="S4537" t="s">
        <v>9094</v>
      </c>
      <c r="T4537" t="s">
        <v>11183</v>
      </c>
      <c r="V4537" t="s">
        <v>362</v>
      </c>
      <c r="W4537">
        <v>10296</v>
      </c>
      <c r="X4537" t="s">
        <v>11335</v>
      </c>
      <c r="Y4537" t="s">
        <v>11340</v>
      </c>
      <c r="Z4537" t="s">
        <v>14318</v>
      </c>
      <c r="AB4537" t="s">
        <v>18639</v>
      </c>
      <c r="AC4537">
        <v>44</v>
      </c>
      <c r="AD4537" t="s">
        <v>19566</v>
      </c>
      <c r="AE4537" t="s">
        <v>9144</v>
      </c>
      <c r="AF4537">
        <v>11</v>
      </c>
      <c r="AG4537">
        <v>3</v>
      </c>
      <c r="AH4537">
        <v>0</v>
      </c>
      <c r="AI4537">
        <v>173.46</v>
      </c>
      <c r="AL4537" t="s">
        <v>19615</v>
      </c>
      <c r="AM4537">
        <v>37000</v>
      </c>
      <c r="AS4537">
        <v>0.1</v>
      </c>
      <c r="AT4537" t="s">
        <v>292</v>
      </c>
      <c r="AU4537" t="s">
        <v>130</v>
      </c>
      <c r="AV4537" t="s">
        <v>20733</v>
      </c>
    </row>
    <row r="4538" spans="1:48">
      <c r="A4538" s="1">
        <f>HYPERLINK("https://lsnyc.legalserver.org/matter/dynamic-profile/view/1912332","19-1912332")</f>
        <v>0</v>
      </c>
      <c r="B4538" t="s">
        <v>141</v>
      </c>
      <c r="C4538" t="s">
        <v>256</v>
      </c>
      <c r="D4538" t="s">
        <v>309</v>
      </c>
      <c r="F4538" t="s">
        <v>2865</v>
      </c>
      <c r="G4538" t="s">
        <v>3765</v>
      </c>
      <c r="H4538" t="s">
        <v>5999</v>
      </c>
      <c r="J4538" t="s">
        <v>9067</v>
      </c>
      <c r="K4538">
        <v>10040</v>
      </c>
      <c r="L4538" t="s">
        <v>9094</v>
      </c>
      <c r="M4538" t="s">
        <v>9095</v>
      </c>
      <c r="O4538" t="s">
        <v>11134</v>
      </c>
      <c r="P4538" t="s">
        <v>11165</v>
      </c>
      <c r="R4538" t="s">
        <v>11180</v>
      </c>
      <c r="S4538" t="s">
        <v>9094</v>
      </c>
      <c r="T4538" t="s">
        <v>11183</v>
      </c>
      <c r="V4538" t="s">
        <v>309</v>
      </c>
      <c r="W4538">
        <v>1296</v>
      </c>
      <c r="X4538" t="s">
        <v>11335</v>
      </c>
      <c r="Y4538" t="s">
        <v>11340</v>
      </c>
      <c r="Z4538" t="s">
        <v>14318</v>
      </c>
      <c r="AB4538" t="s">
        <v>18639</v>
      </c>
      <c r="AC4538">
        <v>44</v>
      </c>
      <c r="AD4538" t="s">
        <v>19566</v>
      </c>
      <c r="AE4538" t="s">
        <v>9144</v>
      </c>
      <c r="AF4538">
        <v>11</v>
      </c>
      <c r="AG4538">
        <v>3</v>
      </c>
      <c r="AH4538">
        <v>0</v>
      </c>
      <c r="AI4538">
        <v>173.46</v>
      </c>
      <c r="AL4538" t="s">
        <v>19615</v>
      </c>
      <c r="AM4538">
        <v>37000</v>
      </c>
      <c r="AS4538">
        <v>0</v>
      </c>
      <c r="AU4538" t="s">
        <v>130</v>
      </c>
      <c r="AV4538" t="s">
        <v>20733</v>
      </c>
    </row>
    <row r="4539" spans="1:48">
      <c r="A4539" s="1">
        <f>HYPERLINK("https://lsnyc.legalserver.org/matter/dynamic-profile/view/1912491","19-1912491")</f>
        <v>0</v>
      </c>
      <c r="B4539" t="s">
        <v>141</v>
      </c>
      <c r="C4539" t="s">
        <v>257</v>
      </c>
      <c r="D4539" t="s">
        <v>744</v>
      </c>
      <c r="E4539" t="s">
        <v>594</v>
      </c>
      <c r="F4539" t="s">
        <v>2865</v>
      </c>
      <c r="G4539" t="s">
        <v>3765</v>
      </c>
      <c r="H4539" t="s">
        <v>5999</v>
      </c>
      <c r="J4539" t="s">
        <v>9067</v>
      </c>
      <c r="K4539">
        <v>10040</v>
      </c>
      <c r="L4539" t="s">
        <v>9094</v>
      </c>
      <c r="M4539" t="s">
        <v>9095</v>
      </c>
      <c r="N4539" t="s">
        <v>9753</v>
      </c>
      <c r="O4539" t="s">
        <v>11134</v>
      </c>
      <c r="P4539" t="s">
        <v>11168</v>
      </c>
      <c r="Q4539" t="s">
        <v>11177</v>
      </c>
      <c r="R4539" t="s">
        <v>11180</v>
      </c>
      <c r="S4539" t="s">
        <v>9094</v>
      </c>
      <c r="T4539" t="s">
        <v>11183</v>
      </c>
      <c r="V4539" t="s">
        <v>744</v>
      </c>
      <c r="W4539">
        <v>1296</v>
      </c>
      <c r="X4539" t="s">
        <v>11335</v>
      </c>
      <c r="Y4539" t="s">
        <v>11340</v>
      </c>
      <c r="Z4539" t="s">
        <v>14318</v>
      </c>
      <c r="AB4539" t="s">
        <v>18639</v>
      </c>
      <c r="AC4539">
        <v>44</v>
      </c>
      <c r="AE4539" t="s">
        <v>9144</v>
      </c>
      <c r="AF4539">
        <v>11</v>
      </c>
      <c r="AG4539">
        <v>3</v>
      </c>
      <c r="AH4539">
        <v>0</v>
      </c>
      <c r="AI4539">
        <v>173.46</v>
      </c>
      <c r="AL4539" t="s">
        <v>19615</v>
      </c>
      <c r="AM4539">
        <v>37000</v>
      </c>
      <c r="AS4539">
        <v>0.6</v>
      </c>
      <c r="AT4539" t="s">
        <v>594</v>
      </c>
      <c r="AU4539" t="s">
        <v>130</v>
      </c>
      <c r="AV4539" t="s">
        <v>20733</v>
      </c>
    </row>
    <row r="4540" spans="1:48">
      <c r="A4540" s="1">
        <f>HYPERLINK("https://lsnyc.legalserver.org/matter/dynamic-profile/view/0830972","17-0830972")</f>
        <v>0</v>
      </c>
      <c r="B4540" t="s">
        <v>139</v>
      </c>
      <c r="C4540" t="s">
        <v>256</v>
      </c>
      <c r="D4540" t="s">
        <v>368</v>
      </c>
      <c r="F4540" t="s">
        <v>1329</v>
      </c>
      <c r="G4540" t="s">
        <v>1561</v>
      </c>
      <c r="H4540" t="s">
        <v>7578</v>
      </c>
      <c r="I4540">
        <v>5</v>
      </c>
      <c r="J4540" t="s">
        <v>9067</v>
      </c>
      <c r="K4540">
        <v>10032</v>
      </c>
      <c r="L4540" t="s">
        <v>9095</v>
      </c>
      <c r="M4540" t="s">
        <v>9095</v>
      </c>
      <c r="N4540" t="s">
        <v>10760</v>
      </c>
      <c r="O4540" t="s">
        <v>11130</v>
      </c>
      <c r="P4540" t="s">
        <v>11165</v>
      </c>
      <c r="R4540" t="s">
        <v>11180</v>
      </c>
      <c r="S4540" t="s">
        <v>9094</v>
      </c>
      <c r="T4540" t="s">
        <v>11183</v>
      </c>
      <c r="V4540" t="s">
        <v>11248</v>
      </c>
      <c r="W4540">
        <v>852.74</v>
      </c>
      <c r="X4540" t="s">
        <v>11335</v>
      </c>
      <c r="Y4540" t="s">
        <v>11339</v>
      </c>
      <c r="Z4540" t="s">
        <v>14319</v>
      </c>
      <c r="AB4540" t="s">
        <v>18640</v>
      </c>
      <c r="AC4540">
        <v>44</v>
      </c>
      <c r="AD4540" t="s">
        <v>19566</v>
      </c>
      <c r="AE4540" t="s">
        <v>9144</v>
      </c>
      <c r="AF4540">
        <v>34</v>
      </c>
      <c r="AG4540">
        <v>6</v>
      </c>
      <c r="AH4540">
        <v>0</v>
      </c>
      <c r="AI4540">
        <v>173.54</v>
      </c>
      <c r="AJ4540" t="s">
        <v>704</v>
      </c>
      <c r="AL4540" t="s">
        <v>19615</v>
      </c>
      <c r="AM4540">
        <v>57200</v>
      </c>
      <c r="AS4540">
        <v>1.65</v>
      </c>
      <c r="AT4540" t="s">
        <v>689</v>
      </c>
      <c r="AU4540" t="s">
        <v>20657</v>
      </c>
    </row>
    <row r="4541" spans="1:48">
      <c r="A4541" s="1">
        <f>HYPERLINK("https://lsnyc.legalserver.org/matter/dynamic-profile/view/1842839","17-1842839")</f>
        <v>0</v>
      </c>
      <c r="B4541" t="s">
        <v>122</v>
      </c>
      <c r="C4541" t="s">
        <v>257</v>
      </c>
      <c r="D4541" t="s">
        <v>480</v>
      </c>
      <c r="E4541" t="s">
        <v>414</v>
      </c>
      <c r="F4541" t="s">
        <v>2829</v>
      </c>
      <c r="G4541" t="s">
        <v>5090</v>
      </c>
      <c r="H4541" t="s">
        <v>5911</v>
      </c>
      <c r="I4541" t="s">
        <v>8846</v>
      </c>
      <c r="J4541" t="s">
        <v>9066</v>
      </c>
      <c r="K4541">
        <v>10314</v>
      </c>
      <c r="L4541" t="s">
        <v>9094</v>
      </c>
      <c r="M4541" t="s">
        <v>9095</v>
      </c>
      <c r="N4541" t="s">
        <v>9260</v>
      </c>
      <c r="O4541" t="s">
        <v>11135</v>
      </c>
      <c r="P4541" t="s">
        <v>11168</v>
      </c>
      <c r="Q4541" t="s">
        <v>11177</v>
      </c>
      <c r="R4541" t="s">
        <v>11180</v>
      </c>
      <c r="S4541" t="s">
        <v>9094</v>
      </c>
      <c r="T4541" t="s">
        <v>11183</v>
      </c>
      <c r="U4541" t="s">
        <v>11201</v>
      </c>
      <c r="V4541" t="s">
        <v>712</v>
      </c>
      <c r="W4541">
        <v>859</v>
      </c>
      <c r="X4541" t="s">
        <v>11334</v>
      </c>
      <c r="Y4541" t="s">
        <v>11340</v>
      </c>
      <c r="Z4541" t="s">
        <v>14243</v>
      </c>
      <c r="AB4541" t="s">
        <v>18567</v>
      </c>
      <c r="AC4541">
        <v>96</v>
      </c>
      <c r="AD4541" t="s">
        <v>19566</v>
      </c>
      <c r="AE4541" t="s">
        <v>19587</v>
      </c>
      <c r="AF4541">
        <v>6</v>
      </c>
      <c r="AG4541">
        <v>1</v>
      </c>
      <c r="AH4541">
        <v>0</v>
      </c>
      <c r="AI4541">
        <v>173.63</v>
      </c>
      <c r="AJ4541" t="s">
        <v>19594</v>
      </c>
      <c r="AL4541" t="s">
        <v>19614</v>
      </c>
      <c r="AM4541">
        <v>20940</v>
      </c>
      <c r="AO4541" t="s">
        <v>20293</v>
      </c>
      <c r="AP4541" t="s">
        <v>20316</v>
      </c>
      <c r="AQ4541" t="s">
        <v>20369</v>
      </c>
      <c r="AR4541" t="s">
        <v>20385</v>
      </c>
      <c r="AS4541">
        <v>0.8</v>
      </c>
      <c r="AT4541" t="s">
        <v>414</v>
      </c>
      <c r="AU4541" t="s">
        <v>128</v>
      </c>
      <c r="AV4541" t="s">
        <v>20733</v>
      </c>
    </row>
    <row r="4542" spans="1:48">
      <c r="A4542" s="1">
        <f>HYPERLINK("https://lsnyc.legalserver.org/matter/dynamic-profile/view/0789341","15-0789341")</f>
        <v>0</v>
      </c>
      <c r="B4542" t="s">
        <v>119</v>
      </c>
      <c r="C4542" t="s">
        <v>256</v>
      </c>
      <c r="D4542" t="s">
        <v>580</v>
      </c>
      <c r="F4542" t="s">
        <v>2848</v>
      </c>
      <c r="G4542" t="s">
        <v>5110</v>
      </c>
      <c r="H4542" t="s">
        <v>5897</v>
      </c>
      <c r="I4542" t="s">
        <v>8857</v>
      </c>
      <c r="J4542" t="s">
        <v>9065</v>
      </c>
      <c r="K4542">
        <v>10452</v>
      </c>
      <c r="L4542" t="s">
        <v>9096</v>
      </c>
      <c r="M4542" t="s">
        <v>9095</v>
      </c>
      <c r="N4542" t="s">
        <v>9252</v>
      </c>
      <c r="O4542" t="s">
        <v>11135</v>
      </c>
      <c r="P4542" t="s">
        <v>11168</v>
      </c>
      <c r="R4542" t="s">
        <v>11180</v>
      </c>
      <c r="S4542" t="s">
        <v>9094</v>
      </c>
      <c r="T4542" t="s">
        <v>11183</v>
      </c>
      <c r="V4542" t="s">
        <v>580</v>
      </c>
      <c r="W4542">
        <v>858.6900000000001</v>
      </c>
      <c r="X4542" t="s">
        <v>11333</v>
      </c>
      <c r="Y4542" t="s">
        <v>11347</v>
      </c>
      <c r="Z4542" t="s">
        <v>14283</v>
      </c>
      <c r="AB4542" t="s">
        <v>18607</v>
      </c>
      <c r="AC4542">
        <v>0</v>
      </c>
      <c r="AF4542">
        <v>3</v>
      </c>
      <c r="AG4542">
        <v>2</v>
      </c>
      <c r="AH4542">
        <v>2</v>
      </c>
      <c r="AI4542">
        <v>173.69</v>
      </c>
      <c r="AL4542" t="s">
        <v>19614</v>
      </c>
      <c r="AM4542">
        <v>42120</v>
      </c>
      <c r="AS4542">
        <v>0.1</v>
      </c>
      <c r="AT4542" t="s">
        <v>969</v>
      </c>
      <c r="AU4542" t="s">
        <v>109</v>
      </c>
    </row>
    <row r="4543" spans="1:48">
      <c r="A4543" s="1">
        <f>HYPERLINK("https://lsnyc.legalserver.org/matter/dynamic-profile/view/1849707","17-1849707")</f>
        <v>0</v>
      </c>
      <c r="B4543" t="s">
        <v>139</v>
      </c>
      <c r="C4543" t="s">
        <v>256</v>
      </c>
      <c r="D4543" t="s">
        <v>1071</v>
      </c>
      <c r="F4543" t="s">
        <v>2204</v>
      </c>
      <c r="G4543" t="s">
        <v>5128</v>
      </c>
      <c r="H4543" t="s">
        <v>5948</v>
      </c>
      <c r="I4543" t="s">
        <v>8864</v>
      </c>
      <c r="J4543" t="s">
        <v>9067</v>
      </c>
      <c r="K4543">
        <v>10034</v>
      </c>
      <c r="L4543" t="s">
        <v>9094</v>
      </c>
      <c r="M4543" t="s">
        <v>9095</v>
      </c>
      <c r="O4543" t="s">
        <v>11130</v>
      </c>
      <c r="P4543" t="s">
        <v>11165</v>
      </c>
      <c r="R4543" t="s">
        <v>11180</v>
      </c>
      <c r="S4543" t="s">
        <v>9094</v>
      </c>
      <c r="T4543" t="s">
        <v>11183</v>
      </c>
      <c r="V4543" t="s">
        <v>1071</v>
      </c>
      <c r="W4543">
        <v>958</v>
      </c>
      <c r="X4543" t="s">
        <v>11335</v>
      </c>
      <c r="Y4543" t="s">
        <v>11338</v>
      </c>
      <c r="Z4543" t="s">
        <v>14320</v>
      </c>
      <c r="AB4543" t="s">
        <v>18641</v>
      </c>
      <c r="AC4543">
        <v>49</v>
      </c>
      <c r="AD4543" t="s">
        <v>19566</v>
      </c>
      <c r="AE4543" t="s">
        <v>9144</v>
      </c>
      <c r="AF4543">
        <v>14</v>
      </c>
      <c r="AG4543">
        <v>2</v>
      </c>
      <c r="AH4543">
        <v>3</v>
      </c>
      <c r="AI4543">
        <v>173.73</v>
      </c>
      <c r="AL4543" t="s">
        <v>19615</v>
      </c>
      <c r="AM4543">
        <v>50000</v>
      </c>
      <c r="AS4543">
        <v>1.1</v>
      </c>
      <c r="AT4543" t="s">
        <v>746</v>
      </c>
      <c r="AU4543" t="s">
        <v>130</v>
      </c>
    </row>
    <row r="4544" spans="1:48">
      <c r="A4544" s="1">
        <f>HYPERLINK("https://lsnyc.legalserver.org/matter/dynamic-profile/view/1862226","18-1862226")</f>
        <v>0</v>
      </c>
      <c r="B4544" t="s">
        <v>136</v>
      </c>
      <c r="C4544" t="s">
        <v>256</v>
      </c>
      <c r="D4544" t="s">
        <v>662</v>
      </c>
      <c r="F4544" t="s">
        <v>1693</v>
      </c>
      <c r="G4544" t="s">
        <v>3970</v>
      </c>
      <c r="H4544" t="s">
        <v>5942</v>
      </c>
      <c r="I4544" t="s">
        <v>8149</v>
      </c>
      <c r="J4544" t="s">
        <v>9067</v>
      </c>
      <c r="K4544">
        <v>10034</v>
      </c>
      <c r="L4544" t="s">
        <v>9094</v>
      </c>
      <c r="M4544" t="s">
        <v>9095</v>
      </c>
      <c r="N4544" t="s">
        <v>9862</v>
      </c>
      <c r="O4544" t="s">
        <v>11130</v>
      </c>
      <c r="P4544" t="s">
        <v>11165</v>
      </c>
      <c r="R4544" t="s">
        <v>11180</v>
      </c>
      <c r="S4544" t="s">
        <v>9094</v>
      </c>
      <c r="T4544" t="s">
        <v>11183</v>
      </c>
      <c r="V4544" t="s">
        <v>662</v>
      </c>
      <c r="W4544">
        <v>1108.03</v>
      </c>
      <c r="X4544" t="s">
        <v>11335</v>
      </c>
      <c r="Y4544" t="s">
        <v>11338</v>
      </c>
      <c r="Z4544" t="s">
        <v>14321</v>
      </c>
      <c r="AB4544" t="s">
        <v>18642</v>
      </c>
      <c r="AC4544">
        <v>60</v>
      </c>
      <c r="AD4544" t="s">
        <v>19566</v>
      </c>
      <c r="AE4544" t="s">
        <v>9144</v>
      </c>
      <c r="AF4544">
        <v>23</v>
      </c>
      <c r="AG4544">
        <v>2</v>
      </c>
      <c r="AH4544">
        <v>0</v>
      </c>
      <c r="AI4544">
        <v>173.75</v>
      </c>
      <c r="AL4544" t="s">
        <v>19615</v>
      </c>
      <c r="AM4544">
        <v>28600</v>
      </c>
      <c r="AS4544">
        <v>0</v>
      </c>
      <c r="AU4544" t="s">
        <v>130</v>
      </c>
    </row>
    <row r="4545" spans="1:48">
      <c r="A4545" s="1">
        <f>HYPERLINK("https://lsnyc.legalserver.org/matter/dynamic-profile/view/1887097","19-1887097")</f>
        <v>0</v>
      </c>
      <c r="B4545" t="s">
        <v>70</v>
      </c>
      <c r="C4545" t="s">
        <v>256</v>
      </c>
      <c r="D4545" t="s">
        <v>324</v>
      </c>
      <c r="F4545" t="s">
        <v>2839</v>
      </c>
      <c r="G4545" t="s">
        <v>5104</v>
      </c>
      <c r="H4545" t="s">
        <v>5748</v>
      </c>
      <c r="I4545" t="s">
        <v>8853</v>
      </c>
      <c r="J4545" t="s">
        <v>9059</v>
      </c>
      <c r="K4545">
        <v>11233</v>
      </c>
      <c r="L4545" t="s">
        <v>9094</v>
      </c>
      <c r="M4545" t="s">
        <v>9094</v>
      </c>
      <c r="N4545" t="s">
        <v>9145</v>
      </c>
      <c r="O4545" t="s">
        <v>11134</v>
      </c>
      <c r="P4545" t="s">
        <v>11168</v>
      </c>
      <c r="R4545" t="s">
        <v>11180</v>
      </c>
      <c r="S4545" t="s">
        <v>9094</v>
      </c>
      <c r="T4545" t="s">
        <v>11183</v>
      </c>
      <c r="U4545" t="s">
        <v>11201</v>
      </c>
      <c r="V4545" t="s">
        <v>848</v>
      </c>
      <c r="W4545">
        <v>1353.11</v>
      </c>
      <c r="X4545" t="s">
        <v>11332</v>
      </c>
      <c r="Y4545" t="s">
        <v>11339</v>
      </c>
      <c r="Z4545" t="s">
        <v>14270</v>
      </c>
      <c r="AA4545" t="s">
        <v>9144</v>
      </c>
      <c r="AB4545" t="s">
        <v>18598</v>
      </c>
      <c r="AC4545">
        <v>764</v>
      </c>
      <c r="AD4545" t="s">
        <v>19566</v>
      </c>
      <c r="AE4545" t="s">
        <v>9144</v>
      </c>
      <c r="AF4545">
        <v>24</v>
      </c>
      <c r="AG4545">
        <v>5</v>
      </c>
      <c r="AH4545">
        <v>0</v>
      </c>
      <c r="AI4545">
        <v>174.03</v>
      </c>
      <c r="AL4545" t="s">
        <v>19614</v>
      </c>
      <c r="AM4545">
        <v>51200</v>
      </c>
      <c r="AS4545">
        <v>0</v>
      </c>
      <c r="AU4545" t="s">
        <v>95</v>
      </c>
    </row>
    <row r="4546" spans="1:48">
      <c r="A4546" s="1">
        <f>HYPERLINK("https://lsnyc.legalserver.org/matter/dynamic-profile/view/1853536","17-1853536")</f>
        <v>0</v>
      </c>
      <c r="B4546" t="s">
        <v>122</v>
      </c>
      <c r="C4546" t="s">
        <v>257</v>
      </c>
      <c r="D4546" t="s">
        <v>852</v>
      </c>
      <c r="E4546" t="s">
        <v>396</v>
      </c>
      <c r="F4546" t="s">
        <v>1723</v>
      </c>
      <c r="G4546" t="s">
        <v>5129</v>
      </c>
      <c r="H4546" t="s">
        <v>5974</v>
      </c>
      <c r="I4546" t="s">
        <v>8865</v>
      </c>
      <c r="J4546" t="s">
        <v>9066</v>
      </c>
      <c r="K4546">
        <v>10304</v>
      </c>
      <c r="L4546" t="s">
        <v>9094</v>
      </c>
      <c r="M4546" t="s">
        <v>9095</v>
      </c>
      <c r="N4546" t="s">
        <v>10761</v>
      </c>
      <c r="O4546" t="s">
        <v>11128</v>
      </c>
      <c r="P4546" t="s">
        <v>11165</v>
      </c>
      <c r="Q4546" t="s">
        <v>11174</v>
      </c>
      <c r="R4546" t="s">
        <v>11181</v>
      </c>
      <c r="S4546" t="s">
        <v>9096</v>
      </c>
      <c r="T4546" t="s">
        <v>11190</v>
      </c>
      <c r="U4546" t="s">
        <v>11201</v>
      </c>
      <c r="V4546" t="s">
        <v>606</v>
      </c>
      <c r="W4546">
        <v>250</v>
      </c>
      <c r="X4546" t="s">
        <v>11334</v>
      </c>
      <c r="Y4546" t="s">
        <v>11337</v>
      </c>
      <c r="Z4546" t="s">
        <v>14322</v>
      </c>
      <c r="AB4546" t="s">
        <v>18643</v>
      </c>
      <c r="AC4546">
        <v>156</v>
      </c>
      <c r="AD4546" t="s">
        <v>19567</v>
      </c>
      <c r="AE4546" t="s">
        <v>19580</v>
      </c>
      <c r="AF4546">
        <v>1</v>
      </c>
      <c r="AG4546">
        <v>1</v>
      </c>
      <c r="AH4546">
        <v>3</v>
      </c>
      <c r="AI4546">
        <v>174.18</v>
      </c>
      <c r="AJ4546" t="s">
        <v>19591</v>
      </c>
      <c r="AK4546" t="s">
        <v>19608</v>
      </c>
      <c r="AL4546" t="s">
        <v>19614</v>
      </c>
      <c r="AM4546">
        <v>42848</v>
      </c>
      <c r="AO4546" t="s">
        <v>20290</v>
      </c>
      <c r="AP4546" t="s">
        <v>20355</v>
      </c>
      <c r="AQ4546" t="s">
        <v>20369</v>
      </c>
      <c r="AR4546" t="s">
        <v>20547</v>
      </c>
      <c r="AS4546">
        <v>99.90000000000001</v>
      </c>
      <c r="AT4546" t="s">
        <v>416</v>
      </c>
      <c r="AU4546" t="s">
        <v>128</v>
      </c>
      <c r="AV4546" t="s">
        <v>20733</v>
      </c>
    </row>
    <row r="4547" spans="1:48">
      <c r="A4547" s="1">
        <f>HYPERLINK("https://lsnyc.legalserver.org/matter/dynamic-profile/view/0798995","16-0798995")</f>
        <v>0</v>
      </c>
      <c r="B4547" t="s">
        <v>101</v>
      </c>
      <c r="C4547" t="s">
        <v>256</v>
      </c>
      <c r="D4547" t="s">
        <v>1072</v>
      </c>
      <c r="F4547" t="s">
        <v>1381</v>
      </c>
      <c r="G4547" t="s">
        <v>4045</v>
      </c>
      <c r="H4547" t="s">
        <v>6041</v>
      </c>
      <c r="I4547" t="s">
        <v>8410</v>
      </c>
      <c r="J4547" t="s">
        <v>9065</v>
      </c>
      <c r="K4547">
        <v>10452</v>
      </c>
      <c r="L4547" t="s">
        <v>9094</v>
      </c>
      <c r="M4547" t="s">
        <v>9095</v>
      </c>
      <c r="N4547" t="s">
        <v>9499</v>
      </c>
      <c r="O4547" t="s">
        <v>11135</v>
      </c>
      <c r="P4547" t="s">
        <v>11168</v>
      </c>
      <c r="R4547" t="s">
        <v>11180</v>
      </c>
      <c r="S4547" t="s">
        <v>9094</v>
      </c>
      <c r="T4547" t="s">
        <v>11183</v>
      </c>
      <c r="V4547" t="s">
        <v>1094</v>
      </c>
      <c r="W4547">
        <v>818.04</v>
      </c>
      <c r="X4547" t="s">
        <v>11333</v>
      </c>
      <c r="Y4547" t="s">
        <v>11346</v>
      </c>
      <c r="Z4547" t="s">
        <v>14295</v>
      </c>
      <c r="AB4547" t="s">
        <v>18617</v>
      </c>
      <c r="AC4547">
        <v>61</v>
      </c>
      <c r="AD4547" t="s">
        <v>19566</v>
      </c>
      <c r="AE4547" t="s">
        <v>9144</v>
      </c>
      <c r="AF4547">
        <v>41</v>
      </c>
      <c r="AG4547">
        <v>4</v>
      </c>
      <c r="AH4547">
        <v>1</v>
      </c>
      <c r="AI4547">
        <v>174.26</v>
      </c>
      <c r="AL4547" t="s">
        <v>19615</v>
      </c>
      <c r="AM4547">
        <v>79559.07000000001</v>
      </c>
      <c r="AS4547">
        <v>134.25</v>
      </c>
      <c r="AT4547" t="s">
        <v>873</v>
      </c>
      <c r="AU4547" t="s">
        <v>109</v>
      </c>
    </row>
    <row r="4548" spans="1:48">
      <c r="A4548" s="1">
        <f>HYPERLINK("https://lsnyc.legalserver.org/matter/dynamic-profile/view/0816944","16-0816944")</f>
        <v>0</v>
      </c>
      <c r="B4548" t="s">
        <v>101</v>
      </c>
      <c r="C4548" t="s">
        <v>256</v>
      </c>
      <c r="D4548" t="s">
        <v>437</v>
      </c>
      <c r="F4548" t="s">
        <v>1381</v>
      </c>
      <c r="G4548" t="s">
        <v>4045</v>
      </c>
      <c r="H4548" t="s">
        <v>6041</v>
      </c>
      <c r="I4548" t="s">
        <v>8410</v>
      </c>
      <c r="J4548" t="s">
        <v>9065</v>
      </c>
      <c r="K4548">
        <v>10452</v>
      </c>
      <c r="L4548" t="s">
        <v>9094</v>
      </c>
      <c r="M4548" t="s">
        <v>9095</v>
      </c>
      <c r="N4548" t="s">
        <v>9500</v>
      </c>
      <c r="O4548" t="s">
        <v>11135</v>
      </c>
      <c r="P4548" t="s">
        <v>11168</v>
      </c>
      <c r="R4548" t="s">
        <v>11180</v>
      </c>
      <c r="S4548" t="s">
        <v>9094</v>
      </c>
      <c r="T4548" t="s">
        <v>11183</v>
      </c>
      <c r="V4548" t="s">
        <v>1024</v>
      </c>
      <c r="W4548">
        <v>818.04</v>
      </c>
      <c r="X4548" t="s">
        <v>11333</v>
      </c>
      <c r="Y4548" t="s">
        <v>11346</v>
      </c>
      <c r="Z4548" t="s">
        <v>14295</v>
      </c>
      <c r="AB4548" t="s">
        <v>18617</v>
      </c>
      <c r="AC4548">
        <v>62</v>
      </c>
      <c r="AD4548" t="s">
        <v>19566</v>
      </c>
      <c r="AE4548" t="s">
        <v>9144</v>
      </c>
      <c r="AF4548">
        <v>41</v>
      </c>
      <c r="AG4548">
        <v>4</v>
      </c>
      <c r="AH4548">
        <v>1</v>
      </c>
      <c r="AI4548">
        <v>174.26</v>
      </c>
      <c r="AL4548" t="s">
        <v>19615</v>
      </c>
      <c r="AM4548">
        <v>79559.07000000001</v>
      </c>
      <c r="AS4548">
        <v>5.35</v>
      </c>
      <c r="AT4548" t="s">
        <v>873</v>
      </c>
      <c r="AU4548" t="s">
        <v>20643</v>
      </c>
    </row>
    <row r="4549" spans="1:48">
      <c r="A4549" s="1">
        <f>HYPERLINK("https://lsnyc.legalserver.org/matter/dynamic-profile/view/0822630","16-0822630")</f>
        <v>0</v>
      </c>
      <c r="B4549" t="s">
        <v>101</v>
      </c>
      <c r="C4549" t="s">
        <v>256</v>
      </c>
      <c r="D4549" t="s">
        <v>657</v>
      </c>
      <c r="F4549" t="s">
        <v>1381</v>
      </c>
      <c r="G4549" t="s">
        <v>4045</v>
      </c>
      <c r="H4549" t="s">
        <v>6041</v>
      </c>
      <c r="I4549" t="s">
        <v>8410</v>
      </c>
      <c r="J4549" t="s">
        <v>9065</v>
      </c>
      <c r="K4549">
        <v>10452</v>
      </c>
      <c r="L4549" t="s">
        <v>9094</v>
      </c>
      <c r="M4549" t="s">
        <v>9095</v>
      </c>
      <c r="N4549" t="s">
        <v>9501</v>
      </c>
      <c r="O4549" t="s">
        <v>11135</v>
      </c>
      <c r="P4549" t="s">
        <v>11168</v>
      </c>
      <c r="R4549" t="s">
        <v>11180</v>
      </c>
      <c r="T4549" t="s">
        <v>11183</v>
      </c>
      <c r="V4549" t="s">
        <v>1089</v>
      </c>
      <c r="W4549">
        <v>818.04</v>
      </c>
      <c r="X4549" t="s">
        <v>11333</v>
      </c>
      <c r="Y4549" t="s">
        <v>11346</v>
      </c>
      <c r="Z4549" t="s">
        <v>14295</v>
      </c>
      <c r="AB4549" t="s">
        <v>18617</v>
      </c>
      <c r="AC4549">
        <v>62</v>
      </c>
      <c r="AD4549" t="s">
        <v>19566</v>
      </c>
      <c r="AE4549" t="s">
        <v>9144</v>
      </c>
      <c r="AF4549">
        <v>41</v>
      </c>
      <c r="AG4549">
        <v>4</v>
      </c>
      <c r="AH4549">
        <v>1</v>
      </c>
      <c r="AI4549">
        <v>174.26</v>
      </c>
      <c r="AL4549" t="s">
        <v>19615</v>
      </c>
      <c r="AM4549">
        <v>79559.07000000001</v>
      </c>
      <c r="AS4549">
        <v>6.1</v>
      </c>
      <c r="AT4549" t="s">
        <v>738</v>
      </c>
      <c r="AU4549" t="s">
        <v>20643</v>
      </c>
    </row>
    <row r="4550" spans="1:48">
      <c r="A4550" s="1">
        <f>HYPERLINK("https://lsnyc.legalserver.org/matter/dynamic-profile/view/1850841","17-1850841")</f>
        <v>0</v>
      </c>
      <c r="B4550" t="s">
        <v>127</v>
      </c>
      <c r="C4550" t="s">
        <v>256</v>
      </c>
      <c r="D4550" t="s">
        <v>1073</v>
      </c>
      <c r="F4550" t="s">
        <v>2375</v>
      </c>
      <c r="G4550" t="s">
        <v>5130</v>
      </c>
      <c r="H4550" t="s">
        <v>7717</v>
      </c>
      <c r="I4550" t="s">
        <v>8218</v>
      </c>
      <c r="J4550" t="s">
        <v>9066</v>
      </c>
      <c r="K4550">
        <v>10304</v>
      </c>
      <c r="L4550" t="s">
        <v>9094</v>
      </c>
      <c r="M4550" t="s">
        <v>9095</v>
      </c>
      <c r="N4550" t="s">
        <v>10762</v>
      </c>
      <c r="O4550" t="s">
        <v>11129</v>
      </c>
      <c r="P4550" t="s">
        <v>11165</v>
      </c>
      <c r="R4550" t="s">
        <v>11180</v>
      </c>
      <c r="S4550" t="s">
        <v>9096</v>
      </c>
      <c r="T4550" t="s">
        <v>11183</v>
      </c>
      <c r="V4550" t="s">
        <v>1073</v>
      </c>
      <c r="W4550">
        <v>1100</v>
      </c>
      <c r="X4550" t="s">
        <v>11334</v>
      </c>
      <c r="Y4550" t="s">
        <v>11339</v>
      </c>
      <c r="Z4550" t="s">
        <v>14323</v>
      </c>
      <c r="AB4550" t="s">
        <v>18644</v>
      </c>
      <c r="AC4550">
        <v>4</v>
      </c>
      <c r="AD4550" t="s">
        <v>19565</v>
      </c>
      <c r="AE4550" t="s">
        <v>9144</v>
      </c>
      <c r="AF4550">
        <v>8</v>
      </c>
      <c r="AG4550">
        <v>3</v>
      </c>
      <c r="AH4550">
        <v>0</v>
      </c>
      <c r="AI4550">
        <v>174.34</v>
      </c>
      <c r="AL4550" t="s">
        <v>19614</v>
      </c>
      <c r="AM4550">
        <v>35600</v>
      </c>
      <c r="AS4550">
        <v>16.25</v>
      </c>
      <c r="AT4550" t="s">
        <v>276</v>
      </c>
      <c r="AU4550" t="s">
        <v>20652</v>
      </c>
    </row>
    <row r="4551" spans="1:48">
      <c r="A4551" s="1">
        <f>HYPERLINK("https://lsnyc.legalserver.org/matter/dynamic-profile/view/1882966","18-1882966")</f>
        <v>0</v>
      </c>
      <c r="B4551" t="s">
        <v>106</v>
      </c>
      <c r="C4551" t="s">
        <v>257</v>
      </c>
      <c r="D4551" t="s">
        <v>831</v>
      </c>
      <c r="E4551" t="s">
        <v>396</v>
      </c>
      <c r="F4551" t="s">
        <v>2841</v>
      </c>
      <c r="G4551" t="s">
        <v>5106</v>
      </c>
      <c r="H4551" t="s">
        <v>6624</v>
      </c>
      <c r="I4551" t="s">
        <v>8854</v>
      </c>
      <c r="J4551" t="s">
        <v>9065</v>
      </c>
      <c r="K4551">
        <v>10458</v>
      </c>
      <c r="L4551" t="s">
        <v>9094</v>
      </c>
      <c r="M4551" t="s">
        <v>9094</v>
      </c>
      <c r="N4551" t="s">
        <v>9825</v>
      </c>
      <c r="O4551" t="s">
        <v>11130</v>
      </c>
      <c r="P4551" t="s">
        <v>11165</v>
      </c>
      <c r="Q4551" t="s">
        <v>11179</v>
      </c>
      <c r="R4551" t="s">
        <v>11180</v>
      </c>
      <c r="S4551" t="s">
        <v>9094</v>
      </c>
      <c r="T4551" t="s">
        <v>11183</v>
      </c>
      <c r="V4551" t="s">
        <v>11212</v>
      </c>
      <c r="W4551">
        <v>1125</v>
      </c>
      <c r="X4551" t="s">
        <v>11333</v>
      </c>
      <c r="Y4551" t="s">
        <v>11346</v>
      </c>
      <c r="Z4551" t="s">
        <v>14272</v>
      </c>
      <c r="AC4551">
        <v>0</v>
      </c>
      <c r="AD4551" t="s">
        <v>19566</v>
      </c>
      <c r="AE4551" t="s">
        <v>9144</v>
      </c>
      <c r="AF4551">
        <v>19</v>
      </c>
      <c r="AG4551">
        <v>3</v>
      </c>
      <c r="AH4551">
        <v>0</v>
      </c>
      <c r="AI4551">
        <v>174.42</v>
      </c>
      <c r="AL4551" t="s">
        <v>19615</v>
      </c>
      <c r="AM4551">
        <v>36244</v>
      </c>
      <c r="AS4551">
        <v>1.65</v>
      </c>
      <c r="AT4551" t="s">
        <v>396</v>
      </c>
      <c r="AU4551" t="s">
        <v>163</v>
      </c>
    </row>
    <row r="4552" spans="1:48">
      <c r="A4552" s="1">
        <f>HYPERLINK("https://lsnyc.legalserver.org/matter/dynamic-profile/view/1886706","18-1886706")</f>
        <v>0</v>
      </c>
      <c r="B4552" t="s">
        <v>113</v>
      </c>
      <c r="C4552" t="s">
        <v>256</v>
      </c>
      <c r="D4552" t="s">
        <v>448</v>
      </c>
      <c r="F4552" t="s">
        <v>1534</v>
      </c>
      <c r="G4552" t="s">
        <v>4033</v>
      </c>
      <c r="H4552" t="s">
        <v>5864</v>
      </c>
      <c r="I4552" t="s">
        <v>8855</v>
      </c>
      <c r="J4552" t="s">
        <v>9065</v>
      </c>
      <c r="K4552">
        <v>10460</v>
      </c>
      <c r="L4552" t="s">
        <v>9094</v>
      </c>
      <c r="M4552" t="s">
        <v>9094</v>
      </c>
      <c r="N4552" t="s">
        <v>9222</v>
      </c>
      <c r="O4552" t="s">
        <v>11130</v>
      </c>
      <c r="P4552" t="s">
        <v>11165</v>
      </c>
      <c r="R4552" t="s">
        <v>11180</v>
      </c>
      <c r="S4552" t="s">
        <v>9094</v>
      </c>
      <c r="T4552" t="s">
        <v>11183</v>
      </c>
      <c r="V4552" t="s">
        <v>512</v>
      </c>
      <c r="W4552">
        <v>751</v>
      </c>
      <c r="X4552" t="s">
        <v>11333</v>
      </c>
      <c r="Y4552" t="s">
        <v>11346</v>
      </c>
      <c r="Z4552" t="s">
        <v>12133</v>
      </c>
      <c r="AB4552" t="s">
        <v>18601</v>
      </c>
      <c r="AC4552">
        <v>168</v>
      </c>
      <c r="AD4552" t="s">
        <v>15441</v>
      </c>
      <c r="AE4552" t="s">
        <v>19580</v>
      </c>
      <c r="AF4552">
        <v>15</v>
      </c>
      <c r="AG4552">
        <v>2</v>
      </c>
      <c r="AH4552">
        <v>1</v>
      </c>
      <c r="AI4552">
        <v>174.45</v>
      </c>
      <c r="AL4552" t="s">
        <v>19614</v>
      </c>
      <c r="AM4552">
        <v>36250</v>
      </c>
      <c r="AS4552">
        <v>0</v>
      </c>
      <c r="AU4552" t="s">
        <v>158</v>
      </c>
    </row>
    <row r="4553" spans="1:48">
      <c r="A4553" s="1">
        <f>HYPERLINK("https://lsnyc.legalserver.org/matter/dynamic-profile/view/1871549","18-1871549")</f>
        <v>0</v>
      </c>
      <c r="B4553" t="s">
        <v>78</v>
      </c>
      <c r="C4553" t="s">
        <v>256</v>
      </c>
      <c r="D4553" t="s">
        <v>389</v>
      </c>
      <c r="F4553" t="s">
        <v>2764</v>
      </c>
      <c r="G4553" t="s">
        <v>4048</v>
      </c>
      <c r="H4553" t="s">
        <v>5809</v>
      </c>
      <c r="I4553" t="s">
        <v>8266</v>
      </c>
      <c r="J4553" t="s">
        <v>9059</v>
      </c>
      <c r="K4553">
        <v>11212</v>
      </c>
      <c r="L4553" t="s">
        <v>9094</v>
      </c>
      <c r="M4553" t="s">
        <v>9094</v>
      </c>
      <c r="O4553" t="s">
        <v>9121</v>
      </c>
      <c r="P4553" t="s">
        <v>11167</v>
      </c>
      <c r="R4553" t="s">
        <v>11180</v>
      </c>
      <c r="S4553" t="s">
        <v>9094</v>
      </c>
      <c r="T4553" t="s">
        <v>11183</v>
      </c>
      <c r="V4553" t="s">
        <v>11214</v>
      </c>
      <c r="W4553">
        <v>1120</v>
      </c>
      <c r="X4553" t="s">
        <v>11332</v>
      </c>
      <c r="Y4553" t="s">
        <v>11157</v>
      </c>
      <c r="Z4553" t="s">
        <v>14324</v>
      </c>
      <c r="AB4553" t="s">
        <v>18645</v>
      </c>
      <c r="AC4553">
        <v>32</v>
      </c>
      <c r="AD4553" t="s">
        <v>19566</v>
      </c>
      <c r="AF4553">
        <v>12</v>
      </c>
      <c r="AG4553">
        <v>2</v>
      </c>
      <c r="AH4553">
        <v>0</v>
      </c>
      <c r="AI4553">
        <v>174.54</v>
      </c>
      <c r="AL4553" t="s">
        <v>19614</v>
      </c>
      <c r="AM4553">
        <v>28728.96</v>
      </c>
      <c r="AN4553" t="s">
        <v>19715</v>
      </c>
      <c r="AS4553">
        <v>0</v>
      </c>
      <c r="AU4553" t="s">
        <v>20637</v>
      </c>
    </row>
    <row r="4554" spans="1:48">
      <c r="A4554" s="1">
        <f>HYPERLINK("https://lsnyc.legalserver.org/matter/dynamic-profile/view/1867079","18-1867079")</f>
        <v>0</v>
      </c>
      <c r="B4554" t="s">
        <v>78</v>
      </c>
      <c r="C4554" t="s">
        <v>256</v>
      </c>
      <c r="D4554" t="s">
        <v>390</v>
      </c>
      <c r="F4554" t="s">
        <v>2764</v>
      </c>
      <c r="G4554" t="s">
        <v>4048</v>
      </c>
      <c r="H4554" t="s">
        <v>5809</v>
      </c>
      <c r="I4554" t="s">
        <v>8266</v>
      </c>
      <c r="J4554" t="s">
        <v>9059</v>
      </c>
      <c r="K4554">
        <v>11212</v>
      </c>
      <c r="L4554" t="s">
        <v>9094</v>
      </c>
      <c r="M4554" t="s">
        <v>9095</v>
      </c>
      <c r="O4554" t="s">
        <v>11137</v>
      </c>
      <c r="P4554" t="s">
        <v>11168</v>
      </c>
      <c r="R4554" t="s">
        <v>11180</v>
      </c>
      <c r="S4554" t="s">
        <v>9094</v>
      </c>
      <c r="T4554" t="s">
        <v>11183</v>
      </c>
      <c r="V4554" t="s">
        <v>345</v>
      </c>
      <c r="W4554">
        <v>1120</v>
      </c>
      <c r="X4554" t="s">
        <v>11332</v>
      </c>
      <c r="Y4554" t="s">
        <v>11157</v>
      </c>
      <c r="Z4554" t="s">
        <v>14324</v>
      </c>
      <c r="AB4554" t="s">
        <v>18645</v>
      </c>
      <c r="AC4554">
        <v>32</v>
      </c>
      <c r="AD4554" t="s">
        <v>19566</v>
      </c>
      <c r="AF4554">
        <v>12</v>
      </c>
      <c r="AG4554">
        <v>2</v>
      </c>
      <c r="AH4554">
        <v>0</v>
      </c>
      <c r="AI4554">
        <v>174.54</v>
      </c>
      <c r="AL4554" t="s">
        <v>19614</v>
      </c>
      <c r="AM4554">
        <v>28729</v>
      </c>
      <c r="AS4554">
        <v>0</v>
      </c>
      <c r="AU4554" t="s">
        <v>95</v>
      </c>
    </row>
    <row r="4555" spans="1:48">
      <c r="A4555" s="1">
        <f>HYPERLINK("https://lsnyc.legalserver.org/matter/dynamic-profile/view/1897656","19-1897656")</f>
        <v>0</v>
      </c>
      <c r="B4555" t="s">
        <v>52</v>
      </c>
      <c r="C4555" t="s">
        <v>257</v>
      </c>
      <c r="D4555" t="s">
        <v>617</v>
      </c>
      <c r="E4555" t="s">
        <v>1129</v>
      </c>
      <c r="F4555" t="s">
        <v>1707</v>
      </c>
      <c r="G4555" t="s">
        <v>3344</v>
      </c>
      <c r="H4555" t="s">
        <v>6422</v>
      </c>
      <c r="I4555">
        <v>919</v>
      </c>
      <c r="J4555" t="s">
        <v>9037</v>
      </c>
      <c r="K4555">
        <v>11692</v>
      </c>
      <c r="L4555" t="s">
        <v>9094</v>
      </c>
      <c r="M4555" t="s">
        <v>9094</v>
      </c>
      <c r="N4555" t="s">
        <v>10763</v>
      </c>
      <c r="O4555" t="s">
        <v>11129</v>
      </c>
      <c r="P4555" t="s">
        <v>11165</v>
      </c>
      <c r="Q4555" t="s">
        <v>11174</v>
      </c>
      <c r="R4555" t="s">
        <v>11180</v>
      </c>
      <c r="S4555" t="s">
        <v>9096</v>
      </c>
      <c r="T4555" t="s">
        <v>11183</v>
      </c>
      <c r="U4555" t="s">
        <v>11198</v>
      </c>
      <c r="V4555" t="s">
        <v>596</v>
      </c>
      <c r="W4555">
        <v>1885</v>
      </c>
      <c r="X4555" t="s">
        <v>11331</v>
      </c>
      <c r="Y4555" t="s">
        <v>11336</v>
      </c>
      <c r="Z4555" t="s">
        <v>14325</v>
      </c>
      <c r="AB4555" t="s">
        <v>18646</v>
      </c>
      <c r="AC4555">
        <v>103</v>
      </c>
      <c r="AD4555" t="s">
        <v>15441</v>
      </c>
      <c r="AE4555" t="s">
        <v>9144</v>
      </c>
      <c r="AF4555">
        <v>4</v>
      </c>
      <c r="AG4555">
        <v>2</v>
      </c>
      <c r="AH4555">
        <v>2</v>
      </c>
      <c r="AI4555">
        <v>174.76</v>
      </c>
      <c r="AL4555" t="s">
        <v>19614</v>
      </c>
      <c r="AM4555">
        <v>45000</v>
      </c>
      <c r="AO4555" t="s">
        <v>20294</v>
      </c>
      <c r="AP4555" t="s">
        <v>20356</v>
      </c>
      <c r="AQ4555" t="s">
        <v>20369</v>
      </c>
      <c r="AR4555" t="s">
        <v>20548</v>
      </c>
      <c r="AS4555">
        <v>0.5</v>
      </c>
      <c r="AT4555" t="s">
        <v>1129</v>
      </c>
      <c r="AU4555" t="s">
        <v>20620</v>
      </c>
      <c r="AV4555" t="s">
        <v>20733</v>
      </c>
    </row>
    <row r="4556" spans="1:48">
      <c r="A4556" s="1">
        <f>HYPERLINK("https://lsnyc.legalserver.org/matter/dynamic-profile/view/1896691","19-1896691")</f>
        <v>0</v>
      </c>
      <c r="B4556" t="s">
        <v>54</v>
      </c>
      <c r="C4556" t="s">
        <v>257</v>
      </c>
      <c r="D4556" t="s">
        <v>454</v>
      </c>
      <c r="E4556" t="s">
        <v>1128</v>
      </c>
      <c r="F4556" t="s">
        <v>1707</v>
      </c>
      <c r="G4556" t="s">
        <v>3344</v>
      </c>
      <c r="H4556" t="s">
        <v>6422</v>
      </c>
      <c r="I4556">
        <v>919</v>
      </c>
      <c r="J4556" t="s">
        <v>9037</v>
      </c>
      <c r="K4556">
        <v>11692</v>
      </c>
      <c r="L4556" t="s">
        <v>9094</v>
      </c>
      <c r="M4556" t="s">
        <v>9094</v>
      </c>
      <c r="O4556" t="s">
        <v>11139</v>
      </c>
      <c r="P4556" t="s">
        <v>11166</v>
      </c>
      <c r="Q4556" t="s">
        <v>11177</v>
      </c>
      <c r="R4556" t="s">
        <v>11180</v>
      </c>
      <c r="S4556" t="s">
        <v>9094</v>
      </c>
      <c r="T4556" t="s">
        <v>11183</v>
      </c>
      <c r="U4556" t="s">
        <v>11200</v>
      </c>
      <c r="V4556" t="s">
        <v>454</v>
      </c>
      <c r="W4556">
        <v>1885</v>
      </c>
      <c r="X4556" t="s">
        <v>11331</v>
      </c>
      <c r="Y4556" t="s">
        <v>11336</v>
      </c>
      <c r="Z4556" t="s">
        <v>14325</v>
      </c>
      <c r="AA4556" t="s">
        <v>15274</v>
      </c>
      <c r="AB4556" t="s">
        <v>18646</v>
      </c>
      <c r="AC4556">
        <v>100</v>
      </c>
      <c r="AD4556" t="s">
        <v>15441</v>
      </c>
      <c r="AE4556" t="s">
        <v>9144</v>
      </c>
      <c r="AF4556">
        <v>4</v>
      </c>
      <c r="AG4556">
        <v>2</v>
      </c>
      <c r="AH4556">
        <v>2</v>
      </c>
      <c r="AI4556">
        <v>174.76</v>
      </c>
      <c r="AL4556" t="s">
        <v>19614</v>
      </c>
      <c r="AM4556">
        <v>45000</v>
      </c>
      <c r="AO4556" t="s">
        <v>20294</v>
      </c>
      <c r="AP4556" t="s">
        <v>20309</v>
      </c>
      <c r="AQ4556" t="s">
        <v>20369</v>
      </c>
      <c r="AR4556" t="s">
        <v>20549</v>
      </c>
      <c r="AS4556">
        <v>3.55</v>
      </c>
      <c r="AT4556" t="s">
        <v>310</v>
      </c>
      <c r="AU4556" t="s">
        <v>20622</v>
      </c>
    </row>
    <row r="4557" spans="1:48">
      <c r="A4557" s="1">
        <f>HYPERLINK("https://lsnyc.legalserver.org/matter/dynamic-profile/view/1890630","19-1890630")</f>
        <v>0</v>
      </c>
      <c r="B4557" t="s">
        <v>70</v>
      </c>
      <c r="C4557" t="s">
        <v>256</v>
      </c>
      <c r="D4557" t="s">
        <v>695</v>
      </c>
      <c r="F4557" t="s">
        <v>2866</v>
      </c>
      <c r="G4557" t="s">
        <v>5131</v>
      </c>
      <c r="H4557" t="s">
        <v>5748</v>
      </c>
      <c r="I4557" t="s">
        <v>8303</v>
      </c>
      <c r="J4557" t="s">
        <v>9059</v>
      </c>
      <c r="K4557">
        <v>11233</v>
      </c>
      <c r="L4557" t="s">
        <v>9094</v>
      </c>
      <c r="M4557" t="s">
        <v>9096</v>
      </c>
      <c r="N4557" t="s">
        <v>9145</v>
      </c>
      <c r="O4557" t="s">
        <v>11134</v>
      </c>
      <c r="P4557" t="s">
        <v>11168</v>
      </c>
      <c r="R4557" t="s">
        <v>11180</v>
      </c>
      <c r="S4557" t="s">
        <v>9094</v>
      </c>
      <c r="T4557" t="s">
        <v>11183</v>
      </c>
      <c r="U4557" t="s">
        <v>11201</v>
      </c>
      <c r="V4557" t="s">
        <v>482</v>
      </c>
      <c r="W4557">
        <v>1200</v>
      </c>
      <c r="X4557" t="s">
        <v>11332</v>
      </c>
      <c r="Y4557" t="s">
        <v>11157</v>
      </c>
      <c r="Z4557" t="s">
        <v>14326</v>
      </c>
      <c r="AC4557">
        <v>359</v>
      </c>
      <c r="AD4557" t="s">
        <v>19566</v>
      </c>
      <c r="AE4557" t="s">
        <v>9144</v>
      </c>
      <c r="AF4557">
        <v>10</v>
      </c>
      <c r="AG4557">
        <v>3</v>
      </c>
      <c r="AH4557">
        <v>1</v>
      </c>
      <c r="AI4557">
        <v>174.76</v>
      </c>
      <c r="AL4557" t="s">
        <v>19614</v>
      </c>
      <c r="AM4557">
        <v>45000</v>
      </c>
      <c r="AN4557" t="s">
        <v>19642</v>
      </c>
      <c r="AS4557">
        <v>0</v>
      </c>
      <c r="AU4557" t="s">
        <v>79</v>
      </c>
    </row>
    <row r="4558" spans="1:48">
      <c r="A4558" s="1">
        <f>HYPERLINK("https://lsnyc.legalserver.org/matter/dynamic-profile/view/1891875","19-1891875")</f>
        <v>0</v>
      </c>
      <c r="B4558" t="s">
        <v>70</v>
      </c>
      <c r="C4558" t="s">
        <v>256</v>
      </c>
      <c r="D4558" t="s">
        <v>383</v>
      </c>
      <c r="F4558" t="s">
        <v>2866</v>
      </c>
      <c r="G4558" t="s">
        <v>5131</v>
      </c>
      <c r="H4558" t="s">
        <v>5748</v>
      </c>
      <c r="I4558" t="s">
        <v>8303</v>
      </c>
      <c r="J4558" t="s">
        <v>9059</v>
      </c>
      <c r="K4558">
        <v>11233</v>
      </c>
      <c r="L4558" t="s">
        <v>9094</v>
      </c>
      <c r="M4558" t="s">
        <v>9096</v>
      </c>
      <c r="N4558" t="s">
        <v>9171</v>
      </c>
      <c r="O4558" t="s">
        <v>11137</v>
      </c>
      <c r="P4558" t="s">
        <v>11167</v>
      </c>
      <c r="R4558" t="s">
        <v>11180</v>
      </c>
      <c r="S4558" t="s">
        <v>9094</v>
      </c>
      <c r="T4558" t="s">
        <v>11183</v>
      </c>
      <c r="U4558" t="s">
        <v>11201</v>
      </c>
      <c r="V4558" t="s">
        <v>749</v>
      </c>
      <c r="W4558">
        <v>1200</v>
      </c>
      <c r="X4558" t="s">
        <v>11332</v>
      </c>
      <c r="Z4558" t="s">
        <v>14326</v>
      </c>
      <c r="AC4558">
        <v>359</v>
      </c>
      <c r="AD4558" t="s">
        <v>19566</v>
      </c>
      <c r="AE4558" t="s">
        <v>9144</v>
      </c>
      <c r="AF4558">
        <v>10</v>
      </c>
      <c r="AG4558">
        <v>3</v>
      </c>
      <c r="AH4558">
        <v>1</v>
      </c>
      <c r="AI4558">
        <v>174.76</v>
      </c>
      <c r="AL4558" t="s">
        <v>19614</v>
      </c>
      <c r="AM4558">
        <v>45000</v>
      </c>
      <c r="AN4558" t="s">
        <v>20034</v>
      </c>
      <c r="AS4558">
        <v>0</v>
      </c>
      <c r="AU4558" t="s">
        <v>95</v>
      </c>
    </row>
    <row r="4559" spans="1:48">
      <c r="A4559" s="1">
        <f>HYPERLINK("https://lsnyc.legalserver.org/matter/dynamic-profile/view/1910993","19-1910993")</f>
        <v>0</v>
      </c>
      <c r="B4559" t="s">
        <v>136</v>
      </c>
      <c r="C4559" t="s">
        <v>256</v>
      </c>
      <c r="D4559" t="s">
        <v>648</v>
      </c>
      <c r="F4559" t="s">
        <v>1158</v>
      </c>
      <c r="G4559" t="s">
        <v>2903</v>
      </c>
      <c r="H4559" t="s">
        <v>6596</v>
      </c>
      <c r="I4559" t="s">
        <v>8112</v>
      </c>
      <c r="J4559" t="s">
        <v>9067</v>
      </c>
      <c r="K4559">
        <v>10035</v>
      </c>
      <c r="L4559" t="s">
        <v>9094</v>
      </c>
      <c r="M4559" t="s">
        <v>9095</v>
      </c>
      <c r="O4559" t="s">
        <v>11130</v>
      </c>
      <c r="P4559" t="s">
        <v>11169</v>
      </c>
      <c r="R4559" t="s">
        <v>11180</v>
      </c>
      <c r="S4559" t="s">
        <v>9094</v>
      </c>
      <c r="T4559" t="s">
        <v>11183</v>
      </c>
      <c r="U4559" t="s">
        <v>11201</v>
      </c>
      <c r="V4559" t="s">
        <v>648</v>
      </c>
      <c r="W4559">
        <v>1044</v>
      </c>
      <c r="X4559" t="s">
        <v>11335</v>
      </c>
      <c r="Y4559" t="s">
        <v>11350</v>
      </c>
      <c r="Z4559" t="s">
        <v>14327</v>
      </c>
      <c r="AB4559" t="s">
        <v>18647</v>
      </c>
      <c r="AC4559">
        <v>60</v>
      </c>
      <c r="AD4559" t="s">
        <v>19566</v>
      </c>
      <c r="AE4559" t="s">
        <v>9144</v>
      </c>
      <c r="AF4559">
        <v>15</v>
      </c>
      <c r="AG4559">
        <v>3</v>
      </c>
      <c r="AH4559">
        <v>1</v>
      </c>
      <c r="AI4559">
        <v>174.76</v>
      </c>
      <c r="AL4559" t="s">
        <v>19614</v>
      </c>
      <c r="AM4559">
        <v>45000</v>
      </c>
      <c r="AS4559">
        <v>1.2</v>
      </c>
      <c r="AT4559" t="s">
        <v>496</v>
      </c>
      <c r="AU4559" t="s">
        <v>20657</v>
      </c>
      <c r="AV4559" t="s">
        <v>20733</v>
      </c>
    </row>
    <row r="4560" spans="1:48">
      <c r="A4560" s="1">
        <f>HYPERLINK("https://lsnyc.legalserver.org/matter/dynamic-profile/view/1854989","18-1854989")</f>
        <v>0</v>
      </c>
      <c r="B4560" t="s">
        <v>101</v>
      </c>
      <c r="C4560" t="s">
        <v>256</v>
      </c>
      <c r="D4560" t="s">
        <v>792</v>
      </c>
      <c r="F4560" t="s">
        <v>1407</v>
      </c>
      <c r="G4560" t="s">
        <v>4045</v>
      </c>
      <c r="H4560" t="s">
        <v>6041</v>
      </c>
      <c r="I4560" t="s">
        <v>8193</v>
      </c>
      <c r="J4560" t="s">
        <v>9065</v>
      </c>
      <c r="K4560">
        <v>10452</v>
      </c>
      <c r="L4560" t="s">
        <v>9094</v>
      </c>
      <c r="M4560" t="s">
        <v>9095</v>
      </c>
      <c r="N4560" t="s">
        <v>9496</v>
      </c>
      <c r="O4560" t="s">
        <v>11135</v>
      </c>
      <c r="P4560" t="s">
        <v>11168</v>
      </c>
      <c r="R4560" t="s">
        <v>11180</v>
      </c>
      <c r="S4560" t="s">
        <v>9094</v>
      </c>
      <c r="T4560" t="s">
        <v>11183</v>
      </c>
      <c r="V4560" t="s">
        <v>1122</v>
      </c>
      <c r="W4560">
        <v>752.71</v>
      </c>
      <c r="X4560" t="s">
        <v>11333</v>
      </c>
      <c r="Y4560" t="s">
        <v>11346</v>
      </c>
      <c r="Z4560" t="s">
        <v>14328</v>
      </c>
      <c r="AB4560" t="s">
        <v>18648</v>
      </c>
      <c r="AC4560">
        <v>62</v>
      </c>
      <c r="AD4560" t="s">
        <v>19566</v>
      </c>
      <c r="AE4560" t="s">
        <v>9144</v>
      </c>
      <c r="AF4560">
        <v>41</v>
      </c>
      <c r="AG4560">
        <v>2</v>
      </c>
      <c r="AH4560">
        <v>0</v>
      </c>
      <c r="AI4560">
        <v>174.82</v>
      </c>
      <c r="AL4560" t="s">
        <v>19614</v>
      </c>
      <c r="AM4560">
        <v>37186</v>
      </c>
      <c r="AS4560">
        <v>0</v>
      </c>
      <c r="AU4560" t="s">
        <v>20643</v>
      </c>
    </row>
    <row r="4561" spans="1:48">
      <c r="A4561" s="1">
        <f>HYPERLINK("https://lsnyc.legalserver.org/matter/dynamic-profile/view/0803810","16-0803810")</f>
        <v>0</v>
      </c>
      <c r="B4561" t="s">
        <v>56</v>
      </c>
      <c r="C4561" t="s">
        <v>256</v>
      </c>
      <c r="D4561" t="s">
        <v>1074</v>
      </c>
      <c r="F4561" t="s">
        <v>1676</v>
      </c>
      <c r="G4561" t="s">
        <v>5132</v>
      </c>
      <c r="H4561" t="s">
        <v>5849</v>
      </c>
      <c r="I4561" t="s">
        <v>8117</v>
      </c>
      <c r="J4561" t="s">
        <v>9063</v>
      </c>
      <c r="K4561">
        <v>11101</v>
      </c>
      <c r="L4561" t="s">
        <v>9096</v>
      </c>
      <c r="M4561" t="s">
        <v>9095</v>
      </c>
      <c r="N4561" t="s">
        <v>9376</v>
      </c>
      <c r="O4561" t="s">
        <v>11132</v>
      </c>
      <c r="P4561" t="s">
        <v>11165</v>
      </c>
      <c r="R4561" t="s">
        <v>11180</v>
      </c>
      <c r="S4561" t="s">
        <v>9096</v>
      </c>
      <c r="T4561" t="s">
        <v>11183</v>
      </c>
      <c r="V4561" t="s">
        <v>417</v>
      </c>
      <c r="W4561">
        <v>2400</v>
      </c>
      <c r="X4561" t="s">
        <v>11331</v>
      </c>
      <c r="Y4561" t="s">
        <v>11342</v>
      </c>
      <c r="Z4561" t="s">
        <v>14329</v>
      </c>
      <c r="AB4561" t="s">
        <v>18649</v>
      </c>
      <c r="AC4561">
        <v>8</v>
      </c>
      <c r="AD4561" t="s">
        <v>15441</v>
      </c>
      <c r="AE4561" t="s">
        <v>9144</v>
      </c>
      <c r="AF4561">
        <v>3</v>
      </c>
      <c r="AG4561">
        <v>1</v>
      </c>
      <c r="AH4561">
        <v>0</v>
      </c>
      <c r="AI4561">
        <v>175.08</v>
      </c>
      <c r="AL4561" t="s">
        <v>19614</v>
      </c>
      <c r="AM4561">
        <v>20800</v>
      </c>
      <c r="AS4561">
        <v>58.66</v>
      </c>
      <c r="AT4561" t="s">
        <v>716</v>
      </c>
      <c r="AU4561" t="s">
        <v>20641</v>
      </c>
    </row>
    <row r="4562" spans="1:48">
      <c r="A4562" s="1">
        <f>HYPERLINK("https://lsnyc.legalserver.org/matter/dynamic-profile/view/1902323","19-1902323")</f>
        <v>0</v>
      </c>
      <c r="B4562" t="s">
        <v>64</v>
      </c>
      <c r="C4562" t="s">
        <v>257</v>
      </c>
      <c r="D4562" t="s">
        <v>268</v>
      </c>
      <c r="E4562" t="s">
        <v>339</v>
      </c>
      <c r="F4562" t="s">
        <v>2867</v>
      </c>
      <c r="G4562" t="s">
        <v>4163</v>
      </c>
      <c r="H4562" t="s">
        <v>7718</v>
      </c>
      <c r="I4562" t="s">
        <v>8161</v>
      </c>
      <c r="J4562" t="s">
        <v>9059</v>
      </c>
      <c r="K4562">
        <v>11217</v>
      </c>
      <c r="L4562" t="s">
        <v>9094</v>
      </c>
      <c r="M4562" t="s">
        <v>9095</v>
      </c>
      <c r="N4562" t="s">
        <v>9121</v>
      </c>
      <c r="O4562" t="s">
        <v>11130</v>
      </c>
      <c r="P4562" t="s">
        <v>11167</v>
      </c>
      <c r="Q4562" t="s">
        <v>11173</v>
      </c>
      <c r="R4562" t="s">
        <v>11180</v>
      </c>
      <c r="S4562" t="s">
        <v>9096</v>
      </c>
      <c r="T4562" t="s">
        <v>11183</v>
      </c>
      <c r="V4562" t="s">
        <v>706</v>
      </c>
      <c r="W4562">
        <v>1550</v>
      </c>
      <c r="X4562" t="s">
        <v>11332</v>
      </c>
      <c r="Y4562" t="s">
        <v>11157</v>
      </c>
      <c r="Z4562" t="s">
        <v>14330</v>
      </c>
      <c r="AB4562" t="s">
        <v>18650</v>
      </c>
      <c r="AC4562">
        <v>6</v>
      </c>
      <c r="AE4562" t="s">
        <v>9144</v>
      </c>
      <c r="AF4562">
        <v>9</v>
      </c>
      <c r="AG4562">
        <v>1</v>
      </c>
      <c r="AH4562">
        <v>0</v>
      </c>
      <c r="AI4562">
        <v>175.13</v>
      </c>
      <c r="AL4562" t="s">
        <v>19614</v>
      </c>
      <c r="AM4562">
        <v>21874</v>
      </c>
      <c r="AS4562">
        <v>2.1</v>
      </c>
      <c r="AT4562" t="s">
        <v>663</v>
      </c>
      <c r="AU4562" t="s">
        <v>20674</v>
      </c>
      <c r="AV4562" t="s">
        <v>20733</v>
      </c>
    </row>
    <row r="4563" spans="1:48">
      <c r="A4563" s="1">
        <f>HYPERLINK("https://lsnyc.legalserver.org/matter/dynamic-profile/view/1873795","18-1873795")</f>
        <v>0</v>
      </c>
      <c r="B4563" t="s">
        <v>132</v>
      </c>
      <c r="C4563" t="s">
        <v>256</v>
      </c>
      <c r="D4563" t="s">
        <v>555</v>
      </c>
      <c r="F4563" t="s">
        <v>2868</v>
      </c>
      <c r="G4563" t="s">
        <v>3097</v>
      </c>
      <c r="H4563" t="s">
        <v>5953</v>
      </c>
      <c r="I4563" t="s">
        <v>8866</v>
      </c>
      <c r="J4563" t="s">
        <v>9067</v>
      </c>
      <c r="K4563">
        <v>10033</v>
      </c>
      <c r="L4563" t="s">
        <v>9094</v>
      </c>
      <c r="M4563" t="s">
        <v>9094</v>
      </c>
      <c r="O4563" t="s">
        <v>11130</v>
      </c>
      <c r="P4563" t="s">
        <v>11166</v>
      </c>
      <c r="R4563" t="s">
        <v>11180</v>
      </c>
      <c r="S4563" t="s">
        <v>9094</v>
      </c>
      <c r="T4563" t="s">
        <v>11183</v>
      </c>
      <c r="V4563" t="s">
        <v>555</v>
      </c>
      <c r="W4563">
        <v>1495</v>
      </c>
      <c r="X4563" t="s">
        <v>11335</v>
      </c>
      <c r="Y4563" t="s">
        <v>11339</v>
      </c>
      <c r="Z4563" t="s">
        <v>14331</v>
      </c>
      <c r="AB4563" t="s">
        <v>18651</v>
      </c>
      <c r="AC4563">
        <v>232</v>
      </c>
      <c r="AD4563" t="s">
        <v>19566</v>
      </c>
      <c r="AE4563" t="s">
        <v>9144</v>
      </c>
      <c r="AF4563">
        <v>15</v>
      </c>
      <c r="AG4563">
        <v>3</v>
      </c>
      <c r="AH4563">
        <v>0</v>
      </c>
      <c r="AI4563">
        <v>175.17</v>
      </c>
      <c r="AL4563" t="s">
        <v>19615</v>
      </c>
      <c r="AM4563">
        <v>36400</v>
      </c>
      <c r="AS4563">
        <v>1</v>
      </c>
      <c r="AT4563" t="s">
        <v>785</v>
      </c>
      <c r="AU4563" t="s">
        <v>130</v>
      </c>
      <c r="AV4563" t="s">
        <v>20733</v>
      </c>
    </row>
    <row r="4564" spans="1:48">
      <c r="A4564" s="1">
        <f>HYPERLINK("https://lsnyc.legalserver.org/matter/dynamic-profile/view/1868969","18-1868969")</f>
        <v>0</v>
      </c>
      <c r="B4564" t="s">
        <v>113</v>
      </c>
      <c r="C4564" t="s">
        <v>257</v>
      </c>
      <c r="D4564" t="s">
        <v>281</v>
      </c>
      <c r="E4564" t="s">
        <v>474</v>
      </c>
      <c r="F4564" t="s">
        <v>1976</v>
      </c>
      <c r="G4564" t="s">
        <v>4093</v>
      </c>
      <c r="H4564" t="s">
        <v>7719</v>
      </c>
      <c r="I4564" t="s">
        <v>8151</v>
      </c>
      <c r="J4564" t="s">
        <v>9065</v>
      </c>
      <c r="K4564">
        <v>10460</v>
      </c>
      <c r="L4564" t="s">
        <v>9094</v>
      </c>
      <c r="M4564" t="s">
        <v>9095</v>
      </c>
      <c r="N4564" t="s">
        <v>10764</v>
      </c>
      <c r="O4564" t="s">
        <v>11129</v>
      </c>
      <c r="P4564" t="s">
        <v>11165</v>
      </c>
      <c r="Q4564" t="s">
        <v>11174</v>
      </c>
      <c r="R4564" t="s">
        <v>11180</v>
      </c>
      <c r="S4564" t="s">
        <v>9096</v>
      </c>
      <c r="T4564" t="s">
        <v>11183</v>
      </c>
      <c r="V4564" t="s">
        <v>959</v>
      </c>
      <c r="W4564">
        <v>1291</v>
      </c>
      <c r="X4564" t="s">
        <v>11333</v>
      </c>
      <c r="Y4564" t="s">
        <v>11344</v>
      </c>
      <c r="Z4564" t="s">
        <v>14332</v>
      </c>
      <c r="AA4564" t="s">
        <v>15876</v>
      </c>
      <c r="AB4564" t="s">
        <v>18652</v>
      </c>
      <c r="AC4564">
        <v>20</v>
      </c>
      <c r="AD4564" t="s">
        <v>19567</v>
      </c>
      <c r="AE4564" t="s">
        <v>19580</v>
      </c>
      <c r="AF4564">
        <v>18</v>
      </c>
      <c r="AG4564">
        <v>2</v>
      </c>
      <c r="AH4564">
        <v>1</v>
      </c>
      <c r="AI4564">
        <v>175.28</v>
      </c>
      <c r="AL4564" t="s">
        <v>19614</v>
      </c>
      <c r="AM4564">
        <v>36423.19</v>
      </c>
      <c r="AN4564" t="s">
        <v>19716</v>
      </c>
      <c r="AS4564">
        <v>11.7</v>
      </c>
      <c r="AT4564" t="s">
        <v>586</v>
      </c>
      <c r="AU4564" t="s">
        <v>20647</v>
      </c>
    </row>
    <row r="4565" spans="1:48">
      <c r="A4565" s="1">
        <f>HYPERLINK("https://lsnyc.legalserver.org/matter/dynamic-profile/view/1908712","19-1908712")</f>
        <v>0</v>
      </c>
      <c r="B4565" t="s">
        <v>125</v>
      </c>
      <c r="C4565" t="s">
        <v>256</v>
      </c>
      <c r="D4565" t="s">
        <v>339</v>
      </c>
      <c r="F4565" t="s">
        <v>2686</v>
      </c>
      <c r="G4565" t="s">
        <v>3503</v>
      </c>
      <c r="H4565" t="s">
        <v>7720</v>
      </c>
      <c r="I4565">
        <v>2</v>
      </c>
      <c r="J4565" t="s">
        <v>9066</v>
      </c>
      <c r="K4565">
        <v>10304</v>
      </c>
      <c r="L4565" t="s">
        <v>9094</v>
      </c>
      <c r="M4565" t="s">
        <v>9095</v>
      </c>
      <c r="N4565" t="s">
        <v>9154</v>
      </c>
      <c r="O4565" t="s">
        <v>9121</v>
      </c>
      <c r="P4565" t="s">
        <v>11166</v>
      </c>
      <c r="R4565" t="s">
        <v>11180</v>
      </c>
      <c r="T4565" t="s">
        <v>11183</v>
      </c>
      <c r="V4565" t="s">
        <v>339</v>
      </c>
      <c r="W4565">
        <v>1200</v>
      </c>
      <c r="X4565" t="s">
        <v>11334</v>
      </c>
      <c r="Y4565" t="s">
        <v>11338</v>
      </c>
      <c r="Z4565" t="s">
        <v>14333</v>
      </c>
      <c r="AB4565" t="s">
        <v>15274</v>
      </c>
      <c r="AC4565">
        <v>2</v>
      </c>
      <c r="AD4565" t="s">
        <v>19565</v>
      </c>
      <c r="AE4565" t="s">
        <v>9144</v>
      </c>
      <c r="AF4565">
        <v>14</v>
      </c>
      <c r="AG4565">
        <v>1</v>
      </c>
      <c r="AH4565">
        <v>1</v>
      </c>
      <c r="AI4565">
        <v>175.28</v>
      </c>
      <c r="AL4565" t="s">
        <v>19615</v>
      </c>
      <c r="AM4565">
        <v>29640</v>
      </c>
      <c r="AS4565">
        <v>2</v>
      </c>
      <c r="AT4565" t="s">
        <v>339</v>
      </c>
      <c r="AU4565" t="s">
        <v>20653</v>
      </c>
      <c r="AV4565" t="s">
        <v>20733</v>
      </c>
    </row>
    <row r="4566" spans="1:48">
      <c r="A4566" s="1">
        <f>HYPERLINK("https://lsnyc.legalserver.org/matter/dynamic-profile/view/1899846","19-1899846")</f>
        <v>0</v>
      </c>
      <c r="B4566" t="s">
        <v>113</v>
      </c>
      <c r="C4566" t="s">
        <v>256</v>
      </c>
      <c r="D4566" t="s">
        <v>411</v>
      </c>
      <c r="F4566" t="s">
        <v>1611</v>
      </c>
      <c r="G4566" t="s">
        <v>5133</v>
      </c>
      <c r="H4566" t="s">
        <v>5864</v>
      </c>
      <c r="I4566" t="s">
        <v>8229</v>
      </c>
      <c r="J4566" t="s">
        <v>9065</v>
      </c>
      <c r="K4566">
        <v>10460</v>
      </c>
      <c r="L4566" t="s">
        <v>9094</v>
      </c>
      <c r="M4566" t="s">
        <v>9095</v>
      </c>
      <c r="N4566" t="s">
        <v>9171</v>
      </c>
      <c r="O4566" t="s">
        <v>9121</v>
      </c>
      <c r="P4566" t="s">
        <v>11166</v>
      </c>
      <c r="R4566" t="s">
        <v>11180</v>
      </c>
      <c r="S4566" t="s">
        <v>9094</v>
      </c>
      <c r="T4566" t="s">
        <v>11183</v>
      </c>
      <c r="V4566" t="s">
        <v>11304</v>
      </c>
      <c r="W4566">
        <v>1100</v>
      </c>
      <c r="X4566" t="s">
        <v>11333</v>
      </c>
      <c r="Y4566" t="s">
        <v>11346</v>
      </c>
      <c r="Z4566" t="s">
        <v>12718</v>
      </c>
      <c r="AB4566" t="s">
        <v>18653</v>
      </c>
      <c r="AC4566">
        <v>168</v>
      </c>
      <c r="AD4566" t="s">
        <v>19566</v>
      </c>
      <c r="AE4566" t="s">
        <v>19580</v>
      </c>
      <c r="AF4566">
        <v>3</v>
      </c>
      <c r="AG4566">
        <v>2</v>
      </c>
      <c r="AH4566">
        <v>0</v>
      </c>
      <c r="AI4566">
        <v>175.35</v>
      </c>
      <c r="AL4566" t="s">
        <v>19614</v>
      </c>
      <c r="AM4566">
        <v>29652</v>
      </c>
      <c r="AS4566">
        <v>0</v>
      </c>
      <c r="AU4566" t="s">
        <v>163</v>
      </c>
      <c r="AV4566" t="s">
        <v>20733</v>
      </c>
    </row>
    <row r="4567" spans="1:48">
      <c r="A4567" s="1">
        <f>HYPERLINK("https://lsnyc.legalserver.org/matter/dynamic-profile/view/0822350","16-0822350")</f>
        <v>0</v>
      </c>
      <c r="B4567" t="s">
        <v>136</v>
      </c>
      <c r="C4567" t="s">
        <v>256</v>
      </c>
      <c r="D4567" t="s">
        <v>665</v>
      </c>
      <c r="F4567" t="s">
        <v>2023</v>
      </c>
      <c r="G4567" t="s">
        <v>3418</v>
      </c>
      <c r="H4567" t="s">
        <v>7148</v>
      </c>
      <c r="I4567" t="s">
        <v>8149</v>
      </c>
      <c r="J4567" t="s">
        <v>9067</v>
      </c>
      <c r="K4567">
        <v>10034</v>
      </c>
      <c r="L4567" t="s">
        <v>9094</v>
      </c>
      <c r="M4567" t="s">
        <v>9095</v>
      </c>
      <c r="O4567" t="s">
        <v>11135</v>
      </c>
      <c r="P4567" t="s">
        <v>11168</v>
      </c>
      <c r="R4567" t="s">
        <v>11180</v>
      </c>
      <c r="S4567" t="s">
        <v>9094</v>
      </c>
      <c r="T4567" t="s">
        <v>11183</v>
      </c>
      <c r="V4567" t="s">
        <v>463</v>
      </c>
      <c r="W4567">
        <v>1223.63</v>
      </c>
      <c r="X4567" t="s">
        <v>11335</v>
      </c>
      <c r="Y4567" t="s">
        <v>11339</v>
      </c>
      <c r="Z4567" t="s">
        <v>14284</v>
      </c>
      <c r="AB4567" t="s">
        <v>18608</v>
      </c>
      <c r="AC4567">
        <v>22</v>
      </c>
      <c r="AD4567" t="s">
        <v>19566</v>
      </c>
      <c r="AE4567" t="s">
        <v>9144</v>
      </c>
      <c r="AF4567">
        <v>5</v>
      </c>
      <c r="AG4567">
        <v>2</v>
      </c>
      <c r="AH4567">
        <v>2</v>
      </c>
      <c r="AI4567">
        <v>175.47</v>
      </c>
      <c r="AL4567" t="s">
        <v>19615</v>
      </c>
      <c r="AM4567">
        <v>58240</v>
      </c>
      <c r="AS4567">
        <v>0.3</v>
      </c>
      <c r="AT4567" t="s">
        <v>594</v>
      </c>
      <c r="AU4567" t="s">
        <v>20657</v>
      </c>
    </row>
    <row r="4568" spans="1:48">
      <c r="A4568" s="1">
        <f>HYPERLINK("https://lsnyc.legalserver.org/matter/dynamic-profile/view/1912824","19-1912824")</f>
        <v>0</v>
      </c>
      <c r="B4568" t="s">
        <v>115</v>
      </c>
      <c r="C4568" t="s">
        <v>256</v>
      </c>
      <c r="D4568" t="s">
        <v>563</v>
      </c>
      <c r="F4568" t="s">
        <v>2869</v>
      </c>
      <c r="G4568" t="s">
        <v>3699</v>
      </c>
      <c r="H4568" t="s">
        <v>7721</v>
      </c>
      <c r="I4568" t="s">
        <v>8608</v>
      </c>
      <c r="J4568" t="s">
        <v>9065</v>
      </c>
      <c r="K4568">
        <v>10452</v>
      </c>
      <c r="L4568" t="s">
        <v>9094</v>
      </c>
      <c r="M4568" t="s">
        <v>9095</v>
      </c>
      <c r="O4568" t="s">
        <v>11130</v>
      </c>
      <c r="P4568" t="s">
        <v>11165</v>
      </c>
      <c r="R4568" t="s">
        <v>11180</v>
      </c>
      <c r="S4568" t="s">
        <v>9096</v>
      </c>
      <c r="T4568" t="s">
        <v>11183</v>
      </c>
      <c r="W4568">
        <v>854</v>
      </c>
      <c r="X4568" t="s">
        <v>11333</v>
      </c>
      <c r="Y4568" t="s">
        <v>11346</v>
      </c>
      <c r="Z4568" t="s">
        <v>14334</v>
      </c>
      <c r="AB4568" t="s">
        <v>18654</v>
      </c>
      <c r="AC4568">
        <v>44</v>
      </c>
      <c r="AD4568" t="s">
        <v>19566</v>
      </c>
      <c r="AE4568" t="s">
        <v>19587</v>
      </c>
      <c r="AF4568">
        <v>42</v>
      </c>
      <c r="AG4568">
        <v>2</v>
      </c>
      <c r="AH4568">
        <v>0</v>
      </c>
      <c r="AI4568">
        <v>175.49</v>
      </c>
      <c r="AL4568" t="s">
        <v>19615</v>
      </c>
      <c r="AM4568">
        <v>29676</v>
      </c>
      <c r="AS4568">
        <v>4.6</v>
      </c>
      <c r="AT4568" t="s">
        <v>594</v>
      </c>
      <c r="AU4568" t="s">
        <v>220</v>
      </c>
      <c r="AV4568" t="s">
        <v>20733</v>
      </c>
    </row>
    <row r="4569" spans="1:48">
      <c r="A4569" s="1">
        <f>HYPERLINK("https://lsnyc.legalserver.org/matter/dynamic-profile/view/1908072","19-1908072")</f>
        <v>0</v>
      </c>
      <c r="B4569" t="s">
        <v>74</v>
      </c>
      <c r="C4569" t="s">
        <v>256</v>
      </c>
      <c r="D4569" t="s">
        <v>551</v>
      </c>
      <c r="F4569" t="s">
        <v>2870</v>
      </c>
      <c r="G4569" t="s">
        <v>3522</v>
      </c>
      <c r="H4569" t="s">
        <v>7722</v>
      </c>
      <c r="I4569" t="s">
        <v>8154</v>
      </c>
      <c r="J4569" t="s">
        <v>9059</v>
      </c>
      <c r="K4569">
        <v>11233</v>
      </c>
      <c r="L4569" t="s">
        <v>9094</v>
      </c>
      <c r="M4569" t="s">
        <v>9095</v>
      </c>
      <c r="N4569" t="s">
        <v>10765</v>
      </c>
      <c r="O4569" t="s">
        <v>11129</v>
      </c>
      <c r="P4569" t="s">
        <v>11165</v>
      </c>
      <c r="R4569" t="s">
        <v>11180</v>
      </c>
      <c r="S4569" t="s">
        <v>9096</v>
      </c>
      <c r="T4569" t="s">
        <v>11183</v>
      </c>
      <c r="U4569" t="s">
        <v>11200</v>
      </c>
      <c r="V4569" t="s">
        <v>899</v>
      </c>
      <c r="W4569">
        <v>1132</v>
      </c>
      <c r="X4569" t="s">
        <v>11332</v>
      </c>
      <c r="Z4569" t="s">
        <v>14335</v>
      </c>
      <c r="AB4569" t="s">
        <v>18655</v>
      </c>
      <c r="AC4569">
        <v>6</v>
      </c>
      <c r="AD4569" t="s">
        <v>19566</v>
      </c>
      <c r="AF4569">
        <v>10</v>
      </c>
      <c r="AG4569">
        <v>1</v>
      </c>
      <c r="AH4569">
        <v>0</v>
      </c>
      <c r="AI4569">
        <v>175.53</v>
      </c>
      <c r="AL4569" t="s">
        <v>19614</v>
      </c>
      <c r="AM4569">
        <v>21924</v>
      </c>
      <c r="AS4569">
        <v>6.5</v>
      </c>
      <c r="AT4569" t="s">
        <v>290</v>
      </c>
      <c r="AU4569" t="s">
        <v>20627</v>
      </c>
      <c r="AV4569" t="s">
        <v>20733</v>
      </c>
    </row>
    <row r="4570" spans="1:48">
      <c r="A4570" s="1">
        <f>HYPERLINK("https://lsnyc.legalserver.org/matter/dynamic-profile/view/1912166","19-1912166")</f>
        <v>0</v>
      </c>
      <c r="B4570" t="s">
        <v>69</v>
      </c>
      <c r="C4570" t="s">
        <v>256</v>
      </c>
      <c r="D4570" t="s">
        <v>570</v>
      </c>
      <c r="F4570" t="s">
        <v>2870</v>
      </c>
      <c r="G4570" t="s">
        <v>3522</v>
      </c>
      <c r="H4570" t="s">
        <v>7722</v>
      </c>
      <c r="I4570" t="s">
        <v>8154</v>
      </c>
      <c r="J4570" t="s">
        <v>9059</v>
      </c>
      <c r="K4570">
        <v>11233</v>
      </c>
      <c r="L4570" t="s">
        <v>9094</v>
      </c>
      <c r="M4570" t="s">
        <v>9095</v>
      </c>
      <c r="N4570" t="s">
        <v>10765</v>
      </c>
      <c r="O4570" t="s">
        <v>11131</v>
      </c>
      <c r="R4570" t="s">
        <v>11180</v>
      </c>
      <c r="S4570" t="s">
        <v>9096</v>
      </c>
      <c r="T4570" t="s">
        <v>11184</v>
      </c>
      <c r="W4570">
        <v>1132</v>
      </c>
      <c r="X4570" t="s">
        <v>11332</v>
      </c>
      <c r="Z4570" t="s">
        <v>14335</v>
      </c>
      <c r="AB4570" t="s">
        <v>18655</v>
      </c>
      <c r="AC4570">
        <v>6</v>
      </c>
      <c r="AD4570" t="s">
        <v>19566</v>
      </c>
      <c r="AE4570" t="s">
        <v>9144</v>
      </c>
      <c r="AF4570">
        <v>10</v>
      </c>
      <c r="AG4570">
        <v>1</v>
      </c>
      <c r="AH4570">
        <v>0</v>
      </c>
      <c r="AI4570">
        <v>175.53</v>
      </c>
      <c r="AL4570" t="s">
        <v>19614</v>
      </c>
      <c r="AM4570">
        <v>21924</v>
      </c>
      <c r="AN4570" t="s">
        <v>20035</v>
      </c>
      <c r="AS4570">
        <v>2.75</v>
      </c>
      <c r="AT4570" t="s">
        <v>703</v>
      </c>
      <c r="AU4570" t="s">
        <v>79</v>
      </c>
      <c r="AV4570" t="s">
        <v>20733</v>
      </c>
    </row>
    <row r="4571" spans="1:48">
      <c r="A4571" s="1">
        <f>HYPERLINK("https://lsnyc.legalserver.org/matter/dynamic-profile/view/1900813","19-1900813")</f>
        <v>0</v>
      </c>
      <c r="B4571" t="s">
        <v>110</v>
      </c>
      <c r="C4571" t="s">
        <v>257</v>
      </c>
      <c r="D4571" t="s">
        <v>315</v>
      </c>
      <c r="E4571" t="s">
        <v>328</v>
      </c>
      <c r="F4571" t="s">
        <v>2871</v>
      </c>
      <c r="G4571" t="s">
        <v>5134</v>
      </c>
      <c r="H4571" t="s">
        <v>7723</v>
      </c>
      <c r="I4571" t="s">
        <v>8149</v>
      </c>
      <c r="J4571" t="s">
        <v>9065</v>
      </c>
      <c r="K4571">
        <v>10457</v>
      </c>
      <c r="L4571" t="s">
        <v>9094</v>
      </c>
      <c r="M4571" t="s">
        <v>9095</v>
      </c>
      <c r="O4571" t="s">
        <v>9121</v>
      </c>
      <c r="P4571" t="s">
        <v>11167</v>
      </c>
      <c r="Q4571" t="s">
        <v>11173</v>
      </c>
      <c r="R4571" t="s">
        <v>11180</v>
      </c>
      <c r="S4571" t="s">
        <v>9096</v>
      </c>
      <c r="T4571" t="s">
        <v>11183</v>
      </c>
      <c r="V4571" t="s">
        <v>11218</v>
      </c>
      <c r="W4571">
        <v>1360</v>
      </c>
      <c r="X4571" t="s">
        <v>11333</v>
      </c>
      <c r="Y4571" t="s">
        <v>11346</v>
      </c>
      <c r="Z4571" t="s">
        <v>14336</v>
      </c>
      <c r="AB4571" t="s">
        <v>18656</v>
      </c>
      <c r="AC4571">
        <v>70</v>
      </c>
      <c r="AD4571" t="s">
        <v>19566</v>
      </c>
      <c r="AE4571" t="s">
        <v>9144</v>
      </c>
      <c r="AF4571">
        <v>22</v>
      </c>
      <c r="AG4571">
        <v>1</v>
      </c>
      <c r="AH4571">
        <v>0</v>
      </c>
      <c r="AI4571">
        <v>175.63</v>
      </c>
      <c r="AL4571" t="s">
        <v>19615</v>
      </c>
      <c r="AM4571">
        <v>21936</v>
      </c>
      <c r="AS4571">
        <v>1.5</v>
      </c>
      <c r="AT4571" t="s">
        <v>394</v>
      </c>
      <c r="AU4571" t="s">
        <v>20635</v>
      </c>
      <c r="AV4571" t="s">
        <v>20733</v>
      </c>
    </row>
    <row r="4572" spans="1:48">
      <c r="A4572" s="1">
        <f>HYPERLINK("https://lsnyc.legalserver.org/matter/dynamic-profile/view/1873224","18-1873224")</f>
        <v>0</v>
      </c>
      <c r="B4572" t="s">
        <v>138</v>
      </c>
      <c r="C4572" t="s">
        <v>256</v>
      </c>
      <c r="D4572" t="s">
        <v>603</v>
      </c>
      <c r="F4572" t="s">
        <v>1920</v>
      </c>
      <c r="G4572" t="s">
        <v>5135</v>
      </c>
      <c r="H4572" t="s">
        <v>7724</v>
      </c>
      <c r="I4572">
        <v>46</v>
      </c>
      <c r="J4572" t="s">
        <v>9067</v>
      </c>
      <c r="K4572">
        <v>10040</v>
      </c>
      <c r="L4572" t="s">
        <v>9094</v>
      </c>
      <c r="M4572" t="s">
        <v>9094</v>
      </c>
      <c r="O4572" t="s">
        <v>11133</v>
      </c>
      <c r="P4572" t="s">
        <v>11166</v>
      </c>
      <c r="R4572" t="s">
        <v>11180</v>
      </c>
      <c r="S4572" t="s">
        <v>9096</v>
      </c>
      <c r="T4572" t="s">
        <v>11183</v>
      </c>
      <c r="V4572" t="s">
        <v>603</v>
      </c>
      <c r="W4572">
        <v>824.09</v>
      </c>
      <c r="X4572" t="s">
        <v>11335</v>
      </c>
      <c r="Y4572" t="s">
        <v>11340</v>
      </c>
      <c r="Z4572" t="s">
        <v>12806</v>
      </c>
      <c r="AB4572" t="s">
        <v>18657</v>
      </c>
      <c r="AC4572">
        <v>80</v>
      </c>
      <c r="AD4572" t="s">
        <v>19566</v>
      </c>
      <c r="AE4572" t="s">
        <v>9144</v>
      </c>
      <c r="AF4572">
        <v>37</v>
      </c>
      <c r="AG4572">
        <v>2</v>
      </c>
      <c r="AH4572">
        <v>0</v>
      </c>
      <c r="AI4572">
        <v>175.65</v>
      </c>
      <c r="AL4572" t="s">
        <v>19615</v>
      </c>
      <c r="AM4572">
        <v>28911.6</v>
      </c>
      <c r="AS4572">
        <v>6.6</v>
      </c>
      <c r="AT4572" t="s">
        <v>476</v>
      </c>
      <c r="AU4572" t="s">
        <v>130</v>
      </c>
      <c r="AV4572" t="s">
        <v>20733</v>
      </c>
    </row>
    <row r="4573" spans="1:48">
      <c r="A4573" s="1">
        <f>HYPERLINK("https://lsnyc.legalserver.org/matter/dynamic-profile/view/1867973","18-1867973")</f>
        <v>0</v>
      </c>
      <c r="B4573" t="s">
        <v>138</v>
      </c>
      <c r="C4573" t="s">
        <v>256</v>
      </c>
      <c r="D4573" t="s">
        <v>950</v>
      </c>
      <c r="F4573" t="s">
        <v>1146</v>
      </c>
      <c r="G4573" t="s">
        <v>5135</v>
      </c>
      <c r="H4573" t="s">
        <v>7724</v>
      </c>
      <c r="I4573">
        <v>46</v>
      </c>
      <c r="J4573" t="s">
        <v>9067</v>
      </c>
      <c r="K4573">
        <v>10040</v>
      </c>
      <c r="L4573" t="s">
        <v>9094</v>
      </c>
      <c r="M4573" t="s">
        <v>9095</v>
      </c>
      <c r="O4573" t="s">
        <v>11136</v>
      </c>
      <c r="P4573" t="s">
        <v>11166</v>
      </c>
      <c r="R4573" t="s">
        <v>11180</v>
      </c>
      <c r="S4573" t="s">
        <v>9096</v>
      </c>
      <c r="T4573" t="s">
        <v>11183</v>
      </c>
      <c r="V4573" t="s">
        <v>950</v>
      </c>
      <c r="W4573">
        <v>762.01</v>
      </c>
      <c r="X4573" t="s">
        <v>11335</v>
      </c>
      <c r="Y4573" t="s">
        <v>11340</v>
      </c>
      <c r="Z4573" t="s">
        <v>14337</v>
      </c>
      <c r="AB4573" t="s">
        <v>18658</v>
      </c>
      <c r="AC4573">
        <v>80</v>
      </c>
      <c r="AD4573" t="s">
        <v>19566</v>
      </c>
      <c r="AE4573" t="s">
        <v>9144</v>
      </c>
      <c r="AF4573">
        <v>37</v>
      </c>
      <c r="AG4573">
        <v>2</v>
      </c>
      <c r="AH4573">
        <v>0</v>
      </c>
      <c r="AI4573">
        <v>175.65</v>
      </c>
      <c r="AL4573" t="s">
        <v>19615</v>
      </c>
      <c r="AM4573">
        <v>28911.6</v>
      </c>
      <c r="AS4573">
        <v>15.1</v>
      </c>
      <c r="AT4573" t="s">
        <v>603</v>
      </c>
      <c r="AU4573" t="s">
        <v>130</v>
      </c>
    </row>
    <row r="4574" spans="1:48">
      <c r="A4574" s="1">
        <f>HYPERLINK("https://lsnyc.legalserver.org/matter/dynamic-profile/view/0820308","16-0820308")</f>
        <v>0</v>
      </c>
      <c r="B4574" t="s">
        <v>94</v>
      </c>
      <c r="C4574" t="s">
        <v>256</v>
      </c>
      <c r="D4574" t="s">
        <v>385</v>
      </c>
      <c r="F4574" t="s">
        <v>2548</v>
      </c>
      <c r="G4574" t="s">
        <v>4033</v>
      </c>
      <c r="H4574" t="s">
        <v>5807</v>
      </c>
      <c r="I4574" t="s">
        <v>8191</v>
      </c>
      <c r="J4574" t="s">
        <v>9059</v>
      </c>
      <c r="K4574">
        <v>11212</v>
      </c>
      <c r="L4574" t="s">
        <v>9094</v>
      </c>
      <c r="M4574" t="s">
        <v>9095</v>
      </c>
      <c r="N4574" t="s">
        <v>10766</v>
      </c>
      <c r="O4574" t="s">
        <v>11132</v>
      </c>
      <c r="P4574" t="s">
        <v>11165</v>
      </c>
      <c r="R4574" t="s">
        <v>11180</v>
      </c>
      <c r="T4574" t="s">
        <v>11183</v>
      </c>
      <c r="V4574" t="s">
        <v>11234</v>
      </c>
      <c r="W4574">
        <v>0</v>
      </c>
      <c r="X4574" t="s">
        <v>11332</v>
      </c>
      <c r="Y4574" t="s">
        <v>11346</v>
      </c>
      <c r="Z4574" t="s">
        <v>13684</v>
      </c>
      <c r="AA4574" t="s">
        <v>15797</v>
      </c>
      <c r="AB4574" t="s">
        <v>18011</v>
      </c>
      <c r="AC4574">
        <v>21</v>
      </c>
      <c r="AD4574" t="s">
        <v>19566</v>
      </c>
      <c r="AE4574" t="s">
        <v>19581</v>
      </c>
      <c r="AF4574">
        <v>2</v>
      </c>
      <c r="AG4574">
        <v>1</v>
      </c>
      <c r="AH4574">
        <v>1</v>
      </c>
      <c r="AI4574">
        <v>175.77</v>
      </c>
      <c r="AL4574" t="s">
        <v>19614</v>
      </c>
      <c r="AM4574">
        <v>35635</v>
      </c>
      <c r="AS4574">
        <v>0.2</v>
      </c>
      <c r="AT4574" t="s">
        <v>462</v>
      </c>
      <c r="AU4574" t="s">
        <v>95</v>
      </c>
    </row>
    <row r="4575" spans="1:48">
      <c r="A4575" s="1">
        <f>HYPERLINK("https://lsnyc.legalserver.org/matter/dynamic-profile/view/0793224","15-0793224")</f>
        <v>0</v>
      </c>
      <c r="B4575" t="s">
        <v>49</v>
      </c>
      <c r="C4575" t="s">
        <v>256</v>
      </c>
      <c r="D4575" t="s">
        <v>902</v>
      </c>
      <c r="F4575" t="s">
        <v>1621</v>
      </c>
      <c r="G4575" t="s">
        <v>5136</v>
      </c>
      <c r="H4575" t="s">
        <v>5736</v>
      </c>
      <c r="I4575" t="s">
        <v>8528</v>
      </c>
      <c r="J4575" t="s">
        <v>9055</v>
      </c>
      <c r="K4575">
        <v>11354</v>
      </c>
      <c r="L4575" t="s">
        <v>9094</v>
      </c>
      <c r="M4575" t="s">
        <v>9095</v>
      </c>
      <c r="N4575" t="s">
        <v>9717</v>
      </c>
      <c r="O4575" t="s">
        <v>11135</v>
      </c>
      <c r="P4575" t="s">
        <v>11168</v>
      </c>
      <c r="R4575" t="s">
        <v>11180</v>
      </c>
      <c r="T4575" t="s">
        <v>11183</v>
      </c>
      <c r="V4575" t="s">
        <v>303</v>
      </c>
      <c r="W4575">
        <v>2089</v>
      </c>
      <c r="X4575" t="s">
        <v>11331</v>
      </c>
      <c r="Y4575" t="s">
        <v>11342</v>
      </c>
      <c r="Z4575" t="s">
        <v>14338</v>
      </c>
      <c r="AB4575" t="s">
        <v>18659</v>
      </c>
      <c r="AC4575">
        <v>175</v>
      </c>
      <c r="AD4575" t="s">
        <v>19566</v>
      </c>
      <c r="AE4575" t="s">
        <v>9144</v>
      </c>
      <c r="AF4575">
        <v>6</v>
      </c>
      <c r="AG4575">
        <v>5</v>
      </c>
      <c r="AH4575">
        <v>0</v>
      </c>
      <c r="AI4575">
        <v>175.99</v>
      </c>
      <c r="AL4575" t="s">
        <v>19615</v>
      </c>
      <c r="AM4575">
        <v>50000</v>
      </c>
      <c r="AS4575">
        <v>0.65</v>
      </c>
      <c r="AT4575" t="s">
        <v>448</v>
      </c>
      <c r="AU4575" t="s">
        <v>20621</v>
      </c>
    </row>
    <row r="4576" spans="1:48">
      <c r="A4576" s="1">
        <f>HYPERLINK("https://lsnyc.legalserver.org/matter/dynamic-profile/view/1896120","19-1896120")</f>
        <v>0</v>
      </c>
      <c r="B4576" t="s">
        <v>71</v>
      </c>
      <c r="C4576" t="s">
        <v>257</v>
      </c>
      <c r="D4576" t="s">
        <v>545</v>
      </c>
      <c r="E4576" t="s">
        <v>483</v>
      </c>
      <c r="F4576" t="s">
        <v>2872</v>
      </c>
      <c r="G4576" t="s">
        <v>5137</v>
      </c>
      <c r="H4576" t="s">
        <v>7725</v>
      </c>
      <c r="I4576" t="s">
        <v>8867</v>
      </c>
      <c r="J4576" t="s">
        <v>9059</v>
      </c>
      <c r="K4576">
        <v>11208</v>
      </c>
      <c r="L4576" t="s">
        <v>9094</v>
      </c>
      <c r="M4576" t="s">
        <v>9096</v>
      </c>
      <c r="N4576" t="s">
        <v>10767</v>
      </c>
      <c r="O4576" t="s">
        <v>11129</v>
      </c>
      <c r="P4576" t="s">
        <v>11165</v>
      </c>
      <c r="Q4576" t="s">
        <v>11174</v>
      </c>
      <c r="R4576" t="s">
        <v>11180</v>
      </c>
      <c r="S4576" t="s">
        <v>9096</v>
      </c>
      <c r="T4576" t="s">
        <v>11183</v>
      </c>
      <c r="U4576" t="s">
        <v>11201</v>
      </c>
      <c r="V4576" t="s">
        <v>394</v>
      </c>
      <c r="W4576">
        <v>859</v>
      </c>
      <c r="X4576" t="s">
        <v>11332</v>
      </c>
      <c r="Y4576" t="s">
        <v>11350</v>
      </c>
      <c r="Z4576" t="s">
        <v>14283</v>
      </c>
      <c r="AB4576" t="s">
        <v>18660</v>
      </c>
      <c r="AC4576">
        <v>1276</v>
      </c>
      <c r="AD4576" t="s">
        <v>19566</v>
      </c>
      <c r="AE4576" t="s">
        <v>19580</v>
      </c>
      <c r="AF4576">
        <v>2</v>
      </c>
      <c r="AG4576">
        <v>1</v>
      </c>
      <c r="AH4576">
        <v>0</v>
      </c>
      <c r="AI4576">
        <v>176.11</v>
      </c>
      <c r="AL4576" t="s">
        <v>19614</v>
      </c>
      <c r="AM4576">
        <v>21996</v>
      </c>
      <c r="AS4576">
        <v>5.65</v>
      </c>
      <c r="AT4576" t="s">
        <v>338</v>
      </c>
      <c r="AU4576" t="s">
        <v>79</v>
      </c>
      <c r="AV4576" t="s">
        <v>20733</v>
      </c>
    </row>
    <row r="4577" spans="1:48">
      <c r="A4577" s="1">
        <f>HYPERLINK("https://lsnyc.legalserver.org/matter/dynamic-profile/view/1913760","19-1913760")</f>
        <v>0</v>
      </c>
      <c r="B4577" t="s">
        <v>71</v>
      </c>
      <c r="C4577" t="s">
        <v>256</v>
      </c>
      <c r="D4577" t="s">
        <v>484</v>
      </c>
      <c r="F4577" t="s">
        <v>2872</v>
      </c>
      <c r="G4577" t="s">
        <v>5137</v>
      </c>
      <c r="H4577" t="s">
        <v>7725</v>
      </c>
      <c r="I4577" t="s">
        <v>8867</v>
      </c>
      <c r="J4577" t="s">
        <v>9059</v>
      </c>
      <c r="K4577">
        <v>11208</v>
      </c>
      <c r="L4577" t="s">
        <v>9095</v>
      </c>
      <c r="M4577" t="s">
        <v>9095</v>
      </c>
      <c r="N4577" t="s">
        <v>10768</v>
      </c>
      <c r="O4577" t="s">
        <v>11129</v>
      </c>
      <c r="P4577" t="s">
        <v>11169</v>
      </c>
      <c r="R4577" t="s">
        <v>11180</v>
      </c>
      <c r="S4577" t="s">
        <v>9096</v>
      </c>
      <c r="T4577" t="s">
        <v>11183</v>
      </c>
      <c r="W4577">
        <v>859</v>
      </c>
      <c r="X4577" t="s">
        <v>11332</v>
      </c>
      <c r="Y4577" t="s">
        <v>11340</v>
      </c>
      <c r="Z4577" t="s">
        <v>14283</v>
      </c>
      <c r="AB4577" t="s">
        <v>18660</v>
      </c>
      <c r="AC4577">
        <v>1276</v>
      </c>
      <c r="AD4577" t="s">
        <v>19566</v>
      </c>
      <c r="AE4577" t="s">
        <v>19580</v>
      </c>
      <c r="AF4577">
        <v>2</v>
      </c>
      <c r="AG4577">
        <v>1</v>
      </c>
      <c r="AH4577">
        <v>0</v>
      </c>
      <c r="AI4577">
        <v>176.11</v>
      </c>
      <c r="AL4577" t="s">
        <v>19614</v>
      </c>
      <c r="AM4577">
        <v>21996</v>
      </c>
      <c r="AS4577">
        <v>0</v>
      </c>
      <c r="AU4577" t="s">
        <v>79</v>
      </c>
    </row>
    <row r="4578" spans="1:48">
      <c r="A4578" s="1">
        <f>HYPERLINK("https://lsnyc.legalserver.org/matter/dynamic-profile/view/1894711","19-1894711")</f>
        <v>0</v>
      </c>
      <c r="B4578" t="s">
        <v>69</v>
      </c>
      <c r="C4578" t="s">
        <v>257</v>
      </c>
      <c r="D4578" t="s">
        <v>502</v>
      </c>
      <c r="E4578" t="s">
        <v>395</v>
      </c>
      <c r="F4578" t="s">
        <v>2872</v>
      </c>
      <c r="G4578" t="s">
        <v>5137</v>
      </c>
      <c r="H4578" t="s">
        <v>7725</v>
      </c>
      <c r="I4578" t="s">
        <v>8867</v>
      </c>
      <c r="J4578" t="s">
        <v>9059</v>
      </c>
      <c r="K4578">
        <v>11208</v>
      </c>
      <c r="L4578" t="s">
        <v>9094</v>
      </c>
      <c r="M4578" t="s">
        <v>9096</v>
      </c>
      <c r="O4578" t="s">
        <v>11131</v>
      </c>
      <c r="P4578" t="s">
        <v>11166</v>
      </c>
      <c r="Q4578" t="s">
        <v>11173</v>
      </c>
      <c r="R4578" t="s">
        <v>11180</v>
      </c>
      <c r="S4578" t="s">
        <v>9096</v>
      </c>
      <c r="T4578" t="s">
        <v>11183</v>
      </c>
      <c r="U4578" t="s">
        <v>11201</v>
      </c>
      <c r="V4578" t="s">
        <v>718</v>
      </c>
      <c r="W4578">
        <v>859</v>
      </c>
      <c r="X4578" t="s">
        <v>11332</v>
      </c>
      <c r="Y4578" t="s">
        <v>11350</v>
      </c>
      <c r="Z4578" t="s">
        <v>14283</v>
      </c>
      <c r="AA4578" t="s">
        <v>9171</v>
      </c>
      <c r="AB4578" t="s">
        <v>18660</v>
      </c>
      <c r="AC4578">
        <v>1276</v>
      </c>
      <c r="AD4578" t="s">
        <v>19566</v>
      </c>
      <c r="AE4578" t="s">
        <v>19580</v>
      </c>
      <c r="AF4578">
        <v>2</v>
      </c>
      <c r="AG4578">
        <v>1</v>
      </c>
      <c r="AH4578">
        <v>0</v>
      </c>
      <c r="AI4578">
        <v>176.11</v>
      </c>
      <c r="AL4578" t="s">
        <v>19614</v>
      </c>
      <c r="AM4578">
        <v>21996</v>
      </c>
      <c r="AS4578">
        <v>3.25</v>
      </c>
      <c r="AT4578" t="s">
        <v>395</v>
      </c>
      <c r="AU4578" t="s">
        <v>95</v>
      </c>
      <c r="AV4578" t="s">
        <v>20733</v>
      </c>
    </row>
    <row r="4579" spans="1:48">
      <c r="A4579" s="1">
        <f>HYPERLINK("https://lsnyc.legalserver.org/matter/dynamic-profile/view/1860456","18-1860456")</f>
        <v>0</v>
      </c>
      <c r="B4579" t="s">
        <v>52</v>
      </c>
      <c r="C4579" t="s">
        <v>256</v>
      </c>
      <c r="D4579" t="s">
        <v>836</v>
      </c>
      <c r="F4579" t="s">
        <v>1139</v>
      </c>
      <c r="G4579" t="s">
        <v>3424</v>
      </c>
      <c r="H4579" t="s">
        <v>6472</v>
      </c>
      <c r="I4579" t="s">
        <v>8138</v>
      </c>
      <c r="J4579" t="s">
        <v>9039</v>
      </c>
      <c r="K4579">
        <v>11432</v>
      </c>
      <c r="L4579" t="s">
        <v>9094</v>
      </c>
      <c r="M4579" t="s">
        <v>9095</v>
      </c>
      <c r="N4579" t="s">
        <v>9703</v>
      </c>
      <c r="O4579" t="s">
        <v>11135</v>
      </c>
      <c r="P4579" t="s">
        <v>11168</v>
      </c>
      <c r="R4579" t="s">
        <v>11180</v>
      </c>
      <c r="S4579" t="s">
        <v>9094</v>
      </c>
      <c r="T4579" t="s">
        <v>11189</v>
      </c>
      <c r="V4579" t="s">
        <v>882</v>
      </c>
      <c r="W4579">
        <v>1324.07</v>
      </c>
      <c r="X4579" t="s">
        <v>11331</v>
      </c>
      <c r="Y4579" t="s">
        <v>11341</v>
      </c>
      <c r="Z4579" t="s">
        <v>14339</v>
      </c>
      <c r="AA4579" t="s">
        <v>9171</v>
      </c>
      <c r="AB4579" t="s">
        <v>18661</v>
      </c>
      <c r="AC4579">
        <v>60</v>
      </c>
      <c r="AD4579" t="s">
        <v>19566</v>
      </c>
      <c r="AE4579" t="s">
        <v>19587</v>
      </c>
      <c r="AF4579">
        <v>37</v>
      </c>
      <c r="AG4579">
        <v>2</v>
      </c>
      <c r="AH4579">
        <v>0</v>
      </c>
      <c r="AI4579">
        <v>176.18</v>
      </c>
      <c r="AJ4579" t="s">
        <v>19592</v>
      </c>
      <c r="AL4579" t="s">
        <v>19615</v>
      </c>
      <c r="AM4579">
        <v>29000</v>
      </c>
      <c r="AS4579">
        <v>0.2</v>
      </c>
      <c r="AT4579" t="s">
        <v>848</v>
      </c>
      <c r="AU4579" t="s">
        <v>153</v>
      </c>
    </row>
    <row r="4580" spans="1:48">
      <c r="A4580" s="1">
        <f>HYPERLINK("https://lsnyc.legalserver.org/matter/dynamic-profile/view/1860460","18-1860460")</f>
        <v>0</v>
      </c>
      <c r="B4580" t="s">
        <v>52</v>
      </c>
      <c r="C4580" t="s">
        <v>256</v>
      </c>
      <c r="D4580" t="s">
        <v>836</v>
      </c>
      <c r="F4580" t="s">
        <v>1139</v>
      </c>
      <c r="G4580" t="s">
        <v>3424</v>
      </c>
      <c r="H4580" t="s">
        <v>6472</v>
      </c>
      <c r="I4580" t="s">
        <v>8138</v>
      </c>
      <c r="J4580" t="s">
        <v>9039</v>
      </c>
      <c r="K4580">
        <v>11432</v>
      </c>
      <c r="L4580" t="s">
        <v>9094</v>
      </c>
      <c r="M4580" t="s">
        <v>9095</v>
      </c>
      <c r="N4580" t="s">
        <v>9698</v>
      </c>
      <c r="O4580" t="s">
        <v>11135</v>
      </c>
      <c r="P4580" t="s">
        <v>11168</v>
      </c>
      <c r="R4580" t="s">
        <v>11180</v>
      </c>
      <c r="S4580" t="s">
        <v>9094</v>
      </c>
      <c r="T4580" t="s">
        <v>11189</v>
      </c>
      <c r="V4580" t="s">
        <v>882</v>
      </c>
      <c r="W4580">
        <v>1324.07</v>
      </c>
      <c r="X4580" t="s">
        <v>11331</v>
      </c>
      <c r="Y4580" t="s">
        <v>11341</v>
      </c>
      <c r="Z4580" t="s">
        <v>14339</v>
      </c>
      <c r="AA4580" t="s">
        <v>9171</v>
      </c>
      <c r="AB4580" t="s">
        <v>18661</v>
      </c>
      <c r="AC4580">
        <v>60</v>
      </c>
      <c r="AD4580" t="s">
        <v>19566</v>
      </c>
      <c r="AE4580" t="s">
        <v>19587</v>
      </c>
      <c r="AF4580">
        <v>37</v>
      </c>
      <c r="AG4580">
        <v>2</v>
      </c>
      <c r="AH4580">
        <v>0</v>
      </c>
      <c r="AI4580">
        <v>176.18</v>
      </c>
      <c r="AJ4580" t="s">
        <v>19592</v>
      </c>
      <c r="AL4580" t="s">
        <v>19614</v>
      </c>
      <c r="AM4580">
        <v>48000</v>
      </c>
      <c r="AS4580">
        <v>0.2</v>
      </c>
      <c r="AT4580" t="s">
        <v>848</v>
      </c>
      <c r="AU4580" t="s">
        <v>153</v>
      </c>
    </row>
    <row r="4581" spans="1:48">
      <c r="A4581" s="1">
        <f>HYPERLINK("https://lsnyc.legalserver.org/matter/dynamic-profile/view/1886968","19-1886968")</f>
        <v>0</v>
      </c>
      <c r="B4581" t="s">
        <v>73</v>
      </c>
      <c r="C4581" t="s">
        <v>257</v>
      </c>
      <c r="D4581" t="s">
        <v>582</v>
      </c>
      <c r="E4581" t="s">
        <v>446</v>
      </c>
      <c r="F4581" t="s">
        <v>2873</v>
      </c>
      <c r="G4581" t="s">
        <v>1260</v>
      </c>
      <c r="H4581" t="s">
        <v>7726</v>
      </c>
      <c r="I4581" t="s">
        <v>8176</v>
      </c>
      <c r="J4581" t="s">
        <v>9059</v>
      </c>
      <c r="K4581">
        <v>11208</v>
      </c>
      <c r="L4581" t="s">
        <v>9094</v>
      </c>
      <c r="M4581" t="s">
        <v>9094</v>
      </c>
      <c r="N4581" t="s">
        <v>10769</v>
      </c>
      <c r="O4581" t="s">
        <v>11129</v>
      </c>
      <c r="P4581" t="s">
        <v>11165</v>
      </c>
      <c r="Q4581" t="s">
        <v>11174</v>
      </c>
      <c r="R4581" t="s">
        <v>11180</v>
      </c>
      <c r="S4581" t="s">
        <v>9096</v>
      </c>
      <c r="T4581" t="s">
        <v>11183</v>
      </c>
      <c r="U4581" t="s">
        <v>11201</v>
      </c>
      <c r="V4581" t="s">
        <v>635</v>
      </c>
      <c r="W4581">
        <v>913</v>
      </c>
      <c r="X4581" t="s">
        <v>11332</v>
      </c>
      <c r="Y4581" t="s">
        <v>11338</v>
      </c>
      <c r="Z4581" t="s">
        <v>14340</v>
      </c>
      <c r="AA4581" t="s">
        <v>9171</v>
      </c>
      <c r="AB4581" t="s">
        <v>18662</v>
      </c>
      <c r="AC4581">
        <v>64</v>
      </c>
      <c r="AD4581" t="s">
        <v>19566</v>
      </c>
      <c r="AE4581" t="s">
        <v>9144</v>
      </c>
      <c r="AF4581">
        <v>5</v>
      </c>
      <c r="AG4581">
        <v>1</v>
      </c>
      <c r="AH4581">
        <v>0</v>
      </c>
      <c r="AI4581">
        <v>176.47</v>
      </c>
      <c r="AL4581" t="s">
        <v>19614</v>
      </c>
      <c r="AM4581">
        <v>21424</v>
      </c>
      <c r="AQ4581" t="s">
        <v>20369</v>
      </c>
      <c r="AR4581" t="s">
        <v>20550</v>
      </c>
      <c r="AS4581">
        <v>33.4</v>
      </c>
      <c r="AT4581" t="s">
        <v>493</v>
      </c>
      <c r="AU4581" t="s">
        <v>95</v>
      </c>
      <c r="AV4581" t="s">
        <v>20733</v>
      </c>
    </row>
    <row r="4582" spans="1:48">
      <c r="A4582" s="1">
        <f>HYPERLINK("https://lsnyc.legalserver.org/matter/dynamic-profile/view/1900693","19-1900693")</f>
        <v>0</v>
      </c>
      <c r="B4582" t="s">
        <v>76</v>
      </c>
      <c r="C4582" t="s">
        <v>256</v>
      </c>
      <c r="D4582" t="s">
        <v>338</v>
      </c>
      <c r="F4582" t="s">
        <v>1802</v>
      </c>
      <c r="G4582" t="s">
        <v>5053</v>
      </c>
      <c r="H4582" t="s">
        <v>6169</v>
      </c>
      <c r="J4582" t="s">
        <v>9059</v>
      </c>
      <c r="K4582">
        <v>11213</v>
      </c>
      <c r="L4582" t="s">
        <v>9094</v>
      </c>
      <c r="M4582" t="s">
        <v>9095</v>
      </c>
      <c r="O4582" t="s">
        <v>9121</v>
      </c>
      <c r="P4582" t="s">
        <v>11166</v>
      </c>
      <c r="R4582" t="s">
        <v>11180</v>
      </c>
      <c r="S4582" t="s">
        <v>9094</v>
      </c>
      <c r="T4582" t="s">
        <v>11183</v>
      </c>
      <c r="U4582" t="s">
        <v>11201</v>
      </c>
      <c r="V4582" t="s">
        <v>291</v>
      </c>
      <c r="W4582">
        <v>678.92</v>
      </c>
      <c r="X4582" t="s">
        <v>11332</v>
      </c>
      <c r="Y4582" t="s">
        <v>11346</v>
      </c>
      <c r="Z4582" t="s">
        <v>14159</v>
      </c>
      <c r="AA4582" t="s">
        <v>9144</v>
      </c>
      <c r="AB4582" t="s">
        <v>18479</v>
      </c>
      <c r="AC4582">
        <v>35</v>
      </c>
      <c r="AD4582" t="s">
        <v>19566</v>
      </c>
      <c r="AE4582" t="s">
        <v>9144</v>
      </c>
      <c r="AF4582">
        <v>22</v>
      </c>
      <c r="AG4582">
        <v>1</v>
      </c>
      <c r="AH4582">
        <v>0</v>
      </c>
      <c r="AI4582">
        <v>176.55</v>
      </c>
      <c r="AL4582" t="s">
        <v>19614</v>
      </c>
      <c r="AM4582">
        <v>22051</v>
      </c>
      <c r="AN4582" t="s">
        <v>20036</v>
      </c>
      <c r="AS4582">
        <v>4.8</v>
      </c>
      <c r="AT4582" t="s">
        <v>425</v>
      </c>
      <c r="AU4582" t="s">
        <v>95</v>
      </c>
      <c r="AV4582" t="s">
        <v>20733</v>
      </c>
    </row>
    <row r="4583" spans="1:48">
      <c r="A4583" s="1">
        <f>HYPERLINK("https://lsnyc.legalserver.org/matter/dynamic-profile/view/1911206","19-1911206")</f>
        <v>0</v>
      </c>
      <c r="B4583" t="s">
        <v>49</v>
      </c>
      <c r="C4583" t="s">
        <v>256</v>
      </c>
      <c r="D4583" t="s">
        <v>336</v>
      </c>
      <c r="F4583" t="s">
        <v>2874</v>
      </c>
      <c r="G4583" t="s">
        <v>5138</v>
      </c>
      <c r="H4583" t="s">
        <v>7727</v>
      </c>
      <c r="I4583" t="s">
        <v>8201</v>
      </c>
      <c r="J4583" t="s">
        <v>9072</v>
      </c>
      <c r="K4583">
        <v>11413</v>
      </c>
      <c r="L4583" t="s">
        <v>9094</v>
      </c>
      <c r="M4583" t="s">
        <v>9095</v>
      </c>
      <c r="N4583" t="s">
        <v>10770</v>
      </c>
      <c r="O4583" t="s">
        <v>11128</v>
      </c>
      <c r="P4583" t="s">
        <v>11165</v>
      </c>
      <c r="R4583" t="s">
        <v>11180</v>
      </c>
      <c r="S4583" t="s">
        <v>9096</v>
      </c>
      <c r="T4583" t="s">
        <v>11183</v>
      </c>
      <c r="U4583" t="s">
        <v>11201</v>
      </c>
      <c r="V4583" t="s">
        <v>301</v>
      </c>
      <c r="W4583">
        <v>1000</v>
      </c>
      <c r="X4583" t="s">
        <v>11331</v>
      </c>
      <c r="Y4583" t="s">
        <v>11345</v>
      </c>
      <c r="Z4583" t="s">
        <v>14341</v>
      </c>
      <c r="AB4583" t="s">
        <v>18663</v>
      </c>
      <c r="AC4583">
        <v>2</v>
      </c>
      <c r="AD4583" t="s">
        <v>19565</v>
      </c>
      <c r="AE4583" t="s">
        <v>9144</v>
      </c>
      <c r="AF4583">
        <v>1</v>
      </c>
      <c r="AG4583">
        <v>2</v>
      </c>
      <c r="AH4583">
        <v>0</v>
      </c>
      <c r="AI4583">
        <v>176.56</v>
      </c>
      <c r="AL4583" t="s">
        <v>19614</v>
      </c>
      <c r="AM4583">
        <v>29856</v>
      </c>
      <c r="AS4583">
        <v>19.05</v>
      </c>
      <c r="AT4583" t="s">
        <v>1130</v>
      </c>
      <c r="AU4583" t="s">
        <v>153</v>
      </c>
      <c r="AV4583" t="s">
        <v>20733</v>
      </c>
    </row>
    <row r="4584" spans="1:48">
      <c r="A4584" s="1">
        <f>HYPERLINK("https://lsnyc.legalserver.org/matter/dynamic-profile/view/1862977","18-1862977")</f>
        <v>0</v>
      </c>
      <c r="B4584" t="s">
        <v>139</v>
      </c>
      <c r="C4584" t="s">
        <v>256</v>
      </c>
      <c r="D4584" t="s">
        <v>873</v>
      </c>
      <c r="F4584" t="s">
        <v>1405</v>
      </c>
      <c r="G4584" t="s">
        <v>3346</v>
      </c>
      <c r="H4584" t="s">
        <v>7728</v>
      </c>
      <c r="I4584" t="s">
        <v>8119</v>
      </c>
      <c r="J4584" t="s">
        <v>9067</v>
      </c>
      <c r="K4584">
        <v>10034</v>
      </c>
      <c r="L4584" t="s">
        <v>9094</v>
      </c>
      <c r="M4584" t="s">
        <v>9095</v>
      </c>
      <c r="O4584" t="s">
        <v>11130</v>
      </c>
      <c r="P4584" t="s">
        <v>11165</v>
      </c>
      <c r="R4584" t="s">
        <v>11180</v>
      </c>
      <c r="S4584" t="s">
        <v>9094</v>
      </c>
      <c r="T4584" t="s">
        <v>11183</v>
      </c>
      <c r="V4584" t="s">
        <v>873</v>
      </c>
      <c r="W4584">
        <v>1347</v>
      </c>
      <c r="X4584" t="s">
        <v>11335</v>
      </c>
      <c r="Y4584" t="s">
        <v>11338</v>
      </c>
      <c r="Z4584" t="s">
        <v>11779</v>
      </c>
      <c r="AB4584" t="s">
        <v>18664</v>
      </c>
      <c r="AC4584">
        <v>50</v>
      </c>
      <c r="AD4584" t="s">
        <v>19566</v>
      </c>
      <c r="AE4584" t="s">
        <v>9144</v>
      </c>
      <c r="AF4584">
        <v>4</v>
      </c>
      <c r="AG4584">
        <v>2</v>
      </c>
      <c r="AH4584">
        <v>3</v>
      </c>
      <c r="AI4584">
        <v>176.75</v>
      </c>
      <c r="AL4584" t="s">
        <v>19615</v>
      </c>
      <c r="AM4584">
        <v>52000</v>
      </c>
      <c r="AS4584">
        <v>0.55</v>
      </c>
      <c r="AT4584" t="s">
        <v>1061</v>
      </c>
      <c r="AU4584" t="s">
        <v>130</v>
      </c>
    </row>
    <row r="4585" spans="1:48">
      <c r="A4585" s="1">
        <f>HYPERLINK("https://lsnyc.legalserver.org/matter/dynamic-profile/view/1911749","19-1911749")</f>
        <v>0</v>
      </c>
      <c r="B4585" t="s">
        <v>231</v>
      </c>
      <c r="C4585" t="s">
        <v>256</v>
      </c>
      <c r="D4585" t="s">
        <v>290</v>
      </c>
      <c r="F4585" t="s">
        <v>1525</v>
      </c>
      <c r="G4585" t="s">
        <v>3900</v>
      </c>
      <c r="H4585" t="s">
        <v>7729</v>
      </c>
      <c r="I4585">
        <v>23</v>
      </c>
      <c r="J4585" t="s">
        <v>9067</v>
      </c>
      <c r="K4585">
        <v>10032</v>
      </c>
      <c r="L4585" t="s">
        <v>9094</v>
      </c>
      <c r="M4585" t="s">
        <v>9095</v>
      </c>
      <c r="O4585" t="s">
        <v>11130</v>
      </c>
      <c r="P4585" t="s">
        <v>11165</v>
      </c>
      <c r="R4585" t="s">
        <v>11180</v>
      </c>
      <c r="S4585" t="s">
        <v>9096</v>
      </c>
      <c r="T4585" t="s">
        <v>11183</v>
      </c>
      <c r="V4585" t="s">
        <v>290</v>
      </c>
      <c r="W4585">
        <v>1076</v>
      </c>
      <c r="X4585" t="s">
        <v>11335</v>
      </c>
      <c r="Y4585" t="s">
        <v>11340</v>
      </c>
      <c r="Z4585" t="s">
        <v>14342</v>
      </c>
      <c r="AB4585" t="s">
        <v>18665</v>
      </c>
      <c r="AC4585">
        <v>28</v>
      </c>
      <c r="AD4585" t="s">
        <v>19566</v>
      </c>
      <c r="AE4585" t="s">
        <v>9144</v>
      </c>
      <c r="AF4585">
        <v>30</v>
      </c>
      <c r="AG4585">
        <v>2</v>
      </c>
      <c r="AH4585">
        <v>0</v>
      </c>
      <c r="AI4585">
        <v>176.82</v>
      </c>
      <c r="AL4585" t="s">
        <v>19614</v>
      </c>
      <c r="AM4585">
        <v>29900</v>
      </c>
      <c r="AS4585">
        <v>30.8</v>
      </c>
      <c r="AT4585" t="s">
        <v>594</v>
      </c>
      <c r="AU4585" t="s">
        <v>231</v>
      </c>
      <c r="AV4585" t="s">
        <v>20733</v>
      </c>
    </row>
    <row r="4586" spans="1:48">
      <c r="A4586" s="1">
        <f>HYPERLINK("https://lsnyc.legalserver.org/matter/dynamic-profile/view/1910937","19-1910937")</f>
        <v>0</v>
      </c>
      <c r="B4586" t="s">
        <v>231</v>
      </c>
      <c r="C4586" t="s">
        <v>256</v>
      </c>
      <c r="D4586" t="s">
        <v>295</v>
      </c>
      <c r="F4586" t="s">
        <v>1525</v>
      </c>
      <c r="G4586" t="s">
        <v>3900</v>
      </c>
      <c r="H4586" t="s">
        <v>7729</v>
      </c>
      <c r="I4586">
        <v>23</v>
      </c>
      <c r="J4586" t="s">
        <v>9067</v>
      </c>
      <c r="K4586">
        <v>10032</v>
      </c>
      <c r="L4586" t="s">
        <v>9094</v>
      </c>
      <c r="M4586" t="s">
        <v>9095</v>
      </c>
      <c r="P4586" t="s">
        <v>11169</v>
      </c>
      <c r="R4586" t="s">
        <v>11180</v>
      </c>
      <c r="S4586" t="s">
        <v>9096</v>
      </c>
      <c r="T4586" t="s">
        <v>11183</v>
      </c>
      <c r="V4586" t="s">
        <v>295</v>
      </c>
      <c r="W4586">
        <v>1076</v>
      </c>
      <c r="X4586" t="s">
        <v>11335</v>
      </c>
      <c r="Y4586" t="s">
        <v>11340</v>
      </c>
      <c r="Z4586" t="s">
        <v>14342</v>
      </c>
      <c r="AB4586" t="s">
        <v>18665</v>
      </c>
      <c r="AC4586">
        <v>28</v>
      </c>
      <c r="AD4586" t="s">
        <v>19566</v>
      </c>
      <c r="AE4586" t="s">
        <v>9144</v>
      </c>
      <c r="AF4586">
        <v>30</v>
      </c>
      <c r="AG4586">
        <v>2</v>
      </c>
      <c r="AH4586">
        <v>0</v>
      </c>
      <c r="AI4586">
        <v>176.82</v>
      </c>
      <c r="AL4586" t="s">
        <v>19614</v>
      </c>
      <c r="AM4586">
        <v>29900</v>
      </c>
      <c r="AS4586">
        <v>64.25</v>
      </c>
      <c r="AT4586" t="s">
        <v>612</v>
      </c>
      <c r="AU4586" t="s">
        <v>130</v>
      </c>
      <c r="AV4586" t="s">
        <v>20733</v>
      </c>
    </row>
    <row r="4587" spans="1:48">
      <c r="A4587" s="1">
        <f>HYPERLINK("https://lsnyc.legalserver.org/matter/dynamic-profile/view/1914931","19-1914931")</f>
        <v>0</v>
      </c>
      <c r="B4587" t="s">
        <v>231</v>
      </c>
      <c r="C4587" t="s">
        <v>256</v>
      </c>
      <c r="D4587" t="s">
        <v>331</v>
      </c>
      <c r="F4587" t="s">
        <v>1525</v>
      </c>
      <c r="G4587" t="s">
        <v>3900</v>
      </c>
      <c r="H4587" t="s">
        <v>7729</v>
      </c>
      <c r="I4587">
        <v>23</v>
      </c>
      <c r="J4587" t="s">
        <v>9067</v>
      </c>
      <c r="K4587">
        <v>10032</v>
      </c>
      <c r="L4587" t="s">
        <v>9094</v>
      </c>
      <c r="M4587" t="s">
        <v>9095</v>
      </c>
      <c r="R4587" t="s">
        <v>11180</v>
      </c>
      <c r="S4587" t="s">
        <v>9096</v>
      </c>
      <c r="T4587" t="s">
        <v>11183</v>
      </c>
      <c r="V4587" t="s">
        <v>331</v>
      </c>
      <c r="W4587">
        <v>1076</v>
      </c>
      <c r="X4587" t="s">
        <v>11335</v>
      </c>
      <c r="Y4587" t="s">
        <v>11340</v>
      </c>
      <c r="Z4587" t="s">
        <v>14342</v>
      </c>
      <c r="AB4587" t="s">
        <v>18665</v>
      </c>
      <c r="AC4587">
        <v>28</v>
      </c>
      <c r="AD4587" t="s">
        <v>19566</v>
      </c>
      <c r="AE4587" t="s">
        <v>9144</v>
      </c>
      <c r="AF4587">
        <v>30</v>
      </c>
      <c r="AG4587">
        <v>2</v>
      </c>
      <c r="AH4587">
        <v>0</v>
      </c>
      <c r="AI4587">
        <v>176.82</v>
      </c>
      <c r="AL4587" t="s">
        <v>19614</v>
      </c>
      <c r="AM4587">
        <v>29900</v>
      </c>
      <c r="AS4587">
        <v>11.15</v>
      </c>
      <c r="AT4587" t="s">
        <v>594</v>
      </c>
      <c r="AU4587" t="s">
        <v>130</v>
      </c>
      <c r="AV4587" t="s">
        <v>20733</v>
      </c>
    </row>
    <row r="4588" spans="1:48">
      <c r="A4588" s="1">
        <f>HYPERLINK("https://lsnyc.legalserver.org/matter/dynamic-profile/view/1890572","19-1890572")</f>
        <v>0</v>
      </c>
      <c r="B4588" t="s">
        <v>70</v>
      </c>
      <c r="C4588" t="s">
        <v>256</v>
      </c>
      <c r="D4588" t="s">
        <v>695</v>
      </c>
      <c r="F4588" t="s">
        <v>1201</v>
      </c>
      <c r="G4588" t="s">
        <v>4174</v>
      </c>
      <c r="H4588" t="s">
        <v>5748</v>
      </c>
      <c r="I4588" t="s">
        <v>8828</v>
      </c>
      <c r="J4588" t="s">
        <v>9059</v>
      </c>
      <c r="K4588">
        <v>11233</v>
      </c>
      <c r="L4588" t="s">
        <v>9094</v>
      </c>
      <c r="M4588" t="s">
        <v>9096</v>
      </c>
      <c r="N4588" t="s">
        <v>9145</v>
      </c>
      <c r="O4588" t="s">
        <v>11134</v>
      </c>
      <c r="P4588" t="s">
        <v>11168</v>
      </c>
      <c r="R4588" t="s">
        <v>11180</v>
      </c>
      <c r="S4588" t="s">
        <v>9094</v>
      </c>
      <c r="T4588" t="s">
        <v>11183</v>
      </c>
      <c r="U4588" t="s">
        <v>11201</v>
      </c>
      <c r="V4588" t="s">
        <v>11305</v>
      </c>
      <c r="W4588">
        <v>875</v>
      </c>
      <c r="X4588" t="s">
        <v>11332</v>
      </c>
      <c r="Y4588" t="s">
        <v>11342</v>
      </c>
      <c r="Z4588" t="s">
        <v>14343</v>
      </c>
      <c r="AA4588" t="s">
        <v>9144</v>
      </c>
      <c r="AC4588">
        <v>359</v>
      </c>
      <c r="AD4588" t="s">
        <v>19566</v>
      </c>
      <c r="AE4588" t="s">
        <v>9144</v>
      </c>
      <c r="AF4588">
        <v>40</v>
      </c>
      <c r="AG4588">
        <v>1</v>
      </c>
      <c r="AH4588">
        <v>0</v>
      </c>
      <c r="AI4588">
        <v>176.86</v>
      </c>
      <c r="AL4588" t="s">
        <v>19614</v>
      </c>
      <c r="AM4588">
        <v>22090</v>
      </c>
      <c r="AN4588" t="s">
        <v>20037</v>
      </c>
      <c r="AS4588">
        <v>0</v>
      </c>
      <c r="AU4588" t="s">
        <v>95</v>
      </c>
      <c r="AV4588" t="s">
        <v>9144</v>
      </c>
    </row>
    <row r="4589" spans="1:48">
      <c r="A4589" s="1">
        <f>HYPERLINK("https://lsnyc.legalserver.org/matter/dynamic-profile/view/1891871","19-1891871")</f>
        <v>0</v>
      </c>
      <c r="B4589" t="s">
        <v>70</v>
      </c>
      <c r="C4589" t="s">
        <v>256</v>
      </c>
      <c r="D4589" t="s">
        <v>383</v>
      </c>
      <c r="F4589" t="s">
        <v>1201</v>
      </c>
      <c r="G4589" t="s">
        <v>4174</v>
      </c>
      <c r="H4589" t="s">
        <v>5748</v>
      </c>
      <c r="I4589" t="s">
        <v>8828</v>
      </c>
      <c r="J4589" t="s">
        <v>9059</v>
      </c>
      <c r="K4589">
        <v>11233</v>
      </c>
      <c r="L4589" t="s">
        <v>9094</v>
      </c>
      <c r="M4589" t="s">
        <v>9096</v>
      </c>
      <c r="N4589" t="s">
        <v>9144</v>
      </c>
      <c r="O4589" t="s">
        <v>11137</v>
      </c>
      <c r="P4589" t="s">
        <v>11167</v>
      </c>
      <c r="R4589" t="s">
        <v>11180</v>
      </c>
      <c r="S4589" t="s">
        <v>9094</v>
      </c>
      <c r="T4589" t="s">
        <v>11183</v>
      </c>
      <c r="U4589" t="s">
        <v>11201</v>
      </c>
      <c r="V4589" t="s">
        <v>749</v>
      </c>
      <c r="W4589">
        <v>875</v>
      </c>
      <c r="X4589" t="s">
        <v>11332</v>
      </c>
      <c r="Z4589" t="s">
        <v>14343</v>
      </c>
      <c r="AA4589" t="s">
        <v>9144</v>
      </c>
      <c r="AC4589">
        <v>359</v>
      </c>
      <c r="AD4589" t="s">
        <v>19566</v>
      </c>
      <c r="AE4589" t="s">
        <v>9144</v>
      </c>
      <c r="AF4589">
        <v>40</v>
      </c>
      <c r="AG4589">
        <v>1</v>
      </c>
      <c r="AH4589">
        <v>0</v>
      </c>
      <c r="AI4589">
        <v>176.86</v>
      </c>
      <c r="AL4589" t="s">
        <v>19614</v>
      </c>
      <c r="AM4589">
        <v>22090</v>
      </c>
      <c r="AN4589" t="s">
        <v>19759</v>
      </c>
      <c r="AS4589">
        <v>0</v>
      </c>
      <c r="AU4589" t="s">
        <v>95</v>
      </c>
      <c r="AV4589" t="s">
        <v>9144</v>
      </c>
    </row>
    <row r="4590" spans="1:48">
      <c r="A4590" s="1">
        <f>HYPERLINK("https://lsnyc.legalserver.org/matter/dynamic-profile/view/1898818","19-1898818")</f>
        <v>0</v>
      </c>
      <c r="B4590" t="s">
        <v>138</v>
      </c>
      <c r="C4590" t="s">
        <v>256</v>
      </c>
      <c r="D4590" t="s">
        <v>337</v>
      </c>
      <c r="F4590" t="s">
        <v>1687</v>
      </c>
      <c r="G4590" t="s">
        <v>5139</v>
      </c>
      <c r="H4590" t="s">
        <v>7730</v>
      </c>
      <c r="I4590" t="s">
        <v>8193</v>
      </c>
      <c r="J4590" t="s">
        <v>9067</v>
      </c>
      <c r="K4590">
        <v>10034</v>
      </c>
      <c r="L4590" t="s">
        <v>9094</v>
      </c>
      <c r="M4590" t="s">
        <v>9094</v>
      </c>
      <c r="P4590" t="s">
        <v>11169</v>
      </c>
      <c r="R4590" t="s">
        <v>11180</v>
      </c>
      <c r="S4590" t="s">
        <v>9096</v>
      </c>
      <c r="T4590" t="s">
        <v>11183</v>
      </c>
      <c r="V4590" t="s">
        <v>337</v>
      </c>
      <c r="W4590">
        <v>1565</v>
      </c>
      <c r="X4590" t="s">
        <v>11335</v>
      </c>
      <c r="Y4590" t="s">
        <v>11338</v>
      </c>
      <c r="Z4590" t="s">
        <v>14344</v>
      </c>
      <c r="AB4590" t="s">
        <v>18666</v>
      </c>
      <c r="AC4590">
        <v>48</v>
      </c>
      <c r="AD4590" t="s">
        <v>19566</v>
      </c>
      <c r="AE4590" t="s">
        <v>19587</v>
      </c>
      <c r="AF4590">
        <v>2</v>
      </c>
      <c r="AG4590">
        <v>1</v>
      </c>
      <c r="AH4590">
        <v>0</v>
      </c>
      <c r="AI4590">
        <v>176.88</v>
      </c>
      <c r="AL4590" t="s">
        <v>19614</v>
      </c>
      <c r="AM4590">
        <v>22092</v>
      </c>
      <c r="AS4590">
        <v>10.6</v>
      </c>
      <c r="AT4590" t="s">
        <v>331</v>
      </c>
      <c r="AU4590" t="s">
        <v>130</v>
      </c>
      <c r="AV4590" t="s">
        <v>20733</v>
      </c>
    </row>
    <row r="4591" spans="1:48">
      <c r="A4591" s="1">
        <f>HYPERLINK("https://lsnyc.legalserver.org/matter/dynamic-profile/view/1835945","17-1835945")</f>
        <v>0</v>
      </c>
      <c r="B4591" t="s">
        <v>78</v>
      </c>
      <c r="C4591" t="s">
        <v>256</v>
      </c>
      <c r="D4591" t="s">
        <v>1075</v>
      </c>
      <c r="F4591" t="s">
        <v>2764</v>
      </c>
      <c r="G4591" t="s">
        <v>5140</v>
      </c>
      <c r="H4591" t="s">
        <v>5809</v>
      </c>
      <c r="I4591" t="s">
        <v>8266</v>
      </c>
      <c r="J4591" t="s">
        <v>9059</v>
      </c>
      <c r="K4591">
        <v>11212</v>
      </c>
      <c r="L4591" t="s">
        <v>9094</v>
      </c>
      <c r="M4591" t="s">
        <v>9095</v>
      </c>
      <c r="N4591" t="s">
        <v>10771</v>
      </c>
      <c r="O4591" t="s">
        <v>9121</v>
      </c>
      <c r="P4591" t="s">
        <v>11167</v>
      </c>
      <c r="R4591" t="s">
        <v>11180</v>
      </c>
      <c r="S4591" t="s">
        <v>9094</v>
      </c>
      <c r="T4591" t="s">
        <v>11183</v>
      </c>
      <c r="V4591" t="s">
        <v>1075</v>
      </c>
      <c r="W4591">
        <v>1120.98</v>
      </c>
      <c r="X4591" t="s">
        <v>11332</v>
      </c>
      <c r="Y4591" t="s">
        <v>11157</v>
      </c>
      <c r="Z4591" t="s">
        <v>14324</v>
      </c>
      <c r="AB4591" t="s">
        <v>18645</v>
      </c>
      <c r="AC4591">
        <v>31</v>
      </c>
      <c r="AD4591" t="s">
        <v>19566</v>
      </c>
      <c r="AE4591" t="s">
        <v>19587</v>
      </c>
      <c r="AF4591">
        <v>12</v>
      </c>
      <c r="AG4591">
        <v>2</v>
      </c>
      <c r="AH4591">
        <v>0</v>
      </c>
      <c r="AI4591">
        <v>176.9</v>
      </c>
      <c r="AL4591" t="s">
        <v>19614</v>
      </c>
      <c r="AM4591">
        <v>28729</v>
      </c>
      <c r="AS4591">
        <v>0.5</v>
      </c>
      <c r="AT4591" t="s">
        <v>897</v>
      </c>
      <c r="AU4591" t="s">
        <v>78</v>
      </c>
    </row>
    <row r="4592" spans="1:48">
      <c r="A4592" s="1">
        <f>HYPERLINK("https://lsnyc.legalserver.org/matter/dynamic-profile/view/1912468","19-1912468")</f>
        <v>0</v>
      </c>
      <c r="B4592" t="s">
        <v>106</v>
      </c>
      <c r="C4592" t="s">
        <v>256</v>
      </c>
      <c r="D4592" t="s">
        <v>744</v>
      </c>
      <c r="F4592" t="s">
        <v>1430</v>
      </c>
      <c r="G4592" t="s">
        <v>4590</v>
      </c>
      <c r="H4592" t="s">
        <v>5874</v>
      </c>
      <c r="I4592" t="s">
        <v>8209</v>
      </c>
      <c r="J4592" t="s">
        <v>9065</v>
      </c>
      <c r="K4592">
        <v>10457</v>
      </c>
      <c r="L4592" t="s">
        <v>9094</v>
      </c>
      <c r="M4592" t="s">
        <v>9095</v>
      </c>
      <c r="O4592" t="s">
        <v>11143</v>
      </c>
      <c r="P4592" t="s">
        <v>11164</v>
      </c>
      <c r="R4592" t="s">
        <v>11180</v>
      </c>
      <c r="S4592" t="s">
        <v>9094</v>
      </c>
      <c r="T4592" t="s">
        <v>11183</v>
      </c>
      <c r="W4592">
        <v>1022.34</v>
      </c>
      <c r="X4592" t="s">
        <v>11333</v>
      </c>
      <c r="Y4592" t="s">
        <v>11346</v>
      </c>
      <c r="Z4592" t="s">
        <v>14345</v>
      </c>
      <c r="AB4592" t="s">
        <v>18667</v>
      </c>
      <c r="AC4592">
        <v>48</v>
      </c>
      <c r="AD4592" t="s">
        <v>19566</v>
      </c>
      <c r="AE4592" t="s">
        <v>19580</v>
      </c>
      <c r="AF4592">
        <v>1</v>
      </c>
      <c r="AG4592">
        <v>1</v>
      </c>
      <c r="AH4592">
        <v>0</v>
      </c>
      <c r="AI4592">
        <v>176.94</v>
      </c>
      <c r="AL4592" t="s">
        <v>19615</v>
      </c>
      <c r="AM4592">
        <v>22100</v>
      </c>
      <c r="AS4592">
        <v>6</v>
      </c>
      <c r="AT4592" t="s">
        <v>612</v>
      </c>
      <c r="AU4592" t="s">
        <v>220</v>
      </c>
    </row>
    <row r="4593" spans="1:48">
      <c r="A4593" s="1">
        <f>HYPERLINK("https://lsnyc.legalserver.org/matter/dynamic-profile/view/1907995","19-1907995")</f>
        <v>0</v>
      </c>
      <c r="B4593" t="s">
        <v>106</v>
      </c>
      <c r="C4593" t="s">
        <v>256</v>
      </c>
      <c r="D4593" t="s">
        <v>288</v>
      </c>
      <c r="F4593" t="s">
        <v>1430</v>
      </c>
      <c r="G4593" t="s">
        <v>4590</v>
      </c>
      <c r="H4593" t="s">
        <v>5874</v>
      </c>
      <c r="I4593" t="s">
        <v>8209</v>
      </c>
      <c r="J4593" t="s">
        <v>9065</v>
      </c>
      <c r="K4593">
        <v>10457</v>
      </c>
      <c r="L4593" t="s">
        <v>9094</v>
      </c>
      <c r="M4593" t="s">
        <v>9095</v>
      </c>
      <c r="N4593" t="s">
        <v>9231</v>
      </c>
      <c r="O4593" t="s">
        <v>11134</v>
      </c>
      <c r="P4593" t="s">
        <v>11168</v>
      </c>
      <c r="R4593" t="s">
        <v>11180</v>
      </c>
      <c r="S4593" t="s">
        <v>9094</v>
      </c>
      <c r="T4593" t="s">
        <v>11183</v>
      </c>
      <c r="W4593">
        <v>1022.34</v>
      </c>
      <c r="X4593" t="s">
        <v>11333</v>
      </c>
      <c r="Y4593" t="s">
        <v>11346</v>
      </c>
      <c r="Z4593" t="s">
        <v>14345</v>
      </c>
      <c r="AB4593" t="s">
        <v>18667</v>
      </c>
      <c r="AC4593">
        <v>48</v>
      </c>
      <c r="AD4593" t="s">
        <v>19566</v>
      </c>
      <c r="AE4593" t="s">
        <v>19580</v>
      </c>
      <c r="AF4593">
        <v>15</v>
      </c>
      <c r="AG4593">
        <v>1</v>
      </c>
      <c r="AH4593">
        <v>0</v>
      </c>
      <c r="AI4593">
        <v>176.94</v>
      </c>
      <c r="AL4593" t="s">
        <v>19615</v>
      </c>
      <c r="AM4593">
        <v>22100</v>
      </c>
      <c r="AS4593">
        <v>0.2</v>
      </c>
      <c r="AT4593" t="s">
        <v>744</v>
      </c>
      <c r="AU4593" t="s">
        <v>220</v>
      </c>
    </row>
    <row r="4594" spans="1:48">
      <c r="A4594" s="1">
        <f>HYPERLINK("https://lsnyc.legalserver.org/matter/dynamic-profile/view/1912448","19-1912448")</f>
        <v>0</v>
      </c>
      <c r="B4594" t="s">
        <v>106</v>
      </c>
      <c r="C4594" t="s">
        <v>257</v>
      </c>
      <c r="D4594" t="s">
        <v>744</v>
      </c>
      <c r="E4594" t="s">
        <v>703</v>
      </c>
      <c r="F4594" t="s">
        <v>1430</v>
      </c>
      <c r="G4594" t="s">
        <v>4590</v>
      </c>
      <c r="H4594" t="s">
        <v>5874</v>
      </c>
      <c r="I4594" t="s">
        <v>8209</v>
      </c>
      <c r="J4594" t="s">
        <v>9065</v>
      </c>
      <c r="K4594">
        <v>10457</v>
      </c>
      <c r="L4594" t="s">
        <v>9094</v>
      </c>
      <c r="M4594" t="s">
        <v>9095</v>
      </c>
      <c r="O4594" t="s">
        <v>11137</v>
      </c>
      <c r="P4594" t="s">
        <v>11167</v>
      </c>
      <c r="Q4594" t="s">
        <v>11173</v>
      </c>
      <c r="R4594" t="s">
        <v>11180</v>
      </c>
      <c r="S4594" t="s">
        <v>9094</v>
      </c>
      <c r="T4594" t="s">
        <v>11183</v>
      </c>
      <c r="W4594">
        <v>1022.34</v>
      </c>
      <c r="X4594" t="s">
        <v>11333</v>
      </c>
      <c r="Y4594" t="s">
        <v>11346</v>
      </c>
      <c r="Z4594" t="s">
        <v>14345</v>
      </c>
      <c r="AB4594" t="s">
        <v>18667</v>
      </c>
      <c r="AC4594">
        <v>48</v>
      </c>
      <c r="AD4594" t="s">
        <v>19566</v>
      </c>
      <c r="AE4594" t="s">
        <v>19580</v>
      </c>
      <c r="AF4594">
        <v>15</v>
      </c>
      <c r="AG4594">
        <v>1</v>
      </c>
      <c r="AH4594">
        <v>0</v>
      </c>
      <c r="AI4594">
        <v>176.94</v>
      </c>
      <c r="AL4594" t="s">
        <v>19615</v>
      </c>
      <c r="AM4594">
        <v>22100</v>
      </c>
      <c r="AS4594">
        <v>1.4</v>
      </c>
      <c r="AT4594" t="s">
        <v>496</v>
      </c>
      <c r="AU4594" t="s">
        <v>220</v>
      </c>
      <c r="AV4594" t="s">
        <v>20733</v>
      </c>
    </row>
    <row r="4595" spans="1:48">
      <c r="A4595" s="1">
        <f>HYPERLINK("https://lsnyc.legalserver.org/matter/dynamic-profile/view/1910663","19-1910663")</f>
        <v>0</v>
      </c>
      <c r="B4595" t="s">
        <v>104</v>
      </c>
      <c r="C4595" t="s">
        <v>256</v>
      </c>
      <c r="D4595" t="s">
        <v>259</v>
      </c>
      <c r="F4595" t="s">
        <v>2185</v>
      </c>
      <c r="G4595" t="s">
        <v>3448</v>
      </c>
      <c r="H4595" t="s">
        <v>6842</v>
      </c>
      <c r="I4595" t="s">
        <v>8109</v>
      </c>
      <c r="J4595" t="s">
        <v>9065</v>
      </c>
      <c r="K4595">
        <v>10453</v>
      </c>
      <c r="L4595" t="s">
        <v>9094</v>
      </c>
      <c r="M4595" t="s">
        <v>9095</v>
      </c>
      <c r="N4595" t="s">
        <v>10772</v>
      </c>
      <c r="O4595" t="s">
        <v>11129</v>
      </c>
      <c r="P4595" t="s">
        <v>11167</v>
      </c>
      <c r="R4595" t="s">
        <v>11180</v>
      </c>
      <c r="S4595" t="s">
        <v>9096</v>
      </c>
      <c r="T4595" t="s">
        <v>11183</v>
      </c>
      <c r="U4595" t="s">
        <v>11200</v>
      </c>
      <c r="V4595" t="s">
        <v>295</v>
      </c>
      <c r="W4595">
        <v>746.51</v>
      </c>
      <c r="X4595" t="s">
        <v>11333</v>
      </c>
      <c r="Y4595" t="s">
        <v>11338</v>
      </c>
      <c r="Z4595" t="s">
        <v>14346</v>
      </c>
      <c r="AB4595" t="s">
        <v>18668</v>
      </c>
      <c r="AC4595">
        <v>40</v>
      </c>
      <c r="AD4595" t="s">
        <v>19566</v>
      </c>
      <c r="AF4595">
        <v>31</v>
      </c>
      <c r="AG4595">
        <v>1</v>
      </c>
      <c r="AH4595">
        <v>0</v>
      </c>
      <c r="AI4595">
        <v>176.94</v>
      </c>
      <c r="AL4595" t="s">
        <v>19614</v>
      </c>
      <c r="AM4595">
        <v>22100</v>
      </c>
      <c r="AS4595">
        <v>0.8</v>
      </c>
      <c r="AT4595" t="s">
        <v>259</v>
      </c>
      <c r="AU4595" t="s">
        <v>104</v>
      </c>
      <c r="AV4595" t="s">
        <v>20733</v>
      </c>
    </row>
    <row r="4596" spans="1:48">
      <c r="A4596" s="1">
        <f>HYPERLINK("https://lsnyc.legalserver.org/matter/dynamic-profile/view/1902901","19-1902901")</f>
        <v>0</v>
      </c>
      <c r="B4596" t="s">
        <v>71</v>
      </c>
      <c r="C4596" t="s">
        <v>257</v>
      </c>
      <c r="D4596" t="s">
        <v>760</v>
      </c>
      <c r="E4596" t="s">
        <v>483</v>
      </c>
      <c r="F4596" t="s">
        <v>1147</v>
      </c>
      <c r="G4596" t="s">
        <v>3674</v>
      </c>
      <c r="H4596" t="s">
        <v>7731</v>
      </c>
      <c r="I4596" t="s">
        <v>8438</v>
      </c>
      <c r="J4596" t="s">
        <v>9059</v>
      </c>
      <c r="K4596">
        <v>11208</v>
      </c>
      <c r="L4596" t="s">
        <v>9094</v>
      </c>
      <c r="M4596" t="s">
        <v>9095</v>
      </c>
      <c r="N4596" t="s">
        <v>10773</v>
      </c>
      <c r="O4596" t="s">
        <v>11128</v>
      </c>
      <c r="P4596" t="s">
        <v>11164</v>
      </c>
      <c r="Q4596" t="s">
        <v>11173</v>
      </c>
      <c r="R4596" t="s">
        <v>11180</v>
      </c>
      <c r="S4596" t="s">
        <v>9096</v>
      </c>
      <c r="T4596" t="s">
        <v>11183</v>
      </c>
      <c r="U4596" t="s">
        <v>11201</v>
      </c>
      <c r="V4596" t="s">
        <v>750</v>
      </c>
      <c r="W4596">
        <v>1300</v>
      </c>
      <c r="X4596" t="s">
        <v>11332</v>
      </c>
      <c r="Y4596" t="s">
        <v>11350</v>
      </c>
      <c r="Z4596" t="s">
        <v>14347</v>
      </c>
      <c r="AA4596" t="s">
        <v>15877</v>
      </c>
      <c r="AB4596" t="s">
        <v>18669</v>
      </c>
      <c r="AC4596">
        <v>2</v>
      </c>
      <c r="AD4596" t="s">
        <v>19565</v>
      </c>
      <c r="AE4596" t="s">
        <v>11157</v>
      </c>
      <c r="AF4596">
        <v>14</v>
      </c>
      <c r="AG4596">
        <v>1</v>
      </c>
      <c r="AH4596">
        <v>0</v>
      </c>
      <c r="AI4596">
        <v>176.97</v>
      </c>
      <c r="AL4596" t="s">
        <v>19614</v>
      </c>
      <c r="AM4596">
        <v>22104</v>
      </c>
      <c r="AS4596">
        <v>3</v>
      </c>
      <c r="AT4596" t="s">
        <v>750</v>
      </c>
      <c r="AU4596" t="s">
        <v>20639</v>
      </c>
      <c r="AV4596" t="s">
        <v>20733</v>
      </c>
    </row>
    <row r="4597" spans="1:48">
      <c r="A4597" s="1">
        <f>HYPERLINK("https://lsnyc.legalserver.org/matter/dynamic-profile/view/1841213","17-1841213")</f>
        <v>0</v>
      </c>
      <c r="B4597" t="s">
        <v>101</v>
      </c>
      <c r="C4597" t="s">
        <v>256</v>
      </c>
      <c r="D4597" t="s">
        <v>770</v>
      </c>
      <c r="F4597" t="s">
        <v>1407</v>
      </c>
      <c r="G4597" t="s">
        <v>4045</v>
      </c>
      <c r="H4597" t="s">
        <v>6041</v>
      </c>
      <c r="I4597" t="s">
        <v>8193</v>
      </c>
      <c r="J4597" t="s">
        <v>9065</v>
      </c>
      <c r="K4597">
        <v>10452</v>
      </c>
      <c r="L4597" t="s">
        <v>9094</v>
      </c>
      <c r="M4597" t="s">
        <v>9095</v>
      </c>
      <c r="N4597" t="s">
        <v>9356</v>
      </c>
      <c r="O4597" t="s">
        <v>11135</v>
      </c>
      <c r="P4597" t="s">
        <v>11168</v>
      </c>
      <c r="R4597" t="s">
        <v>11180</v>
      </c>
      <c r="S4597" t="s">
        <v>9094</v>
      </c>
      <c r="T4597" t="s">
        <v>11183</v>
      </c>
      <c r="V4597" t="s">
        <v>770</v>
      </c>
      <c r="W4597">
        <v>752.71</v>
      </c>
      <c r="X4597" t="s">
        <v>11333</v>
      </c>
      <c r="Y4597" t="s">
        <v>11346</v>
      </c>
      <c r="Z4597" t="s">
        <v>14328</v>
      </c>
      <c r="AB4597" t="s">
        <v>18648</v>
      </c>
      <c r="AC4597">
        <v>61</v>
      </c>
      <c r="AD4597" t="s">
        <v>19566</v>
      </c>
      <c r="AE4597" t="s">
        <v>9144</v>
      </c>
      <c r="AF4597">
        <v>41</v>
      </c>
      <c r="AG4597">
        <v>2</v>
      </c>
      <c r="AH4597">
        <v>0</v>
      </c>
      <c r="AI4597">
        <v>177.04</v>
      </c>
      <c r="AL4597" t="s">
        <v>19614</v>
      </c>
      <c r="AM4597">
        <v>37548</v>
      </c>
      <c r="AS4597">
        <v>0.2</v>
      </c>
      <c r="AT4597" t="s">
        <v>873</v>
      </c>
      <c r="AU4597" t="s">
        <v>20647</v>
      </c>
    </row>
    <row r="4598" spans="1:48">
      <c r="A4598" s="1">
        <f>HYPERLINK("https://lsnyc.legalserver.org/matter/dynamic-profile/view/0799026","16-0799026")</f>
        <v>0</v>
      </c>
      <c r="B4598" t="s">
        <v>101</v>
      </c>
      <c r="C4598" t="s">
        <v>256</v>
      </c>
      <c r="D4598" t="s">
        <v>656</v>
      </c>
      <c r="F4598" t="s">
        <v>1407</v>
      </c>
      <c r="G4598" t="s">
        <v>4045</v>
      </c>
      <c r="H4598" t="s">
        <v>6041</v>
      </c>
      <c r="I4598" t="s">
        <v>8193</v>
      </c>
      <c r="J4598" t="s">
        <v>9065</v>
      </c>
      <c r="K4598">
        <v>10452</v>
      </c>
      <c r="L4598" t="s">
        <v>9094</v>
      </c>
      <c r="M4598" t="s">
        <v>9095</v>
      </c>
      <c r="N4598" t="s">
        <v>9499</v>
      </c>
      <c r="O4598" t="s">
        <v>11135</v>
      </c>
      <c r="P4598" t="s">
        <v>11168</v>
      </c>
      <c r="R4598" t="s">
        <v>11180</v>
      </c>
      <c r="S4598" t="s">
        <v>9094</v>
      </c>
      <c r="T4598" t="s">
        <v>11183</v>
      </c>
      <c r="V4598" t="s">
        <v>1094</v>
      </c>
      <c r="W4598">
        <v>752.71</v>
      </c>
      <c r="X4598" t="s">
        <v>11333</v>
      </c>
      <c r="Y4598" t="s">
        <v>11346</v>
      </c>
      <c r="Z4598" t="s">
        <v>14328</v>
      </c>
      <c r="AB4598" t="s">
        <v>18648</v>
      </c>
      <c r="AC4598">
        <v>61</v>
      </c>
      <c r="AD4598" t="s">
        <v>19566</v>
      </c>
      <c r="AE4598" t="s">
        <v>9144</v>
      </c>
      <c r="AF4598">
        <v>41</v>
      </c>
      <c r="AG4598">
        <v>2</v>
      </c>
      <c r="AH4598">
        <v>0</v>
      </c>
      <c r="AI4598">
        <v>177.22</v>
      </c>
      <c r="AL4598" t="s">
        <v>19614</v>
      </c>
      <c r="AM4598">
        <v>28390.44</v>
      </c>
      <c r="AS4598">
        <v>2.2</v>
      </c>
      <c r="AT4598" t="s">
        <v>873</v>
      </c>
      <c r="AU4598" t="s">
        <v>109</v>
      </c>
    </row>
    <row r="4599" spans="1:48">
      <c r="A4599" s="1">
        <f>HYPERLINK("https://lsnyc.legalserver.org/matter/dynamic-profile/view/0816940","16-0816940")</f>
        <v>0</v>
      </c>
      <c r="B4599" t="s">
        <v>101</v>
      </c>
      <c r="C4599" t="s">
        <v>256</v>
      </c>
      <c r="D4599" t="s">
        <v>437</v>
      </c>
      <c r="F4599" t="s">
        <v>1407</v>
      </c>
      <c r="G4599" t="s">
        <v>4045</v>
      </c>
      <c r="H4599" t="s">
        <v>6041</v>
      </c>
      <c r="I4599" t="s">
        <v>8193</v>
      </c>
      <c r="J4599" t="s">
        <v>9065</v>
      </c>
      <c r="K4599">
        <v>10452</v>
      </c>
      <c r="L4599" t="s">
        <v>9094</v>
      </c>
      <c r="M4599" t="s">
        <v>9095</v>
      </c>
      <c r="N4599" t="s">
        <v>9500</v>
      </c>
      <c r="O4599" t="s">
        <v>11135</v>
      </c>
      <c r="P4599" t="s">
        <v>11168</v>
      </c>
      <c r="R4599" t="s">
        <v>11180</v>
      </c>
      <c r="S4599" t="s">
        <v>9094</v>
      </c>
      <c r="T4599" t="s">
        <v>11183</v>
      </c>
      <c r="V4599" t="s">
        <v>1024</v>
      </c>
      <c r="W4599">
        <v>752.71</v>
      </c>
      <c r="X4599" t="s">
        <v>11333</v>
      </c>
      <c r="Y4599" t="s">
        <v>11346</v>
      </c>
      <c r="Z4599" t="s">
        <v>14328</v>
      </c>
      <c r="AB4599" t="s">
        <v>18648</v>
      </c>
      <c r="AC4599">
        <v>62</v>
      </c>
      <c r="AD4599" t="s">
        <v>19566</v>
      </c>
      <c r="AE4599" t="s">
        <v>9144</v>
      </c>
      <c r="AF4599">
        <v>41</v>
      </c>
      <c r="AG4599">
        <v>2</v>
      </c>
      <c r="AH4599">
        <v>0</v>
      </c>
      <c r="AI4599">
        <v>177.22</v>
      </c>
      <c r="AL4599" t="s">
        <v>19614</v>
      </c>
      <c r="AM4599">
        <v>37186.44</v>
      </c>
      <c r="AS4599">
        <v>0.8</v>
      </c>
      <c r="AT4599" t="s">
        <v>873</v>
      </c>
      <c r="AU4599" t="s">
        <v>20643</v>
      </c>
    </row>
    <row r="4600" spans="1:48">
      <c r="A4600" s="1">
        <f>HYPERLINK("https://lsnyc.legalserver.org/matter/dynamic-profile/view/0822703","16-0822703")</f>
        <v>0</v>
      </c>
      <c r="B4600" t="s">
        <v>101</v>
      </c>
      <c r="C4600" t="s">
        <v>256</v>
      </c>
      <c r="D4600" t="s">
        <v>944</v>
      </c>
      <c r="F4600" t="s">
        <v>1407</v>
      </c>
      <c r="G4600" t="s">
        <v>4045</v>
      </c>
      <c r="H4600" t="s">
        <v>6041</v>
      </c>
      <c r="I4600" t="s">
        <v>8193</v>
      </c>
      <c r="J4600" t="s">
        <v>9065</v>
      </c>
      <c r="K4600">
        <v>10452</v>
      </c>
      <c r="L4600" t="s">
        <v>9094</v>
      </c>
      <c r="M4600" t="s">
        <v>9095</v>
      </c>
      <c r="N4600" t="s">
        <v>9501</v>
      </c>
      <c r="O4600" t="s">
        <v>11135</v>
      </c>
      <c r="P4600" t="s">
        <v>11168</v>
      </c>
      <c r="R4600" t="s">
        <v>11180</v>
      </c>
      <c r="S4600" t="s">
        <v>9094</v>
      </c>
      <c r="T4600" t="s">
        <v>11183</v>
      </c>
      <c r="V4600" t="s">
        <v>1089</v>
      </c>
      <c r="W4600">
        <v>752.71</v>
      </c>
      <c r="X4600" t="s">
        <v>11333</v>
      </c>
      <c r="Y4600" t="s">
        <v>11346</v>
      </c>
      <c r="Z4600" t="s">
        <v>14328</v>
      </c>
      <c r="AB4600" t="s">
        <v>18648</v>
      </c>
      <c r="AC4600">
        <v>62</v>
      </c>
      <c r="AD4600" t="s">
        <v>19566</v>
      </c>
      <c r="AE4600" t="s">
        <v>9144</v>
      </c>
      <c r="AF4600">
        <v>41</v>
      </c>
      <c r="AG4600">
        <v>2</v>
      </c>
      <c r="AH4600">
        <v>0</v>
      </c>
      <c r="AI4600">
        <v>177.22</v>
      </c>
      <c r="AL4600" t="s">
        <v>19614</v>
      </c>
      <c r="AM4600">
        <v>37186.44</v>
      </c>
      <c r="AS4600">
        <v>1.8</v>
      </c>
      <c r="AT4600" t="s">
        <v>873</v>
      </c>
      <c r="AU4600" t="s">
        <v>20643</v>
      </c>
    </row>
    <row r="4601" spans="1:48">
      <c r="A4601" s="1">
        <f>HYPERLINK("https://lsnyc.legalserver.org/matter/dynamic-profile/view/1903496","19-1903496")</f>
        <v>0</v>
      </c>
      <c r="B4601" t="s">
        <v>59</v>
      </c>
      <c r="C4601" t="s">
        <v>256</v>
      </c>
      <c r="D4601" t="s">
        <v>750</v>
      </c>
      <c r="F4601" t="s">
        <v>1972</v>
      </c>
      <c r="G4601" t="s">
        <v>5141</v>
      </c>
      <c r="H4601" t="s">
        <v>6367</v>
      </c>
      <c r="I4601" t="s">
        <v>8537</v>
      </c>
      <c r="J4601" t="s">
        <v>9055</v>
      </c>
      <c r="K4601">
        <v>11354</v>
      </c>
      <c r="L4601" t="s">
        <v>9094</v>
      </c>
      <c r="M4601" t="s">
        <v>9095</v>
      </c>
      <c r="N4601" t="s">
        <v>9135</v>
      </c>
      <c r="O4601" t="s">
        <v>11134</v>
      </c>
      <c r="P4601" t="s">
        <v>11168</v>
      </c>
      <c r="R4601" t="s">
        <v>11180</v>
      </c>
      <c r="S4601" t="s">
        <v>9094</v>
      </c>
      <c r="T4601" t="s">
        <v>11183</v>
      </c>
      <c r="U4601" t="s">
        <v>11201</v>
      </c>
      <c r="V4601" t="s">
        <v>750</v>
      </c>
      <c r="W4601">
        <v>1666.84</v>
      </c>
      <c r="X4601" t="s">
        <v>11331</v>
      </c>
      <c r="Y4601" t="s">
        <v>11341</v>
      </c>
      <c r="Z4601" t="s">
        <v>11444</v>
      </c>
      <c r="AA4601" t="s">
        <v>15274</v>
      </c>
      <c r="AB4601" t="s">
        <v>15274</v>
      </c>
      <c r="AC4601">
        <v>91</v>
      </c>
      <c r="AD4601" t="s">
        <v>19566</v>
      </c>
      <c r="AE4601" t="s">
        <v>9144</v>
      </c>
      <c r="AF4601">
        <v>7</v>
      </c>
      <c r="AG4601">
        <v>2</v>
      </c>
      <c r="AH4601">
        <v>0</v>
      </c>
      <c r="AI4601">
        <v>177.41</v>
      </c>
      <c r="AL4601" t="s">
        <v>19615</v>
      </c>
      <c r="AM4601">
        <v>30000</v>
      </c>
      <c r="AS4601">
        <v>0.15</v>
      </c>
      <c r="AT4601" t="s">
        <v>750</v>
      </c>
      <c r="AU4601" t="s">
        <v>59</v>
      </c>
      <c r="AV4601" t="s">
        <v>20733</v>
      </c>
    </row>
    <row r="4602" spans="1:48">
      <c r="A4602" s="1">
        <f>HYPERLINK("https://lsnyc.legalserver.org/matter/dynamic-profile/view/1905630","19-1905630")</f>
        <v>0</v>
      </c>
      <c r="B4602" t="s">
        <v>82</v>
      </c>
      <c r="C4602" t="s">
        <v>256</v>
      </c>
      <c r="D4602" t="s">
        <v>457</v>
      </c>
      <c r="F4602" t="s">
        <v>2875</v>
      </c>
      <c r="G4602" t="s">
        <v>3448</v>
      </c>
      <c r="H4602" t="s">
        <v>6393</v>
      </c>
      <c r="I4602" t="s">
        <v>8302</v>
      </c>
      <c r="J4602" t="s">
        <v>9059</v>
      </c>
      <c r="K4602">
        <v>11226</v>
      </c>
      <c r="L4602" t="s">
        <v>9094</v>
      </c>
      <c r="M4602" t="s">
        <v>9095</v>
      </c>
      <c r="O4602" t="s">
        <v>11130</v>
      </c>
      <c r="P4602" t="s">
        <v>11165</v>
      </c>
      <c r="R4602" t="s">
        <v>11180</v>
      </c>
      <c r="S4602" t="s">
        <v>9094</v>
      </c>
      <c r="T4602" t="s">
        <v>11183</v>
      </c>
      <c r="V4602" t="s">
        <v>457</v>
      </c>
      <c r="W4602">
        <v>1165.29</v>
      </c>
      <c r="X4602" t="s">
        <v>11332</v>
      </c>
      <c r="Z4602" t="s">
        <v>14348</v>
      </c>
      <c r="AB4602" t="s">
        <v>18670</v>
      </c>
      <c r="AC4602">
        <v>0</v>
      </c>
      <c r="AF4602">
        <v>19</v>
      </c>
      <c r="AG4602">
        <v>2</v>
      </c>
      <c r="AH4602">
        <v>0</v>
      </c>
      <c r="AI4602">
        <v>177.41</v>
      </c>
      <c r="AL4602" t="s">
        <v>19615</v>
      </c>
      <c r="AM4602">
        <v>30000</v>
      </c>
      <c r="AS4602">
        <v>0.2</v>
      </c>
      <c r="AT4602" t="s">
        <v>282</v>
      </c>
      <c r="AU4602" t="s">
        <v>215</v>
      </c>
      <c r="AV4602" t="s">
        <v>20733</v>
      </c>
    </row>
    <row r="4603" spans="1:48">
      <c r="A4603" s="1">
        <f>HYPERLINK("https://lsnyc.legalserver.org/matter/dynamic-profile/view/1912719","19-1912719")</f>
        <v>0</v>
      </c>
      <c r="B4603" t="s">
        <v>110</v>
      </c>
      <c r="C4603" t="s">
        <v>257</v>
      </c>
      <c r="D4603" t="s">
        <v>570</v>
      </c>
      <c r="E4603" t="s">
        <v>632</v>
      </c>
      <c r="F4603" t="s">
        <v>1750</v>
      </c>
      <c r="G4603" t="s">
        <v>5142</v>
      </c>
      <c r="H4603" t="s">
        <v>6095</v>
      </c>
      <c r="J4603" t="s">
        <v>9065</v>
      </c>
      <c r="K4603">
        <v>10456</v>
      </c>
      <c r="L4603" t="s">
        <v>9094</v>
      </c>
      <c r="M4603" t="s">
        <v>9095</v>
      </c>
      <c r="O4603" t="s">
        <v>9121</v>
      </c>
      <c r="P4603" t="s">
        <v>11164</v>
      </c>
      <c r="Q4603" t="s">
        <v>11172</v>
      </c>
      <c r="R4603" t="s">
        <v>11180</v>
      </c>
      <c r="S4603" t="s">
        <v>9096</v>
      </c>
      <c r="T4603" t="s">
        <v>11183</v>
      </c>
      <c r="W4603">
        <v>1102.5</v>
      </c>
      <c r="X4603" t="s">
        <v>11333</v>
      </c>
      <c r="Y4603" t="s">
        <v>11346</v>
      </c>
      <c r="Z4603" t="s">
        <v>13021</v>
      </c>
      <c r="AB4603" t="s">
        <v>18671</v>
      </c>
      <c r="AC4603">
        <v>0</v>
      </c>
      <c r="AD4603" t="s">
        <v>19566</v>
      </c>
      <c r="AE4603" t="s">
        <v>9144</v>
      </c>
      <c r="AF4603">
        <v>6</v>
      </c>
      <c r="AG4603">
        <v>2</v>
      </c>
      <c r="AH4603">
        <v>0</v>
      </c>
      <c r="AI4603">
        <v>177.41</v>
      </c>
      <c r="AL4603" t="s">
        <v>19615</v>
      </c>
      <c r="AM4603">
        <v>30000</v>
      </c>
      <c r="AS4603">
        <v>1</v>
      </c>
      <c r="AT4603" t="s">
        <v>570</v>
      </c>
      <c r="AU4603" t="s">
        <v>110</v>
      </c>
      <c r="AV4603" t="s">
        <v>20733</v>
      </c>
    </row>
    <row r="4604" spans="1:48">
      <c r="A4604" s="1">
        <f>HYPERLINK("https://lsnyc.legalserver.org/matter/dynamic-profile/view/1902199","19-1902199")</f>
        <v>0</v>
      </c>
      <c r="B4604" t="s">
        <v>134</v>
      </c>
      <c r="C4604" t="s">
        <v>256</v>
      </c>
      <c r="D4604" t="s">
        <v>584</v>
      </c>
      <c r="F4604" t="s">
        <v>2095</v>
      </c>
      <c r="G4604" t="s">
        <v>5143</v>
      </c>
      <c r="H4604" t="s">
        <v>7732</v>
      </c>
      <c r="I4604">
        <v>55</v>
      </c>
      <c r="J4604" t="s">
        <v>9067</v>
      </c>
      <c r="K4604">
        <v>10033</v>
      </c>
      <c r="L4604" t="s">
        <v>9094</v>
      </c>
      <c r="M4604" t="s">
        <v>9095</v>
      </c>
      <c r="P4604" t="s">
        <v>11167</v>
      </c>
      <c r="R4604" t="s">
        <v>11180</v>
      </c>
      <c r="S4604" t="s">
        <v>9096</v>
      </c>
      <c r="T4604" t="s">
        <v>11183</v>
      </c>
      <c r="V4604" t="s">
        <v>584</v>
      </c>
      <c r="W4604">
        <v>2275</v>
      </c>
      <c r="X4604" t="s">
        <v>11335</v>
      </c>
      <c r="Y4604" t="s">
        <v>11338</v>
      </c>
      <c r="Z4604" t="s">
        <v>14349</v>
      </c>
      <c r="AC4604">
        <v>32</v>
      </c>
      <c r="AD4604" t="s">
        <v>19566</v>
      </c>
      <c r="AE4604" t="s">
        <v>9144</v>
      </c>
      <c r="AF4604">
        <v>5</v>
      </c>
      <c r="AG4604">
        <v>2</v>
      </c>
      <c r="AH4604">
        <v>0</v>
      </c>
      <c r="AI4604">
        <v>177.41</v>
      </c>
      <c r="AL4604" t="s">
        <v>19614</v>
      </c>
      <c r="AM4604">
        <v>30000</v>
      </c>
      <c r="AS4604">
        <v>21.9</v>
      </c>
      <c r="AT4604" t="s">
        <v>703</v>
      </c>
      <c r="AU4604" t="s">
        <v>130</v>
      </c>
      <c r="AV4604" t="s">
        <v>20733</v>
      </c>
    </row>
    <row r="4605" spans="1:48">
      <c r="A4605" s="1">
        <f>HYPERLINK("https://lsnyc.legalserver.org/matter/dynamic-profile/view/1886622","18-1886622")</f>
        <v>0</v>
      </c>
      <c r="B4605" t="s">
        <v>103</v>
      </c>
      <c r="C4605" t="s">
        <v>256</v>
      </c>
      <c r="D4605" t="s">
        <v>427</v>
      </c>
      <c r="F4605" t="s">
        <v>1495</v>
      </c>
      <c r="G4605" t="s">
        <v>2246</v>
      </c>
      <c r="H4605" t="s">
        <v>5887</v>
      </c>
      <c r="I4605" t="s">
        <v>8155</v>
      </c>
      <c r="J4605" t="s">
        <v>9065</v>
      </c>
      <c r="K4605">
        <v>10453</v>
      </c>
      <c r="L4605" t="s">
        <v>9094</v>
      </c>
      <c r="M4605" t="s">
        <v>9094</v>
      </c>
      <c r="O4605" t="s">
        <v>11136</v>
      </c>
      <c r="P4605" t="s">
        <v>11167</v>
      </c>
      <c r="R4605" t="s">
        <v>11180</v>
      </c>
      <c r="S4605" t="s">
        <v>9094</v>
      </c>
      <c r="T4605" t="s">
        <v>11192</v>
      </c>
      <c r="V4605" t="s">
        <v>299</v>
      </c>
      <c r="W4605">
        <v>0</v>
      </c>
      <c r="X4605" t="s">
        <v>11333</v>
      </c>
      <c r="Y4605" t="s">
        <v>11340</v>
      </c>
      <c r="Z4605" t="s">
        <v>11769</v>
      </c>
      <c r="AB4605" t="s">
        <v>16232</v>
      </c>
      <c r="AC4605">
        <v>170</v>
      </c>
      <c r="AD4605" t="s">
        <v>19566</v>
      </c>
      <c r="AF4605">
        <v>0</v>
      </c>
      <c r="AG4605">
        <v>1</v>
      </c>
      <c r="AH4605">
        <v>0</v>
      </c>
      <c r="AI4605">
        <v>177.53</v>
      </c>
      <c r="AL4605" t="s">
        <v>19614</v>
      </c>
      <c r="AM4605">
        <v>21552</v>
      </c>
      <c r="AS4605">
        <v>46</v>
      </c>
      <c r="AT4605" t="s">
        <v>274</v>
      </c>
      <c r="AU4605" t="s">
        <v>103</v>
      </c>
      <c r="AV4605" t="s">
        <v>20733</v>
      </c>
    </row>
    <row r="4606" spans="1:48">
      <c r="A4606" s="1">
        <f>HYPERLINK("https://lsnyc.legalserver.org/matter/dynamic-profile/view/1911699","19-1911699")</f>
        <v>0</v>
      </c>
      <c r="B4606" t="s">
        <v>98</v>
      </c>
      <c r="C4606" t="s">
        <v>256</v>
      </c>
      <c r="D4606" t="s">
        <v>290</v>
      </c>
      <c r="F4606" t="s">
        <v>1146</v>
      </c>
      <c r="G4606" t="s">
        <v>5144</v>
      </c>
      <c r="H4606" t="s">
        <v>6216</v>
      </c>
      <c r="I4606" t="s">
        <v>8191</v>
      </c>
      <c r="J4606" t="s">
        <v>9065</v>
      </c>
      <c r="K4606">
        <v>10452</v>
      </c>
      <c r="L4606" t="s">
        <v>9094</v>
      </c>
      <c r="M4606" t="s">
        <v>9095</v>
      </c>
      <c r="N4606" t="s">
        <v>9497</v>
      </c>
      <c r="O4606" t="s">
        <v>11134</v>
      </c>
      <c r="P4606" t="s">
        <v>11168</v>
      </c>
      <c r="R4606" t="s">
        <v>11180</v>
      </c>
      <c r="S4606" t="s">
        <v>9094</v>
      </c>
      <c r="T4606" t="s">
        <v>11183</v>
      </c>
      <c r="W4606">
        <v>1346</v>
      </c>
      <c r="X4606" t="s">
        <v>11333</v>
      </c>
      <c r="Y4606" t="s">
        <v>11346</v>
      </c>
      <c r="Z4606" t="s">
        <v>14350</v>
      </c>
      <c r="AB4606" t="s">
        <v>18672</v>
      </c>
      <c r="AC4606">
        <v>67</v>
      </c>
      <c r="AD4606" t="s">
        <v>15441</v>
      </c>
      <c r="AE4606" t="s">
        <v>9144</v>
      </c>
      <c r="AF4606">
        <v>6</v>
      </c>
      <c r="AG4606">
        <v>3</v>
      </c>
      <c r="AH4606">
        <v>1</v>
      </c>
      <c r="AI4606">
        <v>177.55</v>
      </c>
      <c r="AL4606" t="s">
        <v>19615</v>
      </c>
      <c r="AM4606">
        <v>45720</v>
      </c>
      <c r="AS4606">
        <v>0</v>
      </c>
      <c r="AU4606" t="s">
        <v>20647</v>
      </c>
      <c r="AV4606" t="s">
        <v>20733</v>
      </c>
    </row>
    <row r="4607" spans="1:48">
      <c r="A4607" s="1">
        <f>HYPERLINK("https://lsnyc.legalserver.org/matter/dynamic-profile/view/1905330","19-1905330")</f>
        <v>0</v>
      </c>
      <c r="B4607" t="s">
        <v>136</v>
      </c>
      <c r="C4607" t="s">
        <v>257</v>
      </c>
      <c r="D4607" t="s">
        <v>621</v>
      </c>
      <c r="E4607" t="s">
        <v>410</v>
      </c>
      <c r="F4607" t="s">
        <v>1450</v>
      </c>
      <c r="G4607" t="s">
        <v>3220</v>
      </c>
      <c r="H4607" t="s">
        <v>6816</v>
      </c>
      <c r="I4607">
        <v>307</v>
      </c>
      <c r="J4607" t="s">
        <v>9067</v>
      </c>
      <c r="K4607">
        <v>10029</v>
      </c>
      <c r="L4607" t="s">
        <v>9094</v>
      </c>
      <c r="M4607" t="s">
        <v>9095</v>
      </c>
      <c r="O4607" t="s">
        <v>9121</v>
      </c>
      <c r="P4607" t="s">
        <v>11164</v>
      </c>
      <c r="Q4607" t="s">
        <v>11172</v>
      </c>
      <c r="R4607" t="s">
        <v>11180</v>
      </c>
      <c r="S4607" t="s">
        <v>9096</v>
      </c>
      <c r="T4607" t="s">
        <v>11183</v>
      </c>
      <c r="U4607" t="s">
        <v>11201</v>
      </c>
      <c r="V4607" t="s">
        <v>621</v>
      </c>
      <c r="W4607">
        <v>3682</v>
      </c>
      <c r="X4607" t="s">
        <v>11335</v>
      </c>
      <c r="Y4607" t="s">
        <v>11338</v>
      </c>
      <c r="Z4607" t="s">
        <v>14351</v>
      </c>
      <c r="AB4607" t="s">
        <v>18673</v>
      </c>
      <c r="AC4607">
        <v>78</v>
      </c>
      <c r="AD4607" t="s">
        <v>19566</v>
      </c>
      <c r="AE4607" t="s">
        <v>19580</v>
      </c>
      <c r="AF4607">
        <v>24</v>
      </c>
      <c r="AG4607">
        <v>3</v>
      </c>
      <c r="AH4607">
        <v>0</v>
      </c>
      <c r="AI4607">
        <v>177.67</v>
      </c>
      <c r="AL4607" t="s">
        <v>19614</v>
      </c>
      <c r="AM4607">
        <v>37896</v>
      </c>
      <c r="AS4607">
        <v>0.3</v>
      </c>
      <c r="AT4607" t="s">
        <v>621</v>
      </c>
      <c r="AU4607" t="s">
        <v>20657</v>
      </c>
      <c r="AV4607" t="s">
        <v>20733</v>
      </c>
    </row>
    <row r="4608" spans="1:48">
      <c r="A4608" s="1">
        <f>HYPERLINK("https://lsnyc.legalserver.org/matter/dynamic-profile/view/1891401","19-1891401")</f>
        <v>0</v>
      </c>
      <c r="B4608" t="s">
        <v>103</v>
      </c>
      <c r="C4608" t="s">
        <v>256</v>
      </c>
      <c r="D4608" t="s">
        <v>543</v>
      </c>
      <c r="F4608" t="s">
        <v>2799</v>
      </c>
      <c r="G4608" t="s">
        <v>4022</v>
      </c>
      <c r="H4608" t="s">
        <v>5887</v>
      </c>
      <c r="I4608" t="s">
        <v>8836</v>
      </c>
      <c r="J4608" t="s">
        <v>9065</v>
      </c>
      <c r="K4608">
        <v>10453</v>
      </c>
      <c r="L4608" t="s">
        <v>9094</v>
      </c>
      <c r="M4608" t="s">
        <v>9094</v>
      </c>
      <c r="O4608" t="s">
        <v>11134</v>
      </c>
      <c r="P4608" t="s">
        <v>11168</v>
      </c>
      <c r="R4608" t="s">
        <v>11180</v>
      </c>
      <c r="S4608" t="s">
        <v>9094</v>
      </c>
      <c r="T4608" t="s">
        <v>11183</v>
      </c>
      <c r="V4608" t="s">
        <v>512</v>
      </c>
      <c r="W4608">
        <v>900</v>
      </c>
      <c r="X4608" t="s">
        <v>11333</v>
      </c>
      <c r="Y4608" t="s">
        <v>11346</v>
      </c>
      <c r="Z4608" t="s">
        <v>14183</v>
      </c>
      <c r="AB4608" t="s">
        <v>18509</v>
      </c>
      <c r="AC4608">
        <v>170</v>
      </c>
      <c r="AD4608" t="s">
        <v>19566</v>
      </c>
      <c r="AE4608" t="s">
        <v>19580</v>
      </c>
      <c r="AF4608">
        <v>10</v>
      </c>
      <c r="AG4608">
        <v>1</v>
      </c>
      <c r="AH4608">
        <v>3</v>
      </c>
      <c r="AI4608">
        <v>177.91</v>
      </c>
      <c r="AL4608" t="s">
        <v>19615</v>
      </c>
      <c r="AM4608">
        <v>45812</v>
      </c>
      <c r="AS4608">
        <v>0</v>
      </c>
      <c r="AU4608" t="s">
        <v>163</v>
      </c>
    </row>
    <row r="4609" spans="1:48">
      <c r="A4609" s="1">
        <f>HYPERLINK("https://lsnyc.legalserver.org/matter/dynamic-profile/view/1891397","19-1891397")</f>
        <v>0</v>
      </c>
      <c r="B4609" t="s">
        <v>103</v>
      </c>
      <c r="C4609" t="s">
        <v>256</v>
      </c>
      <c r="D4609" t="s">
        <v>543</v>
      </c>
      <c r="F4609" t="s">
        <v>2799</v>
      </c>
      <c r="G4609" t="s">
        <v>4022</v>
      </c>
      <c r="H4609" t="s">
        <v>5887</v>
      </c>
      <c r="I4609" t="s">
        <v>8836</v>
      </c>
      <c r="J4609" t="s">
        <v>9065</v>
      </c>
      <c r="K4609">
        <v>10453</v>
      </c>
      <c r="L4609" t="s">
        <v>9094</v>
      </c>
      <c r="M4609" t="s">
        <v>9094</v>
      </c>
      <c r="N4609" t="s">
        <v>9352</v>
      </c>
      <c r="O4609" t="s">
        <v>11130</v>
      </c>
      <c r="P4609" t="s">
        <v>11165</v>
      </c>
      <c r="R4609" t="s">
        <v>11180</v>
      </c>
      <c r="S4609" t="s">
        <v>9094</v>
      </c>
      <c r="T4609" t="s">
        <v>11183</v>
      </c>
      <c r="V4609" t="s">
        <v>512</v>
      </c>
      <c r="W4609">
        <v>900</v>
      </c>
      <c r="X4609" t="s">
        <v>11333</v>
      </c>
      <c r="Y4609" t="s">
        <v>11346</v>
      </c>
      <c r="Z4609" t="s">
        <v>14183</v>
      </c>
      <c r="AB4609" t="s">
        <v>18509</v>
      </c>
      <c r="AC4609">
        <v>170</v>
      </c>
      <c r="AD4609" t="s">
        <v>19566</v>
      </c>
      <c r="AE4609" t="s">
        <v>19580</v>
      </c>
      <c r="AF4609">
        <v>10</v>
      </c>
      <c r="AG4609">
        <v>1</v>
      </c>
      <c r="AH4609">
        <v>3</v>
      </c>
      <c r="AI4609">
        <v>177.91</v>
      </c>
      <c r="AL4609" t="s">
        <v>19615</v>
      </c>
      <c r="AM4609">
        <v>45812</v>
      </c>
      <c r="AS4609">
        <v>0</v>
      </c>
      <c r="AU4609" t="s">
        <v>163</v>
      </c>
    </row>
    <row r="4610" spans="1:48">
      <c r="A4610" s="1">
        <f>HYPERLINK("https://lsnyc.legalserver.org/matter/dynamic-profile/view/1886574","18-1886574")</f>
        <v>0</v>
      </c>
      <c r="B4610" t="s">
        <v>119</v>
      </c>
      <c r="C4610" t="s">
        <v>256</v>
      </c>
      <c r="D4610" t="s">
        <v>427</v>
      </c>
      <c r="F4610" t="s">
        <v>1375</v>
      </c>
      <c r="G4610" t="s">
        <v>3935</v>
      </c>
      <c r="H4610" t="s">
        <v>7733</v>
      </c>
      <c r="I4610" t="s">
        <v>8212</v>
      </c>
      <c r="J4610" t="s">
        <v>9065</v>
      </c>
      <c r="K4610">
        <v>10457</v>
      </c>
      <c r="L4610" t="s">
        <v>9094</v>
      </c>
      <c r="M4610" t="s">
        <v>9094</v>
      </c>
      <c r="O4610" t="s">
        <v>11136</v>
      </c>
      <c r="P4610" t="s">
        <v>11164</v>
      </c>
      <c r="R4610" t="s">
        <v>11180</v>
      </c>
      <c r="S4610" t="s">
        <v>9096</v>
      </c>
      <c r="T4610" t="s">
        <v>11190</v>
      </c>
      <c r="V4610" t="s">
        <v>582</v>
      </c>
      <c r="W4610">
        <v>1579</v>
      </c>
      <c r="X4610" t="s">
        <v>11333</v>
      </c>
      <c r="Y4610" t="s">
        <v>11347</v>
      </c>
      <c r="Z4610" t="s">
        <v>14352</v>
      </c>
      <c r="AB4610" t="s">
        <v>18674</v>
      </c>
      <c r="AC4610">
        <v>110</v>
      </c>
      <c r="AD4610" t="s">
        <v>19566</v>
      </c>
      <c r="AE4610" t="s">
        <v>19580</v>
      </c>
      <c r="AF4610">
        <v>4</v>
      </c>
      <c r="AG4610">
        <v>2</v>
      </c>
      <c r="AH4610">
        <v>0</v>
      </c>
      <c r="AI4610">
        <v>177.98</v>
      </c>
      <c r="AL4610" t="s">
        <v>19614</v>
      </c>
      <c r="AM4610">
        <v>29296</v>
      </c>
      <c r="AN4610" t="s">
        <v>19788</v>
      </c>
      <c r="AS4610">
        <v>2.5</v>
      </c>
      <c r="AT4610" t="s">
        <v>664</v>
      </c>
      <c r="AU4610" t="s">
        <v>20619</v>
      </c>
    </row>
    <row r="4611" spans="1:48">
      <c r="A4611" s="1">
        <f>HYPERLINK("https://lsnyc.legalserver.org/matter/dynamic-profile/view/1909733","19-1909733")</f>
        <v>0</v>
      </c>
      <c r="B4611" t="s">
        <v>67</v>
      </c>
      <c r="C4611" t="s">
        <v>257</v>
      </c>
      <c r="D4611" t="s">
        <v>425</v>
      </c>
      <c r="E4611" t="s">
        <v>703</v>
      </c>
      <c r="F4611" t="s">
        <v>1781</v>
      </c>
      <c r="G4611" t="s">
        <v>5145</v>
      </c>
      <c r="H4611" t="s">
        <v>7734</v>
      </c>
      <c r="I4611" t="s">
        <v>8128</v>
      </c>
      <c r="J4611" t="s">
        <v>9059</v>
      </c>
      <c r="K4611">
        <v>11228</v>
      </c>
      <c r="L4611" t="s">
        <v>9095</v>
      </c>
      <c r="M4611" t="s">
        <v>9095</v>
      </c>
      <c r="Q4611" t="s">
        <v>11172</v>
      </c>
      <c r="R4611" t="s">
        <v>11180</v>
      </c>
      <c r="T4611" t="s">
        <v>11183</v>
      </c>
      <c r="W4611">
        <v>0</v>
      </c>
      <c r="X4611" t="s">
        <v>11332</v>
      </c>
      <c r="Z4611" t="s">
        <v>14353</v>
      </c>
      <c r="AB4611" t="s">
        <v>18675</v>
      </c>
      <c r="AC4611">
        <v>0</v>
      </c>
      <c r="AF4611">
        <v>0</v>
      </c>
      <c r="AG4611">
        <v>1</v>
      </c>
      <c r="AH4611">
        <v>0</v>
      </c>
      <c r="AI4611">
        <v>178.13</v>
      </c>
      <c r="AL4611" t="s">
        <v>19614</v>
      </c>
      <c r="AM4611">
        <v>22248</v>
      </c>
      <c r="AS4611">
        <v>0.6</v>
      </c>
      <c r="AT4611" t="s">
        <v>703</v>
      </c>
      <c r="AU4611" t="s">
        <v>67</v>
      </c>
    </row>
    <row r="4612" spans="1:48">
      <c r="A4612" s="1">
        <f>HYPERLINK("https://lsnyc.legalserver.org/matter/dynamic-profile/view/1898030","19-1898030")</f>
        <v>0</v>
      </c>
      <c r="B4612" t="s">
        <v>70</v>
      </c>
      <c r="C4612" t="s">
        <v>256</v>
      </c>
      <c r="D4612" t="s">
        <v>598</v>
      </c>
      <c r="F4612" t="s">
        <v>2876</v>
      </c>
      <c r="G4612" t="s">
        <v>5146</v>
      </c>
      <c r="H4612" t="s">
        <v>5748</v>
      </c>
      <c r="I4612" t="s">
        <v>8868</v>
      </c>
      <c r="J4612" t="s">
        <v>9059</v>
      </c>
      <c r="K4612">
        <v>11233</v>
      </c>
      <c r="L4612" t="s">
        <v>9094</v>
      </c>
      <c r="M4612" t="s">
        <v>9096</v>
      </c>
      <c r="N4612" t="s">
        <v>9145</v>
      </c>
      <c r="O4612" t="s">
        <v>11134</v>
      </c>
      <c r="P4612" t="s">
        <v>11168</v>
      </c>
      <c r="R4612" t="s">
        <v>11180</v>
      </c>
      <c r="S4612" t="s">
        <v>9094</v>
      </c>
      <c r="T4612" t="s">
        <v>11183</v>
      </c>
      <c r="U4612" t="s">
        <v>11201</v>
      </c>
      <c r="V4612" t="s">
        <v>482</v>
      </c>
      <c r="W4612">
        <v>1059</v>
      </c>
      <c r="X4612" t="s">
        <v>11332</v>
      </c>
      <c r="Y4612" t="s">
        <v>11157</v>
      </c>
      <c r="Z4612" t="s">
        <v>14354</v>
      </c>
      <c r="AC4612">
        <v>359</v>
      </c>
      <c r="AD4612" t="s">
        <v>19566</v>
      </c>
      <c r="AF4612">
        <v>39</v>
      </c>
      <c r="AG4612">
        <v>2</v>
      </c>
      <c r="AH4612">
        <v>1</v>
      </c>
      <c r="AI4612">
        <v>178.15</v>
      </c>
      <c r="AL4612" t="s">
        <v>19614</v>
      </c>
      <c r="AM4612">
        <v>38000</v>
      </c>
      <c r="AN4612" t="s">
        <v>19885</v>
      </c>
      <c r="AS4612">
        <v>0</v>
      </c>
      <c r="AU4612" t="s">
        <v>79</v>
      </c>
    </row>
    <row r="4613" spans="1:48">
      <c r="A4613" s="1">
        <f>HYPERLINK("https://lsnyc.legalserver.org/matter/dynamic-profile/view/1898037","19-1898037")</f>
        <v>0</v>
      </c>
      <c r="B4613" t="s">
        <v>70</v>
      </c>
      <c r="C4613" t="s">
        <v>256</v>
      </c>
      <c r="D4613" t="s">
        <v>598</v>
      </c>
      <c r="F4613" t="s">
        <v>2876</v>
      </c>
      <c r="G4613" t="s">
        <v>5146</v>
      </c>
      <c r="H4613" t="s">
        <v>5748</v>
      </c>
      <c r="I4613" t="s">
        <v>8868</v>
      </c>
      <c r="J4613" t="s">
        <v>9059</v>
      </c>
      <c r="K4613">
        <v>11233</v>
      </c>
      <c r="L4613" t="s">
        <v>9094</v>
      </c>
      <c r="M4613" t="s">
        <v>9096</v>
      </c>
      <c r="O4613" t="s">
        <v>11137</v>
      </c>
      <c r="P4613" t="s">
        <v>11167</v>
      </c>
      <c r="R4613" t="s">
        <v>11180</v>
      </c>
      <c r="S4613" t="s">
        <v>9094</v>
      </c>
      <c r="T4613" t="s">
        <v>11183</v>
      </c>
      <c r="U4613" t="s">
        <v>11201</v>
      </c>
      <c r="V4613" t="s">
        <v>749</v>
      </c>
      <c r="W4613">
        <v>1059</v>
      </c>
      <c r="X4613" t="s">
        <v>11332</v>
      </c>
      <c r="Y4613" t="s">
        <v>11157</v>
      </c>
      <c r="Z4613" t="s">
        <v>14354</v>
      </c>
      <c r="AC4613">
        <v>359</v>
      </c>
      <c r="AD4613" t="s">
        <v>19566</v>
      </c>
      <c r="AF4613">
        <v>39</v>
      </c>
      <c r="AG4613">
        <v>2</v>
      </c>
      <c r="AH4613">
        <v>1</v>
      </c>
      <c r="AI4613">
        <v>178.15</v>
      </c>
      <c r="AL4613" t="s">
        <v>19614</v>
      </c>
      <c r="AM4613">
        <v>38000</v>
      </c>
      <c r="AN4613" t="s">
        <v>20038</v>
      </c>
      <c r="AS4613">
        <v>0</v>
      </c>
      <c r="AU4613" t="s">
        <v>79</v>
      </c>
    </row>
    <row r="4614" spans="1:48">
      <c r="A4614" s="1">
        <f>HYPERLINK("https://lsnyc.legalserver.org/matter/dynamic-profile/view/1913840","19-1913840")</f>
        <v>0</v>
      </c>
      <c r="B4614" t="s">
        <v>135</v>
      </c>
      <c r="C4614" t="s">
        <v>256</v>
      </c>
      <c r="D4614" t="s">
        <v>301</v>
      </c>
      <c r="F4614" t="s">
        <v>2877</v>
      </c>
      <c r="G4614" t="s">
        <v>5147</v>
      </c>
      <c r="H4614" t="s">
        <v>7518</v>
      </c>
      <c r="I4614" t="s">
        <v>8165</v>
      </c>
      <c r="J4614" t="s">
        <v>9067</v>
      </c>
      <c r="K4614">
        <v>10029</v>
      </c>
      <c r="L4614" t="s">
        <v>9094</v>
      </c>
      <c r="M4614" t="s">
        <v>9095</v>
      </c>
      <c r="O4614" t="s">
        <v>9121</v>
      </c>
      <c r="P4614" t="s">
        <v>11167</v>
      </c>
      <c r="R4614" t="s">
        <v>11180</v>
      </c>
      <c r="S4614" t="s">
        <v>9094</v>
      </c>
      <c r="T4614" t="s">
        <v>11183</v>
      </c>
      <c r="U4614" t="s">
        <v>11201</v>
      </c>
      <c r="V4614" t="s">
        <v>484</v>
      </c>
      <c r="W4614">
        <v>875</v>
      </c>
      <c r="X4614" t="s">
        <v>11335</v>
      </c>
      <c r="Y4614" t="s">
        <v>11339</v>
      </c>
      <c r="Z4614" t="s">
        <v>14355</v>
      </c>
      <c r="AB4614" t="s">
        <v>18676</v>
      </c>
      <c r="AC4614">
        <v>135</v>
      </c>
      <c r="AD4614" t="s">
        <v>19566</v>
      </c>
      <c r="AE4614" t="s">
        <v>9144</v>
      </c>
      <c r="AF4614">
        <v>36</v>
      </c>
      <c r="AG4614">
        <v>3</v>
      </c>
      <c r="AH4614">
        <v>0</v>
      </c>
      <c r="AI4614">
        <v>178.15</v>
      </c>
      <c r="AL4614" t="s">
        <v>19615</v>
      </c>
      <c r="AM4614">
        <v>38000</v>
      </c>
      <c r="AS4614">
        <v>6</v>
      </c>
      <c r="AT4614" t="s">
        <v>594</v>
      </c>
      <c r="AU4614" t="s">
        <v>20657</v>
      </c>
      <c r="AV4614" t="s">
        <v>20733</v>
      </c>
    </row>
    <row r="4615" spans="1:48">
      <c r="A4615" s="1">
        <f>HYPERLINK("https://lsnyc.legalserver.org/matter/dynamic-profile/view/1914720","19-1914720")</f>
        <v>0</v>
      </c>
      <c r="B4615" t="s">
        <v>135</v>
      </c>
      <c r="C4615" t="s">
        <v>256</v>
      </c>
      <c r="D4615" t="s">
        <v>632</v>
      </c>
      <c r="F4615" t="s">
        <v>2877</v>
      </c>
      <c r="G4615" t="s">
        <v>5147</v>
      </c>
      <c r="H4615" t="s">
        <v>7518</v>
      </c>
      <c r="I4615" t="s">
        <v>8165</v>
      </c>
      <c r="J4615" t="s">
        <v>9067</v>
      </c>
      <c r="K4615">
        <v>10029</v>
      </c>
      <c r="L4615" t="s">
        <v>9094</v>
      </c>
      <c r="M4615" t="s">
        <v>9095</v>
      </c>
      <c r="N4615" t="s">
        <v>10774</v>
      </c>
      <c r="O4615" t="s">
        <v>11129</v>
      </c>
      <c r="P4615" t="s">
        <v>11165</v>
      </c>
      <c r="R4615" t="s">
        <v>11180</v>
      </c>
      <c r="S4615" t="s">
        <v>9096</v>
      </c>
      <c r="T4615" t="s">
        <v>11183</v>
      </c>
      <c r="U4615" t="s">
        <v>11201</v>
      </c>
      <c r="V4615" t="s">
        <v>556</v>
      </c>
      <c r="W4615">
        <v>875</v>
      </c>
      <c r="X4615" t="s">
        <v>11335</v>
      </c>
      <c r="Y4615" t="s">
        <v>11340</v>
      </c>
      <c r="Z4615" t="s">
        <v>14355</v>
      </c>
      <c r="AB4615" t="s">
        <v>18676</v>
      </c>
      <c r="AC4615">
        <v>135</v>
      </c>
      <c r="AD4615" t="s">
        <v>19566</v>
      </c>
      <c r="AE4615" t="s">
        <v>9144</v>
      </c>
      <c r="AF4615">
        <v>36</v>
      </c>
      <c r="AG4615">
        <v>3</v>
      </c>
      <c r="AH4615">
        <v>0</v>
      </c>
      <c r="AI4615">
        <v>178.15</v>
      </c>
      <c r="AL4615" t="s">
        <v>19615</v>
      </c>
      <c r="AM4615">
        <v>38000</v>
      </c>
      <c r="AS4615">
        <v>0</v>
      </c>
      <c r="AU4615" t="s">
        <v>20657</v>
      </c>
      <c r="AV4615" t="s">
        <v>20733</v>
      </c>
    </row>
    <row r="4616" spans="1:48">
      <c r="A4616" s="1">
        <f>HYPERLINK("https://lsnyc.legalserver.org/matter/dynamic-profile/view/1866667","18-1866667")</f>
        <v>0</v>
      </c>
      <c r="B4616" t="s">
        <v>138</v>
      </c>
      <c r="C4616" t="s">
        <v>256</v>
      </c>
      <c r="D4616" t="s">
        <v>901</v>
      </c>
      <c r="F4616" t="s">
        <v>2878</v>
      </c>
      <c r="G4616" t="s">
        <v>5148</v>
      </c>
      <c r="H4616" t="s">
        <v>7290</v>
      </c>
      <c r="I4616" t="s">
        <v>8139</v>
      </c>
      <c r="J4616" t="s">
        <v>9067</v>
      </c>
      <c r="K4616">
        <v>10034</v>
      </c>
      <c r="L4616" t="s">
        <v>9094</v>
      </c>
      <c r="M4616" t="s">
        <v>9095</v>
      </c>
      <c r="N4616" t="s">
        <v>10775</v>
      </c>
      <c r="O4616" t="s">
        <v>11129</v>
      </c>
      <c r="P4616" t="s">
        <v>11165</v>
      </c>
      <c r="R4616" t="s">
        <v>11180</v>
      </c>
      <c r="S4616" t="s">
        <v>9096</v>
      </c>
      <c r="T4616" t="s">
        <v>11183</v>
      </c>
      <c r="V4616" t="s">
        <v>800</v>
      </c>
      <c r="W4616">
        <v>1348.66</v>
      </c>
      <c r="X4616" t="s">
        <v>11335</v>
      </c>
      <c r="Y4616" t="s">
        <v>11340</v>
      </c>
      <c r="Z4616" t="s">
        <v>14356</v>
      </c>
      <c r="AB4616" t="s">
        <v>18677</v>
      </c>
      <c r="AC4616">
        <v>42</v>
      </c>
      <c r="AD4616" t="s">
        <v>19566</v>
      </c>
      <c r="AE4616" t="s">
        <v>19587</v>
      </c>
      <c r="AF4616">
        <v>25</v>
      </c>
      <c r="AG4616">
        <v>1</v>
      </c>
      <c r="AH4616">
        <v>0</v>
      </c>
      <c r="AI4616">
        <v>178.33</v>
      </c>
      <c r="AL4616" t="s">
        <v>19615</v>
      </c>
      <c r="AM4616">
        <v>21649.2</v>
      </c>
      <c r="AS4616">
        <v>10.2</v>
      </c>
      <c r="AT4616" t="s">
        <v>620</v>
      </c>
      <c r="AU4616" t="s">
        <v>130</v>
      </c>
    </row>
    <row r="4617" spans="1:48">
      <c r="A4617" s="1">
        <f>HYPERLINK("https://lsnyc.legalserver.org/matter/dynamic-profile/view/1874396","18-1874396")</f>
        <v>0</v>
      </c>
      <c r="B4617" t="s">
        <v>140</v>
      </c>
      <c r="C4617" t="s">
        <v>256</v>
      </c>
      <c r="D4617" t="s">
        <v>260</v>
      </c>
      <c r="F4617" t="s">
        <v>2879</v>
      </c>
      <c r="G4617" t="s">
        <v>4361</v>
      </c>
      <c r="H4617" t="s">
        <v>7735</v>
      </c>
      <c r="I4617" t="s">
        <v>8168</v>
      </c>
      <c r="J4617" t="s">
        <v>9067</v>
      </c>
      <c r="K4617">
        <v>10032</v>
      </c>
      <c r="L4617" t="s">
        <v>9094</v>
      </c>
      <c r="M4617" t="s">
        <v>9094</v>
      </c>
      <c r="O4617" t="s">
        <v>11128</v>
      </c>
      <c r="P4617" t="s">
        <v>11165</v>
      </c>
      <c r="R4617" t="s">
        <v>11180</v>
      </c>
      <c r="S4617" t="s">
        <v>9096</v>
      </c>
      <c r="T4617" t="s">
        <v>11183</v>
      </c>
      <c r="V4617" t="s">
        <v>260</v>
      </c>
      <c r="W4617">
        <v>2116.65</v>
      </c>
      <c r="X4617" t="s">
        <v>11335</v>
      </c>
      <c r="Y4617" t="s">
        <v>11338</v>
      </c>
      <c r="Z4617" t="s">
        <v>14357</v>
      </c>
      <c r="AB4617" t="s">
        <v>18678</v>
      </c>
      <c r="AC4617">
        <v>115</v>
      </c>
      <c r="AD4617" t="s">
        <v>19566</v>
      </c>
      <c r="AE4617" t="s">
        <v>9144</v>
      </c>
      <c r="AF4617">
        <v>7</v>
      </c>
      <c r="AG4617">
        <v>2</v>
      </c>
      <c r="AH4617">
        <v>0</v>
      </c>
      <c r="AI4617">
        <v>178.54</v>
      </c>
      <c r="AL4617" t="s">
        <v>19615</v>
      </c>
      <c r="AM4617">
        <v>29388</v>
      </c>
      <c r="AS4617">
        <v>14.56</v>
      </c>
      <c r="AT4617" t="s">
        <v>744</v>
      </c>
      <c r="AU4617" t="s">
        <v>130</v>
      </c>
    </row>
    <row r="4618" spans="1:48">
      <c r="A4618" s="1">
        <f>HYPERLINK("https://lsnyc.legalserver.org/matter/dynamic-profile/view/1910169","19-1910169")</f>
        <v>0</v>
      </c>
      <c r="B4618" t="s">
        <v>139</v>
      </c>
      <c r="C4618" t="s">
        <v>256</v>
      </c>
      <c r="D4618" t="s">
        <v>442</v>
      </c>
      <c r="F4618" t="s">
        <v>1363</v>
      </c>
      <c r="G4618" t="s">
        <v>5149</v>
      </c>
      <c r="H4618" t="s">
        <v>6579</v>
      </c>
      <c r="J4618" t="s">
        <v>9067</v>
      </c>
      <c r="K4618">
        <v>10032</v>
      </c>
      <c r="L4618" t="s">
        <v>9094</v>
      </c>
      <c r="M4618" t="s">
        <v>9095</v>
      </c>
      <c r="P4618" t="s">
        <v>11165</v>
      </c>
      <c r="R4618" t="s">
        <v>11180</v>
      </c>
      <c r="S4618" t="s">
        <v>9094</v>
      </c>
      <c r="T4618" t="s">
        <v>11183</v>
      </c>
      <c r="V4618" t="s">
        <v>442</v>
      </c>
      <c r="W4618">
        <v>1036</v>
      </c>
      <c r="X4618" t="s">
        <v>11335</v>
      </c>
      <c r="Y4618" t="s">
        <v>11338</v>
      </c>
      <c r="Z4618" t="s">
        <v>14358</v>
      </c>
      <c r="AC4618">
        <v>41</v>
      </c>
      <c r="AD4618" t="s">
        <v>19566</v>
      </c>
      <c r="AE4618" t="s">
        <v>9144</v>
      </c>
      <c r="AF4618">
        <v>21</v>
      </c>
      <c r="AG4618">
        <v>5</v>
      </c>
      <c r="AH4618">
        <v>0</v>
      </c>
      <c r="AI4618">
        <v>178.56</v>
      </c>
      <c r="AL4618" t="s">
        <v>19615</v>
      </c>
      <c r="AM4618">
        <v>53872</v>
      </c>
      <c r="AS4618">
        <v>6</v>
      </c>
      <c r="AT4618" t="s">
        <v>484</v>
      </c>
      <c r="AU4618" t="s">
        <v>130</v>
      </c>
      <c r="AV4618" t="s">
        <v>20733</v>
      </c>
    </row>
    <row r="4619" spans="1:48">
      <c r="A4619" s="1">
        <f>HYPERLINK("https://lsnyc.legalserver.org/matter/dynamic-profile/view/0809645","16-0809645")</f>
        <v>0</v>
      </c>
      <c r="B4619" t="s">
        <v>114</v>
      </c>
      <c r="C4619" t="s">
        <v>256</v>
      </c>
      <c r="D4619" t="s">
        <v>956</v>
      </c>
      <c r="F4619" t="s">
        <v>1341</v>
      </c>
      <c r="G4619" t="s">
        <v>5150</v>
      </c>
      <c r="H4619" t="s">
        <v>7056</v>
      </c>
      <c r="I4619" t="s">
        <v>8124</v>
      </c>
      <c r="J4619" t="s">
        <v>9065</v>
      </c>
      <c r="K4619">
        <v>10456</v>
      </c>
      <c r="L4619" t="s">
        <v>9094</v>
      </c>
      <c r="M4619" t="s">
        <v>9095</v>
      </c>
      <c r="N4619" t="s">
        <v>10161</v>
      </c>
      <c r="O4619" t="s">
        <v>11132</v>
      </c>
      <c r="P4619" t="s">
        <v>11165</v>
      </c>
      <c r="R4619" t="s">
        <v>11180</v>
      </c>
      <c r="S4619" t="s">
        <v>9094</v>
      </c>
      <c r="T4619" t="s">
        <v>11183</v>
      </c>
      <c r="V4619" t="s">
        <v>11234</v>
      </c>
      <c r="W4619">
        <v>800</v>
      </c>
      <c r="X4619" t="s">
        <v>11333</v>
      </c>
      <c r="Y4619" t="s">
        <v>11341</v>
      </c>
      <c r="Z4619" t="s">
        <v>12049</v>
      </c>
      <c r="AB4619" t="s">
        <v>18679</v>
      </c>
      <c r="AC4619">
        <v>3</v>
      </c>
      <c r="AD4619" t="s">
        <v>19566</v>
      </c>
      <c r="AE4619" t="s">
        <v>9144</v>
      </c>
      <c r="AF4619">
        <v>4</v>
      </c>
      <c r="AG4619">
        <v>1</v>
      </c>
      <c r="AH4619">
        <v>0</v>
      </c>
      <c r="AI4619">
        <v>178.8</v>
      </c>
      <c r="AJ4619" t="s">
        <v>19600</v>
      </c>
      <c r="AL4619" t="s">
        <v>19614</v>
      </c>
      <c r="AM4619">
        <v>21242</v>
      </c>
      <c r="AS4619">
        <v>142.64</v>
      </c>
      <c r="AT4619" t="s">
        <v>293</v>
      </c>
      <c r="AU4619" t="s">
        <v>174</v>
      </c>
    </row>
    <row r="4620" spans="1:48">
      <c r="A4620" s="1">
        <f>HYPERLINK("https://lsnyc.legalserver.org/matter/dynamic-profile/view/1906036","19-1906036")</f>
        <v>0</v>
      </c>
      <c r="B4620" t="s">
        <v>59</v>
      </c>
      <c r="C4620" t="s">
        <v>256</v>
      </c>
      <c r="D4620" t="s">
        <v>330</v>
      </c>
      <c r="F4620" t="s">
        <v>2880</v>
      </c>
      <c r="G4620" t="s">
        <v>5151</v>
      </c>
      <c r="H4620" t="s">
        <v>7736</v>
      </c>
      <c r="J4620" t="s">
        <v>9039</v>
      </c>
      <c r="K4620">
        <v>11435</v>
      </c>
      <c r="L4620" t="s">
        <v>9094</v>
      </c>
      <c r="M4620" t="s">
        <v>9095</v>
      </c>
      <c r="N4620" t="s">
        <v>10776</v>
      </c>
      <c r="O4620" t="s">
        <v>11130</v>
      </c>
      <c r="P4620" t="s">
        <v>11165</v>
      </c>
      <c r="R4620" t="s">
        <v>11180</v>
      </c>
      <c r="S4620" t="s">
        <v>9096</v>
      </c>
      <c r="T4620" t="s">
        <v>11183</v>
      </c>
      <c r="U4620" t="s">
        <v>11201</v>
      </c>
      <c r="V4620" t="s">
        <v>330</v>
      </c>
      <c r="W4620">
        <v>2010</v>
      </c>
      <c r="X4620" t="s">
        <v>11331</v>
      </c>
      <c r="Y4620" t="s">
        <v>11338</v>
      </c>
      <c r="Z4620" t="s">
        <v>14359</v>
      </c>
      <c r="AB4620" t="s">
        <v>18680</v>
      </c>
      <c r="AC4620">
        <v>2</v>
      </c>
      <c r="AD4620" t="s">
        <v>19565</v>
      </c>
      <c r="AE4620" t="s">
        <v>9144</v>
      </c>
      <c r="AF4620">
        <v>-1</v>
      </c>
      <c r="AG4620">
        <v>2</v>
      </c>
      <c r="AH4620">
        <v>3</v>
      </c>
      <c r="AI4620">
        <v>178.99</v>
      </c>
      <c r="AL4620" t="s">
        <v>19614</v>
      </c>
      <c r="AM4620">
        <v>54000</v>
      </c>
      <c r="AP4620" t="s">
        <v>11157</v>
      </c>
      <c r="AS4620">
        <v>6.11</v>
      </c>
      <c r="AT4620" t="s">
        <v>496</v>
      </c>
      <c r="AU4620" t="s">
        <v>59</v>
      </c>
      <c r="AV4620" t="s">
        <v>20733</v>
      </c>
    </row>
    <row r="4621" spans="1:48">
      <c r="A4621" s="1">
        <f>HYPERLINK("https://lsnyc.legalserver.org/matter/dynamic-profile/view/1910272","19-1910272")</f>
        <v>0</v>
      </c>
      <c r="B4621" t="s">
        <v>59</v>
      </c>
      <c r="C4621" t="s">
        <v>256</v>
      </c>
      <c r="D4621" t="s">
        <v>1076</v>
      </c>
      <c r="F4621" t="s">
        <v>2880</v>
      </c>
      <c r="G4621" t="s">
        <v>5151</v>
      </c>
      <c r="H4621" t="s">
        <v>7736</v>
      </c>
      <c r="J4621" t="s">
        <v>9039</v>
      </c>
      <c r="K4621">
        <v>11435</v>
      </c>
      <c r="L4621" t="s">
        <v>9094</v>
      </c>
      <c r="M4621" t="s">
        <v>9095</v>
      </c>
      <c r="N4621" t="s">
        <v>10777</v>
      </c>
      <c r="O4621" t="s">
        <v>11129</v>
      </c>
      <c r="P4621" t="s">
        <v>11165</v>
      </c>
      <c r="R4621" t="s">
        <v>11180</v>
      </c>
      <c r="S4621" t="s">
        <v>9096</v>
      </c>
      <c r="T4621" t="s">
        <v>11183</v>
      </c>
      <c r="U4621" t="s">
        <v>11201</v>
      </c>
      <c r="V4621" t="s">
        <v>1076</v>
      </c>
      <c r="W4621">
        <v>2010</v>
      </c>
      <c r="X4621" t="s">
        <v>11331</v>
      </c>
      <c r="Y4621" t="s">
        <v>11341</v>
      </c>
      <c r="Z4621" t="s">
        <v>14359</v>
      </c>
      <c r="AB4621" t="s">
        <v>18680</v>
      </c>
      <c r="AC4621">
        <v>2</v>
      </c>
      <c r="AD4621" t="s">
        <v>19565</v>
      </c>
      <c r="AE4621" t="s">
        <v>9144</v>
      </c>
      <c r="AF4621">
        <v>-1</v>
      </c>
      <c r="AG4621">
        <v>2</v>
      </c>
      <c r="AH4621">
        <v>3</v>
      </c>
      <c r="AI4621">
        <v>178.99</v>
      </c>
      <c r="AL4621" t="s">
        <v>19614</v>
      </c>
      <c r="AM4621">
        <v>54000</v>
      </c>
      <c r="AP4621" t="s">
        <v>11157</v>
      </c>
      <c r="AS4621">
        <v>4.85</v>
      </c>
      <c r="AT4621" t="s">
        <v>270</v>
      </c>
      <c r="AU4621" t="s">
        <v>59</v>
      </c>
      <c r="AV4621" t="s">
        <v>20733</v>
      </c>
    </row>
    <row r="4622" spans="1:48">
      <c r="A4622" s="1">
        <f>HYPERLINK("https://lsnyc.legalserver.org/matter/dynamic-profile/view/1910273","19-1910273")</f>
        <v>0</v>
      </c>
      <c r="B4622" t="s">
        <v>59</v>
      </c>
      <c r="C4622" t="s">
        <v>256</v>
      </c>
      <c r="D4622" t="s">
        <v>1076</v>
      </c>
      <c r="F4622" t="s">
        <v>2880</v>
      </c>
      <c r="G4622" t="s">
        <v>5151</v>
      </c>
      <c r="H4622" t="s">
        <v>7736</v>
      </c>
      <c r="J4622" t="s">
        <v>9039</v>
      </c>
      <c r="K4622">
        <v>11435</v>
      </c>
      <c r="L4622" t="s">
        <v>9094</v>
      </c>
      <c r="M4622" t="s">
        <v>9095</v>
      </c>
      <c r="O4622" t="s">
        <v>11136</v>
      </c>
      <c r="P4622" t="s">
        <v>11167</v>
      </c>
      <c r="R4622" t="s">
        <v>11180</v>
      </c>
      <c r="S4622" t="s">
        <v>9096</v>
      </c>
      <c r="T4622" t="s">
        <v>11183</v>
      </c>
      <c r="U4622" t="s">
        <v>11201</v>
      </c>
      <c r="V4622" t="s">
        <v>1076</v>
      </c>
      <c r="W4622">
        <v>2010</v>
      </c>
      <c r="X4622" t="s">
        <v>11331</v>
      </c>
      <c r="Y4622" t="s">
        <v>11341</v>
      </c>
      <c r="Z4622" t="s">
        <v>14359</v>
      </c>
      <c r="AB4622" t="s">
        <v>18680</v>
      </c>
      <c r="AC4622">
        <v>2</v>
      </c>
      <c r="AD4622" t="s">
        <v>19565</v>
      </c>
      <c r="AE4622" t="s">
        <v>9144</v>
      </c>
      <c r="AF4622">
        <v>-1</v>
      </c>
      <c r="AG4622">
        <v>2</v>
      </c>
      <c r="AH4622">
        <v>3</v>
      </c>
      <c r="AI4622">
        <v>178.99</v>
      </c>
      <c r="AL4622" t="s">
        <v>19614</v>
      </c>
      <c r="AM4622">
        <v>54000</v>
      </c>
      <c r="AS4622">
        <v>0.3</v>
      </c>
      <c r="AT4622" t="s">
        <v>1076</v>
      </c>
      <c r="AU4622" t="s">
        <v>59</v>
      </c>
      <c r="AV4622" t="s">
        <v>20733</v>
      </c>
    </row>
    <row r="4623" spans="1:48">
      <c r="A4623" s="1">
        <f>HYPERLINK("https://lsnyc.legalserver.org/matter/dynamic-profile/view/1892667","19-1892667")</f>
        <v>0</v>
      </c>
      <c r="B4623" t="s">
        <v>70</v>
      </c>
      <c r="C4623" t="s">
        <v>256</v>
      </c>
      <c r="D4623" t="s">
        <v>553</v>
      </c>
      <c r="F4623" t="s">
        <v>2881</v>
      </c>
      <c r="G4623" t="s">
        <v>5152</v>
      </c>
      <c r="H4623" t="s">
        <v>5750</v>
      </c>
      <c r="I4623" t="s">
        <v>8216</v>
      </c>
      <c r="J4623" t="s">
        <v>9059</v>
      </c>
      <c r="K4623">
        <v>11233</v>
      </c>
      <c r="L4623" t="s">
        <v>9094</v>
      </c>
      <c r="M4623" t="s">
        <v>9096</v>
      </c>
      <c r="N4623" t="s">
        <v>9145</v>
      </c>
      <c r="O4623" t="s">
        <v>11134</v>
      </c>
      <c r="P4623" t="s">
        <v>11168</v>
      </c>
      <c r="R4623" t="s">
        <v>11180</v>
      </c>
      <c r="S4623" t="s">
        <v>9094</v>
      </c>
      <c r="T4623" t="s">
        <v>11183</v>
      </c>
      <c r="U4623" t="s">
        <v>11201</v>
      </c>
      <c r="V4623" t="s">
        <v>482</v>
      </c>
      <c r="W4623">
        <v>981.97</v>
      </c>
      <c r="X4623" t="s">
        <v>11332</v>
      </c>
      <c r="Y4623" t="s">
        <v>11157</v>
      </c>
      <c r="Z4623" t="s">
        <v>14360</v>
      </c>
      <c r="AC4623">
        <v>359</v>
      </c>
      <c r="AD4623" t="s">
        <v>19566</v>
      </c>
      <c r="AF4623">
        <v>0</v>
      </c>
      <c r="AG4623">
        <v>4</v>
      </c>
      <c r="AH4623">
        <v>1</v>
      </c>
      <c r="AI4623">
        <v>178.99</v>
      </c>
      <c r="AL4623" t="s">
        <v>5133</v>
      </c>
      <c r="AM4623">
        <v>54000</v>
      </c>
      <c r="AN4623" t="s">
        <v>19885</v>
      </c>
      <c r="AS4623">
        <v>0</v>
      </c>
      <c r="AU4623" t="s">
        <v>79</v>
      </c>
    </row>
    <row r="4624" spans="1:48">
      <c r="A4624" s="1">
        <f>HYPERLINK("https://lsnyc.legalserver.org/matter/dynamic-profile/view/1892672","19-1892672")</f>
        <v>0</v>
      </c>
      <c r="B4624" t="s">
        <v>70</v>
      </c>
      <c r="C4624" t="s">
        <v>256</v>
      </c>
      <c r="D4624" t="s">
        <v>553</v>
      </c>
      <c r="F4624" t="s">
        <v>2881</v>
      </c>
      <c r="G4624" t="s">
        <v>5152</v>
      </c>
      <c r="H4624" t="s">
        <v>5750</v>
      </c>
      <c r="I4624" t="s">
        <v>8216</v>
      </c>
      <c r="J4624" t="s">
        <v>9059</v>
      </c>
      <c r="K4624">
        <v>11233</v>
      </c>
      <c r="L4624" t="s">
        <v>9094</v>
      </c>
      <c r="M4624" t="s">
        <v>9096</v>
      </c>
      <c r="O4624" t="s">
        <v>11137</v>
      </c>
      <c r="P4624" t="s">
        <v>11167</v>
      </c>
      <c r="R4624" t="s">
        <v>11180</v>
      </c>
      <c r="S4624" t="s">
        <v>9094</v>
      </c>
      <c r="T4624" t="s">
        <v>11183</v>
      </c>
      <c r="U4624" t="s">
        <v>11201</v>
      </c>
      <c r="V4624" t="s">
        <v>749</v>
      </c>
      <c r="W4624">
        <v>981.97</v>
      </c>
      <c r="X4624" t="s">
        <v>11332</v>
      </c>
      <c r="Y4624" t="s">
        <v>11157</v>
      </c>
      <c r="Z4624" t="s">
        <v>14360</v>
      </c>
      <c r="AC4624">
        <v>359</v>
      </c>
      <c r="AD4624" t="s">
        <v>19566</v>
      </c>
      <c r="AF4624">
        <v>0</v>
      </c>
      <c r="AG4624">
        <v>4</v>
      </c>
      <c r="AH4624">
        <v>1</v>
      </c>
      <c r="AI4624">
        <v>178.99</v>
      </c>
      <c r="AL4624" t="s">
        <v>5133</v>
      </c>
      <c r="AM4624">
        <v>54000</v>
      </c>
      <c r="AN4624" t="s">
        <v>20039</v>
      </c>
      <c r="AS4624">
        <v>0</v>
      </c>
      <c r="AU4624" t="s">
        <v>79</v>
      </c>
    </row>
    <row r="4625" spans="1:48">
      <c r="A4625" s="1">
        <f>HYPERLINK("https://lsnyc.legalserver.org/matter/dynamic-profile/view/0795221","15-0795221")</f>
        <v>0</v>
      </c>
      <c r="B4625" t="s">
        <v>49</v>
      </c>
      <c r="C4625" t="s">
        <v>256</v>
      </c>
      <c r="D4625" t="s">
        <v>895</v>
      </c>
      <c r="F4625" t="s">
        <v>2750</v>
      </c>
      <c r="G4625" t="s">
        <v>2930</v>
      </c>
      <c r="H4625" t="s">
        <v>5736</v>
      </c>
      <c r="I4625" t="s">
        <v>8169</v>
      </c>
      <c r="J4625" t="s">
        <v>9055</v>
      </c>
      <c r="K4625">
        <v>11354</v>
      </c>
      <c r="L4625" t="s">
        <v>9094</v>
      </c>
      <c r="M4625" t="s">
        <v>9095</v>
      </c>
      <c r="N4625" t="s">
        <v>9717</v>
      </c>
      <c r="O4625" t="s">
        <v>11135</v>
      </c>
      <c r="P4625" t="s">
        <v>11168</v>
      </c>
      <c r="R4625" t="s">
        <v>11180</v>
      </c>
      <c r="T4625" t="s">
        <v>11183</v>
      </c>
      <c r="V4625" t="s">
        <v>303</v>
      </c>
      <c r="W4625">
        <v>1009</v>
      </c>
      <c r="X4625" t="s">
        <v>11331</v>
      </c>
      <c r="Y4625" t="s">
        <v>11342</v>
      </c>
      <c r="Z4625" t="s">
        <v>14361</v>
      </c>
      <c r="AB4625" t="s">
        <v>18681</v>
      </c>
      <c r="AC4625">
        <v>175</v>
      </c>
      <c r="AD4625" t="s">
        <v>19566</v>
      </c>
      <c r="AE4625" t="s">
        <v>9144</v>
      </c>
      <c r="AF4625">
        <v>3</v>
      </c>
      <c r="AG4625">
        <v>3</v>
      </c>
      <c r="AH4625">
        <v>0</v>
      </c>
      <c r="AI4625">
        <v>179.19</v>
      </c>
      <c r="AL4625" t="s">
        <v>19623</v>
      </c>
      <c r="AM4625">
        <v>36000</v>
      </c>
      <c r="AS4625">
        <v>0.55</v>
      </c>
      <c r="AT4625" t="s">
        <v>448</v>
      </c>
      <c r="AU4625" t="s">
        <v>20621</v>
      </c>
    </row>
    <row r="4626" spans="1:48">
      <c r="A4626" s="1">
        <f>HYPERLINK("https://lsnyc.legalserver.org/matter/dynamic-profile/view/0795243","15-0795243")</f>
        <v>0</v>
      </c>
      <c r="B4626" t="s">
        <v>49</v>
      </c>
      <c r="C4626" t="s">
        <v>256</v>
      </c>
      <c r="D4626" t="s">
        <v>895</v>
      </c>
      <c r="F4626" t="s">
        <v>2882</v>
      </c>
      <c r="G4626" t="s">
        <v>5153</v>
      </c>
      <c r="H4626" t="s">
        <v>5736</v>
      </c>
      <c r="I4626" t="s">
        <v>8869</v>
      </c>
      <c r="J4626" t="s">
        <v>9055</v>
      </c>
      <c r="K4626">
        <v>11354</v>
      </c>
      <c r="L4626" t="s">
        <v>9094</v>
      </c>
      <c r="M4626" t="s">
        <v>9095</v>
      </c>
      <c r="N4626" t="s">
        <v>9717</v>
      </c>
      <c r="O4626" t="s">
        <v>11135</v>
      </c>
      <c r="P4626" t="s">
        <v>11168</v>
      </c>
      <c r="R4626" t="s">
        <v>11180</v>
      </c>
      <c r="T4626" t="s">
        <v>11183</v>
      </c>
      <c r="V4626" t="s">
        <v>11206</v>
      </c>
      <c r="W4626">
        <v>1500</v>
      </c>
      <c r="X4626" t="s">
        <v>11331</v>
      </c>
      <c r="Y4626" t="s">
        <v>11342</v>
      </c>
      <c r="Z4626" t="s">
        <v>14362</v>
      </c>
      <c r="AB4626" t="s">
        <v>18682</v>
      </c>
      <c r="AC4626">
        <v>175</v>
      </c>
      <c r="AD4626" t="s">
        <v>19566</v>
      </c>
      <c r="AE4626" t="s">
        <v>9144</v>
      </c>
      <c r="AF4626">
        <v>3</v>
      </c>
      <c r="AG4626">
        <v>3</v>
      </c>
      <c r="AH4626">
        <v>0</v>
      </c>
      <c r="AI4626">
        <v>179.19</v>
      </c>
      <c r="AL4626" t="s">
        <v>19619</v>
      </c>
      <c r="AM4626">
        <v>36000</v>
      </c>
      <c r="AS4626">
        <v>0.35</v>
      </c>
      <c r="AT4626" t="s">
        <v>448</v>
      </c>
      <c r="AU4626" t="s">
        <v>20621</v>
      </c>
    </row>
    <row r="4627" spans="1:48">
      <c r="A4627" s="1">
        <f>HYPERLINK("https://lsnyc.legalserver.org/matter/dynamic-profile/view/1882161","18-1882161")</f>
        <v>0</v>
      </c>
      <c r="B4627" t="s">
        <v>76</v>
      </c>
      <c r="C4627" t="s">
        <v>256</v>
      </c>
      <c r="D4627" t="s">
        <v>697</v>
      </c>
      <c r="F4627" t="s">
        <v>2591</v>
      </c>
      <c r="G4627" t="s">
        <v>4825</v>
      </c>
      <c r="H4627" t="s">
        <v>6621</v>
      </c>
      <c r="J4627" t="s">
        <v>9059</v>
      </c>
      <c r="K4627">
        <v>11213</v>
      </c>
      <c r="L4627" t="s">
        <v>9094</v>
      </c>
      <c r="M4627" t="s">
        <v>9094</v>
      </c>
      <c r="N4627" t="s">
        <v>9179</v>
      </c>
      <c r="O4627" t="s">
        <v>11130</v>
      </c>
      <c r="P4627" t="s">
        <v>11165</v>
      </c>
      <c r="R4627" t="s">
        <v>11180</v>
      </c>
      <c r="S4627" t="s">
        <v>9094</v>
      </c>
      <c r="T4627" t="s">
        <v>11183</v>
      </c>
      <c r="U4627" t="s">
        <v>11201</v>
      </c>
      <c r="V4627" t="s">
        <v>11265</v>
      </c>
      <c r="W4627">
        <v>881.67</v>
      </c>
      <c r="X4627" t="s">
        <v>11332</v>
      </c>
      <c r="Y4627" t="s">
        <v>11346</v>
      </c>
      <c r="Z4627" t="s">
        <v>13768</v>
      </c>
      <c r="AA4627" t="s">
        <v>9144</v>
      </c>
      <c r="AB4627" t="s">
        <v>18094</v>
      </c>
      <c r="AC4627">
        <v>31</v>
      </c>
      <c r="AD4627" t="s">
        <v>19566</v>
      </c>
      <c r="AE4627" t="s">
        <v>9144</v>
      </c>
      <c r="AF4627">
        <v>17</v>
      </c>
      <c r="AG4627">
        <v>2</v>
      </c>
      <c r="AH4627">
        <v>0</v>
      </c>
      <c r="AI4627">
        <v>179.22</v>
      </c>
      <c r="AL4627" t="s">
        <v>19614</v>
      </c>
      <c r="AM4627">
        <v>29500</v>
      </c>
      <c r="AS4627">
        <v>0.1</v>
      </c>
      <c r="AT4627" t="s">
        <v>283</v>
      </c>
      <c r="AU4627" t="s">
        <v>95</v>
      </c>
    </row>
    <row r="4628" spans="1:48">
      <c r="A4628" s="1">
        <f>HYPERLINK("https://lsnyc.legalserver.org/matter/dynamic-profile/view/1867470","18-1867470")</f>
        <v>0</v>
      </c>
      <c r="B4628" t="s">
        <v>86</v>
      </c>
      <c r="C4628" t="s">
        <v>256</v>
      </c>
      <c r="D4628" t="s">
        <v>578</v>
      </c>
      <c r="F4628" t="s">
        <v>1505</v>
      </c>
      <c r="G4628" t="s">
        <v>5154</v>
      </c>
      <c r="H4628" t="s">
        <v>5786</v>
      </c>
      <c r="I4628" t="s">
        <v>8870</v>
      </c>
      <c r="J4628" t="s">
        <v>9059</v>
      </c>
      <c r="K4628">
        <v>11225</v>
      </c>
      <c r="L4628" t="s">
        <v>9094</v>
      </c>
      <c r="M4628" t="s">
        <v>9094</v>
      </c>
      <c r="O4628" t="s">
        <v>11130</v>
      </c>
      <c r="P4628" t="s">
        <v>11165</v>
      </c>
      <c r="R4628" t="s">
        <v>11180</v>
      </c>
      <c r="S4628" t="s">
        <v>9094</v>
      </c>
      <c r="T4628" t="s">
        <v>11183</v>
      </c>
      <c r="V4628" t="s">
        <v>945</v>
      </c>
      <c r="W4628">
        <v>1139.21</v>
      </c>
      <c r="X4628" t="s">
        <v>11332</v>
      </c>
      <c r="Y4628" t="s">
        <v>11346</v>
      </c>
      <c r="Z4628" t="s">
        <v>14363</v>
      </c>
      <c r="AB4628" t="s">
        <v>18683</v>
      </c>
      <c r="AC4628">
        <v>47</v>
      </c>
      <c r="AD4628" t="s">
        <v>19566</v>
      </c>
      <c r="AE4628" t="s">
        <v>9144</v>
      </c>
      <c r="AF4628">
        <v>12</v>
      </c>
      <c r="AG4628">
        <v>4</v>
      </c>
      <c r="AH4628">
        <v>0</v>
      </c>
      <c r="AI4628">
        <v>179.28</v>
      </c>
      <c r="AL4628" t="s">
        <v>19614</v>
      </c>
      <c r="AM4628">
        <v>45000</v>
      </c>
      <c r="AS4628">
        <v>1</v>
      </c>
      <c r="AT4628" t="s">
        <v>1017</v>
      </c>
      <c r="AU4628" t="s">
        <v>20630</v>
      </c>
    </row>
    <row r="4629" spans="1:48">
      <c r="A4629" s="1">
        <f>HYPERLINK("https://lsnyc.legalserver.org/matter/dynamic-profile/view/1863906","18-1863906")</f>
        <v>0</v>
      </c>
      <c r="B4629" t="s">
        <v>136</v>
      </c>
      <c r="C4629" t="s">
        <v>256</v>
      </c>
      <c r="D4629" t="s">
        <v>809</v>
      </c>
      <c r="F4629" t="s">
        <v>2883</v>
      </c>
      <c r="G4629" t="s">
        <v>5155</v>
      </c>
      <c r="H4629" t="s">
        <v>5961</v>
      </c>
      <c r="I4629">
        <v>615</v>
      </c>
      <c r="J4629" t="s">
        <v>9067</v>
      </c>
      <c r="K4629">
        <v>10029</v>
      </c>
      <c r="L4629" t="s">
        <v>9094</v>
      </c>
      <c r="M4629" t="s">
        <v>9094</v>
      </c>
      <c r="N4629" t="s">
        <v>9287</v>
      </c>
      <c r="O4629" t="s">
        <v>11130</v>
      </c>
      <c r="P4629" t="s">
        <v>11165</v>
      </c>
      <c r="R4629" t="s">
        <v>11180</v>
      </c>
      <c r="S4629" t="s">
        <v>9094</v>
      </c>
      <c r="T4629" t="s">
        <v>11183</v>
      </c>
      <c r="U4629" t="s">
        <v>11201</v>
      </c>
      <c r="V4629" t="s">
        <v>356</v>
      </c>
      <c r="W4629">
        <v>0</v>
      </c>
      <c r="X4629" t="s">
        <v>11335</v>
      </c>
      <c r="Y4629" t="s">
        <v>11339</v>
      </c>
      <c r="Z4629" t="s">
        <v>14364</v>
      </c>
      <c r="AB4629" t="s">
        <v>18684</v>
      </c>
      <c r="AC4629">
        <v>108</v>
      </c>
      <c r="AD4629" t="s">
        <v>19567</v>
      </c>
      <c r="AE4629" t="s">
        <v>19580</v>
      </c>
      <c r="AF4629">
        <v>4</v>
      </c>
      <c r="AG4629">
        <v>1</v>
      </c>
      <c r="AH4629">
        <v>3</v>
      </c>
      <c r="AI4629">
        <v>179.28</v>
      </c>
      <c r="AL4629" t="s">
        <v>19614</v>
      </c>
      <c r="AM4629">
        <v>45000</v>
      </c>
      <c r="AS4629">
        <v>0.35</v>
      </c>
      <c r="AT4629" t="s">
        <v>293</v>
      </c>
      <c r="AU4629" t="s">
        <v>20657</v>
      </c>
    </row>
    <row r="4630" spans="1:48">
      <c r="A4630" s="1">
        <f>HYPERLINK("https://lsnyc.legalserver.org/matter/dynamic-profile/view/0820608","16-0820608")</f>
        <v>0</v>
      </c>
      <c r="B4630" t="s">
        <v>101</v>
      </c>
      <c r="C4630" t="s">
        <v>256</v>
      </c>
      <c r="D4630" t="s">
        <v>461</v>
      </c>
      <c r="F4630" t="s">
        <v>2152</v>
      </c>
      <c r="G4630" t="s">
        <v>3488</v>
      </c>
      <c r="H4630" t="s">
        <v>5898</v>
      </c>
      <c r="I4630" t="s">
        <v>8142</v>
      </c>
      <c r="J4630" t="s">
        <v>9065</v>
      </c>
      <c r="K4630">
        <v>10452</v>
      </c>
      <c r="L4630" t="s">
        <v>9094</v>
      </c>
      <c r="M4630" t="s">
        <v>9095</v>
      </c>
      <c r="O4630" t="s">
        <v>11132</v>
      </c>
      <c r="P4630" t="s">
        <v>11165</v>
      </c>
      <c r="R4630" t="s">
        <v>11180</v>
      </c>
      <c r="S4630" t="s">
        <v>9094</v>
      </c>
      <c r="T4630" t="s">
        <v>11183</v>
      </c>
      <c r="V4630" t="s">
        <v>11225</v>
      </c>
      <c r="W4630">
        <v>515</v>
      </c>
      <c r="X4630" t="s">
        <v>11333</v>
      </c>
      <c r="Y4630" t="s">
        <v>11338</v>
      </c>
      <c r="Z4630" t="s">
        <v>14365</v>
      </c>
      <c r="AB4630" t="s">
        <v>18685</v>
      </c>
      <c r="AC4630">
        <v>130</v>
      </c>
      <c r="AD4630" t="s">
        <v>19566</v>
      </c>
      <c r="AE4630" t="s">
        <v>19580</v>
      </c>
      <c r="AF4630">
        <v>5</v>
      </c>
      <c r="AG4630">
        <v>1</v>
      </c>
      <c r="AH4630">
        <v>0</v>
      </c>
      <c r="AI4630">
        <v>179.29</v>
      </c>
      <c r="AL4630" t="s">
        <v>19614</v>
      </c>
      <c r="AM4630">
        <v>21300</v>
      </c>
      <c r="AS4630">
        <v>0</v>
      </c>
      <c r="AU4630" t="s">
        <v>20643</v>
      </c>
    </row>
    <row r="4631" spans="1:48">
      <c r="A4631" s="1">
        <f>HYPERLINK("https://lsnyc.legalserver.org/matter/dynamic-profile/view/1882564","18-1882564")</f>
        <v>0</v>
      </c>
      <c r="B4631" t="s">
        <v>137</v>
      </c>
      <c r="C4631" t="s">
        <v>256</v>
      </c>
      <c r="D4631" t="s">
        <v>323</v>
      </c>
      <c r="F4631" t="s">
        <v>1581</v>
      </c>
      <c r="G4631" t="s">
        <v>3533</v>
      </c>
      <c r="H4631" t="s">
        <v>6093</v>
      </c>
      <c r="I4631">
        <v>52</v>
      </c>
      <c r="J4631" t="s">
        <v>9067</v>
      </c>
      <c r="K4631">
        <v>10034</v>
      </c>
      <c r="L4631" t="s">
        <v>9094</v>
      </c>
      <c r="M4631" t="s">
        <v>9094</v>
      </c>
      <c r="N4631" t="s">
        <v>10778</v>
      </c>
      <c r="O4631" t="s">
        <v>11129</v>
      </c>
      <c r="P4631" t="s">
        <v>11165</v>
      </c>
      <c r="R4631" t="s">
        <v>11180</v>
      </c>
      <c r="S4631" t="s">
        <v>9096</v>
      </c>
      <c r="T4631" t="s">
        <v>11183</v>
      </c>
      <c r="V4631" t="s">
        <v>848</v>
      </c>
      <c r="W4631">
        <v>896</v>
      </c>
      <c r="X4631" t="s">
        <v>11335</v>
      </c>
      <c r="Y4631" t="s">
        <v>11336</v>
      </c>
      <c r="Z4631" t="s">
        <v>14366</v>
      </c>
      <c r="AB4631" t="s">
        <v>18686</v>
      </c>
      <c r="AC4631">
        <v>25</v>
      </c>
      <c r="AD4631" t="s">
        <v>19566</v>
      </c>
      <c r="AE4631" t="s">
        <v>9144</v>
      </c>
      <c r="AF4631">
        <v>30</v>
      </c>
      <c r="AG4631">
        <v>2</v>
      </c>
      <c r="AH4631">
        <v>1</v>
      </c>
      <c r="AI4631">
        <v>179.4</v>
      </c>
      <c r="AL4631" t="s">
        <v>19614</v>
      </c>
      <c r="AM4631">
        <v>37280</v>
      </c>
      <c r="AS4631">
        <v>122.95</v>
      </c>
      <c r="AT4631" t="s">
        <v>331</v>
      </c>
      <c r="AU4631" t="s">
        <v>20706</v>
      </c>
      <c r="AV4631" t="s">
        <v>20733</v>
      </c>
    </row>
    <row r="4632" spans="1:48">
      <c r="A4632" s="1">
        <f>HYPERLINK("https://lsnyc.legalserver.org/matter/dynamic-profile/view/1900955","19-1900955")</f>
        <v>0</v>
      </c>
      <c r="B4632" t="s">
        <v>179</v>
      </c>
      <c r="C4632" t="s">
        <v>257</v>
      </c>
      <c r="D4632" t="s">
        <v>445</v>
      </c>
      <c r="E4632" t="s">
        <v>408</v>
      </c>
      <c r="F4632" t="s">
        <v>1374</v>
      </c>
      <c r="G4632" t="s">
        <v>1193</v>
      </c>
      <c r="H4632" t="s">
        <v>7737</v>
      </c>
      <c r="I4632" t="s">
        <v>8570</v>
      </c>
      <c r="J4632" t="s">
        <v>9067</v>
      </c>
      <c r="K4632">
        <v>10029</v>
      </c>
      <c r="L4632" t="s">
        <v>9094</v>
      </c>
      <c r="M4632" t="s">
        <v>9095</v>
      </c>
      <c r="O4632" t="s">
        <v>11131</v>
      </c>
      <c r="P4632" t="s">
        <v>11166</v>
      </c>
      <c r="Q4632" t="s">
        <v>11176</v>
      </c>
      <c r="R4632" t="s">
        <v>11180</v>
      </c>
      <c r="S4632" t="s">
        <v>9096</v>
      </c>
      <c r="T4632" t="s">
        <v>11191</v>
      </c>
      <c r="U4632" t="s">
        <v>11201</v>
      </c>
      <c r="V4632" t="s">
        <v>338</v>
      </c>
      <c r="W4632">
        <v>98</v>
      </c>
      <c r="X4632" t="s">
        <v>11335</v>
      </c>
      <c r="Y4632" t="s">
        <v>11347</v>
      </c>
      <c r="Z4632" t="s">
        <v>14367</v>
      </c>
      <c r="AA4632" t="s">
        <v>15878</v>
      </c>
      <c r="AB4632" t="s">
        <v>18687</v>
      </c>
      <c r="AC4632">
        <v>120</v>
      </c>
      <c r="AD4632" t="s">
        <v>19566</v>
      </c>
      <c r="AE4632" t="s">
        <v>19580</v>
      </c>
      <c r="AF4632">
        <v>0</v>
      </c>
      <c r="AG4632">
        <v>1</v>
      </c>
      <c r="AH4632">
        <v>3</v>
      </c>
      <c r="AI4632">
        <v>179.45</v>
      </c>
      <c r="AL4632" t="s">
        <v>19614</v>
      </c>
      <c r="AM4632">
        <v>46207.92</v>
      </c>
      <c r="AS4632">
        <v>3.5</v>
      </c>
      <c r="AT4632" t="s">
        <v>993</v>
      </c>
      <c r="AU4632" t="s">
        <v>20657</v>
      </c>
      <c r="AV4632" t="s">
        <v>20733</v>
      </c>
    </row>
    <row r="4633" spans="1:48">
      <c r="A4633" s="1">
        <f>HYPERLINK("https://lsnyc.legalserver.org/matter/dynamic-profile/view/1904814","19-1904814")</f>
        <v>0</v>
      </c>
      <c r="B4633" t="s">
        <v>101</v>
      </c>
      <c r="C4633" t="s">
        <v>256</v>
      </c>
      <c r="D4633" t="s">
        <v>748</v>
      </c>
      <c r="F4633" t="s">
        <v>1274</v>
      </c>
      <c r="G4633" t="s">
        <v>5156</v>
      </c>
      <c r="H4633" t="s">
        <v>6344</v>
      </c>
      <c r="I4633" t="s">
        <v>8871</v>
      </c>
      <c r="J4633" t="s">
        <v>9065</v>
      </c>
      <c r="K4633">
        <v>10452</v>
      </c>
      <c r="L4633" t="s">
        <v>9094</v>
      </c>
      <c r="M4633" t="s">
        <v>9095</v>
      </c>
      <c r="N4633" t="s">
        <v>9171</v>
      </c>
      <c r="P4633" t="s">
        <v>11164</v>
      </c>
      <c r="R4633" t="s">
        <v>11180</v>
      </c>
      <c r="T4633" t="s">
        <v>11183</v>
      </c>
      <c r="V4633" t="s">
        <v>493</v>
      </c>
      <c r="W4633">
        <v>1350</v>
      </c>
      <c r="X4633" t="s">
        <v>11333</v>
      </c>
      <c r="Z4633" t="s">
        <v>14368</v>
      </c>
      <c r="AB4633" t="s">
        <v>18688</v>
      </c>
      <c r="AC4633">
        <v>139</v>
      </c>
      <c r="AF4633">
        <v>12</v>
      </c>
      <c r="AG4633">
        <v>2</v>
      </c>
      <c r="AH4633">
        <v>0</v>
      </c>
      <c r="AI4633">
        <v>179.49</v>
      </c>
      <c r="AL4633" t="s">
        <v>19614</v>
      </c>
      <c r="AM4633">
        <v>30352</v>
      </c>
      <c r="AS4633">
        <v>2</v>
      </c>
      <c r="AT4633" t="s">
        <v>426</v>
      </c>
      <c r="AU4633" t="s">
        <v>20627</v>
      </c>
      <c r="AV4633" t="s">
        <v>20733</v>
      </c>
    </row>
    <row r="4634" spans="1:48">
      <c r="A4634" s="1">
        <f>HYPERLINK("https://lsnyc.legalserver.org/matter/dynamic-profile/view/1841452","17-1841452")</f>
        <v>0</v>
      </c>
      <c r="B4634" t="s">
        <v>138</v>
      </c>
      <c r="C4634" t="s">
        <v>256</v>
      </c>
      <c r="D4634" t="s">
        <v>857</v>
      </c>
      <c r="F4634" t="s">
        <v>2878</v>
      </c>
      <c r="G4634" t="s">
        <v>5148</v>
      </c>
      <c r="H4634" t="s">
        <v>7290</v>
      </c>
      <c r="I4634" t="s">
        <v>8139</v>
      </c>
      <c r="J4634" t="s">
        <v>9067</v>
      </c>
      <c r="K4634">
        <v>10034</v>
      </c>
      <c r="L4634" t="s">
        <v>9094</v>
      </c>
      <c r="M4634" t="s">
        <v>9095</v>
      </c>
      <c r="N4634" t="s">
        <v>10779</v>
      </c>
      <c r="O4634" t="s">
        <v>11129</v>
      </c>
      <c r="P4634" t="s">
        <v>11165</v>
      </c>
      <c r="R4634" t="s">
        <v>11180</v>
      </c>
      <c r="S4634" t="s">
        <v>9096</v>
      </c>
      <c r="T4634" t="s">
        <v>11183</v>
      </c>
      <c r="V4634" t="s">
        <v>857</v>
      </c>
      <c r="W4634">
        <v>1384.66</v>
      </c>
      <c r="X4634" t="s">
        <v>11335</v>
      </c>
      <c r="Y4634" t="s">
        <v>11338</v>
      </c>
      <c r="Z4634" t="s">
        <v>14356</v>
      </c>
      <c r="AB4634" t="s">
        <v>18677</v>
      </c>
      <c r="AC4634">
        <v>42</v>
      </c>
      <c r="AD4634" t="s">
        <v>19566</v>
      </c>
      <c r="AE4634" t="s">
        <v>19587</v>
      </c>
      <c r="AF4634">
        <v>25</v>
      </c>
      <c r="AG4634">
        <v>1</v>
      </c>
      <c r="AH4634">
        <v>0</v>
      </c>
      <c r="AI4634">
        <v>179.51</v>
      </c>
      <c r="AL4634" t="s">
        <v>19615</v>
      </c>
      <c r="AM4634">
        <v>21649.2</v>
      </c>
      <c r="AS4634">
        <v>24.05</v>
      </c>
      <c r="AT4634" t="s">
        <v>20610</v>
      </c>
      <c r="AU4634" t="s">
        <v>130</v>
      </c>
    </row>
    <row r="4635" spans="1:48">
      <c r="A4635" s="1">
        <f>HYPERLINK("https://lsnyc.legalserver.org/matter/dynamic-profile/view/1880681","18-1880681")</f>
        <v>0</v>
      </c>
      <c r="B4635" t="s">
        <v>138</v>
      </c>
      <c r="C4635" t="s">
        <v>256</v>
      </c>
      <c r="D4635" t="s">
        <v>285</v>
      </c>
      <c r="F4635" t="s">
        <v>1197</v>
      </c>
      <c r="G4635" t="s">
        <v>5157</v>
      </c>
      <c r="H4635" t="s">
        <v>7738</v>
      </c>
      <c r="I4635" t="s">
        <v>8266</v>
      </c>
      <c r="J4635" t="s">
        <v>9067</v>
      </c>
      <c r="K4635">
        <v>10034</v>
      </c>
      <c r="L4635" t="s">
        <v>9094</v>
      </c>
      <c r="M4635" t="s">
        <v>9094</v>
      </c>
      <c r="N4635" t="s">
        <v>10780</v>
      </c>
      <c r="O4635" t="s">
        <v>11129</v>
      </c>
      <c r="P4635" t="s">
        <v>11165</v>
      </c>
      <c r="R4635" t="s">
        <v>11180</v>
      </c>
      <c r="S4635" t="s">
        <v>9096</v>
      </c>
      <c r="T4635" t="s">
        <v>11183</v>
      </c>
      <c r="V4635" t="s">
        <v>586</v>
      </c>
      <c r="W4635">
        <v>642.37</v>
      </c>
      <c r="X4635" t="s">
        <v>11335</v>
      </c>
      <c r="Y4635" t="s">
        <v>11340</v>
      </c>
      <c r="Z4635" t="s">
        <v>14369</v>
      </c>
      <c r="AB4635" t="s">
        <v>18689</v>
      </c>
      <c r="AC4635">
        <v>21</v>
      </c>
      <c r="AD4635" t="s">
        <v>19566</v>
      </c>
      <c r="AE4635" t="s">
        <v>19587</v>
      </c>
      <c r="AF4635">
        <v>45</v>
      </c>
      <c r="AG4635">
        <v>1</v>
      </c>
      <c r="AH4635">
        <v>0</v>
      </c>
      <c r="AI4635">
        <v>179.7</v>
      </c>
      <c r="AL4635" t="s">
        <v>19614</v>
      </c>
      <c r="AM4635">
        <v>21816</v>
      </c>
      <c r="AS4635">
        <v>13.2</v>
      </c>
      <c r="AT4635" t="s">
        <v>685</v>
      </c>
      <c r="AU4635" t="s">
        <v>20629</v>
      </c>
      <c r="AV4635" t="s">
        <v>20733</v>
      </c>
    </row>
    <row r="4636" spans="1:48">
      <c r="A4636" s="1">
        <f>HYPERLINK("https://lsnyc.legalserver.org/matter/dynamic-profile/view/1910406","19-1910406")</f>
        <v>0</v>
      </c>
      <c r="B4636" t="s">
        <v>133</v>
      </c>
      <c r="C4636" t="s">
        <v>256</v>
      </c>
      <c r="D4636" t="s">
        <v>341</v>
      </c>
      <c r="F4636" t="s">
        <v>1656</v>
      </c>
      <c r="G4636" t="s">
        <v>3818</v>
      </c>
      <c r="H4636" t="s">
        <v>6231</v>
      </c>
      <c r="J4636" t="s">
        <v>9067</v>
      </c>
      <c r="K4636">
        <v>10033</v>
      </c>
      <c r="L4636" t="s">
        <v>9094</v>
      </c>
      <c r="M4636" t="s">
        <v>9095</v>
      </c>
      <c r="O4636" t="s">
        <v>11133</v>
      </c>
      <c r="P4636" t="s">
        <v>11167</v>
      </c>
      <c r="R4636" t="s">
        <v>11180</v>
      </c>
      <c r="S4636" t="s">
        <v>9096</v>
      </c>
      <c r="T4636" t="s">
        <v>11183</v>
      </c>
      <c r="V4636" t="s">
        <v>341</v>
      </c>
      <c r="W4636">
        <v>811.77</v>
      </c>
      <c r="X4636" t="s">
        <v>11335</v>
      </c>
      <c r="Y4636" t="s">
        <v>11340</v>
      </c>
      <c r="Z4636" t="s">
        <v>11986</v>
      </c>
      <c r="AB4636" t="s">
        <v>16438</v>
      </c>
      <c r="AC4636">
        <v>24</v>
      </c>
      <c r="AD4636" t="s">
        <v>19566</v>
      </c>
      <c r="AE4636" t="s">
        <v>19587</v>
      </c>
      <c r="AF4636">
        <v>45</v>
      </c>
      <c r="AG4636">
        <v>2</v>
      </c>
      <c r="AH4636">
        <v>0</v>
      </c>
      <c r="AI4636">
        <v>179.82</v>
      </c>
      <c r="AL4636" t="s">
        <v>19615</v>
      </c>
      <c r="AM4636">
        <v>30408</v>
      </c>
      <c r="AS4636">
        <v>1.9</v>
      </c>
      <c r="AT4636" t="s">
        <v>286</v>
      </c>
      <c r="AU4636" t="s">
        <v>130</v>
      </c>
      <c r="AV4636" t="s">
        <v>20733</v>
      </c>
    </row>
    <row r="4637" spans="1:48">
      <c r="A4637" s="1">
        <f>HYPERLINK("https://lsnyc.legalserver.org/matter/dynamic-profile/view/1870372","18-1870372")</f>
        <v>0</v>
      </c>
      <c r="B4637" t="s">
        <v>60</v>
      </c>
      <c r="C4637" t="s">
        <v>256</v>
      </c>
      <c r="D4637" t="s">
        <v>795</v>
      </c>
      <c r="F4637" t="s">
        <v>2070</v>
      </c>
      <c r="G4637" t="s">
        <v>5158</v>
      </c>
      <c r="H4637" t="s">
        <v>7739</v>
      </c>
      <c r="I4637" t="s">
        <v>8330</v>
      </c>
      <c r="J4637" t="s">
        <v>9055</v>
      </c>
      <c r="K4637">
        <v>11358</v>
      </c>
      <c r="L4637" t="s">
        <v>9094</v>
      </c>
      <c r="M4637" t="s">
        <v>9095</v>
      </c>
      <c r="N4637" t="s">
        <v>10781</v>
      </c>
      <c r="O4637" t="s">
        <v>11128</v>
      </c>
      <c r="P4637" t="s">
        <v>11164</v>
      </c>
      <c r="R4637" t="s">
        <v>11180</v>
      </c>
      <c r="S4637" t="s">
        <v>9096</v>
      </c>
      <c r="T4637" t="s">
        <v>11183</v>
      </c>
      <c r="V4637" t="s">
        <v>795</v>
      </c>
      <c r="W4637">
        <v>900</v>
      </c>
      <c r="X4637" t="s">
        <v>11331</v>
      </c>
      <c r="Y4637" t="s">
        <v>11349</v>
      </c>
      <c r="Z4637" t="s">
        <v>12817</v>
      </c>
      <c r="AA4637" t="s">
        <v>9171</v>
      </c>
      <c r="AB4637" t="s">
        <v>18690</v>
      </c>
      <c r="AC4637">
        <v>3</v>
      </c>
      <c r="AD4637" t="s">
        <v>19565</v>
      </c>
      <c r="AE4637" t="s">
        <v>9144</v>
      </c>
      <c r="AF4637">
        <v>8</v>
      </c>
      <c r="AG4637">
        <v>1</v>
      </c>
      <c r="AH4637">
        <v>0</v>
      </c>
      <c r="AI4637">
        <v>179.9</v>
      </c>
      <c r="AL4637" t="s">
        <v>19614</v>
      </c>
      <c r="AM4637">
        <v>21840</v>
      </c>
      <c r="AS4637">
        <v>1.1</v>
      </c>
      <c r="AT4637" t="s">
        <v>1096</v>
      </c>
      <c r="AU4637" t="s">
        <v>153</v>
      </c>
    </row>
    <row r="4638" spans="1:48">
      <c r="A4638" s="1">
        <f>HYPERLINK("https://lsnyc.legalserver.org/matter/dynamic-profile/view/1912884","19-1912884")</f>
        <v>0</v>
      </c>
      <c r="B4638" t="s">
        <v>99</v>
      </c>
      <c r="C4638" t="s">
        <v>257</v>
      </c>
      <c r="D4638" t="s">
        <v>563</v>
      </c>
      <c r="E4638" t="s">
        <v>483</v>
      </c>
      <c r="F4638" t="s">
        <v>2884</v>
      </c>
      <c r="G4638" t="s">
        <v>3220</v>
      </c>
      <c r="H4638" t="s">
        <v>7740</v>
      </c>
      <c r="I4638" t="s">
        <v>8872</v>
      </c>
      <c r="J4638" t="s">
        <v>9065</v>
      </c>
      <c r="K4638">
        <v>10452</v>
      </c>
      <c r="L4638" t="s">
        <v>9094</v>
      </c>
      <c r="M4638" t="s">
        <v>9095</v>
      </c>
      <c r="O4638" t="s">
        <v>11134</v>
      </c>
      <c r="P4638" t="s">
        <v>11167</v>
      </c>
      <c r="Q4638" t="s">
        <v>11173</v>
      </c>
      <c r="R4638" t="s">
        <v>11180</v>
      </c>
      <c r="S4638" t="s">
        <v>9096</v>
      </c>
      <c r="T4638" t="s">
        <v>11183</v>
      </c>
      <c r="V4638" t="s">
        <v>563</v>
      </c>
      <c r="W4638">
        <v>895.65</v>
      </c>
      <c r="X4638" t="s">
        <v>11333</v>
      </c>
      <c r="Y4638" t="s">
        <v>11346</v>
      </c>
      <c r="Z4638" t="s">
        <v>14370</v>
      </c>
      <c r="AB4638" t="s">
        <v>18691</v>
      </c>
      <c r="AC4638">
        <v>61</v>
      </c>
      <c r="AD4638" t="s">
        <v>19566</v>
      </c>
      <c r="AE4638" t="s">
        <v>9144</v>
      </c>
      <c r="AF4638">
        <v>30</v>
      </c>
      <c r="AG4638">
        <v>1</v>
      </c>
      <c r="AH4638">
        <v>0</v>
      </c>
      <c r="AI4638">
        <v>180.05</v>
      </c>
      <c r="AL4638" t="s">
        <v>19615</v>
      </c>
      <c r="AM4638">
        <v>22488</v>
      </c>
      <c r="AS4638">
        <v>1.7</v>
      </c>
      <c r="AT4638" t="s">
        <v>483</v>
      </c>
      <c r="AU4638" t="s">
        <v>99</v>
      </c>
      <c r="AV4638" t="s">
        <v>20733</v>
      </c>
    </row>
    <row r="4639" spans="1:48">
      <c r="A4639" s="1">
        <f>HYPERLINK("https://lsnyc.legalserver.org/matter/dynamic-profile/view/1913025","19-1913025")</f>
        <v>0</v>
      </c>
      <c r="B4639" t="s">
        <v>99</v>
      </c>
      <c r="C4639" t="s">
        <v>257</v>
      </c>
      <c r="D4639" t="s">
        <v>833</v>
      </c>
      <c r="E4639" t="s">
        <v>483</v>
      </c>
      <c r="F4639" t="s">
        <v>2884</v>
      </c>
      <c r="G4639" t="s">
        <v>3220</v>
      </c>
      <c r="H4639" t="s">
        <v>7740</v>
      </c>
      <c r="I4639" t="s">
        <v>8872</v>
      </c>
      <c r="J4639" t="s">
        <v>9065</v>
      </c>
      <c r="K4639">
        <v>10452</v>
      </c>
      <c r="L4639" t="s">
        <v>9094</v>
      </c>
      <c r="M4639" t="s">
        <v>9095</v>
      </c>
      <c r="O4639" t="s">
        <v>11133</v>
      </c>
      <c r="P4639" t="s">
        <v>11167</v>
      </c>
      <c r="Q4639" t="s">
        <v>11173</v>
      </c>
      <c r="R4639" t="s">
        <v>11180</v>
      </c>
      <c r="S4639" t="s">
        <v>9096</v>
      </c>
      <c r="T4639" t="s">
        <v>11183</v>
      </c>
      <c r="V4639" t="s">
        <v>286</v>
      </c>
      <c r="W4639">
        <v>895.65</v>
      </c>
      <c r="X4639" t="s">
        <v>11333</v>
      </c>
      <c r="Y4639" t="s">
        <v>11346</v>
      </c>
      <c r="Z4639" t="s">
        <v>14370</v>
      </c>
      <c r="AB4639" t="s">
        <v>18691</v>
      </c>
      <c r="AC4639">
        <v>61</v>
      </c>
      <c r="AD4639" t="s">
        <v>19566</v>
      </c>
      <c r="AE4639" t="s">
        <v>9144</v>
      </c>
      <c r="AF4639">
        <v>30</v>
      </c>
      <c r="AG4639">
        <v>1</v>
      </c>
      <c r="AH4639">
        <v>0</v>
      </c>
      <c r="AI4639">
        <v>180.05</v>
      </c>
      <c r="AL4639" t="s">
        <v>19615</v>
      </c>
      <c r="AM4639">
        <v>22488</v>
      </c>
      <c r="AS4639">
        <v>1.8</v>
      </c>
      <c r="AT4639" t="s">
        <v>483</v>
      </c>
      <c r="AU4639" t="s">
        <v>99</v>
      </c>
      <c r="AV4639" t="s">
        <v>20733</v>
      </c>
    </row>
    <row r="4640" spans="1:48">
      <c r="A4640" s="1">
        <f>HYPERLINK("https://lsnyc.legalserver.org/matter/dynamic-profile/view/1885589","18-1885589")</f>
        <v>0</v>
      </c>
      <c r="B4640" t="s">
        <v>113</v>
      </c>
      <c r="C4640" t="s">
        <v>257</v>
      </c>
      <c r="D4640" t="s">
        <v>634</v>
      </c>
      <c r="E4640" t="s">
        <v>301</v>
      </c>
      <c r="F4640" t="s">
        <v>1611</v>
      </c>
      <c r="G4640" t="s">
        <v>5133</v>
      </c>
      <c r="H4640" t="s">
        <v>5864</v>
      </c>
      <c r="I4640" t="s">
        <v>8229</v>
      </c>
      <c r="J4640" t="s">
        <v>9065</v>
      </c>
      <c r="K4640">
        <v>10460</v>
      </c>
      <c r="L4640" t="s">
        <v>9094</v>
      </c>
      <c r="M4640" t="s">
        <v>9094</v>
      </c>
      <c r="N4640" t="s">
        <v>9222</v>
      </c>
      <c r="O4640" t="s">
        <v>11130</v>
      </c>
      <c r="P4640" t="s">
        <v>11165</v>
      </c>
      <c r="Q4640" t="s">
        <v>11174</v>
      </c>
      <c r="R4640" t="s">
        <v>11180</v>
      </c>
      <c r="S4640" t="s">
        <v>9094</v>
      </c>
      <c r="T4640" t="s">
        <v>11183</v>
      </c>
      <c r="V4640" t="s">
        <v>512</v>
      </c>
      <c r="W4640">
        <v>1100</v>
      </c>
      <c r="X4640" t="s">
        <v>11333</v>
      </c>
      <c r="Y4640" t="s">
        <v>11346</v>
      </c>
      <c r="Z4640" t="s">
        <v>12718</v>
      </c>
      <c r="AB4640" t="s">
        <v>18653</v>
      </c>
      <c r="AC4640">
        <v>168</v>
      </c>
      <c r="AD4640" t="s">
        <v>19566</v>
      </c>
      <c r="AE4640" t="s">
        <v>19580</v>
      </c>
      <c r="AF4640">
        <v>3</v>
      </c>
      <c r="AG4640">
        <v>2</v>
      </c>
      <c r="AH4640">
        <v>0</v>
      </c>
      <c r="AI4640">
        <v>180.15</v>
      </c>
      <c r="AL4640" t="s">
        <v>19614</v>
      </c>
      <c r="AM4640">
        <v>29652</v>
      </c>
      <c r="AS4640">
        <v>0.25</v>
      </c>
      <c r="AT4640" t="s">
        <v>301</v>
      </c>
      <c r="AU4640" t="s">
        <v>163</v>
      </c>
      <c r="AV4640" t="s">
        <v>20733</v>
      </c>
    </row>
    <row r="4641" spans="1:48">
      <c r="A4641" s="1">
        <f>HYPERLINK("https://lsnyc.legalserver.org/matter/dynamic-profile/view/1891698","19-1891698")</f>
        <v>0</v>
      </c>
      <c r="B4641" t="s">
        <v>103</v>
      </c>
      <c r="C4641" t="s">
        <v>256</v>
      </c>
      <c r="D4641" t="s">
        <v>788</v>
      </c>
      <c r="F4641" t="s">
        <v>1290</v>
      </c>
      <c r="G4641" t="s">
        <v>3644</v>
      </c>
      <c r="H4641" t="s">
        <v>5887</v>
      </c>
      <c r="I4641" t="s">
        <v>8682</v>
      </c>
      <c r="J4641" t="s">
        <v>9065</v>
      </c>
      <c r="K4641">
        <v>10453</v>
      </c>
      <c r="L4641" t="s">
        <v>9094</v>
      </c>
      <c r="M4641" t="s">
        <v>9094</v>
      </c>
      <c r="O4641" t="s">
        <v>11134</v>
      </c>
      <c r="P4641" t="s">
        <v>11168</v>
      </c>
      <c r="R4641" t="s">
        <v>11180</v>
      </c>
      <c r="S4641" t="s">
        <v>9094</v>
      </c>
      <c r="T4641" t="s">
        <v>11183</v>
      </c>
      <c r="V4641" t="s">
        <v>512</v>
      </c>
      <c r="W4641">
        <v>1233</v>
      </c>
      <c r="X4641" t="s">
        <v>11333</v>
      </c>
      <c r="Y4641" t="s">
        <v>11339</v>
      </c>
      <c r="Z4641" t="s">
        <v>13367</v>
      </c>
      <c r="AB4641" t="s">
        <v>17707</v>
      </c>
      <c r="AC4641">
        <v>170</v>
      </c>
      <c r="AD4641" t="s">
        <v>19566</v>
      </c>
      <c r="AE4641" t="s">
        <v>9144</v>
      </c>
      <c r="AF4641">
        <v>4</v>
      </c>
      <c r="AG4641">
        <v>4</v>
      </c>
      <c r="AH4641">
        <v>0</v>
      </c>
      <c r="AI4641">
        <v>180.19</v>
      </c>
      <c r="AL4641" t="s">
        <v>19615</v>
      </c>
      <c r="AM4641">
        <v>46400</v>
      </c>
      <c r="AS4641">
        <v>0</v>
      </c>
      <c r="AU4641" t="s">
        <v>220</v>
      </c>
    </row>
    <row r="4642" spans="1:48">
      <c r="A4642" s="1">
        <f>HYPERLINK("https://lsnyc.legalserver.org/matter/dynamic-profile/view/1905901","19-1905901")</f>
        <v>0</v>
      </c>
      <c r="B4642" t="s">
        <v>111</v>
      </c>
      <c r="C4642" t="s">
        <v>257</v>
      </c>
      <c r="D4642" t="s">
        <v>426</v>
      </c>
      <c r="E4642" t="s">
        <v>290</v>
      </c>
      <c r="F4642" t="s">
        <v>2885</v>
      </c>
      <c r="G4642" t="s">
        <v>4173</v>
      </c>
      <c r="H4642" t="s">
        <v>7741</v>
      </c>
      <c r="I4642">
        <v>2</v>
      </c>
      <c r="J4642" t="s">
        <v>9065</v>
      </c>
      <c r="K4642">
        <v>10456</v>
      </c>
      <c r="L4642" t="s">
        <v>9094</v>
      </c>
      <c r="M4642" t="s">
        <v>9095</v>
      </c>
      <c r="O4642" t="s">
        <v>9121</v>
      </c>
      <c r="P4642" t="s">
        <v>11164</v>
      </c>
      <c r="Q4642" t="s">
        <v>11172</v>
      </c>
      <c r="R4642" t="s">
        <v>11180</v>
      </c>
      <c r="S4642" t="s">
        <v>9096</v>
      </c>
      <c r="T4642" t="s">
        <v>11183</v>
      </c>
      <c r="W4642">
        <v>1800.2</v>
      </c>
      <c r="X4642" t="s">
        <v>11333</v>
      </c>
      <c r="Y4642" t="s">
        <v>11346</v>
      </c>
      <c r="Z4642" t="s">
        <v>14371</v>
      </c>
      <c r="AC4642">
        <v>6</v>
      </c>
      <c r="AD4642" t="s">
        <v>19566</v>
      </c>
      <c r="AE4642" t="s">
        <v>19581</v>
      </c>
      <c r="AF4642">
        <v>1</v>
      </c>
      <c r="AG4642">
        <v>2</v>
      </c>
      <c r="AH4642">
        <v>1</v>
      </c>
      <c r="AI4642">
        <v>180.23</v>
      </c>
      <c r="AL4642" t="s">
        <v>19614</v>
      </c>
      <c r="AM4642">
        <v>38444</v>
      </c>
      <c r="AS4642">
        <v>0.01</v>
      </c>
      <c r="AT4642" t="s">
        <v>290</v>
      </c>
      <c r="AU4642" t="s">
        <v>20642</v>
      </c>
      <c r="AV4642" t="s">
        <v>20733</v>
      </c>
    </row>
    <row r="4643" spans="1:48">
      <c r="A4643" s="1">
        <f>HYPERLINK("https://lsnyc.legalserver.org/matter/dynamic-profile/view/1846572","17-1846572")</f>
        <v>0</v>
      </c>
      <c r="B4643" t="s">
        <v>60</v>
      </c>
      <c r="C4643" t="s">
        <v>256</v>
      </c>
      <c r="D4643" t="s">
        <v>1006</v>
      </c>
      <c r="F4643" t="s">
        <v>1146</v>
      </c>
      <c r="G4643" t="s">
        <v>3364</v>
      </c>
      <c r="H4643" t="s">
        <v>7742</v>
      </c>
      <c r="I4643" t="s">
        <v>8187</v>
      </c>
      <c r="J4643" t="s">
        <v>9055</v>
      </c>
      <c r="K4643">
        <v>11358</v>
      </c>
      <c r="L4643" t="s">
        <v>9094</v>
      </c>
      <c r="M4643" t="s">
        <v>9095</v>
      </c>
      <c r="N4643" t="s">
        <v>10782</v>
      </c>
      <c r="O4643" t="s">
        <v>11128</v>
      </c>
      <c r="P4643" t="s">
        <v>11165</v>
      </c>
      <c r="R4643" t="s">
        <v>11180</v>
      </c>
      <c r="S4643" t="s">
        <v>9096</v>
      </c>
      <c r="T4643" t="s">
        <v>11189</v>
      </c>
      <c r="V4643" t="s">
        <v>1006</v>
      </c>
      <c r="W4643">
        <v>1237</v>
      </c>
      <c r="X4643" t="s">
        <v>11331</v>
      </c>
      <c r="Y4643" t="s">
        <v>11340</v>
      </c>
      <c r="Z4643" t="s">
        <v>14372</v>
      </c>
      <c r="AA4643" t="s">
        <v>9675</v>
      </c>
      <c r="AB4643" t="s">
        <v>18692</v>
      </c>
      <c r="AC4643">
        <v>7</v>
      </c>
      <c r="AD4643" t="s">
        <v>19566</v>
      </c>
      <c r="AE4643" t="s">
        <v>9144</v>
      </c>
      <c r="AF4643">
        <v>3</v>
      </c>
      <c r="AG4643">
        <v>1</v>
      </c>
      <c r="AH4643">
        <v>1</v>
      </c>
      <c r="AI4643">
        <v>180.25</v>
      </c>
      <c r="AL4643" t="s">
        <v>19615</v>
      </c>
      <c r="AM4643">
        <v>29944</v>
      </c>
      <c r="AS4643">
        <v>59.6</v>
      </c>
      <c r="AT4643" t="s">
        <v>604</v>
      </c>
      <c r="AU4643" t="s">
        <v>20621</v>
      </c>
    </row>
    <row r="4644" spans="1:48">
      <c r="A4644" s="1">
        <f>HYPERLINK("https://lsnyc.legalserver.org/matter/dynamic-profile/view/1914156","19-1914156")</f>
        <v>0</v>
      </c>
      <c r="B4644" t="s">
        <v>135</v>
      </c>
      <c r="C4644" t="s">
        <v>256</v>
      </c>
      <c r="D4644" t="s">
        <v>395</v>
      </c>
      <c r="F4644" t="s">
        <v>1626</v>
      </c>
      <c r="G4644" t="s">
        <v>5159</v>
      </c>
      <c r="H4644" t="s">
        <v>6949</v>
      </c>
      <c r="I4644" t="s">
        <v>8501</v>
      </c>
      <c r="J4644" t="s">
        <v>9067</v>
      </c>
      <c r="K4644">
        <v>10037</v>
      </c>
      <c r="L4644" t="s">
        <v>9094</v>
      </c>
      <c r="M4644" t="s">
        <v>9095</v>
      </c>
      <c r="O4644" t="s">
        <v>11130</v>
      </c>
      <c r="P4644" t="s">
        <v>11169</v>
      </c>
      <c r="R4644" t="s">
        <v>11180</v>
      </c>
      <c r="S4644" t="s">
        <v>9094</v>
      </c>
      <c r="T4644" t="s">
        <v>11183</v>
      </c>
      <c r="U4644" t="s">
        <v>11201</v>
      </c>
      <c r="V4644" t="s">
        <v>301</v>
      </c>
      <c r="W4644">
        <v>1691</v>
      </c>
      <c r="X4644" t="s">
        <v>11335</v>
      </c>
      <c r="Y4644" t="s">
        <v>11339</v>
      </c>
      <c r="Z4644" t="s">
        <v>14373</v>
      </c>
      <c r="AB4644" t="s">
        <v>18693</v>
      </c>
      <c r="AC4644">
        <v>259</v>
      </c>
      <c r="AD4644" t="s">
        <v>19566</v>
      </c>
      <c r="AE4644" t="s">
        <v>9144</v>
      </c>
      <c r="AF4644">
        <v>2</v>
      </c>
      <c r="AG4644">
        <v>1</v>
      </c>
      <c r="AH4644">
        <v>0</v>
      </c>
      <c r="AI4644">
        <v>180.27</v>
      </c>
      <c r="AL4644" t="s">
        <v>19614</v>
      </c>
      <c r="AM4644">
        <v>22516</v>
      </c>
      <c r="AS4644">
        <v>0</v>
      </c>
      <c r="AU4644" t="s">
        <v>20657</v>
      </c>
      <c r="AV4644" t="s">
        <v>20733</v>
      </c>
    </row>
    <row r="4645" spans="1:48">
      <c r="A4645" s="1">
        <f>HYPERLINK("https://lsnyc.legalserver.org/matter/dynamic-profile/view/1880776","18-1880776")</f>
        <v>0</v>
      </c>
      <c r="B4645" t="s">
        <v>115</v>
      </c>
      <c r="C4645" t="s">
        <v>256</v>
      </c>
      <c r="D4645" t="s">
        <v>569</v>
      </c>
      <c r="F4645" t="s">
        <v>2869</v>
      </c>
      <c r="G4645" t="s">
        <v>3699</v>
      </c>
      <c r="H4645" t="s">
        <v>7721</v>
      </c>
      <c r="I4645" t="s">
        <v>8608</v>
      </c>
      <c r="J4645" t="s">
        <v>9065</v>
      </c>
      <c r="K4645">
        <v>10452</v>
      </c>
      <c r="L4645" t="s">
        <v>9094</v>
      </c>
      <c r="M4645" t="s">
        <v>9094</v>
      </c>
      <c r="O4645" t="s">
        <v>11128</v>
      </c>
      <c r="P4645" t="s">
        <v>11165</v>
      </c>
      <c r="R4645" t="s">
        <v>11180</v>
      </c>
      <c r="T4645" t="s">
        <v>11183</v>
      </c>
      <c r="V4645" t="s">
        <v>569</v>
      </c>
      <c r="W4645">
        <v>854</v>
      </c>
      <c r="X4645" t="s">
        <v>11333</v>
      </c>
      <c r="Y4645" t="s">
        <v>11346</v>
      </c>
      <c r="Z4645" t="s">
        <v>14334</v>
      </c>
      <c r="AB4645" t="s">
        <v>18654</v>
      </c>
      <c r="AC4645">
        <v>44</v>
      </c>
      <c r="AD4645" t="s">
        <v>15441</v>
      </c>
      <c r="AE4645" t="s">
        <v>19587</v>
      </c>
      <c r="AF4645">
        <v>42</v>
      </c>
      <c r="AG4645">
        <v>2</v>
      </c>
      <c r="AH4645">
        <v>0</v>
      </c>
      <c r="AI4645">
        <v>180.29</v>
      </c>
      <c r="AL4645" t="s">
        <v>19615</v>
      </c>
      <c r="AM4645">
        <v>29676</v>
      </c>
      <c r="AS4645">
        <v>238.6</v>
      </c>
      <c r="AT4645" t="s">
        <v>1130</v>
      </c>
      <c r="AU4645" t="s">
        <v>163</v>
      </c>
    </row>
    <row r="4646" spans="1:48">
      <c r="A4646" s="1">
        <f>HYPERLINK("https://lsnyc.legalserver.org/matter/dynamic-profile/view/1903267","19-1903267")</f>
        <v>0</v>
      </c>
      <c r="B4646" t="s">
        <v>70</v>
      </c>
      <c r="C4646" t="s">
        <v>256</v>
      </c>
      <c r="D4646" t="s">
        <v>280</v>
      </c>
      <c r="F4646" t="s">
        <v>2517</v>
      </c>
      <c r="G4646" t="s">
        <v>4246</v>
      </c>
      <c r="H4646" t="s">
        <v>7743</v>
      </c>
      <c r="I4646" t="s">
        <v>8588</v>
      </c>
      <c r="J4646" t="s">
        <v>9059</v>
      </c>
      <c r="K4646">
        <v>11239</v>
      </c>
      <c r="L4646" t="s">
        <v>9094</v>
      </c>
      <c r="M4646" t="s">
        <v>9095</v>
      </c>
      <c r="N4646" t="s">
        <v>10783</v>
      </c>
      <c r="O4646" t="s">
        <v>11129</v>
      </c>
      <c r="P4646" t="s">
        <v>11165</v>
      </c>
      <c r="R4646" t="s">
        <v>11180</v>
      </c>
      <c r="S4646" t="s">
        <v>9096</v>
      </c>
      <c r="T4646" t="s">
        <v>11183</v>
      </c>
      <c r="U4646" t="s">
        <v>11201</v>
      </c>
      <c r="V4646" t="s">
        <v>411</v>
      </c>
      <c r="W4646">
        <v>986</v>
      </c>
      <c r="X4646" t="s">
        <v>11332</v>
      </c>
      <c r="Y4646" t="s">
        <v>11340</v>
      </c>
      <c r="Z4646" t="s">
        <v>14374</v>
      </c>
      <c r="AB4646" t="s">
        <v>18694</v>
      </c>
      <c r="AC4646">
        <v>0</v>
      </c>
      <c r="AD4646" t="s">
        <v>19567</v>
      </c>
      <c r="AF4646">
        <v>5</v>
      </c>
      <c r="AG4646">
        <v>1</v>
      </c>
      <c r="AH4646">
        <v>2</v>
      </c>
      <c r="AI4646">
        <v>180.5</v>
      </c>
      <c r="AL4646" t="s">
        <v>19614</v>
      </c>
      <c r="AM4646">
        <v>38500</v>
      </c>
      <c r="AS4646">
        <v>16.45</v>
      </c>
      <c r="AT4646" t="s">
        <v>321</v>
      </c>
      <c r="AU4646" t="s">
        <v>70</v>
      </c>
      <c r="AV4646" t="s">
        <v>20733</v>
      </c>
    </row>
    <row r="4647" spans="1:48">
      <c r="A4647" s="1">
        <f>HYPERLINK("https://lsnyc.legalserver.org/matter/dynamic-profile/view/1909768","19-1909768")</f>
        <v>0</v>
      </c>
      <c r="B4647" t="s">
        <v>64</v>
      </c>
      <c r="C4647" t="s">
        <v>256</v>
      </c>
      <c r="D4647" t="s">
        <v>425</v>
      </c>
      <c r="F4647" t="s">
        <v>2886</v>
      </c>
      <c r="G4647" t="s">
        <v>4061</v>
      </c>
      <c r="H4647" t="s">
        <v>7744</v>
      </c>
      <c r="I4647" t="s">
        <v>8154</v>
      </c>
      <c r="J4647" t="s">
        <v>9059</v>
      </c>
      <c r="K4647">
        <v>11207</v>
      </c>
      <c r="L4647" t="s">
        <v>9096</v>
      </c>
      <c r="M4647" t="s">
        <v>9095</v>
      </c>
      <c r="N4647" t="s">
        <v>10784</v>
      </c>
      <c r="O4647" t="s">
        <v>11129</v>
      </c>
      <c r="P4647" t="s">
        <v>11165</v>
      </c>
      <c r="R4647" t="s">
        <v>11180</v>
      </c>
      <c r="S4647" t="s">
        <v>9096</v>
      </c>
      <c r="T4647" t="s">
        <v>11183</v>
      </c>
      <c r="U4647" t="s">
        <v>11201</v>
      </c>
      <c r="W4647">
        <v>1300</v>
      </c>
      <c r="X4647" t="s">
        <v>11332</v>
      </c>
      <c r="Y4647" t="s">
        <v>11340</v>
      </c>
      <c r="Z4647" t="s">
        <v>14375</v>
      </c>
      <c r="AA4647" t="s">
        <v>9171</v>
      </c>
      <c r="AB4647" t="s">
        <v>18695</v>
      </c>
      <c r="AC4647">
        <v>6</v>
      </c>
      <c r="AD4647" t="s">
        <v>19566</v>
      </c>
      <c r="AE4647" t="s">
        <v>9144</v>
      </c>
      <c r="AF4647">
        <v>3</v>
      </c>
      <c r="AG4647">
        <v>2</v>
      </c>
      <c r="AH4647">
        <v>3</v>
      </c>
      <c r="AI4647">
        <v>180.97</v>
      </c>
      <c r="AL4647" t="s">
        <v>19614</v>
      </c>
      <c r="AM4647">
        <v>54600</v>
      </c>
      <c r="AS4647">
        <v>7.3</v>
      </c>
      <c r="AT4647" t="s">
        <v>1130</v>
      </c>
      <c r="AU4647" t="s">
        <v>95</v>
      </c>
      <c r="AV4647" t="s">
        <v>9144</v>
      </c>
    </row>
    <row r="4648" spans="1:48">
      <c r="A4648" s="1">
        <f>HYPERLINK("https://lsnyc.legalserver.org/matter/dynamic-profile/view/1915136","19-1915136")</f>
        <v>0</v>
      </c>
      <c r="B4648" t="s">
        <v>72</v>
      </c>
      <c r="C4648" t="s">
        <v>256</v>
      </c>
      <c r="D4648" t="s">
        <v>270</v>
      </c>
      <c r="F4648" t="s">
        <v>2887</v>
      </c>
      <c r="G4648" t="s">
        <v>3551</v>
      </c>
      <c r="H4648" t="s">
        <v>7325</v>
      </c>
      <c r="I4648" t="s">
        <v>8218</v>
      </c>
      <c r="J4648" t="s">
        <v>9059</v>
      </c>
      <c r="K4648">
        <v>11207</v>
      </c>
      <c r="L4648" t="s">
        <v>9094</v>
      </c>
      <c r="M4648" t="s">
        <v>9095</v>
      </c>
      <c r="N4648" t="s">
        <v>10785</v>
      </c>
      <c r="O4648" t="s">
        <v>11129</v>
      </c>
      <c r="P4648" t="s">
        <v>11169</v>
      </c>
      <c r="R4648" t="s">
        <v>11180</v>
      </c>
      <c r="S4648" t="s">
        <v>9096</v>
      </c>
      <c r="T4648" t="s">
        <v>11183</v>
      </c>
      <c r="V4648" t="s">
        <v>377</v>
      </c>
      <c r="W4648">
        <v>1386</v>
      </c>
      <c r="X4648" t="s">
        <v>11332</v>
      </c>
      <c r="Y4648" t="s">
        <v>11336</v>
      </c>
      <c r="Z4648" t="s">
        <v>14376</v>
      </c>
      <c r="AA4648" t="s">
        <v>9144</v>
      </c>
      <c r="AB4648" t="s">
        <v>18696</v>
      </c>
      <c r="AC4648">
        <v>21</v>
      </c>
      <c r="AD4648" t="s">
        <v>19566</v>
      </c>
      <c r="AE4648" t="s">
        <v>9144</v>
      </c>
      <c r="AF4648">
        <v>10</v>
      </c>
      <c r="AG4648">
        <v>2</v>
      </c>
      <c r="AH4648">
        <v>2</v>
      </c>
      <c r="AI4648">
        <v>180.97</v>
      </c>
      <c r="AL4648" t="s">
        <v>19614</v>
      </c>
      <c r="AM4648">
        <v>46600</v>
      </c>
      <c r="AS4648">
        <v>0</v>
      </c>
      <c r="AU4648" t="s">
        <v>79</v>
      </c>
      <c r="AV4648" t="s">
        <v>20733</v>
      </c>
    </row>
    <row r="4649" spans="1:48">
      <c r="A4649" s="1">
        <f>HYPERLINK("https://lsnyc.legalserver.org/matter/dynamic-profile/view/1880693","18-1880693")</f>
        <v>0</v>
      </c>
      <c r="B4649" t="s">
        <v>87</v>
      </c>
      <c r="C4649" t="s">
        <v>256</v>
      </c>
      <c r="D4649" t="s">
        <v>285</v>
      </c>
      <c r="F4649" t="s">
        <v>1253</v>
      </c>
      <c r="G4649" t="s">
        <v>3444</v>
      </c>
      <c r="H4649" t="s">
        <v>5788</v>
      </c>
      <c r="I4649">
        <v>1</v>
      </c>
      <c r="J4649" t="s">
        <v>9059</v>
      </c>
      <c r="K4649">
        <v>11221</v>
      </c>
      <c r="L4649" t="s">
        <v>9094</v>
      </c>
      <c r="M4649" t="s">
        <v>9094</v>
      </c>
      <c r="N4649" t="s">
        <v>9172</v>
      </c>
      <c r="O4649" t="s">
        <v>11130</v>
      </c>
      <c r="P4649" t="s">
        <v>11165</v>
      </c>
      <c r="R4649" t="s">
        <v>11180</v>
      </c>
      <c r="T4649" t="s">
        <v>11183</v>
      </c>
      <c r="V4649" t="s">
        <v>285</v>
      </c>
      <c r="W4649">
        <v>1000</v>
      </c>
      <c r="X4649" t="s">
        <v>11332</v>
      </c>
      <c r="Y4649" t="s">
        <v>11340</v>
      </c>
      <c r="Z4649" t="s">
        <v>11483</v>
      </c>
      <c r="AB4649" t="s">
        <v>15989</v>
      </c>
      <c r="AC4649">
        <v>7</v>
      </c>
      <c r="AE4649" t="s">
        <v>9144</v>
      </c>
      <c r="AF4649">
        <v>1</v>
      </c>
      <c r="AG4649">
        <v>1</v>
      </c>
      <c r="AH4649">
        <v>0</v>
      </c>
      <c r="AI4649">
        <v>181.22</v>
      </c>
      <c r="AL4649" t="s">
        <v>19614</v>
      </c>
      <c r="AM4649">
        <v>22000</v>
      </c>
      <c r="AS4649">
        <v>43.2</v>
      </c>
      <c r="AT4649" t="s">
        <v>441</v>
      </c>
      <c r="AU4649" t="s">
        <v>20633</v>
      </c>
    </row>
    <row r="4650" spans="1:48">
      <c r="A4650" s="1">
        <f>HYPERLINK("https://lsnyc.legalserver.org/matter/dynamic-profile/view/1914357","19-1914357")</f>
        <v>0</v>
      </c>
      <c r="B4650" t="s">
        <v>73</v>
      </c>
      <c r="C4650" t="s">
        <v>256</v>
      </c>
      <c r="D4650" t="s">
        <v>703</v>
      </c>
      <c r="F4650" t="s">
        <v>2888</v>
      </c>
      <c r="G4650" t="s">
        <v>3624</v>
      </c>
      <c r="H4650" t="s">
        <v>5761</v>
      </c>
      <c r="I4650" t="s">
        <v>8873</v>
      </c>
      <c r="J4650" t="s">
        <v>9059</v>
      </c>
      <c r="K4650">
        <v>11233</v>
      </c>
      <c r="L4650" t="s">
        <v>9095</v>
      </c>
      <c r="M4650" t="s">
        <v>9095</v>
      </c>
      <c r="N4650" t="s">
        <v>10786</v>
      </c>
      <c r="O4650" t="s">
        <v>11129</v>
      </c>
      <c r="P4650" t="s">
        <v>11169</v>
      </c>
      <c r="R4650" t="s">
        <v>11180</v>
      </c>
      <c r="S4650" t="s">
        <v>9096</v>
      </c>
      <c r="T4650" t="s">
        <v>11183</v>
      </c>
      <c r="W4650">
        <v>1542</v>
      </c>
      <c r="X4650" t="s">
        <v>11332</v>
      </c>
      <c r="Y4650" t="s">
        <v>11340</v>
      </c>
      <c r="Z4650" t="s">
        <v>14377</v>
      </c>
      <c r="AA4650" t="s">
        <v>15879</v>
      </c>
      <c r="AB4650" t="s">
        <v>18697</v>
      </c>
      <c r="AC4650">
        <v>287</v>
      </c>
      <c r="AD4650" t="s">
        <v>19566</v>
      </c>
      <c r="AE4650" t="s">
        <v>19580</v>
      </c>
      <c r="AF4650">
        <v>11</v>
      </c>
      <c r="AG4650">
        <v>1</v>
      </c>
      <c r="AH4650">
        <v>2</v>
      </c>
      <c r="AI4650">
        <v>181.31</v>
      </c>
      <c r="AL4650" t="s">
        <v>19614</v>
      </c>
      <c r="AM4650">
        <v>38674</v>
      </c>
      <c r="AS4650">
        <v>0</v>
      </c>
      <c r="AU4650" t="s">
        <v>79</v>
      </c>
    </row>
    <row r="4651" spans="1:48">
      <c r="A4651" s="1">
        <f>HYPERLINK("https://lsnyc.legalserver.org/matter/dynamic-profile/view/1910350","19-1910350")</f>
        <v>0</v>
      </c>
      <c r="B4651" t="s">
        <v>90</v>
      </c>
      <c r="C4651" t="s">
        <v>256</v>
      </c>
      <c r="D4651" t="s">
        <v>446</v>
      </c>
      <c r="F4651" t="s">
        <v>1295</v>
      </c>
      <c r="G4651" t="s">
        <v>1461</v>
      </c>
      <c r="H4651" t="s">
        <v>6408</v>
      </c>
      <c r="I4651" t="s">
        <v>8218</v>
      </c>
      <c r="J4651" t="s">
        <v>9059</v>
      </c>
      <c r="K4651">
        <v>11212</v>
      </c>
      <c r="L4651" t="s">
        <v>9094</v>
      </c>
      <c r="M4651" t="s">
        <v>9095</v>
      </c>
      <c r="N4651" t="s">
        <v>9102</v>
      </c>
      <c r="O4651" t="s">
        <v>11137</v>
      </c>
      <c r="P4651" t="s">
        <v>11167</v>
      </c>
      <c r="R4651" t="s">
        <v>11180</v>
      </c>
      <c r="S4651" t="s">
        <v>9094</v>
      </c>
      <c r="T4651" t="s">
        <v>11183</v>
      </c>
      <c r="U4651" t="s">
        <v>11201</v>
      </c>
      <c r="V4651" t="s">
        <v>334</v>
      </c>
      <c r="W4651">
        <v>1400</v>
      </c>
      <c r="X4651" t="s">
        <v>11332</v>
      </c>
      <c r="Y4651" t="s">
        <v>11340</v>
      </c>
      <c r="Z4651" t="s">
        <v>13553</v>
      </c>
      <c r="AA4651" t="s">
        <v>9144</v>
      </c>
      <c r="AB4651" t="s">
        <v>17890</v>
      </c>
      <c r="AC4651">
        <v>4</v>
      </c>
      <c r="AD4651" t="s">
        <v>19566</v>
      </c>
      <c r="AE4651" t="s">
        <v>9144</v>
      </c>
      <c r="AF4651">
        <v>4</v>
      </c>
      <c r="AG4651">
        <v>1</v>
      </c>
      <c r="AH4651">
        <v>0</v>
      </c>
      <c r="AI4651">
        <v>181.49</v>
      </c>
      <c r="AL4651" t="s">
        <v>19614</v>
      </c>
      <c r="AM4651">
        <v>22668</v>
      </c>
      <c r="AS4651">
        <v>0.1</v>
      </c>
      <c r="AT4651" t="s">
        <v>362</v>
      </c>
      <c r="AU4651" t="s">
        <v>95</v>
      </c>
      <c r="AV4651" t="s">
        <v>20733</v>
      </c>
    </row>
    <row r="4652" spans="1:48">
      <c r="A4652" s="1">
        <f>HYPERLINK("https://lsnyc.legalserver.org/matter/dynamic-profile/view/1882164","18-1882164")</f>
        <v>0</v>
      </c>
      <c r="B4652" t="s">
        <v>76</v>
      </c>
      <c r="C4652" t="s">
        <v>256</v>
      </c>
      <c r="D4652" t="s">
        <v>697</v>
      </c>
      <c r="F4652" t="s">
        <v>1802</v>
      </c>
      <c r="G4652" t="s">
        <v>5053</v>
      </c>
      <c r="H4652" t="s">
        <v>6169</v>
      </c>
      <c r="J4652" t="s">
        <v>9059</v>
      </c>
      <c r="K4652">
        <v>11213</v>
      </c>
      <c r="L4652" t="s">
        <v>9094</v>
      </c>
      <c r="M4652" t="s">
        <v>9094</v>
      </c>
      <c r="N4652" t="s">
        <v>10787</v>
      </c>
      <c r="O4652" t="s">
        <v>11130</v>
      </c>
      <c r="P4652" t="s">
        <v>11165</v>
      </c>
      <c r="R4652" t="s">
        <v>11180</v>
      </c>
      <c r="S4652" t="s">
        <v>9094</v>
      </c>
      <c r="T4652" t="s">
        <v>11183</v>
      </c>
      <c r="U4652" t="s">
        <v>11201</v>
      </c>
      <c r="V4652" t="s">
        <v>11265</v>
      </c>
      <c r="W4652">
        <v>678.92</v>
      </c>
      <c r="X4652" t="s">
        <v>11332</v>
      </c>
      <c r="Y4652" t="s">
        <v>11346</v>
      </c>
      <c r="Z4652" t="s">
        <v>14159</v>
      </c>
      <c r="AA4652" t="s">
        <v>9144</v>
      </c>
      <c r="AB4652" t="s">
        <v>18479</v>
      </c>
      <c r="AC4652">
        <v>35</v>
      </c>
      <c r="AD4652" t="s">
        <v>19566</v>
      </c>
      <c r="AE4652" t="s">
        <v>9144</v>
      </c>
      <c r="AF4652">
        <v>22</v>
      </c>
      <c r="AG4652">
        <v>1</v>
      </c>
      <c r="AH4652">
        <v>0</v>
      </c>
      <c r="AI4652">
        <v>181.64</v>
      </c>
      <c r="AK4652" t="s">
        <v>19613</v>
      </c>
      <c r="AL4652" t="s">
        <v>19614</v>
      </c>
      <c r="AM4652">
        <v>22051</v>
      </c>
      <c r="AS4652">
        <v>3.85</v>
      </c>
      <c r="AT4652" t="s">
        <v>307</v>
      </c>
      <c r="AU4652" t="s">
        <v>95</v>
      </c>
      <c r="AV4652" t="s">
        <v>20733</v>
      </c>
    </row>
    <row r="4653" spans="1:48">
      <c r="A4653" s="1">
        <f>HYPERLINK("https://lsnyc.legalserver.org/matter/dynamic-profile/view/1900422","19-1900422")</f>
        <v>0</v>
      </c>
      <c r="B4653" t="s">
        <v>143</v>
      </c>
      <c r="C4653" t="s">
        <v>256</v>
      </c>
      <c r="D4653" t="s">
        <v>262</v>
      </c>
      <c r="F4653" t="s">
        <v>2000</v>
      </c>
      <c r="G4653" t="s">
        <v>3573</v>
      </c>
      <c r="H4653" t="s">
        <v>7745</v>
      </c>
      <c r="J4653" t="s">
        <v>9067</v>
      </c>
      <c r="K4653">
        <v>10031</v>
      </c>
      <c r="L4653" t="s">
        <v>9094</v>
      </c>
      <c r="M4653" t="s">
        <v>9095</v>
      </c>
      <c r="N4653" t="s">
        <v>10788</v>
      </c>
      <c r="O4653" t="s">
        <v>11129</v>
      </c>
      <c r="P4653" t="s">
        <v>11165</v>
      </c>
      <c r="R4653" t="s">
        <v>11180</v>
      </c>
      <c r="S4653" t="s">
        <v>9096</v>
      </c>
      <c r="T4653" t="s">
        <v>11183</v>
      </c>
      <c r="V4653" t="s">
        <v>11207</v>
      </c>
      <c r="W4653">
        <v>818.59</v>
      </c>
      <c r="X4653" t="s">
        <v>11335</v>
      </c>
      <c r="Y4653" t="s">
        <v>11345</v>
      </c>
      <c r="Z4653" t="s">
        <v>14378</v>
      </c>
      <c r="AB4653" t="s">
        <v>18698</v>
      </c>
      <c r="AC4653">
        <v>46</v>
      </c>
      <c r="AD4653" t="s">
        <v>19566</v>
      </c>
      <c r="AF4653">
        <v>40</v>
      </c>
      <c r="AG4653">
        <v>1</v>
      </c>
      <c r="AH4653">
        <v>0</v>
      </c>
      <c r="AI4653">
        <v>181.68</v>
      </c>
      <c r="AL4653" t="s">
        <v>19614</v>
      </c>
      <c r="AM4653">
        <v>22692</v>
      </c>
      <c r="AS4653">
        <v>8.050000000000001</v>
      </c>
      <c r="AT4653" t="s">
        <v>312</v>
      </c>
      <c r="AU4653" t="s">
        <v>20696</v>
      </c>
      <c r="AV4653" t="s">
        <v>20733</v>
      </c>
    </row>
    <row r="4654" spans="1:48">
      <c r="A4654" s="1">
        <f>HYPERLINK("https://lsnyc.legalserver.org/matter/dynamic-profile/view/1914255","19-1914255")</f>
        <v>0</v>
      </c>
      <c r="B4654" t="s">
        <v>72</v>
      </c>
      <c r="C4654" t="s">
        <v>256</v>
      </c>
      <c r="D4654" t="s">
        <v>496</v>
      </c>
      <c r="F4654" t="s">
        <v>1232</v>
      </c>
      <c r="G4654" t="s">
        <v>3411</v>
      </c>
      <c r="H4654" t="s">
        <v>7746</v>
      </c>
      <c r="I4654" t="s">
        <v>8132</v>
      </c>
      <c r="J4654" t="s">
        <v>9059</v>
      </c>
      <c r="K4654">
        <v>11207</v>
      </c>
      <c r="L4654" t="s">
        <v>9096</v>
      </c>
      <c r="M4654" t="s">
        <v>9095</v>
      </c>
      <c r="N4654" t="s">
        <v>10789</v>
      </c>
      <c r="O4654" t="s">
        <v>11128</v>
      </c>
      <c r="R4654" t="s">
        <v>11180</v>
      </c>
      <c r="S4654" t="s">
        <v>9096</v>
      </c>
      <c r="T4654" t="s">
        <v>11183</v>
      </c>
      <c r="U4654" t="s">
        <v>11201</v>
      </c>
      <c r="W4654">
        <v>1182</v>
      </c>
      <c r="X4654" t="s">
        <v>11332</v>
      </c>
      <c r="Y4654" t="s">
        <v>11347</v>
      </c>
      <c r="Z4654" t="s">
        <v>14379</v>
      </c>
      <c r="AA4654" t="s">
        <v>15880</v>
      </c>
      <c r="AB4654" t="s">
        <v>18699</v>
      </c>
      <c r="AC4654">
        <v>4375</v>
      </c>
      <c r="AD4654" t="s">
        <v>19566</v>
      </c>
      <c r="AE4654" t="s">
        <v>19586</v>
      </c>
      <c r="AF4654">
        <v>1</v>
      </c>
      <c r="AG4654">
        <v>1</v>
      </c>
      <c r="AH4654">
        <v>2</v>
      </c>
      <c r="AI4654">
        <v>181.87</v>
      </c>
      <c r="AL4654" t="s">
        <v>19614</v>
      </c>
      <c r="AM4654">
        <v>38792</v>
      </c>
      <c r="AS4654">
        <v>0</v>
      </c>
      <c r="AU4654" t="s">
        <v>95</v>
      </c>
      <c r="AV4654" t="s">
        <v>9144</v>
      </c>
    </row>
    <row r="4655" spans="1:48">
      <c r="A4655" s="1">
        <f>HYPERLINK("https://lsnyc.legalserver.org/matter/dynamic-profile/view/0830904","17-0830904")</f>
        <v>0</v>
      </c>
      <c r="B4655" t="s">
        <v>139</v>
      </c>
      <c r="C4655" t="s">
        <v>256</v>
      </c>
      <c r="D4655" t="s">
        <v>652</v>
      </c>
      <c r="F4655" t="s">
        <v>2889</v>
      </c>
      <c r="G4655" t="s">
        <v>3762</v>
      </c>
      <c r="H4655" t="s">
        <v>7747</v>
      </c>
      <c r="I4655">
        <v>33</v>
      </c>
      <c r="J4655" t="s">
        <v>9067</v>
      </c>
      <c r="K4655">
        <v>10032</v>
      </c>
      <c r="L4655" t="s">
        <v>9095</v>
      </c>
      <c r="M4655" t="s">
        <v>9095</v>
      </c>
      <c r="O4655" t="s">
        <v>9121</v>
      </c>
      <c r="P4655" t="s">
        <v>11165</v>
      </c>
      <c r="R4655" t="s">
        <v>11180</v>
      </c>
      <c r="S4655" t="s">
        <v>9096</v>
      </c>
      <c r="T4655" t="s">
        <v>11183</v>
      </c>
      <c r="V4655" t="s">
        <v>778</v>
      </c>
      <c r="W4655">
        <v>538.64</v>
      </c>
      <c r="X4655" t="s">
        <v>11335</v>
      </c>
      <c r="Z4655" t="s">
        <v>14380</v>
      </c>
      <c r="AB4655" t="s">
        <v>18700</v>
      </c>
      <c r="AC4655">
        <v>50</v>
      </c>
      <c r="AD4655" t="s">
        <v>19566</v>
      </c>
      <c r="AE4655" t="s">
        <v>9144</v>
      </c>
      <c r="AF4655">
        <v>43</v>
      </c>
      <c r="AG4655">
        <v>1</v>
      </c>
      <c r="AH4655">
        <v>0</v>
      </c>
      <c r="AI4655">
        <v>181.99</v>
      </c>
      <c r="AJ4655" t="s">
        <v>704</v>
      </c>
      <c r="AL4655" t="s">
        <v>19615</v>
      </c>
      <c r="AM4655">
        <v>21948</v>
      </c>
      <c r="AS4655">
        <v>0.75</v>
      </c>
      <c r="AT4655" t="s">
        <v>376</v>
      </c>
      <c r="AU4655" t="s">
        <v>20657</v>
      </c>
    </row>
    <row r="4656" spans="1:48">
      <c r="A4656" s="1">
        <f>HYPERLINK("https://lsnyc.legalserver.org/matter/dynamic-profile/view/1845584","17-1845584")</f>
        <v>0</v>
      </c>
      <c r="B4656" t="s">
        <v>74</v>
      </c>
      <c r="C4656" t="s">
        <v>256</v>
      </c>
      <c r="D4656" t="s">
        <v>646</v>
      </c>
      <c r="F4656" t="s">
        <v>2890</v>
      </c>
      <c r="G4656" t="s">
        <v>5160</v>
      </c>
      <c r="H4656" t="s">
        <v>7748</v>
      </c>
      <c r="I4656" t="s">
        <v>8140</v>
      </c>
      <c r="J4656" t="s">
        <v>9059</v>
      </c>
      <c r="K4656">
        <v>11210</v>
      </c>
      <c r="L4656" t="s">
        <v>9094</v>
      </c>
      <c r="M4656" t="s">
        <v>9095</v>
      </c>
      <c r="P4656" t="s">
        <v>11167</v>
      </c>
      <c r="R4656" t="s">
        <v>11180</v>
      </c>
      <c r="T4656" t="s">
        <v>11183</v>
      </c>
      <c r="V4656" t="s">
        <v>673</v>
      </c>
      <c r="W4656">
        <v>1350</v>
      </c>
      <c r="X4656" t="s">
        <v>11332</v>
      </c>
      <c r="Z4656" t="s">
        <v>11532</v>
      </c>
      <c r="AB4656" t="s">
        <v>18701</v>
      </c>
      <c r="AC4656">
        <v>12</v>
      </c>
      <c r="AD4656" t="s">
        <v>19566</v>
      </c>
      <c r="AF4656">
        <v>4</v>
      </c>
      <c r="AG4656">
        <v>2</v>
      </c>
      <c r="AH4656">
        <v>0</v>
      </c>
      <c r="AI4656">
        <v>182.02</v>
      </c>
      <c r="AL4656" t="s">
        <v>19614</v>
      </c>
      <c r="AM4656">
        <v>29560</v>
      </c>
      <c r="AS4656">
        <v>0.1</v>
      </c>
      <c r="AT4656" t="s">
        <v>20611</v>
      </c>
      <c r="AU4656" t="s">
        <v>95</v>
      </c>
    </row>
    <row r="4657" spans="1:48">
      <c r="A4657" s="1">
        <f>HYPERLINK("https://lsnyc.legalserver.org/matter/dynamic-profile/view/1886128","18-1886128")</f>
        <v>0</v>
      </c>
      <c r="B4657" t="s">
        <v>106</v>
      </c>
      <c r="C4657" t="s">
        <v>256</v>
      </c>
      <c r="D4657" t="s">
        <v>397</v>
      </c>
      <c r="F4657" t="s">
        <v>1430</v>
      </c>
      <c r="G4657" t="s">
        <v>4590</v>
      </c>
      <c r="H4657" t="s">
        <v>5874</v>
      </c>
      <c r="I4657" t="s">
        <v>8209</v>
      </c>
      <c r="J4657" t="s">
        <v>9065</v>
      </c>
      <c r="K4657">
        <v>10457</v>
      </c>
      <c r="L4657" t="s">
        <v>9094</v>
      </c>
      <c r="M4657" t="s">
        <v>9094</v>
      </c>
      <c r="N4657" t="s">
        <v>9231</v>
      </c>
      <c r="O4657" t="s">
        <v>11130</v>
      </c>
      <c r="P4657" t="s">
        <v>11165</v>
      </c>
      <c r="R4657" t="s">
        <v>11180</v>
      </c>
      <c r="S4657" t="s">
        <v>9094</v>
      </c>
      <c r="T4657" t="s">
        <v>11183</v>
      </c>
      <c r="V4657" t="s">
        <v>738</v>
      </c>
      <c r="W4657">
        <v>1022.34</v>
      </c>
      <c r="X4657" t="s">
        <v>11333</v>
      </c>
      <c r="Y4657" t="s">
        <v>11346</v>
      </c>
      <c r="Z4657" t="s">
        <v>14345</v>
      </c>
      <c r="AB4657" t="s">
        <v>18667</v>
      </c>
      <c r="AC4657">
        <v>48</v>
      </c>
      <c r="AD4657" t="s">
        <v>19566</v>
      </c>
      <c r="AE4657" t="s">
        <v>19580</v>
      </c>
      <c r="AF4657">
        <v>15</v>
      </c>
      <c r="AG4657">
        <v>1</v>
      </c>
      <c r="AH4657">
        <v>0</v>
      </c>
      <c r="AI4657">
        <v>182.04</v>
      </c>
      <c r="AL4657" t="s">
        <v>19615</v>
      </c>
      <c r="AM4657">
        <v>22100</v>
      </c>
      <c r="AS4657">
        <v>3.6</v>
      </c>
      <c r="AT4657" t="s">
        <v>295</v>
      </c>
      <c r="AU4657" t="s">
        <v>174</v>
      </c>
    </row>
    <row r="4658" spans="1:48">
      <c r="A4658" s="1">
        <f>HYPERLINK("https://lsnyc.legalserver.org/matter/dynamic-profile/view/1895465","19-1895465")</f>
        <v>0</v>
      </c>
      <c r="B4658" t="s">
        <v>94</v>
      </c>
      <c r="C4658" t="s">
        <v>257</v>
      </c>
      <c r="D4658" t="s">
        <v>512</v>
      </c>
      <c r="E4658" t="s">
        <v>333</v>
      </c>
      <c r="F4658" t="s">
        <v>1300</v>
      </c>
      <c r="G4658" t="s">
        <v>5161</v>
      </c>
      <c r="H4658" t="s">
        <v>5973</v>
      </c>
      <c r="J4658" t="s">
        <v>9059</v>
      </c>
      <c r="K4658">
        <v>11206</v>
      </c>
      <c r="L4658" t="s">
        <v>9094</v>
      </c>
      <c r="M4658" t="s">
        <v>9094</v>
      </c>
      <c r="N4658" t="s">
        <v>10300</v>
      </c>
      <c r="O4658" t="s">
        <v>11134</v>
      </c>
      <c r="P4658" t="s">
        <v>11168</v>
      </c>
      <c r="Q4658" t="s">
        <v>11172</v>
      </c>
      <c r="R4658" t="s">
        <v>11180</v>
      </c>
      <c r="S4658" t="s">
        <v>9094</v>
      </c>
      <c r="T4658" t="s">
        <v>11183</v>
      </c>
      <c r="V4658" t="s">
        <v>428</v>
      </c>
      <c r="W4658">
        <v>588</v>
      </c>
      <c r="X4658" t="s">
        <v>11332</v>
      </c>
      <c r="Y4658" t="s">
        <v>11340</v>
      </c>
      <c r="Z4658" t="s">
        <v>14381</v>
      </c>
      <c r="AB4658" t="s">
        <v>18702</v>
      </c>
      <c r="AC4658">
        <v>8</v>
      </c>
      <c r="AD4658" t="s">
        <v>19566</v>
      </c>
      <c r="AF4658">
        <v>4</v>
      </c>
      <c r="AG4658">
        <v>1</v>
      </c>
      <c r="AH4658">
        <v>1</v>
      </c>
      <c r="AI4658">
        <v>182.14</v>
      </c>
      <c r="AL4658" t="s">
        <v>19614</v>
      </c>
      <c r="AM4658">
        <v>30800</v>
      </c>
      <c r="AN4658" t="s">
        <v>20040</v>
      </c>
      <c r="AP4658" t="s">
        <v>20316</v>
      </c>
      <c r="AQ4658" t="s">
        <v>20369</v>
      </c>
      <c r="AR4658" t="s">
        <v>20551</v>
      </c>
      <c r="AS4658">
        <v>0.1</v>
      </c>
      <c r="AT4658" t="s">
        <v>394</v>
      </c>
      <c r="AU4658" t="s">
        <v>79</v>
      </c>
      <c r="AV4658" t="s">
        <v>20733</v>
      </c>
    </row>
    <row r="4659" spans="1:48">
      <c r="A4659" s="1">
        <f>HYPERLINK("https://lsnyc.legalserver.org/matter/dynamic-profile/view/1861657","18-1861657")</f>
        <v>0</v>
      </c>
      <c r="B4659" t="s">
        <v>52</v>
      </c>
      <c r="C4659" t="s">
        <v>256</v>
      </c>
      <c r="D4659" t="s">
        <v>532</v>
      </c>
      <c r="F4659" t="s">
        <v>2891</v>
      </c>
      <c r="G4659" t="s">
        <v>5162</v>
      </c>
      <c r="H4659" t="s">
        <v>6711</v>
      </c>
      <c r="I4659" t="s">
        <v>8874</v>
      </c>
      <c r="J4659" t="s">
        <v>9039</v>
      </c>
      <c r="K4659">
        <v>11432</v>
      </c>
      <c r="L4659" t="s">
        <v>9094</v>
      </c>
      <c r="M4659" t="s">
        <v>9095</v>
      </c>
      <c r="N4659" t="s">
        <v>9703</v>
      </c>
      <c r="O4659" t="s">
        <v>11135</v>
      </c>
      <c r="P4659" t="s">
        <v>11168</v>
      </c>
      <c r="R4659" t="s">
        <v>11180</v>
      </c>
      <c r="S4659" t="s">
        <v>9094</v>
      </c>
      <c r="T4659" t="s">
        <v>11183</v>
      </c>
      <c r="V4659" t="s">
        <v>532</v>
      </c>
      <c r="W4659">
        <v>1058</v>
      </c>
      <c r="X4659" t="s">
        <v>11331</v>
      </c>
      <c r="Y4659" t="s">
        <v>11341</v>
      </c>
      <c r="Z4659" t="s">
        <v>14382</v>
      </c>
      <c r="AA4659" t="s">
        <v>9171</v>
      </c>
      <c r="AB4659" t="s">
        <v>18703</v>
      </c>
      <c r="AC4659">
        <v>60</v>
      </c>
      <c r="AD4659" t="s">
        <v>19566</v>
      </c>
      <c r="AE4659" t="s">
        <v>9144</v>
      </c>
      <c r="AF4659">
        <v>39</v>
      </c>
      <c r="AG4659">
        <v>2</v>
      </c>
      <c r="AH4659">
        <v>0</v>
      </c>
      <c r="AI4659">
        <v>182.26</v>
      </c>
      <c r="AJ4659" t="s">
        <v>19592</v>
      </c>
      <c r="AL4659" t="s">
        <v>19615</v>
      </c>
      <c r="AM4659">
        <v>30000</v>
      </c>
      <c r="AS4659">
        <v>0.2</v>
      </c>
      <c r="AT4659" t="s">
        <v>848</v>
      </c>
      <c r="AU4659" t="s">
        <v>20620</v>
      </c>
    </row>
    <row r="4660" spans="1:48">
      <c r="A4660" s="1">
        <f>HYPERLINK("https://lsnyc.legalserver.org/matter/dynamic-profile/view/1861662","18-1861662")</f>
        <v>0</v>
      </c>
      <c r="B4660" t="s">
        <v>52</v>
      </c>
      <c r="C4660" t="s">
        <v>256</v>
      </c>
      <c r="D4660" t="s">
        <v>532</v>
      </c>
      <c r="F4660" t="s">
        <v>2891</v>
      </c>
      <c r="G4660" t="s">
        <v>5162</v>
      </c>
      <c r="H4660" t="s">
        <v>6711</v>
      </c>
      <c r="I4660" t="s">
        <v>8874</v>
      </c>
      <c r="J4660" t="s">
        <v>9039</v>
      </c>
      <c r="K4660">
        <v>11432</v>
      </c>
      <c r="L4660" t="s">
        <v>9094</v>
      </c>
      <c r="M4660" t="s">
        <v>9095</v>
      </c>
      <c r="N4660" t="s">
        <v>9698</v>
      </c>
      <c r="O4660" t="s">
        <v>11135</v>
      </c>
      <c r="P4660" t="s">
        <v>11168</v>
      </c>
      <c r="R4660" t="s">
        <v>11180</v>
      </c>
      <c r="S4660" t="s">
        <v>9094</v>
      </c>
      <c r="T4660" t="s">
        <v>11183</v>
      </c>
      <c r="V4660" t="s">
        <v>532</v>
      </c>
      <c r="W4660">
        <v>1058</v>
      </c>
      <c r="X4660" t="s">
        <v>11331</v>
      </c>
      <c r="Y4660" t="s">
        <v>11341</v>
      </c>
      <c r="Z4660" t="s">
        <v>14382</v>
      </c>
      <c r="AA4660" t="s">
        <v>9171</v>
      </c>
      <c r="AB4660" t="s">
        <v>18703</v>
      </c>
      <c r="AC4660">
        <v>60</v>
      </c>
      <c r="AD4660" t="s">
        <v>19566</v>
      </c>
      <c r="AE4660" t="s">
        <v>9144</v>
      </c>
      <c r="AF4660">
        <v>39</v>
      </c>
      <c r="AG4660">
        <v>2</v>
      </c>
      <c r="AH4660">
        <v>0</v>
      </c>
      <c r="AI4660">
        <v>182.26</v>
      </c>
      <c r="AJ4660" t="s">
        <v>19592</v>
      </c>
      <c r="AL4660" t="s">
        <v>19615</v>
      </c>
      <c r="AM4660">
        <v>30000</v>
      </c>
      <c r="AS4660">
        <v>0.2</v>
      </c>
      <c r="AT4660" t="s">
        <v>848</v>
      </c>
      <c r="AU4660" t="s">
        <v>20620</v>
      </c>
    </row>
    <row r="4661" spans="1:48">
      <c r="A4661" s="1">
        <f>HYPERLINK("https://lsnyc.legalserver.org/matter/dynamic-profile/view/1888046","19-1888046")</f>
        <v>0</v>
      </c>
      <c r="B4661" t="s">
        <v>64</v>
      </c>
      <c r="C4661" t="s">
        <v>257</v>
      </c>
      <c r="D4661" t="s">
        <v>756</v>
      </c>
      <c r="E4661" t="s">
        <v>339</v>
      </c>
      <c r="F4661" t="s">
        <v>2892</v>
      </c>
      <c r="G4661" t="s">
        <v>5163</v>
      </c>
      <c r="H4661" t="s">
        <v>7749</v>
      </c>
      <c r="I4661">
        <v>401</v>
      </c>
      <c r="J4661" t="s">
        <v>9059</v>
      </c>
      <c r="K4661">
        <v>11201</v>
      </c>
      <c r="L4661" t="s">
        <v>9094</v>
      </c>
      <c r="M4661" t="s">
        <v>9095</v>
      </c>
      <c r="N4661" t="s">
        <v>9121</v>
      </c>
      <c r="O4661" t="s">
        <v>9121</v>
      </c>
      <c r="P4661" t="s">
        <v>11167</v>
      </c>
      <c r="Q4661" t="s">
        <v>11173</v>
      </c>
      <c r="R4661" t="s">
        <v>11180</v>
      </c>
      <c r="S4661" t="s">
        <v>9096</v>
      </c>
      <c r="T4661" t="s">
        <v>11183</v>
      </c>
      <c r="V4661" t="s">
        <v>706</v>
      </c>
      <c r="W4661">
        <v>1096</v>
      </c>
      <c r="X4661" t="s">
        <v>11332</v>
      </c>
      <c r="Y4661" t="s">
        <v>11341</v>
      </c>
      <c r="Z4661" t="s">
        <v>14383</v>
      </c>
      <c r="AB4661" t="s">
        <v>18704</v>
      </c>
      <c r="AC4661">
        <v>156</v>
      </c>
      <c r="AD4661" t="s">
        <v>15441</v>
      </c>
      <c r="AE4661" t="s">
        <v>9144</v>
      </c>
      <c r="AF4661">
        <v>11</v>
      </c>
      <c r="AG4661">
        <v>2</v>
      </c>
      <c r="AH4661">
        <v>0</v>
      </c>
      <c r="AI4661">
        <v>182.26</v>
      </c>
      <c r="AL4661" t="s">
        <v>19614</v>
      </c>
      <c r="AM4661">
        <v>30000</v>
      </c>
      <c r="AS4661">
        <v>2</v>
      </c>
      <c r="AT4661" t="s">
        <v>663</v>
      </c>
      <c r="AU4661" t="s">
        <v>20626</v>
      </c>
      <c r="AV4661" t="s">
        <v>20733</v>
      </c>
    </row>
    <row r="4662" spans="1:48">
      <c r="A4662" s="1">
        <f>HYPERLINK("https://lsnyc.legalserver.org/matter/dynamic-profile/view/1890441","19-1890441")</f>
        <v>0</v>
      </c>
      <c r="B4662" t="s">
        <v>117</v>
      </c>
      <c r="C4662" t="s">
        <v>256</v>
      </c>
      <c r="D4662" t="s">
        <v>397</v>
      </c>
      <c r="F4662" t="s">
        <v>1146</v>
      </c>
      <c r="G4662" t="s">
        <v>3811</v>
      </c>
      <c r="H4662" t="s">
        <v>5888</v>
      </c>
      <c r="I4662" t="s">
        <v>8171</v>
      </c>
      <c r="J4662" t="s">
        <v>9065</v>
      </c>
      <c r="K4662">
        <v>10453</v>
      </c>
      <c r="L4662" t="s">
        <v>9094</v>
      </c>
      <c r="M4662" t="s">
        <v>9094</v>
      </c>
      <c r="O4662" t="s">
        <v>11134</v>
      </c>
      <c r="P4662" t="s">
        <v>11168</v>
      </c>
      <c r="R4662" t="s">
        <v>11180</v>
      </c>
      <c r="S4662" t="s">
        <v>9094</v>
      </c>
      <c r="T4662" t="s">
        <v>11183</v>
      </c>
      <c r="V4662" t="s">
        <v>512</v>
      </c>
      <c r="W4662">
        <v>692.88</v>
      </c>
      <c r="X4662" t="s">
        <v>11333</v>
      </c>
      <c r="Y4662" t="s">
        <v>11346</v>
      </c>
      <c r="Z4662" t="s">
        <v>14384</v>
      </c>
      <c r="AB4662" t="s">
        <v>18705</v>
      </c>
      <c r="AC4662">
        <v>0</v>
      </c>
      <c r="AD4662" t="s">
        <v>19566</v>
      </c>
      <c r="AE4662" t="s">
        <v>9144</v>
      </c>
      <c r="AF4662">
        <v>27</v>
      </c>
      <c r="AG4662">
        <v>2</v>
      </c>
      <c r="AH4662">
        <v>0</v>
      </c>
      <c r="AI4662">
        <v>182.26</v>
      </c>
      <c r="AL4662" t="s">
        <v>19614</v>
      </c>
      <c r="AM4662">
        <v>30000</v>
      </c>
      <c r="AS4662">
        <v>0</v>
      </c>
      <c r="AU4662" t="s">
        <v>163</v>
      </c>
    </row>
    <row r="4663" spans="1:48">
      <c r="A4663" s="1">
        <f>HYPERLINK("https://lsnyc.legalserver.org/matter/dynamic-profile/view/1890433","19-1890433")</f>
        <v>0</v>
      </c>
      <c r="B4663" t="s">
        <v>117</v>
      </c>
      <c r="C4663" t="s">
        <v>256</v>
      </c>
      <c r="D4663" t="s">
        <v>397</v>
      </c>
      <c r="F4663" t="s">
        <v>1146</v>
      </c>
      <c r="G4663" t="s">
        <v>3811</v>
      </c>
      <c r="H4663" t="s">
        <v>5888</v>
      </c>
      <c r="I4663" t="s">
        <v>8171</v>
      </c>
      <c r="J4663" t="s">
        <v>9065</v>
      </c>
      <c r="K4663">
        <v>10453</v>
      </c>
      <c r="L4663" t="s">
        <v>9094</v>
      </c>
      <c r="M4663" t="s">
        <v>9094</v>
      </c>
      <c r="O4663" t="s">
        <v>11130</v>
      </c>
      <c r="P4663" t="s">
        <v>11165</v>
      </c>
      <c r="R4663" t="s">
        <v>11180</v>
      </c>
      <c r="T4663" t="s">
        <v>11183</v>
      </c>
      <c r="V4663" t="s">
        <v>482</v>
      </c>
      <c r="W4663">
        <v>692.88</v>
      </c>
      <c r="X4663" t="s">
        <v>11333</v>
      </c>
      <c r="Y4663" t="s">
        <v>11346</v>
      </c>
      <c r="Z4663" t="s">
        <v>14384</v>
      </c>
      <c r="AB4663" t="s">
        <v>18705</v>
      </c>
      <c r="AC4663">
        <v>44</v>
      </c>
      <c r="AD4663" t="s">
        <v>19566</v>
      </c>
      <c r="AE4663" t="s">
        <v>9144</v>
      </c>
      <c r="AF4663">
        <v>27</v>
      </c>
      <c r="AG4663">
        <v>2</v>
      </c>
      <c r="AH4663">
        <v>0</v>
      </c>
      <c r="AI4663">
        <v>182.26</v>
      </c>
      <c r="AL4663" t="s">
        <v>19614</v>
      </c>
      <c r="AM4663">
        <v>30000</v>
      </c>
      <c r="AS4663">
        <v>0</v>
      </c>
      <c r="AU4663" t="s">
        <v>163</v>
      </c>
    </row>
    <row r="4664" spans="1:48">
      <c r="A4664" s="1">
        <f>HYPERLINK("https://lsnyc.legalserver.org/matter/dynamic-profile/view/1904033","19-1904033")</f>
        <v>0</v>
      </c>
      <c r="B4664" t="s">
        <v>64</v>
      </c>
      <c r="C4664" t="s">
        <v>256</v>
      </c>
      <c r="D4664" t="s">
        <v>271</v>
      </c>
      <c r="F4664" t="s">
        <v>1636</v>
      </c>
      <c r="G4664" t="s">
        <v>4024</v>
      </c>
      <c r="H4664" t="s">
        <v>7750</v>
      </c>
      <c r="I4664" t="s">
        <v>8112</v>
      </c>
      <c r="J4664" t="s">
        <v>9059</v>
      </c>
      <c r="K4664">
        <v>11233</v>
      </c>
      <c r="L4664" t="s">
        <v>9094</v>
      </c>
      <c r="M4664" t="s">
        <v>9095</v>
      </c>
      <c r="N4664" t="s">
        <v>10790</v>
      </c>
      <c r="O4664" t="s">
        <v>11129</v>
      </c>
      <c r="P4664" t="s">
        <v>11165</v>
      </c>
      <c r="R4664" t="s">
        <v>11180</v>
      </c>
      <c r="S4664" t="s">
        <v>9096</v>
      </c>
      <c r="T4664" t="s">
        <v>11183</v>
      </c>
      <c r="U4664" t="s">
        <v>11201</v>
      </c>
      <c r="V4664" t="s">
        <v>457</v>
      </c>
      <c r="W4664">
        <v>900</v>
      </c>
      <c r="X4664" t="s">
        <v>11332</v>
      </c>
      <c r="Y4664" t="s">
        <v>11345</v>
      </c>
      <c r="Z4664" t="s">
        <v>14385</v>
      </c>
      <c r="AA4664" t="s">
        <v>9171</v>
      </c>
      <c r="AB4664" t="s">
        <v>18706</v>
      </c>
      <c r="AC4664">
        <v>97</v>
      </c>
      <c r="AD4664" t="s">
        <v>19567</v>
      </c>
      <c r="AE4664" t="s">
        <v>19584</v>
      </c>
      <c r="AF4664">
        <v>7</v>
      </c>
      <c r="AG4664">
        <v>3</v>
      </c>
      <c r="AH4664">
        <v>0</v>
      </c>
      <c r="AI4664">
        <v>182.33</v>
      </c>
      <c r="AL4664" t="s">
        <v>19614</v>
      </c>
      <c r="AM4664">
        <v>38892</v>
      </c>
      <c r="AS4664">
        <v>15.4</v>
      </c>
      <c r="AT4664" t="s">
        <v>377</v>
      </c>
      <c r="AU4664" t="s">
        <v>95</v>
      </c>
      <c r="AV4664" t="s">
        <v>20733</v>
      </c>
    </row>
    <row r="4665" spans="1:48">
      <c r="A4665" s="1">
        <f>HYPERLINK("https://lsnyc.legalserver.org/matter/dynamic-profile/view/1881268","18-1881268")</f>
        <v>0</v>
      </c>
      <c r="B4665" t="s">
        <v>136</v>
      </c>
      <c r="C4665" t="s">
        <v>256</v>
      </c>
      <c r="D4665" t="s">
        <v>639</v>
      </c>
      <c r="F4665" t="s">
        <v>1145</v>
      </c>
      <c r="G4665" t="s">
        <v>5164</v>
      </c>
      <c r="H4665" t="s">
        <v>6670</v>
      </c>
      <c r="I4665">
        <v>34</v>
      </c>
      <c r="J4665" t="s">
        <v>9067</v>
      </c>
      <c r="K4665">
        <v>10039</v>
      </c>
      <c r="L4665" t="s">
        <v>9094</v>
      </c>
      <c r="M4665" t="s">
        <v>9094</v>
      </c>
      <c r="N4665" t="s">
        <v>9851</v>
      </c>
      <c r="O4665" t="s">
        <v>11130</v>
      </c>
      <c r="P4665" t="s">
        <v>11165</v>
      </c>
      <c r="R4665" t="s">
        <v>11180</v>
      </c>
      <c r="S4665" t="s">
        <v>9094</v>
      </c>
      <c r="T4665" t="s">
        <v>11183</v>
      </c>
      <c r="U4665" t="s">
        <v>11201</v>
      </c>
      <c r="V4665" t="s">
        <v>906</v>
      </c>
      <c r="W4665">
        <v>1600</v>
      </c>
      <c r="X4665" t="s">
        <v>11335</v>
      </c>
      <c r="Y4665" t="s">
        <v>11338</v>
      </c>
      <c r="Z4665" t="s">
        <v>14386</v>
      </c>
      <c r="AB4665" t="s">
        <v>18707</v>
      </c>
      <c r="AC4665">
        <v>24</v>
      </c>
      <c r="AD4665" t="s">
        <v>19570</v>
      </c>
      <c r="AE4665" t="s">
        <v>9144</v>
      </c>
      <c r="AF4665">
        <v>4</v>
      </c>
      <c r="AG4665">
        <v>1</v>
      </c>
      <c r="AH4665">
        <v>0</v>
      </c>
      <c r="AI4665">
        <v>182.37</v>
      </c>
      <c r="AL4665" t="s">
        <v>19614</v>
      </c>
      <c r="AM4665">
        <v>22140</v>
      </c>
      <c r="AO4665" t="s">
        <v>20293</v>
      </c>
      <c r="AP4665" t="s">
        <v>20323</v>
      </c>
      <c r="AQ4665" t="s">
        <v>20369</v>
      </c>
      <c r="AR4665" t="s">
        <v>20457</v>
      </c>
      <c r="AS4665">
        <v>48.9</v>
      </c>
      <c r="AT4665" t="s">
        <v>308</v>
      </c>
      <c r="AU4665" t="s">
        <v>20657</v>
      </c>
      <c r="AV4665" t="s">
        <v>20733</v>
      </c>
    </row>
    <row r="4666" spans="1:48">
      <c r="A4666" s="1">
        <f>HYPERLINK("https://lsnyc.legalserver.org/matter/dynamic-profile/view/1905862","19-1905862")</f>
        <v>0</v>
      </c>
      <c r="B4666" t="s">
        <v>76</v>
      </c>
      <c r="C4666" t="s">
        <v>256</v>
      </c>
      <c r="D4666" t="s">
        <v>426</v>
      </c>
      <c r="F4666" t="s">
        <v>1721</v>
      </c>
      <c r="G4666" t="s">
        <v>4115</v>
      </c>
      <c r="H4666" t="s">
        <v>6223</v>
      </c>
      <c r="I4666" t="s">
        <v>8128</v>
      </c>
      <c r="J4666" t="s">
        <v>9059</v>
      </c>
      <c r="K4666">
        <v>11215</v>
      </c>
      <c r="L4666" t="s">
        <v>9094</v>
      </c>
      <c r="M4666" t="s">
        <v>9095</v>
      </c>
      <c r="N4666" t="s">
        <v>9171</v>
      </c>
      <c r="O4666" t="s">
        <v>11134</v>
      </c>
      <c r="P4666" t="s">
        <v>11168</v>
      </c>
      <c r="R4666" t="s">
        <v>11180</v>
      </c>
      <c r="S4666" t="s">
        <v>9094</v>
      </c>
      <c r="T4666" t="s">
        <v>11183</v>
      </c>
      <c r="U4666" t="s">
        <v>11201</v>
      </c>
      <c r="V4666" t="s">
        <v>11218</v>
      </c>
      <c r="W4666">
        <v>149</v>
      </c>
      <c r="X4666" t="s">
        <v>11332</v>
      </c>
      <c r="Y4666" t="s">
        <v>11340</v>
      </c>
      <c r="Z4666" t="s">
        <v>12472</v>
      </c>
      <c r="AA4666" t="s">
        <v>9144</v>
      </c>
      <c r="AC4666">
        <v>7</v>
      </c>
      <c r="AD4666" t="s">
        <v>19569</v>
      </c>
      <c r="AE4666" t="s">
        <v>9144</v>
      </c>
      <c r="AF4666">
        <v>42</v>
      </c>
      <c r="AG4666">
        <v>2</v>
      </c>
      <c r="AH4666">
        <v>0</v>
      </c>
      <c r="AI4666">
        <v>182.38</v>
      </c>
      <c r="AL4666" t="s">
        <v>19614</v>
      </c>
      <c r="AM4666">
        <v>30840</v>
      </c>
      <c r="AS4666">
        <v>0</v>
      </c>
      <c r="AU4666" t="s">
        <v>95</v>
      </c>
      <c r="AV4666" t="s">
        <v>20733</v>
      </c>
    </row>
    <row r="4667" spans="1:48">
      <c r="A4667" s="1">
        <f>HYPERLINK("https://lsnyc.legalserver.org/matter/dynamic-profile/view/1905856","19-1905856")</f>
        <v>0</v>
      </c>
      <c r="B4667" t="s">
        <v>70</v>
      </c>
      <c r="C4667" t="s">
        <v>256</v>
      </c>
      <c r="D4667" t="s">
        <v>426</v>
      </c>
      <c r="F4667" t="s">
        <v>1721</v>
      </c>
      <c r="G4667" t="s">
        <v>4115</v>
      </c>
      <c r="H4667" t="s">
        <v>6223</v>
      </c>
      <c r="I4667" t="s">
        <v>8128</v>
      </c>
      <c r="J4667" t="s">
        <v>9059</v>
      </c>
      <c r="K4667">
        <v>11215</v>
      </c>
      <c r="L4667" t="s">
        <v>9094</v>
      </c>
      <c r="M4667" t="s">
        <v>9095</v>
      </c>
      <c r="N4667" t="s">
        <v>9102</v>
      </c>
      <c r="O4667" t="s">
        <v>9121</v>
      </c>
      <c r="P4667" t="s">
        <v>11167</v>
      </c>
      <c r="R4667" t="s">
        <v>11180</v>
      </c>
      <c r="S4667" t="s">
        <v>9094</v>
      </c>
      <c r="T4667" t="s">
        <v>11183</v>
      </c>
      <c r="U4667" t="s">
        <v>11201</v>
      </c>
      <c r="V4667" t="s">
        <v>617</v>
      </c>
      <c r="W4667">
        <v>149</v>
      </c>
      <c r="X4667" t="s">
        <v>11332</v>
      </c>
      <c r="Y4667" t="s">
        <v>11340</v>
      </c>
      <c r="Z4667" t="s">
        <v>12472</v>
      </c>
      <c r="AA4667" t="s">
        <v>9144</v>
      </c>
      <c r="AC4667">
        <v>7</v>
      </c>
      <c r="AD4667" t="s">
        <v>19569</v>
      </c>
      <c r="AE4667" t="s">
        <v>9144</v>
      </c>
      <c r="AF4667">
        <v>42</v>
      </c>
      <c r="AG4667">
        <v>2</v>
      </c>
      <c r="AH4667">
        <v>0</v>
      </c>
      <c r="AI4667">
        <v>182.38</v>
      </c>
      <c r="AL4667" t="s">
        <v>19614</v>
      </c>
      <c r="AM4667">
        <v>30840</v>
      </c>
      <c r="AS4667">
        <v>0</v>
      </c>
      <c r="AU4667" t="s">
        <v>95</v>
      </c>
      <c r="AV4667" t="s">
        <v>20733</v>
      </c>
    </row>
    <row r="4668" spans="1:48">
      <c r="A4668" s="1">
        <f>HYPERLINK("https://lsnyc.legalserver.org/matter/dynamic-profile/view/1854856","17-1854856")</f>
        <v>0</v>
      </c>
      <c r="B4668" t="s">
        <v>75</v>
      </c>
      <c r="C4668" t="s">
        <v>257</v>
      </c>
      <c r="D4668" t="s">
        <v>919</v>
      </c>
      <c r="E4668" t="s">
        <v>1133</v>
      </c>
      <c r="F4668" t="s">
        <v>1336</v>
      </c>
      <c r="G4668" t="s">
        <v>3370</v>
      </c>
      <c r="H4668" t="s">
        <v>7342</v>
      </c>
      <c r="I4668" t="s">
        <v>8530</v>
      </c>
      <c r="J4668" t="s">
        <v>9059</v>
      </c>
      <c r="K4668">
        <v>11208</v>
      </c>
      <c r="L4668" t="s">
        <v>9094</v>
      </c>
      <c r="M4668" t="s">
        <v>9095</v>
      </c>
      <c r="N4668" t="s">
        <v>10791</v>
      </c>
      <c r="O4668" t="s">
        <v>11130</v>
      </c>
      <c r="P4668" t="s">
        <v>11165</v>
      </c>
      <c r="Q4668" t="s">
        <v>11174</v>
      </c>
      <c r="R4668" t="s">
        <v>11180</v>
      </c>
      <c r="T4668" t="s">
        <v>11183</v>
      </c>
      <c r="V4668" t="s">
        <v>675</v>
      </c>
      <c r="W4668">
        <v>525</v>
      </c>
      <c r="X4668" t="s">
        <v>11332</v>
      </c>
      <c r="Y4668" t="s">
        <v>11340</v>
      </c>
      <c r="Z4668" t="s">
        <v>13693</v>
      </c>
      <c r="AB4668" t="s">
        <v>18020</v>
      </c>
      <c r="AC4668">
        <v>6</v>
      </c>
      <c r="AD4668" t="s">
        <v>19566</v>
      </c>
      <c r="AF4668">
        <v>35</v>
      </c>
      <c r="AG4668">
        <v>1</v>
      </c>
      <c r="AH4668">
        <v>0</v>
      </c>
      <c r="AI4668">
        <v>182.42</v>
      </c>
      <c r="AL4668" t="s">
        <v>19615</v>
      </c>
      <c r="AM4668">
        <v>22000</v>
      </c>
      <c r="AS4668">
        <v>3</v>
      </c>
      <c r="AT4668" t="s">
        <v>1133</v>
      </c>
      <c r="AU4668" t="s">
        <v>75</v>
      </c>
    </row>
    <row r="4669" spans="1:48">
      <c r="A4669" s="1">
        <f>HYPERLINK("https://lsnyc.legalserver.org/matter/dynamic-profile/view/1850772","17-1850772")</f>
        <v>0</v>
      </c>
      <c r="B4669" t="s">
        <v>69</v>
      </c>
      <c r="C4669" t="s">
        <v>257</v>
      </c>
      <c r="D4669" t="s">
        <v>1077</v>
      </c>
      <c r="E4669" t="s">
        <v>1130</v>
      </c>
      <c r="F4669" t="s">
        <v>1231</v>
      </c>
      <c r="G4669" t="s">
        <v>3724</v>
      </c>
      <c r="H4669" t="s">
        <v>7751</v>
      </c>
      <c r="I4669" t="s">
        <v>8875</v>
      </c>
      <c r="J4669" t="s">
        <v>9067</v>
      </c>
      <c r="K4669">
        <v>10029</v>
      </c>
      <c r="L4669" t="s">
        <v>9094</v>
      </c>
      <c r="M4669" t="s">
        <v>9095</v>
      </c>
      <c r="O4669" t="s">
        <v>11131</v>
      </c>
      <c r="P4669" t="s">
        <v>11166</v>
      </c>
      <c r="Q4669" t="s">
        <v>11176</v>
      </c>
      <c r="R4669" t="s">
        <v>11180</v>
      </c>
      <c r="S4669" t="s">
        <v>9096</v>
      </c>
      <c r="T4669" t="s">
        <v>11191</v>
      </c>
      <c r="V4669" t="s">
        <v>1077</v>
      </c>
      <c r="W4669">
        <v>1319.05</v>
      </c>
      <c r="X4669" t="s">
        <v>11335</v>
      </c>
      <c r="Y4669" t="s">
        <v>11347</v>
      </c>
      <c r="Z4669" t="s">
        <v>14387</v>
      </c>
      <c r="AB4669" t="s">
        <v>18708</v>
      </c>
      <c r="AC4669">
        <v>936</v>
      </c>
      <c r="AD4669" t="s">
        <v>19568</v>
      </c>
      <c r="AE4669" t="s">
        <v>9144</v>
      </c>
      <c r="AF4669">
        <v>22</v>
      </c>
      <c r="AG4669">
        <v>1</v>
      </c>
      <c r="AH4669">
        <v>0</v>
      </c>
      <c r="AI4669">
        <v>182.42</v>
      </c>
      <c r="AL4669" t="s">
        <v>19615</v>
      </c>
      <c r="AM4669">
        <v>22000</v>
      </c>
      <c r="AS4669">
        <v>58.5</v>
      </c>
      <c r="AT4669" t="s">
        <v>1042</v>
      </c>
      <c r="AU4669" t="s">
        <v>20657</v>
      </c>
    </row>
    <row r="4670" spans="1:48">
      <c r="A4670" s="1">
        <f>HYPERLINK("https://lsnyc.legalserver.org/matter/dynamic-profile/view/1913628","19-1913628")</f>
        <v>0</v>
      </c>
      <c r="B4670" t="s">
        <v>92</v>
      </c>
      <c r="C4670" t="s">
        <v>256</v>
      </c>
      <c r="D4670" t="s">
        <v>521</v>
      </c>
      <c r="F4670" t="s">
        <v>2493</v>
      </c>
      <c r="G4670" t="s">
        <v>3497</v>
      </c>
      <c r="H4670" t="s">
        <v>6306</v>
      </c>
      <c r="I4670" t="s">
        <v>8160</v>
      </c>
      <c r="J4670" t="s">
        <v>9059</v>
      </c>
      <c r="K4670">
        <v>11238</v>
      </c>
      <c r="L4670" t="s">
        <v>9094</v>
      </c>
      <c r="M4670" t="s">
        <v>9095</v>
      </c>
      <c r="O4670" t="s">
        <v>11134</v>
      </c>
      <c r="P4670" t="s">
        <v>11168</v>
      </c>
      <c r="R4670" t="s">
        <v>11180</v>
      </c>
      <c r="S4670" t="s">
        <v>9094</v>
      </c>
      <c r="T4670" t="s">
        <v>11183</v>
      </c>
      <c r="U4670" t="s">
        <v>11201</v>
      </c>
      <c r="V4670" t="s">
        <v>11243</v>
      </c>
      <c r="W4670">
        <v>983.4400000000001</v>
      </c>
      <c r="X4670" t="s">
        <v>11332</v>
      </c>
      <c r="Y4670" t="s">
        <v>11157</v>
      </c>
      <c r="Z4670" t="s">
        <v>14388</v>
      </c>
      <c r="AA4670" t="s">
        <v>9144</v>
      </c>
      <c r="AB4670" t="s">
        <v>18709</v>
      </c>
      <c r="AC4670">
        <v>16</v>
      </c>
      <c r="AD4670" t="s">
        <v>19566</v>
      </c>
      <c r="AE4670" t="s">
        <v>9144</v>
      </c>
      <c r="AF4670">
        <v>13</v>
      </c>
      <c r="AG4670">
        <v>2</v>
      </c>
      <c r="AH4670">
        <v>2</v>
      </c>
      <c r="AI4670">
        <v>182.52</v>
      </c>
      <c r="AL4670" t="s">
        <v>19614</v>
      </c>
      <c r="AM4670">
        <v>47000</v>
      </c>
      <c r="AN4670" t="s">
        <v>19752</v>
      </c>
      <c r="AS4670">
        <v>0</v>
      </c>
      <c r="AU4670" t="s">
        <v>79</v>
      </c>
      <c r="AV4670" t="s">
        <v>20733</v>
      </c>
    </row>
    <row r="4671" spans="1:48">
      <c r="A4671" s="1">
        <f>HYPERLINK("https://lsnyc.legalserver.org/matter/dynamic-profile/view/1913622","19-1913622")</f>
        <v>0</v>
      </c>
      <c r="B4671" t="s">
        <v>92</v>
      </c>
      <c r="C4671" t="s">
        <v>256</v>
      </c>
      <c r="D4671" t="s">
        <v>521</v>
      </c>
      <c r="F4671" t="s">
        <v>2493</v>
      </c>
      <c r="G4671" t="s">
        <v>3497</v>
      </c>
      <c r="H4671" t="s">
        <v>6306</v>
      </c>
      <c r="I4671" t="s">
        <v>8160</v>
      </c>
      <c r="J4671" t="s">
        <v>9059</v>
      </c>
      <c r="K4671">
        <v>11238</v>
      </c>
      <c r="L4671" t="s">
        <v>9094</v>
      </c>
      <c r="M4671" t="s">
        <v>9095</v>
      </c>
      <c r="N4671" t="s">
        <v>9121</v>
      </c>
      <c r="O4671" t="s">
        <v>11137</v>
      </c>
      <c r="P4671" t="s">
        <v>11167</v>
      </c>
      <c r="R4671" t="s">
        <v>11180</v>
      </c>
      <c r="S4671" t="s">
        <v>9094</v>
      </c>
      <c r="T4671" t="s">
        <v>11183</v>
      </c>
      <c r="U4671" t="s">
        <v>11201</v>
      </c>
      <c r="V4671" t="s">
        <v>521</v>
      </c>
      <c r="W4671">
        <v>983.4400000000001</v>
      </c>
      <c r="X4671" t="s">
        <v>11332</v>
      </c>
      <c r="Y4671" t="s">
        <v>11157</v>
      </c>
      <c r="Z4671" t="s">
        <v>14388</v>
      </c>
      <c r="AA4671" t="s">
        <v>9144</v>
      </c>
      <c r="AB4671" t="s">
        <v>18709</v>
      </c>
      <c r="AC4671">
        <v>16</v>
      </c>
      <c r="AD4671" t="s">
        <v>19566</v>
      </c>
      <c r="AE4671" t="s">
        <v>9144</v>
      </c>
      <c r="AF4671">
        <v>13</v>
      </c>
      <c r="AG4671">
        <v>2</v>
      </c>
      <c r="AH4671">
        <v>2</v>
      </c>
      <c r="AI4671">
        <v>182.52</v>
      </c>
      <c r="AL4671" t="s">
        <v>19614</v>
      </c>
      <c r="AM4671">
        <v>47000</v>
      </c>
      <c r="AN4671" t="s">
        <v>20041</v>
      </c>
      <c r="AS4671">
        <v>0</v>
      </c>
      <c r="AU4671" t="s">
        <v>79</v>
      </c>
      <c r="AV4671" t="s">
        <v>20733</v>
      </c>
    </row>
    <row r="4672" spans="1:48">
      <c r="A4672" s="1">
        <f>HYPERLINK("https://lsnyc.legalserver.org/matter/dynamic-profile/view/1906517","19-1906517")</f>
        <v>0</v>
      </c>
      <c r="B4672" t="s">
        <v>57</v>
      </c>
      <c r="C4672" t="s">
        <v>256</v>
      </c>
      <c r="D4672" t="s">
        <v>864</v>
      </c>
      <c r="F4672" t="s">
        <v>2893</v>
      </c>
      <c r="G4672" t="s">
        <v>4350</v>
      </c>
      <c r="H4672" t="s">
        <v>6221</v>
      </c>
      <c r="I4672" t="s">
        <v>8876</v>
      </c>
      <c r="J4672" t="s">
        <v>9064</v>
      </c>
      <c r="K4672">
        <v>11101</v>
      </c>
      <c r="L4672" t="s">
        <v>9094</v>
      </c>
      <c r="M4672" t="s">
        <v>9095</v>
      </c>
      <c r="N4672" t="s">
        <v>10792</v>
      </c>
      <c r="O4672" t="s">
        <v>11129</v>
      </c>
      <c r="P4672" t="s">
        <v>11165</v>
      </c>
      <c r="R4672" t="s">
        <v>11180</v>
      </c>
      <c r="S4672" t="s">
        <v>9094</v>
      </c>
      <c r="T4672" t="s">
        <v>11183</v>
      </c>
      <c r="U4672" t="s">
        <v>11200</v>
      </c>
      <c r="V4672" t="s">
        <v>864</v>
      </c>
      <c r="W4672">
        <v>1558</v>
      </c>
      <c r="X4672" t="s">
        <v>11331</v>
      </c>
      <c r="Y4672" t="s">
        <v>11336</v>
      </c>
      <c r="Z4672" t="s">
        <v>14389</v>
      </c>
      <c r="AA4672" t="s">
        <v>15881</v>
      </c>
      <c r="AB4672" t="s">
        <v>18710</v>
      </c>
      <c r="AC4672">
        <v>900</v>
      </c>
      <c r="AD4672" t="s">
        <v>19566</v>
      </c>
      <c r="AE4672" t="s">
        <v>19585</v>
      </c>
      <c r="AF4672">
        <v>1</v>
      </c>
      <c r="AG4672">
        <v>1</v>
      </c>
      <c r="AH4672">
        <v>0</v>
      </c>
      <c r="AI4672">
        <v>182.55</v>
      </c>
      <c r="AL4672" t="s">
        <v>19614</v>
      </c>
      <c r="AM4672">
        <v>22800</v>
      </c>
      <c r="AP4672" t="s">
        <v>11157</v>
      </c>
      <c r="AQ4672" t="s">
        <v>20369</v>
      </c>
      <c r="AR4672" t="s">
        <v>20375</v>
      </c>
      <c r="AS4672">
        <v>7.07</v>
      </c>
      <c r="AT4672" t="s">
        <v>307</v>
      </c>
      <c r="AU4672" t="s">
        <v>20619</v>
      </c>
      <c r="AV4672" t="s">
        <v>20733</v>
      </c>
    </row>
    <row r="4673" spans="1:48">
      <c r="A4673" s="1">
        <f>HYPERLINK("https://lsnyc.legalserver.org/matter/dynamic-profile/view/1897061","19-1897061")</f>
        <v>0</v>
      </c>
      <c r="B4673" t="s">
        <v>139</v>
      </c>
      <c r="C4673" t="s">
        <v>256</v>
      </c>
      <c r="D4673" t="s">
        <v>296</v>
      </c>
      <c r="F4673" t="s">
        <v>2894</v>
      </c>
      <c r="G4673" t="s">
        <v>3366</v>
      </c>
      <c r="H4673" t="s">
        <v>6488</v>
      </c>
      <c r="I4673">
        <v>1</v>
      </c>
      <c r="J4673" t="s">
        <v>9067</v>
      </c>
      <c r="K4673">
        <v>10034</v>
      </c>
      <c r="L4673" t="s">
        <v>9094</v>
      </c>
      <c r="M4673" t="s">
        <v>9094</v>
      </c>
      <c r="N4673" t="s">
        <v>9709</v>
      </c>
      <c r="O4673" t="s">
        <v>11130</v>
      </c>
      <c r="P4673" t="s">
        <v>11165</v>
      </c>
      <c r="R4673" t="s">
        <v>11180</v>
      </c>
      <c r="S4673" t="s">
        <v>9094</v>
      </c>
      <c r="T4673" t="s">
        <v>11183</v>
      </c>
      <c r="V4673" t="s">
        <v>296</v>
      </c>
      <c r="W4673">
        <v>1400</v>
      </c>
      <c r="X4673" t="s">
        <v>11335</v>
      </c>
      <c r="Y4673" t="s">
        <v>11338</v>
      </c>
      <c r="Z4673" t="s">
        <v>14390</v>
      </c>
      <c r="AB4673" t="s">
        <v>18711</v>
      </c>
      <c r="AC4673">
        <v>20</v>
      </c>
      <c r="AD4673" t="s">
        <v>19566</v>
      </c>
      <c r="AE4673" t="s">
        <v>11157</v>
      </c>
      <c r="AF4673">
        <v>10</v>
      </c>
      <c r="AG4673">
        <v>1</v>
      </c>
      <c r="AH4673">
        <v>0</v>
      </c>
      <c r="AI4673">
        <v>182.55</v>
      </c>
      <c r="AL4673" t="s">
        <v>19615</v>
      </c>
      <c r="AM4673">
        <v>22800</v>
      </c>
      <c r="AS4673">
        <v>79.05</v>
      </c>
      <c r="AT4673" t="s">
        <v>594</v>
      </c>
      <c r="AU4673" t="s">
        <v>130</v>
      </c>
      <c r="AV4673" t="s">
        <v>20733</v>
      </c>
    </row>
    <row r="4674" spans="1:48">
      <c r="A4674" s="1">
        <f>HYPERLINK("https://lsnyc.legalserver.org/matter/dynamic-profile/view/1843111","17-1843111")</f>
        <v>0</v>
      </c>
      <c r="B4674" t="s">
        <v>132</v>
      </c>
      <c r="C4674" t="s">
        <v>256</v>
      </c>
      <c r="D4674" t="s">
        <v>766</v>
      </c>
      <c r="F4674" t="s">
        <v>1294</v>
      </c>
      <c r="G4674" t="s">
        <v>3220</v>
      </c>
      <c r="H4674" t="s">
        <v>7752</v>
      </c>
      <c r="I4674" t="s">
        <v>8229</v>
      </c>
      <c r="J4674" t="s">
        <v>9067</v>
      </c>
      <c r="K4674">
        <v>10033</v>
      </c>
      <c r="L4674" t="s">
        <v>9094</v>
      </c>
      <c r="M4674" t="s">
        <v>9094</v>
      </c>
      <c r="N4674" t="s">
        <v>10793</v>
      </c>
      <c r="O4674" t="s">
        <v>11132</v>
      </c>
      <c r="P4674" t="s">
        <v>11165</v>
      </c>
      <c r="R4674" t="s">
        <v>11180</v>
      </c>
      <c r="S4674" t="s">
        <v>9096</v>
      </c>
      <c r="T4674" t="s">
        <v>11183</v>
      </c>
      <c r="U4674" t="s">
        <v>11201</v>
      </c>
      <c r="V4674" t="s">
        <v>766</v>
      </c>
      <c r="W4674">
        <v>650</v>
      </c>
      <c r="X4674" t="s">
        <v>11335</v>
      </c>
      <c r="Y4674" t="s">
        <v>11338</v>
      </c>
      <c r="Z4674" t="s">
        <v>14391</v>
      </c>
      <c r="AB4674" t="s">
        <v>18712</v>
      </c>
      <c r="AC4674">
        <v>30</v>
      </c>
      <c r="AD4674" t="s">
        <v>19566</v>
      </c>
      <c r="AE4674" t="s">
        <v>9144</v>
      </c>
      <c r="AF4674">
        <v>1</v>
      </c>
      <c r="AG4674">
        <v>1</v>
      </c>
      <c r="AH4674">
        <v>0</v>
      </c>
      <c r="AI4674">
        <v>182.59</v>
      </c>
      <c r="AL4674" t="s">
        <v>19615</v>
      </c>
      <c r="AM4674">
        <v>22020</v>
      </c>
      <c r="AS4674">
        <v>95.25</v>
      </c>
      <c r="AT4674" t="s">
        <v>395</v>
      </c>
      <c r="AU4674" t="s">
        <v>130</v>
      </c>
      <c r="AV4674" t="s">
        <v>20733</v>
      </c>
    </row>
    <row r="4675" spans="1:48">
      <c r="A4675" s="1">
        <f>HYPERLINK("https://lsnyc.legalserver.org/matter/dynamic-profile/view/1913986","19-1913986")</f>
        <v>0</v>
      </c>
      <c r="B4675" t="s">
        <v>82</v>
      </c>
      <c r="C4675" t="s">
        <v>256</v>
      </c>
      <c r="D4675" t="s">
        <v>556</v>
      </c>
      <c r="F4675" t="s">
        <v>2895</v>
      </c>
      <c r="G4675" t="s">
        <v>5165</v>
      </c>
      <c r="H4675" t="s">
        <v>7753</v>
      </c>
      <c r="I4675">
        <v>26</v>
      </c>
      <c r="J4675" t="s">
        <v>9059</v>
      </c>
      <c r="K4675">
        <v>11215</v>
      </c>
      <c r="L4675" t="s">
        <v>9094</v>
      </c>
      <c r="M4675" t="s">
        <v>9095</v>
      </c>
      <c r="N4675" t="s">
        <v>10794</v>
      </c>
      <c r="O4675" t="s">
        <v>11129</v>
      </c>
      <c r="P4675" t="s">
        <v>11165</v>
      </c>
      <c r="R4675" t="s">
        <v>11180</v>
      </c>
      <c r="S4675" t="s">
        <v>9096</v>
      </c>
      <c r="T4675" t="s">
        <v>11183</v>
      </c>
      <c r="U4675" t="s">
        <v>11201</v>
      </c>
      <c r="V4675" t="s">
        <v>276</v>
      </c>
      <c r="W4675">
        <v>0</v>
      </c>
      <c r="X4675" t="s">
        <v>11332</v>
      </c>
      <c r="Y4675" t="s">
        <v>11340</v>
      </c>
      <c r="Z4675" t="s">
        <v>14392</v>
      </c>
      <c r="AB4675" t="s">
        <v>18713</v>
      </c>
      <c r="AC4675">
        <v>8</v>
      </c>
      <c r="AF4675">
        <v>0</v>
      </c>
      <c r="AG4675">
        <v>1</v>
      </c>
      <c r="AH4675">
        <v>2</v>
      </c>
      <c r="AI4675">
        <v>182.84</v>
      </c>
      <c r="AL4675" t="s">
        <v>19614</v>
      </c>
      <c r="AM4675">
        <v>39000</v>
      </c>
      <c r="AS4675">
        <v>1.3</v>
      </c>
      <c r="AT4675" t="s">
        <v>594</v>
      </c>
      <c r="AU4675" t="s">
        <v>82</v>
      </c>
      <c r="AV4675" t="s">
        <v>20733</v>
      </c>
    </row>
    <row r="4676" spans="1:48">
      <c r="A4676" s="1">
        <f>HYPERLINK("https://lsnyc.legalserver.org/matter/dynamic-profile/view/1910509","19-1910509")</f>
        <v>0</v>
      </c>
      <c r="B4676" t="s">
        <v>82</v>
      </c>
      <c r="C4676" t="s">
        <v>256</v>
      </c>
      <c r="D4676" t="s">
        <v>341</v>
      </c>
      <c r="F4676" t="s">
        <v>2895</v>
      </c>
      <c r="G4676" t="s">
        <v>5165</v>
      </c>
      <c r="H4676" t="s">
        <v>7753</v>
      </c>
      <c r="I4676">
        <v>26</v>
      </c>
      <c r="J4676" t="s">
        <v>9059</v>
      </c>
      <c r="K4676">
        <v>11215</v>
      </c>
      <c r="L4676" t="s">
        <v>9094</v>
      </c>
      <c r="M4676" t="s">
        <v>9095</v>
      </c>
      <c r="P4676" t="s">
        <v>11167</v>
      </c>
      <c r="R4676" t="s">
        <v>11180</v>
      </c>
      <c r="S4676" t="s">
        <v>9096</v>
      </c>
      <c r="T4676" t="s">
        <v>11183</v>
      </c>
      <c r="U4676" t="s">
        <v>11201</v>
      </c>
      <c r="V4676" t="s">
        <v>341</v>
      </c>
      <c r="W4676">
        <v>1380.54</v>
      </c>
      <c r="X4676" t="s">
        <v>11332</v>
      </c>
      <c r="Y4676" t="s">
        <v>11336</v>
      </c>
      <c r="Z4676" t="s">
        <v>14392</v>
      </c>
      <c r="AB4676" t="s">
        <v>18713</v>
      </c>
      <c r="AC4676">
        <v>26</v>
      </c>
      <c r="AD4676" t="s">
        <v>19566</v>
      </c>
      <c r="AE4676" t="s">
        <v>9144</v>
      </c>
      <c r="AF4676">
        <v>7</v>
      </c>
      <c r="AG4676">
        <v>1</v>
      </c>
      <c r="AH4676">
        <v>2</v>
      </c>
      <c r="AI4676">
        <v>182.84</v>
      </c>
      <c r="AL4676" t="s">
        <v>19614</v>
      </c>
      <c r="AM4676">
        <v>39000</v>
      </c>
      <c r="AS4676">
        <v>4.6</v>
      </c>
      <c r="AT4676" t="s">
        <v>483</v>
      </c>
      <c r="AU4676" t="s">
        <v>82</v>
      </c>
    </row>
    <row r="4677" spans="1:48">
      <c r="A4677" s="1">
        <f>HYPERLINK("https://lsnyc.legalserver.org/matter/dynamic-profile/view/1887959","19-1887959")</f>
        <v>0</v>
      </c>
      <c r="B4677" t="s">
        <v>119</v>
      </c>
      <c r="C4677" t="s">
        <v>256</v>
      </c>
      <c r="D4677" t="s">
        <v>443</v>
      </c>
      <c r="F4677" t="s">
        <v>1170</v>
      </c>
      <c r="G4677" t="s">
        <v>3370</v>
      </c>
      <c r="H4677" t="s">
        <v>5880</v>
      </c>
      <c r="I4677" t="s">
        <v>8112</v>
      </c>
      <c r="J4677" t="s">
        <v>9065</v>
      </c>
      <c r="K4677">
        <v>10456</v>
      </c>
      <c r="L4677" t="s">
        <v>9094</v>
      </c>
      <c r="M4677" t="s">
        <v>9094</v>
      </c>
      <c r="N4677" t="s">
        <v>9234</v>
      </c>
      <c r="O4677" t="s">
        <v>11130</v>
      </c>
      <c r="P4677" t="s">
        <v>11165</v>
      </c>
      <c r="R4677" t="s">
        <v>11180</v>
      </c>
      <c r="S4677" t="s">
        <v>9094</v>
      </c>
      <c r="T4677" t="s">
        <v>11183</v>
      </c>
      <c r="V4677" t="s">
        <v>11218</v>
      </c>
      <c r="W4677">
        <v>1457.57</v>
      </c>
      <c r="X4677" t="s">
        <v>11333</v>
      </c>
      <c r="Y4677" t="s">
        <v>11347</v>
      </c>
      <c r="Z4677" t="s">
        <v>12695</v>
      </c>
      <c r="AB4677" t="s">
        <v>17073</v>
      </c>
      <c r="AC4677">
        <v>17</v>
      </c>
      <c r="AD4677" t="s">
        <v>15441</v>
      </c>
      <c r="AE4677" t="s">
        <v>9144</v>
      </c>
      <c r="AF4677">
        <v>16</v>
      </c>
      <c r="AG4677">
        <v>3</v>
      </c>
      <c r="AH4677">
        <v>0</v>
      </c>
      <c r="AI4677">
        <v>182.84</v>
      </c>
      <c r="AL4677" t="s">
        <v>19615</v>
      </c>
      <c r="AM4677">
        <v>39000</v>
      </c>
      <c r="AS4677">
        <v>1</v>
      </c>
      <c r="AT4677" t="s">
        <v>443</v>
      </c>
      <c r="AV4677" t="s">
        <v>20733</v>
      </c>
    </row>
    <row r="4678" spans="1:48">
      <c r="A4678" s="1">
        <f>HYPERLINK("https://lsnyc.legalserver.org/matter/dynamic-profile/view/1857200","18-1857200")</f>
        <v>0</v>
      </c>
      <c r="B4678" t="s">
        <v>78</v>
      </c>
      <c r="C4678" t="s">
        <v>256</v>
      </c>
      <c r="D4678" t="s">
        <v>466</v>
      </c>
      <c r="F4678" t="s">
        <v>2281</v>
      </c>
      <c r="G4678" t="s">
        <v>1193</v>
      </c>
      <c r="H4678" t="s">
        <v>7023</v>
      </c>
      <c r="I4678" t="s">
        <v>8170</v>
      </c>
      <c r="J4678" t="s">
        <v>9059</v>
      </c>
      <c r="K4678">
        <v>11206</v>
      </c>
      <c r="L4678" t="s">
        <v>9094</v>
      </c>
      <c r="M4678" t="s">
        <v>9095</v>
      </c>
      <c r="O4678" t="s">
        <v>11130</v>
      </c>
      <c r="P4678" t="s">
        <v>11165</v>
      </c>
      <c r="R4678" t="s">
        <v>11180</v>
      </c>
      <c r="S4678" t="s">
        <v>9094</v>
      </c>
      <c r="T4678" t="s">
        <v>11183</v>
      </c>
      <c r="V4678" t="s">
        <v>970</v>
      </c>
      <c r="W4678">
        <v>1155.44</v>
      </c>
      <c r="X4678" t="s">
        <v>11332</v>
      </c>
      <c r="Z4678" t="s">
        <v>12582</v>
      </c>
      <c r="AB4678" t="s">
        <v>17510</v>
      </c>
      <c r="AC4678">
        <v>25</v>
      </c>
      <c r="AD4678" t="s">
        <v>19566</v>
      </c>
      <c r="AF4678">
        <v>8</v>
      </c>
      <c r="AG4678">
        <v>1</v>
      </c>
      <c r="AH4678">
        <v>6</v>
      </c>
      <c r="AI4678">
        <v>182.87</v>
      </c>
      <c r="AL4678" t="s">
        <v>19614</v>
      </c>
      <c r="AM4678">
        <v>69600</v>
      </c>
      <c r="AS4678">
        <v>4</v>
      </c>
      <c r="AT4678" t="s">
        <v>11303</v>
      </c>
      <c r="AU4678" t="s">
        <v>95</v>
      </c>
    </row>
    <row r="4679" spans="1:48">
      <c r="A4679" s="1">
        <f>HYPERLINK("https://lsnyc.legalserver.org/matter/dynamic-profile/view/1871695","18-1871695")</f>
        <v>0</v>
      </c>
      <c r="B4679" t="s">
        <v>78</v>
      </c>
      <c r="C4679" t="s">
        <v>256</v>
      </c>
      <c r="D4679" t="s">
        <v>686</v>
      </c>
      <c r="F4679" t="s">
        <v>2281</v>
      </c>
      <c r="G4679" t="s">
        <v>1193</v>
      </c>
      <c r="H4679" t="s">
        <v>7023</v>
      </c>
      <c r="I4679" t="s">
        <v>8170</v>
      </c>
      <c r="J4679" t="s">
        <v>9059</v>
      </c>
      <c r="K4679">
        <v>11206</v>
      </c>
      <c r="L4679" t="s">
        <v>9094</v>
      </c>
      <c r="M4679" t="s">
        <v>9095</v>
      </c>
      <c r="P4679" t="s">
        <v>11167</v>
      </c>
      <c r="R4679" t="s">
        <v>11180</v>
      </c>
      <c r="S4679" t="s">
        <v>9094</v>
      </c>
      <c r="T4679" t="s">
        <v>11183</v>
      </c>
      <c r="V4679" t="s">
        <v>11253</v>
      </c>
      <c r="W4679">
        <v>1155.44</v>
      </c>
      <c r="X4679" t="s">
        <v>11332</v>
      </c>
      <c r="Y4679" t="s">
        <v>11157</v>
      </c>
      <c r="Z4679" t="s">
        <v>12582</v>
      </c>
      <c r="AB4679" t="s">
        <v>17510</v>
      </c>
      <c r="AC4679">
        <v>25</v>
      </c>
      <c r="AD4679" t="s">
        <v>19566</v>
      </c>
      <c r="AF4679">
        <v>8</v>
      </c>
      <c r="AG4679">
        <v>1</v>
      </c>
      <c r="AH4679">
        <v>6</v>
      </c>
      <c r="AI4679">
        <v>182.87</v>
      </c>
      <c r="AL4679" t="s">
        <v>19614</v>
      </c>
      <c r="AM4679">
        <v>69600</v>
      </c>
      <c r="AS4679">
        <v>0</v>
      </c>
      <c r="AU4679" t="s">
        <v>20637</v>
      </c>
    </row>
    <row r="4680" spans="1:48">
      <c r="A4680" s="1">
        <f>HYPERLINK("https://lsnyc.legalserver.org/matter/dynamic-profile/view/1851061","17-1851061")</f>
        <v>0</v>
      </c>
      <c r="B4680" t="s">
        <v>165</v>
      </c>
      <c r="C4680" t="s">
        <v>257</v>
      </c>
      <c r="D4680" t="s">
        <v>935</v>
      </c>
      <c r="E4680" t="s">
        <v>664</v>
      </c>
      <c r="F4680" t="s">
        <v>2896</v>
      </c>
      <c r="G4680" t="s">
        <v>5166</v>
      </c>
      <c r="H4680" t="s">
        <v>7754</v>
      </c>
      <c r="I4680" t="s">
        <v>8250</v>
      </c>
      <c r="J4680" t="s">
        <v>9059</v>
      </c>
      <c r="K4680">
        <v>11236</v>
      </c>
      <c r="L4680" t="s">
        <v>9094</v>
      </c>
      <c r="M4680" t="s">
        <v>9095</v>
      </c>
      <c r="O4680" t="s">
        <v>11128</v>
      </c>
      <c r="P4680" t="s">
        <v>11165</v>
      </c>
      <c r="Q4680" t="s">
        <v>11174</v>
      </c>
      <c r="R4680" t="s">
        <v>11180</v>
      </c>
      <c r="S4680" t="s">
        <v>9094</v>
      </c>
      <c r="T4680" t="s">
        <v>11183</v>
      </c>
      <c r="V4680" t="s">
        <v>924</v>
      </c>
      <c r="W4680">
        <v>635.16</v>
      </c>
      <c r="X4680" t="s">
        <v>11332</v>
      </c>
      <c r="Y4680" t="s">
        <v>11339</v>
      </c>
      <c r="Z4680" t="s">
        <v>14393</v>
      </c>
      <c r="AB4680" t="s">
        <v>18714</v>
      </c>
      <c r="AC4680">
        <v>113</v>
      </c>
      <c r="AD4680" t="s">
        <v>19566</v>
      </c>
      <c r="AE4680" t="s">
        <v>9144</v>
      </c>
      <c r="AF4680">
        <v>9</v>
      </c>
      <c r="AG4680">
        <v>1</v>
      </c>
      <c r="AH4680">
        <v>0</v>
      </c>
      <c r="AI4680">
        <v>182.99</v>
      </c>
      <c r="AL4680" t="s">
        <v>19614</v>
      </c>
      <c r="AM4680">
        <v>22068</v>
      </c>
      <c r="AS4680">
        <v>158.5</v>
      </c>
      <c r="AT4680" t="s">
        <v>664</v>
      </c>
      <c r="AU4680" t="s">
        <v>95</v>
      </c>
    </row>
    <row r="4681" spans="1:48">
      <c r="A4681" s="1">
        <f>HYPERLINK("https://lsnyc.legalserver.org/matter/dynamic-profile/view/1893957","19-1893957")</f>
        <v>0</v>
      </c>
      <c r="B4681" t="s">
        <v>101</v>
      </c>
      <c r="C4681" t="s">
        <v>256</v>
      </c>
      <c r="D4681" t="s">
        <v>413</v>
      </c>
      <c r="F4681" t="s">
        <v>2897</v>
      </c>
      <c r="G4681" t="s">
        <v>3811</v>
      </c>
      <c r="H4681" t="s">
        <v>6095</v>
      </c>
      <c r="I4681" t="s">
        <v>8124</v>
      </c>
      <c r="J4681" t="s">
        <v>9065</v>
      </c>
      <c r="K4681">
        <v>10456</v>
      </c>
      <c r="L4681" t="s">
        <v>9094</v>
      </c>
      <c r="M4681" t="s">
        <v>9094</v>
      </c>
      <c r="O4681" t="s">
        <v>9121</v>
      </c>
      <c r="P4681" t="s">
        <v>11164</v>
      </c>
      <c r="R4681" t="s">
        <v>11180</v>
      </c>
      <c r="S4681" t="s">
        <v>9096</v>
      </c>
      <c r="T4681" t="s">
        <v>11183</v>
      </c>
      <c r="V4681" t="s">
        <v>413</v>
      </c>
      <c r="W4681">
        <v>1404.38</v>
      </c>
      <c r="X4681" t="s">
        <v>11333</v>
      </c>
      <c r="Y4681" t="s">
        <v>11346</v>
      </c>
      <c r="Z4681" t="s">
        <v>14249</v>
      </c>
      <c r="AB4681" t="s">
        <v>18573</v>
      </c>
      <c r="AC4681">
        <v>131</v>
      </c>
      <c r="AD4681" t="s">
        <v>19566</v>
      </c>
      <c r="AE4681" t="s">
        <v>9144</v>
      </c>
      <c r="AF4681">
        <v>4</v>
      </c>
      <c r="AG4681">
        <v>1</v>
      </c>
      <c r="AH4681">
        <v>1</v>
      </c>
      <c r="AI4681">
        <v>183.28</v>
      </c>
      <c r="AL4681" t="s">
        <v>19615</v>
      </c>
      <c r="AM4681">
        <v>30992</v>
      </c>
      <c r="AS4681">
        <v>1.7</v>
      </c>
      <c r="AT4681" t="s">
        <v>694</v>
      </c>
      <c r="AU4681" t="s">
        <v>99</v>
      </c>
    </row>
    <row r="4682" spans="1:48">
      <c r="A4682" s="1">
        <f>HYPERLINK("https://lsnyc.legalserver.org/matter/dynamic-profile/view/1914321","19-1914321")</f>
        <v>0</v>
      </c>
      <c r="B4682" t="s">
        <v>139</v>
      </c>
      <c r="C4682" t="s">
        <v>257</v>
      </c>
      <c r="D4682" t="s">
        <v>496</v>
      </c>
      <c r="E4682" t="s">
        <v>331</v>
      </c>
      <c r="F4682" t="s">
        <v>2898</v>
      </c>
      <c r="G4682" t="s">
        <v>3370</v>
      </c>
      <c r="H4682" t="s">
        <v>7755</v>
      </c>
      <c r="I4682" t="s">
        <v>8308</v>
      </c>
      <c r="J4682" t="s">
        <v>9067</v>
      </c>
      <c r="K4682">
        <v>10034</v>
      </c>
      <c r="L4682" t="s">
        <v>9094</v>
      </c>
      <c r="M4682" t="s">
        <v>9095</v>
      </c>
      <c r="N4682" t="s">
        <v>10795</v>
      </c>
      <c r="O4682" t="s">
        <v>11128</v>
      </c>
      <c r="P4682" t="s">
        <v>11164</v>
      </c>
      <c r="Q4682" t="s">
        <v>11172</v>
      </c>
      <c r="R4682" t="s">
        <v>11180</v>
      </c>
      <c r="S4682" t="s">
        <v>9096</v>
      </c>
      <c r="T4682" t="s">
        <v>11183</v>
      </c>
      <c r="V4682" t="s">
        <v>331</v>
      </c>
      <c r="W4682">
        <v>692.33</v>
      </c>
      <c r="X4682" t="s">
        <v>11335</v>
      </c>
      <c r="Y4682" t="s">
        <v>11338</v>
      </c>
      <c r="Z4682" t="s">
        <v>14394</v>
      </c>
      <c r="AC4682">
        <v>72</v>
      </c>
      <c r="AD4682" t="s">
        <v>19566</v>
      </c>
      <c r="AE4682" t="s">
        <v>9144</v>
      </c>
      <c r="AF4682">
        <v>27</v>
      </c>
      <c r="AG4682">
        <v>2</v>
      </c>
      <c r="AH4682">
        <v>0</v>
      </c>
      <c r="AI4682">
        <v>183.28</v>
      </c>
      <c r="AL4682" t="s">
        <v>19615</v>
      </c>
      <c r="AM4682">
        <v>30992</v>
      </c>
      <c r="AS4682">
        <v>1</v>
      </c>
      <c r="AT4682" t="s">
        <v>496</v>
      </c>
      <c r="AU4682" t="s">
        <v>130</v>
      </c>
      <c r="AV4682" t="s">
        <v>20733</v>
      </c>
    </row>
    <row r="4683" spans="1:48">
      <c r="A4683" s="1">
        <f>HYPERLINK("https://lsnyc.legalserver.org/matter/dynamic-profile/view/1912015","19-1912015")</f>
        <v>0</v>
      </c>
      <c r="B4683" t="s">
        <v>178</v>
      </c>
      <c r="C4683" t="s">
        <v>256</v>
      </c>
      <c r="D4683" t="s">
        <v>292</v>
      </c>
      <c r="F4683" t="s">
        <v>1805</v>
      </c>
      <c r="G4683" t="s">
        <v>3811</v>
      </c>
      <c r="H4683" t="s">
        <v>6095</v>
      </c>
      <c r="I4683" t="s">
        <v>8192</v>
      </c>
      <c r="J4683" t="s">
        <v>9065</v>
      </c>
      <c r="K4683">
        <v>10456</v>
      </c>
      <c r="L4683" t="s">
        <v>9094</v>
      </c>
      <c r="M4683" t="s">
        <v>9095</v>
      </c>
      <c r="P4683" t="s">
        <v>11164</v>
      </c>
      <c r="R4683" t="s">
        <v>11180</v>
      </c>
      <c r="T4683" t="s">
        <v>11183</v>
      </c>
      <c r="W4683">
        <v>0</v>
      </c>
      <c r="X4683" t="s">
        <v>11333</v>
      </c>
      <c r="Z4683" t="s">
        <v>14395</v>
      </c>
      <c r="AB4683" t="s">
        <v>18715</v>
      </c>
      <c r="AC4683">
        <v>0</v>
      </c>
      <c r="AF4683">
        <v>0</v>
      </c>
      <c r="AG4683">
        <v>2</v>
      </c>
      <c r="AH4683">
        <v>0</v>
      </c>
      <c r="AI4683">
        <v>183.32</v>
      </c>
      <c r="AL4683" t="s">
        <v>19615</v>
      </c>
      <c r="AM4683">
        <v>31000</v>
      </c>
      <c r="AS4683">
        <v>0.4</v>
      </c>
      <c r="AT4683" t="s">
        <v>487</v>
      </c>
      <c r="AU4683" t="s">
        <v>178</v>
      </c>
      <c r="AV4683" t="s">
        <v>20733</v>
      </c>
    </row>
    <row r="4684" spans="1:48">
      <c r="A4684" s="1">
        <f>HYPERLINK("https://lsnyc.legalserver.org/matter/dynamic-profile/view/1888399","19-1888399")</f>
        <v>0</v>
      </c>
      <c r="B4684" t="s">
        <v>138</v>
      </c>
      <c r="C4684" t="s">
        <v>256</v>
      </c>
      <c r="D4684" t="s">
        <v>494</v>
      </c>
      <c r="F4684" t="s">
        <v>1358</v>
      </c>
      <c r="G4684" t="s">
        <v>3586</v>
      </c>
      <c r="H4684" t="s">
        <v>6093</v>
      </c>
      <c r="I4684">
        <v>55</v>
      </c>
      <c r="J4684" t="s">
        <v>9067</v>
      </c>
      <c r="K4684">
        <v>10034</v>
      </c>
      <c r="L4684" t="s">
        <v>9094</v>
      </c>
      <c r="M4684" t="s">
        <v>9094</v>
      </c>
      <c r="N4684" t="s">
        <v>9999</v>
      </c>
      <c r="O4684" t="s">
        <v>11130</v>
      </c>
      <c r="P4684" t="s">
        <v>11165</v>
      </c>
      <c r="R4684" t="s">
        <v>11180</v>
      </c>
      <c r="S4684" t="s">
        <v>9094</v>
      </c>
      <c r="T4684" t="s">
        <v>11183</v>
      </c>
      <c r="V4684" t="s">
        <v>494</v>
      </c>
      <c r="W4684">
        <v>925.0700000000001</v>
      </c>
      <c r="X4684" t="s">
        <v>11335</v>
      </c>
      <c r="Y4684" t="s">
        <v>11338</v>
      </c>
      <c r="Z4684" t="s">
        <v>14396</v>
      </c>
      <c r="AB4684" t="s">
        <v>18716</v>
      </c>
      <c r="AC4684">
        <v>25</v>
      </c>
      <c r="AD4684" t="s">
        <v>19566</v>
      </c>
      <c r="AE4684" t="s">
        <v>19580</v>
      </c>
      <c r="AF4684">
        <v>27</v>
      </c>
      <c r="AG4684">
        <v>2</v>
      </c>
      <c r="AH4684">
        <v>0</v>
      </c>
      <c r="AI4684">
        <v>183.32</v>
      </c>
      <c r="AL4684" t="s">
        <v>19615</v>
      </c>
      <c r="AM4684">
        <v>31000</v>
      </c>
      <c r="AS4684">
        <v>4.02</v>
      </c>
      <c r="AT4684" t="s">
        <v>1135</v>
      </c>
      <c r="AU4684" t="s">
        <v>130</v>
      </c>
      <c r="AV4684" t="s">
        <v>20733</v>
      </c>
    </row>
    <row r="4685" spans="1:48">
      <c r="A4685" s="1">
        <f>HYPERLINK("https://lsnyc.legalserver.org/matter/dynamic-profile/view/1893945","19-1893945")</f>
        <v>0</v>
      </c>
      <c r="B4685" t="s">
        <v>57</v>
      </c>
      <c r="C4685" t="s">
        <v>256</v>
      </c>
      <c r="D4685" t="s">
        <v>413</v>
      </c>
      <c r="F4685" t="s">
        <v>1694</v>
      </c>
      <c r="G4685" t="s">
        <v>3448</v>
      </c>
      <c r="H4685" t="s">
        <v>7756</v>
      </c>
      <c r="J4685" t="s">
        <v>9054</v>
      </c>
      <c r="K4685">
        <v>11368</v>
      </c>
      <c r="L4685" t="s">
        <v>9094</v>
      </c>
      <c r="M4685" t="s">
        <v>9094</v>
      </c>
      <c r="N4685" t="s">
        <v>10796</v>
      </c>
      <c r="O4685" t="s">
        <v>11129</v>
      </c>
      <c r="P4685" t="s">
        <v>11165</v>
      </c>
      <c r="R4685" t="s">
        <v>11180</v>
      </c>
      <c r="S4685" t="s">
        <v>9096</v>
      </c>
      <c r="T4685" t="s">
        <v>11183</v>
      </c>
      <c r="U4685" t="s">
        <v>11199</v>
      </c>
      <c r="V4685" t="s">
        <v>413</v>
      </c>
      <c r="W4685">
        <v>2010</v>
      </c>
      <c r="X4685" t="s">
        <v>11331</v>
      </c>
      <c r="Y4685" t="s">
        <v>11336</v>
      </c>
      <c r="Z4685" t="s">
        <v>14397</v>
      </c>
      <c r="AB4685" t="s">
        <v>18717</v>
      </c>
      <c r="AC4685">
        <v>232</v>
      </c>
      <c r="AD4685" t="s">
        <v>19566</v>
      </c>
      <c r="AE4685" t="s">
        <v>9144</v>
      </c>
      <c r="AF4685">
        <v>1</v>
      </c>
      <c r="AG4685">
        <v>1</v>
      </c>
      <c r="AH4685">
        <v>2</v>
      </c>
      <c r="AI4685">
        <v>183.33</v>
      </c>
      <c r="AL4685" t="s">
        <v>19614</v>
      </c>
      <c r="AM4685">
        <v>39104</v>
      </c>
      <c r="AS4685">
        <v>28.6</v>
      </c>
      <c r="AT4685" t="s">
        <v>993</v>
      </c>
      <c r="AU4685" t="s">
        <v>20620</v>
      </c>
      <c r="AV4685" t="s">
        <v>20733</v>
      </c>
    </row>
    <row r="4686" spans="1:48">
      <c r="A4686" s="1">
        <f>HYPERLINK("https://lsnyc.legalserver.org/matter/dynamic-profile/view/1897124","19-1897124")</f>
        <v>0</v>
      </c>
      <c r="B4686" t="s">
        <v>54</v>
      </c>
      <c r="C4686" t="s">
        <v>257</v>
      </c>
      <c r="D4686" t="s">
        <v>317</v>
      </c>
      <c r="E4686" t="s">
        <v>1128</v>
      </c>
      <c r="F4686" t="s">
        <v>1694</v>
      </c>
      <c r="G4686" t="s">
        <v>3448</v>
      </c>
      <c r="H4686" t="s">
        <v>7756</v>
      </c>
      <c r="J4686" t="s">
        <v>9054</v>
      </c>
      <c r="K4686">
        <v>11368</v>
      </c>
      <c r="L4686" t="s">
        <v>9094</v>
      </c>
      <c r="M4686" t="s">
        <v>9094</v>
      </c>
      <c r="O4686" t="s">
        <v>11139</v>
      </c>
      <c r="P4686" t="s">
        <v>11166</v>
      </c>
      <c r="Q4686" t="s">
        <v>11177</v>
      </c>
      <c r="R4686" t="s">
        <v>11180</v>
      </c>
      <c r="S4686" t="s">
        <v>9096</v>
      </c>
      <c r="T4686" t="s">
        <v>11183</v>
      </c>
      <c r="U4686" t="s">
        <v>11199</v>
      </c>
      <c r="V4686" t="s">
        <v>317</v>
      </c>
      <c r="W4686">
        <v>2010</v>
      </c>
      <c r="X4686" t="s">
        <v>11331</v>
      </c>
      <c r="Y4686" t="s">
        <v>11336</v>
      </c>
      <c r="Z4686" t="s">
        <v>14397</v>
      </c>
      <c r="AA4686" t="s">
        <v>15274</v>
      </c>
      <c r="AB4686" t="s">
        <v>18717</v>
      </c>
      <c r="AC4686">
        <v>232</v>
      </c>
      <c r="AD4686" t="s">
        <v>19566</v>
      </c>
      <c r="AE4686" t="s">
        <v>9144</v>
      </c>
      <c r="AF4686">
        <v>1</v>
      </c>
      <c r="AG4686">
        <v>1</v>
      </c>
      <c r="AH4686">
        <v>2</v>
      </c>
      <c r="AI4686">
        <v>183.33</v>
      </c>
      <c r="AL4686" t="s">
        <v>19614</v>
      </c>
      <c r="AM4686">
        <v>39104.04</v>
      </c>
      <c r="AS4686">
        <v>0.15</v>
      </c>
      <c r="AT4686" t="s">
        <v>1128</v>
      </c>
      <c r="AU4686" t="s">
        <v>57</v>
      </c>
      <c r="AV4686" t="s">
        <v>20733</v>
      </c>
    </row>
    <row r="4687" spans="1:48">
      <c r="A4687" s="1">
        <f>HYPERLINK("https://lsnyc.legalserver.org/matter/dynamic-profile/view/1910219","19-1910219")</f>
        <v>0</v>
      </c>
      <c r="B4687" t="s">
        <v>123</v>
      </c>
      <c r="C4687" t="s">
        <v>256</v>
      </c>
      <c r="D4687" t="s">
        <v>341</v>
      </c>
      <c r="F4687" t="s">
        <v>1264</v>
      </c>
      <c r="G4687" t="s">
        <v>3364</v>
      </c>
      <c r="H4687" t="s">
        <v>7757</v>
      </c>
      <c r="J4687" t="s">
        <v>9066</v>
      </c>
      <c r="K4687">
        <v>10304</v>
      </c>
      <c r="L4687" t="s">
        <v>9094</v>
      </c>
      <c r="M4687" t="s">
        <v>9095</v>
      </c>
      <c r="N4687" t="s">
        <v>10797</v>
      </c>
      <c r="O4687" t="s">
        <v>11129</v>
      </c>
      <c r="P4687" t="s">
        <v>11165</v>
      </c>
      <c r="R4687" t="s">
        <v>11180</v>
      </c>
      <c r="S4687" t="s">
        <v>9096</v>
      </c>
      <c r="T4687" t="s">
        <v>11183</v>
      </c>
      <c r="V4687" t="s">
        <v>341</v>
      </c>
      <c r="W4687">
        <v>1700</v>
      </c>
      <c r="X4687" t="s">
        <v>11334</v>
      </c>
      <c r="Y4687" t="s">
        <v>11353</v>
      </c>
      <c r="Z4687" t="s">
        <v>14398</v>
      </c>
      <c r="AB4687" t="s">
        <v>18718</v>
      </c>
      <c r="AC4687">
        <v>2</v>
      </c>
      <c r="AD4687" t="s">
        <v>19565</v>
      </c>
      <c r="AE4687" t="s">
        <v>9144</v>
      </c>
      <c r="AF4687">
        <v>3</v>
      </c>
      <c r="AG4687">
        <v>2</v>
      </c>
      <c r="AH4687">
        <v>0</v>
      </c>
      <c r="AI4687">
        <v>183.44</v>
      </c>
      <c r="AL4687" t="s">
        <v>19614</v>
      </c>
      <c r="AM4687">
        <v>31020</v>
      </c>
      <c r="AS4687">
        <v>12.05</v>
      </c>
      <c r="AT4687" t="s">
        <v>487</v>
      </c>
      <c r="AU4687" t="s">
        <v>20653</v>
      </c>
      <c r="AV4687" t="s">
        <v>20733</v>
      </c>
    </row>
    <row r="4688" spans="1:48">
      <c r="A4688" s="1">
        <f>HYPERLINK("https://lsnyc.legalserver.org/matter/dynamic-profile/view/0820647","16-0820647")</f>
        <v>0</v>
      </c>
      <c r="B4688" t="s">
        <v>101</v>
      </c>
      <c r="C4688" t="s">
        <v>256</v>
      </c>
      <c r="D4688" t="s">
        <v>461</v>
      </c>
      <c r="F4688" t="s">
        <v>1264</v>
      </c>
      <c r="G4688" t="s">
        <v>3448</v>
      </c>
      <c r="H4688" t="s">
        <v>5898</v>
      </c>
      <c r="I4688" t="s">
        <v>8217</v>
      </c>
      <c r="J4688" t="s">
        <v>9065</v>
      </c>
      <c r="K4688">
        <v>10452</v>
      </c>
      <c r="L4688" t="s">
        <v>9094</v>
      </c>
      <c r="M4688" t="s">
        <v>9095</v>
      </c>
      <c r="N4688" t="s">
        <v>9251</v>
      </c>
      <c r="O4688" t="s">
        <v>11132</v>
      </c>
      <c r="P4688" t="s">
        <v>11165</v>
      </c>
      <c r="R4688" t="s">
        <v>11180</v>
      </c>
      <c r="S4688" t="s">
        <v>9094</v>
      </c>
      <c r="T4688" t="s">
        <v>11183</v>
      </c>
      <c r="V4688" t="s">
        <v>11225</v>
      </c>
      <c r="W4688">
        <v>840.21</v>
      </c>
      <c r="X4688" t="s">
        <v>11333</v>
      </c>
      <c r="Y4688" t="s">
        <v>11338</v>
      </c>
      <c r="Z4688" t="s">
        <v>12178</v>
      </c>
      <c r="AB4688" t="s">
        <v>18719</v>
      </c>
      <c r="AC4688">
        <v>130</v>
      </c>
      <c r="AD4688" t="s">
        <v>19566</v>
      </c>
      <c r="AF4688">
        <v>6</v>
      </c>
      <c r="AG4688">
        <v>1</v>
      </c>
      <c r="AH4688">
        <v>0</v>
      </c>
      <c r="AI4688">
        <v>183.84</v>
      </c>
      <c r="AL4688" t="s">
        <v>19615</v>
      </c>
      <c r="AM4688">
        <v>21840</v>
      </c>
      <c r="AS4688">
        <v>0.25</v>
      </c>
      <c r="AT4688" t="s">
        <v>571</v>
      </c>
      <c r="AU4688" t="s">
        <v>20643</v>
      </c>
    </row>
    <row r="4689" spans="1:48">
      <c r="A4689" s="1">
        <f>HYPERLINK("https://lsnyc.legalserver.org/matter/dynamic-profile/view/1842911","17-1842911")</f>
        <v>0</v>
      </c>
      <c r="B4689" t="s">
        <v>122</v>
      </c>
      <c r="C4689" t="s">
        <v>257</v>
      </c>
      <c r="D4689" t="s">
        <v>480</v>
      </c>
      <c r="E4689" t="s">
        <v>414</v>
      </c>
      <c r="F4689" t="s">
        <v>1234</v>
      </c>
      <c r="G4689" t="s">
        <v>3785</v>
      </c>
      <c r="H4689" t="s">
        <v>5911</v>
      </c>
      <c r="I4689" t="s">
        <v>8877</v>
      </c>
      <c r="J4689" t="s">
        <v>9066</v>
      </c>
      <c r="K4689">
        <v>10314</v>
      </c>
      <c r="L4689" t="s">
        <v>9094</v>
      </c>
      <c r="M4689" t="s">
        <v>9095</v>
      </c>
      <c r="N4689" t="s">
        <v>9260</v>
      </c>
      <c r="O4689" t="s">
        <v>11135</v>
      </c>
      <c r="P4689" t="s">
        <v>11168</v>
      </c>
      <c r="Q4689" t="s">
        <v>11177</v>
      </c>
      <c r="R4689" t="s">
        <v>11180</v>
      </c>
      <c r="S4689" t="s">
        <v>9094</v>
      </c>
      <c r="T4689" t="s">
        <v>11183</v>
      </c>
      <c r="U4689" t="s">
        <v>11201</v>
      </c>
      <c r="V4689" t="s">
        <v>712</v>
      </c>
      <c r="W4689">
        <v>950</v>
      </c>
      <c r="X4689" t="s">
        <v>11334</v>
      </c>
      <c r="Y4689" t="s">
        <v>11339</v>
      </c>
      <c r="Z4689" t="s">
        <v>14399</v>
      </c>
      <c r="AB4689" t="s">
        <v>18720</v>
      </c>
      <c r="AC4689">
        <v>96</v>
      </c>
      <c r="AD4689" t="s">
        <v>19566</v>
      </c>
      <c r="AE4689" t="s">
        <v>19587</v>
      </c>
      <c r="AF4689">
        <v>8</v>
      </c>
      <c r="AG4689">
        <v>1</v>
      </c>
      <c r="AH4689">
        <v>0</v>
      </c>
      <c r="AI4689">
        <v>184.08</v>
      </c>
      <c r="AJ4689" t="s">
        <v>19594</v>
      </c>
      <c r="AL4689" t="s">
        <v>19614</v>
      </c>
      <c r="AM4689">
        <v>22200</v>
      </c>
      <c r="AO4689" t="s">
        <v>20293</v>
      </c>
      <c r="AP4689" t="s">
        <v>20316</v>
      </c>
      <c r="AQ4689" t="s">
        <v>20369</v>
      </c>
      <c r="AR4689" t="s">
        <v>20385</v>
      </c>
      <c r="AS4689">
        <v>0.75</v>
      </c>
      <c r="AT4689" t="s">
        <v>414</v>
      </c>
      <c r="AU4689" t="s">
        <v>128</v>
      </c>
      <c r="AV4689" t="s">
        <v>20733</v>
      </c>
    </row>
    <row r="4690" spans="1:48">
      <c r="A4690" s="1">
        <f>HYPERLINK("https://lsnyc.legalserver.org/matter/dynamic-profile/view/1910195","19-1910195")</f>
        <v>0</v>
      </c>
      <c r="B4690" t="s">
        <v>67</v>
      </c>
      <c r="C4690" t="s">
        <v>256</v>
      </c>
      <c r="D4690" t="s">
        <v>442</v>
      </c>
      <c r="F4690" t="s">
        <v>2899</v>
      </c>
      <c r="G4690" t="s">
        <v>5167</v>
      </c>
      <c r="H4690" t="s">
        <v>7758</v>
      </c>
      <c r="I4690" t="s">
        <v>8583</v>
      </c>
      <c r="J4690" t="s">
        <v>9059</v>
      </c>
      <c r="K4690">
        <v>11223</v>
      </c>
      <c r="L4690" t="s">
        <v>9094</v>
      </c>
      <c r="M4690" t="s">
        <v>9095</v>
      </c>
      <c r="O4690" t="s">
        <v>11137</v>
      </c>
      <c r="P4690" t="s">
        <v>11166</v>
      </c>
      <c r="R4690" t="s">
        <v>11180</v>
      </c>
      <c r="T4690" t="s">
        <v>11183</v>
      </c>
      <c r="V4690" t="s">
        <v>435</v>
      </c>
      <c r="W4690">
        <v>0</v>
      </c>
      <c r="X4690" t="s">
        <v>11332</v>
      </c>
      <c r="Z4690" t="s">
        <v>14400</v>
      </c>
      <c r="AC4690">
        <v>0</v>
      </c>
      <c r="AF4690">
        <v>0</v>
      </c>
      <c r="AG4690">
        <v>1</v>
      </c>
      <c r="AH4690">
        <v>0</v>
      </c>
      <c r="AI4690">
        <v>184.15</v>
      </c>
      <c r="AL4690" t="s">
        <v>19620</v>
      </c>
      <c r="AM4690">
        <v>23000</v>
      </c>
      <c r="AS4690">
        <v>10.4</v>
      </c>
      <c r="AT4690" t="s">
        <v>1130</v>
      </c>
      <c r="AU4690" t="s">
        <v>67</v>
      </c>
    </row>
    <row r="4691" spans="1:48">
      <c r="A4691" s="1">
        <f>HYPERLINK("https://lsnyc.legalserver.org/matter/dynamic-profile/view/1907496","19-1907496")</f>
        <v>0</v>
      </c>
      <c r="B4691" t="s">
        <v>71</v>
      </c>
      <c r="C4691" t="s">
        <v>256</v>
      </c>
      <c r="D4691" t="s">
        <v>275</v>
      </c>
      <c r="F4691" t="s">
        <v>1518</v>
      </c>
      <c r="G4691" t="s">
        <v>3913</v>
      </c>
      <c r="H4691" t="s">
        <v>7315</v>
      </c>
      <c r="I4691" t="s">
        <v>8446</v>
      </c>
      <c r="J4691" t="s">
        <v>9059</v>
      </c>
      <c r="K4691">
        <v>11212</v>
      </c>
      <c r="L4691" t="s">
        <v>9094</v>
      </c>
      <c r="M4691" t="s">
        <v>9095</v>
      </c>
      <c r="N4691" t="s">
        <v>10798</v>
      </c>
      <c r="O4691" t="s">
        <v>11129</v>
      </c>
      <c r="P4691" t="s">
        <v>11165</v>
      </c>
      <c r="R4691" t="s">
        <v>11180</v>
      </c>
      <c r="S4691" t="s">
        <v>9096</v>
      </c>
      <c r="T4691" t="s">
        <v>11183</v>
      </c>
      <c r="U4691" t="s">
        <v>11201</v>
      </c>
      <c r="V4691" t="s">
        <v>806</v>
      </c>
      <c r="W4691">
        <v>800.29</v>
      </c>
      <c r="X4691" t="s">
        <v>11332</v>
      </c>
      <c r="Y4691" t="s">
        <v>11340</v>
      </c>
      <c r="Z4691" t="s">
        <v>14401</v>
      </c>
      <c r="AB4691" t="s">
        <v>18721</v>
      </c>
      <c r="AC4691">
        <v>48</v>
      </c>
      <c r="AD4691" t="s">
        <v>19566</v>
      </c>
      <c r="AE4691" t="s">
        <v>9144</v>
      </c>
      <c r="AF4691">
        <v>47</v>
      </c>
      <c r="AG4691">
        <v>1</v>
      </c>
      <c r="AH4691">
        <v>0</v>
      </c>
      <c r="AI4691">
        <v>184.15</v>
      </c>
      <c r="AL4691" t="s">
        <v>19614</v>
      </c>
      <c r="AM4691">
        <v>23000</v>
      </c>
      <c r="AS4691">
        <v>25</v>
      </c>
      <c r="AT4691" t="s">
        <v>331</v>
      </c>
      <c r="AU4691" t="s">
        <v>79</v>
      </c>
      <c r="AV4691" t="s">
        <v>20733</v>
      </c>
    </row>
    <row r="4692" spans="1:48">
      <c r="A4692" s="1">
        <f>HYPERLINK("https://lsnyc.legalserver.org/matter/dynamic-profile/view/1912044","19-1912044")</f>
        <v>0</v>
      </c>
      <c r="B4692" t="s">
        <v>142</v>
      </c>
      <c r="C4692" t="s">
        <v>256</v>
      </c>
      <c r="D4692" t="s">
        <v>404</v>
      </c>
      <c r="F4692" t="s">
        <v>1201</v>
      </c>
      <c r="G4692" t="s">
        <v>4892</v>
      </c>
      <c r="H4692" t="s">
        <v>5940</v>
      </c>
      <c r="I4692" t="s">
        <v>8146</v>
      </c>
      <c r="J4692" t="s">
        <v>9067</v>
      </c>
      <c r="K4692">
        <v>10037</v>
      </c>
      <c r="L4692" t="s">
        <v>9094</v>
      </c>
      <c r="M4692" t="s">
        <v>9095</v>
      </c>
      <c r="O4692" t="s">
        <v>9121</v>
      </c>
      <c r="P4692" t="s">
        <v>11167</v>
      </c>
      <c r="R4692" t="s">
        <v>11180</v>
      </c>
      <c r="S4692" t="s">
        <v>9096</v>
      </c>
      <c r="T4692" t="s">
        <v>11183</v>
      </c>
      <c r="U4692" t="s">
        <v>11201</v>
      </c>
      <c r="V4692" t="s">
        <v>404</v>
      </c>
      <c r="W4692">
        <v>787.5700000000001</v>
      </c>
      <c r="X4692" t="s">
        <v>11335</v>
      </c>
      <c r="Y4692" t="s">
        <v>11339</v>
      </c>
      <c r="Z4692" t="s">
        <v>14402</v>
      </c>
      <c r="AB4692" t="s">
        <v>18722</v>
      </c>
      <c r="AC4692">
        <v>1000</v>
      </c>
      <c r="AD4692" t="s">
        <v>19566</v>
      </c>
      <c r="AE4692" t="s">
        <v>9144</v>
      </c>
      <c r="AF4692">
        <v>19</v>
      </c>
      <c r="AG4692">
        <v>1</v>
      </c>
      <c r="AH4692">
        <v>0</v>
      </c>
      <c r="AI4692">
        <v>184.15</v>
      </c>
      <c r="AL4692" t="s">
        <v>19614</v>
      </c>
      <c r="AM4692">
        <v>23000</v>
      </c>
      <c r="AS4692">
        <v>0</v>
      </c>
      <c r="AU4692" t="s">
        <v>20657</v>
      </c>
      <c r="AV4692" t="s">
        <v>20733</v>
      </c>
    </row>
    <row r="4693" spans="1:48">
      <c r="A4693" s="1">
        <f>HYPERLINK("https://lsnyc.legalserver.org/matter/dynamic-profile/view/1878313","18-1878313")</f>
        <v>0</v>
      </c>
      <c r="B4693" t="s">
        <v>144</v>
      </c>
      <c r="C4693" t="s">
        <v>257</v>
      </c>
      <c r="D4693" t="s">
        <v>509</v>
      </c>
      <c r="E4693" t="s">
        <v>832</v>
      </c>
      <c r="F4693" t="s">
        <v>1274</v>
      </c>
      <c r="G4693" t="s">
        <v>5168</v>
      </c>
      <c r="H4693" t="s">
        <v>7759</v>
      </c>
      <c r="I4693" t="s">
        <v>8361</v>
      </c>
      <c r="J4693" t="s">
        <v>9067</v>
      </c>
      <c r="K4693">
        <v>10128</v>
      </c>
      <c r="L4693" t="s">
        <v>9094</v>
      </c>
      <c r="M4693" t="s">
        <v>9094</v>
      </c>
      <c r="N4693" t="s">
        <v>10799</v>
      </c>
      <c r="O4693" t="s">
        <v>11129</v>
      </c>
      <c r="P4693" t="s">
        <v>11164</v>
      </c>
      <c r="Q4693" t="s">
        <v>11172</v>
      </c>
      <c r="R4693" t="s">
        <v>11180</v>
      </c>
      <c r="S4693" t="s">
        <v>9096</v>
      </c>
      <c r="T4693" t="s">
        <v>11183</v>
      </c>
      <c r="V4693" t="s">
        <v>509</v>
      </c>
      <c r="W4693">
        <v>1741.4</v>
      </c>
      <c r="X4693" t="s">
        <v>11335</v>
      </c>
      <c r="Y4693" t="s">
        <v>11157</v>
      </c>
      <c r="Z4693" t="s">
        <v>14403</v>
      </c>
      <c r="AB4693" t="s">
        <v>18723</v>
      </c>
      <c r="AC4693">
        <v>20</v>
      </c>
      <c r="AD4693" t="s">
        <v>19566</v>
      </c>
      <c r="AE4693" t="s">
        <v>9144</v>
      </c>
      <c r="AF4693">
        <v>28</v>
      </c>
      <c r="AG4693">
        <v>1</v>
      </c>
      <c r="AH4693">
        <v>0</v>
      </c>
      <c r="AI4693">
        <v>184.18</v>
      </c>
      <c r="AL4693" t="s">
        <v>19614</v>
      </c>
      <c r="AM4693">
        <v>22360</v>
      </c>
      <c r="AS4693">
        <v>1.8</v>
      </c>
      <c r="AT4693" t="s">
        <v>768</v>
      </c>
      <c r="AU4693" t="s">
        <v>20657</v>
      </c>
      <c r="AV4693" t="s">
        <v>20733</v>
      </c>
    </row>
    <row r="4694" spans="1:48">
      <c r="A4694" s="1">
        <f>HYPERLINK("https://lsnyc.legalserver.org/matter/dynamic-profile/view/1889030","19-1889030")</f>
        <v>0</v>
      </c>
      <c r="B4694" t="s">
        <v>64</v>
      </c>
      <c r="C4694" t="s">
        <v>256</v>
      </c>
      <c r="D4694" t="s">
        <v>503</v>
      </c>
      <c r="F4694" t="s">
        <v>2178</v>
      </c>
      <c r="G4694" t="s">
        <v>3497</v>
      </c>
      <c r="H4694" t="s">
        <v>7760</v>
      </c>
      <c r="I4694" t="s">
        <v>8161</v>
      </c>
      <c r="J4694" t="s">
        <v>9059</v>
      </c>
      <c r="K4694">
        <v>11233</v>
      </c>
      <c r="L4694" t="s">
        <v>9094</v>
      </c>
      <c r="M4694" t="s">
        <v>9094</v>
      </c>
      <c r="N4694" t="s">
        <v>10800</v>
      </c>
      <c r="O4694" t="s">
        <v>11128</v>
      </c>
      <c r="P4694" t="s">
        <v>11165</v>
      </c>
      <c r="R4694" t="s">
        <v>11180</v>
      </c>
      <c r="S4694" t="s">
        <v>11182</v>
      </c>
      <c r="T4694" t="s">
        <v>11183</v>
      </c>
      <c r="U4694" t="s">
        <v>11201</v>
      </c>
      <c r="V4694" t="s">
        <v>577</v>
      </c>
      <c r="W4694">
        <v>1162</v>
      </c>
      <c r="X4694" t="s">
        <v>11332</v>
      </c>
      <c r="Y4694" t="s">
        <v>11338</v>
      </c>
      <c r="Z4694" t="s">
        <v>13215</v>
      </c>
      <c r="AA4694" t="s">
        <v>9144</v>
      </c>
      <c r="AB4694" t="s">
        <v>18724</v>
      </c>
      <c r="AC4694">
        <v>8</v>
      </c>
      <c r="AD4694" t="s">
        <v>19566</v>
      </c>
      <c r="AE4694" t="s">
        <v>9144</v>
      </c>
      <c r="AF4694">
        <v>26</v>
      </c>
      <c r="AG4694">
        <v>4</v>
      </c>
      <c r="AH4694">
        <v>0</v>
      </c>
      <c r="AI4694">
        <v>184.47</v>
      </c>
      <c r="AL4694" t="s">
        <v>19614</v>
      </c>
      <c r="AM4694">
        <v>47500</v>
      </c>
      <c r="AS4694">
        <v>32.1</v>
      </c>
      <c r="AT4694" t="s">
        <v>1135</v>
      </c>
      <c r="AU4694" t="s">
        <v>95</v>
      </c>
      <c r="AV4694" t="s">
        <v>20733</v>
      </c>
    </row>
    <row r="4695" spans="1:48">
      <c r="A4695" s="1">
        <f>HYPERLINK("https://lsnyc.legalserver.org/matter/dynamic-profile/view/1905475","19-1905475")</f>
        <v>0</v>
      </c>
      <c r="B4695" t="s">
        <v>113</v>
      </c>
      <c r="C4695" t="s">
        <v>257</v>
      </c>
      <c r="D4695" t="s">
        <v>408</v>
      </c>
      <c r="E4695" t="s">
        <v>270</v>
      </c>
      <c r="F4695" t="s">
        <v>1264</v>
      </c>
      <c r="G4695" t="s">
        <v>5169</v>
      </c>
      <c r="H4695" t="s">
        <v>7761</v>
      </c>
      <c r="I4695" t="s">
        <v>8781</v>
      </c>
      <c r="J4695" t="s">
        <v>9065</v>
      </c>
      <c r="K4695">
        <v>10460</v>
      </c>
      <c r="L4695" t="s">
        <v>9095</v>
      </c>
      <c r="M4695" t="s">
        <v>9095</v>
      </c>
      <c r="O4695" t="s">
        <v>11129</v>
      </c>
      <c r="P4695" t="s">
        <v>11164</v>
      </c>
      <c r="Q4695" t="s">
        <v>11172</v>
      </c>
      <c r="R4695" t="s">
        <v>11180</v>
      </c>
      <c r="T4695" t="s">
        <v>11183</v>
      </c>
      <c r="W4695">
        <v>1900</v>
      </c>
      <c r="X4695" t="s">
        <v>11333</v>
      </c>
      <c r="Y4695" t="s">
        <v>11157</v>
      </c>
      <c r="Z4695" t="s">
        <v>12416</v>
      </c>
      <c r="AC4695">
        <v>3</v>
      </c>
      <c r="AD4695" t="s">
        <v>15441</v>
      </c>
      <c r="AE4695" t="s">
        <v>9144</v>
      </c>
      <c r="AF4695">
        <v>9</v>
      </c>
      <c r="AG4695">
        <v>1</v>
      </c>
      <c r="AH4695">
        <v>0</v>
      </c>
      <c r="AI4695">
        <v>184.47</v>
      </c>
      <c r="AL4695" t="s">
        <v>19614</v>
      </c>
      <c r="AM4695">
        <v>23040</v>
      </c>
      <c r="AN4695" t="s">
        <v>19938</v>
      </c>
      <c r="AS4695">
        <v>1.3</v>
      </c>
      <c r="AT4695" t="s">
        <v>415</v>
      </c>
      <c r="AU4695" t="s">
        <v>20632</v>
      </c>
    </row>
    <row r="4696" spans="1:48">
      <c r="A4696" s="1">
        <f>HYPERLINK("https://lsnyc.legalserver.org/matter/dynamic-profile/view/1905830","19-1905830")</f>
        <v>0</v>
      </c>
      <c r="B4696" t="s">
        <v>78</v>
      </c>
      <c r="C4696" t="s">
        <v>256</v>
      </c>
      <c r="D4696" t="s">
        <v>426</v>
      </c>
      <c r="F4696" t="s">
        <v>1738</v>
      </c>
      <c r="G4696" t="s">
        <v>5170</v>
      </c>
      <c r="H4696" t="s">
        <v>7451</v>
      </c>
      <c r="I4696" t="s">
        <v>8151</v>
      </c>
      <c r="J4696" t="s">
        <v>9059</v>
      </c>
      <c r="K4696">
        <v>11221</v>
      </c>
      <c r="L4696" t="s">
        <v>9094</v>
      </c>
      <c r="M4696" t="s">
        <v>9095</v>
      </c>
      <c r="N4696" t="s">
        <v>9184</v>
      </c>
      <c r="O4696" t="s">
        <v>11132</v>
      </c>
      <c r="P4696" t="s">
        <v>11167</v>
      </c>
      <c r="R4696" t="s">
        <v>11180</v>
      </c>
      <c r="S4696" t="s">
        <v>9094</v>
      </c>
      <c r="T4696" t="s">
        <v>11186</v>
      </c>
      <c r="U4696" t="s">
        <v>11201</v>
      </c>
      <c r="V4696" t="s">
        <v>512</v>
      </c>
      <c r="W4696">
        <v>1292.5</v>
      </c>
      <c r="X4696" t="s">
        <v>11332</v>
      </c>
      <c r="Z4696" t="s">
        <v>13875</v>
      </c>
      <c r="AA4696" t="s">
        <v>9144</v>
      </c>
      <c r="AB4696" t="s">
        <v>18725</v>
      </c>
      <c r="AC4696">
        <v>32</v>
      </c>
      <c r="AD4696" t="s">
        <v>19566</v>
      </c>
      <c r="AE4696" t="s">
        <v>9144</v>
      </c>
      <c r="AF4696">
        <v>10</v>
      </c>
      <c r="AG4696">
        <v>2</v>
      </c>
      <c r="AH4696">
        <v>0</v>
      </c>
      <c r="AI4696">
        <v>184.51</v>
      </c>
      <c r="AL4696" t="s">
        <v>19614</v>
      </c>
      <c r="AM4696">
        <v>31200</v>
      </c>
      <c r="AN4696" t="s">
        <v>20042</v>
      </c>
      <c r="AS4696">
        <v>3</v>
      </c>
      <c r="AT4696" t="s">
        <v>706</v>
      </c>
      <c r="AU4696" t="s">
        <v>79</v>
      </c>
      <c r="AV4696" t="s">
        <v>20733</v>
      </c>
    </row>
    <row r="4697" spans="1:48">
      <c r="A4697" s="1">
        <f>HYPERLINK("https://lsnyc.legalserver.org/matter/dynamic-profile/view/1895315","19-1895315")</f>
        <v>0</v>
      </c>
      <c r="B4697" t="s">
        <v>74</v>
      </c>
      <c r="C4697" t="s">
        <v>256</v>
      </c>
      <c r="D4697" t="s">
        <v>264</v>
      </c>
      <c r="F4697" t="s">
        <v>1738</v>
      </c>
      <c r="G4697" t="s">
        <v>5170</v>
      </c>
      <c r="H4697" t="s">
        <v>7451</v>
      </c>
      <c r="I4697" t="s">
        <v>8151</v>
      </c>
      <c r="J4697" t="s">
        <v>9059</v>
      </c>
      <c r="K4697">
        <v>11221</v>
      </c>
      <c r="L4697" t="s">
        <v>9094</v>
      </c>
      <c r="M4697" t="s">
        <v>9096</v>
      </c>
      <c r="N4697" t="s">
        <v>10801</v>
      </c>
      <c r="O4697" t="s">
        <v>11141</v>
      </c>
      <c r="P4697" t="s">
        <v>11165</v>
      </c>
      <c r="R4697" t="s">
        <v>11180</v>
      </c>
      <c r="S4697" t="s">
        <v>9094</v>
      </c>
      <c r="T4697" t="s">
        <v>11183</v>
      </c>
      <c r="V4697" t="s">
        <v>264</v>
      </c>
      <c r="W4697">
        <v>1292.5</v>
      </c>
      <c r="X4697" t="s">
        <v>11332</v>
      </c>
      <c r="Z4697" t="s">
        <v>13875</v>
      </c>
      <c r="AB4697" t="s">
        <v>18725</v>
      </c>
      <c r="AC4697">
        <v>16</v>
      </c>
      <c r="AD4697" t="s">
        <v>19566</v>
      </c>
      <c r="AE4697" t="s">
        <v>9144</v>
      </c>
      <c r="AF4697">
        <v>10</v>
      </c>
      <c r="AG4697">
        <v>2</v>
      </c>
      <c r="AH4697">
        <v>0</v>
      </c>
      <c r="AI4697">
        <v>184.51</v>
      </c>
      <c r="AL4697" t="s">
        <v>19614</v>
      </c>
      <c r="AM4697">
        <v>31200</v>
      </c>
      <c r="AS4697">
        <v>12</v>
      </c>
      <c r="AT4697" t="s">
        <v>367</v>
      </c>
      <c r="AU4697" t="s">
        <v>95</v>
      </c>
      <c r="AV4697" t="s">
        <v>20733</v>
      </c>
    </row>
    <row r="4698" spans="1:48">
      <c r="A4698" s="1">
        <f>HYPERLINK("https://lsnyc.legalserver.org/matter/dynamic-profile/view/1892989","19-1892989")</f>
        <v>0</v>
      </c>
      <c r="B4698" t="s">
        <v>108</v>
      </c>
      <c r="C4698" t="s">
        <v>256</v>
      </c>
      <c r="D4698" t="s">
        <v>423</v>
      </c>
      <c r="F4698" t="s">
        <v>2900</v>
      </c>
      <c r="G4698" t="s">
        <v>3448</v>
      </c>
      <c r="H4698" t="s">
        <v>7248</v>
      </c>
      <c r="I4698" t="s">
        <v>8139</v>
      </c>
      <c r="J4698" t="s">
        <v>9065</v>
      </c>
      <c r="K4698">
        <v>10467</v>
      </c>
      <c r="L4698" t="s">
        <v>9094</v>
      </c>
      <c r="M4698" t="s">
        <v>9094</v>
      </c>
      <c r="P4698" t="s">
        <v>11166</v>
      </c>
      <c r="R4698" t="s">
        <v>11180</v>
      </c>
      <c r="S4698" t="s">
        <v>9094</v>
      </c>
      <c r="T4698" t="s">
        <v>11183</v>
      </c>
      <c r="V4698" t="s">
        <v>11218</v>
      </c>
      <c r="W4698">
        <v>1450</v>
      </c>
      <c r="X4698" t="s">
        <v>11333</v>
      </c>
      <c r="Y4698" t="s">
        <v>11339</v>
      </c>
      <c r="Z4698" t="s">
        <v>14404</v>
      </c>
      <c r="AB4698" t="s">
        <v>18726</v>
      </c>
      <c r="AC4698">
        <v>122</v>
      </c>
      <c r="AD4698" t="s">
        <v>19565</v>
      </c>
      <c r="AE4698" t="s">
        <v>9144</v>
      </c>
      <c r="AF4698">
        <v>3</v>
      </c>
      <c r="AG4698">
        <v>2</v>
      </c>
      <c r="AH4698">
        <v>0</v>
      </c>
      <c r="AI4698">
        <v>184.51</v>
      </c>
      <c r="AM4698">
        <v>31200</v>
      </c>
      <c r="AS4698">
        <v>0</v>
      </c>
      <c r="AU4698" t="s">
        <v>220</v>
      </c>
      <c r="AV4698" t="s">
        <v>20733</v>
      </c>
    </row>
    <row r="4699" spans="1:48">
      <c r="A4699" s="1">
        <f>HYPERLINK("https://lsnyc.legalserver.org/matter/dynamic-profile/view/1889954","19-1889954")</f>
        <v>0</v>
      </c>
      <c r="B4699" t="s">
        <v>103</v>
      </c>
      <c r="C4699" t="s">
        <v>256</v>
      </c>
      <c r="D4699" t="s">
        <v>447</v>
      </c>
      <c r="F4699" t="s">
        <v>2901</v>
      </c>
      <c r="G4699" t="s">
        <v>4110</v>
      </c>
      <c r="H4699" t="s">
        <v>5887</v>
      </c>
      <c r="I4699" t="s">
        <v>8157</v>
      </c>
      <c r="J4699" t="s">
        <v>9065</v>
      </c>
      <c r="K4699">
        <v>10453</v>
      </c>
      <c r="L4699" t="s">
        <v>9094</v>
      </c>
      <c r="M4699" t="s">
        <v>9094</v>
      </c>
      <c r="O4699" t="s">
        <v>11134</v>
      </c>
      <c r="P4699" t="s">
        <v>11168</v>
      </c>
      <c r="R4699" t="s">
        <v>11180</v>
      </c>
      <c r="S4699" t="s">
        <v>9094</v>
      </c>
      <c r="T4699" t="s">
        <v>11183</v>
      </c>
      <c r="V4699" t="s">
        <v>512</v>
      </c>
      <c r="W4699">
        <v>950</v>
      </c>
      <c r="X4699" t="s">
        <v>11333</v>
      </c>
      <c r="Y4699" t="s">
        <v>11339</v>
      </c>
      <c r="Z4699" t="s">
        <v>12483</v>
      </c>
      <c r="AB4699" t="s">
        <v>18727</v>
      </c>
      <c r="AC4699">
        <v>0</v>
      </c>
      <c r="AD4699" t="s">
        <v>19566</v>
      </c>
      <c r="AE4699" t="s">
        <v>9144</v>
      </c>
      <c r="AF4699">
        <v>5</v>
      </c>
      <c r="AG4699">
        <v>2</v>
      </c>
      <c r="AH4699">
        <v>0</v>
      </c>
      <c r="AI4699">
        <v>184.51</v>
      </c>
      <c r="AL4699" t="s">
        <v>19615</v>
      </c>
      <c r="AM4699">
        <v>31200</v>
      </c>
      <c r="AS4699">
        <v>0</v>
      </c>
      <c r="AU4699" t="s">
        <v>220</v>
      </c>
    </row>
    <row r="4700" spans="1:48">
      <c r="A4700" s="1">
        <f>HYPERLINK("https://lsnyc.legalserver.org/matter/dynamic-profile/view/1905282","19-1905282")</f>
        <v>0</v>
      </c>
      <c r="B4700" t="s">
        <v>103</v>
      </c>
      <c r="C4700" t="s">
        <v>256</v>
      </c>
      <c r="D4700" t="s">
        <v>408</v>
      </c>
      <c r="F4700" t="s">
        <v>2901</v>
      </c>
      <c r="G4700" t="s">
        <v>4110</v>
      </c>
      <c r="H4700" t="s">
        <v>5887</v>
      </c>
      <c r="I4700" t="s">
        <v>8157</v>
      </c>
      <c r="J4700" t="s">
        <v>9065</v>
      </c>
      <c r="K4700">
        <v>10453</v>
      </c>
      <c r="L4700" t="s">
        <v>9094</v>
      </c>
      <c r="M4700" t="s">
        <v>9095</v>
      </c>
      <c r="N4700" t="s">
        <v>9239</v>
      </c>
      <c r="O4700" t="s">
        <v>11134</v>
      </c>
      <c r="P4700" t="s">
        <v>11168</v>
      </c>
      <c r="R4700" t="s">
        <v>11180</v>
      </c>
      <c r="S4700" t="s">
        <v>9094</v>
      </c>
      <c r="T4700" t="s">
        <v>11183</v>
      </c>
      <c r="V4700" t="s">
        <v>1061</v>
      </c>
      <c r="W4700">
        <v>950</v>
      </c>
      <c r="X4700" t="s">
        <v>11333</v>
      </c>
      <c r="Y4700" t="s">
        <v>11346</v>
      </c>
      <c r="Z4700" t="s">
        <v>12483</v>
      </c>
      <c r="AB4700" t="s">
        <v>18727</v>
      </c>
      <c r="AC4700">
        <v>170</v>
      </c>
      <c r="AD4700" t="s">
        <v>19566</v>
      </c>
      <c r="AE4700" t="s">
        <v>9144</v>
      </c>
      <c r="AF4700">
        <v>5</v>
      </c>
      <c r="AG4700">
        <v>2</v>
      </c>
      <c r="AH4700">
        <v>0</v>
      </c>
      <c r="AI4700">
        <v>184.51</v>
      </c>
      <c r="AL4700" t="s">
        <v>19615</v>
      </c>
      <c r="AM4700">
        <v>31200</v>
      </c>
      <c r="AS4700">
        <v>0</v>
      </c>
      <c r="AU4700" t="s">
        <v>20642</v>
      </c>
      <c r="AV4700" t="s">
        <v>20733</v>
      </c>
    </row>
    <row r="4701" spans="1:48">
      <c r="A4701" s="1">
        <f>HYPERLINK("https://lsnyc.legalserver.org/matter/dynamic-profile/view/1905388","19-1905388")</f>
        <v>0</v>
      </c>
      <c r="B4701" t="s">
        <v>103</v>
      </c>
      <c r="C4701" t="s">
        <v>256</v>
      </c>
      <c r="D4701" t="s">
        <v>408</v>
      </c>
      <c r="F4701" t="s">
        <v>2901</v>
      </c>
      <c r="G4701" t="s">
        <v>4110</v>
      </c>
      <c r="H4701" t="s">
        <v>5887</v>
      </c>
      <c r="I4701" t="s">
        <v>8157</v>
      </c>
      <c r="J4701" t="s">
        <v>9065</v>
      </c>
      <c r="K4701">
        <v>10453</v>
      </c>
      <c r="L4701" t="s">
        <v>9094</v>
      </c>
      <c r="M4701" t="s">
        <v>9095</v>
      </c>
      <c r="N4701" t="s">
        <v>9240</v>
      </c>
      <c r="O4701" t="s">
        <v>11134</v>
      </c>
      <c r="P4701" t="s">
        <v>11168</v>
      </c>
      <c r="R4701" t="s">
        <v>11180</v>
      </c>
      <c r="S4701" t="s">
        <v>9094</v>
      </c>
      <c r="T4701" t="s">
        <v>11183</v>
      </c>
      <c r="V4701" t="s">
        <v>422</v>
      </c>
      <c r="W4701">
        <v>950</v>
      </c>
      <c r="X4701" t="s">
        <v>11333</v>
      </c>
      <c r="Y4701" t="s">
        <v>11346</v>
      </c>
      <c r="Z4701" t="s">
        <v>12483</v>
      </c>
      <c r="AB4701" t="s">
        <v>18727</v>
      </c>
      <c r="AC4701">
        <v>170</v>
      </c>
      <c r="AD4701" t="s">
        <v>19566</v>
      </c>
      <c r="AE4701" t="s">
        <v>9144</v>
      </c>
      <c r="AF4701">
        <v>5</v>
      </c>
      <c r="AG4701">
        <v>2</v>
      </c>
      <c r="AH4701">
        <v>0</v>
      </c>
      <c r="AI4701">
        <v>184.51</v>
      </c>
      <c r="AL4701" t="s">
        <v>19615</v>
      </c>
      <c r="AM4701">
        <v>31200</v>
      </c>
      <c r="AS4701">
        <v>0</v>
      </c>
      <c r="AU4701" t="s">
        <v>20642</v>
      </c>
      <c r="AV4701" t="s">
        <v>20733</v>
      </c>
    </row>
    <row r="4702" spans="1:48">
      <c r="A4702" s="1">
        <f>HYPERLINK("https://lsnyc.legalserver.org/matter/dynamic-profile/view/1889980","19-1889980")</f>
        <v>0</v>
      </c>
      <c r="B4702" t="s">
        <v>103</v>
      </c>
      <c r="C4702" t="s">
        <v>256</v>
      </c>
      <c r="D4702" t="s">
        <v>447</v>
      </c>
      <c r="F4702" t="s">
        <v>2901</v>
      </c>
      <c r="G4702" t="s">
        <v>4110</v>
      </c>
      <c r="H4702" t="s">
        <v>5887</v>
      </c>
      <c r="I4702" t="s">
        <v>8157</v>
      </c>
      <c r="J4702" t="s">
        <v>9065</v>
      </c>
      <c r="K4702">
        <v>10453</v>
      </c>
      <c r="L4702" t="s">
        <v>9094</v>
      </c>
      <c r="M4702" t="s">
        <v>9094</v>
      </c>
      <c r="N4702" t="s">
        <v>9352</v>
      </c>
      <c r="O4702" t="s">
        <v>11130</v>
      </c>
      <c r="P4702" t="s">
        <v>11165</v>
      </c>
      <c r="R4702" t="s">
        <v>11180</v>
      </c>
      <c r="S4702" t="s">
        <v>9094</v>
      </c>
      <c r="T4702" t="s">
        <v>11183</v>
      </c>
      <c r="V4702" t="s">
        <v>512</v>
      </c>
      <c r="W4702">
        <v>950</v>
      </c>
      <c r="X4702" t="s">
        <v>11333</v>
      </c>
      <c r="Y4702" t="s">
        <v>11346</v>
      </c>
      <c r="Z4702" t="s">
        <v>12483</v>
      </c>
      <c r="AB4702" t="s">
        <v>18727</v>
      </c>
      <c r="AC4702">
        <v>0</v>
      </c>
      <c r="AD4702" t="s">
        <v>19566</v>
      </c>
      <c r="AF4702">
        <v>5</v>
      </c>
      <c r="AG4702">
        <v>2</v>
      </c>
      <c r="AH4702">
        <v>0</v>
      </c>
      <c r="AI4702">
        <v>184.51</v>
      </c>
      <c r="AL4702" t="s">
        <v>19615</v>
      </c>
      <c r="AM4702">
        <v>31200</v>
      </c>
      <c r="AS4702">
        <v>0</v>
      </c>
      <c r="AU4702" t="s">
        <v>220</v>
      </c>
    </row>
    <row r="4703" spans="1:48">
      <c r="A4703" s="1">
        <f>HYPERLINK("https://lsnyc.legalserver.org/matter/dynamic-profile/view/1910523","19-1910523")</f>
        <v>0</v>
      </c>
      <c r="B4703" t="s">
        <v>162</v>
      </c>
      <c r="C4703" t="s">
        <v>256</v>
      </c>
      <c r="D4703" t="s">
        <v>320</v>
      </c>
      <c r="F4703" t="s">
        <v>2279</v>
      </c>
      <c r="G4703" t="s">
        <v>4520</v>
      </c>
      <c r="H4703" t="s">
        <v>6178</v>
      </c>
      <c r="I4703" t="s">
        <v>8642</v>
      </c>
      <c r="J4703" t="s">
        <v>9065</v>
      </c>
      <c r="K4703">
        <v>10453</v>
      </c>
      <c r="L4703" t="s">
        <v>9094</v>
      </c>
      <c r="M4703" t="s">
        <v>9095</v>
      </c>
      <c r="N4703" t="s">
        <v>10802</v>
      </c>
      <c r="O4703" t="s">
        <v>11129</v>
      </c>
      <c r="P4703" t="s">
        <v>11165</v>
      </c>
      <c r="R4703" t="s">
        <v>11180</v>
      </c>
      <c r="S4703" t="s">
        <v>9096</v>
      </c>
      <c r="T4703" t="s">
        <v>11183</v>
      </c>
      <c r="U4703" t="s">
        <v>11201</v>
      </c>
      <c r="W4703">
        <v>1174</v>
      </c>
      <c r="X4703" t="s">
        <v>11333</v>
      </c>
      <c r="Y4703" t="s">
        <v>11340</v>
      </c>
      <c r="Z4703" t="s">
        <v>13179</v>
      </c>
      <c r="AA4703" t="s">
        <v>15731</v>
      </c>
      <c r="AB4703" t="s">
        <v>17537</v>
      </c>
      <c r="AC4703">
        <v>0</v>
      </c>
      <c r="AD4703" t="s">
        <v>19566</v>
      </c>
      <c r="AF4703">
        <v>33</v>
      </c>
      <c r="AG4703">
        <v>2</v>
      </c>
      <c r="AH4703">
        <v>0</v>
      </c>
      <c r="AI4703">
        <v>184.51</v>
      </c>
      <c r="AL4703" t="s">
        <v>19614</v>
      </c>
      <c r="AM4703">
        <v>31200</v>
      </c>
      <c r="AS4703">
        <v>18.5</v>
      </c>
      <c r="AT4703" t="s">
        <v>488</v>
      </c>
      <c r="AU4703" t="s">
        <v>163</v>
      </c>
      <c r="AV4703" t="s">
        <v>20734</v>
      </c>
    </row>
    <row r="4704" spans="1:48">
      <c r="A4704" s="1">
        <f>HYPERLINK("https://lsnyc.legalserver.org/matter/dynamic-profile/view/1911800","19-1911800")</f>
        <v>0</v>
      </c>
      <c r="B4704" t="s">
        <v>98</v>
      </c>
      <c r="C4704" t="s">
        <v>256</v>
      </c>
      <c r="D4704" t="s">
        <v>284</v>
      </c>
      <c r="F4704" t="s">
        <v>2902</v>
      </c>
      <c r="G4704" t="s">
        <v>3970</v>
      </c>
      <c r="H4704" t="s">
        <v>6216</v>
      </c>
      <c r="I4704" t="s">
        <v>8178</v>
      </c>
      <c r="J4704" t="s">
        <v>9065</v>
      </c>
      <c r="K4704">
        <v>10452</v>
      </c>
      <c r="L4704" t="s">
        <v>9094</v>
      </c>
      <c r="M4704" t="s">
        <v>9095</v>
      </c>
      <c r="N4704" t="s">
        <v>9497</v>
      </c>
      <c r="O4704" t="s">
        <v>11134</v>
      </c>
      <c r="P4704" t="s">
        <v>11168</v>
      </c>
      <c r="R4704" t="s">
        <v>11180</v>
      </c>
      <c r="S4704" t="s">
        <v>9094</v>
      </c>
      <c r="T4704" t="s">
        <v>11183</v>
      </c>
      <c r="W4704">
        <v>1303.46</v>
      </c>
      <c r="X4704" t="s">
        <v>11333</v>
      </c>
      <c r="Y4704" t="s">
        <v>11346</v>
      </c>
      <c r="Z4704" t="s">
        <v>14405</v>
      </c>
      <c r="AB4704" t="s">
        <v>18728</v>
      </c>
      <c r="AC4704">
        <v>67</v>
      </c>
      <c r="AD4704" t="s">
        <v>19566</v>
      </c>
      <c r="AE4704" t="s">
        <v>9144</v>
      </c>
      <c r="AF4704">
        <v>6</v>
      </c>
      <c r="AG4704">
        <v>1</v>
      </c>
      <c r="AH4704">
        <v>1</v>
      </c>
      <c r="AI4704">
        <v>184.51</v>
      </c>
      <c r="AL4704" t="s">
        <v>19614</v>
      </c>
      <c r="AM4704">
        <v>31200</v>
      </c>
      <c r="AS4704">
        <v>34.25</v>
      </c>
      <c r="AT4704" t="s">
        <v>496</v>
      </c>
      <c r="AU4704" t="s">
        <v>20647</v>
      </c>
      <c r="AV4704" t="s">
        <v>20733</v>
      </c>
    </row>
    <row r="4705" spans="1:48">
      <c r="A4705" s="1">
        <f>HYPERLINK("https://lsnyc.legalserver.org/matter/dynamic-profile/view/1903102","19-1903102")</f>
        <v>0</v>
      </c>
      <c r="B4705" t="s">
        <v>126</v>
      </c>
      <c r="C4705" t="s">
        <v>256</v>
      </c>
      <c r="D4705" t="s">
        <v>312</v>
      </c>
      <c r="F4705" t="s">
        <v>2506</v>
      </c>
      <c r="G4705" t="s">
        <v>5171</v>
      </c>
      <c r="H4705" t="s">
        <v>6271</v>
      </c>
      <c r="I4705" t="s">
        <v>8878</v>
      </c>
      <c r="J4705" t="s">
        <v>9066</v>
      </c>
      <c r="K4705">
        <v>10301</v>
      </c>
      <c r="L4705" t="s">
        <v>9095</v>
      </c>
      <c r="M4705" t="s">
        <v>9095</v>
      </c>
      <c r="N4705" t="s">
        <v>10803</v>
      </c>
      <c r="O4705" t="s">
        <v>11129</v>
      </c>
      <c r="R4705" t="s">
        <v>11180</v>
      </c>
      <c r="S4705" t="s">
        <v>9096</v>
      </c>
      <c r="T4705" t="s">
        <v>11183</v>
      </c>
      <c r="U4705" t="s">
        <v>11201</v>
      </c>
      <c r="V4705" t="s">
        <v>750</v>
      </c>
      <c r="W4705">
        <v>961</v>
      </c>
      <c r="X4705" t="s">
        <v>11334</v>
      </c>
      <c r="Y4705" t="s">
        <v>11345</v>
      </c>
      <c r="Z4705" t="s">
        <v>14406</v>
      </c>
      <c r="AB4705" t="s">
        <v>18729</v>
      </c>
      <c r="AC4705">
        <v>454</v>
      </c>
      <c r="AD4705" t="s">
        <v>19567</v>
      </c>
      <c r="AE4705" t="s">
        <v>19580</v>
      </c>
      <c r="AF4705">
        <v>20</v>
      </c>
      <c r="AG4705">
        <v>1</v>
      </c>
      <c r="AH4705">
        <v>1</v>
      </c>
      <c r="AI4705">
        <v>184.51</v>
      </c>
      <c r="AL4705" t="s">
        <v>19614</v>
      </c>
      <c r="AM4705">
        <v>31200</v>
      </c>
      <c r="AS4705">
        <v>37.46</v>
      </c>
      <c r="AT4705" t="s">
        <v>487</v>
      </c>
      <c r="AU4705" t="s">
        <v>20653</v>
      </c>
    </row>
    <row r="4706" spans="1:48">
      <c r="A4706" s="1">
        <f>HYPERLINK("https://lsnyc.legalserver.org/matter/dynamic-profile/view/1914174","19-1914174")</f>
        <v>0</v>
      </c>
      <c r="B4706" t="s">
        <v>137</v>
      </c>
      <c r="C4706" t="s">
        <v>256</v>
      </c>
      <c r="D4706" t="s">
        <v>395</v>
      </c>
      <c r="F4706" t="s">
        <v>2424</v>
      </c>
      <c r="G4706" t="s">
        <v>5172</v>
      </c>
      <c r="H4706" t="s">
        <v>7762</v>
      </c>
      <c r="I4706" t="s">
        <v>8879</v>
      </c>
      <c r="J4706" t="s">
        <v>9067</v>
      </c>
      <c r="K4706">
        <v>10040</v>
      </c>
      <c r="L4706" t="s">
        <v>9094</v>
      </c>
      <c r="M4706" t="s">
        <v>9095</v>
      </c>
      <c r="P4706" t="s">
        <v>11169</v>
      </c>
      <c r="R4706" t="s">
        <v>11180</v>
      </c>
      <c r="S4706" t="s">
        <v>9096</v>
      </c>
      <c r="T4706" t="s">
        <v>11183</v>
      </c>
      <c r="V4706" t="s">
        <v>395</v>
      </c>
      <c r="W4706">
        <v>1231</v>
      </c>
      <c r="X4706" t="s">
        <v>11335</v>
      </c>
      <c r="Y4706" t="s">
        <v>11338</v>
      </c>
      <c r="Z4706" t="s">
        <v>14407</v>
      </c>
      <c r="AC4706">
        <v>189</v>
      </c>
      <c r="AD4706" t="s">
        <v>19566</v>
      </c>
      <c r="AE4706" t="s">
        <v>9144</v>
      </c>
      <c r="AF4706">
        <v>1</v>
      </c>
      <c r="AG4706">
        <v>2</v>
      </c>
      <c r="AH4706">
        <v>0</v>
      </c>
      <c r="AI4706">
        <v>184.51</v>
      </c>
      <c r="AM4706">
        <v>31200</v>
      </c>
      <c r="AS4706">
        <v>0.1</v>
      </c>
      <c r="AT4706" t="s">
        <v>270</v>
      </c>
      <c r="AU4706" t="s">
        <v>130</v>
      </c>
      <c r="AV4706" t="s">
        <v>20733</v>
      </c>
    </row>
    <row r="4707" spans="1:48">
      <c r="A4707" s="1">
        <f>HYPERLINK("https://lsnyc.legalserver.org/matter/dynamic-profile/view/0829098","17-0829098")</f>
        <v>0</v>
      </c>
      <c r="B4707" t="s">
        <v>229</v>
      </c>
      <c r="C4707" t="s">
        <v>256</v>
      </c>
      <c r="D4707" t="s">
        <v>966</v>
      </c>
      <c r="F4707" t="s">
        <v>1146</v>
      </c>
      <c r="G4707" t="s">
        <v>1193</v>
      </c>
      <c r="H4707" t="s">
        <v>7763</v>
      </c>
      <c r="I4707">
        <v>5</v>
      </c>
      <c r="J4707" t="s">
        <v>9059</v>
      </c>
      <c r="K4707">
        <v>11238</v>
      </c>
      <c r="L4707" t="s">
        <v>9094</v>
      </c>
      <c r="M4707" t="s">
        <v>9095</v>
      </c>
      <c r="N4707" t="s">
        <v>10804</v>
      </c>
      <c r="O4707" t="s">
        <v>11128</v>
      </c>
      <c r="P4707" t="s">
        <v>11165</v>
      </c>
      <c r="R4707" t="s">
        <v>11180</v>
      </c>
      <c r="T4707" t="s">
        <v>11183</v>
      </c>
      <c r="V4707" t="s">
        <v>966</v>
      </c>
      <c r="W4707">
        <v>900</v>
      </c>
      <c r="X4707" t="s">
        <v>11332</v>
      </c>
      <c r="Z4707" t="s">
        <v>11532</v>
      </c>
      <c r="AC4707">
        <v>10</v>
      </c>
      <c r="AD4707" t="s">
        <v>19566</v>
      </c>
      <c r="AF4707">
        <v>29</v>
      </c>
      <c r="AG4707">
        <v>2</v>
      </c>
      <c r="AH4707">
        <v>0</v>
      </c>
      <c r="AI4707">
        <v>184.73</v>
      </c>
      <c r="AJ4707" t="s">
        <v>11269</v>
      </c>
      <c r="AK4707" t="s">
        <v>19610</v>
      </c>
      <c r="AL4707" t="s">
        <v>19614</v>
      </c>
      <c r="AM4707">
        <v>30000</v>
      </c>
      <c r="AS4707">
        <v>155.05</v>
      </c>
      <c r="AT4707" t="s">
        <v>809</v>
      </c>
      <c r="AU4707" t="s">
        <v>20726</v>
      </c>
    </row>
    <row r="4708" spans="1:48">
      <c r="A4708" s="1">
        <f>HYPERLINK("https://lsnyc.legalserver.org/matter/dynamic-profile/view/1854894","17-1854894")</f>
        <v>0</v>
      </c>
      <c r="B4708" t="s">
        <v>101</v>
      </c>
      <c r="C4708" t="s">
        <v>256</v>
      </c>
      <c r="D4708" t="s">
        <v>558</v>
      </c>
      <c r="F4708" t="s">
        <v>2235</v>
      </c>
      <c r="G4708" t="s">
        <v>3586</v>
      </c>
      <c r="H4708" t="s">
        <v>6041</v>
      </c>
      <c r="I4708" t="s">
        <v>8209</v>
      </c>
      <c r="J4708" t="s">
        <v>9065</v>
      </c>
      <c r="K4708">
        <v>10452</v>
      </c>
      <c r="L4708" t="s">
        <v>9094</v>
      </c>
      <c r="M4708" t="s">
        <v>9095</v>
      </c>
      <c r="N4708" t="s">
        <v>9356</v>
      </c>
      <c r="O4708" t="s">
        <v>11135</v>
      </c>
      <c r="P4708" t="s">
        <v>11168</v>
      </c>
      <c r="R4708" t="s">
        <v>11180</v>
      </c>
      <c r="S4708" t="s">
        <v>9094</v>
      </c>
      <c r="T4708" t="s">
        <v>11183</v>
      </c>
      <c r="V4708" t="s">
        <v>1122</v>
      </c>
      <c r="W4708">
        <v>1233</v>
      </c>
      <c r="X4708" t="s">
        <v>11333</v>
      </c>
      <c r="Y4708" t="s">
        <v>11346</v>
      </c>
      <c r="Z4708" t="s">
        <v>13793</v>
      </c>
      <c r="AB4708" t="s">
        <v>18120</v>
      </c>
      <c r="AC4708">
        <v>62</v>
      </c>
      <c r="AD4708" t="s">
        <v>19566</v>
      </c>
      <c r="AE4708" t="s">
        <v>9144</v>
      </c>
      <c r="AF4708">
        <v>2</v>
      </c>
      <c r="AG4708">
        <v>2</v>
      </c>
      <c r="AH4708">
        <v>0</v>
      </c>
      <c r="AI4708">
        <v>184.73</v>
      </c>
      <c r="AL4708" t="s">
        <v>19615</v>
      </c>
      <c r="AM4708">
        <v>30000</v>
      </c>
      <c r="AS4708">
        <v>0.5</v>
      </c>
      <c r="AT4708" t="s">
        <v>873</v>
      </c>
      <c r="AU4708" t="s">
        <v>174</v>
      </c>
    </row>
    <row r="4709" spans="1:48">
      <c r="A4709" s="1">
        <f>HYPERLINK("https://lsnyc.legalserver.org/matter/dynamic-profile/view/1855272","18-1855272")</f>
        <v>0</v>
      </c>
      <c r="B4709" t="s">
        <v>101</v>
      </c>
      <c r="C4709" t="s">
        <v>256</v>
      </c>
      <c r="D4709" t="s">
        <v>654</v>
      </c>
      <c r="F4709" t="s">
        <v>2235</v>
      </c>
      <c r="G4709" t="s">
        <v>3586</v>
      </c>
      <c r="H4709" t="s">
        <v>6041</v>
      </c>
      <c r="I4709" t="s">
        <v>8209</v>
      </c>
      <c r="J4709" t="s">
        <v>9065</v>
      </c>
      <c r="K4709">
        <v>10452</v>
      </c>
      <c r="L4709" t="s">
        <v>9094</v>
      </c>
      <c r="M4709" t="s">
        <v>9095</v>
      </c>
      <c r="N4709" t="s">
        <v>9496</v>
      </c>
      <c r="O4709" t="s">
        <v>11135</v>
      </c>
      <c r="P4709" t="s">
        <v>11168</v>
      </c>
      <c r="R4709" t="s">
        <v>11180</v>
      </c>
      <c r="S4709" t="s">
        <v>9094</v>
      </c>
      <c r="T4709" t="s">
        <v>11183</v>
      </c>
      <c r="V4709" t="s">
        <v>1122</v>
      </c>
      <c r="W4709">
        <v>1233</v>
      </c>
      <c r="X4709" t="s">
        <v>11333</v>
      </c>
      <c r="Y4709" t="s">
        <v>11346</v>
      </c>
      <c r="Z4709" t="s">
        <v>13793</v>
      </c>
      <c r="AB4709" t="s">
        <v>18120</v>
      </c>
      <c r="AC4709">
        <v>62</v>
      </c>
      <c r="AD4709" t="s">
        <v>19566</v>
      </c>
      <c r="AE4709" t="s">
        <v>9144</v>
      </c>
      <c r="AF4709">
        <v>2</v>
      </c>
      <c r="AG4709">
        <v>2</v>
      </c>
      <c r="AH4709">
        <v>0</v>
      </c>
      <c r="AI4709">
        <v>184.73</v>
      </c>
      <c r="AL4709" t="s">
        <v>19615</v>
      </c>
      <c r="AM4709">
        <v>30000</v>
      </c>
      <c r="AS4709">
        <v>0</v>
      </c>
      <c r="AU4709" t="s">
        <v>20643</v>
      </c>
    </row>
    <row r="4710" spans="1:48">
      <c r="A4710" s="1">
        <f>HYPERLINK("https://lsnyc.legalserver.org/matter/dynamic-profile/view/1850609","17-1850609")</f>
        <v>0</v>
      </c>
      <c r="B4710" t="s">
        <v>122</v>
      </c>
      <c r="C4710" t="s">
        <v>256</v>
      </c>
      <c r="D4710" t="s">
        <v>937</v>
      </c>
      <c r="F4710" t="s">
        <v>1381</v>
      </c>
      <c r="G4710" t="s">
        <v>3739</v>
      </c>
      <c r="H4710" t="s">
        <v>5911</v>
      </c>
      <c r="I4710" t="s">
        <v>8880</v>
      </c>
      <c r="J4710" t="s">
        <v>9066</v>
      </c>
      <c r="K4710">
        <v>10314</v>
      </c>
      <c r="L4710" t="s">
        <v>9094</v>
      </c>
      <c r="M4710" t="s">
        <v>9095</v>
      </c>
      <c r="N4710" t="s">
        <v>10805</v>
      </c>
      <c r="O4710" t="s">
        <v>11135</v>
      </c>
      <c r="P4710" t="s">
        <v>11168</v>
      </c>
      <c r="R4710" t="s">
        <v>11180</v>
      </c>
      <c r="S4710" t="s">
        <v>9096</v>
      </c>
      <c r="T4710" t="s">
        <v>11183</v>
      </c>
      <c r="U4710" t="s">
        <v>11201</v>
      </c>
      <c r="V4710" t="s">
        <v>937</v>
      </c>
      <c r="W4710">
        <v>1120</v>
      </c>
      <c r="X4710" t="s">
        <v>11334</v>
      </c>
      <c r="Y4710" t="s">
        <v>11340</v>
      </c>
      <c r="Z4710" t="s">
        <v>14408</v>
      </c>
      <c r="AB4710" t="s">
        <v>18730</v>
      </c>
      <c r="AC4710">
        <v>96</v>
      </c>
      <c r="AD4710" t="s">
        <v>19566</v>
      </c>
      <c r="AE4710" t="s">
        <v>9144</v>
      </c>
      <c r="AF4710">
        <v>8</v>
      </c>
      <c r="AG4710">
        <v>2</v>
      </c>
      <c r="AH4710">
        <v>0</v>
      </c>
      <c r="AI4710">
        <v>184.73</v>
      </c>
      <c r="AJ4710" t="s">
        <v>19594</v>
      </c>
      <c r="AL4710" t="s">
        <v>19614</v>
      </c>
      <c r="AM4710">
        <v>38365</v>
      </c>
      <c r="AO4710" t="s">
        <v>20293</v>
      </c>
      <c r="AP4710" t="s">
        <v>20316</v>
      </c>
      <c r="AQ4710" t="s">
        <v>20369</v>
      </c>
      <c r="AR4710" t="s">
        <v>20385</v>
      </c>
      <c r="AS4710">
        <v>4.55</v>
      </c>
      <c r="AT4710" t="s">
        <v>414</v>
      </c>
      <c r="AU4710" t="s">
        <v>20651</v>
      </c>
      <c r="AV4710" t="s">
        <v>20733</v>
      </c>
    </row>
    <row r="4711" spans="1:48">
      <c r="A4711" s="1">
        <f>HYPERLINK("https://lsnyc.legalserver.org/matter/dynamic-profile/view/1898973","19-1898973")</f>
        <v>0</v>
      </c>
      <c r="B4711" t="s">
        <v>140</v>
      </c>
      <c r="C4711" t="s">
        <v>256</v>
      </c>
      <c r="D4711" t="s">
        <v>310</v>
      </c>
      <c r="F4711" t="s">
        <v>2865</v>
      </c>
      <c r="G4711" t="s">
        <v>3765</v>
      </c>
      <c r="H4711" t="s">
        <v>5999</v>
      </c>
      <c r="J4711" t="s">
        <v>9067</v>
      </c>
      <c r="K4711">
        <v>10040</v>
      </c>
      <c r="L4711" t="s">
        <v>9094</v>
      </c>
      <c r="M4711" t="s">
        <v>9095</v>
      </c>
      <c r="O4711" t="s">
        <v>11129</v>
      </c>
      <c r="P4711" t="s">
        <v>11165</v>
      </c>
      <c r="R4711" t="s">
        <v>11180</v>
      </c>
      <c r="S4711" t="s">
        <v>9094</v>
      </c>
      <c r="T4711" t="s">
        <v>11183</v>
      </c>
      <c r="V4711" t="s">
        <v>310</v>
      </c>
      <c r="W4711">
        <v>1147</v>
      </c>
      <c r="X4711" t="s">
        <v>11335</v>
      </c>
      <c r="Y4711" t="s">
        <v>11340</v>
      </c>
      <c r="Z4711" t="s">
        <v>14318</v>
      </c>
      <c r="AB4711" t="s">
        <v>18639</v>
      </c>
      <c r="AC4711">
        <v>44</v>
      </c>
      <c r="AD4711" t="s">
        <v>19566</v>
      </c>
      <c r="AE4711" t="s">
        <v>9144</v>
      </c>
      <c r="AF4711">
        <v>8</v>
      </c>
      <c r="AG4711">
        <v>3</v>
      </c>
      <c r="AH4711">
        <v>0</v>
      </c>
      <c r="AI4711">
        <v>184.87</v>
      </c>
      <c r="AL4711" t="s">
        <v>19615</v>
      </c>
      <c r="AM4711">
        <v>39432</v>
      </c>
      <c r="AS4711">
        <v>117.5</v>
      </c>
      <c r="AT4711" t="s">
        <v>632</v>
      </c>
      <c r="AU4711" t="s">
        <v>130</v>
      </c>
      <c r="AV4711" t="s">
        <v>20733</v>
      </c>
    </row>
    <row r="4712" spans="1:48">
      <c r="A4712" s="1">
        <f>HYPERLINK("https://lsnyc.legalserver.org/matter/dynamic-profile/view/1877487","18-1877487")</f>
        <v>0</v>
      </c>
      <c r="B4712" t="s">
        <v>70</v>
      </c>
      <c r="C4712" t="s">
        <v>257</v>
      </c>
      <c r="D4712" t="s">
        <v>958</v>
      </c>
      <c r="E4712" t="s">
        <v>706</v>
      </c>
      <c r="F4712" t="s">
        <v>2517</v>
      </c>
      <c r="G4712" t="s">
        <v>4246</v>
      </c>
      <c r="H4712" t="s">
        <v>7743</v>
      </c>
      <c r="I4712" t="s">
        <v>8588</v>
      </c>
      <c r="J4712" t="s">
        <v>9059</v>
      </c>
      <c r="K4712">
        <v>11239</v>
      </c>
      <c r="L4712" t="s">
        <v>9094</v>
      </c>
      <c r="M4712" t="s">
        <v>9094</v>
      </c>
      <c r="N4712" t="s">
        <v>10806</v>
      </c>
      <c r="O4712" t="s">
        <v>11129</v>
      </c>
      <c r="P4712" t="s">
        <v>11165</v>
      </c>
      <c r="Q4712" t="s">
        <v>11178</v>
      </c>
      <c r="R4712" t="s">
        <v>11180</v>
      </c>
      <c r="S4712" t="s">
        <v>9096</v>
      </c>
      <c r="T4712" t="s">
        <v>11183</v>
      </c>
      <c r="V4712" t="s">
        <v>500</v>
      </c>
      <c r="W4712">
        <v>2300</v>
      </c>
      <c r="X4712" t="s">
        <v>11332</v>
      </c>
      <c r="Y4712" t="s">
        <v>11340</v>
      </c>
      <c r="Z4712" t="s">
        <v>14374</v>
      </c>
      <c r="AB4712" t="s">
        <v>18694</v>
      </c>
      <c r="AC4712">
        <v>1463</v>
      </c>
      <c r="AD4712" t="s">
        <v>19567</v>
      </c>
      <c r="AE4712" t="s">
        <v>19580</v>
      </c>
      <c r="AF4712">
        <v>3</v>
      </c>
      <c r="AG4712">
        <v>1</v>
      </c>
      <c r="AH4712">
        <v>2</v>
      </c>
      <c r="AI4712">
        <v>185.27</v>
      </c>
      <c r="AL4712" t="s">
        <v>19614</v>
      </c>
      <c r="AM4712">
        <v>38500</v>
      </c>
      <c r="AN4712" t="s">
        <v>19665</v>
      </c>
      <c r="AQ4712" t="s">
        <v>20369</v>
      </c>
      <c r="AR4712" t="s">
        <v>20382</v>
      </c>
      <c r="AS4712">
        <v>6.5</v>
      </c>
      <c r="AT4712" t="s">
        <v>373</v>
      </c>
      <c r="AU4712" t="s">
        <v>95</v>
      </c>
      <c r="AV4712" t="s">
        <v>20733</v>
      </c>
    </row>
    <row r="4713" spans="1:48">
      <c r="A4713" s="1">
        <f>HYPERLINK("https://lsnyc.legalserver.org/matter/dynamic-profile/view/1902014","19-1902014")</f>
        <v>0</v>
      </c>
      <c r="B4713" t="s">
        <v>132</v>
      </c>
      <c r="C4713" t="s">
        <v>256</v>
      </c>
      <c r="D4713" t="s">
        <v>319</v>
      </c>
      <c r="F4713" t="s">
        <v>1440</v>
      </c>
      <c r="G4713" t="s">
        <v>3513</v>
      </c>
      <c r="H4713" t="s">
        <v>7764</v>
      </c>
      <c r="I4713" t="s">
        <v>8169</v>
      </c>
      <c r="J4713" t="s">
        <v>9067</v>
      </c>
      <c r="K4713">
        <v>10040</v>
      </c>
      <c r="L4713" t="s">
        <v>9094</v>
      </c>
      <c r="M4713" t="s">
        <v>9095</v>
      </c>
      <c r="O4713" t="s">
        <v>11129</v>
      </c>
      <c r="P4713" t="s">
        <v>11167</v>
      </c>
      <c r="R4713" t="s">
        <v>11180</v>
      </c>
      <c r="S4713" t="s">
        <v>9096</v>
      </c>
      <c r="T4713" t="s">
        <v>11183</v>
      </c>
      <c r="V4713" t="s">
        <v>319</v>
      </c>
      <c r="W4713">
        <v>1164</v>
      </c>
      <c r="X4713" t="s">
        <v>11335</v>
      </c>
      <c r="Y4713" t="s">
        <v>11338</v>
      </c>
      <c r="Z4713" t="s">
        <v>13132</v>
      </c>
      <c r="AB4713" t="s">
        <v>18731</v>
      </c>
      <c r="AC4713">
        <v>48</v>
      </c>
      <c r="AD4713" t="s">
        <v>19566</v>
      </c>
      <c r="AE4713" t="s">
        <v>19581</v>
      </c>
      <c r="AF4713">
        <v>24</v>
      </c>
      <c r="AG4713">
        <v>2</v>
      </c>
      <c r="AH4713">
        <v>1</v>
      </c>
      <c r="AI4713">
        <v>185.28</v>
      </c>
      <c r="AL4713" t="s">
        <v>19615</v>
      </c>
      <c r="AM4713">
        <v>39520</v>
      </c>
      <c r="AS4713">
        <v>28.6</v>
      </c>
      <c r="AT4713" t="s">
        <v>703</v>
      </c>
      <c r="AU4713" t="s">
        <v>130</v>
      </c>
      <c r="AV4713" t="s">
        <v>20733</v>
      </c>
    </row>
    <row r="4714" spans="1:48">
      <c r="A4714" s="1">
        <f>HYPERLINK("https://lsnyc.legalserver.org/matter/dynamic-profile/view/1877180","18-1877180")</f>
        <v>0</v>
      </c>
      <c r="B4714" t="s">
        <v>248</v>
      </c>
      <c r="C4714" t="s">
        <v>257</v>
      </c>
      <c r="D4714" t="s">
        <v>304</v>
      </c>
      <c r="E4714" t="s">
        <v>367</v>
      </c>
      <c r="F4714" t="s">
        <v>2903</v>
      </c>
      <c r="G4714" t="s">
        <v>5173</v>
      </c>
      <c r="H4714" t="s">
        <v>7765</v>
      </c>
      <c r="I4714">
        <v>1</v>
      </c>
      <c r="J4714" t="s">
        <v>9059</v>
      </c>
      <c r="K4714">
        <v>11203</v>
      </c>
      <c r="L4714" t="s">
        <v>9094</v>
      </c>
      <c r="M4714" t="s">
        <v>9095</v>
      </c>
      <c r="N4714" t="s">
        <v>10807</v>
      </c>
      <c r="O4714" t="s">
        <v>11129</v>
      </c>
      <c r="P4714" t="s">
        <v>11165</v>
      </c>
      <c r="Q4714" t="s">
        <v>11174</v>
      </c>
      <c r="R4714" t="s">
        <v>11180</v>
      </c>
      <c r="T4714" t="s">
        <v>11183</v>
      </c>
      <c r="V4714" t="s">
        <v>440</v>
      </c>
      <c r="W4714">
        <v>2400</v>
      </c>
      <c r="X4714" t="s">
        <v>11332</v>
      </c>
      <c r="Y4714" t="s">
        <v>11336</v>
      </c>
      <c r="Z4714" t="s">
        <v>14409</v>
      </c>
      <c r="AB4714" t="s">
        <v>18732</v>
      </c>
      <c r="AC4714">
        <v>15</v>
      </c>
      <c r="AE4714" t="s">
        <v>9144</v>
      </c>
      <c r="AF4714">
        <v>-2</v>
      </c>
      <c r="AG4714">
        <v>1</v>
      </c>
      <c r="AH4714">
        <v>0</v>
      </c>
      <c r="AI4714">
        <v>185.34</v>
      </c>
      <c r="AL4714" t="s">
        <v>19614</v>
      </c>
      <c r="AM4714">
        <v>22500</v>
      </c>
      <c r="AO4714" t="s">
        <v>20293</v>
      </c>
      <c r="AQ4714" t="s">
        <v>20368</v>
      </c>
      <c r="AR4714" t="s">
        <v>20552</v>
      </c>
      <c r="AS4714">
        <v>52.01</v>
      </c>
      <c r="AT4714" t="s">
        <v>663</v>
      </c>
      <c r="AU4714" t="s">
        <v>20625</v>
      </c>
      <c r="AV4714" t="s">
        <v>20733</v>
      </c>
    </row>
    <row r="4715" spans="1:48">
      <c r="A4715" s="1">
        <f>HYPERLINK("https://lsnyc.legalserver.org/matter/dynamic-profile/view/1891717","19-1891717")</f>
        <v>0</v>
      </c>
      <c r="B4715" t="s">
        <v>70</v>
      </c>
      <c r="C4715" t="s">
        <v>256</v>
      </c>
      <c r="D4715" t="s">
        <v>788</v>
      </c>
      <c r="F4715" t="s">
        <v>1687</v>
      </c>
      <c r="G4715" t="s">
        <v>3380</v>
      </c>
      <c r="H4715" t="s">
        <v>5748</v>
      </c>
      <c r="I4715" t="s">
        <v>8568</v>
      </c>
      <c r="J4715" t="s">
        <v>9059</v>
      </c>
      <c r="K4715">
        <v>11233</v>
      </c>
      <c r="L4715" t="s">
        <v>9094</v>
      </c>
      <c r="M4715" t="s">
        <v>9094</v>
      </c>
      <c r="N4715" t="s">
        <v>9171</v>
      </c>
      <c r="O4715" t="s">
        <v>11137</v>
      </c>
      <c r="P4715" t="s">
        <v>11167</v>
      </c>
      <c r="R4715" t="s">
        <v>11180</v>
      </c>
      <c r="S4715" t="s">
        <v>9094</v>
      </c>
      <c r="T4715" t="s">
        <v>11183</v>
      </c>
      <c r="U4715" t="s">
        <v>11201</v>
      </c>
      <c r="V4715" t="s">
        <v>749</v>
      </c>
      <c r="W4715">
        <v>1076.55</v>
      </c>
      <c r="X4715" t="s">
        <v>11332</v>
      </c>
      <c r="Z4715" t="s">
        <v>14410</v>
      </c>
      <c r="AB4715" t="s">
        <v>18733</v>
      </c>
      <c r="AC4715">
        <v>359</v>
      </c>
      <c r="AD4715" t="s">
        <v>19566</v>
      </c>
      <c r="AE4715" t="s">
        <v>19587</v>
      </c>
      <c r="AF4715">
        <v>21</v>
      </c>
      <c r="AG4715">
        <v>1</v>
      </c>
      <c r="AH4715">
        <v>0</v>
      </c>
      <c r="AI4715">
        <v>185.37</v>
      </c>
      <c r="AL4715" t="s">
        <v>19614</v>
      </c>
      <c r="AM4715">
        <v>23152.8</v>
      </c>
      <c r="AN4715" t="s">
        <v>20043</v>
      </c>
      <c r="AS4715">
        <v>0</v>
      </c>
      <c r="AU4715" t="s">
        <v>95</v>
      </c>
    </row>
    <row r="4716" spans="1:48">
      <c r="A4716" s="1">
        <f>HYPERLINK("https://lsnyc.legalserver.org/matter/dynamic-profile/view/0830688","17-0830688")</f>
        <v>0</v>
      </c>
      <c r="B4716" t="s">
        <v>86</v>
      </c>
      <c r="C4716" t="s">
        <v>257</v>
      </c>
      <c r="D4716" t="s">
        <v>692</v>
      </c>
      <c r="E4716" t="s">
        <v>282</v>
      </c>
      <c r="F4716" t="s">
        <v>1197</v>
      </c>
      <c r="G4716" t="s">
        <v>3909</v>
      </c>
      <c r="H4716" t="s">
        <v>6329</v>
      </c>
      <c r="I4716" t="s">
        <v>8117</v>
      </c>
      <c r="J4716" t="s">
        <v>9059</v>
      </c>
      <c r="K4716">
        <v>11209</v>
      </c>
      <c r="L4716" t="s">
        <v>9094</v>
      </c>
      <c r="M4716" t="s">
        <v>9095</v>
      </c>
      <c r="N4716" t="s">
        <v>9596</v>
      </c>
      <c r="O4716" t="s">
        <v>11128</v>
      </c>
      <c r="P4716" t="s">
        <v>11165</v>
      </c>
      <c r="Q4716" t="s">
        <v>11174</v>
      </c>
      <c r="R4716" t="s">
        <v>11180</v>
      </c>
      <c r="S4716" t="s">
        <v>9096</v>
      </c>
      <c r="T4716" t="s">
        <v>11183</v>
      </c>
      <c r="V4716" t="s">
        <v>1003</v>
      </c>
      <c r="W4716">
        <v>980</v>
      </c>
      <c r="X4716" t="s">
        <v>11332</v>
      </c>
      <c r="Y4716" t="s">
        <v>11342</v>
      </c>
      <c r="Z4716" t="s">
        <v>12116</v>
      </c>
      <c r="AB4716" t="s">
        <v>16554</v>
      </c>
      <c r="AC4716">
        <v>99</v>
      </c>
      <c r="AD4716" t="s">
        <v>19566</v>
      </c>
      <c r="AE4716" t="s">
        <v>9144</v>
      </c>
      <c r="AF4716">
        <v>47</v>
      </c>
      <c r="AG4716">
        <v>1</v>
      </c>
      <c r="AH4716">
        <v>0</v>
      </c>
      <c r="AI4716">
        <v>185.41</v>
      </c>
      <c r="AJ4716" t="s">
        <v>11269</v>
      </c>
      <c r="AK4716" t="s">
        <v>19609</v>
      </c>
      <c r="AL4716" t="s">
        <v>19614</v>
      </c>
      <c r="AM4716">
        <v>22360</v>
      </c>
      <c r="AS4716">
        <v>127.85</v>
      </c>
      <c r="AT4716" t="s">
        <v>282</v>
      </c>
      <c r="AU4716" t="s">
        <v>20627</v>
      </c>
    </row>
    <row r="4717" spans="1:48">
      <c r="A4717" s="1">
        <f>HYPERLINK("https://lsnyc.legalserver.org/matter/dynamic-profile/view/1888217","19-1888217")</f>
        <v>0</v>
      </c>
      <c r="B4717" t="s">
        <v>70</v>
      </c>
      <c r="C4717" t="s">
        <v>256</v>
      </c>
      <c r="D4717" t="s">
        <v>510</v>
      </c>
      <c r="F4717" t="s">
        <v>1721</v>
      </c>
      <c r="G4717" t="s">
        <v>4115</v>
      </c>
      <c r="H4717" t="s">
        <v>6223</v>
      </c>
      <c r="I4717" t="s">
        <v>8128</v>
      </c>
      <c r="J4717" t="s">
        <v>9059</v>
      </c>
      <c r="K4717">
        <v>11215</v>
      </c>
      <c r="L4717" t="s">
        <v>9094</v>
      </c>
      <c r="M4717" t="s">
        <v>9096</v>
      </c>
      <c r="N4717" t="s">
        <v>9509</v>
      </c>
      <c r="O4717" t="s">
        <v>11130</v>
      </c>
      <c r="P4717" t="s">
        <v>11165</v>
      </c>
      <c r="R4717" t="s">
        <v>11180</v>
      </c>
      <c r="S4717" t="s">
        <v>9094</v>
      </c>
      <c r="T4717" t="s">
        <v>11183</v>
      </c>
      <c r="U4717" t="s">
        <v>11201</v>
      </c>
      <c r="V4717" t="s">
        <v>604</v>
      </c>
      <c r="W4717">
        <v>149</v>
      </c>
      <c r="X4717" t="s">
        <v>11332</v>
      </c>
      <c r="Y4717" t="s">
        <v>11340</v>
      </c>
      <c r="Z4717" t="s">
        <v>12472</v>
      </c>
      <c r="AA4717" t="s">
        <v>9171</v>
      </c>
      <c r="AC4717">
        <v>7</v>
      </c>
      <c r="AD4717" t="s">
        <v>19569</v>
      </c>
      <c r="AE4717" t="s">
        <v>9144</v>
      </c>
      <c r="AF4717">
        <v>42</v>
      </c>
      <c r="AG4717">
        <v>2</v>
      </c>
      <c r="AH4717">
        <v>0</v>
      </c>
      <c r="AI4717">
        <v>185.57</v>
      </c>
      <c r="AL4717" t="s">
        <v>19614</v>
      </c>
      <c r="AM4717">
        <v>31380</v>
      </c>
      <c r="AS4717">
        <v>0</v>
      </c>
      <c r="AU4717" t="s">
        <v>95</v>
      </c>
      <c r="AV4717" t="s">
        <v>20733</v>
      </c>
    </row>
    <row r="4718" spans="1:48">
      <c r="A4718" s="1">
        <f>HYPERLINK("https://lsnyc.legalserver.org/matter/dynamic-profile/view/0827330","17-0827330")</f>
        <v>0</v>
      </c>
      <c r="B4718" t="s">
        <v>141</v>
      </c>
      <c r="C4718" t="s">
        <v>256</v>
      </c>
      <c r="D4718" t="s">
        <v>911</v>
      </c>
      <c r="F4718" t="s">
        <v>2636</v>
      </c>
      <c r="G4718" t="s">
        <v>3419</v>
      </c>
      <c r="H4718" t="s">
        <v>6382</v>
      </c>
      <c r="I4718" t="s">
        <v>8225</v>
      </c>
      <c r="J4718" t="s">
        <v>9067</v>
      </c>
      <c r="K4718">
        <v>10034</v>
      </c>
      <c r="L4718" t="s">
        <v>9094</v>
      </c>
      <c r="M4718" t="s">
        <v>9095</v>
      </c>
      <c r="N4718" t="s">
        <v>10110</v>
      </c>
      <c r="O4718" t="s">
        <v>11130</v>
      </c>
      <c r="P4718" t="s">
        <v>11165</v>
      </c>
      <c r="R4718" t="s">
        <v>11180</v>
      </c>
      <c r="S4718" t="s">
        <v>9094</v>
      </c>
      <c r="T4718" t="s">
        <v>11183</v>
      </c>
      <c r="V4718" t="s">
        <v>11272</v>
      </c>
      <c r="W4718">
        <v>1695</v>
      </c>
      <c r="X4718" t="s">
        <v>11335</v>
      </c>
      <c r="Y4718" t="s">
        <v>11346</v>
      </c>
      <c r="Z4718" t="s">
        <v>14411</v>
      </c>
      <c r="AC4718">
        <v>44</v>
      </c>
      <c r="AD4718" t="s">
        <v>19566</v>
      </c>
      <c r="AE4718" t="s">
        <v>9144</v>
      </c>
      <c r="AF4718">
        <v>5</v>
      </c>
      <c r="AG4718">
        <v>1</v>
      </c>
      <c r="AH4718">
        <v>0</v>
      </c>
      <c r="AI4718">
        <v>185.57</v>
      </c>
      <c r="AL4718" t="s">
        <v>19615</v>
      </c>
      <c r="AM4718">
        <v>22380</v>
      </c>
      <c r="AS4718">
        <v>29.8</v>
      </c>
      <c r="AT4718" t="s">
        <v>596</v>
      </c>
      <c r="AU4718" t="s">
        <v>141</v>
      </c>
    </row>
    <row r="4719" spans="1:48">
      <c r="A4719" s="1">
        <f>HYPERLINK("https://lsnyc.legalserver.org/matter/dynamic-profile/view/1878187","18-1878187")</f>
        <v>0</v>
      </c>
      <c r="B4719" t="s">
        <v>52</v>
      </c>
      <c r="C4719" t="s">
        <v>256</v>
      </c>
      <c r="D4719" t="s">
        <v>671</v>
      </c>
      <c r="F4719" t="s">
        <v>2904</v>
      </c>
      <c r="G4719" t="s">
        <v>5174</v>
      </c>
      <c r="H4719" t="s">
        <v>7766</v>
      </c>
      <c r="I4719" t="s">
        <v>8153</v>
      </c>
      <c r="J4719" t="s">
        <v>9038</v>
      </c>
      <c r="K4719">
        <v>11691</v>
      </c>
      <c r="L4719" t="s">
        <v>9094</v>
      </c>
      <c r="M4719" t="s">
        <v>9094</v>
      </c>
      <c r="N4719" t="s">
        <v>10808</v>
      </c>
      <c r="O4719" t="s">
        <v>11129</v>
      </c>
      <c r="P4719" t="s">
        <v>11169</v>
      </c>
      <c r="R4719" t="s">
        <v>11180</v>
      </c>
      <c r="S4719" t="s">
        <v>9096</v>
      </c>
      <c r="T4719" t="s">
        <v>11183</v>
      </c>
      <c r="U4719" t="s">
        <v>11200</v>
      </c>
      <c r="V4719" t="s">
        <v>671</v>
      </c>
      <c r="W4719">
        <v>733</v>
      </c>
      <c r="X4719" t="s">
        <v>11331</v>
      </c>
      <c r="Y4719" t="s">
        <v>11336</v>
      </c>
      <c r="Z4719" t="s">
        <v>14412</v>
      </c>
      <c r="AA4719" t="s">
        <v>15882</v>
      </c>
      <c r="AB4719" t="s">
        <v>18734</v>
      </c>
      <c r="AC4719">
        <v>140</v>
      </c>
      <c r="AD4719" t="s">
        <v>19567</v>
      </c>
      <c r="AE4719" t="s">
        <v>19580</v>
      </c>
      <c r="AF4719">
        <v>8</v>
      </c>
      <c r="AG4719">
        <v>1</v>
      </c>
      <c r="AH4719">
        <v>1</v>
      </c>
      <c r="AI4719">
        <v>185.95</v>
      </c>
      <c r="AL4719" t="s">
        <v>19614</v>
      </c>
      <c r="AM4719">
        <v>30608</v>
      </c>
      <c r="AS4719">
        <v>0.8</v>
      </c>
      <c r="AT4719" t="s">
        <v>509</v>
      </c>
      <c r="AU4719" t="s">
        <v>20620</v>
      </c>
    </row>
    <row r="4720" spans="1:48">
      <c r="A4720" s="1">
        <f>HYPERLINK("https://lsnyc.legalserver.org/matter/dynamic-profile/view/1903983","19-1903983")</f>
        <v>0</v>
      </c>
      <c r="B4720" t="s">
        <v>151</v>
      </c>
      <c r="C4720" t="s">
        <v>256</v>
      </c>
      <c r="D4720" t="s">
        <v>663</v>
      </c>
      <c r="F4720" t="s">
        <v>2905</v>
      </c>
      <c r="G4720" t="s">
        <v>5175</v>
      </c>
      <c r="H4720" t="s">
        <v>5805</v>
      </c>
      <c r="I4720" t="s">
        <v>8197</v>
      </c>
      <c r="J4720" t="s">
        <v>9059</v>
      </c>
      <c r="K4720">
        <v>11213</v>
      </c>
      <c r="L4720" t="s">
        <v>9094</v>
      </c>
      <c r="M4720" t="s">
        <v>9095</v>
      </c>
      <c r="N4720" t="s">
        <v>9184</v>
      </c>
      <c r="O4720" t="s">
        <v>11137</v>
      </c>
      <c r="P4720" t="s">
        <v>11167</v>
      </c>
      <c r="R4720" t="s">
        <v>11180</v>
      </c>
      <c r="S4720" t="s">
        <v>9094</v>
      </c>
      <c r="T4720" t="s">
        <v>11186</v>
      </c>
      <c r="U4720" t="s">
        <v>11201</v>
      </c>
      <c r="V4720" t="s">
        <v>635</v>
      </c>
      <c r="W4720">
        <v>1507.16</v>
      </c>
      <c r="X4720" t="s">
        <v>11332</v>
      </c>
      <c r="Y4720" t="s">
        <v>11348</v>
      </c>
      <c r="Z4720" t="s">
        <v>12445</v>
      </c>
      <c r="AA4720" t="s">
        <v>15287</v>
      </c>
      <c r="AB4720" t="s">
        <v>18735</v>
      </c>
      <c r="AC4720">
        <v>19</v>
      </c>
      <c r="AD4720" t="s">
        <v>19566</v>
      </c>
      <c r="AE4720" t="s">
        <v>19580</v>
      </c>
      <c r="AF4720">
        <v>22</v>
      </c>
      <c r="AG4720">
        <v>4</v>
      </c>
      <c r="AH4720">
        <v>0</v>
      </c>
      <c r="AI4720">
        <v>186.06</v>
      </c>
      <c r="AL4720" t="s">
        <v>19614</v>
      </c>
      <c r="AM4720">
        <v>47909.8</v>
      </c>
      <c r="AS4720">
        <v>0</v>
      </c>
      <c r="AU4720" t="s">
        <v>95</v>
      </c>
      <c r="AV4720" t="s">
        <v>20733</v>
      </c>
    </row>
    <row r="4721" spans="1:48">
      <c r="A4721" s="1">
        <f>HYPERLINK("https://lsnyc.legalserver.org/matter/dynamic-profile/view/1900641","19-1900641")</f>
        <v>0</v>
      </c>
      <c r="B4721" t="s">
        <v>151</v>
      </c>
      <c r="C4721" t="s">
        <v>256</v>
      </c>
      <c r="D4721" t="s">
        <v>283</v>
      </c>
      <c r="F4721" t="s">
        <v>2905</v>
      </c>
      <c r="G4721" t="s">
        <v>5175</v>
      </c>
      <c r="H4721" t="s">
        <v>5805</v>
      </c>
      <c r="I4721" t="s">
        <v>8197</v>
      </c>
      <c r="J4721" t="s">
        <v>9059</v>
      </c>
      <c r="K4721">
        <v>11213</v>
      </c>
      <c r="L4721" t="s">
        <v>9094</v>
      </c>
      <c r="M4721" t="s">
        <v>9095</v>
      </c>
      <c r="N4721" t="s">
        <v>9669</v>
      </c>
      <c r="O4721" t="s">
        <v>11129</v>
      </c>
      <c r="P4721" t="s">
        <v>11165</v>
      </c>
      <c r="R4721" t="s">
        <v>11180</v>
      </c>
      <c r="S4721" t="s">
        <v>9094</v>
      </c>
      <c r="T4721" t="s">
        <v>11183</v>
      </c>
      <c r="U4721" t="s">
        <v>11201</v>
      </c>
      <c r="V4721" t="s">
        <v>614</v>
      </c>
      <c r="W4721">
        <v>1507.16</v>
      </c>
      <c r="X4721" t="s">
        <v>11332</v>
      </c>
      <c r="Y4721" t="s">
        <v>11348</v>
      </c>
      <c r="Z4721" t="s">
        <v>12445</v>
      </c>
      <c r="AA4721" t="s">
        <v>15487</v>
      </c>
      <c r="AB4721" t="s">
        <v>18735</v>
      </c>
      <c r="AC4721">
        <v>19</v>
      </c>
      <c r="AD4721" t="s">
        <v>19566</v>
      </c>
      <c r="AE4721" t="s">
        <v>19580</v>
      </c>
      <c r="AF4721">
        <v>22</v>
      </c>
      <c r="AG4721">
        <v>4</v>
      </c>
      <c r="AH4721">
        <v>0</v>
      </c>
      <c r="AI4721">
        <v>186.06</v>
      </c>
      <c r="AL4721" t="s">
        <v>19614</v>
      </c>
      <c r="AM4721">
        <v>47909.8</v>
      </c>
      <c r="AN4721" t="s">
        <v>20044</v>
      </c>
      <c r="AS4721">
        <v>5.75</v>
      </c>
      <c r="AT4721" t="s">
        <v>328</v>
      </c>
      <c r="AU4721" t="s">
        <v>95</v>
      </c>
      <c r="AV4721" t="s">
        <v>9144</v>
      </c>
    </row>
    <row r="4722" spans="1:48">
      <c r="A4722" s="1">
        <f>HYPERLINK("https://lsnyc.legalserver.org/matter/dynamic-profile/view/1895303","19-1895303")</f>
        <v>0</v>
      </c>
      <c r="B4722" t="s">
        <v>102</v>
      </c>
      <c r="C4722" t="s">
        <v>256</v>
      </c>
      <c r="D4722" t="s">
        <v>264</v>
      </c>
      <c r="F4722" t="s">
        <v>2905</v>
      </c>
      <c r="G4722" t="s">
        <v>5175</v>
      </c>
      <c r="H4722" t="s">
        <v>5805</v>
      </c>
      <c r="I4722" t="s">
        <v>8197</v>
      </c>
      <c r="J4722" t="s">
        <v>9059</v>
      </c>
      <c r="K4722">
        <v>11213</v>
      </c>
      <c r="L4722" t="s">
        <v>9094</v>
      </c>
      <c r="M4722" t="s">
        <v>9094</v>
      </c>
      <c r="N4722" t="s">
        <v>9182</v>
      </c>
      <c r="O4722" t="s">
        <v>11141</v>
      </c>
      <c r="P4722" t="s">
        <v>11170</v>
      </c>
      <c r="R4722" t="s">
        <v>11180</v>
      </c>
      <c r="S4722" t="s">
        <v>9094</v>
      </c>
      <c r="T4722" t="s">
        <v>11185</v>
      </c>
      <c r="U4722" t="s">
        <v>11201</v>
      </c>
      <c r="V4722" t="s">
        <v>264</v>
      </c>
      <c r="W4722">
        <v>1507.16</v>
      </c>
      <c r="X4722" t="s">
        <v>11332</v>
      </c>
      <c r="Y4722" t="s">
        <v>11348</v>
      </c>
      <c r="Z4722" t="s">
        <v>12445</v>
      </c>
      <c r="AB4722" t="s">
        <v>18735</v>
      </c>
      <c r="AC4722">
        <v>19</v>
      </c>
      <c r="AD4722" t="s">
        <v>19566</v>
      </c>
      <c r="AE4722" t="s">
        <v>19580</v>
      </c>
      <c r="AF4722">
        <v>22</v>
      </c>
      <c r="AG4722">
        <v>4</v>
      </c>
      <c r="AH4722">
        <v>0</v>
      </c>
      <c r="AI4722">
        <v>186.06</v>
      </c>
      <c r="AL4722" t="s">
        <v>19614</v>
      </c>
      <c r="AM4722">
        <v>47909.8</v>
      </c>
      <c r="AS4722">
        <v>105.3</v>
      </c>
      <c r="AT4722" t="s">
        <v>395</v>
      </c>
      <c r="AU4722" t="s">
        <v>79</v>
      </c>
    </row>
    <row r="4723" spans="1:48">
      <c r="A4723" s="1">
        <f>HYPERLINK("https://lsnyc.legalserver.org/matter/dynamic-profile/view/1858802","18-1858802")</f>
        <v>0</v>
      </c>
      <c r="B4723" t="s">
        <v>183</v>
      </c>
      <c r="C4723" t="s">
        <v>257</v>
      </c>
      <c r="D4723" t="s">
        <v>1078</v>
      </c>
      <c r="E4723" t="s">
        <v>615</v>
      </c>
      <c r="F4723" t="s">
        <v>2906</v>
      </c>
      <c r="G4723" t="s">
        <v>5176</v>
      </c>
      <c r="H4723" t="s">
        <v>7767</v>
      </c>
      <c r="I4723" t="s">
        <v>8124</v>
      </c>
      <c r="J4723" t="s">
        <v>9065</v>
      </c>
      <c r="K4723">
        <v>10456</v>
      </c>
      <c r="L4723" t="s">
        <v>9094</v>
      </c>
      <c r="M4723" t="s">
        <v>9095</v>
      </c>
      <c r="N4723" t="s">
        <v>10809</v>
      </c>
      <c r="O4723" t="s">
        <v>11141</v>
      </c>
      <c r="P4723" t="s">
        <v>11165</v>
      </c>
      <c r="Q4723" t="s">
        <v>11175</v>
      </c>
      <c r="R4723" t="s">
        <v>11180</v>
      </c>
      <c r="T4723" t="s">
        <v>11193</v>
      </c>
      <c r="V4723" t="s">
        <v>11306</v>
      </c>
      <c r="W4723">
        <v>0</v>
      </c>
      <c r="X4723" t="s">
        <v>11335</v>
      </c>
      <c r="Z4723" t="s">
        <v>14413</v>
      </c>
      <c r="AB4723" t="s">
        <v>18736</v>
      </c>
      <c r="AC4723">
        <v>0</v>
      </c>
      <c r="AF4723">
        <v>0</v>
      </c>
      <c r="AG4723">
        <v>2</v>
      </c>
      <c r="AH4723">
        <v>1</v>
      </c>
      <c r="AI4723">
        <v>186.09</v>
      </c>
      <c r="AL4723" t="s">
        <v>19620</v>
      </c>
      <c r="AM4723">
        <v>38000</v>
      </c>
      <c r="AQ4723" t="s">
        <v>20369</v>
      </c>
      <c r="AR4723" t="s">
        <v>20553</v>
      </c>
      <c r="AS4723">
        <v>49</v>
      </c>
      <c r="AT4723" t="s">
        <v>403</v>
      </c>
      <c r="AU4723" t="s">
        <v>20658</v>
      </c>
      <c r="AV4723" t="s">
        <v>20733</v>
      </c>
    </row>
    <row r="4724" spans="1:48">
      <c r="A4724" s="1">
        <f>HYPERLINK("https://lsnyc.legalserver.org/matter/dynamic-profile/view/1907313","19-1907313")</f>
        <v>0</v>
      </c>
      <c r="B4724" t="s">
        <v>55</v>
      </c>
      <c r="C4724" t="s">
        <v>256</v>
      </c>
      <c r="D4724" t="s">
        <v>415</v>
      </c>
      <c r="F4724" t="s">
        <v>2907</v>
      </c>
      <c r="G4724" t="s">
        <v>5177</v>
      </c>
      <c r="H4724" t="s">
        <v>7768</v>
      </c>
      <c r="I4724" t="s">
        <v>8170</v>
      </c>
      <c r="J4724" t="s">
        <v>9061</v>
      </c>
      <c r="K4724">
        <v>11105</v>
      </c>
      <c r="L4724" t="s">
        <v>9094</v>
      </c>
      <c r="M4724" t="s">
        <v>9095</v>
      </c>
      <c r="N4724" t="s">
        <v>10810</v>
      </c>
      <c r="O4724" t="s">
        <v>11129</v>
      </c>
      <c r="P4724" t="s">
        <v>11165</v>
      </c>
      <c r="R4724" t="s">
        <v>11180</v>
      </c>
      <c r="S4724" t="s">
        <v>9096</v>
      </c>
      <c r="T4724" t="s">
        <v>11183</v>
      </c>
      <c r="U4724" t="s">
        <v>11200</v>
      </c>
      <c r="V4724" t="s">
        <v>612</v>
      </c>
      <c r="W4724">
        <v>2135</v>
      </c>
      <c r="X4724" t="s">
        <v>11331</v>
      </c>
      <c r="Y4724" t="s">
        <v>11336</v>
      </c>
      <c r="Z4724" t="s">
        <v>14414</v>
      </c>
      <c r="AB4724" t="s">
        <v>18737</v>
      </c>
      <c r="AC4724">
        <v>9</v>
      </c>
      <c r="AD4724" t="s">
        <v>19566</v>
      </c>
      <c r="AE4724" t="s">
        <v>9144</v>
      </c>
      <c r="AF4724">
        <v>2</v>
      </c>
      <c r="AG4724">
        <v>2</v>
      </c>
      <c r="AH4724">
        <v>2</v>
      </c>
      <c r="AI4724">
        <v>186.41</v>
      </c>
      <c r="AL4724" t="s">
        <v>19618</v>
      </c>
      <c r="AM4724">
        <v>48000</v>
      </c>
      <c r="AS4724">
        <v>8.800000000000001</v>
      </c>
      <c r="AT4724" t="s">
        <v>321</v>
      </c>
      <c r="AU4724" t="s">
        <v>20619</v>
      </c>
      <c r="AV4724" t="s">
        <v>20733</v>
      </c>
    </row>
    <row r="4725" spans="1:48">
      <c r="A4725" s="1">
        <f>HYPERLINK("https://lsnyc.legalserver.org/matter/dynamic-profile/view/1884294","18-1884294")</f>
        <v>0</v>
      </c>
      <c r="B4725" t="s">
        <v>119</v>
      </c>
      <c r="C4725" t="s">
        <v>257</v>
      </c>
      <c r="D4725" t="s">
        <v>343</v>
      </c>
      <c r="E4725" t="s">
        <v>612</v>
      </c>
      <c r="F4725" t="s">
        <v>1148</v>
      </c>
      <c r="G4725" t="s">
        <v>4076</v>
      </c>
      <c r="H4725" t="s">
        <v>7002</v>
      </c>
      <c r="I4725" t="s">
        <v>8881</v>
      </c>
      <c r="J4725" t="s">
        <v>9065</v>
      </c>
      <c r="K4725">
        <v>10452</v>
      </c>
      <c r="L4725" t="s">
        <v>9094</v>
      </c>
      <c r="M4725" t="s">
        <v>9095</v>
      </c>
      <c r="O4725" t="s">
        <v>11129</v>
      </c>
      <c r="P4725" t="s">
        <v>11165</v>
      </c>
      <c r="Q4725" t="s">
        <v>11174</v>
      </c>
      <c r="R4725" t="s">
        <v>11180</v>
      </c>
      <c r="S4725" t="s">
        <v>9096</v>
      </c>
      <c r="T4725" t="s">
        <v>11183</v>
      </c>
      <c r="V4725" t="s">
        <v>11218</v>
      </c>
      <c r="W4725">
        <v>1031</v>
      </c>
      <c r="X4725" t="s">
        <v>11333</v>
      </c>
      <c r="Y4725" t="s">
        <v>11345</v>
      </c>
      <c r="Z4725" t="s">
        <v>14415</v>
      </c>
      <c r="AB4725" t="s">
        <v>18738</v>
      </c>
      <c r="AC4725">
        <v>49</v>
      </c>
      <c r="AD4725" t="s">
        <v>19566</v>
      </c>
      <c r="AE4725" t="s">
        <v>9144</v>
      </c>
      <c r="AF4725">
        <v>5</v>
      </c>
      <c r="AG4725">
        <v>2</v>
      </c>
      <c r="AH4725">
        <v>2</v>
      </c>
      <c r="AI4725">
        <v>186.45</v>
      </c>
      <c r="AL4725" t="s">
        <v>19614</v>
      </c>
      <c r="AM4725">
        <v>46800</v>
      </c>
      <c r="AS4725">
        <v>49.6</v>
      </c>
      <c r="AT4725" t="s">
        <v>276</v>
      </c>
      <c r="AU4725" t="s">
        <v>163</v>
      </c>
      <c r="AV4725" t="s">
        <v>20733</v>
      </c>
    </row>
    <row r="4726" spans="1:48">
      <c r="A4726" s="1">
        <f>HYPERLINK("https://lsnyc.legalserver.org/matter/dynamic-profile/view/1887469","19-1887469")</f>
        <v>0</v>
      </c>
      <c r="B4726" t="s">
        <v>124</v>
      </c>
      <c r="C4726" t="s">
        <v>256</v>
      </c>
      <c r="D4726" t="s">
        <v>604</v>
      </c>
      <c r="F4726" t="s">
        <v>2399</v>
      </c>
      <c r="G4726" t="s">
        <v>5178</v>
      </c>
      <c r="H4726" t="s">
        <v>7769</v>
      </c>
      <c r="I4726" t="s">
        <v>8334</v>
      </c>
      <c r="J4726" t="s">
        <v>9066</v>
      </c>
      <c r="K4726">
        <v>10304</v>
      </c>
      <c r="L4726" t="s">
        <v>9094</v>
      </c>
      <c r="M4726" t="s">
        <v>9094</v>
      </c>
      <c r="N4726" t="s">
        <v>10811</v>
      </c>
      <c r="O4726" t="s">
        <v>11129</v>
      </c>
      <c r="P4726" t="s">
        <v>11167</v>
      </c>
      <c r="R4726" t="s">
        <v>11180</v>
      </c>
      <c r="S4726" t="s">
        <v>9096</v>
      </c>
      <c r="T4726" t="s">
        <v>11183</v>
      </c>
      <c r="U4726" t="s">
        <v>11201</v>
      </c>
      <c r="V4726" t="s">
        <v>267</v>
      </c>
      <c r="W4726">
        <v>1540</v>
      </c>
      <c r="X4726" t="s">
        <v>11334</v>
      </c>
      <c r="Y4726" t="s">
        <v>11345</v>
      </c>
      <c r="Z4726" t="s">
        <v>14416</v>
      </c>
      <c r="AC4726">
        <v>3</v>
      </c>
      <c r="AD4726" t="s">
        <v>19565</v>
      </c>
      <c r="AE4726" t="s">
        <v>9144</v>
      </c>
      <c r="AF4726">
        <v>-1</v>
      </c>
      <c r="AG4726">
        <v>2</v>
      </c>
      <c r="AH4726">
        <v>2</v>
      </c>
      <c r="AI4726">
        <v>186.45</v>
      </c>
      <c r="AL4726" t="s">
        <v>19615</v>
      </c>
      <c r="AM4726">
        <v>46800</v>
      </c>
      <c r="AR4726" t="s">
        <v>20554</v>
      </c>
      <c r="AS4726">
        <v>1.5</v>
      </c>
      <c r="AT4726" t="s">
        <v>267</v>
      </c>
      <c r="AU4726" t="s">
        <v>20631</v>
      </c>
      <c r="AV4726" t="s">
        <v>20733</v>
      </c>
    </row>
    <row r="4727" spans="1:48">
      <c r="A4727" s="1">
        <f>HYPERLINK("https://lsnyc.legalserver.org/matter/dynamic-profile/view/0816161","16-0816161")</f>
        <v>0</v>
      </c>
      <c r="B4727" t="s">
        <v>203</v>
      </c>
      <c r="C4727" t="s">
        <v>256</v>
      </c>
      <c r="D4727" t="s">
        <v>1079</v>
      </c>
      <c r="F4727" t="s">
        <v>2908</v>
      </c>
      <c r="G4727" t="s">
        <v>4017</v>
      </c>
      <c r="H4727" t="s">
        <v>7770</v>
      </c>
      <c r="I4727" t="s">
        <v>8266</v>
      </c>
      <c r="J4727" t="s">
        <v>9059</v>
      </c>
      <c r="K4727">
        <v>11238</v>
      </c>
      <c r="L4727" t="s">
        <v>9094</v>
      </c>
      <c r="M4727" t="s">
        <v>9095</v>
      </c>
      <c r="N4727" t="s">
        <v>10812</v>
      </c>
      <c r="O4727" t="s">
        <v>11129</v>
      </c>
      <c r="P4727" t="s">
        <v>11165</v>
      </c>
      <c r="R4727" t="s">
        <v>11180</v>
      </c>
      <c r="T4727" t="s">
        <v>11183</v>
      </c>
      <c r="V4727" t="s">
        <v>856</v>
      </c>
      <c r="W4727">
        <v>887.83</v>
      </c>
      <c r="X4727" t="s">
        <v>11332</v>
      </c>
      <c r="Y4727" t="s">
        <v>11347</v>
      </c>
      <c r="Z4727" t="s">
        <v>14417</v>
      </c>
      <c r="AB4727" t="s">
        <v>18739</v>
      </c>
      <c r="AC4727">
        <v>24</v>
      </c>
      <c r="AD4727" t="s">
        <v>19566</v>
      </c>
      <c r="AF4727">
        <v>14</v>
      </c>
      <c r="AG4727">
        <v>1</v>
      </c>
      <c r="AH4727">
        <v>1</v>
      </c>
      <c r="AI4727">
        <v>186.64</v>
      </c>
      <c r="AL4727" t="s">
        <v>19614</v>
      </c>
      <c r="AM4727">
        <v>29900</v>
      </c>
      <c r="AN4727" t="s">
        <v>20045</v>
      </c>
      <c r="AS4727">
        <v>148.6</v>
      </c>
      <c r="AT4727" t="s">
        <v>396</v>
      </c>
      <c r="AU4727" t="s">
        <v>203</v>
      </c>
    </row>
    <row r="4728" spans="1:48">
      <c r="A4728" s="1">
        <f>HYPERLINK("https://lsnyc.legalserver.org/matter/dynamic-profile/view/1876715","18-1876715")</f>
        <v>0</v>
      </c>
      <c r="B4728" t="s">
        <v>119</v>
      </c>
      <c r="C4728" t="s">
        <v>256</v>
      </c>
      <c r="D4728" t="s">
        <v>593</v>
      </c>
      <c r="F4728" t="s">
        <v>1913</v>
      </c>
      <c r="G4728" t="s">
        <v>3720</v>
      </c>
      <c r="H4728" t="s">
        <v>6095</v>
      </c>
      <c r="I4728" t="s">
        <v>8149</v>
      </c>
      <c r="J4728" t="s">
        <v>9065</v>
      </c>
      <c r="K4728">
        <v>10456</v>
      </c>
      <c r="L4728" t="s">
        <v>9094</v>
      </c>
      <c r="M4728" t="s">
        <v>9094</v>
      </c>
      <c r="N4728" t="s">
        <v>9419</v>
      </c>
      <c r="O4728" t="s">
        <v>11134</v>
      </c>
      <c r="P4728" t="s">
        <v>11166</v>
      </c>
      <c r="R4728" t="s">
        <v>11180</v>
      </c>
      <c r="S4728" t="s">
        <v>9094</v>
      </c>
      <c r="T4728" t="s">
        <v>11183</v>
      </c>
      <c r="V4728" t="s">
        <v>593</v>
      </c>
      <c r="W4728">
        <v>1047</v>
      </c>
      <c r="X4728" t="s">
        <v>11333</v>
      </c>
      <c r="Y4728" t="s">
        <v>11346</v>
      </c>
      <c r="Z4728" t="s">
        <v>12421</v>
      </c>
      <c r="AB4728" t="s">
        <v>16829</v>
      </c>
      <c r="AC4728">
        <v>131</v>
      </c>
      <c r="AD4728" t="s">
        <v>19566</v>
      </c>
      <c r="AE4728" t="s">
        <v>9144</v>
      </c>
      <c r="AF4728">
        <v>13</v>
      </c>
      <c r="AG4728">
        <v>2</v>
      </c>
      <c r="AH4728">
        <v>0</v>
      </c>
      <c r="AI4728">
        <v>186.72</v>
      </c>
      <c r="AL4728" t="s">
        <v>19615</v>
      </c>
      <c r="AM4728">
        <v>30734.8</v>
      </c>
      <c r="AS4728">
        <v>0</v>
      </c>
      <c r="AU4728" t="s">
        <v>163</v>
      </c>
    </row>
    <row r="4729" spans="1:48">
      <c r="A4729" s="1">
        <f>HYPERLINK("https://lsnyc.legalserver.org/matter/dynamic-profile/view/1876718","18-1876718")</f>
        <v>0</v>
      </c>
      <c r="B4729" t="s">
        <v>119</v>
      </c>
      <c r="C4729" t="s">
        <v>256</v>
      </c>
      <c r="D4729" t="s">
        <v>593</v>
      </c>
      <c r="F4729" t="s">
        <v>1913</v>
      </c>
      <c r="G4729" t="s">
        <v>3720</v>
      </c>
      <c r="H4729" t="s">
        <v>6095</v>
      </c>
      <c r="I4729" t="s">
        <v>8149</v>
      </c>
      <c r="J4729" t="s">
        <v>9065</v>
      </c>
      <c r="K4729">
        <v>10456</v>
      </c>
      <c r="L4729" t="s">
        <v>9094</v>
      </c>
      <c r="M4729" t="s">
        <v>9094</v>
      </c>
      <c r="N4729" t="s">
        <v>9403</v>
      </c>
      <c r="O4729" t="s">
        <v>11130</v>
      </c>
      <c r="P4729" t="s">
        <v>11165</v>
      </c>
      <c r="R4729" t="s">
        <v>11180</v>
      </c>
      <c r="S4729" t="s">
        <v>9094</v>
      </c>
      <c r="T4729" t="s">
        <v>11183</v>
      </c>
      <c r="V4729" t="s">
        <v>593</v>
      </c>
      <c r="W4729">
        <v>1047</v>
      </c>
      <c r="X4729" t="s">
        <v>11333</v>
      </c>
      <c r="Y4729" t="s">
        <v>11346</v>
      </c>
      <c r="Z4729" t="s">
        <v>12421</v>
      </c>
      <c r="AB4729" t="s">
        <v>16829</v>
      </c>
      <c r="AC4729">
        <v>131</v>
      </c>
      <c r="AD4729" t="s">
        <v>19566</v>
      </c>
      <c r="AE4729" t="s">
        <v>9144</v>
      </c>
      <c r="AF4729">
        <v>13</v>
      </c>
      <c r="AG4729">
        <v>2</v>
      </c>
      <c r="AH4729">
        <v>0</v>
      </c>
      <c r="AI4729">
        <v>186.72</v>
      </c>
      <c r="AL4729" t="s">
        <v>19615</v>
      </c>
      <c r="AM4729">
        <v>30734.8</v>
      </c>
      <c r="AS4729">
        <v>0</v>
      </c>
      <c r="AU4729" t="s">
        <v>163</v>
      </c>
    </row>
    <row r="4730" spans="1:48">
      <c r="A4730" s="1">
        <f>HYPERLINK("https://lsnyc.legalserver.org/matter/dynamic-profile/view/0826348","17-0826348")</f>
        <v>0</v>
      </c>
      <c r="B4730" t="s">
        <v>139</v>
      </c>
      <c r="C4730" t="s">
        <v>256</v>
      </c>
      <c r="D4730" t="s">
        <v>926</v>
      </c>
      <c r="F4730" t="s">
        <v>1274</v>
      </c>
      <c r="G4730" t="s">
        <v>5179</v>
      </c>
      <c r="H4730" t="s">
        <v>6363</v>
      </c>
      <c r="I4730" t="s">
        <v>8262</v>
      </c>
      <c r="J4730" t="s">
        <v>9067</v>
      </c>
      <c r="K4730">
        <v>10040</v>
      </c>
      <c r="L4730" t="s">
        <v>9094</v>
      </c>
      <c r="M4730" t="s">
        <v>9095</v>
      </c>
      <c r="N4730" t="s">
        <v>10813</v>
      </c>
      <c r="O4730" t="s">
        <v>11130</v>
      </c>
      <c r="P4730" t="s">
        <v>11165</v>
      </c>
      <c r="R4730" t="s">
        <v>11180</v>
      </c>
      <c r="S4730" t="s">
        <v>9094</v>
      </c>
      <c r="T4730" t="s">
        <v>11183</v>
      </c>
      <c r="V4730" t="s">
        <v>11298</v>
      </c>
      <c r="W4730">
        <v>1169.86</v>
      </c>
      <c r="X4730" t="s">
        <v>11335</v>
      </c>
      <c r="Y4730" t="s">
        <v>11339</v>
      </c>
      <c r="Z4730" t="s">
        <v>14418</v>
      </c>
      <c r="AC4730">
        <v>83</v>
      </c>
      <c r="AD4730" t="s">
        <v>19566</v>
      </c>
      <c r="AE4730" t="s">
        <v>9144</v>
      </c>
      <c r="AF4730">
        <v>5</v>
      </c>
      <c r="AG4730">
        <v>2</v>
      </c>
      <c r="AH4730">
        <v>2</v>
      </c>
      <c r="AI4730">
        <v>186.83</v>
      </c>
      <c r="AJ4730" t="s">
        <v>463</v>
      </c>
      <c r="AL4730" t="s">
        <v>19614</v>
      </c>
      <c r="AM4730">
        <v>45400</v>
      </c>
      <c r="AS4730">
        <v>0</v>
      </c>
      <c r="AT4730" t="s">
        <v>537</v>
      </c>
      <c r="AU4730" t="s">
        <v>20657</v>
      </c>
    </row>
    <row r="4731" spans="1:48">
      <c r="A4731" s="1">
        <f>HYPERLINK("https://lsnyc.legalserver.org/matter/dynamic-profile/view/1906984","19-1906984")</f>
        <v>0</v>
      </c>
      <c r="B4731" t="s">
        <v>99</v>
      </c>
      <c r="C4731" t="s">
        <v>257</v>
      </c>
      <c r="D4731" t="s">
        <v>370</v>
      </c>
      <c r="E4731" t="s">
        <v>779</v>
      </c>
      <c r="F4731" t="s">
        <v>1147</v>
      </c>
      <c r="G4731" t="s">
        <v>2341</v>
      </c>
      <c r="H4731" t="s">
        <v>7771</v>
      </c>
      <c r="I4731" t="s">
        <v>8398</v>
      </c>
      <c r="J4731" t="s">
        <v>9065</v>
      </c>
      <c r="K4731">
        <v>10475</v>
      </c>
      <c r="L4731" t="s">
        <v>9094</v>
      </c>
      <c r="M4731" t="s">
        <v>9095</v>
      </c>
      <c r="O4731" t="s">
        <v>11133</v>
      </c>
      <c r="P4731" t="s">
        <v>11167</v>
      </c>
      <c r="Q4731" t="s">
        <v>11173</v>
      </c>
      <c r="R4731" t="s">
        <v>11180</v>
      </c>
      <c r="S4731" t="s">
        <v>9096</v>
      </c>
      <c r="T4731" t="s">
        <v>11183</v>
      </c>
      <c r="V4731" t="s">
        <v>396</v>
      </c>
      <c r="W4731">
        <v>801.79</v>
      </c>
      <c r="X4731" t="s">
        <v>11333</v>
      </c>
      <c r="Y4731" t="s">
        <v>11346</v>
      </c>
      <c r="Z4731" t="s">
        <v>14419</v>
      </c>
      <c r="AB4731" t="s">
        <v>18740</v>
      </c>
      <c r="AC4731">
        <v>10914</v>
      </c>
      <c r="AD4731" t="s">
        <v>19568</v>
      </c>
      <c r="AE4731" t="s">
        <v>9144</v>
      </c>
      <c r="AF4731">
        <v>5</v>
      </c>
      <c r="AG4731">
        <v>1</v>
      </c>
      <c r="AH4731">
        <v>0</v>
      </c>
      <c r="AI4731">
        <v>186.87</v>
      </c>
      <c r="AL4731" t="s">
        <v>19614</v>
      </c>
      <c r="AM4731">
        <v>23340</v>
      </c>
      <c r="AS4731">
        <v>1.4</v>
      </c>
      <c r="AT4731" t="s">
        <v>779</v>
      </c>
      <c r="AU4731" t="s">
        <v>99</v>
      </c>
      <c r="AV4731" t="s">
        <v>20733</v>
      </c>
    </row>
    <row r="4732" spans="1:48">
      <c r="A4732" s="1">
        <f>HYPERLINK("https://lsnyc.legalserver.org/matter/dynamic-profile/view/1901133","19-1901133")</f>
        <v>0</v>
      </c>
      <c r="B4732" t="s">
        <v>49</v>
      </c>
      <c r="C4732" t="s">
        <v>256</v>
      </c>
      <c r="D4732" t="s">
        <v>394</v>
      </c>
      <c r="F4732" t="s">
        <v>2517</v>
      </c>
      <c r="G4732" t="s">
        <v>4115</v>
      </c>
      <c r="H4732" t="s">
        <v>7772</v>
      </c>
      <c r="I4732">
        <v>3</v>
      </c>
      <c r="J4732" t="s">
        <v>9076</v>
      </c>
      <c r="K4732">
        <v>11418</v>
      </c>
      <c r="L4732" t="s">
        <v>9094</v>
      </c>
      <c r="M4732" t="s">
        <v>9095</v>
      </c>
      <c r="N4732" t="s">
        <v>10814</v>
      </c>
      <c r="O4732" t="s">
        <v>11129</v>
      </c>
      <c r="P4732" t="s">
        <v>11165</v>
      </c>
      <c r="R4732" t="s">
        <v>11180</v>
      </c>
      <c r="S4732" t="s">
        <v>9096</v>
      </c>
      <c r="T4732" t="s">
        <v>11183</v>
      </c>
      <c r="U4732" t="s">
        <v>11201</v>
      </c>
      <c r="V4732" t="s">
        <v>298</v>
      </c>
      <c r="W4732">
        <v>1500</v>
      </c>
      <c r="X4732" t="s">
        <v>11331</v>
      </c>
      <c r="Y4732" t="s">
        <v>11336</v>
      </c>
      <c r="Z4732" t="s">
        <v>14420</v>
      </c>
      <c r="AB4732" t="s">
        <v>18741</v>
      </c>
      <c r="AC4732">
        <v>2</v>
      </c>
      <c r="AD4732" t="s">
        <v>19565</v>
      </c>
      <c r="AE4732" t="s">
        <v>9144</v>
      </c>
      <c r="AF4732">
        <v>6</v>
      </c>
      <c r="AG4732">
        <v>1</v>
      </c>
      <c r="AH4732">
        <v>2</v>
      </c>
      <c r="AI4732">
        <v>187.23</v>
      </c>
      <c r="AL4732" t="s">
        <v>19614</v>
      </c>
      <c r="AM4732">
        <v>39936</v>
      </c>
      <c r="AS4732">
        <v>40.9</v>
      </c>
      <c r="AT4732" t="s">
        <v>1135</v>
      </c>
      <c r="AU4732" t="s">
        <v>20619</v>
      </c>
      <c r="AV4732" t="s">
        <v>20733</v>
      </c>
    </row>
    <row r="4733" spans="1:48">
      <c r="A4733" s="1">
        <f>HYPERLINK("https://lsnyc.legalserver.org/matter/dynamic-profile/view/1870522","18-1870522")</f>
        <v>0</v>
      </c>
      <c r="B4733" t="s">
        <v>193</v>
      </c>
      <c r="C4733" t="s">
        <v>256</v>
      </c>
      <c r="D4733" t="s">
        <v>400</v>
      </c>
      <c r="F4733" t="s">
        <v>2909</v>
      </c>
      <c r="G4733" t="s">
        <v>3498</v>
      </c>
      <c r="H4733" t="s">
        <v>6510</v>
      </c>
      <c r="I4733" t="s">
        <v>8688</v>
      </c>
      <c r="J4733" t="s">
        <v>9078</v>
      </c>
      <c r="K4733">
        <v>11372</v>
      </c>
      <c r="L4733" t="s">
        <v>9094</v>
      </c>
      <c r="M4733" t="s">
        <v>9095</v>
      </c>
      <c r="N4733" t="s">
        <v>9171</v>
      </c>
      <c r="O4733" t="s">
        <v>11136</v>
      </c>
      <c r="P4733" t="s">
        <v>11166</v>
      </c>
      <c r="R4733" t="s">
        <v>11180</v>
      </c>
      <c r="S4733" t="s">
        <v>9094</v>
      </c>
      <c r="T4733" t="s">
        <v>11183</v>
      </c>
      <c r="V4733" t="s">
        <v>400</v>
      </c>
      <c r="W4733">
        <v>2000</v>
      </c>
      <c r="X4733" t="s">
        <v>11331</v>
      </c>
      <c r="Y4733" t="s">
        <v>11336</v>
      </c>
      <c r="Z4733" t="s">
        <v>14421</v>
      </c>
      <c r="AA4733" t="s">
        <v>9171</v>
      </c>
      <c r="AB4733" t="s">
        <v>18742</v>
      </c>
      <c r="AC4733">
        <v>64</v>
      </c>
      <c r="AD4733" t="s">
        <v>15441</v>
      </c>
      <c r="AE4733" t="s">
        <v>9144</v>
      </c>
      <c r="AF4733">
        <v>9</v>
      </c>
      <c r="AG4733">
        <v>2</v>
      </c>
      <c r="AH4733">
        <v>2</v>
      </c>
      <c r="AI4733">
        <v>187.25</v>
      </c>
      <c r="AL4733" t="s">
        <v>19615</v>
      </c>
      <c r="AM4733">
        <v>47000</v>
      </c>
      <c r="AS4733">
        <v>0</v>
      </c>
      <c r="AU4733" t="s">
        <v>20620</v>
      </c>
    </row>
    <row r="4734" spans="1:48">
      <c r="A4734" s="1">
        <f>HYPERLINK("https://lsnyc.legalserver.org/matter/dynamic-profile/view/1862673","18-1862673")</f>
        <v>0</v>
      </c>
      <c r="B4734" t="s">
        <v>101</v>
      </c>
      <c r="C4734" t="s">
        <v>257</v>
      </c>
      <c r="D4734" t="s">
        <v>1080</v>
      </c>
      <c r="E4734" t="s">
        <v>551</v>
      </c>
      <c r="F4734" t="s">
        <v>1314</v>
      </c>
      <c r="G4734" t="s">
        <v>4143</v>
      </c>
      <c r="H4734" t="s">
        <v>5902</v>
      </c>
      <c r="I4734" t="s">
        <v>8264</v>
      </c>
      <c r="J4734" t="s">
        <v>9065</v>
      </c>
      <c r="K4734">
        <v>10452</v>
      </c>
      <c r="L4734" t="s">
        <v>9094</v>
      </c>
      <c r="M4734" t="s">
        <v>9095</v>
      </c>
      <c r="N4734" t="s">
        <v>9537</v>
      </c>
      <c r="O4734" t="s">
        <v>11130</v>
      </c>
      <c r="P4734" t="s">
        <v>11165</v>
      </c>
      <c r="Q4734" t="s">
        <v>11174</v>
      </c>
      <c r="R4734" t="s">
        <v>11180</v>
      </c>
      <c r="S4734" t="s">
        <v>9094</v>
      </c>
      <c r="T4734" t="s">
        <v>11183</v>
      </c>
      <c r="V4734" t="s">
        <v>874</v>
      </c>
      <c r="W4734">
        <v>1119.35</v>
      </c>
      <c r="X4734" t="s">
        <v>11333</v>
      </c>
      <c r="Y4734" t="s">
        <v>11346</v>
      </c>
      <c r="Z4734" t="s">
        <v>14422</v>
      </c>
      <c r="AB4734" t="s">
        <v>18743</v>
      </c>
      <c r="AC4734">
        <v>60</v>
      </c>
      <c r="AD4734" t="s">
        <v>19566</v>
      </c>
      <c r="AE4734" t="s">
        <v>9144</v>
      </c>
      <c r="AF4734">
        <v>4</v>
      </c>
      <c r="AG4734">
        <v>4</v>
      </c>
      <c r="AH4734">
        <v>0</v>
      </c>
      <c r="AI4734">
        <v>187.25</v>
      </c>
      <c r="AL4734" t="s">
        <v>19615</v>
      </c>
      <c r="AM4734">
        <v>47000</v>
      </c>
      <c r="AS4734">
        <v>0.4</v>
      </c>
      <c r="AT4734" t="s">
        <v>551</v>
      </c>
      <c r="AU4734" t="s">
        <v>20647</v>
      </c>
    </row>
    <row r="4735" spans="1:48">
      <c r="A4735" s="1">
        <f>HYPERLINK("https://lsnyc.legalserver.org/matter/dynamic-profile/view/1868768","18-1868768")</f>
        <v>0</v>
      </c>
      <c r="B4735" t="s">
        <v>101</v>
      </c>
      <c r="C4735" t="s">
        <v>257</v>
      </c>
      <c r="D4735" t="s">
        <v>678</v>
      </c>
      <c r="E4735" t="s">
        <v>415</v>
      </c>
      <c r="F4735" t="s">
        <v>1314</v>
      </c>
      <c r="G4735" t="s">
        <v>4143</v>
      </c>
      <c r="H4735" t="s">
        <v>5902</v>
      </c>
      <c r="I4735" t="s">
        <v>8264</v>
      </c>
      <c r="J4735" t="s">
        <v>9065</v>
      </c>
      <c r="K4735">
        <v>10452</v>
      </c>
      <c r="L4735" t="s">
        <v>9094</v>
      </c>
      <c r="M4735" t="s">
        <v>9095</v>
      </c>
      <c r="O4735" t="s">
        <v>9121</v>
      </c>
      <c r="P4735" t="s">
        <v>11166</v>
      </c>
      <c r="Q4735" t="s">
        <v>11178</v>
      </c>
      <c r="R4735" t="s">
        <v>11180</v>
      </c>
      <c r="S4735" t="s">
        <v>9094</v>
      </c>
      <c r="T4735" t="s">
        <v>11183</v>
      </c>
      <c r="V4735" t="s">
        <v>675</v>
      </c>
      <c r="W4735">
        <v>1119.35</v>
      </c>
      <c r="X4735" t="s">
        <v>11333</v>
      </c>
      <c r="Y4735" t="s">
        <v>11347</v>
      </c>
      <c r="Z4735" t="s">
        <v>14422</v>
      </c>
      <c r="AB4735" t="s">
        <v>18743</v>
      </c>
      <c r="AC4735">
        <v>60</v>
      </c>
      <c r="AD4735" t="s">
        <v>19566</v>
      </c>
      <c r="AE4735" t="s">
        <v>9144</v>
      </c>
      <c r="AF4735">
        <v>4</v>
      </c>
      <c r="AG4735">
        <v>4</v>
      </c>
      <c r="AH4735">
        <v>0</v>
      </c>
      <c r="AI4735">
        <v>187.25</v>
      </c>
      <c r="AL4735" t="s">
        <v>19615</v>
      </c>
      <c r="AM4735">
        <v>47000</v>
      </c>
      <c r="AS4735">
        <v>0.3</v>
      </c>
      <c r="AT4735" t="s">
        <v>415</v>
      </c>
      <c r="AU4735" t="s">
        <v>20647</v>
      </c>
    </row>
    <row r="4736" spans="1:48">
      <c r="A4736" s="1">
        <f>HYPERLINK("https://lsnyc.legalserver.org/matter/dynamic-profile/view/1886688","18-1886688")</f>
        <v>0</v>
      </c>
      <c r="B4736" t="s">
        <v>72</v>
      </c>
      <c r="C4736" t="s">
        <v>257</v>
      </c>
      <c r="D4736" t="s">
        <v>753</v>
      </c>
      <c r="E4736" t="s">
        <v>457</v>
      </c>
      <c r="F4736" t="s">
        <v>2224</v>
      </c>
      <c r="G4736" t="s">
        <v>3497</v>
      </c>
      <c r="H4736" t="s">
        <v>7773</v>
      </c>
      <c r="I4736" t="s">
        <v>8267</v>
      </c>
      <c r="J4736" t="s">
        <v>9059</v>
      </c>
      <c r="K4736">
        <v>11239</v>
      </c>
      <c r="L4736" t="s">
        <v>9094</v>
      </c>
      <c r="M4736" t="s">
        <v>9096</v>
      </c>
      <c r="N4736" t="s">
        <v>10815</v>
      </c>
      <c r="O4736" t="s">
        <v>11129</v>
      </c>
      <c r="P4736" t="s">
        <v>11164</v>
      </c>
      <c r="Q4736" t="s">
        <v>11172</v>
      </c>
      <c r="R4736" t="s">
        <v>11180</v>
      </c>
      <c r="S4736" t="s">
        <v>9096</v>
      </c>
      <c r="T4736" t="s">
        <v>11183</v>
      </c>
      <c r="V4736" t="s">
        <v>344</v>
      </c>
      <c r="W4736">
        <v>1525</v>
      </c>
      <c r="X4736" t="s">
        <v>11332</v>
      </c>
      <c r="Y4736" t="s">
        <v>11352</v>
      </c>
      <c r="Z4736" t="s">
        <v>14423</v>
      </c>
      <c r="AB4736" t="s">
        <v>18744</v>
      </c>
      <c r="AC4736">
        <v>88</v>
      </c>
      <c r="AD4736" t="s">
        <v>19566</v>
      </c>
      <c r="AE4736" t="s">
        <v>9144</v>
      </c>
      <c r="AF4736">
        <v>4</v>
      </c>
      <c r="AG4736">
        <v>1</v>
      </c>
      <c r="AH4736">
        <v>0</v>
      </c>
      <c r="AI4736">
        <v>187.31</v>
      </c>
      <c r="AL4736" t="s">
        <v>19614</v>
      </c>
      <c r="AM4736">
        <v>22740</v>
      </c>
      <c r="AS4736">
        <v>2.5</v>
      </c>
      <c r="AT4736" t="s">
        <v>344</v>
      </c>
      <c r="AU4736" t="s">
        <v>20640</v>
      </c>
      <c r="AV4736" t="s">
        <v>20733</v>
      </c>
    </row>
    <row r="4737" spans="1:48">
      <c r="A4737" s="1">
        <f>HYPERLINK("https://lsnyc.legalserver.org/matter/dynamic-profile/view/1906449","19-1906449")</f>
        <v>0</v>
      </c>
      <c r="B4737" t="s">
        <v>71</v>
      </c>
      <c r="C4737" t="s">
        <v>256</v>
      </c>
      <c r="D4737" t="s">
        <v>493</v>
      </c>
      <c r="F4737" t="s">
        <v>1655</v>
      </c>
      <c r="G4737" t="s">
        <v>5180</v>
      </c>
      <c r="H4737" t="s">
        <v>7774</v>
      </c>
      <c r="I4737" t="s">
        <v>8279</v>
      </c>
      <c r="J4737" t="s">
        <v>9059</v>
      </c>
      <c r="K4737">
        <v>11239</v>
      </c>
      <c r="L4737" t="s">
        <v>9094</v>
      </c>
      <c r="M4737" t="s">
        <v>9095</v>
      </c>
      <c r="N4737" t="s">
        <v>10816</v>
      </c>
      <c r="O4737" t="s">
        <v>11129</v>
      </c>
      <c r="P4737" t="s">
        <v>11165</v>
      </c>
      <c r="R4737" t="s">
        <v>11180</v>
      </c>
      <c r="S4737" t="s">
        <v>9096</v>
      </c>
      <c r="T4737" t="s">
        <v>11183</v>
      </c>
      <c r="U4737" t="s">
        <v>11201</v>
      </c>
      <c r="V4737" t="s">
        <v>370</v>
      </c>
      <c r="W4737">
        <v>1205</v>
      </c>
      <c r="X4737" t="s">
        <v>11332</v>
      </c>
      <c r="Y4737" t="s">
        <v>11352</v>
      </c>
      <c r="Z4737" t="s">
        <v>14424</v>
      </c>
      <c r="AA4737" t="s">
        <v>9171</v>
      </c>
      <c r="AB4737" t="s">
        <v>18745</v>
      </c>
      <c r="AC4737">
        <v>80</v>
      </c>
      <c r="AD4737" t="s">
        <v>19566</v>
      </c>
      <c r="AE4737" t="s">
        <v>19584</v>
      </c>
      <c r="AF4737">
        <v>9</v>
      </c>
      <c r="AG4737">
        <v>1</v>
      </c>
      <c r="AH4737">
        <v>0</v>
      </c>
      <c r="AI4737">
        <v>187.35</v>
      </c>
      <c r="AL4737" t="s">
        <v>19614</v>
      </c>
      <c r="AM4737">
        <v>23400</v>
      </c>
      <c r="AS4737">
        <v>11.3</v>
      </c>
      <c r="AT4737" t="s">
        <v>286</v>
      </c>
      <c r="AU4737" t="s">
        <v>20640</v>
      </c>
      <c r="AV4737" t="s">
        <v>20733</v>
      </c>
    </row>
    <row r="4738" spans="1:48">
      <c r="A4738" s="1">
        <f>HYPERLINK("https://lsnyc.legalserver.org/matter/dynamic-profile/view/1899366","19-1899366")</f>
        <v>0</v>
      </c>
      <c r="B4738" t="s">
        <v>72</v>
      </c>
      <c r="C4738" t="s">
        <v>256</v>
      </c>
      <c r="D4738" t="s">
        <v>608</v>
      </c>
      <c r="F4738" t="s">
        <v>2910</v>
      </c>
      <c r="G4738" t="s">
        <v>5181</v>
      </c>
      <c r="H4738" t="s">
        <v>6497</v>
      </c>
      <c r="I4738" t="s">
        <v>8270</v>
      </c>
      <c r="J4738" t="s">
        <v>9059</v>
      </c>
      <c r="K4738">
        <v>11233</v>
      </c>
      <c r="L4738" t="s">
        <v>9094</v>
      </c>
      <c r="M4738" t="s">
        <v>9095</v>
      </c>
      <c r="N4738" t="s">
        <v>10817</v>
      </c>
      <c r="O4738" t="s">
        <v>11129</v>
      </c>
      <c r="P4738" t="s">
        <v>11164</v>
      </c>
      <c r="R4738" t="s">
        <v>11180</v>
      </c>
      <c r="S4738" t="s">
        <v>9096</v>
      </c>
      <c r="T4738" t="s">
        <v>11183</v>
      </c>
      <c r="U4738" t="s">
        <v>11201</v>
      </c>
      <c r="V4738" t="s">
        <v>262</v>
      </c>
      <c r="W4738">
        <v>1000</v>
      </c>
      <c r="X4738" t="s">
        <v>11332</v>
      </c>
      <c r="Y4738" t="s">
        <v>11348</v>
      </c>
      <c r="Z4738" t="s">
        <v>14425</v>
      </c>
      <c r="AB4738" t="s">
        <v>18746</v>
      </c>
      <c r="AC4738">
        <v>30</v>
      </c>
      <c r="AD4738" t="s">
        <v>15441</v>
      </c>
      <c r="AE4738" t="s">
        <v>9144</v>
      </c>
      <c r="AF4738">
        <v>4</v>
      </c>
      <c r="AG4738">
        <v>1</v>
      </c>
      <c r="AH4738">
        <v>0</v>
      </c>
      <c r="AI4738">
        <v>187.35</v>
      </c>
      <c r="AL4738" t="s">
        <v>19614</v>
      </c>
      <c r="AM4738">
        <v>23400</v>
      </c>
      <c r="AS4738">
        <v>4.5</v>
      </c>
      <c r="AT4738" t="s">
        <v>302</v>
      </c>
      <c r="AU4738" t="s">
        <v>20640</v>
      </c>
      <c r="AV4738" t="s">
        <v>20733</v>
      </c>
    </row>
    <row r="4739" spans="1:48">
      <c r="A4739" s="1">
        <f>HYPERLINK("https://lsnyc.legalserver.org/matter/dynamic-profile/view/1910992","19-1910992")</f>
        <v>0</v>
      </c>
      <c r="B4739" t="s">
        <v>69</v>
      </c>
      <c r="C4739" t="s">
        <v>257</v>
      </c>
      <c r="D4739" t="s">
        <v>648</v>
      </c>
      <c r="E4739" t="s">
        <v>570</v>
      </c>
      <c r="F4739" t="s">
        <v>2911</v>
      </c>
      <c r="G4739" t="s">
        <v>3411</v>
      </c>
      <c r="H4739" t="s">
        <v>7775</v>
      </c>
      <c r="J4739" t="s">
        <v>9059</v>
      </c>
      <c r="K4739">
        <v>11207</v>
      </c>
      <c r="L4739" t="s">
        <v>9096</v>
      </c>
      <c r="M4739" t="s">
        <v>9095</v>
      </c>
      <c r="N4739" t="s">
        <v>9171</v>
      </c>
      <c r="O4739" t="s">
        <v>9121</v>
      </c>
      <c r="Q4739" t="s">
        <v>11172</v>
      </c>
      <c r="R4739" t="s">
        <v>11180</v>
      </c>
      <c r="S4739" t="s">
        <v>9096</v>
      </c>
      <c r="T4739" t="s">
        <v>11183</v>
      </c>
      <c r="U4739" t="s">
        <v>11201</v>
      </c>
      <c r="W4739">
        <v>1288</v>
      </c>
      <c r="X4739" t="s">
        <v>11332</v>
      </c>
      <c r="Z4739" t="s">
        <v>14426</v>
      </c>
      <c r="AA4739" t="s">
        <v>9171</v>
      </c>
      <c r="AB4739" t="s">
        <v>18747</v>
      </c>
      <c r="AC4739">
        <v>3</v>
      </c>
      <c r="AE4739" t="s">
        <v>9144</v>
      </c>
      <c r="AF4739">
        <v>6</v>
      </c>
      <c r="AG4739">
        <v>1</v>
      </c>
      <c r="AH4739">
        <v>0</v>
      </c>
      <c r="AI4739">
        <v>187.35</v>
      </c>
      <c r="AL4739" t="s">
        <v>19614</v>
      </c>
      <c r="AM4739">
        <v>23400</v>
      </c>
      <c r="AS4739">
        <v>1.75</v>
      </c>
      <c r="AT4739" t="s">
        <v>570</v>
      </c>
      <c r="AU4739" t="s">
        <v>20627</v>
      </c>
      <c r="AV4739" t="s">
        <v>9144</v>
      </c>
    </row>
    <row r="4740" spans="1:48">
      <c r="A4740" s="1">
        <f>HYPERLINK("https://lsnyc.legalserver.org/matter/dynamic-profile/view/1908883","19-1908883")</f>
        <v>0</v>
      </c>
      <c r="B4740" t="s">
        <v>140</v>
      </c>
      <c r="C4740" t="s">
        <v>257</v>
      </c>
      <c r="D4740" t="s">
        <v>806</v>
      </c>
      <c r="E4740" t="s">
        <v>290</v>
      </c>
      <c r="F4740" t="s">
        <v>1276</v>
      </c>
      <c r="G4740" t="s">
        <v>1206</v>
      </c>
      <c r="H4740" t="s">
        <v>7776</v>
      </c>
      <c r="I4740">
        <v>4</v>
      </c>
      <c r="J4740" t="s">
        <v>9065</v>
      </c>
      <c r="K4740">
        <v>10470</v>
      </c>
      <c r="L4740" t="s">
        <v>9095</v>
      </c>
      <c r="M4740" t="s">
        <v>9095</v>
      </c>
      <c r="P4740" t="s">
        <v>11167</v>
      </c>
      <c r="Q4740" t="s">
        <v>11173</v>
      </c>
      <c r="R4740" t="s">
        <v>11180</v>
      </c>
      <c r="T4740" t="s">
        <v>11183</v>
      </c>
      <c r="W4740">
        <v>0</v>
      </c>
      <c r="X4740" t="s">
        <v>11335</v>
      </c>
      <c r="Z4740" t="s">
        <v>14427</v>
      </c>
      <c r="AB4740" t="s">
        <v>18748</v>
      </c>
      <c r="AC4740">
        <v>0</v>
      </c>
      <c r="AF4740">
        <v>0</v>
      </c>
      <c r="AG4740">
        <v>1</v>
      </c>
      <c r="AH4740">
        <v>0</v>
      </c>
      <c r="AI4740">
        <v>187.35</v>
      </c>
      <c r="AL4740" t="s">
        <v>19614</v>
      </c>
      <c r="AM4740">
        <v>23400</v>
      </c>
      <c r="AS4740">
        <v>0.7</v>
      </c>
      <c r="AT4740" t="s">
        <v>806</v>
      </c>
      <c r="AU4740" t="s">
        <v>20638</v>
      </c>
    </row>
    <row r="4741" spans="1:48">
      <c r="A4741" s="1">
        <f>HYPERLINK("https://lsnyc.legalserver.org/matter/dynamic-profile/view/1898400","19-1898400")</f>
        <v>0</v>
      </c>
      <c r="B4741" t="s">
        <v>102</v>
      </c>
      <c r="C4741" t="s">
        <v>256</v>
      </c>
      <c r="D4741" t="s">
        <v>299</v>
      </c>
      <c r="F4741" t="s">
        <v>2912</v>
      </c>
      <c r="G4741" t="s">
        <v>5182</v>
      </c>
      <c r="H4741" t="s">
        <v>7777</v>
      </c>
      <c r="I4741">
        <v>29</v>
      </c>
      <c r="J4741" t="s">
        <v>9065</v>
      </c>
      <c r="K4741">
        <v>10460</v>
      </c>
      <c r="L4741" t="s">
        <v>9094</v>
      </c>
      <c r="M4741" t="s">
        <v>9095</v>
      </c>
      <c r="O4741" t="s">
        <v>11129</v>
      </c>
      <c r="P4741" t="s">
        <v>11164</v>
      </c>
      <c r="R4741" t="s">
        <v>11180</v>
      </c>
      <c r="S4741" t="s">
        <v>9096</v>
      </c>
      <c r="T4741" t="s">
        <v>11183</v>
      </c>
      <c r="V4741" t="s">
        <v>11218</v>
      </c>
      <c r="W4741">
        <v>950</v>
      </c>
      <c r="X4741" t="s">
        <v>11333</v>
      </c>
      <c r="Y4741" t="s">
        <v>11352</v>
      </c>
      <c r="Z4741" t="s">
        <v>14428</v>
      </c>
      <c r="AB4741" t="s">
        <v>18749</v>
      </c>
      <c r="AC4741">
        <v>29</v>
      </c>
      <c r="AF4741">
        <v>10</v>
      </c>
      <c r="AG4741">
        <v>1</v>
      </c>
      <c r="AH4741">
        <v>0</v>
      </c>
      <c r="AI4741">
        <v>187.35</v>
      </c>
      <c r="AL4741" t="s">
        <v>19614</v>
      </c>
      <c r="AM4741">
        <v>23400</v>
      </c>
      <c r="AS4741">
        <v>1.2</v>
      </c>
      <c r="AT4741" t="s">
        <v>608</v>
      </c>
      <c r="AU4741" t="s">
        <v>20640</v>
      </c>
      <c r="AV4741" t="s">
        <v>20733</v>
      </c>
    </row>
    <row r="4742" spans="1:48">
      <c r="A4742" s="1">
        <f>HYPERLINK("https://lsnyc.legalserver.org/matter/dynamic-profile/view/1909345","19-1909345")</f>
        <v>0</v>
      </c>
      <c r="B4742" t="s">
        <v>118</v>
      </c>
      <c r="C4742" t="s">
        <v>256</v>
      </c>
      <c r="D4742" t="s">
        <v>297</v>
      </c>
      <c r="F4742" t="s">
        <v>2913</v>
      </c>
      <c r="G4742" t="s">
        <v>3444</v>
      </c>
      <c r="H4742" t="s">
        <v>5864</v>
      </c>
      <c r="I4742" t="s">
        <v>8256</v>
      </c>
      <c r="J4742" t="s">
        <v>9065</v>
      </c>
      <c r="K4742">
        <v>10460</v>
      </c>
      <c r="L4742" t="s">
        <v>9094</v>
      </c>
      <c r="M4742" t="s">
        <v>9095</v>
      </c>
      <c r="P4742" t="s">
        <v>11164</v>
      </c>
      <c r="R4742" t="s">
        <v>11180</v>
      </c>
      <c r="S4742" t="s">
        <v>9096</v>
      </c>
      <c r="T4742" t="s">
        <v>11183</v>
      </c>
      <c r="W4742">
        <v>1120</v>
      </c>
      <c r="X4742" t="s">
        <v>11333</v>
      </c>
      <c r="Y4742" t="s">
        <v>11342</v>
      </c>
      <c r="Z4742" t="s">
        <v>14429</v>
      </c>
      <c r="AC4742">
        <v>168</v>
      </c>
      <c r="AD4742" t="s">
        <v>19571</v>
      </c>
      <c r="AF4742">
        <v>0</v>
      </c>
      <c r="AG4742">
        <v>1</v>
      </c>
      <c r="AH4742">
        <v>0</v>
      </c>
      <c r="AI4742">
        <v>187.35</v>
      </c>
      <c r="AL4742" t="s">
        <v>19614</v>
      </c>
      <c r="AM4742">
        <v>23400</v>
      </c>
      <c r="AS4742">
        <v>0.6</v>
      </c>
      <c r="AT4742" t="s">
        <v>297</v>
      </c>
      <c r="AU4742" t="s">
        <v>20629</v>
      </c>
      <c r="AV4742" t="s">
        <v>20733</v>
      </c>
    </row>
    <row r="4743" spans="1:48">
      <c r="A4743" s="1">
        <f>HYPERLINK("https://lsnyc.legalserver.org/matter/dynamic-profile/view/1914441","19-1914441")</f>
        <v>0</v>
      </c>
      <c r="B4743" t="s">
        <v>178</v>
      </c>
      <c r="C4743" t="s">
        <v>256</v>
      </c>
      <c r="D4743" t="s">
        <v>703</v>
      </c>
      <c r="F4743" t="s">
        <v>1264</v>
      </c>
      <c r="G4743" t="s">
        <v>4049</v>
      </c>
      <c r="H4743" t="s">
        <v>7778</v>
      </c>
      <c r="I4743">
        <v>12</v>
      </c>
      <c r="J4743" t="s">
        <v>9065</v>
      </c>
      <c r="K4743">
        <v>10458</v>
      </c>
      <c r="L4743" t="s">
        <v>9094</v>
      </c>
      <c r="M4743" t="s">
        <v>9095</v>
      </c>
      <c r="P4743" t="s">
        <v>11164</v>
      </c>
      <c r="R4743" t="s">
        <v>11180</v>
      </c>
      <c r="S4743" t="s">
        <v>9096</v>
      </c>
      <c r="T4743" t="s">
        <v>11183</v>
      </c>
      <c r="W4743">
        <v>863.17</v>
      </c>
      <c r="X4743" t="s">
        <v>11333</v>
      </c>
      <c r="Z4743" t="s">
        <v>12548</v>
      </c>
      <c r="AB4743" t="s">
        <v>18750</v>
      </c>
      <c r="AC4743">
        <v>0</v>
      </c>
      <c r="AD4743" t="s">
        <v>19566</v>
      </c>
      <c r="AF4743">
        <v>0</v>
      </c>
      <c r="AG4743">
        <v>1</v>
      </c>
      <c r="AH4743">
        <v>0</v>
      </c>
      <c r="AI4743">
        <v>187.35</v>
      </c>
      <c r="AL4743" t="s">
        <v>19614</v>
      </c>
      <c r="AM4743">
        <v>23400</v>
      </c>
      <c r="AS4743">
        <v>2.2</v>
      </c>
      <c r="AT4743" t="s">
        <v>487</v>
      </c>
      <c r="AU4743" t="s">
        <v>178</v>
      </c>
      <c r="AV4743" t="s">
        <v>20733</v>
      </c>
    </row>
    <row r="4744" spans="1:48">
      <c r="A4744" s="1">
        <f>HYPERLINK("https://lsnyc.legalserver.org/matter/dynamic-profile/view/1891835","19-1891835")</f>
        <v>0</v>
      </c>
      <c r="B4744" t="s">
        <v>103</v>
      </c>
      <c r="C4744" t="s">
        <v>256</v>
      </c>
      <c r="D4744" t="s">
        <v>543</v>
      </c>
      <c r="F4744" t="s">
        <v>2914</v>
      </c>
      <c r="G4744" t="s">
        <v>2681</v>
      </c>
      <c r="H4744" t="s">
        <v>5887</v>
      </c>
      <c r="I4744" t="s">
        <v>8882</v>
      </c>
      <c r="J4744" t="s">
        <v>9065</v>
      </c>
      <c r="K4744">
        <v>10453</v>
      </c>
      <c r="L4744" t="s">
        <v>9094</v>
      </c>
      <c r="M4744" t="s">
        <v>9094</v>
      </c>
      <c r="O4744" t="s">
        <v>11134</v>
      </c>
      <c r="P4744" t="s">
        <v>11168</v>
      </c>
      <c r="R4744" t="s">
        <v>11180</v>
      </c>
      <c r="S4744" t="s">
        <v>9094</v>
      </c>
      <c r="T4744" t="s">
        <v>11183</v>
      </c>
      <c r="V4744" t="s">
        <v>512</v>
      </c>
      <c r="W4744">
        <v>1523</v>
      </c>
      <c r="X4744" t="s">
        <v>11333</v>
      </c>
      <c r="Y4744" t="s">
        <v>11346</v>
      </c>
      <c r="Z4744" t="s">
        <v>14430</v>
      </c>
      <c r="AB4744" t="s">
        <v>18751</v>
      </c>
      <c r="AC4744">
        <v>170</v>
      </c>
      <c r="AD4744" t="s">
        <v>19566</v>
      </c>
      <c r="AE4744" t="s">
        <v>9144</v>
      </c>
      <c r="AF4744">
        <v>7</v>
      </c>
      <c r="AG4744">
        <v>1</v>
      </c>
      <c r="AH4744">
        <v>0</v>
      </c>
      <c r="AI4744">
        <v>187.35</v>
      </c>
      <c r="AL4744" t="s">
        <v>19615</v>
      </c>
      <c r="AM4744">
        <v>23400</v>
      </c>
      <c r="AS4744">
        <v>0</v>
      </c>
      <c r="AU4744" t="s">
        <v>163</v>
      </c>
    </row>
    <row r="4745" spans="1:48">
      <c r="A4745" s="1">
        <f>HYPERLINK("https://lsnyc.legalserver.org/matter/dynamic-profile/view/1905053","19-1905053")</f>
        <v>0</v>
      </c>
      <c r="B4745" t="s">
        <v>103</v>
      </c>
      <c r="C4745" t="s">
        <v>256</v>
      </c>
      <c r="D4745" t="s">
        <v>367</v>
      </c>
      <c r="F4745" t="s">
        <v>2914</v>
      </c>
      <c r="G4745" t="s">
        <v>2681</v>
      </c>
      <c r="H4745" t="s">
        <v>5887</v>
      </c>
      <c r="I4745" t="s">
        <v>8882</v>
      </c>
      <c r="J4745" t="s">
        <v>9065</v>
      </c>
      <c r="K4745">
        <v>10453</v>
      </c>
      <c r="L4745" t="s">
        <v>9094</v>
      </c>
      <c r="M4745" t="s">
        <v>9095</v>
      </c>
      <c r="N4745" t="s">
        <v>9239</v>
      </c>
      <c r="O4745" t="s">
        <v>11134</v>
      </c>
      <c r="P4745" t="s">
        <v>11168</v>
      </c>
      <c r="R4745" t="s">
        <v>11180</v>
      </c>
      <c r="S4745" t="s">
        <v>9094</v>
      </c>
      <c r="T4745" t="s">
        <v>11183</v>
      </c>
      <c r="V4745" t="s">
        <v>1061</v>
      </c>
      <c r="W4745">
        <v>1523</v>
      </c>
      <c r="X4745" t="s">
        <v>11333</v>
      </c>
      <c r="Y4745" t="s">
        <v>11346</v>
      </c>
      <c r="Z4745" t="s">
        <v>14430</v>
      </c>
      <c r="AB4745" t="s">
        <v>18751</v>
      </c>
      <c r="AC4745">
        <v>170</v>
      </c>
      <c r="AD4745" t="s">
        <v>19566</v>
      </c>
      <c r="AE4745" t="s">
        <v>9144</v>
      </c>
      <c r="AF4745">
        <v>7</v>
      </c>
      <c r="AG4745">
        <v>1</v>
      </c>
      <c r="AH4745">
        <v>0</v>
      </c>
      <c r="AI4745">
        <v>187.35</v>
      </c>
      <c r="AL4745" t="s">
        <v>19615</v>
      </c>
      <c r="AM4745">
        <v>23400</v>
      </c>
      <c r="AS4745">
        <v>0</v>
      </c>
      <c r="AU4745" t="s">
        <v>163</v>
      </c>
      <c r="AV4745" t="s">
        <v>20733</v>
      </c>
    </row>
    <row r="4746" spans="1:48">
      <c r="A4746" s="1">
        <f>HYPERLINK("https://lsnyc.legalserver.org/matter/dynamic-profile/view/1905054","19-1905054")</f>
        <v>0</v>
      </c>
      <c r="B4746" t="s">
        <v>103</v>
      </c>
      <c r="C4746" t="s">
        <v>256</v>
      </c>
      <c r="D4746" t="s">
        <v>367</v>
      </c>
      <c r="F4746" t="s">
        <v>2914</v>
      </c>
      <c r="G4746" t="s">
        <v>2681</v>
      </c>
      <c r="H4746" t="s">
        <v>5887</v>
      </c>
      <c r="I4746" t="s">
        <v>8882</v>
      </c>
      <c r="J4746" t="s">
        <v>9065</v>
      </c>
      <c r="K4746">
        <v>10453</v>
      </c>
      <c r="L4746" t="s">
        <v>9094</v>
      </c>
      <c r="M4746" t="s">
        <v>9095</v>
      </c>
      <c r="N4746" t="s">
        <v>9240</v>
      </c>
      <c r="O4746" t="s">
        <v>11134</v>
      </c>
      <c r="P4746" t="s">
        <v>11168</v>
      </c>
      <c r="R4746" t="s">
        <v>11180</v>
      </c>
      <c r="S4746" t="s">
        <v>9094</v>
      </c>
      <c r="T4746" t="s">
        <v>11183</v>
      </c>
      <c r="V4746" t="s">
        <v>422</v>
      </c>
      <c r="W4746">
        <v>1523</v>
      </c>
      <c r="X4746" t="s">
        <v>11333</v>
      </c>
      <c r="Y4746" t="s">
        <v>11346</v>
      </c>
      <c r="Z4746" t="s">
        <v>14430</v>
      </c>
      <c r="AB4746" t="s">
        <v>18751</v>
      </c>
      <c r="AC4746">
        <v>170</v>
      </c>
      <c r="AD4746" t="s">
        <v>19566</v>
      </c>
      <c r="AE4746" t="s">
        <v>9144</v>
      </c>
      <c r="AF4746">
        <v>7</v>
      </c>
      <c r="AG4746">
        <v>1</v>
      </c>
      <c r="AH4746">
        <v>0</v>
      </c>
      <c r="AI4746">
        <v>187.35</v>
      </c>
      <c r="AL4746" t="s">
        <v>19615</v>
      </c>
      <c r="AM4746">
        <v>23400</v>
      </c>
      <c r="AS4746">
        <v>0</v>
      </c>
      <c r="AU4746" t="s">
        <v>163</v>
      </c>
      <c r="AV4746" t="s">
        <v>20733</v>
      </c>
    </row>
    <row r="4747" spans="1:48">
      <c r="A4747" s="1">
        <f>HYPERLINK("https://lsnyc.legalserver.org/matter/dynamic-profile/view/1891826","19-1891826")</f>
        <v>0</v>
      </c>
      <c r="B4747" t="s">
        <v>103</v>
      </c>
      <c r="C4747" t="s">
        <v>256</v>
      </c>
      <c r="D4747" t="s">
        <v>543</v>
      </c>
      <c r="F4747" t="s">
        <v>2914</v>
      </c>
      <c r="G4747" t="s">
        <v>2681</v>
      </c>
      <c r="H4747" t="s">
        <v>5887</v>
      </c>
      <c r="I4747" t="s">
        <v>8882</v>
      </c>
      <c r="J4747" t="s">
        <v>9065</v>
      </c>
      <c r="K4747">
        <v>10453</v>
      </c>
      <c r="L4747" t="s">
        <v>9094</v>
      </c>
      <c r="M4747" t="s">
        <v>9094</v>
      </c>
      <c r="N4747" t="s">
        <v>9352</v>
      </c>
      <c r="O4747" t="s">
        <v>11130</v>
      </c>
      <c r="P4747" t="s">
        <v>11165</v>
      </c>
      <c r="R4747" t="s">
        <v>11180</v>
      </c>
      <c r="S4747" t="s">
        <v>9094</v>
      </c>
      <c r="T4747" t="s">
        <v>11183</v>
      </c>
      <c r="V4747" t="s">
        <v>512</v>
      </c>
      <c r="W4747">
        <v>1523</v>
      </c>
      <c r="X4747" t="s">
        <v>11333</v>
      </c>
      <c r="Y4747" t="s">
        <v>11346</v>
      </c>
      <c r="Z4747" t="s">
        <v>14430</v>
      </c>
      <c r="AB4747" t="s">
        <v>18751</v>
      </c>
      <c r="AC4747">
        <v>170</v>
      </c>
      <c r="AD4747" t="s">
        <v>19566</v>
      </c>
      <c r="AE4747" t="s">
        <v>9144</v>
      </c>
      <c r="AF4747">
        <v>7</v>
      </c>
      <c r="AG4747">
        <v>1</v>
      </c>
      <c r="AH4747">
        <v>0</v>
      </c>
      <c r="AI4747">
        <v>187.35</v>
      </c>
      <c r="AL4747" t="s">
        <v>19615</v>
      </c>
      <c r="AM4747">
        <v>23400</v>
      </c>
      <c r="AS4747">
        <v>0</v>
      </c>
      <c r="AU4747" t="s">
        <v>163</v>
      </c>
    </row>
    <row r="4748" spans="1:48">
      <c r="A4748" s="1">
        <f>HYPERLINK("https://lsnyc.legalserver.org/matter/dynamic-profile/view/1905410","19-1905410")</f>
        <v>0</v>
      </c>
      <c r="B4748" t="s">
        <v>113</v>
      </c>
      <c r="C4748" t="s">
        <v>256</v>
      </c>
      <c r="D4748" t="s">
        <v>408</v>
      </c>
      <c r="F4748" t="s">
        <v>2915</v>
      </c>
      <c r="G4748" t="s">
        <v>3398</v>
      </c>
      <c r="H4748" t="s">
        <v>7779</v>
      </c>
      <c r="I4748" t="s">
        <v>8883</v>
      </c>
      <c r="J4748" t="s">
        <v>9065</v>
      </c>
      <c r="K4748">
        <v>10453</v>
      </c>
      <c r="L4748" t="s">
        <v>9095</v>
      </c>
      <c r="M4748" t="s">
        <v>9095</v>
      </c>
      <c r="N4748" t="s">
        <v>10818</v>
      </c>
      <c r="O4748" t="s">
        <v>11129</v>
      </c>
      <c r="P4748" t="s">
        <v>11169</v>
      </c>
      <c r="R4748" t="s">
        <v>11180</v>
      </c>
      <c r="T4748" t="s">
        <v>11183</v>
      </c>
      <c r="W4748">
        <v>851</v>
      </c>
      <c r="X4748" t="s">
        <v>11333</v>
      </c>
      <c r="Y4748" t="s">
        <v>11157</v>
      </c>
      <c r="Z4748" t="s">
        <v>14431</v>
      </c>
      <c r="AC4748">
        <v>430</v>
      </c>
      <c r="AD4748" t="s">
        <v>19565</v>
      </c>
      <c r="AE4748" t="s">
        <v>19580</v>
      </c>
      <c r="AF4748">
        <v>30</v>
      </c>
      <c r="AG4748">
        <v>1</v>
      </c>
      <c r="AH4748">
        <v>0</v>
      </c>
      <c r="AI4748">
        <v>187.35</v>
      </c>
      <c r="AL4748" t="s">
        <v>19614</v>
      </c>
      <c r="AM4748">
        <v>23400</v>
      </c>
      <c r="AS4748">
        <v>16.5</v>
      </c>
      <c r="AT4748" t="s">
        <v>425</v>
      </c>
      <c r="AU4748" t="s">
        <v>20632</v>
      </c>
    </row>
    <row r="4749" spans="1:48">
      <c r="A4749" s="1">
        <f>HYPERLINK("https://lsnyc.legalserver.org/matter/dynamic-profile/view/1910082","19-1910082")</f>
        <v>0</v>
      </c>
      <c r="B4749" t="s">
        <v>99</v>
      </c>
      <c r="C4749" t="s">
        <v>257</v>
      </c>
      <c r="D4749" t="s">
        <v>435</v>
      </c>
      <c r="E4749" t="s">
        <v>362</v>
      </c>
      <c r="F4749" t="s">
        <v>2598</v>
      </c>
      <c r="G4749" t="s">
        <v>4426</v>
      </c>
      <c r="H4749" t="s">
        <v>7400</v>
      </c>
      <c r="I4749" t="s">
        <v>8139</v>
      </c>
      <c r="J4749" t="s">
        <v>9065</v>
      </c>
      <c r="K4749">
        <v>10452</v>
      </c>
      <c r="L4749" t="s">
        <v>9094</v>
      </c>
      <c r="M4749" t="s">
        <v>9095</v>
      </c>
      <c r="O4749" t="s">
        <v>9121</v>
      </c>
      <c r="P4749" t="s">
        <v>11164</v>
      </c>
      <c r="Q4749" t="s">
        <v>11172</v>
      </c>
      <c r="R4749" t="s">
        <v>11180</v>
      </c>
      <c r="S4749" t="s">
        <v>9096</v>
      </c>
      <c r="T4749" t="s">
        <v>11183</v>
      </c>
      <c r="V4749" t="s">
        <v>308</v>
      </c>
      <c r="W4749">
        <v>1350</v>
      </c>
      <c r="X4749" t="s">
        <v>11333</v>
      </c>
      <c r="Y4749" t="s">
        <v>11346</v>
      </c>
      <c r="Z4749" t="s">
        <v>13789</v>
      </c>
      <c r="AB4749" t="s">
        <v>18114</v>
      </c>
      <c r="AC4749">
        <v>67</v>
      </c>
      <c r="AD4749" t="s">
        <v>19566</v>
      </c>
      <c r="AE4749" t="s">
        <v>9144</v>
      </c>
      <c r="AF4749">
        <v>3</v>
      </c>
      <c r="AG4749">
        <v>1</v>
      </c>
      <c r="AH4749">
        <v>0</v>
      </c>
      <c r="AI4749">
        <v>187.35</v>
      </c>
      <c r="AL4749" t="s">
        <v>19614</v>
      </c>
      <c r="AM4749">
        <v>23400</v>
      </c>
      <c r="AS4749">
        <v>1.5</v>
      </c>
      <c r="AT4749" t="s">
        <v>362</v>
      </c>
      <c r="AU4749" t="s">
        <v>99</v>
      </c>
      <c r="AV4749" t="s">
        <v>20733</v>
      </c>
    </row>
    <row r="4750" spans="1:48">
      <c r="A4750" s="1">
        <f>HYPERLINK("https://lsnyc.legalserver.org/matter/dynamic-profile/view/1908507","19-1908507")</f>
        <v>0</v>
      </c>
      <c r="B4750" t="s">
        <v>55</v>
      </c>
      <c r="C4750" t="s">
        <v>256</v>
      </c>
      <c r="D4750" t="s">
        <v>410</v>
      </c>
      <c r="F4750" t="s">
        <v>2916</v>
      </c>
      <c r="G4750" t="s">
        <v>3666</v>
      </c>
      <c r="H4750" t="s">
        <v>7780</v>
      </c>
      <c r="I4750" t="s">
        <v>8217</v>
      </c>
      <c r="J4750" t="s">
        <v>9055</v>
      </c>
      <c r="K4750">
        <v>11354</v>
      </c>
      <c r="L4750" t="s">
        <v>9094</v>
      </c>
      <c r="M4750" t="s">
        <v>9095</v>
      </c>
      <c r="N4750" t="s">
        <v>10819</v>
      </c>
      <c r="O4750" t="s">
        <v>11129</v>
      </c>
      <c r="P4750" t="s">
        <v>11164</v>
      </c>
      <c r="R4750" t="s">
        <v>11180</v>
      </c>
      <c r="S4750" t="s">
        <v>9096</v>
      </c>
      <c r="T4750" t="s">
        <v>11183</v>
      </c>
      <c r="U4750" t="s">
        <v>11201</v>
      </c>
      <c r="V4750" t="s">
        <v>410</v>
      </c>
      <c r="W4750">
        <v>1550</v>
      </c>
      <c r="X4750" t="s">
        <v>11331</v>
      </c>
      <c r="Y4750" t="s">
        <v>11336</v>
      </c>
      <c r="Z4750" t="s">
        <v>14432</v>
      </c>
      <c r="AB4750" t="s">
        <v>18752</v>
      </c>
      <c r="AC4750">
        <v>24</v>
      </c>
      <c r="AD4750" t="s">
        <v>15441</v>
      </c>
      <c r="AE4750" t="s">
        <v>9144</v>
      </c>
      <c r="AF4750">
        <v>4</v>
      </c>
      <c r="AG4750">
        <v>1</v>
      </c>
      <c r="AH4750">
        <v>2</v>
      </c>
      <c r="AI4750">
        <v>187.53</v>
      </c>
      <c r="AL4750" t="s">
        <v>19614</v>
      </c>
      <c r="AM4750">
        <v>40000</v>
      </c>
      <c r="AS4750">
        <v>1.45</v>
      </c>
      <c r="AT4750" t="s">
        <v>496</v>
      </c>
      <c r="AU4750" t="s">
        <v>20620</v>
      </c>
      <c r="AV4750" t="s">
        <v>20733</v>
      </c>
    </row>
    <row r="4751" spans="1:48">
      <c r="A4751" s="1">
        <f>HYPERLINK("https://lsnyc.legalserver.org/matter/dynamic-profile/view/1901561","19-1901561")</f>
        <v>0</v>
      </c>
      <c r="B4751" t="s">
        <v>65</v>
      </c>
      <c r="C4751" t="s">
        <v>256</v>
      </c>
      <c r="D4751" t="s">
        <v>559</v>
      </c>
      <c r="F4751" t="s">
        <v>2917</v>
      </c>
      <c r="G4751" t="s">
        <v>4347</v>
      </c>
      <c r="H4751" t="s">
        <v>7781</v>
      </c>
      <c r="J4751" t="s">
        <v>9059</v>
      </c>
      <c r="K4751">
        <v>11238</v>
      </c>
      <c r="L4751" t="s">
        <v>9094</v>
      </c>
      <c r="M4751" t="s">
        <v>9095</v>
      </c>
      <c r="O4751" t="s">
        <v>11130</v>
      </c>
      <c r="P4751" t="s">
        <v>11165</v>
      </c>
      <c r="R4751" t="s">
        <v>11180</v>
      </c>
      <c r="T4751" t="s">
        <v>11183</v>
      </c>
      <c r="V4751" t="s">
        <v>559</v>
      </c>
      <c r="W4751">
        <v>0</v>
      </c>
      <c r="X4751" t="s">
        <v>11332</v>
      </c>
      <c r="Z4751" t="s">
        <v>14433</v>
      </c>
      <c r="AC4751">
        <v>0</v>
      </c>
      <c r="AF4751">
        <v>0</v>
      </c>
      <c r="AG4751">
        <v>2</v>
      </c>
      <c r="AH4751">
        <v>1</v>
      </c>
      <c r="AI4751">
        <v>187.53</v>
      </c>
      <c r="AL4751" t="s">
        <v>19614</v>
      </c>
      <c r="AM4751">
        <v>40000</v>
      </c>
      <c r="AS4751">
        <v>6.4</v>
      </c>
      <c r="AT4751" t="s">
        <v>414</v>
      </c>
      <c r="AU4751" t="s">
        <v>67</v>
      </c>
      <c r="AV4751" t="s">
        <v>20733</v>
      </c>
    </row>
    <row r="4752" spans="1:48">
      <c r="A4752" s="1">
        <f>HYPERLINK("https://lsnyc.legalserver.org/matter/dynamic-profile/view/1889616","19-1889616")</f>
        <v>0</v>
      </c>
      <c r="B4752" t="s">
        <v>65</v>
      </c>
      <c r="C4752" t="s">
        <v>256</v>
      </c>
      <c r="D4752" t="s">
        <v>441</v>
      </c>
      <c r="F4752" t="s">
        <v>2917</v>
      </c>
      <c r="G4752" t="s">
        <v>4347</v>
      </c>
      <c r="H4752" t="s">
        <v>7781</v>
      </c>
      <c r="J4752" t="s">
        <v>9059</v>
      </c>
      <c r="K4752">
        <v>11238</v>
      </c>
      <c r="L4752" t="s">
        <v>9094</v>
      </c>
      <c r="M4752" t="s">
        <v>9094</v>
      </c>
      <c r="N4752" t="s">
        <v>10820</v>
      </c>
      <c r="O4752" t="s">
        <v>11129</v>
      </c>
      <c r="P4752" t="s">
        <v>11165</v>
      </c>
      <c r="R4752" t="s">
        <v>11180</v>
      </c>
      <c r="S4752" t="s">
        <v>9096</v>
      </c>
      <c r="T4752" t="s">
        <v>11183</v>
      </c>
      <c r="V4752" t="s">
        <v>503</v>
      </c>
      <c r="W4752">
        <v>0</v>
      </c>
      <c r="X4752" t="s">
        <v>11332</v>
      </c>
      <c r="Y4752" t="s">
        <v>11340</v>
      </c>
      <c r="Z4752" t="s">
        <v>14433</v>
      </c>
      <c r="AC4752">
        <v>0</v>
      </c>
      <c r="AD4752" t="s">
        <v>19567</v>
      </c>
      <c r="AF4752">
        <v>0</v>
      </c>
      <c r="AG4752">
        <v>2</v>
      </c>
      <c r="AH4752">
        <v>1</v>
      </c>
      <c r="AI4752">
        <v>187.53</v>
      </c>
      <c r="AL4752" t="s">
        <v>19614</v>
      </c>
      <c r="AM4752">
        <v>40000</v>
      </c>
      <c r="AS4752">
        <v>44</v>
      </c>
      <c r="AT4752" t="s">
        <v>559</v>
      </c>
      <c r="AU4752" t="s">
        <v>215</v>
      </c>
    </row>
    <row r="4753" spans="1:48">
      <c r="A4753" s="1">
        <f>HYPERLINK("https://lsnyc.legalserver.org/matter/dynamic-profile/view/1910645","19-1910645")</f>
        <v>0</v>
      </c>
      <c r="B4753" t="s">
        <v>136</v>
      </c>
      <c r="C4753" t="s">
        <v>256</v>
      </c>
      <c r="D4753" t="s">
        <v>259</v>
      </c>
      <c r="F4753" t="s">
        <v>2918</v>
      </c>
      <c r="G4753" t="s">
        <v>2008</v>
      </c>
      <c r="H4753" t="s">
        <v>6596</v>
      </c>
      <c r="I4753" t="s">
        <v>8133</v>
      </c>
      <c r="J4753" t="s">
        <v>9067</v>
      </c>
      <c r="K4753">
        <v>10035</v>
      </c>
      <c r="L4753" t="s">
        <v>9094</v>
      </c>
      <c r="M4753" t="s">
        <v>9095</v>
      </c>
      <c r="O4753" t="s">
        <v>11134</v>
      </c>
      <c r="P4753" t="s">
        <v>11166</v>
      </c>
      <c r="R4753" t="s">
        <v>11180</v>
      </c>
      <c r="S4753" t="s">
        <v>9094</v>
      </c>
      <c r="T4753" t="s">
        <v>11183</v>
      </c>
      <c r="U4753" t="s">
        <v>11202</v>
      </c>
      <c r="V4753" t="s">
        <v>992</v>
      </c>
      <c r="W4753">
        <v>1461</v>
      </c>
      <c r="X4753" t="s">
        <v>11335</v>
      </c>
      <c r="Y4753" t="s">
        <v>11339</v>
      </c>
      <c r="Z4753" t="s">
        <v>14434</v>
      </c>
      <c r="AB4753" t="s">
        <v>18753</v>
      </c>
      <c r="AC4753">
        <v>60</v>
      </c>
      <c r="AD4753" t="s">
        <v>19566</v>
      </c>
      <c r="AE4753" t="s">
        <v>19580</v>
      </c>
      <c r="AF4753">
        <v>15</v>
      </c>
      <c r="AG4753">
        <v>2</v>
      </c>
      <c r="AH4753">
        <v>1</v>
      </c>
      <c r="AI4753">
        <v>187.53</v>
      </c>
      <c r="AL4753" t="s">
        <v>19614</v>
      </c>
      <c r="AM4753">
        <v>40000</v>
      </c>
      <c r="AS4753">
        <v>0.2</v>
      </c>
      <c r="AT4753" t="s">
        <v>259</v>
      </c>
      <c r="AU4753" t="s">
        <v>20657</v>
      </c>
      <c r="AV4753" t="s">
        <v>20733</v>
      </c>
    </row>
    <row r="4754" spans="1:48">
      <c r="A4754" s="1">
        <f>HYPERLINK("https://lsnyc.legalserver.org/matter/dynamic-profile/view/1910642","19-1910642")</f>
        <v>0</v>
      </c>
      <c r="B4754" t="s">
        <v>136</v>
      </c>
      <c r="C4754" t="s">
        <v>256</v>
      </c>
      <c r="D4754" t="s">
        <v>259</v>
      </c>
      <c r="F4754" t="s">
        <v>2918</v>
      </c>
      <c r="G4754" t="s">
        <v>2008</v>
      </c>
      <c r="H4754" t="s">
        <v>6596</v>
      </c>
      <c r="I4754" t="s">
        <v>8133</v>
      </c>
      <c r="J4754" t="s">
        <v>9067</v>
      </c>
      <c r="K4754">
        <v>10035</v>
      </c>
      <c r="L4754" t="s">
        <v>9094</v>
      </c>
      <c r="M4754" t="s">
        <v>9095</v>
      </c>
      <c r="O4754" t="s">
        <v>9121</v>
      </c>
      <c r="P4754" t="s">
        <v>11166</v>
      </c>
      <c r="R4754" t="s">
        <v>11180</v>
      </c>
      <c r="S4754" t="s">
        <v>9094</v>
      </c>
      <c r="T4754" t="s">
        <v>11183</v>
      </c>
      <c r="U4754" t="s">
        <v>11201</v>
      </c>
      <c r="V4754" t="s">
        <v>992</v>
      </c>
      <c r="W4754">
        <v>1461</v>
      </c>
      <c r="X4754" t="s">
        <v>11335</v>
      </c>
      <c r="Y4754" t="s">
        <v>11339</v>
      </c>
      <c r="Z4754" t="s">
        <v>14434</v>
      </c>
      <c r="AB4754" t="s">
        <v>18753</v>
      </c>
      <c r="AC4754">
        <v>60</v>
      </c>
      <c r="AD4754" t="s">
        <v>19566</v>
      </c>
      <c r="AE4754" t="s">
        <v>19580</v>
      </c>
      <c r="AF4754">
        <v>15</v>
      </c>
      <c r="AG4754">
        <v>2</v>
      </c>
      <c r="AH4754">
        <v>1</v>
      </c>
      <c r="AI4754">
        <v>187.53</v>
      </c>
      <c r="AL4754" t="s">
        <v>19614</v>
      </c>
      <c r="AM4754">
        <v>40000</v>
      </c>
      <c r="AS4754">
        <v>0.2</v>
      </c>
      <c r="AT4754" t="s">
        <v>259</v>
      </c>
      <c r="AU4754" t="s">
        <v>20657</v>
      </c>
      <c r="AV4754" t="s">
        <v>20733</v>
      </c>
    </row>
    <row r="4755" spans="1:48">
      <c r="A4755" s="1">
        <f>HYPERLINK("https://lsnyc.legalserver.org/matter/dynamic-profile/view/1910640","19-1910640")</f>
        <v>0</v>
      </c>
      <c r="B4755" t="s">
        <v>136</v>
      </c>
      <c r="C4755" t="s">
        <v>256</v>
      </c>
      <c r="D4755" t="s">
        <v>259</v>
      </c>
      <c r="F4755" t="s">
        <v>2918</v>
      </c>
      <c r="G4755" t="s">
        <v>2008</v>
      </c>
      <c r="H4755" t="s">
        <v>6596</v>
      </c>
      <c r="I4755" t="s">
        <v>8133</v>
      </c>
      <c r="J4755" t="s">
        <v>9067</v>
      </c>
      <c r="K4755">
        <v>10035</v>
      </c>
      <c r="L4755" t="s">
        <v>9094</v>
      </c>
      <c r="M4755" t="s">
        <v>9095</v>
      </c>
      <c r="N4755" t="s">
        <v>10821</v>
      </c>
      <c r="O4755" t="s">
        <v>11129</v>
      </c>
      <c r="P4755" t="s">
        <v>11165</v>
      </c>
      <c r="R4755" t="s">
        <v>11180</v>
      </c>
      <c r="S4755" t="s">
        <v>9094</v>
      </c>
      <c r="T4755" t="s">
        <v>11183</v>
      </c>
      <c r="U4755" t="s">
        <v>11201</v>
      </c>
      <c r="V4755" t="s">
        <v>259</v>
      </c>
      <c r="W4755">
        <v>1461</v>
      </c>
      <c r="X4755" t="s">
        <v>11335</v>
      </c>
      <c r="Y4755" t="s">
        <v>11339</v>
      </c>
      <c r="Z4755" t="s">
        <v>14434</v>
      </c>
      <c r="AB4755" t="s">
        <v>18753</v>
      </c>
      <c r="AC4755">
        <v>60</v>
      </c>
      <c r="AD4755" t="s">
        <v>19566</v>
      </c>
      <c r="AE4755" t="s">
        <v>19580</v>
      </c>
      <c r="AF4755">
        <v>15</v>
      </c>
      <c r="AG4755">
        <v>1</v>
      </c>
      <c r="AH4755">
        <v>2</v>
      </c>
      <c r="AI4755">
        <v>187.53</v>
      </c>
      <c r="AL4755" t="s">
        <v>19614</v>
      </c>
      <c r="AM4755">
        <v>40000</v>
      </c>
      <c r="AS4755">
        <v>35.95</v>
      </c>
      <c r="AT4755" t="s">
        <v>1130</v>
      </c>
      <c r="AU4755" t="s">
        <v>20657</v>
      </c>
      <c r="AV4755" t="s">
        <v>20733</v>
      </c>
    </row>
    <row r="4756" spans="1:48">
      <c r="A4756" s="1">
        <f>HYPERLINK("https://lsnyc.legalserver.org/matter/dynamic-profile/view/1910191","19-1910191")</f>
        <v>0</v>
      </c>
      <c r="B4756" t="s">
        <v>98</v>
      </c>
      <c r="C4756" t="s">
        <v>256</v>
      </c>
      <c r="D4756" t="s">
        <v>442</v>
      </c>
      <c r="F4756" t="s">
        <v>2919</v>
      </c>
      <c r="G4756" t="s">
        <v>5183</v>
      </c>
      <c r="H4756" t="s">
        <v>5878</v>
      </c>
      <c r="I4756" t="s">
        <v>8302</v>
      </c>
      <c r="J4756" t="s">
        <v>9065</v>
      </c>
      <c r="K4756">
        <v>10456</v>
      </c>
      <c r="L4756" t="s">
        <v>9094</v>
      </c>
      <c r="M4756" t="s">
        <v>9095</v>
      </c>
      <c r="O4756" t="s">
        <v>11134</v>
      </c>
      <c r="P4756" t="s">
        <v>11168</v>
      </c>
      <c r="R4756" t="s">
        <v>11180</v>
      </c>
      <c r="S4756" t="s">
        <v>9094</v>
      </c>
      <c r="T4756" t="s">
        <v>11183</v>
      </c>
      <c r="W4756">
        <v>0</v>
      </c>
      <c r="X4756" t="s">
        <v>11333</v>
      </c>
      <c r="Y4756" t="s">
        <v>11346</v>
      </c>
      <c r="Z4756" t="s">
        <v>14435</v>
      </c>
      <c r="AB4756" t="s">
        <v>18754</v>
      </c>
      <c r="AC4756">
        <v>30</v>
      </c>
      <c r="AD4756" t="s">
        <v>15441</v>
      </c>
      <c r="AE4756" t="s">
        <v>9144</v>
      </c>
      <c r="AF4756">
        <v>21</v>
      </c>
      <c r="AG4756">
        <v>3</v>
      </c>
      <c r="AH4756">
        <v>1</v>
      </c>
      <c r="AI4756">
        <v>187.6</v>
      </c>
      <c r="AM4756">
        <v>48308</v>
      </c>
      <c r="AS4756">
        <v>0</v>
      </c>
      <c r="AU4756" t="s">
        <v>20642</v>
      </c>
      <c r="AV4756" t="s">
        <v>20733</v>
      </c>
    </row>
    <row r="4757" spans="1:48">
      <c r="A4757" s="1">
        <f>HYPERLINK("https://lsnyc.legalserver.org/matter/dynamic-profile/view/1910187","19-1910187")</f>
        <v>0</v>
      </c>
      <c r="B4757" t="s">
        <v>98</v>
      </c>
      <c r="C4757" t="s">
        <v>256</v>
      </c>
      <c r="D4757" t="s">
        <v>442</v>
      </c>
      <c r="F4757" t="s">
        <v>2919</v>
      </c>
      <c r="G4757" t="s">
        <v>5183</v>
      </c>
      <c r="H4757" t="s">
        <v>5878</v>
      </c>
      <c r="I4757" t="s">
        <v>8302</v>
      </c>
      <c r="J4757" t="s">
        <v>9065</v>
      </c>
      <c r="K4757">
        <v>10456</v>
      </c>
      <c r="L4757" t="s">
        <v>9094</v>
      </c>
      <c r="M4757" t="s">
        <v>9095</v>
      </c>
      <c r="N4757" t="s">
        <v>9235</v>
      </c>
      <c r="O4757" t="s">
        <v>11130</v>
      </c>
      <c r="P4757" t="s">
        <v>11165</v>
      </c>
      <c r="R4757" t="s">
        <v>11180</v>
      </c>
      <c r="S4757" t="s">
        <v>9094</v>
      </c>
      <c r="T4757" t="s">
        <v>11183</v>
      </c>
      <c r="W4757">
        <v>0</v>
      </c>
      <c r="X4757" t="s">
        <v>11333</v>
      </c>
      <c r="Y4757" t="s">
        <v>11346</v>
      </c>
      <c r="Z4757" t="s">
        <v>14435</v>
      </c>
      <c r="AB4757" t="s">
        <v>18754</v>
      </c>
      <c r="AC4757">
        <v>30</v>
      </c>
      <c r="AD4757" t="s">
        <v>15441</v>
      </c>
      <c r="AE4757" t="s">
        <v>9144</v>
      </c>
      <c r="AF4757">
        <v>21</v>
      </c>
      <c r="AG4757">
        <v>3</v>
      </c>
      <c r="AH4757">
        <v>1</v>
      </c>
      <c r="AI4757">
        <v>187.6</v>
      </c>
      <c r="AM4757">
        <v>48308</v>
      </c>
      <c r="AS4757">
        <v>0</v>
      </c>
      <c r="AU4757" t="s">
        <v>20642</v>
      </c>
      <c r="AV4757" t="s">
        <v>20733</v>
      </c>
    </row>
    <row r="4758" spans="1:48">
      <c r="A4758" s="1">
        <f>HYPERLINK("https://lsnyc.legalserver.org/matter/dynamic-profile/view/1911557","19-1911557")</f>
        <v>0</v>
      </c>
      <c r="B4758" t="s">
        <v>141</v>
      </c>
      <c r="C4758" t="s">
        <v>256</v>
      </c>
      <c r="D4758" t="s">
        <v>362</v>
      </c>
      <c r="F4758" t="s">
        <v>2073</v>
      </c>
      <c r="G4758" t="s">
        <v>5184</v>
      </c>
      <c r="H4758" t="s">
        <v>5999</v>
      </c>
      <c r="I4758" t="s">
        <v>8178</v>
      </c>
      <c r="J4758" t="s">
        <v>9067</v>
      </c>
      <c r="K4758">
        <v>10040</v>
      </c>
      <c r="L4758" t="s">
        <v>9094</v>
      </c>
      <c r="M4758" t="s">
        <v>9095</v>
      </c>
      <c r="O4758" t="s">
        <v>11132</v>
      </c>
      <c r="P4758" t="s">
        <v>11165</v>
      </c>
      <c r="R4758" t="s">
        <v>11180</v>
      </c>
      <c r="S4758" t="s">
        <v>9094</v>
      </c>
      <c r="T4758" t="s">
        <v>11183</v>
      </c>
      <c r="V4758" t="s">
        <v>362</v>
      </c>
      <c r="W4758">
        <v>700</v>
      </c>
      <c r="X4758" t="s">
        <v>11335</v>
      </c>
      <c r="Y4758" t="s">
        <v>11338</v>
      </c>
      <c r="Z4758" t="s">
        <v>14436</v>
      </c>
      <c r="AB4758" t="s">
        <v>18755</v>
      </c>
      <c r="AC4758">
        <v>44</v>
      </c>
      <c r="AD4758" t="s">
        <v>19566</v>
      </c>
      <c r="AE4758" t="s">
        <v>9144</v>
      </c>
      <c r="AF4758">
        <v>47</v>
      </c>
      <c r="AG4758">
        <v>1</v>
      </c>
      <c r="AH4758">
        <v>0</v>
      </c>
      <c r="AI4758">
        <v>187.64</v>
      </c>
      <c r="AL4758" t="s">
        <v>19615</v>
      </c>
      <c r="AM4758">
        <v>23436</v>
      </c>
      <c r="AS4758">
        <v>0.1</v>
      </c>
      <c r="AT4758" t="s">
        <v>292</v>
      </c>
      <c r="AU4758" t="s">
        <v>130</v>
      </c>
      <c r="AV4758" t="s">
        <v>20733</v>
      </c>
    </row>
    <row r="4759" spans="1:48">
      <c r="A4759" s="1">
        <f>HYPERLINK("https://lsnyc.legalserver.org/matter/dynamic-profile/view/1913174","19-1913174")</f>
        <v>0</v>
      </c>
      <c r="B4759" t="s">
        <v>140</v>
      </c>
      <c r="C4759" t="s">
        <v>256</v>
      </c>
      <c r="D4759" t="s">
        <v>276</v>
      </c>
      <c r="F4759" t="s">
        <v>2073</v>
      </c>
      <c r="G4759" t="s">
        <v>5184</v>
      </c>
      <c r="H4759" t="s">
        <v>5999</v>
      </c>
      <c r="I4759" t="s">
        <v>8178</v>
      </c>
      <c r="J4759" t="s">
        <v>9067</v>
      </c>
      <c r="K4759">
        <v>10040</v>
      </c>
      <c r="L4759" t="s">
        <v>9094</v>
      </c>
      <c r="M4759" t="s">
        <v>9095</v>
      </c>
      <c r="O4759" t="s">
        <v>11130</v>
      </c>
      <c r="P4759" t="s">
        <v>11165</v>
      </c>
      <c r="R4759" t="s">
        <v>11180</v>
      </c>
      <c r="S4759" t="s">
        <v>9094</v>
      </c>
      <c r="T4759" t="s">
        <v>11183</v>
      </c>
      <c r="V4759" t="s">
        <v>276</v>
      </c>
      <c r="W4759">
        <v>700</v>
      </c>
      <c r="X4759" t="s">
        <v>11335</v>
      </c>
      <c r="Y4759" t="s">
        <v>11340</v>
      </c>
      <c r="Z4759" t="s">
        <v>14436</v>
      </c>
      <c r="AB4759" t="s">
        <v>18755</v>
      </c>
      <c r="AC4759">
        <v>44</v>
      </c>
      <c r="AD4759" t="s">
        <v>19566</v>
      </c>
      <c r="AE4759" t="s">
        <v>9144</v>
      </c>
      <c r="AF4759">
        <v>47</v>
      </c>
      <c r="AG4759">
        <v>1</v>
      </c>
      <c r="AH4759">
        <v>0</v>
      </c>
      <c r="AI4759">
        <v>187.64</v>
      </c>
      <c r="AL4759" t="s">
        <v>19615</v>
      </c>
      <c r="AM4759">
        <v>23436</v>
      </c>
      <c r="AS4759">
        <v>0.1</v>
      </c>
      <c r="AT4759" t="s">
        <v>1135</v>
      </c>
      <c r="AU4759" t="s">
        <v>130</v>
      </c>
      <c r="AV4759" t="s">
        <v>20733</v>
      </c>
    </row>
    <row r="4760" spans="1:48">
      <c r="A4760" s="1">
        <f>HYPERLINK("https://lsnyc.legalserver.org/matter/dynamic-profile/view/1881758","18-1881758")</f>
        <v>0</v>
      </c>
      <c r="B4760" t="s">
        <v>82</v>
      </c>
      <c r="C4760" t="s">
        <v>256</v>
      </c>
      <c r="D4760" t="s">
        <v>711</v>
      </c>
      <c r="F4760" t="s">
        <v>2895</v>
      </c>
      <c r="G4760" t="s">
        <v>5165</v>
      </c>
      <c r="H4760" t="s">
        <v>7753</v>
      </c>
      <c r="I4760">
        <v>26</v>
      </c>
      <c r="J4760" t="s">
        <v>9059</v>
      </c>
      <c r="K4760">
        <v>11215</v>
      </c>
      <c r="L4760" t="s">
        <v>9094</v>
      </c>
      <c r="M4760" t="s">
        <v>9094</v>
      </c>
      <c r="N4760" t="s">
        <v>10822</v>
      </c>
      <c r="O4760" t="s">
        <v>11128</v>
      </c>
      <c r="P4760" t="s">
        <v>11165</v>
      </c>
      <c r="R4760" t="s">
        <v>11180</v>
      </c>
      <c r="S4760" t="s">
        <v>9096</v>
      </c>
      <c r="T4760" t="s">
        <v>11183</v>
      </c>
      <c r="U4760" t="s">
        <v>11201</v>
      </c>
      <c r="V4760" t="s">
        <v>697</v>
      </c>
      <c r="W4760">
        <v>1380</v>
      </c>
      <c r="X4760" t="s">
        <v>11332</v>
      </c>
      <c r="Y4760" t="s">
        <v>11336</v>
      </c>
      <c r="Z4760" t="s">
        <v>14392</v>
      </c>
      <c r="AB4760" t="s">
        <v>18713</v>
      </c>
      <c r="AC4760">
        <v>26</v>
      </c>
      <c r="AD4760" t="s">
        <v>19566</v>
      </c>
      <c r="AE4760" t="s">
        <v>9144</v>
      </c>
      <c r="AF4760">
        <v>7</v>
      </c>
      <c r="AG4760">
        <v>1</v>
      </c>
      <c r="AH4760">
        <v>2</v>
      </c>
      <c r="AI4760">
        <v>187.68</v>
      </c>
      <c r="AL4760" t="s">
        <v>19614</v>
      </c>
      <c r="AM4760">
        <v>39000</v>
      </c>
      <c r="AS4760">
        <v>140.2</v>
      </c>
      <c r="AT4760" t="s">
        <v>446</v>
      </c>
      <c r="AU4760" t="s">
        <v>20633</v>
      </c>
    </row>
    <row r="4761" spans="1:48">
      <c r="A4761" s="1">
        <f>HYPERLINK("https://lsnyc.legalserver.org/matter/dynamic-profile/view/1875983","18-1875983")</f>
        <v>0</v>
      </c>
      <c r="B4761" t="s">
        <v>103</v>
      </c>
      <c r="C4761" t="s">
        <v>256</v>
      </c>
      <c r="D4761" t="s">
        <v>349</v>
      </c>
      <c r="F4761" t="s">
        <v>2920</v>
      </c>
      <c r="G4761" t="s">
        <v>5185</v>
      </c>
      <c r="H4761" t="s">
        <v>6413</v>
      </c>
      <c r="I4761" t="s">
        <v>8115</v>
      </c>
      <c r="J4761" t="s">
        <v>9065</v>
      </c>
      <c r="K4761">
        <v>10456</v>
      </c>
      <c r="L4761" t="s">
        <v>9094</v>
      </c>
      <c r="M4761" t="s">
        <v>9094</v>
      </c>
      <c r="N4761" t="s">
        <v>9648</v>
      </c>
      <c r="O4761" t="s">
        <v>11134</v>
      </c>
      <c r="P4761" t="s">
        <v>11168</v>
      </c>
      <c r="R4761" t="s">
        <v>11180</v>
      </c>
      <c r="S4761" t="s">
        <v>9094</v>
      </c>
      <c r="T4761" t="s">
        <v>11183</v>
      </c>
      <c r="V4761" t="s">
        <v>945</v>
      </c>
      <c r="W4761">
        <v>1255</v>
      </c>
      <c r="X4761" t="s">
        <v>11333</v>
      </c>
      <c r="Y4761" t="s">
        <v>11346</v>
      </c>
      <c r="Z4761" t="s">
        <v>14437</v>
      </c>
      <c r="AB4761" t="s">
        <v>18756</v>
      </c>
      <c r="AC4761">
        <v>61</v>
      </c>
      <c r="AD4761" t="s">
        <v>19566</v>
      </c>
      <c r="AE4761" t="s">
        <v>19580</v>
      </c>
      <c r="AF4761">
        <v>19</v>
      </c>
      <c r="AG4761">
        <v>3</v>
      </c>
      <c r="AH4761">
        <v>0</v>
      </c>
      <c r="AI4761">
        <v>187.68</v>
      </c>
      <c r="AL4761" t="s">
        <v>19615</v>
      </c>
      <c r="AM4761">
        <v>39000</v>
      </c>
      <c r="AS4761">
        <v>0</v>
      </c>
      <c r="AU4761" t="s">
        <v>163</v>
      </c>
    </row>
    <row r="4762" spans="1:48">
      <c r="A4762" s="1">
        <f>HYPERLINK("https://lsnyc.legalserver.org/matter/dynamic-profile/view/1880618","18-1880618")</f>
        <v>0</v>
      </c>
      <c r="B4762" t="s">
        <v>103</v>
      </c>
      <c r="C4762" t="s">
        <v>256</v>
      </c>
      <c r="D4762" t="s">
        <v>477</v>
      </c>
      <c r="F4762" t="s">
        <v>2920</v>
      </c>
      <c r="G4762" t="s">
        <v>5185</v>
      </c>
      <c r="H4762" t="s">
        <v>6413</v>
      </c>
      <c r="I4762" t="s">
        <v>8115</v>
      </c>
      <c r="J4762" t="s">
        <v>9065</v>
      </c>
      <c r="K4762">
        <v>10456</v>
      </c>
      <c r="L4762" t="s">
        <v>9094</v>
      </c>
      <c r="M4762" t="s">
        <v>9094</v>
      </c>
      <c r="N4762" t="s">
        <v>9732</v>
      </c>
      <c r="O4762" t="s">
        <v>11134</v>
      </c>
      <c r="P4762" t="s">
        <v>11168</v>
      </c>
      <c r="R4762" t="s">
        <v>11180</v>
      </c>
      <c r="S4762" t="s">
        <v>9094</v>
      </c>
      <c r="T4762" t="s">
        <v>11183</v>
      </c>
      <c r="V4762" t="s">
        <v>738</v>
      </c>
      <c r="W4762">
        <v>1255</v>
      </c>
      <c r="X4762" t="s">
        <v>11333</v>
      </c>
      <c r="Y4762" t="s">
        <v>11346</v>
      </c>
      <c r="Z4762" t="s">
        <v>14437</v>
      </c>
      <c r="AB4762" t="s">
        <v>18756</v>
      </c>
      <c r="AC4762">
        <v>61</v>
      </c>
      <c r="AD4762" t="s">
        <v>19566</v>
      </c>
      <c r="AE4762" t="s">
        <v>19580</v>
      </c>
      <c r="AF4762">
        <v>19</v>
      </c>
      <c r="AG4762">
        <v>3</v>
      </c>
      <c r="AH4762">
        <v>0</v>
      </c>
      <c r="AI4762">
        <v>187.68</v>
      </c>
      <c r="AL4762" t="s">
        <v>19615</v>
      </c>
      <c r="AM4762">
        <v>39000</v>
      </c>
      <c r="AS4762">
        <v>0</v>
      </c>
      <c r="AU4762" t="s">
        <v>20642</v>
      </c>
    </row>
    <row r="4763" spans="1:48">
      <c r="A4763" s="1">
        <f>HYPERLINK("https://lsnyc.legalserver.org/matter/dynamic-profile/view/1869885","18-1869885")</f>
        <v>0</v>
      </c>
      <c r="B4763" t="s">
        <v>74</v>
      </c>
      <c r="C4763" t="s">
        <v>256</v>
      </c>
      <c r="D4763" t="s">
        <v>743</v>
      </c>
      <c r="F4763" t="s">
        <v>1145</v>
      </c>
      <c r="G4763" t="s">
        <v>5186</v>
      </c>
      <c r="H4763" t="s">
        <v>7782</v>
      </c>
      <c r="I4763" t="s">
        <v>8884</v>
      </c>
      <c r="J4763" t="s">
        <v>9059</v>
      </c>
      <c r="K4763">
        <v>11223</v>
      </c>
      <c r="L4763" t="s">
        <v>9094</v>
      </c>
      <c r="M4763" t="s">
        <v>9095</v>
      </c>
      <c r="N4763" t="s">
        <v>10823</v>
      </c>
      <c r="O4763" t="s">
        <v>11128</v>
      </c>
      <c r="P4763" t="s">
        <v>11165</v>
      </c>
      <c r="R4763" t="s">
        <v>11180</v>
      </c>
      <c r="S4763" t="s">
        <v>9096</v>
      </c>
      <c r="T4763" t="s">
        <v>11183</v>
      </c>
      <c r="V4763" t="s">
        <v>743</v>
      </c>
      <c r="W4763">
        <v>1122.77</v>
      </c>
      <c r="X4763" t="s">
        <v>11332</v>
      </c>
      <c r="Y4763" t="s">
        <v>11340</v>
      </c>
      <c r="Z4763" t="s">
        <v>14438</v>
      </c>
      <c r="AB4763" t="s">
        <v>18757</v>
      </c>
      <c r="AC4763">
        <v>63</v>
      </c>
      <c r="AD4763" t="s">
        <v>19566</v>
      </c>
      <c r="AE4763" t="s">
        <v>9144</v>
      </c>
      <c r="AF4763">
        <v>8</v>
      </c>
      <c r="AG4763">
        <v>1</v>
      </c>
      <c r="AH4763">
        <v>0</v>
      </c>
      <c r="AI4763">
        <v>187.81</v>
      </c>
      <c r="AK4763" t="s">
        <v>19609</v>
      </c>
      <c r="AL4763" t="s">
        <v>19614</v>
      </c>
      <c r="AM4763">
        <v>22800</v>
      </c>
      <c r="AS4763">
        <v>38.25</v>
      </c>
      <c r="AT4763" t="s">
        <v>336</v>
      </c>
      <c r="AU4763" t="s">
        <v>95</v>
      </c>
    </row>
    <row r="4764" spans="1:48">
      <c r="A4764" s="1">
        <f>HYPERLINK("https://lsnyc.legalserver.org/matter/dynamic-profile/view/1891317","19-1891317")</f>
        <v>0</v>
      </c>
      <c r="B4764" t="s">
        <v>103</v>
      </c>
      <c r="C4764" t="s">
        <v>256</v>
      </c>
      <c r="D4764" t="s">
        <v>348</v>
      </c>
      <c r="F4764" t="s">
        <v>1646</v>
      </c>
      <c r="G4764" t="s">
        <v>3832</v>
      </c>
      <c r="H4764" t="s">
        <v>5887</v>
      </c>
      <c r="I4764" t="s">
        <v>8302</v>
      </c>
      <c r="J4764" t="s">
        <v>9065</v>
      </c>
      <c r="K4764">
        <v>10453</v>
      </c>
      <c r="L4764" t="s">
        <v>9094</v>
      </c>
      <c r="M4764" t="s">
        <v>9094</v>
      </c>
      <c r="O4764" t="s">
        <v>11134</v>
      </c>
      <c r="P4764" t="s">
        <v>11168</v>
      </c>
      <c r="R4764" t="s">
        <v>11180</v>
      </c>
      <c r="S4764" t="s">
        <v>9094</v>
      </c>
      <c r="T4764" t="s">
        <v>11183</v>
      </c>
      <c r="V4764" t="s">
        <v>512</v>
      </c>
      <c r="W4764">
        <v>1140</v>
      </c>
      <c r="X4764" t="s">
        <v>11333</v>
      </c>
      <c r="Y4764" t="s">
        <v>11346</v>
      </c>
      <c r="Z4764" t="s">
        <v>11550</v>
      </c>
      <c r="AB4764" t="s">
        <v>18758</v>
      </c>
      <c r="AC4764">
        <v>170</v>
      </c>
      <c r="AD4764" t="s">
        <v>19566</v>
      </c>
      <c r="AE4764" t="s">
        <v>9144</v>
      </c>
      <c r="AF4764">
        <v>6</v>
      </c>
      <c r="AG4764">
        <v>1</v>
      </c>
      <c r="AH4764">
        <v>1</v>
      </c>
      <c r="AI4764">
        <v>187.89</v>
      </c>
      <c r="AL4764" t="s">
        <v>19615</v>
      </c>
      <c r="AM4764">
        <v>31772</v>
      </c>
      <c r="AS4764">
        <v>0</v>
      </c>
      <c r="AU4764" t="s">
        <v>163</v>
      </c>
    </row>
    <row r="4765" spans="1:48">
      <c r="A4765" s="1">
        <f>HYPERLINK("https://lsnyc.legalserver.org/matter/dynamic-profile/view/1904977","19-1904977")</f>
        <v>0</v>
      </c>
      <c r="B4765" t="s">
        <v>103</v>
      </c>
      <c r="C4765" t="s">
        <v>256</v>
      </c>
      <c r="D4765" t="s">
        <v>660</v>
      </c>
      <c r="F4765" t="s">
        <v>1646</v>
      </c>
      <c r="G4765" t="s">
        <v>3832</v>
      </c>
      <c r="H4765" t="s">
        <v>5887</v>
      </c>
      <c r="I4765" t="s">
        <v>8302</v>
      </c>
      <c r="J4765" t="s">
        <v>9065</v>
      </c>
      <c r="K4765">
        <v>10453</v>
      </c>
      <c r="L4765" t="s">
        <v>9094</v>
      </c>
      <c r="M4765" t="s">
        <v>9095</v>
      </c>
      <c r="N4765" t="s">
        <v>9239</v>
      </c>
      <c r="O4765" t="s">
        <v>11134</v>
      </c>
      <c r="P4765" t="s">
        <v>11168</v>
      </c>
      <c r="R4765" t="s">
        <v>11180</v>
      </c>
      <c r="S4765" t="s">
        <v>9094</v>
      </c>
      <c r="T4765" t="s">
        <v>11183</v>
      </c>
      <c r="V4765" t="s">
        <v>11244</v>
      </c>
      <c r="W4765">
        <v>1140</v>
      </c>
      <c r="X4765" t="s">
        <v>11333</v>
      </c>
      <c r="Y4765" t="s">
        <v>11346</v>
      </c>
      <c r="Z4765" t="s">
        <v>11550</v>
      </c>
      <c r="AB4765" t="s">
        <v>18758</v>
      </c>
      <c r="AC4765">
        <v>170</v>
      </c>
      <c r="AD4765" t="s">
        <v>19566</v>
      </c>
      <c r="AE4765" t="s">
        <v>9144</v>
      </c>
      <c r="AF4765">
        <v>6</v>
      </c>
      <c r="AG4765">
        <v>1</v>
      </c>
      <c r="AH4765">
        <v>1</v>
      </c>
      <c r="AI4765">
        <v>187.89</v>
      </c>
      <c r="AL4765" t="s">
        <v>19615</v>
      </c>
      <c r="AM4765">
        <v>31772</v>
      </c>
      <c r="AS4765">
        <v>0</v>
      </c>
      <c r="AU4765" t="s">
        <v>220</v>
      </c>
      <c r="AV4765" t="s">
        <v>20733</v>
      </c>
    </row>
    <row r="4766" spans="1:48">
      <c r="A4766" s="1">
        <f>HYPERLINK("https://lsnyc.legalserver.org/matter/dynamic-profile/view/1904981","19-1904981")</f>
        <v>0</v>
      </c>
      <c r="B4766" t="s">
        <v>103</v>
      </c>
      <c r="C4766" t="s">
        <v>256</v>
      </c>
      <c r="D4766" t="s">
        <v>660</v>
      </c>
      <c r="F4766" t="s">
        <v>1646</v>
      </c>
      <c r="G4766" t="s">
        <v>3832</v>
      </c>
      <c r="H4766" t="s">
        <v>5887</v>
      </c>
      <c r="I4766" t="s">
        <v>8302</v>
      </c>
      <c r="J4766" t="s">
        <v>9065</v>
      </c>
      <c r="K4766">
        <v>10453</v>
      </c>
      <c r="L4766" t="s">
        <v>9094</v>
      </c>
      <c r="M4766" t="s">
        <v>9095</v>
      </c>
      <c r="N4766" t="s">
        <v>9240</v>
      </c>
      <c r="O4766" t="s">
        <v>11134</v>
      </c>
      <c r="P4766" t="s">
        <v>11168</v>
      </c>
      <c r="R4766" t="s">
        <v>11180</v>
      </c>
      <c r="S4766" t="s">
        <v>9094</v>
      </c>
      <c r="T4766" t="s">
        <v>11183</v>
      </c>
      <c r="V4766" t="s">
        <v>422</v>
      </c>
      <c r="W4766">
        <v>1140</v>
      </c>
      <c r="X4766" t="s">
        <v>11333</v>
      </c>
      <c r="Y4766" t="s">
        <v>11346</v>
      </c>
      <c r="Z4766" t="s">
        <v>11550</v>
      </c>
      <c r="AB4766" t="s">
        <v>18758</v>
      </c>
      <c r="AC4766">
        <v>170</v>
      </c>
      <c r="AD4766" t="s">
        <v>19566</v>
      </c>
      <c r="AE4766" t="s">
        <v>9144</v>
      </c>
      <c r="AF4766">
        <v>6</v>
      </c>
      <c r="AG4766">
        <v>1</v>
      </c>
      <c r="AH4766">
        <v>1</v>
      </c>
      <c r="AI4766">
        <v>187.89</v>
      </c>
      <c r="AL4766" t="s">
        <v>19615</v>
      </c>
      <c r="AM4766">
        <v>31772</v>
      </c>
      <c r="AS4766">
        <v>0</v>
      </c>
      <c r="AU4766" t="s">
        <v>220</v>
      </c>
      <c r="AV4766" t="s">
        <v>20733</v>
      </c>
    </row>
    <row r="4767" spans="1:48">
      <c r="A4767" s="1">
        <f>HYPERLINK("https://lsnyc.legalserver.org/matter/dynamic-profile/view/1891311","19-1891311")</f>
        <v>0</v>
      </c>
      <c r="B4767" t="s">
        <v>103</v>
      </c>
      <c r="C4767" t="s">
        <v>256</v>
      </c>
      <c r="D4767" t="s">
        <v>348</v>
      </c>
      <c r="F4767" t="s">
        <v>1646</v>
      </c>
      <c r="G4767" t="s">
        <v>3832</v>
      </c>
      <c r="H4767" t="s">
        <v>5887</v>
      </c>
      <c r="I4767" t="s">
        <v>8302</v>
      </c>
      <c r="J4767" t="s">
        <v>9065</v>
      </c>
      <c r="K4767">
        <v>10453</v>
      </c>
      <c r="L4767" t="s">
        <v>9094</v>
      </c>
      <c r="M4767" t="s">
        <v>9094</v>
      </c>
      <c r="N4767" t="s">
        <v>9352</v>
      </c>
      <c r="O4767" t="s">
        <v>11130</v>
      </c>
      <c r="P4767" t="s">
        <v>11165</v>
      </c>
      <c r="R4767" t="s">
        <v>11180</v>
      </c>
      <c r="S4767" t="s">
        <v>9094</v>
      </c>
      <c r="T4767" t="s">
        <v>11183</v>
      </c>
      <c r="V4767" t="s">
        <v>512</v>
      </c>
      <c r="W4767">
        <v>1140.4</v>
      </c>
      <c r="X4767" t="s">
        <v>11333</v>
      </c>
      <c r="Y4767" t="s">
        <v>11346</v>
      </c>
      <c r="Z4767" t="s">
        <v>11550</v>
      </c>
      <c r="AB4767" t="s">
        <v>18758</v>
      </c>
      <c r="AC4767">
        <v>170</v>
      </c>
      <c r="AD4767" t="s">
        <v>19566</v>
      </c>
      <c r="AE4767" t="s">
        <v>9144</v>
      </c>
      <c r="AF4767">
        <v>6</v>
      </c>
      <c r="AG4767">
        <v>1</v>
      </c>
      <c r="AH4767">
        <v>1</v>
      </c>
      <c r="AI4767">
        <v>187.89</v>
      </c>
      <c r="AL4767" t="s">
        <v>19615</v>
      </c>
      <c r="AM4767">
        <v>31772</v>
      </c>
      <c r="AS4767">
        <v>0</v>
      </c>
      <c r="AU4767" t="s">
        <v>163</v>
      </c>
    </row>
    <row r="4768" spans="1:48">
      <c r="A4768" s="1">
        <f>HYPERLINK("https://lsnyc.legalserver.org/matter/dynamic-profile/view/1881667","18-1881667")</f>
        <v>0</v>
      </c>
      <c r="B4768" t="s">
        <v>92</v>
      </c>
      <c r="C4768" t="s">
        <v>256</v>
      </c>
      <c r="D4768" t="s">
        <v>508</v>
      </c>
      <c r="F4768" t="s">
        <v>1270</v>
      </c>
      <c r="G4768" t="s">
        <v>4089</v>
      </c>
      <c r="H4768" t="s">
        <v>6556</v>
      </c>
      <c r="I4768">
        <v>201</v>
      </c>
      <c r="J4768" t="s">
        <v>9067</v>
      </c>
      <c r="K4768">
        <v>10025</v>
      </c>
      <c r="L4768" t="s">
        <v>9094</v>
      </c>
      <c r="M4768" t="s">
        <v>9094</v>
      </c>
      <c r="N4768" t="s">
        <v>10824</v>
      </c>
      <c r="O4768" t="s">
        <v>11155</v>
      </c>
      <c r="P4768" t="s">
        <v>11165</v>
      </c>
      <c r="R4768" t="s">
        <v>11180</v>
      </c>
      <c r="S4768" t="s">
        <v>9094</v>
      </c>
      <c r="T4768" t="s">
        <v>11183</v>
      </c>
      <c r="U4768" t="s">
        <v>11201</v>
      </c>
      <c r="V4768" t="s">
        <v>639</v>
      </c>
      <c r="W4768">
        <v>0</v>
      </c>
      <c r="X4768" t="s">
        <v>11332</v>
      </c>
      <c r="Y4768" t="s">
        <v>11350</v>
      </c>
      <c r="Z4768" t="s">
        <v>12432</v>
      </c>
      <c r="AB4768" t="s">
        <v>16839</v>
      </c>
      <c r="AC4768">
        <v>24</v>
      </c>
      <c r="AD4768" t="s">
        <v>19566</v>
      </c>
      <c r="AE4768" t="s">
        <v>19586</v>
      </c>
      <c r="AF4768">
        <v>0</v>
      </c>
      <c r="AG4768">
        <v>2</v>
      </c>
      <c r="AH4768">
        <v>0</v>
      </c>
      <c r="AI4768">
        <v>187.96</v>
      </c>
      <c r="AK4768" t="s">
        <v>19613</v>
      </c>
      <c r="AL4768" t="s">
        <v>19614</v>
      </c>
      <c r="AM4768">
        <v>30938</v>
      </c>
      <c r="AN4768" t="s">
        <v>19720</v>
      </c>
      <c r="AS4768">
        <v>68.8</v>
      </c>
      <c r="AT4768" t="s">
        <v>395</v>
      </c>
      <c r="AU4768" t="s">
        <v>95</v>
      </c>
    </row>
    <row r="4769" spans="1:48">
      <c r="A4769" s="1">
        <f>HYPERLINK("https://lsnyc.legalserver.org/matter/dynamic-profile/view/1875483","18-1875483")</f>
        <v>0</v>
      </c>
      <c r="B4769" t="s">
        <v>86</v>
      </c>
      <c r="C4769" t="s">
        <v>256</v>
      </c>
      <c r="D4769" t="s">
        <v>940</v>
      </c>
      <c r="F4769" t="s">
        <v>1842</v>
      </c>
      <c r="G4769" t="s">
        <v>5187</v>
      </c>
      <c r="H4769" t="s">
        <v>7783</v>
      </c>
      <c r="I4769" t="s">
        <v>8335</v>
      </c>
      <c r="J4769" t="s">
        <v>9059</v>
      </c>
      <c r="K4769">
        <v>11226</v>
      </c>
      <c r="L4769" t="s">
        <v>9094</v>
      </c>
      <c r="M4769" t="s">
        <v>9094</v>
      </c>
      <c r="N4769" t="s">
        <v>10825</v>
      </c>
      <c r="O4769" t="s">
        <v>11130</v>
      </c>
      <c r="P4769" t="s">
        <v>11165</v>
      </c>
      <c r="R4769" t="s">
        <v>11180</v>
      </c>
      <c r="S4769" t="s">
        <v>9096</v>
      </c>
      <c r="T4769" t="s">
        <v>11183</v>
      </c>
      <c r="U4769" t="s">
        <v>11201</v>
      </c>
      <c r="V4769" t="s">
        <v>639</v>
      </c>
      <c r="W4769">
        <v>1500</v>
      </c>
      <c r="X4769" t="s">
        <v>11332</v>
      </c>
      <c r="Y4769" t="s">
        <v>11346</v>
      </c>
      <c r="Z4769" t="s">
        <v>14439</v>
      </c>
      <c r="AA4769">
        <v>35171648</v>
      </c>
      <c r="AB4769" t="s">
        <v>18759</v>
      </c>
      <c r="AC4769">
        <v>66</v>
      </c>
      <c r="AD4769" t="s">
        <v>19566</v>
      </c>
      <c r="AE4769" t="s">
        <v>9144</v>
      </c>
      <c r="AF4769">
        <v>4</v>
      </c>
      <c r="AG4769">
        <v>3</v>
      </c>
      <c r="AH4769">
        <v>0</v>
      </c>
      <c r="AI4769">
        <v>188.12</v>
      </c>
      <c r="AL4769" t="s">
        <v>19614</v>
      </c>
      <c r="AM4769">
        <v>39092</v>
      </c>
      <c r="AS4769">
        <v>71.25</v>
      </c>
      <c r="AT4769" t="s">
        <v>694</v>
      </c>
      <c r="AU4769" t="s">
        <v>20630</v>
      </c>
    </row>
    <row r="4770" spans="1:48">
      <c r="A4770" s="1">
        <f>HYPERLINK("https://lsnyc.legalserver.org/matter/dynamic-profile/view/1883696","18-1883696")</f>
        <v>0</v>
      </c>
      <c r="B4770" t="s">
        <v>86</v>
      </c>
      <c r="C4770" t="s">
        <v>256</v>
      </c>
      <c r="D4770" t="s">
        <v>371</v>
      </c>
      <c r="F4770" t="s">
        <v>1842</v>
      </c>
      <c r="G4770" t="s">
        <v>5187</v>
      </c>
      <c r="H4770" t="s">
        <v>7783</v>
      </c>
      <c r="I4770" t="s">
        <v>8335</v>
      </c>
      <c r="J4770" t="s">
        <v>9059</v>
      </c>
      <c r="K4770">
        <v>11226</v>
      </c>
      <c r="L4770" t="s">
        <v>9094</v>
      </c>
      <c r="M4770" t="s">
        <v>9094</v>
      </c>
      <c r="O4770" t="s">
        <v>11141</v>
      </c>
      <c r="P4770" t="s">
        <v>11165</v>
      </c>
      <c r="R4770" t="s">
        <v>11180</v>
      </c>
      <c r="T4770" t="s">
        <v>11183</v>
      </c>
      <c r="U4770" t="s">
        <v>11201</v>
      </c>
      <c r="V4770" t="s">
        <v>371</v>
      </c>
      <c r="W4770">
        <v>1500</v>
      </c>
      <c r="X4770" t="s">
        <v>11332</v>
      </c>
      <c r="Y4770" t="s">
        <v>11340</v>
      </c>
      <c r="Z4770" t="s">
        <v>14439</v>
      </c>
      <c r="AA4770">
        <v>35171648</v>
      </c>
      <c r="AB4770" t="s">
        <v>18759</v>
      </c>
      <c r="AC4770">
        <v>66</v>
      </c>
      <c r="AF4770">
        <v>4</v>
      </c>
      <c r="AG4770">
        <v>3</v>
      </c>
      <c r="AH4770">
        <v>0</v>
      </c>
      <c r="AI4770">
        <v>188.12</v>
      </c>
      <c r="AL4770" t="s">
        <v>19614</v>
      </c>
      <c r="AM4770">
        <v>39092</v>
      </c>
      <c r="AS4770">
        <v>26.5</v>
      </c>
      <c r="AT4770" t="s">
        <v>604</v>
      </c>
      <c r="AU4770" t="s">
        <v>20628</v>
      </c>
    </row>
    <row r="4771" spans="1:48">
      <c r="A4771" s="1">
        <f>HYPERLINK("https://lsnyc.legalserver.org/matter/dynamic-profile/view/1860579","18-1860579")</f>
        <v>0</v>
      </c>
      <c r="B4771" t="s">
        <v>111</v>
      </c>
      <c r="C4771" t="s">
        <v>256</v>
      </c>
      <c r="D4771" t="s">
        <v>683</v>
      </c>
      <c r="F4771" t="s">
        <v>2921</v>
      </c>
      <c r="G4771" t="s">
        <v>4085</v>
      </c>
      <c r="H4771" t="s">
        <v>5868</v>
      </c>
      <c r="I4771" t="s">
        <v>8233</v>
      </c>
      <c r="J4771" t="s">
        <v>9065</v>
      </c>
      <c r="K4771">
        <v>10459</v>
      </c>
      <c r="L4771" t="s">
        <v>9094</v>
      </c>
      <c r="M4771" t="s">
        <v>9094</v>
      </c>
      <c r="N4771" t="s">
        <v>10826</v>
      </c>
      <c r="O4771" t="s">
        <v>11135</v>
      </c>
      <c r="P4771" t="s">
        <v>11168</v>
      </c>
      <c r="R4771" t="s">
        <v>11180</v>
      </c>
      <c r="S4771" t="s">
        <v>9096</v>
      </c>
      <c r="T4771" t="s">
        <v>11183</v>
      </c>
      <c r="V4771" t="s">
        <v>745</v>
      </c>
      <c r="W4771">
        <v>1584.51</v>
      </c>
      <c r="X4771" t="s">
        <v>11333</v>
      </c>
      <c r="Y4771" t="s">
        <v>11340</v>
      </c>
      <c r="Z4771" t="s">
        <v>14440</v>
      </c>
      <c r="AA4771" t="s">
        <v>15883</v>
      </c>
      <c r="AB4771" t="s">
        <v>18760</v>
      </c>
      <c r="AC4771">
        <v>19</v>
      </c>
      <c r="AD4771" t="s">
        <v>19566</v>
      </c>
      <c r="AE4771" t="s">
        <v>9144</v>
      </c>
      <c r="AF4771">
        <v>22</v>
      </c>
      <c r="AG4771">
        <v>2</v>
      </c>
      <c r="AH4771">
        <v>2</v>
      </c>
      <c r="AI4771">
        <v>188.21</v>
      </c>
      <c r="AL4771" t="s">
        <v>19614</v>
      </c>
      <c r="AM4771">
        <v>70240</v>
      </c>
      <c r="AS4771">
        <v>17.5</v>
      </c>
      <c r="AT4771" t="s">
        <v>297</v>
      </c>
      <c r="AU4771" t="s">
        <v>20642</v>
      </c>
    </row>
    <row r="4772" spans="1:48">
      <c r="A4772" s="1">
        <f>HYPERLINK("https://lsnyc.legalserver.org/matter/dynamic-profile/view/1864489","18-1864489")</f>
        <v>0</v>
      </c>
      <c r="B4772" t="s">
        <v>132</v>
      </c>
      <c r="C4772" t="s">
        <v>256</v>
      </c>
      <c r="D4772" t="s">
        <v>552</v>
      </c>
      <c r="F4772" t="s">
        <v>2922</v>
      </c>
      <c r="G4772" t="s">
        <v>3858</v>
      </c>
      <c r="H4772" t="s">
        <v>6681</v>
      </c>
      <c r="I4772" t="s">
        <v>8170</v>
      </c>
      <c r="J4772" t="s">
        <v>9067</v>
      </c>
      <c r="K4772">
        <v>10040</v>
      </c>
      <c r="L4772" t="s">
        <v>9094</v>
      </c>
      <c r="M4772" t="s">
        <v>9095</v>
      </c>
      <c r="O4772" t="s">
        <v>11128</v>
      </c>
      <c r="P4772" t="s">
        <v>11165</v>
      </c>
      <c r="R4772" t="s">
        <v>11180</v>
      </c>
      <c r="S4772" t="s">
        <v>9096</v>
      </c>
      <c r="T4772" t="s">
        <v>11183</v>
      </c>
      <c r="V4772" t="s">
        <v>552</v>
      </c>
      <c r="W4772">
        <v>765.78</v>
      </c>
      <c r="X4772" t="s">
        <v>11335</v>
      </c>
      <c r="Y4772" t="s">
        <v>11338</v>
      </c>
      <c r="Z4772" t="s">
        <v>12767</v>
      </c>
      <c r="AA4772" t="s">
        <v>15884</v>
      </c>
      <c r="AB4772" t="s">
        <v>18761</v>
      </c>
      <c r="AC4772">
        <v>41</v>
      </c>
      <c r="AD4772" t="s">
        <v>19566</v>
      </c>
      <c r="AE4772" t="s">
        <v>9144</v>
      </c>
      <c r="AF4772">
        <v>35</v>
      </c>
      <c r="AG4772">
        <v>3</v>
      </c>
      <c r="AH4772">
        <v>1</v>
      </c>
      <c r="AI4772">
        <v>188.37</v>
      </c>
      <c r="AJ4772" t="s">
        <v>19599</v>
      </c>
      <c r="AL4772" t="s">
        <v>19615</v>
      </c>
      <c r="AM4772">
        <v>47280</v>
      </c>
      <c r="AS4772">
        <v>167.65</v>
      </c>
      <c r="AT4772" t="s">
        <v>594</v>
      </c>
      <c r="AU4772" t="s">
        <v>130</v>
      </c>
    </row>
    <row r="4773" spans="1:48">
      <c r="A4773" s="1">
        <f>HYPERLINK("https://lsnyc.legalserver.org/matter/dynamic-profile/view/1903704","19-1903704")</f>
        <v>0</v>
      </c>
      <c r="B4773" t="s">
        <v>59</v>
      </c>
      <c r="C4773" t="s">
        <v>256</v>
      </c>
      <c r="D4773" t="s">
        <v>706</v>
      </c>
      <c r="F4773" t="s">
        <v>1698</v>
      </c>
      <c r="G4773" t="s">
        <v>5188</v>
      </c>
      <c r="H4773" t="s">
        <v>5735</v>
      </c>
      <c r="I4773" t="s">
        <v>8181</v>
      </c>
      <c r="J4773" t="s">
        <v>9055</v>
      </c>
      <c r="K4773">
        <v>11354</v>
      </c>
      <c r="L4773" t="s">
        <v>9094</v>
      </c>
      <c r="M4773" t="s">
        <v>9095</v>
      </c>
      <c r="N4773" t="s">
        <v>9135</v>
      </c>
      <c r="O4773" t="s">
        <v>11134</v>
      </c>
      <c r="P4773" t="s">
        <v>11168</v>
      </c>
      <c r="R4773" t="s">
        <v>11180</v>
      </c>
      <c r="S4773" t="s">
        <v>9094</v>
      </c>
      <c r="T4773" t="s">
        <v>11183</v>
      </c>
      <c r="U4773" t="s">
        <v>11201</v>
      </c>
      <c r="V4773" t="s">
        <v>302</v>
      </c>
      <c r="W4773">
        <v>1032</v>
      </c>
      <c r="X4773" t="s">
        <v>11331</v>
      </c>
      <c r="Y4773" t="s">
        <v>11341</v>
      </c>
      <c r="Z4773" t="s">
        <v>14441</v>
      </c>
      <c r="AB4773" t="s">
        <v>15274</v>
      </c>
      <c r="AC4773">
        <v>91</v>
      </c>
      <c r="AD4773" t="s">
        <v>19566</v>
      </c>
      <c r="AE4773" t="s">
        <v>9144</v>
      </c>
      <c r="AF4773">
        <v>23</v>
      </c>
      <c r="AG4773">
        <v>3</v>
      </c>
      <c r="AH4773">
        <v>0</v>
      </c>
      <c r="AI4773">
        <v>188.47</v>
      </c>
      <c r="AL4773" t="s">
        <v>19614</v>
      </c>
      <c r="AM4773">
        <v>40200</v>
      </c>
      <c r="AS4773">
        <v>0</v>
      </c>
      <c r="AU4773" t="s">
        <v>59</v>
      </c>
      <c r="AV4773" t="s">
        <v>20733</v>
      </c>
    </row>
    <row r="4774" spans="1:48">
      <c r="A4774" s="1">
        <f>HYPERLINK("https://lsnyc.legalserver.org/matter/dynamic-profile/view/1867179","18-1867179")</f>
        <v>0</v>
      </c>
      <c r="B4774" t="s">
        <v>138</v>
      </c>
      <c r="C4774" t="s">
        <v>256</v>
      </c>
      <c r="D4774" t="s">
        <v>272</v>
      </c>
      <c r="F4774" t="s">
        <v>2180</v>
      </c>
      <c r="G4774" t="s">
        <v>5189</v>
      </c>
      <c r="H4774" t="s">
        <v>7784</v>
      </c>
      <c r="I4774" t="s">
        <v>8445</v>
      </c>
      <c r="J4774" t="s">
        <v>9067</v>
      </c>
      <c r="K4774">
        <v>10002</v>
      </c>
      <c r="L4774" t="s">
        <v>9094</v>
      </c>
      <c r="M4774" t="s">
        <v>9095</v>
      </c>
      <c r="O4774" t="s">
        <v>9121</v>
      </c>
      <c r="P4774" t="s">
        <v>11167</v>
      </c>
      <c r="R4774" t="s">
        <v>11181</v>
      </c>
      <c r="S4774" t="s">
        <v>9096</v>
      </c>
      <c r="T4774" t="s">
        <v>11188</v>
      </c>
      <c r="V4774" t="s">
        <v>469</v>
      </c>
      <c r="W4774">
        <v>1390</v>
      </c>
      <c r="X4774" t="s">
        <v>11335</v>
      </c>
      <c r="Y4774" t="s">
        <v>11337</v>
      </c>
      <c r="Z4774" t="s">
        <v>14442</v>
      </c>
      <c r="AB4774" t="s">
        <v>18762</v>
      </c>
      <c r="AC4774">
        <v>0</v>
      </c>
      <c r="AD4774" t="s">
        <v>19573</v>
      </c>
      <c r="AF4774">
        <v>11</v>
      </c>
      <c r="AG4774">
        <v>4</v>
      </c>
      <c r="AH4774">
        <v>0</v>
      </c>
      <c r="AI4774">
        <v>188.66</v>
      </c>
      <c r="AJ4774" t="s">
        <v>19591</v>
      </c>
      <c r="AK4774" t="s">
        <v>19608</v>
      </c>
      <c r="AL4774" t="s">
        <v>19615</v>
      </c>
      <c r="AM4774">
        <v>47353</v>
      </c>
      <c r="AS4774">
        <v>1.2</v>
      </c>
      <c r="AT4774" t="s">
        <v>609</v>
      </c>
      <c r="AU4774" t="s">
        <v>20669</v>
      </c>
    </row>
    <row r="4775" spans="1:48">
      <c r="A4775" s="1">
        <f>HYPERLINK("https://lsnyc.legalserver.org/matter/dynamic-profile/view/1909487","19-1909487")</f>
        <v>0</v>
      </c>
      <c r="B4775" t="s">
        <v>108</v>
      </c>
      <c r="C4775" t="s">
        <v>256</v>
      </c>
      <c r="D4775" t="s">
        <v>273</v>
      </c>
      <c r="F4775" t="s">
        <v>1689</v>
      </c>
      <c r="G4775" t="s">
        <v>5190</v>
      </c>
      <c r="H4775" t="s">
        <v>7785</v>
      </c>
      <c r="J4775" t="s">
        <v>9065</v>
      </c>
      <c r="K4775">
        <v>10451</v>
      </c>
      <c r="L4775" t="s">
        <v>9094</v>
      </c>
      <c r="M4775" t="s">
        <v>9095</v>
      </c>
      <c r="O4775" t="s">
        <v>11149</v>
      </c>
      <c r="P4775" t="s">
        <v>11164</v>
      </c>
      <c r="R4775" t="s">
        <v>11180</v>
      </c>
      <c r="S4775" t="s">
        <v>9096</v>
      </c>
      <c r="T4775" t="s">
        <v>11183</v>
      </c>
      <c r="W4775">
        <v>0</v>
      </c>
      <c r="X4775" t="s">
        <v>11333</v>
      </c>
      <c r="Y4775" t="s">
        <v>11338</v>
      </c>
      <c r="Z4775" t="s">
        <v>14443</v>
      </c>
      <c r="AB4775" t="s">
        <v>18763</v>
      </c>
      <c r="AC4775">
        <v>0</v>
      </c>
      <c r="AD4775" t="s">
        <v>19566</v>
      </c>
      <c r="AF4775">
        <v>13</v>
      </c>
      <c r="AG4775">
        <v>1</v>
      </c>
      <c r="AH4775">
        <v>0</v>
      </c>
      <c r="AI4775">
        <v>188.69</v>
      </c>
      <c r="AL4775" t="s">
        <v>19614</v>
      </c>
      <c r="AM4775">
        <v>23568</v>
      </c>
      <c r="AS4775">
        <v>0.5</v>
      </c>
      <c r="AT4775" t="s">
        <v>273</v>
      </c>
      <c r="AU4775" t="s">
        <v>108</v>
      </c>
      <c r="AV4775" t="s">
        <v>20733</v>
      </c>
    </row>
    <row r="4776" spans="1:48">
      <c r="A4776" s="1">
        <f>HYPERLINK("https://lsnyc.legalserver.org/matter/dynamic-profile/view/1908595","19-1908595")</f>
        <v>0</v>
      </c>
      <c r="B4776" t="s">
        <v>64</v>
      </c>
      <c r="C4776" t="s">
        <v>257</v>
      </c>
      <c r="D4776" t="s">
        <v>574</v>
      </c>
      <c r="E4776" t="s">
        <v>336</v>
      </c>
      <c r="F4776" t="s">
        <v>1636</v>
      </c>
      <c r="G4776" t="s">
        <v>3498</v>
      </c>
      <c r="H4776" t="s">
        <v>7786</v>
      </c>
      <c r="J4776" t="s">
        <v>9059</v>
      </c>
      <c r="K4776">
        <v>11209</v>
      </c>
      <c r="L4776" t="s">
        <v>9094</v>
      </c>
      <c r="M4776" t="s">
        <v>9095</v>
      </c>
      <c r="N4776" t="s">
        <v>9171</v>
      </c>
      <c r="O4776" t="s">
        <v>11130</v>
      </c>
      <c r="P4776" t="s">
        <v>11164</v>
      </c>
      <c r="Q4776" t="s">
        <v>11172</v>
      </c>
      <c r="R4776" t="s">
        <v>11180</v>
      </c>
      <c r="S4776" t="s">
        <v>9096</v>
      </c>
      <c r="T4776" t="s">
        <v>11183</v>
      </c>
      <c r="U4776" t="s">
        <v>11201</v>
      </c>
      <c r="V4776" t="s">
        <v>472</v>
      </c>
      <c r="W4776">
        <v>3000</v>
      </c>
      <c r="X4776" t="s">
        <v>11332</v>
      </c>
      <c r="Y4776" t="s">
        <v>11352</v>
      </c>
      <c r="Z4776" t="s">
        <v>13568</v>
      </c>
      <c r="AA4776" t="s">
        <v>9171</v>
      </c>
      <c r="AB4776" t="s">
        <v>18764</v>
      </c>
      <c r="AC4776">
        <v>1</v>
      </c>
      <c r="AD4776" t="s">
        <v>15441</v>
      </c>
      <c r="AE4776" t="s">
        <v>9144</v>
      </c>
      <c r="AF4776">
        <v>2</v>
      </c>
      <c r="AG4776">
        <v>2</v>
      </c>
      <c r="AH4776">
        <v>1</v>
      </c>
      <c r="AI4776">
        <v>188.99</v>
      </c>
      <c r="AL4776" t="s">
        <v>19614</v>
      </c>
      <c r="AM4776">
        <v>40312</v>
      </c>
      <c r="AS4776">
        <v>2.1</v>
      </c>
      <c r="AT4776" t="s">
        <v>472</v>
      </c>
      <c r="AU4776" t="s">
        <v>20632</v>
      </c>
      <c r="AV4776" t="s">
        <v>20733</v>
      </c>
    </row>
    <row r="4777" spans="1:48">
      <c r="A4777" s="1">
        <f>HYPERLINK("https://lsnyc.legalserver.org/matter/dynamic-profile/view/1897518","19-1897518")</f>
        <v>0</v>
      </c>
      <c r="B4777" t="s">
        <v>70</v>
      </c>
      <c r="C4777" t="s">
        <v>256</v>
      </c>
      <c r="D4777" t="s">
        <v>318</v>
      </c>
      <c r="F4777" t="s">
        <v>1274</v>
      </c>
      <c r="G4777" t="s">
        <v>3332</v>
      </c>
      <c r="H4777" t="s">
        <v>5748</v>
      </c>
      <c r="I4777" t="s">
        <v>8885</v>
      </c>
      <c r="J4777" t="s">
        <v>9059</v>
      </c>
      <c r="K4777">
        <v>11233</v>
      </c>
      <c r="L4777" t="s">
        <v>9094</v>
      </c>
      <c r="M4777" t="s">
        <v>9096</v>
      </c>
      <c r="N4777" t="s">
        <v>9145</v>
      </c>
      <c r="O4777" t="s">
        <v>11134</v>
      </c>
      <c r="P4777" t="s">
        <v>11168</v>
      </c>
      <c r="R4777" t="s">
        <v>11180</v>
      </c>
      <c r="S4777" t="s">
        <v>9094</v>
      </c>
      <c r="T4777" t="s">
        <v>11183</v>
      </c>
      <c r="U4777" t="s">
        <v>11201</v>
      </c>
      <c r="V4777" t="s">
        <v>482</v>
      </c>
      <c r="W4777">
        <v>981</v>
      </c>
      <c r="X4777" t="s">
        <v>11332</v>
      </c>
      <c r="Y4777" t="s">
        <v>11342</v>
      </c>
      <c r="Z4777" t="s">
        <v>14444</v>
      </c>
      <c r="AC4777">
        <v>359</v>
      </c>
      <c r="AD4777" t="s">
        <v>19566</v>
      </c>
      <c r="AF4777">
        <v>20</v>
      </c>
      <c r="AG4777">
        <v>1</v>
      </c>
      <c r="AH4777">
        <v>1</v>
      </c>
      <c r="AI4777">
        <v>189.24</v>
      </c>
      <c r="AL4777" t="s">
        <v>19614</v>
      </c>
      <c r="AM4777">
        <v>32000</v>
      </c>
      <c r="AN4777" t="s">
        <v>19644</v>
      </c>
      <c r="AS4777">
        <v>0</v>
      </c>
      <c r="AU4777" t="s">
        <v>95</v>
      </c>
    </row>
    <row r="4778" spans="1:48">
      <c r="A4778" s="1">
        <f>HYPERLINK("https://lsnyc.legalserver.org/matter/dynamic-profile/view/1897521","19-1897521")</f>
        <v>0</v>
      </c>
      <c r="B4778" t="s">
        <v>70</v>
      </c>
      <c r="C4778" t="s">
        <v>256</v>
      </c>
      <c r="D4778" t="s">
        <v>318</v>
      </c>
      <c r="F4778" t="s">
        <v>1274</v>
      </c>
      <c r="G4778" t="s">
        <v>3332</v>
      </c>
      <c r="H4778" t="s">
        <v>5748</v>
      </c>
      <c r="I4778" t="s">
        <v>8885</v>
      </c>
      <c r="J4778" t="s">
        <v>9059</v>
      </c>
      <c r="K4778">
        <v>11233</v>
      </c>
      <c r="L4778" t="s">
        <v>9094</v>
      </c>
      <c r="M4778" t="s">
        <v>9096</v>
      </c>
      <c r="O4778" t="s">
        <v>11137</v>
      </c>
      <c r="P4778" t="s">
        <v>11167</v>
      </c>
      <c r="R4778" t="s">
        <v>11180</v>
      </c>
      <c r="S4778" t="s">
        <v>9094</v>
      </c>
      <c r="T4778" t="s">
        <v>11183</v>
      </c>
      <c r="U4778" t="s">
        <v>11201</v>
      </c>
      <c r="V4778" t="s">
        <v>749</v>
      </c>
      <c r="W4778">
        <v>981</v>
      </c>
      <c r="X4778" t="s">
        <v>11332</v>
      </c>
      <c r="Z4778" t="s">
        <v>14444</v>
      </c>
      <c r="AC4778">
        <v>359</v>
      </c>
      <c r="AD4778" t="s">
        <v>19566</v>
      </c>
      <c r="AF4778">
        <v>20</v>
      </c>
      <c r="AG4778">
        <v>1</v>
      </c>
      <c r="AH4778">
        <v>1</v>
      </c>
      <c r="AI4778">
        <v>189.24</v>
      </c>
      <c r="AL4778" t="s">
        <v>19614</v>
      </c>
      <c r="AM4778">
        <v>32000</v>
      </c>
      <c r="AN4778" t="s">
        <v>20046</v>
      </c>
      <c r="AS4778">
        <v>0</v>
      </c>
      <c r="AU4778" t="s">
        <v>95</v>
      </c>
    </row>
    <row r="4779" spans="1:48">
      <c r="A4779" s="1">
        <f>HYPERLINK("https://lsnyc.legalserver.org/matter/dynamic-profile/view/1914799","19-1914799")</f>
        <v>0</v>
      </c>
      <c r="B4779" t="s">
        <v>202</v>
      </c>
      <c r="C4779" t="s">
        <v>256</v>
      </c>
      <c r="D4779" t="s">
        <v>632</v>
      </c>
      <c r="F4779" t="s">
        <v>2923</v>
      </c>
      <c r="G4779" t="s">
        <v>1432</v>
      </c>
      <c r="H4779" t="s">
        <v>6621</v>
      </c>
      <c r="I4779">
        <v>7</v>
      </c>
      <c r="J4779" t="s">
        <v>9059</v>
      </c>
      <c r="K4779">
        <v>11213</v>
      </c>
      <c r="L4779" t="s">
        <v>9094</v>
      </c>
      <c r="M4779" t="s">
        <v>9095</v>
      </c>
      <c r="N4779" t="s">
        <v>10263</v>
      </c>
      <c r="O4779" t="s">
        <v>11132</v>
      </c>
      <c r="P4779" t="s">
        <v>11165</v>
      </c>
      <c r="R4779" t="s">
        <v>11180</v>
      </c>
      <c r="S4779" t="s">
        <v>9094</v>
      </c>
      <c r="T4779" t="s">
        <v>11183</v>
      </c>
      <c r="U4779" t="s">
        <v>11201</v>
      </c>
      <c r="V4779" t="s">
        <v>11243</v>
      </c>
      <c r="W4779">
        <v>931.36</v>
      </c>
      <c r="X4779" t="s">
        <v>11332</v>
      </c>
      <c r="Y4779" t="s">
        <v>11346</v>
      </c>
      <c r="Z4779" t="s">
        <v>14445</v>
      </c>
      <c r="AA4779" t="s">
        <v>9144</v>
      </c>
      <c r="AC4779">
        <v>31</v>
      </c>
      <c r="AD4779" t="s">
        <v>19566</v>
      </c>
      <c r="AE4779" t="s">
        <v>9144</v>
      </c>
      <c r="AF4779">
        <v>35</v>
      </c>
      <c r="AG4779">
        <v>2</v>
      </c>
      <c r="AH4779">
        <v>0</v>
      </c>
      <c r="AI4779">
        <v>189.24</v>
      </c>
      <c r="AL4779" t="s">
        <v>19614</v>
      </c>
      <c r="AM4779">
        <v>32000</v>
      </c>
      <c r="AS4779">
        <v>0</v>
      </c>
      <c r="AU4779" t="s">
        <v>95</v>
      </c>
      <c r="AV4779" t="s">
        <v>20733</v>
      </c>
    </row>
    <row r="4780" spans="1:48">
      <c r="A4780" s="1">
        <f>HYPERLINK("https://lsnyc.legalserver.org/matter/dynamic-profile/view/1900677","19-1900677")</f>
        <v>0</v>
      </c>
      <c r="B4780" t="s">
        <v>76</v>
      </c>
      <c r="C4780" t="s">
        <v>256</v>
      </c>
      <c r="D4780" t="s">
        <v>283</v>
      </c>
      <c r="F4780" t="s">
        <v>2923</v>
      </c>
      <c r="G4780" t="s">
        <v>1432</v>
      </c>
      <c r="H4780" t="s">
        <v>6621</v>
      </c>
      <c r="I4780">
        <v>7</v>
      </c>
      <c r="J4780" t="s">
        <v>9059</v>
      </c>
      <c r="K4780">
        <v>11213</v>
      </c>
      <c r="L4780" t="s">
        <v>9094</v>
      </c>
      <c r="M4780" t="s">
        <v>9095</v>
      </c>
      <c r="N4780" t="s">
        <v>9144</v>
      </c>
      <c r="O4780" t="s">
        <v>9121</v>
      </c>
      <c r="P4780" t="s">
        <v>11167</v>
      </c>
      <c r="R4780" t="s">
        <v>11180</v>
      </c>
      <c r="S4780" t="s">
        <v>9094</v>
      </c>
      <c r="T4780" t="s">
        <v>11183</v>
      </c>
      <c r="U4780" t="s">
        <v>11201</v>
      </c>
      <c r="V4780" t="s">
        <v>283</v>
      </c>
      <c r="W4780">
        <v>931.36</v>
      </c>
      <c r="X4780" t="s">
        <v>11332</v>
      </c>
      <c r="Y4780" t="s">
        <v>11346</v>
      </c>
      <c r="Z4780" t="s">
        <v>14445</v>
      </c>
      <c r="AA4780" t="s">
        <v>9144</v>
      </c>
      <c r="AC4780">
        <v>31</v>
      </c>
      <c r="AD4780" t="s">
        <v>19566</v>
      </c>
      <c r="AE4780" t="s">
        <v>9144</v>
      </c>
      <c r="AF4780">
        <v>35</v>
      </c>
      <c r="AG4780">
        <v>2</v>
      </c>
      <c r="AH4780">
        <v>0</v>
      </c>
      <c r="AI4780">
        <v>189.24</v>
      </c>
      <c r="AL4780" t="s">
        <v>19614</v>
      </c>
      <c r="AM4780">
        <v>32000</v>
      </c>
      <c r="AN4780" t="s">
        <v>20047</v>
      </c>
      <c r="AS4780">
        <v>0</v>
      </c>
      <c r="AU4780" t="s">
        <v>95</v>
      </c>
      <c r="AV4780" t="s">
        <v>20733</v>
      </c>
    </row>
    <row r="4781" spans="1:48">
      <c r="A4781" s="1">
        <f>HYPERLINK("https://lsnyc.legalserver.org/matter/dynamic-profile/view/1914043","19-1914043")</f>
        <v>0</v>
      </c>
      <c r="B4781" t="s">
        <v>136</v>
      </c>
      <c r="C4781" t="s">
        <v>256</v>
      </c>
      <c r="D4781" t="s">
        <v>395</v>
      </c>
      <c r="F4781" t="s">
        <v>2845</v>
      </c>
      <c r="G4781" t="s">
        <v>4871</v>
      </c>
      <c r="H4781" t="s">
        <v>5961</v>
      </c>
      <c r="I4781">
        <v>506</v>
      </c>
      <c r="J4781" t="s">
        <v>9067</v>
      </c>
      <c r="K4781">
        <v>10029</v>
      </c>
      <c r="L4781" t="s">
        <v>9094</v>
      </c>
      <c r="M4781" t="s">
        <v>9095</v>
      </c>
      <c r="O4781" t="s">
        <v>9121</v>
      </c>
      <c r="P4781" t="s">
        <v>11169</v>
      </c>
      <c r="R4781" t="s">
        <v>11180</v>
      </c>
      <c r="S4781" t="s">
        <v>9094</v>
      </c>
      <c r="T4781" t="s">
        <v>11183</v>
      </c>
      <c r="U4781" t="s">
        <v>11201</v>
      </c>
      <c r="V4781" t="s">
        <v>301</v>
      </c>
      <c r="W4781">
        <v>689</v>
      </c>
      <c r="X4781" t="s">
        <v>11335</v>
      </c>
      <c r="Y4781" t="s">
        <v>11339</v>
      </c>
      <c r="Z4781" t="s">
        <v>14278</v>
      </c>
      <c r="AB4781" t="s">
        <v>18765</v>
      </c>
      <c r="AC4781">
        <v>108</v>
      </c>
      <c r="AD4781" t="s">
        <v>19566</v>
      </c>
      <c r="AE4781" t="s">
        <v>19580</v>
      </c>
      <c r="AF4781">
        <v>1</v>
      </c>
      <c r="AG4781">
        <v>1</v>
      </c>
      <c r="AH4781">
        <v>1</v>
      </c>
      <c r="AI4781">
        <v>189.24</v>
      </c>
      <c r="AL4781" t="s">
        <v>19614</v>
      </c>
      <c r="AM4781">
        <v>32000</v>
      </c>
      <c r="AS4781">
        <v>0</v>
      </c>
      <c r="AU4781" t="s">
        <v>20657</v>
      </c>
      <c r="AV4781" t="s">
        <v>20733</v>
      </c>
    </row>
    <row r="4782" spans="1:48">
      <c r="A4782" s="1">
        <f>HYPERLINK("https://lsnyc.legalserver.org/matter/dynamic-profile/view/1914688","19-1914688")</f>
        <v>0</v>
      </c>
      <c r="B4782" t="s">
        <v>125</v>
      </c>
      <c r="C4782" t="s">
        <v>256</v>
      </c>
      <c r="D4782" t="s">
        <v>476</v>
      </c>
      <c r="F4782" t="s">
        <v>1197</v>
      </c>
      <c r="G4782" t="s">
        <v>5191</v>
      </c>
      <c r="H4782" t="s">
        <v>6284</v>
      </c>
      <c r="I4782" t="s">
        <v>8886</v>
      </c>
      <c r="J4782" t="s">
        <v>9066</v>
      </c>
      <c r="K4782">
        <v>10301</v>
      </c>
      <c r="L4782" t="s">
        <v>9095</v>
      </c>
      <c r="M4782" t="s">
        <v>9095</v>
      </c>
      <c r="N4782" t="s">
        <v>10827</v>
      </c>
      <c r="O4782" t="s">
        <v>11129</v>
      </c>
      <c r="P4782" t="s">
        <v>11167</v>
      </c>
      <c r="R4782" t="s">
        <v>11180</v>
      </c>
      <c r="S4782" t="s">
        <v>9096</v>
      </c>
      <c r="T4782" t="s">
        <v>11183</v>
      </c>
      <c r="W4782">
        <v>1747.09</v>
      </c>
      <c r="X4782" t="s">
        <v>11334</v>
      </c>
      <c r="Y4782" t="s">
        <v>11350</v>
      </c>
      <c r="Z4782" t="s">
        <v>14446</v>
      </c>
      <c r="AB4782" t="s">
        <v>18766</v>
      </c>
      <c r="AC4782">
        <v>100</v>
      </c>
      <c r="AD4782" t="s">
        <v>19566</v>
      </c>
      <c r="AE4782" t="s">
        <v>9144</v>
      </c>
      <c r="AF4782">
        <v>18</v>
      </c>
      <c r="AG4782">
        <v>1</v>
      </c>
      <c r="AH4782">
        <v>0</v>
      </c>
      <c r="AI4782">
        <v>189.43</v>
      </c>
      <c r="AL4782" t="s">
        <v>19614</v>
      </c>
      <c r="AM4782">
        <v>23660</v>
      </c>
      <c r="AS4782">
        <v>1.65</v>
      </c>
      <c r="AT4782" t="s">
        <v>1130</v>
      </c>
      <c r="AU4782" t="s">
        <v>20638</v>
      </c>
    </row>
    <row r="4783" spans="1:48">
      <c r="A4783" s="1">
        <f>HYPERLINK("https://lsnyc.legalserver.org/matter/dynamic-profile/view/1884541","18-1884541")</f>
        <v>0</v>
      </c>
      <c r="B4783" t="s">
        <v>114</v>
      </c>
      <c r="C4783" t="s">
        <v>257</v>
      </c>
      <c r="D4783" t="s">
        <v>323</v>
      </c>
      <c r="E4783" t="s">
        <v>263</v>
      </c>
      <c r="F4783" t="s">
        <v>1656</v>
      </c>
      <c r="G4783" t="s">
        <v>3732</v>
      </c>
      <c r="H4783" t="s">
        <v>5907</v>
      </c>
      <c r="I4783" t="s">
        <v>8887</v>
      </c>
      <c r="J4783" t="s">
        <v>9065</v>
      </c>
      <c r="K4783">
        <v>10451</v>
      </c>
      <c r="L4783" t="s">
        <v>9094</v>
      </c>
      <c r="M4783" t="s">
        <v>9094</v>
      </c>
      <c r="N4783" t="s">
        <v>9259</v>
      </c>
      <c r="O4783" t="s">
        <v>11130</v>
      </c>
      <c r="P4783" t="s">
        <v>11165</v>
      </c>
      <c r="Q4783" t="s">
        <v>11174</v>
      </c>
      <c r="R4783" t="s">
        <v>11180</v>
      </c>
      <c r="S4783" t="s">
        <v>9094</v>
      </c>
      <c r="T4783" t="s">
        <v>11183</v>
      </c>
      <c r="V4783" t="s">
        <v>738</v>
      </c>
      <c r="W4783">
        <v>1468</v>
      </c>
      <c r="X4783" t="s">
        <v>11333</v>
      </c>
      <c r="Y4783" t="s">
        <v>11346</v>
      </c>
      <c r="Z4783" t="s">
        <v>14447</v>
      </c>
      <c r="AB4783" t="s">
        <v>18767</v>
      </c>
      <c r="AC4783">
        <v>100</v>
      </c>
      <c r="AD4783" t="s">
        <v>19565</v>
      </c>
      <c r="AE4783" t="s">
        <v>9144</v>
      </c>
      <c r="AF4783">
        <v>35</v>
      </c>
      <c r="AG4783">
        <v>1</v>
      </c>
      <c r="AH4783">
        <v>0</v>
      </c>
      <c r="AI4783">
        <v>189.46</v>
      </c>
      <c r="AL4783" t="s">
        <v>19614</v>
      </c>
      <c r="AM4783">
        <v>23000</v>
      </c>
      <c r="AS4783">
        <v>0.25</v>
      </c>
      <c r="AT4783" t="s">
        <v>263</v>
      </c>
      <c r="AU4783" t="s">
        <v>163</v>
      </c>
    </row>
    <row r="4784" spans="1:48">
      <c r="A4784" s="1">
        <f>HYPERLINK("https://lsnyc.legalserver.org/matter/dynamic-profile/view/1841119","17-1841119")</f>
        <v>0</v>
      </c>
      <c r="B4784" t="s">
        <v>108</v>
      </c>
      <c r="C4784" t="s">
        <v>256</v>
      </c>
      <c r="D4784" t="s">
        <v>770</v>
      </c>
      <c r="F4784" t="s">
        <v>1171</v>
      </c>
      <c r="G4784" t="s">
        <v>4597</v>
      </c>
      <c r="H4784" t="s">
        <v>5897</v>
      </c>
      <c r="I4784" t="s">
        <v>8222</v>
      </c>
      <c r="J4784" t="s">
        <v>9065</v>
      </c>
      <c r="K4784">
        <v>10452</v>
      </c>
      <c r="L4784" t="s">
        <v>9094</v>
      </c>
      <c r="M4784" t="s">
        <v>9095</v>
      </c>
      <c r="O4784" t="s">
        <v>11135</v>
      </c>
      <c r="P4784" t="s">
        <v>11168</v>
      </c>
      <c r="R4784" t="s">
        <v>11180</v>
      </c>
      <c r="S4784" t="s">
        <v>9094</v>
      </c>
      <c r="T4784" t="s">
        <v>11183</v>
      </c>
      <c r="V4784" t="s">
        <v>770</v>
      </c>
      <c r="W4784">
        <v>705.09</v>
      </c>
      <c r="X4784" t="s">
        <v>11333</v>
      </c>
      <c r="Y4784" t="s">
        <v>11346</v>
      </c>
      <c r="Z4784" t="s">
        <v>14448</v>
      </c>
      <c r="AB4784" t="s">
        <v>18768</v>
      </c>
      <c r="AC4784">
        <v>122</v>
      </c>
      <c r="AD4784" t="s">
        <v>19566</v>
      </c>
      <c r="AF4784">
        <v>24</v>
      </c>
      <c r="AG4784">
        <v>2</v>
      </c>
      <c r="AH4784">
        <v>0</v>
      </c>
      <c r="AI4784">
        <v>189.48</v>
      </c>
      <c r="AL4784" t="s">
        <v>19614</v>
      </c>
      <c r="AM4784">
        <v>41019.88</v>
      </c>
      <c r="AS4784">
        <v>0</v>
      </c>
      <c r="AU4784" t="s">
        <v>20647</v>
      </c>
    </row>
    <row r="4785" spans="1:48">
      <c r="A4785" s="1">
        <f>HYPERLINK("https://lsnyc.legalserver.org/matter/dynamic-profile/view/1857418","18-1857418")</f>
        <v>0</v>
      </c>
      <c r="B4785" t="s">
        <v>108</v>
      </c>
      <c r="C4785" t="s">
        <v>256</v>
      </c>
      <c r="D4785" t="s">
        <v>468</v>
      </c>
      <c r="F4785" t="s">
        <v>1171</v>
      </c>
      <c r="G4785" t="s">
        <v>4597</v>
      </c>
      <c r="H4785" t="s">
        <v>5897</v>
      </c>
      <c r="I4785" t="s">
        <v>8222</v>
      </c>
      <c r="J4785" t="s">
        <v>9065</v>
      </c>
      <c r="K4785">
        <v>10452</v>
      </c>
      <c r="L4785" t="s">
        <v>9094</v>
      </c>
      <c r="M4785" t="s">
        <v>9095</v>
      </c>
      <c r="N4785" t="s">
        <v>9253</v>
      </c>
      <c r="O4785" t="s">
        <v>11135</v>
      </c>
      <c r="P4785" t="s">
        <v>11168</v>
      </c>
      <c r="R4785" t="s">
        <v>11180</v>
      </c>
      <c r="S4785" t="s">
        <v>9094</v>
      </c>
      <c r="T4785" t="s">
        <v>11183</v>
      </c>
      <c r="V4785" t="s">
        <v>11233</v>
      </c>
      <c r="W4785">
        <v>705.09</v>
      </c>
      <c r="X4785" t="s">
        <v>11333</v>
      </c>
      <c r="Y4785" t="s">
        <v>11346</v>
      </c>
      <c r="Z4785" t="s">
        <v>14448</v>
      </c>
      <c r="AB4785" t="s">
        <v>18768</v>
      </c>
      <c r="AC4785">
        <v>122</v>
      </c>
      <c r="AD4785" t="s">
        <v>19566</v>
      </c>
      <c r="AF4785">
        <v>24</v>
      </c>
      <c r="AG4785">
        <v>2</v>
      </c>
      <c r="AH4785">
        <v>0</v>
      </c>
      <c r="AI4785">
        <v>189.48</v>
      </c>
      <c r="AL4785" t="s">
        <v>19614</v>
      </c>
      <c r="AM4785">
        <v>41019.88</v>
      </c>
      <c r="AS4785">
        <v>0</v>
      </c>
      <c r="AU4785" t="s">
        <v>20647</v>
      </c>
    </row>
    <row r="4786" spans="1:48">
      <c r="A4786" s="1">
        <f>HYPERLINK("https://lsnyc.legalserver.org/matter/dynamic-profile/view/1843398","17-1843398")</f>
        <v>0</v>
      </c>
      <c r="B4786" t="s">
        <v>111</v>
      </c>
      <c r="C4786" t="s">
        <v>256</v>
      </c>
      <c r="D4786" t="s">
        <v>1081</v>
      </c>
      <c r="F4786" t="s">
        <v>1655</v>
      </c>
      <c r="G4786" t="s">
        <v>3411</v>
      </c>
      <c r="H4786" t="s">
        <v>7439</v>
      </c>
      <c r="I4786" t="s">
        <v>8888</v>
      </c>
      <c r="J4786" t="s">
        <v>9065</v>
      </c>
      <c r="K4786">
        <v>10451</v>
      </c>
      <c r="L4786" t="s">
        <v>9094</v>
      </c>
      <c r="M4786" t="s">
        <v>9095</v>
      </c>
      <c r="O4786" t="s">
        <v>11137</v>
      </c>
      <c r="P4786" t="s">
        <v>11166</v>
      </c>
      <c r="R4786" t="s">
        <v>11180</v>
      </c>
      <c r="S4786" t="s">
        <v>9094</v>
      </c>
      <c r="T4786" t="s">
        <v>11183</v>
      </c>
      <c r="V4786" t="s">
        <v>11223</v>
      </c>
      <c r="W4786">
        <v>1106.48</v>
      </c>
      <c r="X4786" t="s">
        <v>11333</v>
      </c>
      <c r="Y4786" t="s">
        <v>11338</v>
      </c>
      <c r="Z4786" t="s">
        <v>14449</v>
      </c>
      <c r="AB4786" t="s">
        <v>18769</v>
      </c>
      <c r="AC4786">
        <v>936</v>
      </c>
      <c r="AD4786" t="s">
        <v>19568</v>
      </c>
      <c r="AE4786" t="s">
        <v>9144</v>
      </c>
      <c r="AF4786">
        <v>21</v>
      </c>
      <c r="AG4786">
        <v>1</v>
      </c>
      <c r="AH4786">
        <v>0</v>
      </c>
      <c r="AI4786">
        <v>189.52</v>
      </c>
      <c r="AJ4786" t="s">
        <v>19602</v>
      </c>
      <c r="AL4786" t="s">
        <v>19614</v>
      </c>
      <c r="AM4786">
        <v>22856.16</v>
      </c>
      <c r="AN4786" t="s">
        <v>20048</v>
      </c>
      <c r="AS4786">
        <v>2.35</v>
      </c>
      <c r="AT4786" t="s">
        <v>439</v>
      </c>
      <c r="AU4786" t="s">
        <v>20643</v>
      </c>
    </row>
    <row r="4787" spans="1:48">
      <c r="A4787" s="1">
        <f>HYPERLINK("https://lsnyc.legalserver.org/matter/dynamic-profile/view/1860438","18-1860438")</f>
        <v>0</v>
      </c>
      <c r="B4787" t="s">
        <v>52</v>
      </c>
      <c r="C4787" t="s">
        <v>256</v>
      </c>
      <c r="D4787" t="s">
        <v>836</v>
      </c>
      <c r="F4787" t="s">
        <v>1597</v>
      </c>
      <c r="G4787" t="s">
        <v>5192</v>
      </c>
      <c r="H4787" t="s">
        <v>6711</v>
      </c>
      <c r="I4787" t="s">
        <v>8655</v>
      </c>
      <c r="J4787" t="s">
        <v>9039</v>
      </c>
      <c r="K4787">
        <v>11432</v>
      </c>
      <c r="L4787" t="s">
        <v>9094</v>
      </c>
      <c r="M4787" t="s">
        <v>9095</v>
      </c>
      <c r="N4787" t="s">
        <v>9703</v>
      </c>
      <c r="O4787" t="s">
        <v>11135</v>
      </c>
      <c r="P4787" t="s">
        <v>11168</v>
      </c>
      <c r="R4787" t="s">
        <v>11180</v>
      </c>
      <c r="S4787" t="s">
        <v>9094</v>
      </c>
      <c r="T4787" t="s">
        <v>11189</v>
      </c>
      <c r="V4787" t="s">
        <v>11249</v>
      </c>
      <c r="W4787">
        <v>1300</v>
      </c>
      <c r="X4787" t="s">
        <v>11331</v>
      </c>
      <c r="Y4787" t="s">
        <v>11340</v>
      </c>
      <c r="Z4787" t="s">
        <v>14450</v>
      </c>
      <c r="AB4787" t="s">
        <v>18770</v>
      </c>
      <c r="AC4787">
        <v>60</v>
      </c>
      <c r="AD4787" t="s">
        <v>19566</v>
      </c>
      <c r="AE4787" t="s">
        <v>9144</v>
      </c>
      <c r="AF4787">
        <v>38</v>
      </c>
      <c r="AG4787">
        <v>2</v>
      </c>
      <c r="AH4787">
        <v>0</v>
      </c>
      <c r="AI4787">
        <v>189.55</v>
      </c>
      <c r="AJ4787" t="s">
        <v>19592</v>
      </c>
      <c r="AL4787" t="s">
        <v>19615</v>
      </c>
      <c r="AM4787">
        <v>31200</v>
      </c>
      <c r="AS4787">
        <v>0.1</v>
      </c>
      <c r="AT4787" t="s">
        <v>848</v>
      </c>
      <c r="AU4787" t="s">
        <v>153</v>
      </c>
    </row>
    <row r="4788" spans="1:48">
      <c r="A4788" s="1">
        <f>HYPERLINK("https://lsnyc.legalserver.org/matter/dynamic-profile/view/1860441","18-1860441")</f>
        <v>0</v>
      </c>
      <c r="B4788" t="s">
        <v>52</v>
      </c>
      <c r="C4788" t="s">
        <v>256</v>
      </c>
      <c r="D4788" t="s">
        <v>836</v>
      </c>
      <c r="F4788" t="s">
        <v>1597</v>
      </c>
      <c r="G4788" t="s">
        <v>5192</v>
      </c>
      <c r="H4788" t="s">
        <v>6711</v>
      </c>
      <c r="I4788" t="s">
        <v>8655</v>
      </c>
      <c r="J4788" t="s">
        <v>9039</v>
      </c>
      <c r="K4788">
        <v>11432</v>
      </c>
      <c r="L4788" t="s">
        <v>9094</v>
      </c>
      <c r="M4788" t="s">
        <v>9095</v>
      </c>
      <c r="N4788" t="s">
        <v>9698</v>
      </c>
      <c r="O4788" t="s">
        <v>11135</v>
      </c>
      <c r="P4788" t="s">
        <v>11168</v>
      </c>
      <c r="R4788" t="s">
        <v>11180</v>
      </c>
      <c r="S4788" t="s">
        <v>9094</v>
      </c>
      <c r="T4788" t="s">
        <v>11189</v>
      </c>
      <c r="V4788" t="s">
        <v>11249</v>
      </c>
      <c r="W4788">
        <v>1300</v>
      </c>
      <c r="X4788" t="s">
        <v>11331</v>
      </c>
      <c r="Y4788" t="s">
        <v>11340</v>
      </c>
      <c r="Z4788" t="s">
        <v>14450</v>
      </c>
      <c r="AA4788" t="s">
        <v>9171</v>
      </c>
      <c r="AB4788" t="s">
        <v>18770</v>
      </c>
      <c r="AC4788">
        <v>60</v>
      </c>
      <c r="AD4788" t="s">
        <v>19566</v>
      </c>
      <c r="AE4788" t="s">
        <v>9144</v>
      </c>
      <c r="AF4788">
        <v>37</v>
      </c>
      <c r="AG4788">
        <v>2</v>
      </c>
      <c r="AH4788">
        <v>0</v>
      </c>
      <c r="AI4788">
        <v>189.55</v>
      </c>
      <c r="AJ4788" t="s">
        <v>19592</v>
      </c>
      <c r="AL4788" t="s">
        <v>19615</v>
      </c>
      <c r="AM4788">
        <v>31200</v>
      </c>
      <c r="AS4788">
        <v>0.2</v>
      </c>
      <c r="AT4788" t="s">
        <v>848</v>
      </c>
      <c r="AU4788" t="s">
        <v>153</v>
      </c>
    </row>
    <row r="4789" spans="1:48">
      <c r="A4789" s="1">
        <f>HYPERLINK("https://lsnyc.legalserver.org/matter/dynamic-profile/view/1882916","18-1882916")</f>
        <v>0</v>
      </c>
      <c r="B4789" t="s">
        <v>65</v>
      </c>
      <c r="C4789" t="s">
        <v>257</v>
      </c>
      <c r="D4789" t="s">
        <v>589</v>
      </c>
      <c r="E4789" t="s">
        <v>377</v>
      </c>
      <c r="F4789" t="s">
        <v>1268</v>
      </c>
      <c r="G4789" t="s">
        <v>3460</v>
      </c>
      <c r="H4789" t="s">
        <v>5806</v>
      </c>
      <c r="I4789" t="s">
        <v>8194</v>
      </c>
      <c r="J4789" t="s">
        <v>9059</v>
      </c>
      <c r="K4789">
        <v>11213</v>
      </c>
      <c r="L4789" t="s">
        <v>9094</v>
      </c>
      <c r="M4789" t="s">
        <v>9094</v>
      </c>
      <c r="N4789" t="s">
        <v>10828</v>
      </c>
      <c r="O4789" t="s">
        <v>11128</v>
      </c>
      <c r="P4789" t="s">
        <v>11165</v>
      </c>
      <c r="Q4789" t="s">
        <v>11174</v>
      </c>
      <c r="R4789" t="s">
        <v>11180</v>
      </c>
      <c r="S4789" t="s">
        <v>9096</v>
      </c>
      <c r="T4789" t="s">
        <v>11183</v>
      </c>
      <c r="U4789" t="s">
        <v>11201</v>
      </c>
      <c r="V4789" t="s">
        <v>691</v>
      </c>
      <c r="W4789">
        <v>1158.98</v>
      </c>
      <c r="X4789" t="s">
        <v>11332</v>
      </c>
      <c r="Y4789" t="s">
        <v>11340</v>
      </c>
      <c r="Z4789" t="s">
        <v>11504</v>
      </c>
      <c r="AA4789" t="s">
        <v>15299</v>
      </c>
      <c r="AB4789" t="s">
        <v>16005</v>
      </c>
      <c r="AC4789">
        <v>134</v>
      </c>
      <c r="AD4789" t="s">
        <v>19566</v>
      </c>
      <c r="AE4789" t="s">
        <v>9144</v>
      </c>
      <c r="AF4789">
        <v>11</v>
      </c>
      <c r="AG4789">
        <v>1</v>
      </c>
      <c r="AH4789">
        <v>1</v>
      </c>
      <c r="AI4789">
        <v>189.55</v>
      </c>
      <c r="AL4789" t="s">
        <v>19614</v>
      </c>
      <c r="AM4789">
        <v>31200</v>
      </c>
      <c r="AO4789" t="s">
        <v>20292</v>
      </c>
      <c r="AP4789" t="s">
        <v>20317</v>
      </c>
      <c r="AQ4789" t="s">
        <v>20369</v>
      </c>
      <c r="AS4789">
        <v>52.36</v>
      </c>
      <c r="AT4789" t="s">
        <v>377</v>
      </c>
      <c r="AU4789" t="s">
        <v>20628</v>
      </c>
      <c r="AV4789" t="s">
        <v>20733</v>
      </c>
    </row>
    <row r="4790" spans="1:48">
      <c r="A4790" s="1">
        <f>HYPERLINK("https://lsnyc.legalserver.org/matter/dynamic-profile/view/1907530","19-1907530")</f>
        <v>0</v>
      </c>
      <c r="B4790" t="s">
        <v>98</v>
      </c>
      <c r="C4790" t="s">
        <v>256</v>
      </c>
      <c r="D4790" t="s">
        <v>275</v>
      </c>
      <c r="F4790" t="s">
        <v>2091</v>
      </c>
      <c r="G4790" t="s">
        <v>3699</v>
      </c>
      <c r="H4790" t="s">
        <v>5851</v>
      </c>
      <c r="I4790" t="s">
        <v>8178</v>
      </c>
      <c r="J4790" t="s">
        <v>9065</v>
      </c>
      <c r="K4790">
        <v>10474</v>
      </c>
      <c r="L4790" t="s">
        <v>9095</v>
      </c>
      <c r="M4790" t="s">
        <v>9095</v>
      </c>
      <c r="N4790" t="s">
        <v>9218</v>
      </c>
      <c r="O4790" t="s">
        <v>11134</v>
      </c>
      <c r="P4790" t="s">
        <v>11168</v>
      </c>
      <c r="R4790" t="s">
        <v>11180</v>
      </c>
      <c r="T4790" t="s">
        <v>11183</v>
      </c>
      <c r="W4790">
        <v>0</v>
      </c>
      <c r="X4790" t="s">
        <v>11333</v>
      </c>
      <c r="Z4790" t="s">
        <v>13860</v>
      </c>
      <c r="AB4790" t="s">
        <v>18771</v>
      </c>
      <c r="AC4790">
        <v>0</v>
      </c>
      <c r="AF4790">
        <v>0</v>
      </c>
      <c r="AG4790">
        <v>4</v>
      </c>
      <c r="AH4790">
        <v>1</v>
      </c>
      <c r="AI4790">
        <v>189.59</v>
      </c>
      <c r="AL4790" t="s">
        <v>19615</v>
      </c>
      <c r="AM4790">
        <v>57200</v>
      </c>
      <c r="AS4790">
        <v>0</v>
      </c>
      <c r="AU4790" t="s">
        <v>98</v>
      </c>
    </row>
    <row r="4791" spans="1:48">
      <c r="A4791" s="1">
        <f>HYPERLINK("https://lsnyc.legalserver.org/matter/dynamic-profile/view/1907095","19-1907095")</f>
        <v>0</v>
      </c>
      <c r="B4791" t="s">
        <v>98</v>
      </c>
      <c r="C4791" t="s">
        <v>256</v>
      </c>
      <c r="D4791" t="s">
        <v>328</v>
      </c>
      <c r="F4791" t="s">
        <v>2091</v>
      </c>
      <c r="G4791" t="s">
        <v>3699</v>
      </c>
      <c r="H4791" t="s">
        <v>5851</v>
      </c>
      <c r="I4791" t="s">
        <v>8178</v>
      </c>
      <c r="J4791" t="s">
        <v>9065</v>
      </c>
      <c r="K4791">
        <v>10474</v>
      </c>
      <c r="L4791" t="s">
        <v>9094</v>
      </c>
      <c r="M4791" t="s">
        <v>9095</v>
      </c>
      <c r="N4791" t="s">
        <v>9536</v>
      </c>
      <c r="O4791" t="s">
        <v>11130</v>
      </c>
      <c r="P4791" t="s">
        <v>11165</v>
      </c>
      <c r="R4791" t="s">
        <v>11180</v>
      </c>
      <c r="S4791" t="s">
        <v>9094</v>
      </c>
      <c r="T4791" t="s">
        <v>11183</v>
      </c>
      <c r="W4791">
        <v>1750</v>
      </c>
      <c r="X4791" t="s">
        <v>11333</v>
      </c>
      <c r="Y4791" t="s">
        <v>11346</v>
      </c>
      <c r="Z4791" t="s">
        <v>13860</v>
      </c>
      <c r="AB4791" t="s">
        <v>18771</v>
      </c>
      <c r="AC4791">
        <v>45</v>
      </c>
      <c r="AD4791" t="s">
        <v>19566</v>
      </c>
      <c r="AE4791" t="s">
        <v>9144</v>
      </c>
      <c r="AF4791">
        <v>5</v>
      </c>
      <c r="AG4791">
        <v>4</v>
      </c>
      <c r="AH4791">
        <v>1</v>
      </c>
      <c r="AI4791">
        <v>189.59</v>
      </c>
      <c r="AL4791" t="s">
        <v>19615</v>
      </c>
      <c r="AM4791">
        <v>57200</v>
      </c>
      <c r="AS4791">
        <v>0</v>
      </c>
      <c r="AU4791" t="s">
        <v>163</v>
      </c>
      <c r="AV4791" t="s">
        <v>20733</v>
      </c>
    </row>
    <row r="4792" spans="1:48">
      <c r="A4792" s="1">
        <f>HYPERLINK("https://lsnyc.legalserver.org/matter/dynamic-profile/view/1843178","17-1843178")</f>
        <v>0</v>
      </c>
      <c r="B4792" t="s">
        <v>93</v>
      </c>
      <c r="C4792" t="s">
        <v>256</v>
      </c>
      <c r="D4792" t="s">
        <v>860</v>
      </c>
      <c r="F4792" t="s">
        <v>1300</v>
      </c>
      <c r="G4792" t="s">
        <v>5161</v>
      </c>
      <c r="H4792" t="s">
        <v>5973</v>
      </c>
      <c r="J4792" t="s">
        <v>9059</v>
      </c>
      <c r="K4792">
        <v>11206</v>
      </c>
      <c r="L4792" t="s">
        <v>9094</v>
      </c>
      <c r="M4792" t="s">
        <v>9094</v>
      </c>
      <c r="N4792" t="s">
        <v>10829</v>
      </c>
      <c r="O4792" t="s">
        <v>11132</v>
      </c>
      <c r="P4792" t="s">
        <v>11165</v>
      </c>
      <c r="R4792" t="s">
        <v>11180</v>
      </c>
      <c r="S4792" t="s">
        <v>9096</v>
      </c>
      <c r="T4792" t="s">
        <v>11183</v>
      </c>
      <c r="V4792" t="s">
        <v>996</v>
      </c>
      <c r="W4792">
        <v>588</v>
      </c>
      <c r="X4792" t="s">
        <v>11332</v>
      </c>
      <c r="Y4792" t="s">
        <v>11346</v>
      </c>
      <c r="Z4792" t="s">
        <v>14381</v>
      </c>
      <c r="AB4792" t="s">
        <v>18702</v>
      </c>
      <c r="AC4792">
        <v>8</v>
      </c>
      <c r="AD4792" t="s">
        <v>19566</v>
      </c>
      <c r="AF4792">
        <v>4</v>
      </c>
      <c r="AG4792">
        <v>1</v>
      </c>
      <c r="AH4792">
        <v>1</v>
      </c>
      <c r="AI4792">
        <v>189.66</v>
      </c>
      <c r="AL4792" t="s">
        <v>19614</v>
      </c>
      <c r="AM4792">
        <v>30800</v>
      </c>
      <c r="AN4792" t="s">
        <v>19720</v>
      </c>
      <c r="AS4792">
        <v>42.25</v>
      </c>
      <c r="AT4792" t="s">
        <v>474</v>
      </c>
      <c r="AU4792" t="s">
        <v>20636</v>
      </c>
    </row>
    <row r="4793" spans="1:48">
      <c r="A4793" s="1">
        <f>HYPERLINK("https://lsnyc.legalserver.org/matter/dynamic-profile/view/1860276","18-1860276")</f>
        <v>0</v>
      </c>
      <c r="B4793" t="s">
        <v>94</v>
      </c>
      <c r="C4793" t="s">
        <v>257</v>
      </c>
      <c r="D4793" t="s">
        <v>828</v>
      </c>
      <c r="E4793" t="s">
        <v>333</v>
      </c>
      <c r="F4793" t="s">
        <v>1300</v>
      </c>
      <c r="G4793" t="s">
        <v>5161</v>
      </c>
      <c r="H4793" t="s">
        <v>5973</v>
      </c>
      <c r="J4793" t="s">
        <v>9059</v>
      </c>
      <c r="K4793">
        <v>11206</v>
      </c>
      <c r="L4793" t="s">
        <v>9094</v>
      </c>
      <c r="M4793" t="s">
        <v>9094</v>
      </c>
      <c r="N4793" t="s">
        <v>10830</v>
      </c>
      <c r="O4793" t="s">
        <v>11134</v>
      </c>
      <c r="P4793" t="s">
        <v>11168</v>
      </c>
      <c r="Q4793" t="s">
        <v>11172</v>
      </c>
      <c r="R4793" t="s">
        <v>11180</v>
      </c>
      <c r="S4793" t="s">
        <v>9094</v>
      </c>
      <c r="T4793" t="s">
        <v>11183</v>
      </c>
      <c r="V4793" t="s">
        <v>1097</v>
      </c>
      <c r="W4793">
        <v>588</v>
      </c>
      <c r="X4793" t="s">
        <v>11332</v>
      </c>
      <c r="Y4793" t="s">
        <v>11340</v>
      </c>
      <c r="Z4793" t="s">
        <v>14381</v>
      </c>
      <c r="AB4793" t="s">
        <v>18702</v>
      </c>
      <c r="AC4793">
        <v>8</v>
      </c>
      <c r="AD4793" t="s">
        <v>19566</v>
      </c>
      <c r="AF4793">
        <v>4</v>
      </c>
      <c r="AG4793">
        <v>1</v>
      </c>
      <c r="AH4793">
        <v>1</v>
      </c>
      <c r="AI4793">
        <v>189.66</v>
      </c>
      <c r="AL4793" t="s">
        <v>19614</v>
      </c>
      <c r="AM4793">
        <v>30800</v>
      </c>
      <c r="AN4793" t="s">
        <v>19720</v>
      </c>
      <c r="AS4793">
        <v>1.8</v>
      </c>
      <c r="AT4793" t="s">
        <v>264</v>
      </c>
      <c r="AU4793" t="s">
        <v>95</v>
      </c>
      <c r="AV4793" t="s">
        <v>20733</v>
      </c>
    </row>
    <row r="4794" spans="1:48">
      <c r="A4794" s="1">
        <f>HYPERLINK("https://lsnyc.legalserver.org/matter/dynamic-profile/view/0771642","15-0771642")</f>
        <v>0</v>
      </c>
      <c r="B4794" t="s">
        <v>86</v>
      </c>
      <c r="C4794" t="s">
        <v>256</v>
      </c>
      <c r="D4794" t="s">
        <v>1082</v>
      </c>
      <c r="F4794" t="s">
        <v>2727</v>
      </c>
      <c r="G4794" t="s">
        <v>4453</v>
      </c>
      <c r="H4794" t="s">
        <v>7787</v>
      </c>
      <c r="I4794" t="s">
        <v>8529</v>
      </c>
      <c r="J4794" t="s">
        <v>9059</v>
      </c>
      <c r="K4794">
        <v>11213</v>
      </c>
      <c r="L4794" t="s">
        <v>9096</v>
      </c>
      <c r="M4794" t="s">
        <v>9095</v>
      </c>
      <c r="O4794" t="s">
        <v>11128</v>
      </c>
      <c r="P4794" t="s">
        <v>11165</v>
      </c>
      <c r="R4794" t="s">
        <v>11180</v>
      </c>
      <c r="T4794" t="s">
        <v>11183</v>
      </c>
      <c r="V4794" t="s">
        <v>11231</v>
      </c>
      <c r="W4794">
        <v>1248</v>
      </c>
      <c r="X4794" t="s">
        <v>11332</v>
      </c>
      <c r="Z4794" t="s">
        <v>14451</v>
      </c>
      <c r="AB4794" t="s">
        <v>18772</v>
      </c>
      <c r="AC4794">
        <v>23</v>
      </c>
      <c r="AD4794" t="s">
        <v>19566</v>
      </c>
      <c r="AF4794">
        <v>5</v>
      </c>
      <c r="AG4794">
        <v>2</v>
      </c>
      <c r="AH4794">
        <v>2</v>
      </c>
      <c r="AI4794">
        <v>189.69</v>
      </c>
      <c r="AJ4794" t="s">
        <v>805</v>
      </c>
      <c r="AL4794" t="s">
        <v>19615</v>
      </c>
      <c r="AM4794">
        <v>46000</v>
      </c>
      <c r="AS4794">
        <v>78.15000000000001</v>
      </c>
      <c r="AT4794" t="s">
        <v>496</v>
      </c>
      <c r="AU4794" t="s">
        <v>233</v>
      </c>
    </row>
    <row r="4795" spans="1:48">
      <c r="A4795" s="1">
        <f>HYPERLINK("https://lsnyc.legalserver.org/matter/dynamic-profile/view/1864089","18-1864089")</f>
        <v>0</v>
      </c>
      <c r="B4795" t="s">
        <v>140</v>
      </c>
      <c r="C4795" t="s">
        <v>256</v>
      </c>
      <c r="D4795" t="s">
        <v>505</v>
      </c>
      <c r="F4795" t="s">
        <v>2865</v>
      </c>
      <c r="G4795" t="s">
        <v>3765</v>
      </c>
      <c r="H4795" t="s">
        <v>5999</v>
      </c>
      <c r="J4795" t="s">
        <v>9067</v>
      </c>
      <c r="K4795">
        <v>10040</v>
      </c>
      <c r="L4795" t="s">
        <v>9094</v>
      </c>
      <c r="M4795" t="s">
        <v>9095</v>
      </c>
      <c r="N4795" t="s">
        <v>9314</v>
      </c>
      <c r="O4795" t="s">
        <v>11130</v>
      </c>
      <c r="P4795" t="s">
        <v>11165</v>
      </c>
      <c r="R4795" t="s">
        <v>11180</v>
      </c>
      <c r="S4795" t="s">
        <v>9094</v>
      </c>
      <c r="T4795" t="s">
        <v>11183</v>
      </c>
      <c r="V4795" t="s">
        <v>505</v>
      </c>
      <c r="W4795">
        <v>1147</v>
      </c>
      <c r="X4795" t="s">
        <v>11335</v>
      </c>
      <c r="Y4795" t="s">
        <v>11340</v>
      </c>
      <c r="Z4795" t="s">
        <v>14318</v>
      </c>
      <c r="AB4795" t="s">
        <v>18639</v>
      </c>
      <c r="AC4795">
        <v>44</v>
      </c>
      <c r="AD4795" t="s">
        <v>19566</v>
      </c>
      <c r="AE4795" t="s">
        <v>9144</v>
      </c>
      <c r="AF4795">
        <v>8</v>
      </c>
      <c r="AG4795">
        <v>3</v>
      </c>
      <c r="AH4795">
        <v>0</v>
      </c>
      <c r="AI4795">
        <v>189.76</v>
      </c>
      <c r="AJ4795" t="s">
        <v>982</v>
      </c>
      <c r="AL4795" t="s">
        <v>19615</v>
      </c>
      <c r="AM4795">
        <v>39432</v>
      </c>
      <c r="AS4795">
        <v>0.7</v>
      </c>
      <c r="AT4795" t="s">
        <v>1135</v>
      </c>
      <c r="AU4795" t="s">
        <v>130</v>
      </c>
    </row>
    <row r="4796" spans="1:48">
      <c r="A4796" s="1">
        <f>HYPERLINK("https://lsnyc.legalserver.org/matter/dynamic-profile/view/1856168","18-1856168")</f>
        <v>0</v>
      </c>
      <c r="B4796" t="s">
        <v>127</v>
      </c>
      <c r="C4796" t="s">
        <v>256</v>
      </c>
      <c r="D4796" t="s">
        <v>662</v>
      </c>
      <c r="F4796" t="s">
        <v>2071</v>
      </c>
      <c r="G4796" t="s">
        <v>5193</v>
      </c>
      <c r="H4796" t="s">
        <v>7125</v>
      </c>
      <c r="I4796" t="s">
        <v>8267</v>
      </c>
      <c r="J4796" t="s">
        <v>9066</v>
      </c>
      <c r="K4796">
        <v>10301</v>
      </c>
      <c r="L4796" t="s">
        <v>9094</v>
      </c>
      <c r="M4796" t="s">
        <v>9095</v>
      </c>
      <c r="N4796" t="s">
        <v>10831</v>
      </c>
      <c r="O4796" t="s">
        <v>11130</v>
      </c>
      <c r="P4796" t="s">
        <v>11165</v>
      </c>
      <c r="R4796" t="s">
        <v>11180</v>
      </c>
      <c r="S4796" t="s">
        <v>9096</v>
      </c>
      <c r="T4796" t="s">
        <v>11183</v>
      </c>
      <c r="V4796" t="s">
        <v>662</v>
      </c>
      <c r="W4796">
        <v>1250</v>
      </c>
      <c r="X4796" t="s">
        <v>11334</v>
      </c>
      <c r="Y4796" t="s">
        <v>11339</v>
      </c>
      <c r="Z4796" t="s">
        <v>14452</v>
      </c>
      <c r="AA4796" t="s">
        <v>9144</v>
      </c>
      <c r="AB4796" t="s">
        <v>18773</v>
      </c>
      <c r="AC4796">
        <v>100</v>
      </c>
      <c r="AD4796" t="s">
        <v>19566</v>
      </c>
      <c r="AE4796" t="s">
        <v>9144</v>
      </c>
      <c r="AF4796">
        <v>5</v>
      </c>
      <c r="AG4796">
        <v>2</v>
      </c>
      <c r="AH4796">
        <v>0</v>
      </c>
      <c r="AI4796">
        <v>189.84</v>
      </c>
      <c r="AL4796" t="s">
        <v>19614</v>
      </c>
      <c r="AM4796">
        <v>31248</v>
      </c>
      <c r="AS4796">
        <v>16.6</v>
      </c>
      <c r="AT4796" t="s">
        <v>624</v>
      </c>
      <c r="AU4796" t="s">
        <v>20718</v>
      </c>
    </row>
    <row r="4797" spans="1:48">
      <c r="A4797" s="1">
        <f>HYPERLINK("https://lsnyc.legalserver.org/matter/dynamic-profile/view/1897091","19-1897091")</f>
        <v>0</v>
      </c>
      <c r="B4797" t="s">
        <v>52</v>
      </c>
      <c r="C4797" t="s">
        <v>257</v>
      </c>
      <c r="D4797" t="s">
        <v>296</v>
      </c>
      <c r="E4797" t="s">
        <v>1016</v>
      </c>
      <c r="F4797" t="s">
        <v>2924</v>
      </c>
      <c r="G4797" t="s">
        <v>3846</v>
      </c>
      <c r="H4797" t="s">
        <v>5692</v>
      </c>
      <c r="I4797" t="s">
        <v>8121</v>
      </c>
      <c r="J4797" t="s">
        <v>9038</v>
      </c>
      <c r="K4797">
        <v>11691</v>
      </c>
      <c r="L4797" t="s">
        <v>9094</v>
      </c>
      <c r="M4797" t="s">
        <v>9094</v>
      </c>
      <c r="O4797" t="s">
        <v>11134</v>
      </c>
      <c r="P4797" t="s">
        <v>11167</v>
      </c>
      <c r="Q4797" t="s">
        <v>11173</v>
      </c>
      <c r="R4797" t="s">
        <v>11180</v>
      </c>
      <c r="S4797" t="s">
        <v>9094</v>
      </c>
      <c r="T4797" t="s">
        <v>11183</v>
      </c>
      <c r="U4797" t="s">
        <v>11201</v>
      </c>
      <c r="V4797" t="s">
        <v>296</v>
      </c>
      <c r="W4797">
        <v>675</v>
      </c>
      <c r="X4797" t="s">
        <v>11331</v>
      </c>
      <c r="Y4797" t="s">
        <v>11336</v>
      </c>
      <c r="Z4797" t="s">
        <v>14453</v>
      </c>
      <c r="AA4797" t="s">
        <v>15274</v>
      </c>
      <c r="AB4797" t="s">
        <v>18774</v>
      </c>
      <c r="AC4797">
        <v>43</v>
      </c>
      <c r="AD4797" t="s">
        <v>19566</v>
      </c>
      <c r="AE4797" t="s">
        <v>9144</v>
      </c>
      <c r="AF4797">
        <v>4</v>
      </c>
      <c r="AG4797">
        <v>1</v>
      </c>
      <c r="AH4797">
        <v>0</v>
      </c>
      <c r="AI4797">
        <v>190.47</v>
      </c>
      <c r="AL4797" t="s">
        <v>19614</v>
      </c>
      <c r="AM4797">
        <v>23790</v>
      </c>
      <c r="AS4797">
        <v>0.15</v>
      </c>
      <c r="AT4797" t="s">
        <v>1016</v>
      </c>
      <c r="AU4797" t="s">
        <v>20622</v>
      </c>
      <c r="AV4797" t="s">
        <v>20733</v>
      </c>
    </row>
    <row r="4798" spans="1:48">
      <c r="A4798" s="1">
        <f>HYPERLINK("https://lsnyc.legalserver.org/matter/dynamic-profile/view/1897102","19-1897102")</f>
        <v>0</v>
      </c>
      <c r="B4798" t="s">
        <v>52</v>
      </c>
      <c r="C4798" t="s">
        <v>256</v>
      </c>
      <c r="D4798" t="s">
        <v>296</v>
      </c>
      <c r="F4798" t="s">
        <v>2924</v>
      </c>
      <c r="G4798" t="s">
        <v>3846</v>
      </c>
      <c r="H4798" t="s">
        <v>5692</v>
      </c>
      <c r="I4798" t="s">
        <v>8121</v>
      </c>
      <c r="J4798" t="s">
        <v>9038</v>
      </c>
      <c r="K4798">
        <v>11691</v>
      </c>
      <c r="L4798" t="s">
        <v>9094</v>
      </c>
      <c r="M4798" t="s">
        <v>9094</v>
      </c>
      <c r="O4798" t="s">
        <v>11136</v>
      </c>
      <c r="P4798" t="s">
        <v>11167</v>
      </c>
      <c r="R4798" t="s">
        <v>11180</v>
      </c>
      <c r="S4798" t="s">
        <v>9094</v>
      </c>
      <c r="T4798" t="s">
        <v>11183</v>
      </c>
      <c r="V4798" t="s">
        <v>296</v>
      </c>
      <c r="W4798">
        <v>675</v>
      </c>
      <c r="X4798" t="s">
        <v>11331</v>
      </c>
      <c r="Y4798" t="s">
        <v>11336</v>
      </c>
      <c r="Z4798" t="s">
        <v>14453</v>
      </c>
      <c r="AA4798" t="s">
        <v>15274</v>
      </c>
      <c r="AB4798" t="s">
        <v>18774</v>
      </c>
      <c r="AC4798">
        <v>43</v>
      </c>
      <c r="AD4798" t="s">
        <v>19566</v>
      </c>
      <c r="AE4798" t="s">
        <v>9144</v>
      </c>
      <c r="AF4798">
        <v>4</v>
      </c>
      <c r="AG4798">
        <v>1</v>
      </c>
      <c r="AH4798">
        <v>0</v>
      </c>
      <c r="AI4798">
        <v>190.47</v>
      </c>
      <c r="AL4798" t="s">
        <v>19614</v>
      </c>
      <c r="AM4798">
        <v>23790</v>
      </c>
      <c r="AS4798">
        <v>0.05</v>
      </c>
      <c r="AT4798" t="s">
        <v>736</v>
      </c>
      <c r="AU4798" t="s">
        <v>20622</v>
      </c>
    </row>
    <row r="4799" spans="1:48">
      <c r="A4799" s="1">
        <f>HYPERLINK("https://lsnyc.legalserver.org/matter/dynamic-profile/view/1875209","18-1875209")</f>
        <v>0</v>
      </c>
      <c r="B4799" t="s">
        <v>68</v>
      </c>
      <c r="C4799" t="s">
        <v>257</v>
      </c>
      <c r="D4799" t="s">
        <v>624</v>
      </c>
      <c r="E4799" t="s">
        <v>367</v>
      </c>
      <c r="F4799" t="s">
        <v>1801</v>
      </c>
      <c r="G4799" t="s">
        <v>4012</v>
      </c>
      <c r="H4799" t="s">
        <v>7788</v>
      </c>
      <c r="I4799" t="s">
        <v>8128</v>
      </c>
      <c r="J4799" t="s">
        <v>9059</v>
      </c>
      <c r="K4799">
        <v>11233</v>
      </c>
      <c r="L4799" t="s">
        <v>9094</v>
      </c>
      <c r="M4799" t="s">
        <v>9094</v>
      </c>
      <c r="N4799" t="s">
        <v>10832</v>
      </c>
      <c r="O4799" t="s">
        <v>11128</v>
      </c>
      <c r="P4799" t="s">
        <v>11167</v>
      </c>
      <c r="Q4799" t="s">
        <v>11173</v>
      </c>
      <c r="R4799" t="s">
        <v>11180</v>
      </c>
      <c r="S4799" t="s">
        <v>9096</v>
      </c>
      <c r="T4799" t="s">
        <v>11183</v>
      </c>
      <c r="U4799" t="s">
        <v>11201</v>
      </c>
      <c r="V4799" t="s">
        <v>624</v>
      </c>
      <c r="W4799">
        <v>650</v>
      </c>
      <c r="X4799" t="s">
        <v>11332</v>
      </c>
      <c r="Y4799" t="s">
        <v>11341</v>
      </c>
      <c r="Z4799" t="s">
        <v>14454</v>
      </c>
      <c r="AA4799" t="s">
        <v>15441</v>
      </c>
      <c r="AB4799" t="s">
        <v>18775</v>
      </c>
      <c r="AC4799">
        <v>6</v>
      </c>
      <c r="AD4799" t="s">
        <v>19566</v>
      </c>
      <c r="AE4799" t="s">
        <v>9144</v>
      </c>
      <c r="AF4799">
        <v>31</v>
      </c>
      <c r="AG4799">
        <v>2</v>
      </c>
      <c r="AH4799">
        <v>0</v>
      </c>
      <c r="AI4799">
        <v>190.47</v>
      </c>
      <c r="AL4799" t="s">
        <v>19614</v>
      </c>
      <c r="AM4799">
        <v>31352</v>
      </c>
      <c r="AN4799" t="s">
        <v>20049</v>
      </c>
      <c r="AS4799">
        <v>7.75</v>
      </c>
      <c r="AT4799" t="s">
        <v>768</v>
      </c>
      <c r="AU4799" t="s">
        <v>95</v>
      </c>
    </row>
    <row r="4800" spans="1:48">
      <c r="A4800" s="1">
        <f>HYPERLINK("https://lsnyc.legalserver.org/matter/dynamic-profile/view/1882511","18-1882511")</f>
        <v>0</v>
      </c>
      <c r="B4800" t="s">
        <v>71</v>
      </c>
      <c r="C4800" t="s">
        <v>256</v>
      </c>
      <c r="D4800" t="s">
        <v>323</v>
      </c>
      <c r="F4800" t="s">
        <v>1492</v>
      </c>
      <c r="G4800" t="s">
        <v>5194</v>
      </c>
      <c r="H4800" t="s">
        <v>7789</v>
      </c>
      <c r="I4800">
        <v>2</v>
      </c>
      <c r="J4800" t="s">
        <v>9059</v>
      </c>
      <c r="K4800">
        <v>11233</v>
      </c>
      <c r="L4800" t="s">
        <v>9094</v>
      </c>
      <c r="M4800" t="s">
        <v>9094</v>
      </c>
      <c r="N4800" t="s">
        <v>10833</v>
      </c>
      <c r="O4800" t="s">
        <v>11129</v>
      </c>
      <c r="P4800" t="s">
        <v>11165</v>
      </c>
      <c r="R4800" t="s">
        <v>11180</v>
      </c>
      <c r="S4800" t="s">
        <v>9096</v>
      </c>
      <c r="T4800" t="s">
        <v>11183</v>
      </c>
      <c r="U4800" t="s">
        <v>11201</v>
      </c>
      <c r="V4800" t="s">
        <v>635</v>
      </c>
      <c r="W4800">
        <v>1025</v>
      </c>
      <c r="X4800" t="s">
        <v>11332</v>
      </c>
      <c r="Y4800" t="s">
        <v>11345</v>
      </c>
      <c r="Z4800" t="s">
        <v>14455</v>
      </c>
      <c r="AA4800">
        <v>17593488</v>
      </c>
      <c r="AB4800" t="s">
        <v>18776</v>
      </c>
      <c r="AC4800">
        <v>3</v>
      </c>
      <c r="AD4800" t="s">
        <v>19565</v>
      </c>
      <c r="AE4800" t="s">
        <v>9144</v>
      </c>
      <c r="AF4800">
        <v>8</v>
      </c>
      <c r="AG4800">
        <v>3</v>
      </c>
      <c r="AH4800">
        <v>0</v>
      </c>
      <c r="AI4800">
        <v>190.57</v>
      </c>
      <c r="AL4800" t="s">
        <v>19614</v>
      </c>
      <c r="AM4800">
        <v>39600</v>
      </c>
      <c r="AS4800">
        <v>30.1</v>
      </c>
      <c r="AT4800" t="s">
        <v>20612</v>
      </c>
      <c r="AU4800" t="s">
        <v>20660</v>
      </c>
      <c r="AV4800" t="s">
        <v>20733</v>
      </c>
    </row>
    <row r="4801" spans="1:48">
      <c r="A4801" s="1">
        <f>HYPERLINK("https://lsnyc.legalserver.org/matter/dynamic-profile/view/1886734","18-1886734")</f>
        <v>0</v>
      </c>
      <c r="B4801" t="s">
        <v>70</v>
      </c>
      <c r="C4801" t="s">
        <v>256</v>
      </c>
      <c r="D4801" t="s">
        <v>738</v>
      </c>
      <c r="F4801" t="s">
        <v>1687</v>
      </c>
      <c r="G4801" t="s">
        <v>3380</v>
      </c>
      <c r="H4801" t="s">
        <v>5748</v>
      </c>
      <c r="I4801" t="s">
        <v>8568</v>
      </c>
      <c r="J4801" t="s">
        <v>9059</v>
      </c>
      <c r="K4801">
        <v>11233</v>
      </c>
      <c r="L4801" t="s">
        <v>9094</v>
      </c>
      <c r="M4801" t="s">
        <v>9094</v>
      </c>
      <c r="N4801" t="s">
        <v>9145</v>
      </c>
      <c r="O4801" t="s">
        <v>11134</v>
      </c>
      <c r="P4801" t="s">
        <v>11168</v>
      </c>
      <c r="R4801" t="s">
        <v>11180</v>
      </c>
      <c r="S4801" t="s">
        <v>9094</v>
      </c>
      <c r="T4801" t="s">
        <v>11183</v>
      </c>
      <c r="U4801" t="s">
        <v>11201</v>
      </c>
      <c r="V4801" t="s">
        <v>347</v>
      </c>
      <c r="W4801">
        <v>1076.55</v>
      </c>
      <c r="X4801" t="s">
        <v>11332</v>
      </c>
      <c r="Y4801" t="s">
        <v>11347</v>
      </c>
      <c r="Z4801" t="s">
        <v>14410</v>
      </c>
      <c r="AB4801" t="s">
        <v>18733</v>
      </c>
      <c r="AC4801">
        <v>764</v>
      </c>
      <c r="AD4801" t="s">
        <v>19566</v>
      </c>
      <c r="AE4801" t="s">
        <v>19587</v>
      </c>
      <c r="AF4801">
        <v>21</v>
      </c>
      <c r="AG4801">
        <v>1</v>
      </c>
      <c r="AH4801">
        <v>0</v>
      </c>
      <c r="AI4801">
        <v>190.71</v>
      </c>
      <c r="AL4801" t="s">
        <v>19614</v>
      </c>
      <c r="AM4801">
        <v>23152.8</v>
      </c>
      <c r="AS4801">
        <v>0</v>
      </c>
      <c r="AU4801" t="s">
        <v>79</v>
      </c>
    </row>
    <row r="4802" spans="1:48">
      <c r="A4802" s="1">
        <f>HYPERLINK("https://lsnyc.legalserver.org/matter/dynamic-profile/view/1847570","17-1847570")</f>
        <v>0</v>
      </c>
      <c r="B4802" t="s">
        <v>136</v>
      </c>
      <c r="C4802" t="s">
        <v>256</v>
      </c>
      <c r="D4802" t="s">
        <v>1057</v>
      </c>
      <c r="F4802" t="s">
        <v>2288</v>
      </c>
      <c r="G4802" t="s">
        <v>5195</v>
      </c>
      <c r="H4802" t="s">
        <v>7790</v>
      </c>
      <c r="I4802" t="s">
        <v>8889</v>
      </c>
      <c r="J4802" t="s">
        <v>9067</v>
      </c>
      <c r="K4802">
        <v>10034</v>
      </c>
      <c r="L4802" t="s">
        <v>9094</v>
      </c>
      <c r="M4802" t="s">
        <v>9095</v>
      </c>
      <c r="O4802" t="s">
        <v>9121</v>
      </c>
      <c r="P4802" t="s">
        <v>11166</v>
      </c>
      <c r="R4802" t="s">
        <v>11180</v>
      </c>
      <c r="S4802" t="s">
        <v>9096</v>
      </c>
      <c r="T4802" t="s">
        <v>11183</v>
      </c>
      <c r="V4802" t="s">
        <v>942</v>
      </c>
      <c r="W4802">
        <v>2300</v>
      </c>
      <c r="X4802" t="s">
        <v>11335</v>
      </c>
      <c r="Y4802" t="s">
        <v>11338</v>
      </c>
      <c r="Z4802" t="s">
        <v>14456</v>
      </c>
      <c r="AB4802" t="s">
        <v>18777</v>
      </c>
      <c r="AC4802">
        <v>228</v>
      </c>
      <c r="AD4802" t="s">
        <v>19566</v>
      </c>
      <c r="AE4802" t="s">
        <v>9144</v>
      </c>
      <c r="AF4802">
        <v>9</v>
      </c>
      <c r="AG4802">
        <v>1</v>
      </c>
      <c r="AH4802">
        <v>0</v>
      </c>
      <c r="AI4802">
        <v>190.71</v>
      </c>
      <c r="AL4802" t="s">
        <v>19614</v>
      </c>
      <c r="AM4802">
        <v>23000</v>
      </c>
      <c r="AS4802">
        <v>81.25</v>
      </c>
      <c r="AT4802" t="s">
        <v>377</v>
      </c>
      <c r="AU4802" t="s">
        <v>130</v>
      </c>
    </row>
    <row r="4803" spans="1:48">
      <c r="A4803" s="1">
        <f>HYPERLINK("https://lsnyc.legalserver.org/matter/dynamic-profile/view/1890827","19-1890827")</f>
        <v>0</v>
      </c>
      <c r="B4803" t="s">
        <v>134</v>
      </c>
      <c r="C4803" t="s">
        <v>256</v>
      </c>
      <c r="D4803" t="s">
        <v>267</v>
      </c>
      <c r="F4803" t="s">
        <v>1146</v>
      </c>
      <c r="G4803" t="s">
        <v>5196</v>
      </c>
      <c r="H4803" t="s">
        <v>5957</v>
      </c>
      <c r="I4803" t="s">
        <v>8119</v>
      </c>
      <c r="J4803" t="s">
        <v>9067</v>
      </c>
      <c r="K4803">
        <v>10032</v>
      </c>
      <c r="L4803" t="s">
        <v>9094</v>
      </c>
      <c r="M4803" t="s">
        <v>9094</v>
      </c>
      <c r="P4803" t="s">
        <v>11166</v>
      </c>
      <c r="R4803" t="s">
        <v>11180</v>
      </c>
      <c r="S4803" t="s">
        <v>9094</v>
      </c>
      <c r="T4803" t="s">
        <v>11183</v>
      </c>
      <c r="V4803" t="s">
        <v>267</v>
      </c>
      <c r="W4803">
        <v>699.15</v>
      </c>
      <c r="X4803" t="s">
        <v>11335</v>
      </c>
      <c r="Y4803" t="s">
        <v>11338</v>
      </c>
      <c r="Z4803" t="s">
        <v>14457</v>
      </c>
      <c r="AB4803" t="s">
        <v>18778</v>
      </c>
      <c r="AC4803">
        <v>0</v>
      </c>
      <c r="AD4803" t="s">
        <v>19566</v>
      </c>
      <c r="AE4803" t="s">
        <v>19587</v>
      </c>
      <c r="AF4803">
        <v>40</v>
      </c>
      <c r="AG4803">
        <v>1</v>
      </c>
      <c r="AH4803">
        <v>0</v>
      </c>
      <c r="AI4803">
        <v>190.71</v>
      </c>
      <c r="AL4803" t="s">
        <v>19615</v>
      </c>
      <c r="AM4803">
        <v>23820</v>
      </c>
      <c r="AS4803">
        <v>0</v>
      </c>
      <c r="AU4803" t="s">
        <v>130</v>
      </c>
      <c r="AV4803" t="s">
        <v>20733</v>
      </c>
    </row>
    <row r="4804" spans="1:48">
      <c r="A4804" s="1">
        <f>HYPERLINK("https://lsnyc.legalserver.org/matter/dynamic-profile/view/1885027","18-1885027")</f>
        <v>0</v>
      </c>
      <c r="B4804" t="s">
        <v>78</v>
      </c>
      <c r="C4804" t="s">
        <v>256</v>
      </c>
      <c r="D4804" t="s">
        <v>359</v>
      </c>
      <c r="F4804" t="s">
        <v>2905</v>
      </c>
      <c r="G4804" t="s">
        <v>5175</v>
      </c>
      <c r="H4804" t="s">
        <v>5805</v>
      </c>
      <c r="I4804" t="s">
        <v>8197</v>
      </c>
      <c r="J4804" t="s">
        <v>9059</v>
      </c>
      <c r="K4804">
        <v>11213</v>
      </c>
      <c r="L4804" t="s">
        <v>9094</v>
      </c>
      <c r="M4804" t="s">
        <v>9094</v>
      </c>
      <c r="N4804" t="s">
        <v>9121</v>
      </c>
      <c r="O4804" t="s">
        <v>11134</v>
      </c>
      <c r="P4804" t="s">
        <v>11168</v>
      </c>
      <c r="R4804" t="s">
        <v>11180</v>
      </c>
      <c r="S4804" t="s">
        <v>9094</v>
      </c>
      <c r="T4804" t="s">
        <v>11183</v>
      </c>
      <c r="U4804" t="s">
        <v>11201</v>
      </c>
      <c r="V4804" t="s">
        <v>11236</v>
      </c>
      <c r="W4804">
        <v>1507.16</v>
      </c>
      <c r="X4804" t="s">
        <v>11332</v>
      </c>
      <c r="Y4804" t="s">
        <v>11348</v>
      </c>
      <c r="Z4804" t="s">
        <v>12445</v>
      </c>
      <c r="AA4804" t="s">
        <v>15290</v>
      </c>
      <c r="AB4804" t="s">
        <v>18735</v>
      </c>
      <c r="AC4804">
        <v>19</v>
      </c>
      <c r="AD4804" t="s">
        <v>19566</v>
      </c>
      <c r="AE4804" t="s">
        <v>19580</v>
      </c>
      <c r="AF4804">
        <v>22</v>
      </c>
      <c r="AG4804">
        <v>4</v>
      </c>
      <c r="AH4804">
        <v>0</v>
      </c>
      <c r="AI4804">
        <v>190.88</v>
      </c>
      <c r="AL4804" t="s">
        <v>19614</v>
      </c>
      <c r="AM4804">
        <v>47909.8</v>
      </c>
      <c r="AS4804">
        <v>13.15</v>
      </c>
      <c r="AT4804" t="s">
        <v>337</v>
      </c>
      <c r="AU4804" t="s">
        <v>95</v>
      </c>
    </row>
    <row r="4805" spans="1:48">
      <c r="A4805" s="1">
        <f>HYPERLINK("https://lsnyc.legalserver.org/matter/dynamic-profile/view/1885020","18-1885020")</f>
        <v>0</v>
      </c>
      <c r="B4805" t="s">
        <v>102</v>
      </c>
      <c r="C4805" t="s">
        <v>256</v>
      </c>
      <c r="D4805" t="s">
        <v>359</v>
      </c>
      <c r="F4805" t="s">
        <v>2905</v>
      </c>
      <c r="G4805" t="s">
        <v>5175</v>
      </c>
      <c r="H4805" t="s">
        <v>5805</v>
      </c>
      <c r="I4805" t="s">
        <v>8197</v>
      </c>
      <c r="J4805" t="s">
        <v>9059</v>
      </c>
      <c r="K4805">
        <v>11213</v>
      </c>
      <c r="L4805" t="s">
        <v>9094</v>
      </c>
      <c r="M4805" t="s">
        <v>9094</v>
      </c>
      <c r="N4805" t="s">
        <v>9575</v>
      </c>
      <c r="O4805" t="s">
        <v>11130</v>
      </c>
      <c r="P4805" t="s">
        <v>11165</v>
      </c>
      <c r="R4805" t="s">
        <v>11180</v>
      </c>
      <c r="S4805" t="s">
        <v>9096</v>
      </c>
      <c r="T4805" t="s">
        <v>11183</v>
      </c>
      <c r="U4805" t="s">
        <v>11201</v>
      </c>
      <c r="V4805" t="s">
        <v>817</v>
      </c>
      <c r="W4805">
        <v>1507.16</v>
      </c>
      <c r="X4805" t="s">
        <v>11332</v>
      </c>
      <c r="Y4805" t="s">
        <v>11348</v>
      </c>
      <c r="Z4805" t="s">
        <v>12445</v>
      </c>
      <c r="AA4805" t="s">
        <v>15487</v>
      </c>
      <c r="AB4805" t="s">
        <v>18735</v>
      </c>
      <c r="AC4805">
        <v>19</v>
      </c>
      <c r="AD4805" t="s">
        <v>19566</v>
      </c>
      <c r="AE4805" t="s">
        <v>19580</v>
      </c>
      <c r="AF4805">
        <v>22</v>
      </c>
      <c r="AG4805">
        <v>4</v>
      </c>
      <c r="AH4805">
        <v>0</v>
      </c>
      <c r="AI4805">
        <v>190.88</v>
      </c>
      <c r="AL4805" t="s">
        <v>19614</v>
      </c>
      <c r="AM4805">
        <v>47909.8</v>
      </c>
      <c r="AS4805">
        <v>113.65</v>
      </c>
      <c r="AT4805" t="s">
        <v>263</v>
      </c>
      <c r="AU4805" t="s">
        <v>95</v>
      </c>
    </row>
    <row r="4806" spans="1:48">
      <c r="A4806" s="1">
        <f>HYPERLINK("https://lsnyc.legalserver.org/matter/dynamic-profile/view/0830085","17-0830085")</f>
        <v>0</v>
      </c>
      <c r="B4806" t="s">
        <v>78</v>
      </c>
      <c r="C4806" t="s">
        <v>256</v>
      </c>
      <c r="D4806" t="s">
        <v>804</v>
      </c>
      <c r="F4806" t="s">
        <v>1238</v>
      </c>
      <c r="G4806" t="s">
        <v>4709</v>
      </c>
      <c r="H4806" t="s">
        <v>5809</v>
      </c>
      <c r="I4806" t="s">
        <v>8390</v>
      </c>
      <c r="J4806" t="s">
        <v>9059</v>
      </c>
      <c r="K4806">
        <v>11212</v>
      </c>
      <c r="L4806" t="s">
        <v>9094</v>
      </c>
      <c r="M4806" t="s">
        <v>9095</v>
      </c>
      <c r="N4806" t="s">
        <v>9189</v>
      </c>
      <c r="O4806" t="s">
        <v>11135</v>
      </c>
      <c r="P4806" t="s">
        <v>11167</v>
      </c>
      <c r="R4806" t="s">
        <v>11180</v>
      </c>
      <c r="S4806" t="s">
        <v>9094</v>
      </c>
      <c r="T4806" t="s">
        <v>11183</v>
      </c>
      <c r="V4806" t="s">
        <v>804</v>
      </c>
      <c r="W4806">
        <v>893.61</v>
      </c>
      <c r="X4806" t="s">
        <v>11332</v>
      </c>
      <c r="Y4806" t="s">
        <v>11157</v>
      </c>
      <c r="Z4806" t="s">
        <v>13547</v>
      </c>
      <c r="AB4806" t="s">
        <v>17883</v>
      </c>
      <c r="AC4806">
        <v>32</v>
      </c>
      <c r="AD4806" t="s">
        <v>19566</v>
      </c>
      <c r="AF4806">
        <v>8</v>
      </c>
      <c r="AG4806">
        <v>3</v>
      </c>
      <c r="AH4806">
        <v>0</v>
      </c>
      <c r="AI4806">
        <v>190.99</v>
      </c>
      <c r="AL4806" t="s">
        <v>19614</v>
      </c>
      <c r="AM4806">
        <v>39000</v>
      </c>
      <c r="AS4806">
        <v>0.25</v>
      </c>
      <c r="AT4806" t="s">
        <v>778</v>
      </c>
      <c r="AU4806" t="s">
        <v>78</v>
      </c>
    </row>
    <row r="4807" spans="1:48">
      <c r="A4807" s="1">
        <f>HYPERLINK("https://lsnyc.legalserver.org/matter/dynamic-profile/view/1854121","17-1854121")</f>
        <v>0</v>
      </c>
      <c r="B4807" t="s">
        <v>103</v>
      </c>
      <c r="C4807" t="s">
        <v>256</v>
      </c>
      <c r="D4807" t="s">
        <v>789</v>
      </c>
      <c r="F4807" t="s">
        <v>2920</v>
      </c>
      <c r="G4807" t="s">
        <v>5185</v>
      </c>
      <c r="H4807" t="s">
        <v>6413</v>
      </c>
      <c r="I4807" t="s">
        <v>8115</v>
      </c>
      <c r="J4807" t="s">
        <v>9065</v>
      </c>
      <c r="K4807">
        <v>10456</v>
      </c>
      <c r="L4807" t="s">
        <v>9094</v>
      </c>
      <c r="M4807" t="s">
        <v>9095</v>
      </c>
      <c r="N4807" t="s">
        <v>9740</v>
      </c>
      <c r="O4807" t="s">
        <v>11135</v>
      </c>
      <c r="P4807" t="s">
        <v>11168</v>
      </c>
      <c r="R4807" t="s">
        <v>11180</v>
      </c>
      <c r="S4807" t="s">
        <v>9094</v>
      </c>
      <c r="T4807" t="s">
        <v>11183</v>
      </c>
      <c r="V4807" t="s">
        <v>11223</v>
      </c>
      <c r="W4807">
        <v>1255</v>
      </c>
      <c r="X4807" t="s">
        <v>11333</v>
      </c>
      <c r="Y4807" t="s">
        <v>11346</v>
      </c>
      <c r="Z4807" t="s">
        <v>14437</v>
      </c>
      <c r="AB4807" t="s">
        <v>18756</v>
      </c>
      <c r="AC4807">
        <v>61</v>
      </c>
      <c r="AD4807" t="s">
        <v>19566</v>
      </c>
      <c r="AE4807" t="s">
        <v>19580</v>
      </c>
      <c r="AF4807">
        <v>19</v>
      </c>
      <c r="AG4807">
        <v>3</v>
      </c>
      <c r="AH4807">
        <v>0</v>
      </c>
      <c r="AI4807">
        <v>190.99</v>
      </c>
      <c r="AJ4807" t="s">
        <v>19597</v>
      </c>
      <c r="AL4807" t="s">
        <v>19615</v>
      </c>
      <c r="AM4807">
        <v>39000</v>
      </c>
      <c r="AS4807">
        <v>0</v>
      </c>
      <c r="AU4807" t="s">
        <v>20643</v>
      </c>
    </row>
    <row r="4808" spans="1:48">
      <c r="A4808" s="1">
        <f>HYPERLINK("https://lsnyc.legalserver.org/matter/dynamic-profile/view/1913062","19-1913062")</f>
        <v>0</v>
      </c>
      <c r="B4808" t="s">
        <v>84</v>
      </c>
      <c r="C4808" t="s">
        <v>256</v>
      </c>
      <c r="D4808" t="s">
        <v>833</v>
      </c>
      <c r="F4808" t="s">
        <v>1550</v>
      </c>
      <c r="G4808" t="s">
        <v>5197</v>
      </c>
      <c r="H4808" t="s">
        <v>7791</v>
      </c>
      <c r="I4808">
        <v>12</v>
      </c>
      <c r="J4808" t="s">
        <v>9059</v>
      </c>
      <c r="K4808">
        <v>11217</v>
      </c>
      <c r="L4808" t="s">
        <v>9094</v>
      </c>
      <c r="M4808" t="s">
        <v>9095</v>
      </c>
      <c r="N4808" t="s">
        <v>10834</v>
      </c>
      <c r="O4808" t="s">
        <v>11129</v>
      </c>
      <c r="P4808" t="s">
        <v>11165</v>
      </c>
      <c r="R4808" t="s">
        <v>11180</v>
      </c>
      <c r="S4808" t="s">
        <v>9096</v>
      </c>
      <c r="T4808" t="s">
        <v>11183</v>
      </c>
      <c r="V4808" t="s">
        <v>833</v>
      </c>
      <c r="W4808">
        <v>740</v>
      </c>
      <c r="X4808" t="s">
        <v>11332</v>
      </c>
      <c r="Y4808" t="s">
        <v>11157</v>
      </c>
      <c r="Z4808" t="s">
        <v>12414</v>
      </c>
      <c r="AB4808" t="s">
        <v>18779</v>
      </c>
      <c r="AC4808">
        <v>12</v>
      </c>
      <c r="AD4808" t="s">
        <v>19569</v>
      </c>
      <c r="AF4808">
        <v>11</v>
      </c>
      <c r="AG4808">
        <v>1</v>
      </c>
      <c r="AH4808">
        <v>0</v>
      </c>
      <c r="AI4808">
        <v>191.35</v>
      </c>
      <c r="AL4808" t="s">
        <v>19614</v>
      </c>
      <c r="AM4808">
        <v>23900</v>
      </c>
      <c r="AS4808">
        <v>0.5</v>
      </c>
      <c r="AT4808" t="s">
        <v>833</v>
      </c>
      <c r="AU4808" t="s">
        <v>20638</v>
      </c>
      <c r="AV4808" t="s">
        <v>20733</v>
      </c>
    </row>
    <row r="4809" spans="1:48">
      <c r="A4809" s="1">
        <f>HYPERLINK("https://lsnyc.legalserver.org/matter/dynamic-profile/view/1894821","19-1894821")</f>
        <v>0</v>
      </c>
      <c r="B4809" t="s">
        <v>86</v>
      </c>
      <c r="C4809" t="s">
        <v>256</v>
      </c>
      <c r="D4809" t="s">
        <v>718</v>
      </c>
      <c r="F4809" t="s">
        <v>1170</v>
      </c>
      <c r="G4809" t="s">
        <v>1193</v>
      </c>
      <c r="H4809" t="s">
        <v>5788</v>
      </c>
      <c r="I4809" t="s">
        <v>8129</v>
      </c>
      <c r="J4809" t="s">
        <v>9059</v>
      </c>
      <c r="K4809">
        <v>11221</v>
      </c>
      <c r="L4809" t="s">
        <v>9094</v>
      </c>
      <c r="M4809" t="s">
        <v>9094</v>
      </c>
      <c r="O4809" t="s">
        <v>11136</v>
      </c>
      <c r="P4809" t="s">
        <v>11166</v>
      </c>
      <c r="R4809" t="s">
        <v>11180</v>
      </c>
      <c r="T4809" t="s">
        <v>11183</v>
      </c>
      <c r="V4809" t="s">
        <v>502</v>
      </c>
      <c r="W4809">
        <v>0</v>
      </c>
      <c r="X4809" t="s">
        <v>11332</v>
      </c>
      <c r="Z4809" t="s">
        <v>14458</v>
      </c>
      <c r="AB4809" t="s">
        <v>18780</v>
      </c>
      <c r="AC4809">
        <v>0</v>
      </c>
      <c r="AF4809">
        <v>0</v>
      </c>
      <c r="AG4809">
        <v>1</v>
      </c>
      <c r="AH4809">
        <v>0</v>
      </c>
      <c r="AI4809">
        <v>191.51</v>
      </c>
      <c r="AL4809" t="s">
        <v>19614</v>
      </c>
      <c r="AM4809">
        <v>23920</v>
      </c>
      <c r="AS4809">
        <v>0.2</v>
      </c>
      <c r="AT4809" t="s">
        <v>502</v>
      </c>
      <c r="AU4809" t="s">
        <v>215</v>
      </c>
    </row>
    <row r="4810" spans="1:48">
      <c r="A4810" s="1">
        <f>HYPERLINK("https://lsnyc.legalserver.org/matter/dynamic-profile/view/1843600","17-1843600")</f>
        <v>0</v>
      </c>
      <c r="B4810" t="s">
        <v>68</v>
      </c>
      <c r="C4810" t="s">
        <v>257</v>
      </c>
      <c r="D4810" t="s">
        <v>530</v>
      </c>
      <c r="E4810" t="s">
        <v>263</v>
      </c>
      <c r="F4810" t="s">
        <v>2925</v>
      </c>
      <c r="G4810" t="s">
        <v>3858</v>
      </c>
      <c r="H4810" t="s">
        <v>7792</v>
      </c>
      <c r="I4810">
        <v>7</v>
      </c>
      <c r="J4810" t="s">
        <v>9059</v>
      </c>
      <c r="K4810">
        <v>11207</v>
      </c>
      <c r="L4810" t="s">
        <v>9094</v>
      </c>
      <c r="M4810" t="s">
        <v>9095</v>
      </c>
      <c r="O4810" t="s">
        <v>9121</v>
      </c>
      <c r="P4810" t="s">
        <v>11165</v>
      </c>
      <c r="Q4810" t="s">
        <v>11174</v>
      </c>
      <c r="R4810" t="s">
        <v>11180</v>
      </c>
      <c r="S4810" t="s">
        <v>9096</v>
      </c>
      <c r="T4810" t="s">
        <v>11183</v>
      </c>
      <c r="V4810" t="s">
        <v>11215</v>
      </c>
      <c r="W4810">
        <v>1100</v>
      </c>
      <c r="X4810" t="s">
        <v>11332</v>
      </c>
      <c r="Y4810" t="s">
        <v>11340</v>
      </c>
      <c r="Z4810" t="s">
        <v>14459</v>
      </c>
      <c r="AA4810" t="s">
        <v>9171</v>
      </c>
      <c r="AB4810" t="s">
        <v>18781</v>
      </c>
      <c r="AC4810">
        <v>16</v>
      </c>
      <c r="AD4810" t="s">
        <v>19566</v>
      </c>
      <c r="AE4810" t="s">
        <v>9144</v>
      </c>
      <c r="AF4810">
        <v>23</v>
      </c>
      <c r="AG4810">
        <v>3</v>
      </c>
      <c r="AH4810">
        <v>0</v>
      </c>
      <c r="AI4810">
        <v>191.59</v>
      </c>
      <c r="AL4810" t="s">
        <v>19615</v>
      </c>
      <c r="AM4810">
        <v>61223</v>
      </c>
      <c r="AS4810">
        <v>96.3</v>
      </c>
      <c r="AT4810" t="s">
        <v>263</v>
      </c>
      <c r="AU4810" t="s">
        <v>20665</v>
      </c>
    </row>
    <row r="4811" spans="1:48">
      <c r="A4811" s="1">
        <f>HYPERLINK("https://lsnyc.legalserver.org/matter/dynamic-profile/view/1909245","19-1909245")</f>
        <v>0</v>
      </c>
      <c r="B4811" t="s">
        <v>84</v>
      </c>
      <c r="C4811" t="s">
        <v>256</v>
      </c>
      <c r="D4811" t="s">
        <v>472</v>
      </c>
      <c r="F4811" t="s">
        <v>2150</v>
      </c>
      <c r="G4811" t="s">
        <v>5198</v>
      </c>
      <c r="H4811" t="s">
        <v>7590</v>
      </c>
      <c r="I4811" t="s">
        <v>8172</v>
      </c>
      <c r="J4811" t="s">
        <v>9059</v>
      </c>
      <c r="K4811">
        <v>11219</v>
      </c>
      <c r="L4811" t="s">
        <v>9094</v>
      </c>
      <c r="M4811" t="s">
        <v>9095</v>
      </c>
      <c r="P4811" t="s">
        <v>11165</v>
      </c>
      <c r="R4811" t="s">
        <v>11180</v>
      </c>
      <c r="S4811" t="s">
        <v>9096</v>
      </c>
      <c r="T4811" t="s">
        <v>11183</v>
      </c>
      <c r="V4811" t="s">
        <v>472</v>
      </c>
      <c r="W4811">
        <v>1737.44</v>
      </c>
      <c r="X4811" t="s">
        <v>11332</v>
      </c>
      <c r="Z4811" t="s">
        <v>14460</v>
      </c>
      <c r="AB4811" t="s">
        <v>18782</v>
      </c>
      <c r="AC4811">
        <v>20</v>
      </c>
      <c r="AF4811">
        <v>8</v>
      </c>
      <c r="AG4811">
        <v>2</v>
      </c>
      <c r="AH4811">
        <v>1</v>
      </c>
      <c r="AI4811">
        <v>191.84</v>
      </c>
      <c r="AL4811" t="s">
        <v>19614</v>
      </c>
      <c r="AM4811">
        <v>40920</v>
      </c>
      <c r="AS4811">
        <v>0</v>
      </c>
      <c r="AU4811" t="s">
        <v>215</v>
      </c>
      <c r="AV4811" t="s">
        <v>20733</v>
      </c>
    </row>
    <row r="4812" spans="1:48">
      <c r="A4812" s="1">
        <f>HYPERLINK("https://lsnyc.legalserver.org/matter/dynamic-profile/view/1914138","19-1914138")</f>
        <v>0</v>
      </c>
      <c r="B4812" t="s">
        <v>98</v>
      </c>
      <c r="C4812" t="s">
        <v>256</v>
      </c>
      <c r="D4812" t="s">
        <v>395</v>
      </c>
      <c r="F4812" t="s">
        <v>2926</v>
      </c>
      <c r="G4812" t="s">
        <v>4525</v>
      </c>
      <c r="H4812" t="s">
        <v>5879</v>
      </c>
      <c r="I4812" t="s">
        <v>8132</v>
      </c>
      <c r="J4812" t="s">
        <v>9065</v>
      </c>
      <c r="K4812">
        <v>10456</v>
      </c>
      <c r="L4812" t="s">
        <v>9095</v>
      </c>
      <c r="M4812" t="s">
        <v>9095</v>
      </c>
      <c r="O4812" t="s">
        <v>11134</v>
      </c>
      <c r="P4812" t="s">
        <v>11168</v>
      </c>
      <c r="R4812" t="s">
        <v>11180</v>
      </c>
      <c r="S4812" t="s">
        <v>9094</v>
      </c>
      <c r="T4812" t="s">
        <v>11183</v>
      </c>
      <c r="W4812">
        <v>1206</v>
      </c>
      <c r="X4812" t="s">
        <v>11333</v>
      </c>
      <c r="Y4812" t="s">
        <v>11346</v>
      </c>
      <c r="Z4812" t="s">
        <v>14461</v>
      </c>
      <c r="AB4812" t="s">
        <v>18783</v>
      </c>
      <c r="AC4812">
        <v>30</v>
      </c>
      <c r="AD4812" t="s">
        <v>19566</v>
      </c>
      <c r="AF4812">
        <v>19</v>
      </c>
      <c r="AG4812">
        <v>2</v>
      </c>
      <c r="AH4812">
        <v>2</v>
      </c>
      <c r="AI4812">
        <v>191.84</v>
      </c>
      <c r="AL4812" t="s">
        <v>5133</v>
      </c>
      <c r="AM4812">
        <v>49400</v>
      </c>
      <c r="AS4812">
        <v>0</v>
      </c>
      <c r="AU4812" t="s">
        <v>98</v>
      </c>
    </row>
    <row r="4813" spans="1:48">
      <c r="A4813" s="1">
        <f>HYPERLINK("https://lsnyc.legalserver.org/matter/dynamic-profile/view/1912780","19-1912780")</f>
        <v>0</v>
      </c>
      <c r="B4813" t="s">
        <v>98</v>
      </c>
      <c r="C4813" t="s">
        <v>256</v>
      </c>
      <c r="D4813" t="s">
        <v>563</v>
      </c>
      <c r="F4813" t="s">
        <v>2926</v>
      </c>
      <c r="G4813" t="s">
        <v>4525</v>
      </c>
      <c r="H4813" t="s">
        <v>5879</v>
      </c>
      <c r="I4813" t="s">
        <v>8132</v>
      </c>
      <c r="J4813" t="s">
        <v>9065</v>
      </c>
      <c r="K4813">
        <v>10456</v>
      </c>
      <c r="L4813" t="s">
        <v>9094</v>
      </c>
      <c r="M4813" t="s">
        <v>9095</v>
      </c>
      <c r="N4813" t="s">
        <v>9235</v>
      </c>
      <c r="O4813" t="s">
        <v>11130</v>
      </c>
      <c r="P4813" t="s">
        <v>11165</v>
      </c>
      <c r="R4813" t="s">
        <v>11180</v>
      </c>
      <c r="S4813" t="s">
        <v>9094</v>
      </c>
      <c r="T4813" t="s">
        <v>11183</v>
      </c>
      <c r="W4813">
        <v>1206</v>
      </c>
      <c r="X4813" t="s">
        <v>11333</v>
      </c>
      <c r="Y4813" t="s">
        <v>11346</v>
      </c>
      <c r="Z4813" t="s">
        <v>14461</v>
      </c>
      <c r="AB4813" t="s">
        <v>18783</v>
      </c>
      <c r="AC4813">
        <v>30</v>
      </c>
      <c r="AD4813" t="s">
        <v>19566</v>
      </c>
      <c r="AE4813" t="s">
        <v>9144</v>
      </c>
      <c r="AF4813">
        <v>19</v>
      </c>
      <c r="AG4813">
        <v>2</v>
      </c>
      <c r="AH4813">
        <v>2</v>
      </c>
      <c r="AI4813">
        <v>191.84</v>
      </c>
      <c r="AL4813" t="s">
        <v>5133</v>
      </c>
      <c r="AM4813">
        <v>49400</v>
      </c>
      <c r="AS4813">
        <v>0</v>
      </c>
      <c r="AU4813" t="s">
        <v>110</v>
      </c>
      <c r="AV4813" t="s">
        <v>20733</v>
      </c>
    </row>
    <row r="4814" spans="1:48">
      <c r="A4814" s="1">
        <f>HYPERLINK("https://lsnyc.legalserver.org/matter/dynamic-profile/view/1874517","18-1874517")</f>
        <v>0</v>
      </c>
      <c r="B4814" t="s">
        <v>86</v>
      </c>
      <c r="C4814" t="s">
        <v>256</v>
      </c>
      <c r="D4814" t="s">
        <v>260</v>
      </c>
      <c r="F4814" t="s">
        <v>2241</v>
      </c>
      <c r="G4814" t="s">
        <v>5199</v>
      </c>
      <c r="H4814" t="s">
        <v>7793</v>
      </c>
      <c r="I4814" t="s">
        <v>8890</v>
      </c>
      <c r="J4814" t="s">
        <v>9059</v>
      </c>
      <c r="K4814">
        <v>11209</v>
      </c>
      <c r="L4814" t="s">
        <v>9094</v>
      </c>
      <c r="M4814" t="s">
        <v>9094</v>
      </c>
      <c r="N4814" t="s">
        <v>10835</v>
      </c>
      <c r="O4814" t="s">
        <v>11149</v>
      </c>
      <c r="P4814" t="s">
        <v>11170</v>
      </c>
      <c r="R4814" t="s">
        <v>11180</v>
      </c>
      <c r="S4814" t="s">
        <v>9096</v>
      </c>
      <c r="T4814" t="s">
        <v>11183</v>
      </c>
      <c r="U4814" t="s">
        <v>11198</v>
      </c>
      <c r="V4814" t="s">
        <v>917</v>
      </c>
      <c r="W4814">
        <v>1729</v>
      </c>
      <c r="X4814" t="s">
        <v>11332</v>
      </c>
      <c r="Y4814" t="s">
        <v>11336</v>
      </c>
      <c r="Z4814" t="s">
        <v>14462</v>
      </c>
      <c r="AB4814" t="s">
        <v>18784</v>
      </c>
      <c r="AC4814">
        <v>116</v>
      </c>
      <c r="AD4814" t="s">
        <v>15441</v>
      </c>
      <c r="AE4814" t="s">
        <v>9144</v>
      </c>
      <c r="AF4814">
        <v>9</v>
      </c>
      <c r="AG4814">
        <v>1</v>
      </c>
      <c r="AH4814">
        <v>1</v>
      </c>
      <c r="AI4814">
        <v>191.96</v>
      </c>
      <c r="AL4814" t="s">
        <v>19614</v>
      </c>
      <c r="AM4814">
        <v>31596</v>
      </c>
      <c r="AS4814">
        <v>120.15</v>
      </c>
      <c r="AT4814" t="s">
        <v>487</v>
      </c>
      <c r="AU4814" t="s">
        <v>20630</v>
      </c>
    </row>
    <row r="4815" spans="1:48">
      <c r="A4815" s="1">
        <f>HYPERLINK("https://lsnyc.legalserver.org/matter/dynamic-profile/view/0809207","16-0809207")</f>
        <v>0</v>
      </c>
      <c r="B4815" t="s">
        <v>64</v>
      </c>
      <c r="C4815" t="s">
        <v>257</v>
      </c>
      <c r="D4815" t="s">
        <v>519</v>
      </c>
      <c r="E4815" t="s">
        <v>425</v>
      </c>
      <c r="F4815" t="s">
        <v>2886</v>
      </c>
      <c r="G4815" t="s">
        <v>4061</v>
      </c>
      <c r="H4815" t="s">
        <v>7744</v>
      </c>
      <c r="I4815" t="s">
        <v>8154</v>
      </c>
      <c r="J4815" t="s">
        <v>9059</v>
      </c>
      <c r="K4815">
        <v>11207</v>
      </c>
      <c r="L4815" t="s">
        <v>9094</v>
      </c>
      <c r="M4815" t="s">
        <v>9095</v>
      </c>
      <c r="N4815" t="s">
        <v>10836</v>
      </c>
      <c r="O4815" t="s">
        <v>11129</v>
      </c>
      <c r="P4815" t="s">
        <v>11165</v>
      </c>
      <c r="Q4815" t="s">
        <v>11174</v>
      </c>
      <c r="R4815" t="s">
        <v>11180</v>
      </c>
      <c r="S4815" t="s">
        <v>9096</v>
      </c>
      <c r="T4815" t="s">
        <v>11183</v>
      </c>
      <c r="V4815" t="s">
        <v>11307</v>
      </c>
      <c r="W4815">
        <v>1300</v>
      </c>
      <c r="X4815" t="s">
        <v>11332</v>
      </c>
      <c r="Y4815" t="s">
        <v>11340</v>
      </c>
      <c r="Z4815" t="s">
        <v>14375</v>
      </c>
      <c r="AB4815" t="s">
        <v>18695</v>
      </c>
      <c r="AC4815">
        <v>6</v>
      </c>
      <c r="AD4815" t="s">
        <v>15441</v>
      </c>
      <c r="AE4815" t="s">
        <v>9144</v>
      </c>
      <c r="AF4815">
        <v>1</v>
      </c>
      <c r="AG4815">
        <v>2</v>
      </c>
      <c r="AH4815">
        <v>3</v>
      </c>
      <c r="AI4815">
        <v>191.98</v>
      </c>
      <c r="AL4815" t="s">
        <v>19614</v>
      </c>
      <c r="AM4815">
        <v>54600</v>
      </c>
      <c r="AO4815" t="s">
        <v>20294</v>
      </c>
      <c r="AP4815" t="s">
        <v>20309</v>
      </c>
      <c r="AQ4815" t="s">
        <v>20369</v>
      </c>
      <c r="AR4815" t="s">
        <v>20441</v>
      </c>
      <c r="AS4815">
        <v>46.7</v>
      </c>
      <c r="AT4815" t="s">
        <v>627</v>
      </c>
      <c r="AU4815" t="s">
        <v>95</v>
      </c>
    </row>
    <row r="4816" spans="1:48">
      <c r="A4816" s="1">
        <f>HYPERLINK("https://lsnyc.legalserver.org/matter/dynamic-profile/view/1907756","19-1907756")</f>
        <v>0</v>
      </c>
      <c r="B4816" t="s">
        <v>65</v>
      </c>
      <c r="C4816" t="s">
        <v>256</v>
      </c>
      <c r="D4816" t="s">
        <v>396</v>
      </c>
      <c r="F4816" t="s">
        <v>2927</v>
      </c>
      <c r="G4816" t="s">
        <v>5200</v>
      </c>
      <c r="H4816" t="s">
        <v>7794</v>
      </c>
      <c r="I4816" t="s">
        <v>8606</v>
      </c>
      <c r="J4816" t="s">
        <v>9059</v>
      </c>
      <c r="K4816">
        <v>11205</v>
      </c>
      <c r="L4816" t="s">
        <v>9095</v>
      </c>
      <c r="M4816" t="s">
        <v>9095</v>
      </c>
      <c r="O4816" t="s">
        <v>11130</v>
      </c>
      <c r="P4816" t="s">
        <v>11165</v>
      </c>
      <c r="R4816" t="s">
        <v>11180</v>
      </c>
      <c r="S4816" t="s">
        <v>9096</v>
      </c>
      <c r="T4816" t="s">
        <v>11183</v>
      </c>
      <c r="W4816">
        <v>0</v>
      </c>
      <c r="X4816" t="s">
        <v>11332</v>
      </c>
      <c r="Z4816" t="s">
        <v>14463</v>
      </c>
      <c r="AB4816" t="s">
        <v>18785</v>
      </c>
      <c r="AC4816">
        <v>104</v>
      </c>
      <c r="AF4816">
        <v>0</v>
      </c>
      <c r="AG4816">
        <v>1</v>
      </c>
      <c r="AH4816">
        <v>1</v>
      </c>
      <c r="AI4816">
        <v>192.03</v>
      </c>
      <c r="AL4816" t="s">
        <v>19614</v>
      </c>
      <c r="AM4816">
        <v>32472</v>
      </c>
      <c r="AN4816" t="s">
        <v>20050</v>
      </c>
      <c r="AS4816">
        <v>0</v>
      </c>
      <c r="AU4816" t="s">
        <v>215</v>
      </c>
    </row>
    <row r="4817" spans="1:48">
      <c r="A4817" s="1">
        <f>HYPERLINK("https://lsnyc.legalserver.org/matter/dynamic-profile/view/1913414","19-1913414")</f>
        <v>0</v>
      </c>
      <c r="B4817" t="s">
        <v>79</v>
      </c>
      <c r="C4817" t="s">
        <v>257</v>
      </c>
      <c r="D4817" t="s">
        <v>286</v>
      </c>
      <c r="E4817" t="s">
        <v>521</v>
      </c>
      <c r="F4817" t="s">
        <v>1170</v>
      </c>
      <c r="G4817" t="s">
        <v>5201</v>
      </c>
      <c r="H4817" t="s">
        <v>7795</v>
      </c>
      <c r="I4817">
        <v>2</v>
      </c>
      <c r="J4817" t="s">
        <v>9059</v>
      </c>
      <c r="K4817">
        <v>11236</v>
      </c>
      <c r="L4817" t="s">
        <v>9095</v>
      </c>
      <c r="M4817" t="s">
        <v>9095</v>
      </c>
      <c r="N4817" t="s">
        <v>9121</v>
      </c>
      <c r="O4817" t="s">
        <v>9121</v>
      </c>
      <c r="Q4817" t="s">
        <v>11172</v>
      </c>
      <c r="R4817" t="s">
        <v>11180</v>
      </c>
      <c r="S4817" t="s">
        <v>9096</v>
      </c>
      <c r="T4817" t="s">
        <v>11183</v>
      </c>
      <c r="W4817">
        <v>1000</v>
      </c>
      <c r="X4817" t="s">
        <v>11332</v>
      </c>
      <c r="Z4817" t="s">
        <v>14464</v>
      </c>
      <c r="AB4817" t="s">
        <v>18786</v>
      </c>
      <c r="AC4817">
        <v>2</v>
      </c>
      <c r="AD4817" t="s">
        <v>19565</v>
      </c>
      <c r="AE4817" t="s">
        <v>9144</v>
      </c>
      <c r="AF4817">
        <v>27</v>
      </c>
      <c r="AG4817">
        <v>2</v>
      </c>
      <c r="AH4817">
        <v>0</v>
      </c>
      <c r="AI4817">
        <v>192.1</v>
      </c>
      <c r="AL4817" t="s">
        <v>19614</v>
      </c>
      <c r="AM4817">
        <v>32484</v>
      </c>
      <c r="AS4817">
        <v>0.1</v>
      </c>
      <c r="AT4817" t="s">
        <v>521</v>
      </c>
      <c r="AU4817" t="s">
        <v>79</v>
      </c>
    </row>
    <row r="4818" spans="1:48">
      <c r="A4818" s="1">
        <f>HYPERLINK("https://lsnyc.legalserver.org/matter/dynamic-profile/view/1859711","18-1859711")</f>
        <v>0</v>
      </c>
      <c r="B4818" t="s">
        <v>193</v>
      </c>
      <c r="C4818" t="s">
        <v>256</v>
      </c>
      <c r="D4818" t="s">
        <v>412</v>
      </c>
      <c r="F4818" t="s">
        <v>1518</v>
      </c>
      <c r="G4818" t="s">
        <v>5202</v>
      </c>
      <c r="H4818" t="s">
        <v>7796</v>
      </c>
      <c r="I4818" t="s">
        <v>8170</v>
      </c>
      <c r="J4818" t="s">
        <v>9050</v>
      </c>
      <c r="K4818">
        <v>11377</v>
      </c>
      <c r="L4818" t="s">
        <v>9094</v>
      </c>
      <c r="M4818" t="s">
        <v>9095</v>
      </c>
      <c r="N4818" t="s">
        <v>10837</v>
      </c>
      <c r="O4818" t="s">
        <v>11135</v>
      </c>
      <c r="P4818" t="s">
        <v>11168</v>
      </c>
      <c r="R4818" t="s">
        <v>11180</v>
      </c>
      <c r="S4818" t="s">
        <v>9094</v>
      </c>
      <c r="T4818" t="s">
        <v>11183</v>
      </c>
      <c r="U4818" t="s">
        <v>11201</v>
      </c>
      <c r="V4818" t="s">
        <v>767</v>
      </c>
      <c r="W4818">
        <v>975</v>
      </c>
      <c r="X4818" t="s">
        <v>11331</v>
      </c>
      <c r="Y4818" t="s">
        <v>11339</v>
      </c>
      <c r="Z4818" t="s">
        <v>13428</v>
      </c>
      <c r="AB4818" t="s">
        <v>18787</v>
      </c>
      <c r="AC4818">
        <v>112</v>
      </c>
      <c r="AD4818" t="s">
        <v>19566</v>
      </c>
      <c r="AE4818" t="s">
        <v>9144</v>
      </c>
      <c r="AF4818">
        <v>16</v>
      </c>
      <c r="AG4818">
        <v>2</v>
      </c>
      <c r="AH4818">
        <v>0</v>
      </c>
      <c r="AI4818">
        <v>192.12</v>
      </c>
      <c r="AL4818" t="s">
        <v>19615</v>
      </c>
      <c r="AM4818">
        <v>31200</v>
      </c>
      <c r="AP4818" t="s">
        <v>11157</v>
      </c>
      <c r="AS4818">
        <v>5.2</v>
      </c>
      <c r="AT4818" t="s">
        <v>408</v>
      </c>
      <c r="AU4818" t="s">
        <v>193</v>
      </c>
      <c r="AV4818" t="s">
        <v>20733</v>
      </c>
    </row>
    <row r="4819" spans="1:48">
      <c r="A4819" s="1">
        <f>HYPERLINK("https://lsnyc.legalserver.org/matter/dynamic-profile/view/1838974","17-1838974")</f>
        <v>0</v>
      </c>
      <c r="B4819" t="s">
        <v>103</v>
      </c>
      <c r="C4819" t="s">
        <v>256</v>
      </c>
      <c r="D4819" t="s">
        <v>1059</v>
      </c>
      <c r="F4819" t="s">
        <v>2426</v>
      </c>
      <c r="G4819" t="s">
        <v>2505</v>
      </c>
      <c r="H4819" t="s">
        <v>6915</v>
      </c>
      <c r="I4819" t="s">
        <v>8475</v>
      </c>
      <c r="J4819" t="s">
        <v>9065</v>
      </c>
      <c r="K4819">
        <v>10473</v>
      </c>
      <c r="L4819" t="s">
        <v>9094</v>
      </c>
      <c r="M4819" t="s">
        <v>9095</v>
      </c>
      <c r="N4819" t="s">
        <v>10039</v>
      </c>
      <c r="O4819" t="s">
        <v>11135</v>
      </c>
      <c r="P4819" t="s">
        <v>11168</v>
      </c>
      <c r="R4819" t="s">
        <v>11180</v>
      </c>
      <c r="S4819" t="s">
        <v>9094</v>
      </c>
      <c r="T4819" t="s">
        <v>11183</v>
      </c>
      <c r="V4819" t="s">
        <v>11223</v>
      </c>
      <c r="W4819">
        <v>1182</v>
      </c>
      <c r="X4819" t="s">
        <v>11333</v>
      </c>
      <c r="Y4819" t="s">
        <v>11351</v>
      </c>
      <c r="Z4819" t="s">
        <v>14465</v>
      </c>
      <c r="AB4819" t="s">
        <v>18788</v>
      </c>
      <c r="AC4819">
        <v>976</v>
      </c>
      <c r="AD4819" t="s">
        <v>19566</v>
      </c>
      <c r="AE4819" t="s">
        <v>9144</v>
      </c>
      <c r="AF4819">
        <v>40</v>
      </c>
      <c r="AG4819">
        <v>2</v>
      </c>
      <c r="AH4819">
        <v>0</v>
      </c>
      <c r="AI4819">
        <v>192.12</v>
      </c>
      <c r="AJ4819" t="s">
        <v>936</v>
      </c>
      <c r="AL4819" t="s">
        <v>19614</v>
      </c>
      <c r="AM4819">
        <v>46800</v>
      </c>
      <c r="AS4819">
        <v>0</v>
      </c>
      <c r="AU4819" t="s">
        <v>20643</v>
      </c>
    </row>
    <row r="4820" spans="1:48">
      <c r="A4820" s="1">
        <f>HYPERLINK("https://lsnyc.legalserver.org/matter/dynamic-profile/view/1911517","19-1911517")</f>
        <v>0</v>
      </c>
      <c r="B4820" t="s">
        <v>173</v>
      </c>
      <c r="C4820" t="s">
        <v>256</v>
      </c>
      <c r="D4820" t="s">
        <v>362</v>
      </c>
      <c r="F4820" t="s">
        <v>2214</v>
      </c>
      <c r="G4820" t="s">
        <v>3988</v>
      </c>
      <c r="H4820" t="s">
        <v>7797</v>
      </c>
      <c r="I4820" t="s">
        <v>8191</v>
      </c>
      <c r="J4820" t="s">
        <v>9038</v>
      </c>
      <c r="K4820">
        <v>11691</v>
      </c>
      <c r="L4820" t="s">
        <v>9094</v>
      </c>
      <c r="M4820" t="s">
        <v>9095</v>
      </c>
      <c r="N4820" t="s">
        <v>10838</v>
      </c>
      <c r="O4820" t="s">
        <v>11129</v>
      </c>
      <c r="P4820" t="s">
        <v>11165</v>
      </c>
      <c r="R4820" t="s">
        <v>11180</v>
      </c>
      <c r="S4820" t="s">
        <v>9096</v>
      </c>
      <c r="T4820" t="s">
        <v>11183</v>
      </c>
      <c r="U4820" t="s">
        <v>11201</v>
      </c>
      <c r="W4820">
        <v>1556</v>
      </c>
      <c r="X4820" t="s">
        <v>11331</v>
      </c>
      <c r="Y4820" t="s">
        <v>11336</v>
      </c>
      <c r="Z4820" t="s">
        <v>14466</v>
      </c>
      <c r="AB4820" t="s">
        <v>18789</v>
      </c>
      <c r="AC4820">
        <v>24</v>
      </c>
      <c r="AE4820" t="s">
        <v>9144</v>
      </c>
      <c r="AF4820">
        <v>6</v>
      </c>
      <c r="AG4820">
        <v>1</v>
      </c>
      <c r="AH4820">
        <v>0</v>
      </c>
      <c r="AI4820">
        <v>192.15</v>
      </c>
      <c r="AL4820" t="s">
        <v>19614</v>
      </c>
      <c r="AM4820">
        <v>24000</v>
      </c>
      <c r="AS4820">
        <v>18.08</v>
      </c>
      <c r="AT4820" t="s">
        <v>1130</v>
      </c>
      <c r="AU4820" t="s">
        <v>20619</v>
      </c>
      <c r="AV4820" t="s">
        <v>20733</v>
      </c>
    </row>
    <row r="4821" spans="1:48">
      <c r="A4821" s="1">
        <f>HYPERLINK("https://lsnyc.legalserver.org/matter/dynamic-profile/view/1903393","19-1903393")</f>
        <v>0</v>
      </c>
      <c r="B4821" t="s">
        <v>52</v>
      </c>
      <c r="C4821" t="s">
        <v>257</v>
      </c>
      <c r="D4821" t="s">
        <v>302</v>
      </c>
      <c r="E4821" t="s">
        <v>1129</v>
      </c>
      <c r="F4821" t="s">
        <v>2028</v>
      </c>
      <c r="G4821" t="s">
        <v>5203</v>
      </c>
      <c r="H4821" t="s">
        <v>7798</v>
      </c>
      <c r="I4821" t="s">
        <v>8172</v>
      </c>
      <c r="J4821" t="s">
        <v>9093</v>
      </c>
      <c r="K4821">
        <v>11375</v>
      </c>
      <c r="L4821" t="s">
        <v>9094</v>
      </c>
      <c r="M4821" t="s">
        <v>9095</v>
      </c>
      <c r="N4821" t="s">
        <v>10839</v>
      </c>
      <c r="O4821" t="s">
        <v>11129</v>
      </c>
      <c r="P4821" t="s">
        <v>11165</v>
      </c>
      <c r="Q4821" t="s">
        <v>11172</v>
      </c>
      <c r="R4821" t="s">
        <v>11180</v>
      </c>
      <c r="S4821" t="s">
        <v>9096</v>
      </c>
      <c r="T4821" t="s">
        <v>11183</v>
      </c>
      <c r="U4821" t="s">
        <v>11201</v>
      </c>
      <c r="V4821" t="s">
        <v>302</v>
      </c>
      <c r="W4821">
        <v>890</v>
      </c>
      <c r="X4821" t="s">
        <v>11331</v>
      </c>
      <c r="Y4821" t="s">
        <v>11336</v>
      </c>
      <c r="Z4821" t="s">
        <v>14467</v>
      </c>
      <c r="AB4821" t="s">
        <v>18790</v>
      </c>
      <c r="AC4821">
        <v>33</v>
      </c>
      <c r="AD4821" t="s">
        <v>15441</v>
      </c>
      <c r="AE4821" t="s">
        <v>9144</v>
      </c>
      <c r="AF4821">
        <v>40</v>
      </c>
      <c r="AG4821">
        <v>1</v>
      </c>
      <c r="AH4821">
        <v>0</v>
      </c>
      <c r="AI4821">
        <v>192.15</v>
      </c>
      <c r="AL4821" t="s">
        <v>19614</v>
      </c>
      <c r="AM4821">
        <v>24000</v>
      </c>
      <c r="AO4821" t="s">
        <v>20290</v>
      </c>
      <c r="AP4821" t="s">
        <v>11157</v>
      </c>
      <c r="AQ4821" t="s">
        <v>20371</v>
      </c>
      <c r="AR4821" t="s">
        <v>20437</v>
      </c>
      <c r="AS4821">
        <v>1.95</v>
      </c>
      <c r="AT4821" t="s">
        <v>779</v>
      </c>
      <c r="AU4821" t="s">
        <v>20620</v>
      </c>
      <c r="AV4821" t="s">
        <v>20733</v>
      </c>
    </row>
    <row r="4822" spans="1:48">
      <c r="A4822" s="1">
        <f>HYPERLINK("https://lsnyc.legalserver.org/matter/dynamic-profile/view/1895278","19-1895278")</f>
        <v>0</v>
      </c>
      <c r="B4822" t="s">
        <v>57</v>
      </c>
      <c r="C4822" t="s">
        <v>256</v>
      </c>
      <c r="D4822" t="s">
        <v>264</v>
      </c>
      <c r="F4822" t="s">
        <v>1883</v>
      </c>
      <c r="G4822" t="s">
        <v>3364</v>
      </c>
      <c r="H4822" t="s">
        <v>7799</v>
      </c>
      <c r="I4822">
        <v>552</v>
      </c>
      <c r="J4822" t="s">
        <v>9055</v>
      </c>
      <c r="K4822">
        <v>11367</v>
      </c>
      <c r="L4822" t="s">
        <v>9094</v>
      </c>
      <c r="M4822" t="s">
        <v>9094</v>
      </c>
      <c r="N4822" t="s">
        <v>10840</v>
      </c>
      <c r="O4822" t="s">
        <v>11129</v>
      </c>
      <c r="P4822" t="s">
        <v>11165</v>
      </c>
      <c r="R4822" t="s">
        <v>11180</v>
      </c>
      <c r="S4822" t="s">
        <v>9096</v>
      </c>
      <c r="T4822" t="s">
        <v>11183</v>
      </c>
      <c r="U4822" t="s">
        <v>11200</v>
      </c>
      <c r="V4822" t="s">
        <v>264</v>
      </c>
      <c r="W4822">
        <v>2900</v>
      </c>
      <c r="X4822" t="s">
        <v>11331</v>
      </c>
      <c r="Y4822" t="s">
        <v>11336</v>
      </c>
      <c r="Z4822" t="s">
        <v>14468</v>
      </c>
      <c r="AA4822" t="s">
        <v>15885</v>
      </c>
      <c r="AB4822" t="s">
        <v>18791</v>
      </c>
      <c r="AC4822">
        <v>393</v>
      </c>
      <c r="AD4822" t="s">
        <v>19566</v>
      </c>
      <c r="AE4822" t="s">
        <v>9144</v>
      </c>
      <c r="AF4822">
        <v>3</v>
      </c>
      <c r="AG4822">
        <v>1</v>
      </c>
      <c r="AH4822">
        <v>0</v>
      </c>
      <c r="AI4822">
        <v>192.15</v>
      </c>
      <c r="AL4822" t="s">
        <v>19614</v>
      </c>
      <c r="AM4822">
        <v>24000</v>
      </c>
      <c r="AS4822">
        <v>56.75</v>
      </c>
      <c r="AT4822" t="s">
        <v>496</v>
      </c>
      <c r="AU4822" t="s">
        <v>57</v>
      </c>
      <c r="AV4822" t="s">
        <v>20733</v>
      </c>
    </row>
    <row r="4823" spans="1:48">
      <c r="A4823" s="1">
        <f>HYPERLINK("https://lsnyc.legalserver.org/matter/dynamic-profile/view/1902260","19-1902260")</f>
        <v>0</v>
      </c>
      <c r="B4823" t="s">
        <v>73</v>
      </c>
      <c r="C4823" t="s">
        <v>256</v>
      </c>
      <c r="D4823" t="s">
        <v>584</v>
      </c>
      <c r="F4823" t="s">
        <v>2928</v>
      </c>
      <c r="G4823" t="s">
        <v>5204</v>
      </c>
      <c r="H4823" t="s">
        <v>7707</v>
      </c>
      <c r="I4823" t="s">
        <v>8271</v>
      </c>
      <c r="J4823" t="s">
        <v>9059</v>
      </c>
      <c r="K4823">
        <v>11233</v>
      </c>
      <c r="L4823" t="s">
        <v>9096</v>
      </c>
      <c r="M4823" t="s">
        <v>9095</v>
      </c>
      <c r="N4823" t="s">
        <v>10841</v>
      </c>
      <c r="O4823" t="s">
        <v>11128</v>
      </c>
      <c r="P4823" t="s">
        <v>11165</v>
      </c>
      <c r="R4823" t="s">
        <v>11180</v>
      </c>
      <c r="S4823" t="s">
        <v>9096</v>
      </c>
      <c r="T4823" t="s">
        <v>11183</v>
      </c>
      <c r="U4823" t="s">
        <v>11201</v>
      </c>
      <c r="V4823" t="s">
        <v>482</v>
      </c>
      <c r="W4823">
        <v>600</v>
      </c>
      <c r="X4823" t="s">
        <v>11332</v>
      </c>
      <c r="Y4823" t="s">
        <v>11339</v>
      </c>
      <c r="Z4823" t="s">
        <v>12788</v>
      </c>
      <c r="AA4823" t="s">
        <v>9144</v>
      </c>
      <c r="AB4823" t="s">
        <v>18792</v>
      </c>
      <c r="AC4823">
        <v>6</v>
      </c>
      <c r="AD4823" t="s">
        <v>19566</v>
      </c>
      <c r="AE4823" t="s">
        <v>9144</v>
      </c>
      <c r="AF4823">
        <v>4</v>
      </c>
      <c r="AG4823">
        <v>1</v>
      </c>
      <c r="AH4823">
        <v>0</v>
      </c>
      <c r="AI4823">
        <v>192.15</v>
      </c>
      <c r="AL4823" t="s">
        <v>19614</v>
      </c>
      <c r="AM4823">
        <v>24000</v>
      </c>
      <c r="AS4823">
        <v>0.2</v>
      </c>
      <c r="AT4823" t="s">
        <v>993</v>
      </c>
      <c r="AU4823" t="s">
        <v>95</v>
      </c>
      <c r="AV4823" t="s">
        <v>9144</v>
      </c>
    </row>
    <row r="4824" spans="1:48">
      <c r="A4824" s="1">
        <f>HYPERLINK("https://lsnyc.legalserver.org/matter/dynamic-profile/view/1909465","19-1909465")</f>
        <v>0</v>
      </c>
      <c r="B4824" t="s">
        <v>64</v>
      </c>
      <c r="C4824" t="s">
        <v>257</v>
      </c>
      <c r="D4824" t="s">
        <v>273</v>
      </c>
      <c r="E4824" t="s">
        <v>483</v>
      </c>
      <c r="F4824" t="s">
        <v>2929</v>
      </c>
      <c r="G4824" t="s">
        <v>5205</v>
      </c>
      <c r="H4824" t="s">
        <v>7800</v>
      </c>
      <c r="I4824" t="s">
        <v>8108</v>
      </c>
      <c r="J4824" t="s">
        <v>9059</v>
      </c>
      <c r="K4824">
        <v>11207</v>
      </c>
      <c r="L4824" t="s">
        <v>9094</v>
      </c>
      <c r="M4824" t="s">
        <v>9095</v>
      </c>
      <c r="N4824" t="s">
        <v>10842</v>
      </c>
      <c r="O4824" t="s">
        <v>11128</v>
      </c>
      <c r="P4824" t="s">
        <v>11164</v>
      </c>
      <c r="Q4824" t="s">
        <v>11172</v>
      </c>
      <c r="R4824" t="s">
        <v>11180</v>
      </c>
      <c r="S4824" t="s">
        <v>9096</v>
      </c>
      <c r="T4824" t="s">
        <v>11183</v>
      </c>
      <c r="U4824" t="s">
        <v>11201</v>
      </c>
      <c r="V4824" t="s">
        <v>1131</v>
      </c>
      <c r="W4824">
        <v>0</v>
      </c>
      <c r="X4824" t="s">
        <v>11332</v>
      </c>
      <c r="Z4824" t="s">
        <v>14469</v>
      </c>
      <c r="AB4824" t="s">
        <v>18793</v>
      </c>
      <c r="AC4824">
        <v>3</v>
      </c>
      <c r="AD4824" t="s">
        <v>19565</v>
      </c>
      <c r="AF4824">
        <v>35</v>
      </c>
      <c r="AG4824">
        <v>1</v>
      </c>
      <c r="AH4824">
        <v>0</v>
      </c>
      <c r="AI4824">
        <v>192.15</v>
      </c>
      <c r="AL4824" t="s">
        <v>19614</v>
      </c>
      <c r="AM4824">
        <v>24000</v>
      </c>
      <c r="AS4824">
        <v>2.3</v>
      </c>
      <c r="AT4824" t="s">
        <v>648</v>
      </c>
      <c r="AU4824" t="s">
        <v>20628</v>
      </c>
      <c r="AV4824" t="s">
        <v>20733</v>
      </c>
    </row>
    <row r="4825" spans="1:48">
      <c r="A4825" s="1">
        <f>HYPERLINK("https://lsnyc.legalserver.org/matter/dynamic-profile/view/1908549","19-1908549")</f>
        <v>0</v>
      </c>
      <c r="B4825" t="s">
        <v>62</v>
      </c>
      <c r="C4825" t="s">
        <v>256</v>
      </c>
      <c r="D4825" t="s">
        <v>410</v>
      </c>
      <c r="F4825" t="s">
        <v>1412</v>
      </c>
      <c r="G4825" t="s">
        <v>5206</v>
      </c>
      <c r="H4825" t="s">
        <v>7801</v>
      </c>
      <c r="I4825">
        <v>4</v>
      </c>
      <c r="J4825" t="s">
        <v>9061</v>
      </c>
      <c r="K4825">
        <v>11103</v>
      </c>
      <c r="L4825" t="s">
        <v>9094</v>
      </c>
      <c r="M4825" t="s">
        <v>9095</v>
      </c>
      <c r="O4825" t="s">
        <v>11136</v>
      </c>
      <c r="P4825" t="s">
        <v>11167</v>
      </c>
      <c r="R4825" t="s">
        <v>11180</v>
      </c>
      <c r="S4825" t="s">
        <v>9096</v>
      </c>
      <c r="T4825" t="s">
        <v>11183</v>
      </c>
      <c r="U4825" t="s">
        <v>11201</v>
      </c>
      <c r="V4825" t="s">
        <v>1076</v>
      </c>
      <c r="W4825">
        <v>630</v>
      </c>
      <c r="X4825" t="s">
        <v>11331</v>
      </c>
      <c r="Y4825" t="s">
        <v>11354</v>
      </c>
      <c r="Z4825" t="s">
        <v>14470</v>
      </c>
      <c r="AB4825" t="s">
        <v>18794</v>
      </c>
      <c r="AC4825">
        <v>25</v>
      </c>
      <c r="AD4825" t="s">
        <v>19566</v>
      </c>
      <c r="AE4825" t="s">
        <v>11157</v>
      </c>
      <c r="AF4825">
        <v>50</v>
      </c>
      <c r="AG4825">
        <v>1</v>
      </c>
      <c r="AH4825">
        <v>0</v>
      </c>
      <c r="AI4825">
        <v>192.15</v>
      </c>
      <c r="AL4825" t="s">
        <v>19614</v>
      </c>
      <c r="AM4825">
        <v>24000</v>
      </c>
      <c r="AS4825">
        <v>2.85</v>
      </c>
      <c r="AT4825" t="s">
        <v>321</v>
      </c>
      <c r="AU4825" t="s">
        <v>20627</v>
      </c>
      <c r="AV4825" t="s">
        <v>20733</v>
      </c>
    </row>
    <row r="4826" spans="1:48">
      <c r="A4826" s="1">
        <f>HYPERLINK("https://lsnyc.legalserver.org/matter/dynamic-profile/view/1907717","19-1907717")</f>
        <v>0</v>
      </c>
      <c r="B4826" t="s">
        <v>117</v>
      </c>
      <c r="C4826" t="s">
        <v>257</v>
      </c>
      <c r="D4826" t="s">
        <v>429</v>
      </c>
      <c r="E4826" t="s">
        <v>339</v>
      </c>
      <c r="F4826" t="s">
        <v>1723</v>
      </c>
      <c r="G4826" t="s">
        <v>3058</v>
      </c>
      <c r="H4826" t="s">
        <v>5981</v>
      </c>
      <c r="I4826" t="s">
        <v>8270</v>
      </c>
      <c r="J4826" t="s">
        <v>9065</v>
      </c>
      <c r="K4826">
        <v>10457</v>
      </c>
      <c r="L4826" t="s">
        <v>9094</v>
      </c>
      <c r="M4826" t="s">
        <v>9095</v>
      </c>
      <c r="P4826" t="s">
        <v>11167</v>
      </c>
      <c r="Q4826" t="s">
        <v>11173</v>
      </c>
      <c r="R4826" t="s">
        <v>11180</v>
      </c>
      <c r="S4826" t="s">
        <v>9096</v>
      </c>
      <c r="T4826" t="s">
        <v>11183</v>
      </c>
      <c r="W4826">
        <v>675</v>
      </c>
      <c r="X4826" t="s">
        <v>11333</v>
      </c>
      <c r="Y4826" t="s">
        <v>11346</v>
      </c>
      <c r="Z4826" t="s">
        <v>14471</v>
      </c>
      <c r="AB4826" t="s">
        <v>18795</v>
      </c>
      <c r="AC4826">
        <v>60</v>
      </c>
      <c r="AD4826" t="s">
        <v>15441</v>
      </c>
      <c r="AE4826" t="s">
        <v>9144</v>
      </c>
      <c r="AF4826">
        <v>8</v>
      </c>
      <c r="AG4826">
        <v>1</v>
      </c>
      <c r="AH4826">
        <v>0</v>
      </c>
      <c r="AI4826">
        <v>192.15</v>
      </c>
      <c r="AL4826" t="s">
        <v>19615</v>
      </c>
      <c r="AM4826">
        <v>24000</v>
      </c>
      <c r="AS4826">
        <v>1.75</v>
      </c>
      <c r="AT4826" t="s">
        <v>339</v>
      </c>
      <c r="AU4826" t="s">
        <v>20642</v>
      </c>
      <c r="AV4826" t="s">
        <v>9144</v>
      </c>
    </row>
    <row r="4827" spans="1:48">
      <c r="A4827" s="1">
        <f>HYPERLINK("https://lsnyc.legalserver.org/matter/dynamic-profile/view/1909504","19-1909504")</f>
        <v>0</v>
      </c>
      <c r="B4827" t="s">
        <v>139</v>
      </c>
      <c r="C4827" t="s">
        <v>256</v>
      </c>
      <c r="D4827" t="s">
        <v>273</v>
      </c>
      <c r="F4827" t="s">
        <v>1170</v>
      </c>
      <c r="G4827" t="s">
        <v>5207</v>
      </c>
      <c r="H4827" t="s">
        <v>6653</v>
      </c>
      <c r="I4827" t="s">
        <v>8169</v>
      </c>
      <c r="J4827" t="s">
        <v>9067</v>
      </c>
      <c r="K4827">
        <v>10040</v>
      </c>
      <c r="L4827" t="s">
        <v>9094</v>
      </c>
      <c r="M4827" t="s">
        <v>9095</v>
      </c>
      <c r="O4827" t="s">
        <v>11130</v>
      </c>
      <c r="P4827" t="s">
        <v>11169</v>
      </c>
      <c r="R4827" t="s">
        <v>11180</v>
      </c>
      <c r="S4827" t="s">
        <v>9094</v>
      </c>
      <c r="T4827" t="s">
        <v>11183</v>
      </c>
      <c r="V4827" t="s">
        <v>273</v>
      </c>
      <c r="W4827">
        <v>0</v>
      </c>
      <c r="X4827" t="s">
        <v>11335</v>
      </c>
      <c r="Y4827" t="s">
        <v>11338</v>
      </c>
      <c r="Z4827" t="s">
        <v>14472</v>
      </c>
      <c r="AB4827" t="s">
        <v>18796</v>
      </c>
      <c r="AC4827">
        <v>77</v>
      </c>
      <c r="AD4827" t="s">
        <v>19566</v>
      </c>
      <c r="AE4827" t="s">
        <v>19585</v>
      </c>
      <c r="AF4827">
        <v>4</v>
      </c>
      <c r="AG4827">
        <v>1</v>
      </c>
      <c r="AH4827">
        <v>0</v>
      </c>
      <c r="AI4827">
        <v>192.15</v>
      </c>
      <c r="AL4827" t="s">
        <v>19614</v>
      </c>
      <c r="AM4827">
        <v>24000</v>
      </c>
      <c r="AS4827">
        <v>20.9</v>
      </c>
      <c r="AT4827" t="s">
        <v>377</v>
      </c>
      <c r="AU4827" t="s">
        <v>130</v>
      </c>
      <c r="AV4827" t="s">
        <v>20733</v>
      </c>
    </row>
    <row r="4828" spans="1:48">
      <c r="A4828" s="1">
        <f>HYPERLINK("https://lsnyc.legalserver.org/matter/dynamic-profile/view/1914338","19-1914338")</f>
        <v>0</v>
      </c>
      <c r="B4828" t="s">
        <v>135</v>
      </c>
      <c r="C4828" t="s">
        <v>256</v>
      </c>
      <c r="D4828" t="s">
        <v>703</v>
      </c>
      <c r="F4828" t="s">
        <v>2930</v>
      </c>
      <c r="G4828" t="s">
        <v>2171</v>
      </c>
      <c r="H4828" t="s">
        <v>7802</v>
      </c>
      <c r="I4828" t="s">
        <v>8154</v>
      </c>
      <c r="J4828" t="s">
        <v>9067</v>
      </c>
      <c r="K4828">
        <v>10035</v>
      </c>
      <c r="L4828" t="s">
        <v>9095</v>
      </c>
      <c r="M4828" t="s">
        <v>9095</v>
      </c>
      <c r="O4828" t="s">
        <v>9121</v>
      </c>
      <c r="P4828" t="s">
        <v>11169</v>
      </c>
      <c r="R4828" t="s">
        <v>11180</v>
      </c>
      <c r="S4828" t="s">
        <v>9096</v>
      </c>
      <c r="T4828" t="s">
        <v>11183</v>
      </c>
      <c r="U4828" t="s">
        <v>11201</v>
      </c>
      <c r="W4828">
        <v>947</v>
      </c>
      <c r="X4828" t="s">
        <v>11335</v>
      </c>
      <c r="Y4828" t="s">
        <v>11348</v>
      </c>
      <c r="Z4828" t="s">
        <v>14473</v>
      </c>
      <c r="AB4828" t="s">
        <v>18797</v>
      </c>
      <c r="AC4828">
        <v>7</v>
      </c>
      <c r="AD4828" t="s">
        <v>19569</v>
      </c>
      <c r="AF4828">
        <v>5</v>
      </c>
      <c r="AG4828">
        <v>1</v>
      </c>
      <c r="AH4828">
        <v>0</v>
      </c>
      <c r="AI4828">
        <v>192.15</v>
      </c>
      <c r="AL4828" t="s">
        <v>19614</v>
      </c>
      <c r="AM4828">
        <v>24000</v>
      </c>
      <c r="AS4828">
        <v>0.95</v>
      </c>
      <c r="AT4828" t="s">
        <v>476</v>
      </c>
      <c r="AU4828" t="s">
        <v>20668</v>
      </c>
    </row>
    <row r="4829" spans="1:48">
      <c r="A4829" s="1">
        <f>HYPERLINK("https://lsnyc.legalserver.org/matter/dynamic-profile/view/1904895","19-1904895")</f>
        <v>0</v>
      </c>
      <c r="B4829" t="s">
        <v>138</v>
      </c>
      <c r="C4829" t="s">
        <v>256</v>
      </c>
      <c r="D4829" t="s">
        <v>660</v>
      </c>
      <c r="F4829" t="s">
        <v>2931</v>
      </c>
      <c r="G4829" t="s">
        <v>5208</v>
      </c>
      <c r="H4829" t="s">
        <v>7803</v>
      </c>
      <c r="I4829" t="s">
        <v>8160</v>
      </c>
      <c r="J4829" t="s">
        <v>9067</v>
      </c>
      <c r="K4829">
        <v>10034</v>
      </c>
      <c r="L4829" t="s">
        <v>9094</v>
      </c>
      <c r="M4829" t="s">
        <v>9095</v>
      </c>
      <c r="P4829" t="s">
        <v>11167</v>
      </c>
      <c r="R4829" t="s">
        <v>11180</v>
      </c>
      <c r="S4829" t="s">
        <v>9096</v>
      </c>
      <c r="T4829" t="s">
        <v>11183</v>
      </c>
      <c r="V4829" t="s">
        <v>660</v>
      </c>
      <c r="W4829">
        <v>2350</v>
      </c>
      <c r="X4829" t="s">
        <v>11335</v>
      </c>
      <c r="Y4829" t="s">
        <v>11338</v>
      </c>
      <c r="Z4829" t="s">
        <v>14474</v>
      </c>
      <c r="AB4829" t="s">
        <v>18798</v>
      </c>
      <c r="AC4829">
        <v>41</v>
      </c>
      <c r="AD4829" t="s">
        <v>19565</v>
      </c>
      <c r="AE4829" t="s">
        <v>9144</v>
      </c>
      <c r="AF4829">
        <v>3</v>
      </c>
      <c r="AG4829">
        <v>1</v>
      </c>
      <c r="AH4829">
        <v>0</v>
      </c>
      <c r="AI4829">
        <v>192.15</v>
      </c>
      <c r="AL4829" t="s">
        <v>19614</v>
      </c>
      <c r="AM4829">
        <v>24000</v>
      </c>
      <c r="AS4829">
        <v>3.6</v>
      </c>
      <c r="AT4829" t="s">
        <v>521</v>
      </c>
      <c r="AU4829" t="s">
        <v>130</v>
      </c>
      <c r="AV4829" t="s">
        <v>20733</v>
      </c>
    </row>
    <row r="4830" spans="1:48">
      <c r="A4830" s="1">
        <f>HYPERLINK("https://lsnyc.legalserver.org/matter/dynamic-profile/view/1905964","19-1905964")</f>
        <v>0</v>
      </c>
      <c r="B4830" t="s">
        <v>143</v>
      </c>
      <c r="C4830" t="s">
        <v>257</v>
      </c>
      <c r="D4830" t="s">
        <v>329</v>
      </c>
      <c r="E4830" t="s">
        <v>307</v>
      </c>
      <c r="F4830" t="s">
        <v>2493</v>
      </c>
      <c r="G4830" t="s">
        <v>5209</v>
      </c>
      <c r="H4830" t="s">
        <v>7804</v>
      </c>
      <c r="I4830" t="s">
        <v>8170</v>
      </c>
      <c r="J4830" t="s">
        <v>9067</v>
      </c>
      <c r="K4830">
        <v>10030</v>
      </c>
      <c r="L4830" t="s">
        <v>9094</v>
      </c>
      <c r="M4830" t="s">
        <v>9095</v>
      </c>
      <c r="N4830" t="s">
        <v>10843</v>
      </c>
      <c r="O4830" t="s">
        <v>11128</v>
      </c>
      <c r="P4830" t="s">
        <v>11164</v>
      </c>
      <c r="Q4830" t="s">
        <v>11172</v>
      </c>
      <c r="R4830" t="s">
        <v>11180</v>
      </c>
      <c r="S4830" t="s">
        <v>9096</v>
      </c>
      <c r="T4830" t="s">
        <v>11183</v>
      </c>
      <c r="V4830" t="s">
        <v>329</v>
      </c>
      <c r="W4830">
        <v>1130</v>
      </c>
      <c r="X4830" t="s">
        <v>11335</v>
      </c>
      <c r="Y4830" t="s">
        <v>11346</v>
      </c>
      <c r="Z4830" t="s">
        <v>14475</v>
      </c>
      <c r="AB4830" t="s">
        <v>18799</v>
      </c>
      <c r="AC4830">
        <v>17</v>
      </c>
      <c r="AD4830" t="s">
        <v>19566</v>
      </c>
      <c r="AE4830" t="s">
        <v>9144</v>
      </c>
      <c r="AF4830">
        <v>10</v>
      </c>
      <c r="AG4830">
        <v>1</v>
      </c>
      <c r="AH4830">
        <v>0</v>
      </c>
      <c r="AI4830">
        <v>192.15</v>
      </c>
      <c r="AL4830" t="s">
        <v>19614</v>
      </c>
      <c r="AM4830">
        <v>24000</v>
      </c>
      <c r="AS4830">
        <v>0.1</v>
      </c>
      <c r="AT4830" t="s">
        <v>329</v>
      </c>
      <c r="AU4830" t="s">
        <v>20659</v>
      </c>
      <c r="AV4830" t="s">
        <v>20733</v>
      </c>
    </row>
    <row r="4831" spans="1:48">
      <c r="A4831" s="1">
        <f>HYPERLINK("https://lsnyc.legalserver.org/matter/dynamic-profile/view/1893067","19-1893067")</f>
        <v>0</v>
      </c>
      <c r="B4831" t="s">
        <v>136</v>
      </c>
      <c r="C4831" t="s">
        <v>256</v>
      </c>
      <c r="D4831" t="s">
        <v>423</v>
      </c>
      <c r="F4831" t="s">
        <v>2802</v>
      </c>
      <c r="G4831" t="s">
        <v>3418</v>
      </c>
      <c r="H4831" t="s">
        <v>7805</v>
      </c>
      <c r="I4831" t="s">
        <v>8262</v>
      </c>
      <c r="J4831" t="s">
        <v>9067</v>
      </c>
      <c r="K4831">
        <v>10029</v>
      </c>
      <c r="L4831" t="s">
        <v>9094</v>
      </c>
      <c r="M4831" t="s">
        <v>9094</v>
      </c>
      <c r="N4831" t="s">
        <v>9779</v>
      </c>
      <c r="O4831" t="s">
        <v>11149</v>
      </c>
      <c r="P4831" t="s">
        <v>11165</v>
      </c>
      <c r="R4831" t="s">
        <v>11180</v>
      </c>
      <c r="S4831" t="s">
        <v>9096</v>
      </c>
      <c r="T4831" t="s">
        <v>11183</v>
      </c>
      <c r="U4831" t="s">
        <v>11200</v>
      </c>
      <c r="V4831" t="s">
        <v>752</v>
      </c>
      <c r="W4831">
        <v>1255</v>
      </c>
      <c r="X4831" t="s">
        <v>11335</v>
      </c>
      <c r="Y4831" t="s">
        <v>11354</v>
      </c>
      <c r="Z4831" t="s">
        <v>14476</v>
      </c>
      <c r="AB4831" t="s">
        <v>18800</v>
      </c>
      <c r="AC4831">
        <v>25</v>
      </c>
      <c r="AD4831" t="s">
        <v>19566</v>
      </c>
      <c r="AE4831" t="s">
        <v>19580</v>
      </c>
      <c r="AF4831">
        <v>20</v>
      </c>
      <c r="AG4831">
        <v>1</v>
      </c>
      <c r="AH4831">
        <v>0</v>
      </c>
      <c r="AI4831">
        <v>192.15</v>
      </c>
      <c r="AL4831" t="s">
        <v>19614</v>
      </c>
      <c r="AM4831">
        <v>24000</v>
      </c>
      <c r="AO4831" t="s">
        <v>20293</v>
      </c>
      <c r="AP4831" t="s">
        <v>20357</v>
      </c>
      <c r="AQ4831" t="s">
        <v>20369</v>
      </c>
      <c r="AR4831" t="s">
        <v>20406</v>
      </c>
      <c r="AS4831">
        <v>73.09999999999999</v>
      </c>
      <c r="AT4831" t="s">
        <v>326</v>
      </c>
      <c r="AU4831" t="s">
        <v>20629</v>
      </c>
    </row>
    <row r="4832" spans="1:48">
      <c r="A4832" s="1">
        <f>HYPERLINK("https://lsnyc.legalserver.org/matter/dynamic-profile/view/1889370","19-1889370")</f>
        <v>0</v>
      </c>
      <c r="B4832" t="s">
        <v>218</v>
      </c>
      <c r="C4832" t="s">
        <v>257</v>
      </c>
      <c r="D4832" t="s">
        <v>348</v>
      </c>
      <c r="E4832" t="s">
        <v>899</v>
      </c>
      <c r="F4832" t="s">
        <v>2932</v>
      </c>
      <c r="G4832" t="s">
        <v>1404</v>
      </c>
      <c r="H4832" t="s">
        <v>7806</v>
      </c>
      <c r="I4832" t="s">
        <v>8197</v>
      </c>
      <c r="J4832" t="s">
        <v>9067</v>
      </c>
      <c r="K4832">
        <v>10029</v>
      </c>
      <c r="L4832" t="s">
        <v>9094</v>
      </c>
      <c r="M4832" t="s">
        <v>9094</v>
      </c>
      <c r="O4832" t="s">
        <v>9121</v>
      </c>
      <c r="P4832" t="s">
        <v>11166</v>
      </c>
      <c r="Q4832" t="s">
        <v>11178</v>
      </c>
      <c r="R4832" t="s">
        <v>11180</v>
      </c>
      <c r="S4832" t="s">
        <v>9096</v>
      </c>
      <c r="T4832" t="s">
        <v>11183</v>
      </c>
      <c r="U4832" t="s">
        <v>11201</v>
      </c>
      <c r="V4832" t="s">
        <v>348</v>
      </c>
      <c r="W4832">
        <v>650</v>
      </c>
      <c r="X4832" t="s">
        <v>11335</v>
      </c>
      <c r="Y4832" t="s">
        <v>11354</v>
      </c>
      <c r="Z4832" t="s">
        <v>14477</v>
      </c>
      <c r="AB4832" t="s">
        <v>18801</v>
      </c>
      <c r="AC4832">
        <v>33</v>
      </c>
      <c r="AD4832" t="s">
        <v>19570</v>
      </c>
      <c r="AE4832" t="s">
        <v>9144</v>
      </c>
      <c r="AF4832">
        <v>31</v>
      </c>
      <c r="AG4832">
        <v>1</v>
      </c>
      <c r="AH4832">
        <v>0</v>
      </c>
      <c r="AI4832">
        <v>192.15</v>
      </c>
      <c r="AL4832" t="s">
        <v>19614</v>
      </c>
      <c r="AM4832">
        <v>24000</v>
      </c>
      <c r="AN4832" t="s">
        <v>20051</v>
      </c>
      <c r="AS4832">
        <v>33.25</v>
      </c>
      <c r="AT4832" t="s">
        <v>632</v>
      </c>
      <c r="AU4832" t="s">
        <v>20627</v>
      </c>
      <c r="AV4832" t="s">
        <v>20733</v>
      </c>
    </row>
    <row r="4833" spans="1:48">
      <c r="A4833" s="1">
        <f>HYPERLINK("https://lsnyc.legalserver.org/matter/dynamic-profile/view/0776275","15-0776275")</f>
        <v>0</v>
      </c>
      <c r="B4833" t="s">
        <v>64</v>
      </c>
      <c r="C4833" t="s">
        <v>257</v>
      </c>
      <c r="D4833" t="s">
        <v>886</v>
      </c>
      <c r="E4833" t="s">
        <v>425</v>
      </c>
      <c r="F4833" t="s">
        <v>2886</v>
      </c>
      <c r="G4833" t="s">
        <v>4061</v>
      </c>
      <c r="H4833" t="s">
        <v>7807</v>
      </c>
      <c r="J4833" t="s">
        <v>9059</v>
      </c>
      <c r="K4833">
        <v>11207</v>
      </c>
      <c r="L4833" t="s">
        <v>9095</v>
      </c>
      <c r="M4833" t="s">
        <v>9095</v>
      </c>
      <c r="N4833" t="s">
        <v>9943</v>
      </c>
      <c r="O4833" t="s">
        <v>11135</v>
      </c>
      <c r="P4833" t="s">
        <v>11165</v>
      </c>
      <c r="Q4833" t="s">
        <v>11174</v>
      </c>
      <c r="R4833" t="s">
        <v>11180</v>
      </c>
      <c r="T4833" t="s">
        <v>11183</v>
      </c>
      <c r="V4833" t="s">
        <v>11262</v>
      </c>
      <c r="W4833">
        <v>1300</v>
      </c>
      <c r="X4833" t="s">
        <v>11332</v>
      </c>
      <c r="Y4833" t="s">
        <v>11338</v>
      </c>
      <c r="Z4833" t="s">
        <v>14375</v>
      </c>
      <c r="AB4833" t="s">
        <v>18695</v>
      </c>
      <c r="AC4833">
        <v>0</v>
      </c>
      <c r="AF4833">
        <v>1</v>
      </c>
      <c r="AG4833">
        <v>2</v>
      </c>
      <c r="AH4833">
        <v>3</v>
      </c>
      <c r="AI4833">
        <v>192.19</v>
      </c>
      <c r="AL4833" t="s">
        <v>19614</v>
      </c>
      <c r="AM4833">
        <v>54600</v>
      </c>
      <c r="AO4833" t="s">
        <v>20293</v>
      </c>
      <c r="AP4833" t="s">
        <v>20326</v>
      </c>
      <c r="AQ4833" t="s">
        <v>20369</v>
      </c>
      <c r="AR4833" t="s">
        <v>20555</v>
      </c>
      <c r="AS4833">
        <v>63</v>
      </c>
      <c r="AT4833" t="s">
        <v>919</v>
      </c>
      <c r="AU4833" t="s">
        <v>20628</v>
      </c>
    </row>
    <row r="4834" spans="1:48">
      <c r="A4834" s="1">
        <f>HYPERLINK("https://lsnyc.legalserver.org/matter/dynamic-profile/view/1892128","19-1892128")</f>
        <v>0</v>
      </c>
      <c r="B4834" t="s">
        <v>106</v>
      </c>
      <c r="C4834" t="s">
        <v>257</v>
      </c>
      <c r="D4834" t="s">
        <v>428</v>
      </c>
      <c r="E4834" t="s">
        <v>330</v>
      </c>
      <c r="F4834" t="s">
        <v>2933</v>
      </c>
      <c r="G4834" t="s">
        <v>3986</v>
      </c>
      <c r="H4834" t="s">
        <v>7207</v>
      </c>
      <c r="I4834" t="s">
        <v>8891</v>
      </c>
      <c r="J4834" t="s">
        <v>9065</v>
      </c>
      <c r="K4834">
        <v>10460</v>
      </c>
      <c r="L4834" t="s">
        <v>9094</v>
      </c>
      <c r="M4834" t="s">
        <v>9094</v>
      </c>
      <c r="N4834" t="s">
        <v>10844</v>
      </c>
      <c r="O4834" t="s">
        <v>11129</v>
      </c>
      <c r="P4834" t="s">
        <v>11165</v>
      </c>
      <c r="Q4834" t="s">
        <v>11174</v>
      </c>
      <c r="R4834" t="s">
        <v>11180</v>
      </c>
      <c r="S4834" t="s">
        <v>9096</v>
      </c>
      <c r="T4834" t="s">
        <v>11183</v>
      </c>
      <c r="U4834" t="s">
        <v>11201</v>
      </c>
      <c r="V4834" t="s">
        <v>512</v>
      </c>
      <c r="W4834">
        <v>902</v>
      </c>
      <c r="X4834" t="s">
        <v>11333</v>
      </c>
      <c r="Y4834" t="s">
        <v>11345</v>
      </c>
      <c r="Z4834" t="s">
        <v>14478</v>
      </c>
      <c r="AB4834" t="s">
        <v>18802</v>
      </c>
      <c r="AC4834">
        <v>50</v>
      </c>
      <c r="AD4834" t="s">
        <v>19566</v>
      </c>
      <c r="AE4834" t="s">
        <v>9144</v>
      </c>
      <c r="AF4834">
        <v>2</v>
      </c>
      <c r="AG4834">
        <v>1</v>
      </c>
      <c r="AH4834">
        <v>2</v>
      </c>
      <c r="AI4834">
        <v>192.22</v>
      </c>
      <c r="AL4834" t="s">
        <v>19614</v>
      </c>
      <c r="AM4834">
        <v>41000</v>
      </c>
      <c r="AO4834" t="s">
        <v>20293</v>
      </c>
      <c r="AP4834" t="s">
        <v>20358</v>
      </c>
      <c r="AQ4834" t="s">
        <v>20369</v>
      </c>
      <c r="AR4834" t="s">
        <v>20397</v>
      </c>
      <c r="AS4834">
        <v>36.45</v>
      </c>
      <c r="AT4834" t="s">
        <v>457</v>
      </c>
      <c r="AU4834" t="s">
        <v>20645</v>
      </c>
      <c r="AV4834" t="s">
        <v>20733</v>
      </c>
    </row>
    <row r="4835" spans="1:48">
      <c r="A4835" s="1">
        <f>HYPERLINK("https://lsnyc.legalserver.org/matter/dynamic-profile/view/1903011","19-1903011")</f>
        <v>0</v>
      </c>
      <c r="B4835" t="s">
        <v>136</v>
      </c>
      <c r="C4835" t="s">
        <v>256</v>
      </c>
      <c r="D4835" t="s">
        <v>403</v>
      </c>
      <c r="F4835" t="s">
        <v>1140</v>
      </c>
      <c r="G4835" t="s">
        <v>5096</v>
      </c>
      <c r="H4835" t="s">
        <v>5961</v>
      </c>
      <c r="I4835">
        <v>509</v>
      </c>
      <c r="J4835" t="s">
        <v>9067</v>
      </c>
      <c r="K4835">
        <v>10029</v>
      </c>
      <c r="L4835" t="s">
        <v>9094</v>
      </c>
      <c r="M4835" t="s">
        <v>9095</v>
      </c>
      <c r="O4835" t="s">
        <v>11130</v>
      </c>
      <c r="P4835" t="s">
        <v>11165</v>
      </c>
      <c r="R4835" t="s">
        <v>11180</v>
      </c>
      <c r="S4835" t="s">
        <v>9094</v>
      </c>
      <c r="T4835" t="s">
        <v>11183</v>
      </c>
      <c r="U4835" t="s">
        <v>11201</v>
      </c>
      <c r="V4835" t="s">
        <v>760</v>
      </c>
      <c r="W4835">
        <v>905</v>
      </c>
      <c r="X4835" t="s">
        <v>11335</v>
      </c>
      <c r="Y4835" t="s">
        <v>11340</v>
      </c>
      <c r="Z4835" t="s">
        <v>14257</v>
      </c>
      <c r="AB4835" t="s">
        <v>18803</v>
      </c>
      <c r="AC4835">
        <v>108</v>
      </c>
      <c r="AD4835" t="s">
        <v>19567</v>
      </c>
      <c r="AE4835" t="s">
        <v>19580</v>
      </c>
      <c r="AF4835">
        <v>7</v>
      </c>
      <c r="AG4835">
        <v>1</v>
      </c>
      <c r="AH4835">
        <v>2</v>
      </c>
      <c r="AI4835">
        <v>192.22</v>
      </c>
      <c r="AL4835" t="s">
        <v>19614</v>
      </c>
      <c r="AM4835">
        <v>41000</v>
      </c>
      <c r="AN4835" t="s">
        <v>19722</v>
      </c>
      <c r="AS4835">
        <v>26.75</v>
      </c>
      <c r="AT4835" t="s">
        <v>496</v>
      </c>
      <c r="AU4835" t="s">
        <v>20657</v>
      </c>
      <c r="AV4835" t="s">
        <v>20733</v>
      </c>
    </row>
    <row r="4836" spans="1:48">
      <c r="A4836" s="1">
        <f>HYPERLINK("https://lsnyc.legalserver.org/matter/dynamic-profile/view/0812664","16-0812664")</f>
        <v>0</v>
      </c>
      <c r="B4836" t="s">
        <v>108</v>
      </c>
      <c r="C4836" t="s">
        <v>256</v>
      </c>
      <c r="D4836" t="s">
        <v>881</v>
      </c>
      <c r="F4836" t="s">
        <v>1381</v>
      </c>
      <c r="G4836" t="s">
        <v>5210</v>
      </c>
      <c r="H4836" t="s">
        <v>6526</v>
      </c>
      <c r="I4836" t="s">
        <v>8193</v>
      </c>
      <c r="J4836" t="s">
        <v>9065</v>
      </c>
      <c r="K4836">
        <v>10452</v>
      </c>
      <c r="L4836" t="s">
        <v>9094</v>
      </c>
      <c r="M4836" t="s">
        <v>9095</v>
      </c>
      <c r="N4836" t="s">
        <v>9749</v>
      </c>
      <c r="O4836" t="s">
        <v>11135</v>
      </c>
      <c r="P4836" t="s">
        <v>11168</v>
      </c>
      <c r="R4836" t="s">
        <v>11180</v>
      </c>
      <c r="S4836" t="s">
        <v>9094</v>
      </c>
      <c r="T4836" t="s">
        <v>11183</v>
      </c>
      <c r="V4836" t="s">
        <v>11234</v>
      </c>
      <c r="W4836">
        <v>1084</v>
      </c>
      <c r="X4836" t="s">
        <v>11333</v>
      </c>
      <c r="Y4836" t="s">
        <v>11346</v>
      </c>
      <c r="Z4836" t="s">
        <v>14479</v>
      </c>
      <c r="AB4836" t="s">
        <v>18804</v>
      </c>
      <c r="AC4836">
        <v>63</v>
      </c>
      <c r="AD4836" t="s">
        <v>19569</v>
      </c>
      <c r="AE4836" t="s">
        <v>9144</v>
      </c>
      <c r="AF4836">
        <v>23</v>
      </c>
      <c r="AG4836">
        <v>2</v>
      </c>
      <c r="AH4836">
        <v>0</v>
      </c>
      <c r="AI4836">
        <v>192.26</v>
      </c>
      <c r="AL4836" t="s">
        <v>19615</v>
      </c>
      <c r="AM4836">
        <v>30800</v>
      </c>
      <c r="AS4836">
        <v>12.2</v>
      </c>
      <c r="AT4836" t="s">
        <v>604</v>
      </c>
      <c r="AU4836" t="s">
        <v>20647</v>
      </c>
    </row>
    <row r="4837" spans="1:48">
      <c r="A4837" s="1">
        <f>HYPERLINK("https://lsnyc.legalserver.org/matter/dynamic-profile/view/0804230","16-0804230")</f>
        <v>0</v>
      </c>
      <c r="B4837" t="s">
        <v>111</v>
      </c>
      <c r="C4837" t="s">
        <v>256</v>
      </c>
      <c r="D4837" t="s">
        <v>1083</v>
      </c>
      <c r="F4837" t="s">
        <v>2934</v>
      </c>
      <c r="G4837" t="s">
        <v>5211</v>
      </c>
      <c r="H4837" t="s">
        <v>6260</v>
      </c>
      <c r="I4837" t="s">
        <v>8618</v>
      </c>
      <c r="J4837" t="s">
        <v>9065</v>
      </c>
      <c r="K4837">
        <v>10452</v>
      </c>
      <c r="L4837" t="s">
        <v>9094</v>
      </c>
      <c r="M4837" t="s">
        <v>9095</v>
      </c>
      <c r="O4837" t="s">
        <v>11147</v>
      </c>
      <c r="P4837" t="s">
        <v>11165</v>
      </c>
      <c r="R4837" t="s">
        <v>11180</v>
      </c>
      <c r="S4837" t="s">
        <v>9094</v>
      </c>
      <c r="T4837" t="s">
        <v>11183</v>
      </c>
      <c r="V4837" t="s">
        <v>431</v>
      </c>
      <c r="W4837">
        <v>950</v>
      </c>
      <c r="X4837" t="s">
        <v>11333</v>
      </c>
      <c r="Y4837" t="s">
        <v>11346</v>
      </c>
      <c r="Z4837" t="s">
        <v>14480</v>
      </c>
      <c r="AB4837" t="s">
        <v>18805</v>
      </c>
      <c r="AC4837">
        <v>0</v>
      </c>
      <c r="AD4837" t="s">
        <v>19566</v>
      </c>
      <c r="AF4837">
        <v>4</v>
      </c>
      <c r="AG4837">
        <v>2</v>
      </c>
      <c r="AH4837">
        <v>0</v>
      </c>
      <c r="AI4837">
        <v>192.26</v>
      </c>
      <c r="AL4837" t="s">
        <v>19615</v>
      </c>
      <c r="AM4837">
        <v>30800</v>
      </c>
      <c r="AS4837">
        <v>0.8</v>
      </c>
      <c r="AT4837" t="s">
        <v>293</v>
      </c>
      <c r="AU4837" t="s">
        <v>109</v>
      </c>
    </row>
    <row r="4838" spans="1:48">
      <c r="A4838" s="1">
        <f>HYPERLINK("https://lsnyc.legalserver.org/matter/dynamic-profile/view/1883353","18-1883353")</f>
        <v>0</v>
      </c>
      <c r="B4838" t="s">
        <v>65</v>
      </c>
      <c r="C4838" t="s">
        <v>256</v>
      </c>
      <c r="D4838" t="s">
        <v>691</v>
      </c>
      <c r="F4838" t="s">
        <v>1190</v>
      </c>
      <c r="G4838" t="s">
        <v>3387</v>
      </c>
      <c r="H4838" t="s">
        <v>5744</v>
      </c>
      <c r="I4838">
        <v>32</v>
      </c>
      <c r="J4838" t="s">
        <v>9059</v>
      </c>
      <c r="K4838">
        <v>11238</v>
      </c>
      <c r="L4838" t="s">
        <v>9094</v>
      </c>
      <c r="M4838" t="s">
        <v>9094</v>
      </c>
      <c r="N4838" t="s">
        <v>10845</v>
      </c>
      <c r="O4838" t="s">
        <v>11129</v>
      </c>
      <c r="P4838" t="s">
        <v>11165</v>
      </c>
      <c r="R4838" t="s">
        <v>11180</v>
      </c>
      <c r="S4838" t="s">
        <v>9096</v>
      </c>
      <c r="T4838" t="s">
        <v>11183</v>
      </c>
      <c r="U4838" t="s">
        <v>11202</v>
      </c>
      <c r="V4838" t="s">
        <v>691</v>
      </c>
      <c r="W4838">
        <v>892</v>
      </c>
      <c r="X4838" t="s">
        <v>11332</v>
      </c>
      <c r="Y4838" t="s">
        <v>11340</v>
      </c>
      <c r="Z4838" t="s">
        <v>11416</v>
      </c>
      <c r="AB4838" t="s">
        <v>15947</v>
      </c>
      <c r="AC4838">
        <v>44</v>
      </c>
      <c r="AD4838" t="s">
        <v>19566</v>
      </c>
      <c r="AE4838" t="s">
        <v>9144</v>
      </c>
      <c r="AF4838">
        <v>13</v>
      </c>
      <c r="AG4838">
        <v>1</v>
      </c>
      <c r="AH4838">
        <v>2</v>
      </c>
      <c r="AI4838">
        <v>192.49</v>
      </c>
      <c r="AL4838" t="s">
        <v>19614</v>
      </c>
      <c r="AM4838">
        <v>40000</v>
      </c>
      <c r="AS4838">
        <v>29.45</v>
      </c>
      <c r="AT4838" t="s">
        <v>899</v>
      </c>
      <c r="AU4838" t="s">
        <v>20633</v>
      </c>
      <c r="AV4838" t="s">
        <v>20733</v>
      </c>
    </row>
    <row r="4839" spans="1:48">
      <c r="A4839" s="1">
        <f>HYPERLINK("https://lsnyc.legalserver.org/matter/dynamic-profile/view/1870199","18-1870199")</f>
        <v>0</v>
      </c>
      <c r="B4839" t="s">
        <v>86</v>
      </c>
      <c r="C4839" t="s">
        <v>256</v>
      </c>
      <c r="D4839" t="s">
        <v>365</v>
      </c>
      <c r="F4839" t="s">
        <v>1489</v>
      </c>
      <c r="G4839" t="s">
        <v>4095</v>
      </c>
      <c r="H4839" t="s">
        <v>5786</v>
      </c>
      <c r="I4839" t="s">
        <v>8410</v>
      </c>
      <c r="J4839" t="s">
        <v>9059</v>
      </c>
      <c r="K4839">
        <v>11225</v>
      </c>
      <c r="L4839" t="s">
        <v>9094</v>
      </c>
      <c r="M4839" t="s">
        <v>9094</v>
      </c>
      <c r="O4839" t="s">
        <v>11130</v>
      </c>
      <c r="P4839" t="s">
        <v>11165</v>
      </c>
      <c r="R4839" t="s">
        <v>11180</v>
      </c>
      <c r="S4839" t="s">
        <v>9094</v>
      </c>
      <c r="T4839" t="s">
        <v>11183</v>
      </c>
      <c r="V4839" t="s">
        <v>945</v>
      </c>
      <c r="W4839">
        <v>1214</v>
      </c>
      <c r="X4839" t="s">
        <v>11332</v>
      </c>
      <c r="Y4839" t="s">
        <v>11346</v>
      </c>
      <c r="Z4839" t="s">
        <v>12320</v>
      </c>
      <c r="AC4839">
        <v>47</v>
      </c>
      <c r="AD4839" t="s">
        <v>19566</v>
      </c>
      <c r="AE4839" t="s">
        <v>9144</v>
      </c>
      <c r="AF4839">
        <v>30</v>
      </c>
      <c r="AG4839">
        <v>3</v>
      </c>
      <c r="AH4839">
        <v>0</v>
      </c>
      <c r="AI4839">
        <v>192.49</v>
      </c>
      <c r="AL4839" t="s">
        <v>19614</v>
      </c>
      <c r="AM4839">
        <v>40000</v>
      </c>
      <c r="AS4839">
        <v>1</v>
      </c>
      <c r="AT4839" t="s">
        <v>365</v>
      </c>
      <c r="AU4839" t="s">
        <v>20630</v>
      </c>
    </row>
    <row r="4840" spans="1:48">
      <c r="A4840" s="1">
        <f>HYPERLINK("https://lsnyc.legalserver.org/matter/dynamic-profile/view/1872357","18-1872357")</f>
        <v>0</v>
      </c>
      <c r="B4840" t="s">
        <v>132</v>
      </c>
      <c r="C4840" t="s">
        <v>257</v>
      </c>
      <c r="D4840" t="s">
        <v>620</v>
      </c>
      <c r="E4840" t="s">
        <v>1135</v>
      </c>
      <c r="F4840" t="s">
        <v>2722</v>
      </c>
      <c r="G4840" t="s">
        <v>4978</v>
      </c>
      <c r="H4840" t="s">
        <v>7553</v>
      </c>
      <c r="I4840" t="s">
        <v>8169</v>
      </c>
      <c r="J4840" t="s">
        <v>9067</v>
      </c>
      <c r="K4840">
        <v>10032</v>
      </c>
      <c r="L4840" t="s">
        <v>9094</v>
      </c>
      <c r="M4840" t="s">
        <v>9094</v>
      </c>
      <c r="N4840" t="s">
        <v>10846</v>
      </c>
      <c r="O4840" t="s">
        <v>11130</v>
      </c>
      <c r="P4840" t="s">
        <v>11165</v>
      </c>
      <c r="Q4840" t="s">
        <v>11174</v>
      </c>
      <c r="R4840" t="s">
        <v>11180</v>
      </c>
      <c r="S4840" t="s">
        <v>9096</v>
      </c>
      <c r="T4840" t="s">
        <v>11183</v>
      </c>
      <c r="V4840" t="s">
        <v>620</v>
      </c>
      <c r="W4840">
        <v>1282.58</v>
      </c>
      <c r="X4840" t="s">
        <v>11335</v>
      </c>
      <c r="Y4840" t="s">
        <v>11338</v>
      </c>
      <c r="Z4840" t="s">
        <v>14031</v>
      </c>
      <c r="AA4840" t="s">
        <v>15886</v>
      </c>
      <c r="AB4840" t="s">
        <v>18358</v>
      </c>
      <c r="AC4840">
        <v>49</v>
      </c>
      <c r="AD4840" t="s">
        <v>19566</v>
      </c>
      <c r="AE4840" t="s">
        <v>9144</v>
      </c>
      <c r="AF4840">
        <v>24</v>
      </c>
      <c r="AG4840">
        <v>3</v>
      </c>
      <c r="AH4840">
        <v>0</v>
      </c>
      <c r="AI4840">
        <v>192.49</v>
      </c>
      <c r="AL4840" t="s">
        <v>19615</v>
      </c>
      <c r="AM4840">
        <v>40000</v>
      </c>
      <c r="AS4840">
        <v>66.09999999999999</v>
      </c>
      <c r="AT4840" t="s">
        <v>1135</v>
      </c>
      <c r="AU4840" t="s">
        <v>130</v>
      </c>
      <c r="AV4840" t="s">
        <v>20733</v>
      </c>
    </row>
    <row r="4841" spans="1:48">
      <c r="A4841" s="1">
        <f>HYPERLINK("https://lsnyc.legalserver.org/matter/dynamic-profile/view/1864736","18-1864736")</f>
        <v>0</v>
      </c>
      <c r="B4841" t="s">
        <v>136</v>
      </c>
      <c r="C4841" t="s">
        <v>256</v>
      </c>
      <c r="D4841" t="s">
        <v>518</v>
      </c>
      <c r="F4841" t="s">
        <v>1450</v>
      </c>
      <c r="G4841" t="s">
        <v>5212</v>
      </c>
      <c r="H4841" t="s">
        <v>5961</v>
      </c>
      <c r="I4841">
        <v>208</v>
      </c>
      <c r="J4841" t="s">
        <v>9067</v>
      </c>
      <c r="K4841">
        <v>10029</v>
      </c>
      <c r="L4841" t="s">
        <v>9094</v>
      </c>
      <c r="M4841" t="s">
        <v>9094</v>
      </c>
      <c r="O4841" t="s">
        <v>11130</v>
      </c>
      <c r="P4841" t="s">
        <v>11167</v>
      </c>
      <c r="R4841" t="s">
        <v>11180</v>
      </c>
      <c r="S4841" t="s">
        <v>9094</v>
      </c>
      <c r="T4841" t="s">
        <v>11183</v>
      </c>
      <c r="U4841" t="s">
        <v>11201</v>
      </c>
      <c r="V4841" t="s">
        <v>518</v>
      </c>
      <c r="W4841">
        <v>0</v>
      </c>
      <c r="X4841" t="s">
        <v>11335</v>
      </c>
      <c r="Y4841" t="s">
        <v>11339</v>
      </c>
      <c r="Z4841" t="s">
        <v>12490</v>
      </c>
      <c r="AB4841" t="s">
        <v>18806</v>
      </c>
      <c r="AC4841">
        <v>108</v>
      </c>
      <c r="AD4841" t="s">
        <v>19567</v>
      </c>
      <c r="AE4841" t="s">
        <v>19580</v>
      </c>
      <c r="AF4841">
        <v>35</v>
      </c>
      <c r="AG4841">
        <v>3</v>
      </c>
      <c r="AH4841">
        <v>0</v>
      </c>
      <c r="AI4841">
        <v>192.49</v>
      </c>
      <c r="AL4841" t="s">
        <v>19615</v>
      </c>
      <c r="AM4841">
        <v>40000</v>
      </c>
      <c r="AS4841">
        <v>0.7</v>
      </c>
      <c r="AT4841" t="s">
        <v>496</v>
      </c>
      <c r="AU4841" t="s">
        <v>20657</v>
      </c>
    </row>
    <row r="4842" spans="1:48">
      <c r="A4842" s="1">
        <f>HYPERLINK("https://lsnyc.legalserver.org/matter/dynamic-profile/view/1890579","19-1890579")</f>
        <v>0</v>
      </c>
      <c r="B4842" t="s">
        <v>70</v>
      </c>
      <c r="C4842" t="s">
        <v>256</v>
      </c>
      <c r="D4842" t="s">
        <v>695</v>
      </c>
      <c r="F4842" t="s">
        <v>2045</v>
      </c>
      <c r="G4842" t="s">
        <v>5213</v>
      </c>
      <c r="H4842" t="s">
        <v>5748</v>
      </c>
      <c r="I4842" t="s">
        <v>8341</v>
      </c>
      <c r="J4842" t="s">
        <v>9059</v>
      </c>
      <c r="K4842">
        <v>11233</v>
      </c>
      <c r="L4842" t="s">
        <v>9094</v>
      </c>
      <c r="M4842" t="s">
        <v>9096</v>
      </c>
      <c r="N4842" t="s">
        <v>9144</v>
      </c>
      <c r="O4842" t="s">
        <v>11134</v>
      </c>
      <c r="P4842" t="s">
        <v>11168</v>
      </c>
      <c r="R4842" t="s">
        <v>11180</v>
      </c>
      <c r="S4842" t="s">
        <v>9094</v>
      </c>
      <c r="T4842" t="s">
        <v>11183</v>
      </c>
      <c r="U4842" t="s">
        <v>11201</v>
      </c>
      <c r="V4842" t="s">
        <v>482</v>
      </c>
      <c r="W4842">
        <v>965.96</v>
      </c>
      <c r="X4842" t="s">
        <v>11332</v>
      </c>
      <c r="Y4842" t="s">
        <v>11342</v>
      </c>
      <c r="Z4842" t="s">
        <v>14481</v>
      </c>
      <c r="AC4842">
        <v>359</v>
      </c>
      <c r="AD4842" t="s">
        <v>19566</v>
      </c>
      <c r="AF4842">
        <v>42</v>
      </c>
      <c r="AG4842">
        <v>1</v>
      </c>
      <c r="AH4842">
        <v>0</v>
      </c>
      <c r="AI4842">
        <v>192.53</v>
      </c>
      <c r="AL4842" t="s">
        <v>19614</v>
      </c>
      <c r="AM4842">
        <v>24046.8</v>
      </c>
      <c r="AN4842" t="s">
        <v>20037</v>
      </c>
      <c r="AS4842">
        <v>0</v>
      </c>
      <c r="AU4842" t="s">
        <v>95</v>
      </c>
    </row>
    <row r="4843" spans="1:48">
      <c r="A4843" s="1">
        <f>HYPERLINK("https://lsnyc.legalserver.org/matter/dynamic-profile/view/1891872","19-1891872")</f>
        <v>0</v>
      </c>
      <c r="B4843" t="s">
        <v>70</v>
      </c>
      <c r="C4843" t="s">
        <v>256</v>
      </c>
      <c r="D4843" t="s">
        <v>383</v>
      </c>
      <c r="F4843" t="s">
        <v>2045</v>
      </c>
      <c r="G4843" t="s">
        <v>5213</v>
      </c>
      <c r="H4843" t="s">
        <v>5748</v>
      </c>
      <c r="I4843" t="s">
        <v>8341</v>
      </c>
      <c r="J4843" t="s">
        <v>9059</v>
      </c>
      <c r="K4843">
        <v>11233</v>
      </c>
      <c r="L4843" t="s">
        <v>9094</v>
      </c>
      <c r="M4843" t="s">
        <v>9096</v>
      </c>
      <c r="N4843" t="s">
        <v>9144</v>
      </c>
      <c r="O4843" t="s">
        <v>11137</v>
      </c>
      <c r="P4843" t="s">
        <v>11167</v>
      </c>
      <c r="R4843" t="s">
        <v>11180</v>
      </c>
      <c r="S4843" t="s">
        <v>9094</v>
      </c>
      <c r="T4843" t="s">
        <v>11183</v>
      </c>
      <c r="U4843" t="s">
        <v>11201</v>
      </c>
      <c r="V4843" t="s">
        <v>749</v>
      </c>
      <c r="W4843">
        <v>965.96</v>
      </c>
      <c r="X4843" t="s">
        <v>11332</v>
      </c>
      <c r="Z4843" t="s">
        <v>14481</v>
      </c>
      <c r="AC4843">
        <v>359</v>
      </c>
      <c r="AD4843" t="s">
        <v>19566</v>
      </c>
      <c r="AF4843">
        <v>42</v>
      </c>
      <c r="AG4843">
        <v>1</v>
      </c>
      <c r="AH4843">
        <v>0</v>
      </c>
      <c r="AI4843">
        <v>192.53</v>
      </c>
      <c r="AL4843" t="s">
        <v>19614</v>
      </c>
      <c r="AM4843">
        <v>24046.8</v>
      </c>
      <c r="AN4843" t="s">
        <v>20052</v>
      </c>
      <c r="AS4843">
        <v>0</v>
      </c>
      <c r="AU4843" t="s">
        <v>95</v>
      </c>
    </row>
    <row r="4844" spans="1:48">
      <c r="A4844" s="1">
        <f>HYPERLINK("https://lsnyc.legalserver.org/matter/dynamic-profile/view/1842878","17-1842878")</f>
        <v>0</v>
      </c>
      <c r="B4844" t="s">
        <v>136</v>
      </c>
      <c r="C4844" t="s">
        <v>257</v>
      </c>
      <c r="D4844" t="s">
        <v>480</v>
      </c>
      <c r="E4844" t="s">
        <v>312</v>
      </c>
      <c r="F4844" t="s">
        <v>1199</v>
      </c>
      <c r="G4844" t="s">
        <v>5214</v>
      </c>
      <c r="H4844" t="s">
        <v>7808</v>
      </c>
      <c r="I4844" t="s">
        <v>8171</v>
      </c>
      <c r="J4844" t="s">
        <v>9067</v>
      </c>
      <c r="K4844">
        <v>10033</v>
      </c>
      <c r="L4844" t="s">
        <v>9094</v>
      </c>
      <c r="M4844" t="s">
        <v>9095</v>
      </c>
      <c r="N4844" t="s">
        <v>10847</v>
      </c>
      <c r="O4844" t="s">
        <v>11135</v>
      </c>
      <c r="P4844" t="s">
        <v>11168</v>
      </c>
      <c r="Q4844" t="s">
        <v>11177</v>
      </c>
      <c r="R4844" t="s">
        <v>11180</v>
      </c>
      <c r="S4844" t="s">
        <v>9096</v>
      </c>
      <c r="T4844" t="s">
        <v>11183</v>
      </c>
      <c r="U4844" t="s">
        <v>11201</v>
      </c>
      <c r="V4844" t="s">
        <v>837</v>
      </c>
      <c r="W4844">
        <v>1115</v>
      </c>
      <c r="X4844" t="s">
        <v>11335</v>
      </c>
      <c r="Y4844" t="s">
        <v>11338</v>
      </c>
      <c r="Z4844" t="s">
        <v>14482</v>
      </c>
      <c r="AB4844" t="s">
        <v>18807</v>
      </c>
      <c r="AC4844">
        <v>48</v>
      </c>
      <c r="AD4844" t="s">
        <v>19569</v>
      </c>
      <c r="AE4844" t="s">
        <v>9144</v>
      </c>
      <c r="AF4844">
        <v>50</v>
      </c>
      <c r="AG4844">
        <v>1</v>
      </c>
      <c r="AH4844">
        <v>0</v>
      </c>
      <c r="AI4844">
        <v>192.55</v>
      </c>
      <c r="AJ4844" t="s">
        <v>908</v>
      </c>
      <c r="AL4844" t="s">
        <v>19614</v>
      </c>
      <c r="AM4844">
        <v>23221.44</v>
      </c>
      <c r="AO4844" t="s">
        <v>20293</v>
      </c>
      <c r="AP4844" t="s">
        <v>20342</v>
      </c>
      <c r="AQ4844" t="s">
        <v>20369</v>
      </c>
      <c r="AR4844" t="s">
        <v>20556</v>
      </c>
      <c r="AS4844">
        <v>6</v>
      </c>
      <c r="AT4844" t="s">
        <v>706</v>
      </c>
      <c r="AU4844" t="s">
        <v>130</v>
      </c>
      <c r="AV4844" t="s">
        <v>20733</v>
      </c>
    </row>
    <row r="4845" spans="1:48">
      <c r="A4845" s="1">
        <f>HYPERLINK("https://lsnyc.legalserver.org/matter/dynamic-profile/view/1900617","19-1900617")</f>
        <v>0</v>
      </c>
      <c r="B4845" t="s">
        <v>82</v>
      </c>
      <c r="C4845" t="s">
        <v>256</v>
      </c>
      <c r="D4845" t="s">
        <v>283</v>
      </c>
      <c r="F4845" t="s">
        <v>1904</v>
      </c>
      <c r="G4845" t="s">
        <v>3586</v>
      </c>
      <c r="H4845" t="s">
        <v>6393</v>
      </c>
      <c r="I4845" t="s">
        <v>8216</v>
      </c>
      <c r="J4845" t="s">
        <v>9059</v>
      </c>
      <c r="K4845">
        <v>11226</v>
      </c>
      <c r="L4845" t="s">
        <v>9094</v>
      </c>
      <c r="M4845" t="s">
        <v>9095</v>
      </c>
      <c r="N4845" t="s">
        <v>9634</v>
      </c>
      <c r="O4845" t="s">
        <v>11130</v>
      </c>
      <c r="P4845" t="s">
        <v>11165</v>
      </c>
      <c r="R4845" t="s">
        <v>11180</v>
      </c>
      <c r="S4845" t="s">
        <v>9094</v>
      </c>
      <c r="T4845" t="s">
        <v>11183</v>
      </c>
      <c r="U4845" t="s">
        <v>11201</v>
      </c>
      <c r="V4845" t="s">
        <v>283</v>
      </c>
      <c r="W4845">
        <v>763.1799999999999</v>
      </c>
      <c r="X4845" t="s">
        <v>11332</v>
      </c>
      <c r="Y4845" t="s">
        <v>11339</v>
      </c>
      <c r="Z4845" t="s">
        <v>13399</v>
      </c>
      <c r="AB4845" t="s">
        <v>17738</v>
      </c>
      <c r="AC4845">
        <v>36</v>
      </c>
      <c r="AD4845" t="s">
        <v>19566</v>
      </c>
      <c r="AE4845" t="s">
        <v>19587</v>
      </c>
      <c r="AF4845">
        <v>30</v>
      </c>
      <c r="AG4845">
        <v>4</v>
      </c>
      <c r="AH4845">
        <v>0</v>
      </c>
      <c r="AI4845">
        <v>192.65</v>
      </c>
      <c r="AL4845" t="s">
        <v>19615</v>
      </c>
      <c r="AM4845">
        <v>49608</v>
      </c>
      <c r="AS4845">
        <v>0.3</v>
      </c>
      <c r="AT4845" t="s">
        <v>283</v>
      </c>
      <c r="AU4845" t="s">
        <v>67</v>
      </c>
    </row>
    <row r="4846" spans="1:48">
      <c r="A4846" s="1">
        <f>HYPERLINK("https://lsnyc.legalserver.org/matter/dynamic-profile/view/1879578","18-1879578")</f>
        <v>0</v>
      </c>
      <c r="B4846" t="s">
        <v>249</v>
      </c>
      <c r="C4846" t="s">
        <v>257</v>
      </c>
      <c r="D4846" t="s">
        <v>1084</v>
      </c>
      <c r="E4846" t="s">
        <v>320</v>
      </c>
      <c r="F4846" t="s">
        <v>2935</v>
      </c>
      <c r="G4846" t="s">
        <v>2681</v>
      </c>
      <c r="H4846" t="s">
        <v>7809</v>
      </c>
      <c r="I4846" t="s">
        <v>8229</v>
      </c>
      <c r="J4846" t="s">
        <v>9067</v>
      </c>
      <c r="K4846">
        <v>10009</v>
      </c>
      <c r="L4846" t="s">
        <v>9094</v>
      </c>
      <c r="M4846" t="s">
        <v>9095</v>
      </c>
      <c r="O4846" t="s">
        <v>9121</v>
      </c>
      <c r="P4846" t="s">
        <v>11164</v>
      </c>
      <c r="Q4846" t="s">
        <v>11172</v>
      </c>
      <c r="R4846" t="s">
        <v>11180</v>
      </c>
      <c r="S4846" t="s">
        <v>9096</v>
      </c>
      <c r="T4846" t="s">
        <v>11190</v>
      </c>
      <c r="V4846" t="s">
        <v>295</v>
      </c>
      <c r="W4846">
        <v>2264</v>
      </c>
      <c r="X4846" t="s">
        <v>11335</v>
      </c>
      <c r="Z4846" t="s">
        <v>14483</v>
      </c>
      <c r="AC4846">
        <v>0</v>
      </c>
      <c r="AF4846">
        <v>18</v>
      </c>
      <c r="AG4846">
        <v>4</v>
      </c>
      <c r="AH4846">
        <v>0</v>
      </c>
      <c r="AI4846">
        <v>192.67</v>
      </c>
      <c r="AL4846" t="s">
        <v>19615</v>
      </c>
      <c r="AM4846">
        <v>48360</v>
      </c>
      <c r="AS4846">
        <v>4.75</v>
      </c>
      <c r="AT4846" t="s">
        <v>341</v>
      </c>
      <c r="AU4846" t="s">
        <v>20658</v>
      </c>
      <c r="AV4846" t="s">
        <v>20733</v>
      </c>
    </row>
    <row r="4847" spans="1:48">
      <c r="A4847" s="1">
        <f>HYPERLINK("https://lsnyc.legalserver.org/matter/dynamic-profile/view/1866708","18-1866708")</f>
        <v>0</v>
      </c>
      <c r="B4847" t="s">
        <v>165</v>
      </c>
      <c r="C4847" t="s">
        <v>256</v>
      </c>
      <c r="D4847" t="s">
        <v>901</v>
      </c>
      <c r="F4847" t="s">
        <v>1676</v>
      </c>
      <c r="G4847" t="s">
        <v>2505</v>
      </c>
      <c r="H4847" t="s">
        <v>6310</v>
      </c>
      <c r="I4847" t="s">
        <v>8124</v>
      </c>
      <c r="J4847" t="s">
        <v>9059</v>
      </c>
      <c r="K4847">
        <v>11233</v>
      </c>
      <c r="L4847" t="s">
        <v>9094</v>
      </c>
      <c r="M4847" t="s">
        <v>9094</v>
      </c>
      <c r="N4847" t="s">
        <v>9144</v>
      </c>
      <c r="O4847" t="s">
        <v>11137</v>
      </c>
      <c r="P4847" t="s">
        <v>11167</v>
      </c>
      <c r="R4847" t="s">
        <v>11180</v>
      </c>
      <c r="S4847" t="s">
        <v>9096</v>
      </c>
      <c r="T4847" t="s">
        <v>11183</v>
      </c>
      <c r="V4847" t="s">
        <v>489</v>
      </c>
      <c r="W4847">
        <v>647</v>
      </c>
      <c r="X4847" t="s">
        <v>11332</v>
      </c>
      <c r="Y4847" t="s">
        <v>11352</v>
      </c>
      <c r="Z4847" t="s">
        <v>12090</v>
      </c>
      <c r="AA4847" t="s">
        <v>15478</v>
      </c>
      <c r="AB4847" t="s">
        <v>16530</v>
      </c>
      <c r="AC4847">
        <v>23</v>
      </c>
      <c r="AD4847" t="s">
        <v>19566</v>
      </c>
      <c r="AE4847" t="s">
        <v>19588</v>
      </c>
      <c r="AF4847">
        <v>4</v>
      </c>
      <c r="AG4847">
        <v>1</v>
      </c>
      <c r="AH4847">
        <v>0</v>
      </c>
      <c r="AI4847">
        <v>192.75</v>
      </c>
      <c r="AL4847" t="s">
        <v>19614</v>
      </c>
      <c r="AM4847">
        <v>23400</v>
      </c>
      <c r="AN4847" t="s">
        <v>19879</v>
      </c>
      <c r="AS4847">
        <v>5.5</v>
      </c>
      <c r="AT4847" t="s">
        <v>306</v>
      </c>
      <c r="AU4847" t="s">
        <v>20640</v>
      </c>
    </row>
    <row r="4848" spans="1:48">
      <c r="A4848" s="1">
        <f>HYPERLINK("https://lsnyc.legalserver.org/matter/dynamic-profile/view/1905606","19-1905606")</f>
        <v>0</v>
      </c>
      <c r="B4848" t="s">
        <v>72</v>
      </c>
      <c r="C4848" t="s">
        <v>257</v>
      </c>
      <c r="D4848" t="s">
        <v>457</v>
      </c>
      <c r="E4848" t="s">
        <v>457</v>
      </c>
      <c r="F4848" t="s">
        <v>2936</v>
      </c>
      <c r="G4848" t="s">
        <v>4630</v>
      </c>
      <c r="H4848" t="s">
        <v>7810</v>
      </c>
      <c r="I4848">
        <v>1</v>
      </c>
      <c r="J4848" t="s">
        <v>9059</v>
      </c>
      <c r="K4848">
        <v>11207</v>
      </c>
      <c r="L4848" t="s">
        <v>9094</v>
      </c>
      <c r="M4848" t="s">
        <v>9095</v>
      </c>
      <c r="N4848" t="s">
        <v>10848</v>
      </c>
      <c r="O4848" t="s">
        <v>11129</v>
      </c>
      <c r="P4848" t="s">
        <v>11165</v>
      </c>
      <c r="Q4848" t="s">
        <v>11178</v>
      </c>
      <c r="R4848" t="s">
        <v>11180</v>
      </c>
      <c r="T4848" t="s">
        <v>11184</v>
      </c>
      <c r="W4848">
        <v>1829</v>
      </c>
      <c r="X4848" t="s">
        <v>11332</v>
      </c>
      <c r="Y4848" t="s">
        <v>11336</v>
      </c>
      <c r="Z4848" t="s">
        <v>14484</v>
      </c>
      <c r="AB4848" t="s">
        <v>18808</v>
      </c>
      <c r="AC4848">
        <v>0</v>
      </c>
      <c r="AD4848" t="s">
        <v>19565</v>
      </c>
      <c r="AE4848" t="s">
        <v>19580</v>
      </c>
      <c r="AF4848">
        <v>9</v>
      </c>
      <c r="AG4848">
        <v>3</v>
      </c>
      <c r="AH4848">
        <v>0</v>
      </c>
      <c r="AI4848">
        <v>192.94</v>
      </c>
      <c r="AL4848" t="s">
        <v>19614</v>
      </c>
      <c r="AM4848">
        <v>41154.28</v>
      </c>
      <c r="AS4848">
        <v>0.25</v>
      </c>
      <c r="AT4848" t="s">
        <v>457</v>
      </c>
      <c r="AU4848" t="s">
        <v>72</v>
      </c>
      <c r="AV4848" t="s">
        <v>20733</v>
      </c>
    </row>
    <row r="4849" spans="1:48">
      <c r="A4849" s="1">
        <f>HYPERLINK("https://lsnyc.legalserver.org/matter/dynamic-profile/view/1890540","19-1890540")</f>
        <v>0</v>
      </c>
      <c r="B4849" t="s">
        <v>70</v>
      </c>
      <c r="C4849" t="s">
        <v>256</v>
      </c>
      <c r="D4849" t="s">
        <v>695</v>
      </c>
      <c r="F4849" t="s">
        <v>2148</v>
      </c>
      <c r="G4849" t="s">
        <v>5215</v>
      </c>
      <c r="H4849" t="s">
        <v>5748</v>
      </c>
      <c r="I4849" t="s">
        <v>8573</v>
      </c>
      <c r="J4849" t="s">
        <v>9059</v>
      </c>
      <c r="K4849">
        <v>11233</v>
      </c>
      <c r="L4849" t="s">
        <v>9094</v>
      </c>
      <c r="M4849" t="s">
        <v>9096</v>
      </c>
      <c r="N4849" t="s">
        <v>9145</v>
      </c>
      <c r="O4849" t="s">
        <v>11134</v>
      </c>
      <c r="P4849" t="s">
        <v>11168</v>
      </c>
      <c r="R4849" t="s">
        <v>11180</v>
      </c>
      <c r="S4849" t="s">
        <v>9094</v>
      </c>
      <c r="T4849" t="s">
        <v>11183</v>
      </c>
      <c r="U4849" t="s">
        <v>11201</v>
      </c>
      <c r="V4849" t="s">
        <v>482</v>
      </c>
      <c r="W4849">
        <v>950</v>
      </c>
      <c r="X4849" t="s">
        <v>11332</v>
      </c>
      <c r="Y4849" t="s">
        <v>11342</v>
      </c>
      <c r="Z4849" t="s">
        <v>14400</v>
      </c>
      <c r="AC4849">
        <v>359</v>
      </c>
      <c r="AD4849" t="s">
        <v>19566</v>
      </c>
      <c r="AE4849" t="s">
        <v>9144</v>
      </c>
      <c r="AF4849">
        <v>15</v>
      </c>
      <c r="AG4849">
        <v>4</v>
      </c>
      <c r="AH4849">
        <v>0</v>
      </c>
      <c r="AI4849">
        <v>193.03</v>
      </c>
      <c r="AL4849" t="s">
        <v>19614</v>
      </c>
      <c r="AM4849">
        <v>49705</v>
      </c>
      <c r="AN4849" t="s">
        <v>19750</v>
      </c>
      <c r="AS4849">
        <v>0</v>
      </c>
      <c r="AU4849" t="s">
        <v>95</v>
      </c>
    </row>
    <row r="4850" spans="1:48">
      <c r="A4850" s="1">
        <f>HYPERLINK("https://lsnyc.legalserver.org/matter/dynamic-profile/view/1891859","19-1891859")</f>
        <v>0</v>
      </c>
      <c r="B4850" t="s">
        <v>70</v>
      </c>
      <c r="C4850" t="s">
        <v>256</v>
      </c>
      <c r="D4850" t="s">
        <v>383</v>
      </c>
      <c r="F4850" t="s">
        <v>2148</v>
      </c>
      <c r="G4850" t="s">
        <v>5215</v>
      </c>
      <c r="H4850" t="s">
        <v>5748</v>
      </c>
      <c r="I4850" t="s">
        <v>8573</v>
      </c>
      <c r="J4850" t="s">
        <v>9059</v>
      </c>
      <c r="K4850">
        <v>11233</v>
      </c>
      <c r="L4850" t="s">
        <v>9094</v>
      </c>
      <c r="M4850" t="s">
        <v>9096</v>
      </c>
      <c r="N4850" t="s">
        <v>9144</v>
      </c>
      <c r="O4850" t="s">
        <v>11137</v>
      </c>
      <c r="P4850" t="s">
        <v>11167</v>
      </c>
      <c r="R4850" t="s">
        <v>11180</v>
      </c>
      <c r="S4850" t="s">
        <v>9094</v>
      </c>
      <c r="T4850" t="s">
        <v>11183</v>
      </c>
      <c r="U4850" t="s">
        <v>11201</v>
      </c>
      <c r="V4850" t="s">
        <v>749</v>
      </c>
      <c r="W4850">
        <v>950</v>
      </c>
      <c r="X4850" t="s">
        <v>11332</v>
      </c>
      <c r="Z4850" t="s">
        <v>14400</v>
      </c>
      <c r="AC4850">
        <v>359</v>
      </c>
      <c r="AD4850" t="s">
        <v>19566</v>
      </c>
      <c r="AE4850" t="s">
        <v>9144</v>
      </c>
      <c r="AF4850">
        <v>15</v>
      </c>
      <c r="AG4850">
        <v>4</v>
      </c>
      <c r="AH4850">
        <v>0</v>
      </c>
      <c r="AI4850">
        <v>193.03</v>
      </c>
      <c r="AL4850" t="s">
        <v>19614</v>
      </c>
      <c r="AM4850">
        <v>49705</v>
      </c>
      <c r="AN4850" t="s">
        <v>20053</v>
      </c>
      <c r="AS4850">
        <v>0</v>
      </c>
      <c r="AU4850" t="s">
        <v>95</v>
      </c>
    </row>
    <row r="4851" spans="1:48">
      <c r="A4851" s="1">
        <f>HYPERLINK("https://lsnyc.legalserver.org/matter/dynamic-profile/view/1843591","17-1843591")</f>
        <v>0</v>
      </c>
      <c r="B4851" t="s">
        <v>140</v>
      </c>
      <c r="C4851" t="s">
        <v>256</v>
      </c>
      <c r="D4851" t="s">
        <v>530</v>
      </c>
      <c r="F4851" t="s">
        <v>2865</v>
      </c>
      <c r="G4851" t="s">
        <v>3765</v>
      </c>
      <c r="H4851" t="s">
        <v>5999</v>
      </c>
      <c r="J4851" t="s">
        <v>9067</v>
      </c>
      <c r="K4851">
        <v>10040</v>
      </c>
      <c r="L4851" t="s">
        <v>9094</v>
      </c>
      <c r="M4851" t="s">
        <v>9094</v>
      </c>
      <c r="N4851" t="s">
        <v>9314</v>
      </c>
      <c r="O4851" t="s">
        <v>11130</v>
      </c>
      <c r="P4851" t="s">
        <v>11168</v>
      </c>
      <c r="R4851" t="s">
        <v>11180</v>
      </c>
      <c r="S4851" t="s">
        <v>9094</v>
      </c>
      <c r="T4851" t="s">
        <v>11183</v>
      </c>
      <c r="V4851" t="s">
        <v>820</v>
      </c>
      <c r="W4851">
        <v>1147</v>
      </c>
      <c r="X4851" t="s">
        <v>11335</v>
      </c>
      <c r="Y4851" t="s">
        <v>11338</v>
      </c>
      <c r="Z4851" t="s">
        <v>14318</v>
      </c>
      <c r="AB4851" t="s">
        <v>18639</v>
      </c>
      <c r="AC4851">
        <v>44</v>
      </c>
      <c r="AD4851" t="s">
        <v>19566</v>
      </c>
      <c r="AE4851" t="s">
        <v>9144</v>
      </c>
      <c r="AF4851">
        <v>8</v>
      </c>
      <c r="AG4851">
        <v>3</v>
      </c>
      <c r="AH4851">
        <v>0</v>
      </c>
      <c r="AI4851">
        <v>193.1</v>
      </c>
      <c r="AJ4851" t="s">
        <v>982</v>
      </c>
      <c r="AL4851" t="s">
        <v>19615</v>
      </c>
      <c r="AM4851">
        <v>39432</v>
      </c>
      <c r="AS4851">
        <v>1.8</v>
      </c>
      <c r="AT4851" t="s">
        <v>299</v>
      </c>
      <c r="AU4851" t="s">
        <v>130</v>
      </c>
    </row>
    <row r="4852" spans="1:48">
      <c r="A4852" s="1">
        <f>HYPERLINK("https://lsnyc.legalserver.org/matter/dynamic-profile/view/0780738","15-0780738")</f>
        <v>0</v>
      </c>
      <c r="B4852" t="s">
        <v>119</v>
      </c>
      <c r="C4852" t="s">
        <v>256</v>
      </c>
      <c r="D4852" t="s">
        <v>962</v>
      </c>
      <c r="F4852" t="s">
        <v>1171</v>
      </c>
      <c r="G4852" t="s">
        <v>4597</v>
      </c>
      <c r="H4852" t="s">
        <v>5897</v>
      </c>
      <c r="I4852" t="s">
        <v>8222</v>
      </c>
      <c r="J4852" t="s">
        <v>9065</v>
      </c>
      <c r="K4852">
        <v>10452</v>
      </c>
      <c r="L4852" t="s">
        <v>9094</v>
      </c>
      <c r="M4852" t="s">
        <v>9095</v>
      </c>
      <c r="N4852" t="s">
        <v>10103</v>
      </c>
      <c r="O4852" t="s">
        <v>11132</v>
      </c>
      <c r="P4852" t="s">
        <v>11165</v>
      </c>
      <c r="R4852" t="s">
        <v>11180</v>
      </c>
      <c r="S4852" t="s">
        <v>9094</v>
      </c>
      <c r="T4852" t="s">
        <v>11183</v>
      </c>
      <c r="V4852" t="s">
        <v>11224</v>
      </c>
      <c r="W4852">
        <v>705.09</v>
      </c>
      <c r="X4852" t="s">
        <v>11333</v>
      </c>
      <c r="Z4852" t="s">
        <v>14448</v>
      </c>
      <c r="AB4852" t="s">
        <v>18768</v>
      </c>
      <c r="AC4852">
        <v>122</v>
      </c>
      <c r="AD4852" t="s">
        <v>19566</v>
      </c>
      <c r="AF4852">
        <v>24</v>
      </c>
      <c r="AG4852">
        <v>2</v>
      </c>
      <c r="AH4852">
        <v>0</v>
      </c>
      <c r="AI4852">
        <v>193.17</v>
      </c>
      <c r="AL4852" t="s">
        <v>19614</v>
      </c>
      <c r="AM4852">
        <v>30771.88</v>
      </c>
      <c r="AS4852">
        <v>0.95</v>
      </c>
      <c r="AT4852" t="s">
        <v>507</v>
      </c>
      <c r="AU4852" t="s">
        <v>109</v>
      </c>
    </row>
    <row r="4853" spans="1:48">
      <c r="A4853" s="1">
        <f>HYPERLINK("https://lsnyc.legalserver.org/matter/dynamic-profile/view/1884601","18-1884601")</f>
        <v>0</v>
      </c>
      <c r="B4853" t="s">
        <v>114</v>
      </c>
      <c r="C4853" t="s">
        <v>257</v>
      </c>
      <c r="D4853" t="s">
        <v>963</v>
      </c>
      <c r="E4853" t="s">
        <v>263</v>
      </c>
      <c r="F4853" t="s">
        <v>2114</v>
      </c>
      <c r="G4853" t="s">
        <v>3540</v>
      </c>
      <c r="H4853" t="s">
        <v>5907</v>
      </c>
      <c r="J4853" t="s">
        <v>9065</v>
      </c>
      <c r="K4853">
        <v>10451</v>
      </c>
      <c r="L4853" t="s">
        <v>9094</v>
      </c>
      <c r="M4853" t="s">
        <v>9094</v>
      </c>
      <c r="N4853" t="s">
        <v>9259</v>
      </c>
      <c r="O4853" t="s">
        <v>11130</v>
      </c>
      <c r="P4853" t="s">
        <v>11165</v>
      </c>
      <c r="Q4853" t="s">
        <v>11174</v>
      </c>
      <c r="R4853" t="s">
        <v>11180</v>
      </c>
      <c r="S4853" t="s">
        <v>9094</v>
      </c>
      <c r="T4853" t="s">
        <v>11183</v>
      </c>
      <c r="V4853" t="s">
        <v>738</v>
      </c>
      <c r="W4853">
        <v>1140</v>
      </c>
      <c r="X4853" t="s">
        <v>11333</v>
      </c>
      <c r="Y4853" t="s">
        <v>11346</v>
      </c>
      <c r="Z4853" t="s">
        <v>14485</v>
      </c>
      <c r="AB4853" t="s">
        <v>18809</v>
      </c>
      <c r="AC4853">
        <v>100</v>
      </c>
      <c r="AD4853" t="s">
        <v>19566</v>
      </c>
      <c r="AE4853" t="s">
        <v>19580</v>
      </c>
      <c r="AF4853">
        <v>40</v>
      </c>
      <c r="AG4853">
        <v>2</v>
      </c>
      <c r="AH4853">
        <v>0</v>
      </c>
      <c r="AI4853">
        <v>193.2</v>
      </c>
      <c r="AL4853" t="s">
        <v>19614</v>
      </c>
      <c r="AM4853">
        <v>31800</v>
      </c>
      <c r="AS4853">
        <v>0.25</v>
      </c>
      <c r="AT4853" t="s">
        <v>263</v>
      </c>
      <c r="AU4853" t="s">
        <v>163</v>
      </c>
    </row>
    <row r="4854" spans="1:48">
      <c r="A4854" s="1">
        <f>HYPERLINK("https://lsnyc.legalserver.org/matter/dynamic-profile/view/1890374","19-1890374")</f>
        <v>0</v>
      </c>
      <c r="B4854" t="s">
        <v>83</v>
      </c>
      <c r="C4854" t="s">
        <v>256</v>
      </c>
      <c r="D4854" t="s">
        <v>788</v>
      </c>
      <c r="F4854" t="s">
        <v>2937</v>
      </c>
      <c r="G4854" t="s">
        <v>2017</v>
      </c>
      <c r="H4854" t="s">
        <v>6684</v>
      </c>
      <c r="I4854" t="s">
        <v>8119</v>
      </c>
      <c r="J4854" t="s">
        <v>9059</v>
      </c>
      <c r="K4854">
        <v>11226</v>
      </c>
      <c r="L4854" t="s">
        <v>9094</v>
      </c>
      <c r="M4854" t="s">
        <v>9094</v>
      </c>
      <c r="O4854" t="s">
        <v>11130</v>
      </c>
      <c r="P4854" t="s">
        <v>11165</v>
      </c>
      <c r="R4854" t="s">
        <v>11180</v>
      </c>
      <c r="S4854" t="s">
        <v>9096</v>
      </c>
      <c r="T4854" t="s">
        <v>11183</v>
      </c>
      <c r="V4854" t="s">
        <v>784</v>
      </c>
      <c r="W4854">
        <v>778.9299999999999</v>
      </c>
      <c r="X4854" t="s">
        <v>11332</v>
      </c>
      <c r="Z4854" t="s">
        <v>12626</v>
      </c>
      <c r="AB4854" t="s">
        <v>17011</v>
      </c>
      <c r="AC4854">
        <v>36</v>
      </c>
      <c r="AF4854">
        <v>8</v>
      </c>
      <c r="AG4854">
        <v>4</v>
      </c>
      <c r="AH4854">
        <v>1</v>
      </c>
      <c r="AI4854">
        <v>193.32</v>
      </c>
      <c r="AL4854" t="s">
        <v>19620</v>
      </c>
      <c r="AM4854">
        <v>58324</v>
      </c>
      <c r="AS4854">
        <v>2.6</v>
      </c>
      <c r="AT4854" t="s">
        <v>426</v>
      </c>
      <c r="AU4854" t="s">
        <v>215</v>
      </c>
    </row>
    <row r="4855" spans="1:48">
      <c r="A4855" s="1">
        <f>HYPERLINK("https://lsnyc.legalserver.org/matter/dynamic-profile/view/1838164","17-1838164")</f>
        <v>0</v>
      </c>
      <c r="B4855" t="s">
        <v>103</v>
      </c>
      <c r="C4855" t="s">
        <v>256</v>
      </c>
      <c r="D4855" t="s">
        <v>277</v>
      </c>
      <c r="F4855" t="s">
        <v>1634</v>
      </c>
      <c r="G4855" t="s">
        <v>5216</v>
      </c>
      <c r="H4855" t="s">
        <v>6927</v>
      </c>
      <c r="I4855" t="s">
        <v>8239</v>
      </c>
      <c r="J4855" t="s">
        <v>9065</v>
      </c>
      <c r="K4855">
        <v>10473</v>
      </c>
      <c r="L4855" t="s">
        <v>9094</v>
      </c>
      <c r="M4855" t="s">
        <v>9095</v>
      </c>
      <c r="N4855" t="s">
        <v>10045</v>
      </c>
      <c r="O4855" t="s">
        <v>11135</v>
      </c>
      <c r="P4855" t="s">
        <v>11168</v>
      </c>
      <c r="R4855" t="s">
        <v>11180</v>
      </c>
      <c r="S4855" t="s">
        <v>9094</v>
      </c>
      <c r="T4855" t="s">
        <v>11183</v>
      </c>
      <c r="V4855" t="s">
        <v>11223</v>
      </c>
      <c r="W4855">
        <v>863</v>
      </c>
      <c r="X4855" t="s">
        <v>11333</v>
      </c>
      <c r="Y4855" t="s">
        <v>11351</v>
      </c>
      <c r="Z4855" t="s">
        <v>14354</v>
      </c>
      <c r="AB4855" t="s">
        <v>18810</v>
      </c>
      <c r="AC4855">
        <v>244</v>
      </c>
      <c r="AD4855" t="s">
        <v>19566</v>
      </c>
      <c r="AE4855" t="s">
        <v>9144</v>
      </c>
      <c r="AF4855">
        <v>13</v>
      </c>
      <c r="AG4855">
        <v>1</v>
      </c>
      <c r="AH4855">
        <v>1</v>
      </c>
      <c r="AI4855">
        <v>193.43</v>
      </c>
      <c r="AJ4855" t="s">
        <v>936</v>
      </c>
      <c r="AL4855" t="s">
        <v>19614</v>
      </c>
      <c r="AM4855">
        <v>31413</v>
      </c>
      <c r="AS4855">
        <v>0</v>
      </c>
      <c r="AU4855" t="s">
        <v>20643</v>
      </c>
    </row>
    <row r="4856" spans="1:48">
      <c r="A4856" s="1">
        <f>HYPERLINK("https://lsnyc.legalserver.org/matter/dynamic-profile/view/0822647","16-0822647")</f>
        <v>0</v>
      </c>
      <c r="B4856" t="s">
        <v>141</v>
      </c>
      <c r="C4856" t="s">
        <v>256</v>
      </c>
      <c r="D4856" t="s">
        <v>944</v>
      </c>
      <c r="F4856" t="s">
        <v>1264</v>
      </c>
      <c r="G4856" t="s">
        <v>3699</v>
      </c>
      <c r="H4856" t="s">
        <v>7148</v>
      </c>
      <c r="I4856" t="s">
        <v>8112</v>
      </c>
      <c r="J4856" t="s">
        <v>9067</v>
      </c>
      <c r="K4856">
        <v>10034</v>
      </c>
      <c r="L4856" t="s">
        <v>9094</v>
      </c>
      <c r="M4856" t="s">
        <v>9095</v>
      </c>
      <c r="O4856" t="s">
        <v>11135</v>
      </c>
      <c r="P4856" t="s">
        <v>11168</v>
      </c>
      <c r="R4856" t="s">
        <v>11180</v>
      </c>
      <c r="S4856" t="s">
        <v>9094</v>
      </c>
      <c r="T4856" t="s">
        <v>11183</v>
      </c>
      <c r="V4856" t="s">
        <v>463</v>
      </c>
      <c r="W4856">
        <v>1040</v>
      </c>
      <c r="X4856" t="s">
        <v>11335</v>
      </c>
      <c r="Y4856" t="s">
        <v>11339</v>
      </c>
      <c r="Z4856" t="s">
        <v>14486</v>
      </c>
      <c r="AC4856">
        <v>22</v>
      </c>
      <c r="AD4856" t="s">
        <v>19566</v>
      </c>
      <c r="AE4856" t="s">
        <v>9144</v>
      </c>
      <c r="AF4856">
        <v>31</v>
      </c>
      <c r="AG4856">
        <v>3</v>
      </c>
      <c r="AH4856">
        <v>0</v>
      </c>
      <c r="AI4856">
        <v>193.45</v>
      </c>
      <c r="AL4856" t="s">
        <v>19615</v>
      </c>
      <c r="AM4856">
        <v>78000</v>
      </c>
      <c r="AS4856">
        <v>0</v>
      </c>
      <c r="AU4856" t="s">
        <v>20657</v>
      </c>
    </row>
    <row r="4857" spans="1:48">
      <c r="A4857" s="1">
        <f>HYPERLINK("https://lsnyc.legalserver.org/matter/dynamic-profile/view/1911549","19-1911549")</f>
        <v>0</v>
      </c>
      <c r="B4857" t="s">
        <v>141</v>
      </c>
      <c r="C4857" t="s">
        <v>256</v>
      </c>
      <c r="D4857" t="s">
        <v>362</v>
      </c>
      <c r="F4857" t="s">
        <v>1374</v>
      </c>
      <c r="G4857" t="s">
        <v>2008</v>
      </c>
      <c r="H4857" t="s">
        <v>5999</v>
      </c>
      <c r="I4857" t="s">
        <v>8279</v>
      </c>
      <c r="J4857" t="s">
        <v>9067</v>
      </c>
      <c r="K4857">
        <v>10040</v>
      </c>
      <c r="L4857" t="s">
        <v>9094</v>
      </c>
      <c r="M4857" t="s">
        <v>9095</v>
      </c>
      <c r="O4857" t="s">
        <v>11132</v>
      </c>
      <c r="P4857" t="s">
        <v>11165</v>
      </c>
      <c r="R4857" t="s">
        <v>11180</v>
      </c>
      <c r="S4857" t="s">
        <v>9094</v>
      </c>
      <c r="T4857" t="s">
        <v>11183</v>
      </c>
      <c r="V4857" t="s">
        <v>362</v>
      </c>
      <c r="W4857">
        <v>1600</v>
      </c>
      <c r="X4857" t="s">
        <v>11335</v>
      </c>
      <c r="Y4857" t="s">
        <v>11340</v>
      </c>
      <c r="Z4857" t="s">
        <v>14487</v>
      </c>
      <c r="AB4857" t="s">
        <v>18811</v>
      </c>
      <c r="AC4857">
        <v>44</v>
      </c>
      <c r="AD4857" t="s">
        <v>19566</v>
      </c>
      <c r="AE4857" t="s">
        <v>9144</v>
      </c>
      <c r="AF4857">
        <v>39</v>
      </c>
      <c r="AG4857">
        <v>4</v>
      </c>
      <c r="AH4857">
        <v>2</v>
      </c>
      <c r="AI4857">
        <v>193.7</v>
      </c>
      <c r="AL4857" t="s">
        <v>19614</v>
      </c>
      <c r="AM4857">
        <v>67000</v>
      </c>
      <c r="AS4857">
        <v>0.1</v>
      </c>
      <c r="AT4857" t="s">
        <v>292</v>
      </c>
      <c r="AU4857" t="s">
        <v>130</v>
      </c>
      <c r="AV4857" t="s">
        <v>20733</v>
      </c>
    </row>
    <row r="4858" spans="1:48">
      <c r="A4858" s="1">
        <f>HYPERLINK("https://lsnyc.legalserver.org/matter/dynamic-profile/view/1843874","17-1843874")</f>
        <v>0</v>
      </c>
      <c r="B4858" t="s">
        <v>91</v>
      </c>
      <c r="C4858" t="s">
        <v>256</v>
      </c>
      <c r="D4858" t="s">
        <v>1085</v>
      </c>
      <c r="F4858" t="s">
        <v>2938</v>
      </c>
      <c r="G4858" t="s">
        <v>4690</v>
      </c>
      <c r="H4858" t="s">
        <v>7811</v>
      </c>
      <c r="I4858" t="s">
        <v>8141</v>
      </c>
      <c r="J4858" t="s">
        <v>9059</v>
      </c>
      <c r="K4858">
        <v>11233</v>
      </c>
      <c r="L4858" t="s">
        <v>9094</v>
      </c>
      <c r="M4858" t="s">
        <v>9095</v>
      </c>
      <c r="N4858" t="s">
        <v>10849</v>
      </c>
      <c r="O4858" t="s">
        <v>11128</v>
      </c>
      <c r="P4858" t="s">
        <v>11165</v>
      </c>
      <c r="R4858" t="s">
        <v>11180</v>
      </c>
      <c r="S4858" t="s">
        <v>9096</v>
      </c>
      <c r="T4858" t="s">
        <v>11183</v>
      </c>
      <c r="U4858" t="s">
        <v>11201</v>
      </c>
      <c r="V4858" t="s">
        <v>996</v>
      </c>
      <c r="W4858">
        <v>569.42</v>
      </c>
      <c r="X4858" t="s">
        <v>11332</v>
      </c>
      <c r="Y4858" t="s">
        <v>11346</v>
      </c>
      <c r="Z4858" t="s">
        <v>14488</v>
      </c>
      <c r="AA4858" t="s">
        <v>9171</v>
      </c>
      <c r="AB4858" t="s">
        <v>18812</v>
      </c>
      <c r="AC4858">
        <v>6</v>
      </c>
      <c r="AD4858" t="s">
        <v>19566</v>
      </c>
      <c r="AE4858" t="s">
        <v>9144</v>
      </c>
      <c r="AF4858">
        <v>24</v>
      </c>
      <c r="AG4858">
        <v>1</v>
      </c>
      <c r="AH4858">
        <v>0</v>
      </c>
      <c r="AI4858">
        <v>194.03</v>
      </c>
      <c r="AL4858" t="s">
        <v>19614</v>
      </c>
      <c r="AM4858">
        <v>23400</v>
      </c>
      <c r="AS4858">
        <v>121.75</v>
      </c>
      <c r="AT4858" t="s">
        <v>270</v>
      </c>
      <c r="AU4858" t="s">
        <v>95</v>
      </c>
    </row>
    <row r="4859" spans="1:48">
      <c r="A4859" s="1">
        <f>HYPERLINK("https://lsnyc.legalserver.org/matter/dynamic-profile/view/1844119","17-1844119")</f>
        <v>0</v>
      </c>
      <c r="B4859" t="s">
        <v>90</v>
      </c>
      <c r="C4859" t="s">
        <v>256</v>
      </c>
      <c r="D4859" t="s">
        <v>863</v>
      </c>
      <c r="F4859" t="s">
        <v>2732</v>
      </c>
      <c r="G4859" t="s">
        <v>2246</v>
      </c>
      <c r="H4859" t="s">
        <v>7812</v>
      </c>
      <c r="I4859" t="s">
        <v>8892</v>
      </c>
      <c r="J4859" t="s">
        <v>9059</v>
      </c>
      <c r="K4859">
        <v>11207</v>
      </c>
      <c r="L4859" t="s">
        <v>9094</v>
      </c>
      <c r="M4859" t="s">
        <v>9095</v>
      </c>
      <c r="N4859" t="s">
        <v>10850</v>
      </c>
      <c r="O4859" t="s">
        <v>11128</v>
      </c>
      <c r="P4859" t="s">
        <v>11165</v>
      </c>
      <c r="R4859" t="s">
        <v>11180</v>
      </c>
      <c r="S4859" t="s">
        <v>9096</v>
      </c>
      <c r="T4859" t="s">
        <v>11183</v>
      </c>
      <c r="U4859" t="s">
        <v>11201</v>
      </c>
      <c r="V4859" t="s">
        <v>11232</v>
      </c>
      <c r="W4859">
        <v>782.8099999999999</v>
      </c>
      <c r="X4859" t="s">
        <v>11332</v>
      </c>
      <c r="Y4859" t="s">
        <v>11349</v>
      </c>
      <c r="Z4859" t="s">
        <v>14489</v>
      </c>
      <c r="AA4859" t="s">
        <v>9144</v>
      </c>
      <c r="AB4859" t="s">
        <v>18813</v>
      </c>
      <c r="AC4859">
        <v>24</v>
      </c>
      <c r="AD4859" t="s">
        <v>19566</v>
      </c>
      <c r="AE4859" t="s">
        <v>9144</v>
      </c>
      <c r="AF4859">
        <v>37</v>
      </c>
      <c r="AG4859">
        <v>1</v>
      </c>
      <c r="AH4859">
        <v>0</v>
      </c>
      <c r="AI4859">
        <v>194.03</v>
      </c>
      <c r="AL4859" t="s">
        <v>19614</v>
      </c>
      <c r="AM4859">
        <v>23400</v>
      </c>
      <c r="AS4859">
        <v>41.2</v>
      </c>
      <c r="AT4859" t="s">
        <v>496</v>
      </c>
      <c r="AU4859" t="s">
        <v>95</v>
      </c>
      <c r="AV4859" t="s">
        <v>20733</v>
      </c>
    </row>
    <row r="4860" spans="1:48">
      <c r="A4860" s="1">
        <f>HYPERLINK("https://lsnyc.legalserver.org/matter/dynamic-profile/view/1902738","19-1902738")</f>
        <v>0</v>
      </c>
      <c r="B4860" t="s">
        <v>55</v>
      </c>
      <c r="C4860" t="s">
        <v>256</v>
      </c>
      <c r="D4860" t="s">
        <v>279</v>
      </c>
      <c r="F4860" t="s">
        <v>2939</v>
      </c>
      <c r="G4860" t="s">
        <v>5217</v>
      </c>
      <c r="H4860" t="s">
        <v>7813</v>
      </c>
      <c r="I4860" t="s">
        <v>8197</v>
      </c>
      <c r="J4860" t="s">
        <v>9055</v>
      </c>
      <c r="K4860">
        <v>11367</v>
      </c>
      <c r="L4860" t="s">
        <v>9094</v>
      </c>
      <c r="M4860" t="s">
        <v>9095</v>
      </c>
      <c r="N4860" t="s">
        <v>10851</v>
      </c>
      <c r="O4860" t="s">
        <v>11129</v>
      </c>
      <c r="P4860" t="s">
        <v>11165</v>
      </c>
      <c r="R4860" t="s">
        <v>11180</v>
      </c>
      <c r="S4860" t="s">
        <v>9094</v>
      </c>
      <c r="T4860" t="s">
        <v>11183</v>
      </c>
      <c r="U4860" t="s">
        <v>11201</v>
      </c>
      <c r="V4860" t="s">
        <v>279</v>
      </c>
      <c r="W4860">
        <v>1604.25</v>
      </c>
      <c r="X4860" t="s">
        <v>11331</v>
      </c>
      <c r="Y4860" t="s">
        <v>11336</v>
      </c>
      <c r="Z4860" t="s">
        <v>11929</v>
      </c>
      <c r="AB4860" t="s">
        <v>18814</v>
      </c>
      <c r="AC4860">
        <v>15</v>
      </c>
      <c r="AD4860" t="s">
        <v>19569</v>
      </c>
      <c r="AE4860" t="s">
        <v>9144</v>
      </c>
      <c r="AF4860">
        <v>13</v>
      </c>
      <c r="AG4860">
        <v>4</v>
      </c>
      <c r="AH4860">
        <v>0</v>
      </c>
      <c r="AI4860">
        <v>194.17</v>
      </c>
      <c r="AL4860" t="s">
        <v>19614</v>
      </c>
      <c r="AM4860">
        <v>50000</v>
      </c>
      <c r="AS4860">
        <v>10.46</v>
      </c>
      <c r="AT4860" t="s">
        <v>612</v>
      </c>
      <c r="AU4860" t="s">
        <v>20619</v>
      </c>
      <c r="AV4860" t="s">
        <v>20733</v>
      </c>
    </row>
    <row r="4861" spans="1:48">
      <c r="A4861" s="1">
        <f>HYPERLINK("https://lsnyc.legalserver.org/matter/dynamic-profile/view/1899088","19-1899088")</f>
        <v>0</v>
      </c>
      <c r="B4861" t="s">
        <v>134</v>
      </c>
      <c r="C4861" t="s">
        <v>256</v>
      </c>
      <c r="D4861" t="s">
        <v>492</v>
      </c>
      <c r="F4861" t="s">
        <v>1928</v>
      </c>
      <c r="G4861" t="s">
        <v>4807</v>
      </c>
      <c r="H4861" t="s">
        <v>7519</v>
      </c>
      <c r="I4861" t="s">
        <v>8893</v>
      </c>
      <c r="J4861" t="s">
        <v>9067</v>
      </c>
      <c r="K4861">
        <v>10040</v>
      </c>
      <c r="L4861" t="s">
        <v>9094</v>
      </c>
      <c r="M4861" t="s">
        <v>9095</v>
      </c>
      <c r="O4861" t="s">
        <v>9121</v>
      </c>
      <c r="P4861" t="s">
        <v>11167</v>
      </c>
      <c r="R4861" t="s">
        <v>11180</v>
      </c>
      <c r="S4861" t="s">
        <v>9096</v>
      </c>
      <c r="T4861" t="s">
        <v>11183</v>
      </c>
      <c r="U4861" t="s">
        <v>11201</v>
      </c>
      <c r="V4861" t="s">
        <v>492</v>
      </c>
      <c r="W4861">
        <v>2100</v>
      </c>
      <c r="X4861" t="s">
        <v>11335</v>
      </c>
      <c r="Y4861" t="s">
        <v>11338</v>
      </c>
      <c r="Z4861" t="s">
        <v>14490</v>
      </c>
      <c r="AB4861" t="s">
        <v>18815</v>
      </c>
      <c r="AC4861">
        <v>72</v>
      </c>
      <c r="AD4861" t="s">
        <v>19566</v>
      </c>
      <c r="AE4861" t="s">
        <v>9144</v>
      </c>
      <c r="AF4861">
        <v>7</v>
      </c>
      <c r="AG4861">
        <v>3</v>
      </c>
      <c r="AH4861">
        <v>1</v>
      </c>
      <c r="AI4861">
        <v>194.17</v>
      </c>
      <c r="AL4861" t="s">
        <v>19615</v>
      </c>
      <c r="AM4861">
        <v>50000</v>
      </c>
      <c r="AS4861">
        <v>2.5</v>
      </c>
      <c r="AT4861" t="s">
        <v>988</v>
      </c>
      <c r="AU4861" t="s">
        <v>130</v>
      </c>
      <c r="AV4861" t="s">
        <v>20733</v>
      </c>
    </row>
    <row r="4862" spans="1:48">
      <c r="A4862" s="1">
        <f>HYPERLINK("https://lsnyc.legalserver.org/matter/dynamic-profile/view/1866445","18-1866445")</f>
        <v>0</v>
      </c>
      <c r="B4862" t="s">
        <v>136</v>
      </c>
      <c r="C4862" t="s">
        <v>256</v>
      </c>
      <c r="D4862" t="s">
        <v>727</v>
      </c>
      <c r="F4862" t="s">
        <v>2793</v>
      </c>
      <c r="G4862" t="s">
        <v>3366</v>
      </c>
      <c r="H4862" t="s">
        <v>6119</v>
      </c>
      <c r="I4862" t="s">
        <v>8119</v>
      </c>
      <c r="J4862" t="s">
        <v>9067</v>
      </c>
      <c r="K4862">
        <v>10031</v>
      </c>
      <c r="L4862" t="s">
        <v>9094</v>
      </c>
      <c r="M4862" t="s">
        <v>9094</v>
      </c>
      <c r="O4862" t="s">
        <v>11130</v>
      </c>
      <c r="P4862" t="s">
        <v>11167</v>
      </c>
      <c r="R4862" t="s">
        <v>11180</v>
      </c>
      <c r="S4862" t="s">
        <v>9094</v>
      </c>
      <c r="T4862" t="s">
        <v>11183</v>
      </c>
      <c r="U4862" t="s">
        <v>11201</v>
      </c>
      <c r="V4862" t="s">
        <v>727</v>
      </c>
      <c r="W4862">
        <v>1712</v>
      </c>
      <c r="X4862" t="s">
        <v>11335</v>
      </c>
      <c r="Y4862" t="s">
        <v>11339</v>
      </c>
      <c r="Z4862" t="s">
        <v>14491</v>
      </c>
      <c r="AB4862" t="s">
        <v>18816</v>
      </c>
      <c r="AC4862">
        <v>42</v>
      </c>
      <c r="AD4862" t="s">
        <v>19567</v>
      </c>
      <c r="AE4862" t="s">
        <v>19580</v>
      </c>
      <c r="AF4862">
        <v>3</v>
      </c>
      <c r="AG4862">
        <v>1</v>
      </c>
      <c r="AH4862">
        <v>0</v>
      </c>
      <c r="AI4862">
        <v>194.28</v>
      </c>
      <c r="AL4862" t="s">
        <v>19614</v>
      </c>
      <c r="AM4862">
        <v>23586</v>
      </c>
      <c r="AS4862">
        <v>0.75</v>
      </c>
      <c r="AT4862" t="s">
        <v>614</v>
      </c>
      <c r="AU4862" t="s">
        <v>20657</v>
      </c>
      <c r="AV4862" t="s">
        <v>20733</v>
      </c>
    </row>
    <row r="4863" spans="1:48">
      <c r="A4863" s="1">
        <f>HYPERLINK("https://lsnyc.legalserver.org/matter/dynamic-profile/view/1880272","18-1880272")</f>
        <v>0</v>
      </c>
      <c r="B4863" t="s">
        <v>91</v>
      </c>
      <c r="C4863" t="s">
        <v>256</v>
      </c>
      <c r="D4863" t="s">
        <v>569</v>
      </c>
      <c r="F4863" t="s">
        <v>2923</v>
      </c>
      <c r="G4863" t="s">
        <v>1432</v>
      </c>
      <c r="H4863" t="s">
        <v>6621</v>
      </c>
      <c r="I4863">
        <v>7</v>
      </c>
      <c r="J4863" t="s">
        <v>9059</v>
      </c>
      <c r="K4863">
        <v>11213</v>
      </c>
      <c r="L4863" t="s">
        <v>9094</v>
      </c>
      <c r="M4863" t="s">
        <v>9094</v>
      </c>
      <c r="N4863" t="s">
        <v>9179</v>
      </c>
      <c r="O4863" t="s">
        <v>11130</v>
      </c>
      <c r="P4863" t="s">
        <v>11165</v>
      </c>
      <c r="R4863" t="s">
        <v>11180</v>
      </c>
      <c r="S4863" t="s">
        <v>9094</v>
      </c>
      <c r="T4863" t="s">
        <v>11183</v>
      </c>
      <c r="U4863" t="s">
        <v>11201</v>
      </c>
      <c r="V4863" t="s">
        <v>11308</v>
      </c>
      <c r="W4863">
        <v>931.36</v>
      </c>
      <c r="X4863" t="s">
        <v>11332</v>
      </c>
      <c r="Y4863" t="s">
        <v>11346</v>
      </c>
      <c r="Z4863" t="s">
        <v>14445</v>
      </c>
      <c r="AA4863" t="s">
        <v>9144</v>
      </c>
      <c r="AC4863">
        <v>31</v>
      </c>
      <c r="AD4863" t="s">
        <v>19566</v>
      </c>
      <c r="AE4863" t="s">
        <v>9144</v>
      </c>
      <c r="AF4863">
        <v>35</v>
      </c>
      <c r="AG4863">
        <v>2</v>
      </c>
      <c r="AH4863">
        <v>0</v>
      </c>
      <c r="AI4863">
        <v>194.41</v>
      </c>
      <c r="AL4863" t="s">
        <v>19614</v>
      </c>
      <c r="AM4863">
        <v>32000</v>
      </c>
      <c r="AS4863">
        <v>1.9</v>
      </c>
      <c r="AT4863" t="s">
        <v>551</v>
      </c>
      <c r="AU4863" t="s">
        <v>95</v>
      </c>
    </row>
    <row r="4864" spans="1:48">
      <c r="A4864" s="1">
        <f>HYPERLINK("https://lsnyc.legalserver.org/matter/dynamic-profile/view/1880274","18-1880274")</f>
        <v>0</v>
      </c>
      <c r="B4864" t="s">
        <v>76</v>
      </c>
      <c r="C4864" t="s">
        <v>256</v>
      </c>
      <c r="D4864" t="s">
        <v>569</v>
      </c>
      <c r="F4864" t="s">
        <v>2923</v>
      </c>
      <c r="G4864" t="s">
        <v>1432</v>
      </c>
      <c r="H4864" t="s">
        <v>6621</v>
      </c>
      <c r="I4864">
        <v>7</v>
      </c>
      <c r="J4864" t="s">
        <v>9059</v>
      </c>
      <c r="K4864">
        <v>11213</v>
      </c>
      <c r="L4864" t="s">
        <v>9094</v>
      </c>
      <c r="M4864" t="s">
        <v>9094</v>
      </c>
      <c r="N4864" t="s">
        <v>9121</v>
      </c>
      <c r="O4864" t="s">
        <v>11133</v>
      </c>
      <c r="P4864" t="s">
        <v>11167</v>
      </c>
      <c r="R4864" t="s">
        <v>11180</v>
      </c>
      <c r="S4864" t="s">
        <v>9096</v>
      </c>
      <c r="T4864" t="s">
        <v>11183</v>
      </c>
      <c r="U4864" t="s">
        <v>11201</v>
      </c>
      <c r="V4864" t="s">
        <v>313</v>
      </c>
      <c r="W4864">
        <v>931.36</v>
      </c>
      <c r="X4864" t="s">
        <v>11332</v>
      </c>
      <c r="Z4864" t="s">
        <v>14445</v>
      </c>
      <c r="AA4864" t="s">
        <v>9144</v>
      </c>
      <c r="AC4864">
        <v>31</v>
      </c>
      <c r="AD4864" t="s">
        <v>19566</v>
      </c>
      <c r="AE4864" t="s">
        <v>9144</v>
      </c>
      <c r="AF4864">
        <v>35</v>
      </c>
      <c r="AG4864">
        <v>2</v>
      </c>
      <c r="AH4864">
        <v>0</v>
      </c>
      <c r="AI4864">
        <v>194.41</v>
      </c>
      <c r="AL4864" t="s">
        <v>19614</v>
      </c>
      <c r="AM4864">
        <v>32000</v>
      </c>
      <c r="AN4864" t="s">
        <v>20047</v>
      </c>
      <c r="AS4864">
        <v>0</v>
      </c>
      <c r="AU4864" t="s">
        <v>95</v>
      </c>
      <c r="AV4864" t="s">
        <v>20733</v>
      </c>
    </row>
    <row r="4865" spans="1:48">
      <c r="A4865" s="1">
        <f>HYPERLINK("https://lsnyc.legalserver.org/matter/dynamic-profile/view/1867098","18-1867098")</f>
        <v>0</v>
      </c>
      <c r="B4865" t="s">
        <v>78</v>
      </c>
      <c r="C4865" t="s">
        <v>256</v>
      </c>
      <c r="D4865" t="s">
        <v>272</v>
      </c>
      <c r="F4865" t="s">
        <v>2940</v>
      </c>
      <c r="G4865" t="s">
        <v>5218</v>
      </c>
      <c r="H4865" t="s">
        <v>5809</v>
      </c>
      <c r="I4865" t="s">
        <v>8795</v>
      </c>
      <c r="J4865" t="s">
        <v>9059</v>
      </c>
      <c r="K4865">
        <v>11212</v>
      </c>
      <c r="L4865" t="s">
        <v>9094</v>
      </c>
      <c r="M4865" t="s">
        <v>9095</v>
      </c>
      <c r="O4865" t="s">
        <v>11137</v>
      </c>
      <c r="P4865" t="s">
        <v>11168</v>
      </c>
      <c r="R4865" t="s">
        <v>11180</v>
      </c>
      <c r="S4865" t="s">
        <v>9094</v>
      </c>
      <c r="T4865" t="s">
        <v>11183</v>
      </c>
      <c r="V4865" t="s">
        <v>673</v>
      </c>
      <c r="W4865">
        <v>1375</v>
      </c>
      <c r="X4865" t="s">
        <v>11332</v>
      </c>
      <c r="Y4865" t="s">
        <v>11157</v>
      </c>
      <c r="Z4865" t="s">
        <v>14492</v>
      </c>
      <c r="AC4865">
        <v>32</v>
      </c>
      <c r="AD4865" t="s">
        <v>19566</v>
      </c>
      <c r="AF4865">
        <v>2</v>
      </c>
      <c r="AG4865">
        <v>2</v>
      </c>
      <c r="AH4865">
        <v>0</v>
      </c>
      <c r="AI4865">
        <v>194.41</v>
      </c>
      <c r="AL4865" t="s">
        <v>19614</v>
      </c>
      <c r="AM4865">
        <v>32000</v>
      </c>
      <c r="AS4865">
        <v>1</v>
      </c>
      <c r="AT4865" t="s">
        <v>319</v>
      </c>
      <c r="AU4865" t="s">
        <v>95</v>
      </c>
    </row>
    <row r="4866" spans="1:48">
      <c r="A4866" s="1">
        <f>HYPERLINK("https://lsnyc.legalserver.org/matter/dynamic-profile/view/1876894","18-1876894")</f>
        <v>0</v>
      </c>
      <c r="B4866" t="s">
        <v>64</v>
      </c>
      <c r="C4866" t="s">
        <v>257</v>
      </c>
      <c r="D4866" t="s">
        <v>304</v>
      </c>
      <c r="E4866" t="s">
        <v>703</v>
      </c>
      <c r="F4866" t="s">
        <v>2941</v>
      </c>
      <c r="G4866" t="s">
        <v>5219</v>
      </c>
      <c r="H4866" t="s">
        <v>7814</v>
      </c>
      <c r="I4866" t="s">
        <v>8128</v>
      </c>
      <c r="J4866" t="s">
        <v>9059</v>
      </c>
      <c r="K4866">
        <v>11207</v>
      </c>
      <c r="L4866" t="s">
        <v>9094</v>
      </c>
      <c r="M4866" t="s">
        <v>9094</v>
      </c>
      <c r="N4866" t="s">
        <v>10852</v>
      </c>
      <c r="O4866" t="s">
        <v>11130</v>
      </c>
      <c r="P4866" t="s">
        <v>11165</v>
      </c>
      <c r="Q4866" t="s">
        <v>11174</v>
      </c>
      <c r="R4866" t="s">
        <v>11180</v>
      </c>
      <c r="T4866" t="s">
        <v>11183</v>
      </c>
      <c r="V4866" t="s">
        <v>773</v>
      </c>
      <c r="W4866">
        <v>1100</v>
      </c>
      <c r="X4866" t="s">
        <v>11332</v>
      </c>
      <c r="Y4866" t="s">
        <v>11336</v>
      </c>
      <c r="Z4866" t="s">
        <v>14493</v>
      </c>
      <c r="AA4866" t="s">
        <v>15887</v>
      </c>
      <c r="AB4866" t="s">
        <v>18817</v>
      </c>
      <c r="AC4866">
        <v>6</v>
      </c>
      <c r="AD4866" t="s">
        <v>19567</v>
      </c>
      <c r="AE4866" t="s">
        <v>19580</v>
      </c>
      <c r="AF4866">
        <v>-8</v>
      </c>
      <c r="AG4866">
        <v>2</v>
      </c>
      <c r="AH4866">
        <v>0</v>
      </c>
      <c r="AI4866">
        <v>194.41</v>
      </c>
      <c r="AL4866" t="s">
        <v>19614</v>
      </c>
      <c r="AM4866">
        <v>32000</v>
      </c>
      <c r="AO4866" t="s">
        <v>20293</v>
      </c>
      <c r="AP4866" t="s">
        <v>11157</v>
      </c>
      <c r="AQ4866" t="s">
        <v>20369</v>
      </c>
      <c r="AR4866" t="s">
        <v>20557</v>
      </c>
      <c r="AS4866">
        <v>91.3</v>
      </c>
      <c r="AT4866" t="s">
        <v>496</v>
      </c>
      <c r="AU4866" t="s">
        <v>20625</v>
      </c>
      <c r="AV4866" t="s">
        <v>20734</v>
      </c>
    </row>
    <row r="4867" spans="1:48">
      <c r="A4867" s="1">
        <f>HYPERLINK("https://lsnyc.legalserver.org/matter/dynamic-profile/view/1863923","18-1863923")</f>
        <v>0</v>
      </c>
      <c r="B4867" t="s">
        <v>136</v>
      </c>
      <c r="C4867" t="s">
        <v>256</v>
      </c>
      <c r="D4867" t="s">
        <v>809</v>
      </c>
      <c r="F4867" t="s">
        <v>1557</v>
      </c>
      <c r="G4867" t="s">
        <v>5220</v>
      </c>
      <c r="H4867" t="s">
        <v>5961</v>
      </c>
      <c r="I4867">
        <v>405</v>
      </c>
      <c r="J4867" t="s">
        <v>9067</v>
      </c>
      <c r="K4867">
        <v>10029</v>
      </c>
      <c r="L4867" t="s">
        <v>9094</v>
      </c>
      <c r="M4867" t="s">
        <v>9094</v>
      </c>
      <c r="N4867" t="s">
        <v>9287</v>
      </c>
      <c r="O4867" t="s">
        <v>11130</v>
      </c>
      <c r="P4867" t="s">
        <v>11165</v>
      </c>
      <c r="R4867" t="s">
        <v>11180</v>
      </c>
      <c r="S4867" t="s">
        <v>9094</v>
      </c>
      <c r="T4867" t="s">
        <v>11183</v>
      </c>
      <c r="U4867" t="s">
        <v>11201</v>
      </c>
      <c r="V4867" t="s">
        <v>809</v>
      </c>
      <c r="W4867">
        <v>0</v>
      </c>
      <c r="X4867" t="s">
        <v>11335</v>
      </c>
      <c r="Y4867" t="s">
        <v>11339</v>
      </c>
      <c r="Z4867" t="s">
        <v>14494</v>
      </c>
      <c r="AC4867">
        <v>108</v>
      </c>
      <c r="AD4867" t="s">
        <v>19567</v>
      </c>
      <c r="AE4867" t="s">
        <v>19580</v>
      </c>
      <c r="AF4867">
        <v>17</v>
      </c>
      <c r="AG4867">
        <v>1</v>
      </c>
      <c r="AH4867">
        <v>1</v>
      </c>
      <c r="AI4867">
        <v>194.41</v>
      </c>
      <c r="AL4867" t="s">
        <v>19614</v>
      </c>
      <c r="AM4867">
        <v>32000</v>
      </c>
      <c r="AS4867">
        <v>0.5</v>
      </c>
      <c r="AT4867" t="s">
        <v>289</v>
      </c>
      <c r="AU4867" t="s">
        <v>20657</v>
      </c>
    </row>
    <row r="4868" spans="1:48">
      <c r="A4868" s="1">
        <f>HYPERLINK("https://lsnyc.legalserver.org/matter/dynamic-profile/view/1864734","18-1864734")</f>
        <v>0</v>
      </c>
      <c r="B4868" t="s">
        <v>136</v>
      </c>
      <c r="C4868" t="s">
        <v>256</v>
      </c>
      <c r="D4868" t="s">
        <v>518</v>
      </c>
      <c r="F4868" t="s">
        <v>1416</v>
      </c>
      <c r="G4868" t="s">
        <v>3864</v>
      </c>
      <c r="H4868" t="s">
        <v>5961</v>
      </c>
      <c r="I4868">
        <v>201</v>
      </c>
      <c r="J4868" t="s">
        <v>9067</v>
      </c>
      <c r="K4868">
        <v>10029</v>
      </c>
      <c r="L4868" t="s">
        <v>9094</v>
      </c>
      <c r="M4868" t="s">
        <v>9094</v>
      </c>
      <c r="N4868" t="s">
        <v>9287</v>
      </c>
      <c r="O4868" t="s">
        <v>11130</v>
      </c>
      <c r="P4868" t="s">
        <v>11165</v>
      </c>
      <c r="R4868" t="s">
        <v>11180</v>
      </c>
      <c r="S4868" t="s">
        <v>9094</v>
      </c>
      <c r="T4868" t="s">
        <v>11183</v>
      </c>
      <c r="U4868" t="s">
        <v>11201</v>
      </c>
      <c r="V4868" t="s">
        <v>518</v>
      </c>
      <c r="W4868">
        <v>0</v>
      </c>
      <c r="X4868" t="s">
        <v>11335</v>
      </c>
      <c r="Y4868" t="s">
        <v>11339</v>
      </c>
      <c r="Z4868" t="s">
        <v>12052</v>
      </c>
      <c r="AC4868">
        <v>108</v>
      </c>
      <c r="AD4868" t="s">
        <v>19567</v>
      </c>
      <c r="AE4868" t="s">
        <v>19580</v>
      </c>
      <c r="AF4868">
        <v>9</v>
      </c>
      <c r="AG4868">
        <v>1</v>
      </c>
      <c r="AH4868">
        <v>1</v>
      </c>
      <c r="AI4868">
        <v>194.41</v>
      </c>
      <c r="AL4868" t="s">
        <v>19614</v>
      </c>
      <c r="AM4868">
        <v>32000</v>
      </c>
      <c r="AS4868">
        <v>0.25</v>
      </c>
      <c r="AT4868" t="s">
        <v>276</v>
      </c>
      <c r="AU4868" t="s">
        <v>20657</v>
      </c>
      <c r="AV4868" t="s">
        <v>20733</v>
      </c>
    </row>
    <row r="4869" spans="1:48">
      <c r="A4869" s="1">
        <f>HYPERLINK("https://lsnyc.legalserver.org/matter/dynamic-profile/view/1911659","19-1911659")</f>
        <v>0</v>
      </c>
      <c r="B4869" t="s">
        <v>76</v>
      </c>
      <c r="C4869" t="s">
        <v>256</v>
      </c>
      <c r="D4869" t="s">
        <v>728</v>
      </c>
      <c r="F4869" t="s">
        <v>1147</v>
      </c>
      <c r="G4869" t="s">
        <v>2903</v>
      </c>
      <c r="H4869" t="s">
        <v>5748</v>
      </c>
      <c r="J4869" t="s">
        <v>9059</v>
      </c>
      <c r="K4869">
        <v>11233</v>
      </c>
      <c r="L4869" t="s">
        <v>9094</v>
      </c>
      <c r="M4869" t="s">
        <v>9095</v>
      </c>
      <c r="N4869" t="s">
        <v>9121</v>
      </c>
      <c r="O4869" t="s">
        <v>9121</v>
      </c>
      <c r="P4869" t="s">
        <v>11167</v>
      </c>
      <c r="R4869" t="s">
        <v>11180</v>
      </c>
      <c r="S4869" t="s">
        <v>9094</v>
      </c>
      <c r="T4869" t="s">
        <v>11183</v>
      </c>
      <c r="U4869" t="s">
        <v>11201</v>
      </c>
      <c r="V4869" t="s">
        <v>648</v>
      </c>
      <c r="W4869">
        <v>1029.4</v>
      </c>
      <c r="X4869" t="s">
        <v>11332</v>
      </c>
      <c r="Y4869" t="s">
        <v>11341</v>
      </c>
      <c r="Z4869" t="s">
        <v>14495</v>
      </c>
      <c r="AB4869" t="s">
        <v>18818</v>
      </c>
      <c r="AC4869">
        <v>359</v>
      </c>
      <c r="AD4869" t="s">
        <v>19566</v>
      </c>
      <c r="AE4869" t="s">
        <v>19587</v>
      </c>
      <c r="AF4869">
        <v>35</v>
      </c>
      <c r="AG4869">
        <v>1</v>
      </c>
      <c r="AH4869">
        <v>0</v>
      </c>
      <c r="AI4869">
        <v>194.56</v>
      </c>
      <c r="AL4869" t="s">
        <v>19614</v>
      </c>
      <c r="AM4869">
        <v>24300</v>
      </c>
      <c r="AS4869">
        <v>0</v>
      </c>
      <c r="AU4869" t="s">
        <v>95</v>
      </c>
      <c r="AV4869" t="s">
        <v>20733</v>
      </c>
    </row>
    <row r="4870" spans="1:48">
      <c r="A4870" s="1">
        <f>HYPERLINK("https://lsnyc.legalserver.org/matter/dynamic-profile/view/0818184","16-0818184")</f>
        <v>0</v>
      </c>
      <c r="B4870" t="s">
        <v>140</v>
      </c>
      <c r="C4870" t="s">
        <v>256</v>
      </c>
      <c r="D4870" t="s">
        <v>1086</v>
      </c>
      <c r="F4870" t="s">
        <v>2105</v>
      </c>
      <c r="G4870" t="s">
        <v>4384</v>
      </c>
      <c r="H4870" t="s">
        <v>7815</v>
      </c>
      <c r="I4870" t="s">
        <v>8132</v>
      </c>
      <c r="J4870" t="s">
        <v>9067</v>
      </c>
      <c r="K4870">
        <v>10034</v>
      </c>
      <c r="L4870" t="s">
        <v>9094</v>
      </c>
      <c r="M4870" t="s">
        <v>9095</v>
      </c>
      <c r="O4870" t="s">
        <v>9121</v>
      </c>
      <c r="P4870" t="s">
        <v>11166</v>
      </c>
      <c r="R4870" t="s">
        <v>11180</v>
      </c>
      <c r="S4870" t="s">
        <v>9096</v>
      </c>
      <c r="T4870" t="s">
        <v>11183</v>
      </c>
      <c r="V4870" t="s">
        <v>535</v>
      </c>
      <c r="W4870">
        <v>659.6</v>
      </c>
      <c r="X4870" t="s">
        <v>11335</v>
      </c>
      <c r="Y4870" t="s">
        <v>11348</v>
      </c>
      <c r="Z4870" t="s">
        <v>14496</v>
      </c>
      <c r="AB4870" t="s">
        <v>18819</v>
      </c>
      <c r="AC4870">
        <v>30</v>
      </c>
      <c r="AD4870" t="s">
        <v>19566</v>
      </c>
      <c r="AE4870" t="s">
        <v>9144</v>
      </c>
      <c r="AF4870">
        <v>43</v>
      </c>
      <c r="AG4870">
        <v>2</v>
      </c>
      <c r="AH4870">
        <v>0</v>
      </c>
      <c r="AI4870">
        <v>194.76</v>
      </c>
      <c r="AL4870" t="s">
        <v>19615</v>
      </c>
      <c r="AM4870">
        <v>31200</v>
      </c>
      <c r="AS4870">
        <v>43.71</v>
      </c>
      <c r="AT4870" t="s">
        <v>282</v>
      </c>
      <c r="AU4870" t="s">
        <v>20665</v>
      </c>
    </row>
    <row r="4871" spans="1:48">
      <c r="A4871" s="1">
        <f>HYPERLINK("https://lsnyc.legalserver.org/matter/dynamic-profile/view/1892757","19-1892757")</f>
        <v>0</v>
      </c>
      <c r="B4871" t="s">
        <v>61</v>
      </c>
      <c r="C4871" t="s">
        <v>257</v>
      </c>
      <c r="D4871" t="s">
        <v>553</v>
      </c>
      <c r="E4871" t="s">
        <v>328</v>
      </c>
      <c r="F4871" t="s">
        <v>1172</v>
      </c>
      <c r="G4871" t="s">
        <v>3366</v>
      </c>
      <c r="H4871" t="s">
        <v>5736</v>
      </c>
      <c r="I4871" t="s">
        <v>8894</v>
      </c>
      <c r="J4871" t="s">
        <v>9055</v>
      </c>
      <c r="K4871">
        <v>11354</v>
      </c>
      <c r="L4871" t="s">
        <v>9094</v>
      </c>
      <c r="M4871" t="s">
        <v>9094</v>
      </c>
      <c r="N4871" t="s">
        <v>10853</v>
      </c>
      <c r="O4871" t="s">
        <v>11129</v>
      </c>
      <c r="P4871" t="s">
        <v>11165</v>
      </c>
      <c r="Q4871" t="s">
        <v>11174</v>
      </c>
      <c r="R4871" t="s">
        <v>11180</v>
      </c>
      <c r="S4871" t="s">
        <v>9096</v>
      </c>
      <c r="T4871" t="s">
        <v>11183</v>
      </c>
      <c r="U4871" t="s">
        <v>11199</v>
      </c>
      <c r="V4871" t="s">
        <v>423</v>
      </c>
      <c r="W4871">
        <v>1923.75</v>
      </c>
      <c r="X4871" t="s">
        <v>11331</v>
      </c>
      <c r="Y4871" t="s">
        <v>11336</v>
      </c>
      <c r="Z4871" t="s">
        <v>14497</v>
      </c>
      <c r="AA4871" t="s">
        <v>15279</v>
      </c>
      <c r="AB4871" t="s">
        <v>18820</v>
      </c>
      <c r="AC4871">
        <v>175</v>
      </c>
      <c r="AD4871" t="s">
        <v>19566</v>
      </c>
      <c r="AE4871" t="s">
        <v>9144</v>
      </c>
      <c r="AF4871">
        <v>2</v>
      </c>
      <c r="AG4871">
        <v>1</v>
      </c>
      <c r="AH4871">
        <v>2</v>
      </c>
      <c r="AI4871">
        <v>195.03</v>
      </c>
      <c r="AL4871" t="s">
        <v>19614</v>
      </c>
      <c r="AM4871">
        <v>41600</v>
      </c>
      <c r="AP4871" t="s">
        <v>20313</v>
      </c>
      <c r="AQ4871" t="s">
        <v>20369</v>
      </c>
      <c r="AR4871" t="s">
        <v>20486</v>
      </c>
      <c r="AS4871">
        <v>6.9</v>
      </c>
      <c r="AT4871" t="s">
        <v>798</v>
      </c>
      <c r="AU4871" t="s">
        <v>61</v>
      </c>
      <c r="AV4871" t="s">
        <v>20733</v>
      </c>
    </row>
    <row r="4872" spans="1:48">
      <c r="A4872" s="1">
        <f>HYPERLINK("https://lsnyc.legalserver.org/matter/dynamic-profile/view/1899992","19-1899992")</f>
        <v>0</v>
      </c>
      <c r="B4872" t="s">
        <v>57</v>
      </c>
      <c r="C4872" t="s">
        <v>256</v>
      </c>
      <c r="D4872" t="s">
        <v>293</v>
      </c>
      <c r="F4872" t="s">
        <v>2942</v>
      </c>
      <c r="G4872" t="s">
        <v>5221</v>
      </c>
      <c r="H4872" t="s">
        <v>7488</v>
      </c>
      <c r="I4872" t="s">
        <v>8171</v>
      </c>
      <c r="J4872" t="s">
        <v>9062</v>
      </c>
      <c r="K4872">
        <v>11104</v>
      </c>
      <c r="L4872" t="s">
        <v>9094</v>
      </c>
      <c r="M4872" t="s">
        <v>9095</v>
      </c>
      <c r="N4872" t="s">
        <v>10854</v>
      </c>
      <c r="O4872" t="s">
        <v>11128</v>
      </c>
      <c r="P4872" t="s">
        <v>11165</v>
      </c>
      <c r="R4872" t="s">
        <v>11180</v>
      </c>
      <c r="S4872" t="s">
        <v>9096</v>
      </c>
      <c r="T4872" t="s">
        <v>11183</v>
      </c>
      <c r="U4872" t="s">
        <v>11204</v>
      </c>
      <c r="V4872" t="s">
        <v>293</v>
      </c>
      <c r="W4872">
        <v>1621</v>
      </c>
      <c r="X4872" t="s">
        <v>11331</v>
      </c>
      <c r="Y4872" t="s">
        <v>11336</v>
      </c>
      <c r="Z4872" t="s">
        <v>12653</v>
      </c>
      <c r="AB4872" t="s">
        <v>18821</v>
      </c>
      <c r="AC4872">
        <v>96</v>
      </c>
      <c r="AD4872" t="s">
        <v>19566</v>
      </c>
      <c r="AE4872" t="s">
        <v>9144</v>
      </c>
      <c r="AF4872">
        <v>13</v>
      </c>
      <c r="AG4872">
        <v>2</v>
      </c>
      <c r="AH4872">
        <v>1</v>
      </c>
      <c r="AI4872">
        <v>195.03</v>
      </c>
      <c r="AL4872" t="s">
        <v>19614</v>
      </c>
      <c r="AM4872">
        <v>41600</v>
      </c>
      <c r="AO4872" t="s">
        <v>20293</v>
      </c>
      <c r="AP4872" t="s">
        <v>20309</v>
      </c>
      <c r="AQ4872" t="s">
        <v>20369</v>
      </c>
      <c r="AR4872" t="s">
        <v>20558</v>
      </c>
      <c r="AS4872">
        <v>29.5</v>
      </c>
      <c r="AT4872" t="s">
        <v>362</v>
      </c>
      <c r="AU4872" t="s">
        <v>20620</v>
      </c>
      <c r="AV4872" t="s">
        <v>20733</v>
      </c>
    </row>
    <row r="4873" spans="1:48">
      <c r="A4873" s="1">
        <f>HYPERLINK("https://lsnyc.legalserver.org/matter/dynamic-profile/view/1890315","19-1890315")</f>
        <v>0</v>
      </c>
      <c r="B4873" t="s">
        <v>114</v>
      </c>
      <c r="C4873" t="s">
        <v>256</v>
      </c>
      <c r="D4873" t="s">
        <v>633</v>
      </c>
      <c r="F4873" t="s">
        <v>2943</v>
      </c>
      <c r="G4873" t="s">
        <v>5222</v>
      </c>
      <c r="H4873" t="s">
        <v>7816</v>
      </c>
      <c r="I4873" t="s">
        <v>8191</v>
      </c>
      <c r="J4873" t="s">
        <v>9065</v>
      </c>
      <c r="K4873">
        <v>10453</v>
      </c>
      <c r="L4873" t="s">
        <v>9094</v>
      </c>
      <c r="M4873" t="s">
        <v>9095</v>
      </c>
      <c r="O4873" t="s">
        <v>11129</v>
      </c>
      <c r="P4873" t="s">
        <v>11164</v>
      </c>
      <c r="R4873" t="s">
        <v>11180</v>
      </c>
      <c r="T4873" t="s">
        <v>11183</v>
      </c>
      <c r="V4873" t="s">
        <v>11218</v>
      </c>
      <c r="W4873">
        <v>1098</v>
      </c>
      <c r="X4873" t="s">
        <v>11333</v>
      </c>
      <c r="Z4873" t="s">
        <v>14498</v>
      </c>
      <c r="AC4873">
        <v>0</v>
      </c>
      <c r="AF4873">
        <v>6</v>
      </c>
      <c r="AG4873">
        <v>2</v>
      </c>
      <c r="AH4873">
        <v>1</v>
      </c>
      <c r="AI4873">
        <v>195.03</v>
      </c>
      <c r="AL4873" t="s">
        <v>19614</v>
      </c>
      <c r="AM4873">
        <v>41600</v>
      </c>
      <c r="AS4873">
        <v>0</v>
      </c>
      <c r="AU4873" t="s">
        <v>114</v>
      </c>
      <c r="AV4873" t="s">
        <v>20733</v>
      </c>
    </row>
    <row r="4874" spans="1:48">
      <c r="A4874" s="1">
        <f>HYPERLINK("https://lsnyc.legalserver.org/matter/dynamic-profile/view/1905259","19-1905259")</f>
        <v>0</v>
      </c>
      <c r="B4874" t="s">
        <v>98</v>
      </c>
      <c r="C4874" t="s">
        <v>257</v>
      </c>
      <c r="D4874" t="s">
        <v>414</v>
      </c>
      <c r="E4874" t="s">
        <v>330</v>
      </c>
      <c r="F4874" t="s">
        <v>2127</v>
      </c>
      <c r="G4874" t="s">
        <v>4986</v>
      </c>
      <c r="H4874" t="s">
        <v>7817</v>
      </c>
      <c r="I4874" t="s">
        <v>8270</v>
      </c>
      <c r="J4874" t="s">
        <v>9065</v>
      </c>
      <c r="K4874">
        <v>10452</v>
      </c>
      <c r="L4874" t="s">
        <v>9094</v>
      </c>
      <c r="M4874" t="s">
        <v>9095</v>
      </c>
      <c r="O4874" t="s">
        <v>11133</v>
      </c>
      <c r="P4874" t="s">
        <v>11167</v>
      </c>
      <c r="Q4874" t="s">
        <v>11173</v>
      </c>
      <c r="R4874" t="s">
        <v>11180</v>
      </c>
      <c r="S4874" t="s">
        <v>9096</v>
      </c>
      <c r="T4874" t="s">
        <v>11183</v>
      </c>
      <c r="U4874" t="s">
        <v>11201</v>
      </c>
      <c r="V4874" t="s">
        <v>493</v>
      </c>
      <c r="W4874">
        <v>1085</v>
      </c>
      <c r="X4874" t="s">
        <v>11333</v>
      </c>
      <c r="Y4874" t="s">
        <v>11340</v>
      </c>
      <c r="Z4874" t="s">
        <v>11443</v>
      </c>
      <c r="AB4874" t="s">
        <v>18822</v>
      </c>
      <c r="AC4874">
        <v>39</v>
      </c>
      <c r="AD4874" t="s">
        <v>19566</v>
      </c>
      <c r="AE4874" t="s">
        <v>9144</v>
      </c>
      <c r="AF4874">
        <v>20</v>
      </c>
      <c r="AG4874">
        <v>1</v>
      </c>
      <c r="AH4874">
        <v>0</v>
      </c>
      <c r="AI4874">
        <v>195.11</v>
      </c>
      <c r="AL4874" t="s">
        <v>19614</v>
      </c>
      <c r="AM4874">
        <v>24369</v>
      </c>
      <c r="AS4874">
        <v>1.75</v>
      </c>
      <c r="AT4874" t="s">
        <v>290</v>
      </c>
      <c r="AU4874" t="s">
        <v>174</v>
      </c>
      <c r="AV4874" t="s">
        <v>20733</v>
      </c>
    </row>
    <row r="4875" spans="1:48">
      <c r="A4875" s="1">
        <f>HYPERLINK("https://lsnyc.legalserver.org/matter/dynamic-profile/view/1891635","19-1891635")</f>
        <v>0</v>
      </c>
      <c r="B4875" t="s">
        <v>70</v>
      </c>
      <c r="C4875" t="s">
        <v>256</v>
      </c>
      <c r="D4875" t="s">
        <v>788</v>
      </c>
      <c r="F4875" t="s">
        <v>1518</v>
      </c>
      <c r="G4875" t="s">
        <v>5223</v>
      </c>
      <c r="H4875" t="s">
        <v>5748</v>
      </c>
      <c r="I4875" t="s">
        <v>8895</v>
      </c>
      <c r="J4875" t="s">
        <v>9059</v>
      </c>
      <c r="K4875">
        <v>11233</v>
      </c>
      <c r="L4875" t="s">
        <v>9094</v>
      </c>
      <c r="M4875" t="s">
        <v>9096</v>
      </c>
      <c r="N4875" t="s">
        <v>9145</v>
      </c>
      <c r="O4875" t="s">
        <v>11134</v>
      </c>
      <c r="P4875" t="s">
        <v>11168</v>
      </c>
      <c r="R4875" t="s">
        <v>11180</v>
      </c>
      <c r="S4875" t="s">
        <v>9094</v>
      </c>
      <c r="T4875" t="s">
        <v>11183</v>
      </c>
      <c r="U4875" t="s">
        <v>11201</v>
      </c>
      <c r="V4875" t="s">
        <v>482</v>
      </c>
      <c r="W4875">
        <v>1442</v>
      </c>
      <c r="X4875" t="s">
        <v>11332</v>
      </c>
      <c r="Z4875" t="s">
        <v>14499</v>
      </c>
      <c r="AC4875">
        <v>359</v>
      </c>
      <c r="AD4875" t="s">
        <v>19566</v>
      </c>
      <c r="AF4875">
        <v>28</v>
      </c>
      <c r="AG4875">
        <v>2</v>
      </c>
      <c r="AH4875">
        <v>0</v>
      </c>
      <c r="AI4875">
        <v>195.15</v>
      </c>
      <c r="AL4875" t="s">
        <v>19614</v>
      </c>
      <c r="AM4875">
        <v>33000</v>
      </c>
      <c r="AN4875" t="s">
        <v>19641</v>
      </c>
      <c r="AS4875">
        <v>0</v>
      </c>
      <c r="AU4875" t="s">
        <v>95</v>
      </c>
    </row>
    <row r="4876" spans="1:48">
      <c r="A4876" s="1">
        <f>HYPERLINK("https://lsnyc.legalserver.org/matter/dynamic-profile/view/1891660","19-1891660")</f>
        <v>0</v>
      </c>
      <c r="B4876" t="s">
        <v>70</v>
      </c>
      <c r="C4876" t="s">
        <v>256</v>
      </c>
      <c r="D4876" t="s">
        <v>788</v>
      </c>
      <c r="F4876" t="s">
        <v>1518</v>
      </c>
      <c r="G4876" t="s">
        <v>5223</v>
      </c>
      <c r="H4876" t="s">
        <v>5748</v>
      </c>
      <c r="I4876" t="s">
        <v>8895</v>
      </c>
      <c r="J4876" t="s">
        <v>9059</v>
      </c>
      <c r="K4876">
        <v>11233</v>
      </c>
      <c r="L4876" t="s">
        <v>9094</v>
      </c>
      <c r="M4876" t="s">
        <v>9096</v>
      </c>
      <c r="N4876" t="s">
        <v>9144</v>
      </c>
      <c r="O4876" t="s">
        <v>11137</v>
      </c>
      <c r="P4876" t="s">
        <v>11167</v>
      </c>
      <c r="R4876" t="s">
        <v>11180</v>
      </c>
      <c r="S4876" t="s">
        <v>9094</v>
      </c>
      <c r="T4876" t="s">
        <v>11183</v>
      </c>
      <c r="U4876" t="s">
        <v>11201</v>
      </c>
      <c r="V4876" t="s">
        <v>749</v>
      </c>
      <c r="W4876">
        <v>1442</v>
      </c>
      <c r="X4876" t="s">
        <v>11332</v>
      </c>
      <c r="Z4876" t="s">
        <v>14499</v>
      </c>
      <c r="AC4876">
        <v>359</v>
      </c>
      <c r="AD4876" t="s">
        <v>19566</v>
      </c>
      <c r="AF4876">
        <v>28</v>
      </c>
      <c r="AG4876">
        <v>2</v>
      </c>
      <c r="AH4876">
        <v>0</v>
      </c>
      <c r="AI4876">
        <v>195.15</v>
      </c>
      <c r="AL4876" t="s">
        <v>19614</v>
      </c>
      <c r="AM4876">
        <v>33000</v>
      </c>
      <c r="AN4876" t="s">
        <v>20054</v>
      </c>
      <c r="AS4876">
        <v>0</v>
      </c>
      <c r="AU4876" t="s">
        <v>95</v>
      </c>
    </row>
    <row r="4877" spans="1:48">
      <c r="A4877" s="1">
        <f>HYPERLINK("https://lsnyc.legalserver.org/matter/dynamic-profile/view/1906014","19-1906014")</f>
        <v>0</v>
      </c>
      <c r="B4877" t="s">
        <v>76</v>
      </c>
      <c r="C4877" t="s">
        <v>256</v>
      </c>
      <c r="D4877" t="s">
        <v>329</v>
      </c>
      <c r="F4877" t="s">
        <v>2836</v>
      </c>
      <c r="G4877" t="s">
        <v>3572</v>
      </c>
      <c r="H4877" t="s">
        <v>5748</v>
      </c>
      <c r="I4877" t="s">
        <v>8554</v>
      </c>
      <c r="J4877" t="s">
        <v>9059</v>
      </c>
      <c r="K4877">
        <v>11233</v>
      </c>
      <c r="L4877" t="s">
        <v>9094</v>
      </c>
      <c r="M4877" t="s">
        <v>9095</v>
      </c>
      <c r="N4877" t="s">
        <v>9102</v>
      </c>
      <c r="O4877" t="s">
        <v>11137</v>
      </c>
      <c r="R4877" t="s">
        <v>11180</v>
      </c>
      <c r="S4877" t="s">
        <v>9096</v>
      </c>
      <c r="T4877" t="s">
        <v>11183</v>
      </c>
      <c r="U4877" t="s">
        <v>11201</v>
      </c>
      <c r="V4877" t="s">
        <v>559</v>
      </c>
      <c r="W4877">
        <v>1418</v>
      </c>
      <c r="X4877" t="s">
        <v>11332</v>
      </c>
      <c r="Z4877" t="s">
        <v>14500</v>
      </c>
      <c r="AA4877" t="s">
        <v>9171</v>
      </c>
      <c r="AC4877">
        <v>1117</v>
      </c>
      <c r="AD4877" t="s">
        <v>19566</v>
      </c>
      <c r="AE4877" t="s">
        <v>9144</v>
      </c>
      <c r="AF4877">
        <v>18</v>
      </c>
      <c r="AG4877">
        <v>2</v>
      </c>
      <c r="AH4877">
        <v>0</v>
      </c>
      <c r="AI4877">
        <v>195.15</v>
      </c>
      <c r="AL4877" t="s">
        <v>19614</v>
      </c>
      <c r="AM4877">
        <v>33000</v>
      </c>
      <c r="AN4877" t="s">
        <v>20055</v>
      </c>
      <c r="AS4877">
        <v>0</v>
      </c>
      <c r="AU4877" t="s">
        <v>95</v>
      </c>
      <c r="AV4877" t="s">
        <v>9144</v>
      </c>
    </row>
    <row r="4878" spans="1:48">
      <c r="A4878" s="1">
        <f>HYPERLINK("https://lsnyc.legalserver.org/matter/dynamic-profile/view/1878945","18-1878945")</f>
        <v>0</v>
      </c>
      <c r="B4878" t="s">
        <v>139</v>
      </c>
      <c r="C4878" t="s">
        <v>256</v>
      </c>
      <c r="D4878" t="s">
        <v>725</v>
      </c>
      <c r="F4878" t="s">
        <v>2944</v>
      </c>
      <c r="G4878" t="s">
        <v>5224</v>
      </c>
      <c r="H4878" t="s">
        <v>6363</v>
      </c>
      <c r="I4878" t="s">
        <v>8475</v>
      </c>
      <c r="J4878" t="s">
        <v>9067</v>
      </c>
      <c r="K4878">
        <v>10040</v>
      </c>
      <c r="L4878" t="s">
        <v>9094</v>
      </c>
      <c r="M4878" t="s">
        <v>9094</v>
      </c>
      <c r="O4878" t="s">
        <v>11134</v>
      </c>
      <c r="P4878" t="s">
        <v>11168</v>
      </c>
      <c r="R4878" t="s">
        <v>11180</v>
      </c>
      <c r="S4878" t="s">
        <v>9094</v>
      </c>
      <c r="T4878" t="s">
        <v>11183</v>
      </c>
      <c r="V4878" t="s">
        <v>725</v>
      </c>
      <c r="W4878">
        <v>1120.85</v>
      </c>
      <c r="X4878" t="s">
        <v>11335</v>
      </c>
      <c r="Y4878" t="s">
        <v>11339</v>
      </c>
      <c r="Z4878" t="s">
        <v>14501</v>
      </c>
      <c r="AB4878" t="s">
        <v>18823</v>
      </c>
      <c r="AC4878">
        <v>88</v>
      </c>
      <c r="AD4878" t="s">
        <v>19566</v>
      </c>
      <c r="AE4878" t="s">
        <v>9144</v>
      </c>
      <c r="AF4878">
        <v>23</v>
      </c>
      <c r="AG4878">
        <v>4</v>
      </c>
      <c r="AH4878">
        <v>0</v>
      </c>
      <c r="AI4878">
        <v>195.22</v>
      </c>
      <c r="AL4878" t="s">
        <v>19614</v>
      </c>
      <c r="AM4878">
        <v>49000</v>
      </c>
      <c r="AS4878">
        <v>0</v>
      </c>
      <c r="AU4878" t="s">
        <v>130</v>
      </c>
      <c r="AV4878" t="s">
        <v>20733</v>
      </c>
    </row>
    <row r="4879" spans="1:48">
      <c r="A4879" s="1">
        <f>HYPERLINK("https://lsnyc.legalserver.org/matter/dynamic-profile/view/1901185","19-1901185")</f>
        <v>0</v>
      </c>
      <c r="B4879" t="s">
        <v>212</v>
      </c>
      <c r="C4879" t="s">
        <v>256</v>
      </c>
      <c r="D4879" t="s">
        <v>422</v>
      </c>
      <c r="F4879" t="s">
        <v>1910</v>
      </c>
      <c r="G4879" t="s">
        <v>3572</v>
      </c>
      <c r="H4879" t="s">
        <v>7818</v>
      </c>
      <c r="I4879" t="s">
        <v>8250</v>
      </c>
      <c r="J4879" t="s">
        <v>9067</v>
      </c>
      <c r="K4879">
        <v>10039</v>
      </c>
      <c r="L4879" t="s">
        <v>9094</v>
      </c>
      <c r="M4879" t="s">
        <v>9095</v>
      </c>
      <c r="N4879" t="s">
        <v>10855</v>
      </c>
      <c r="O4879" t="s">
        <v>11129</v>
      </c>
      <c r="P4879" t="s">
        <v>11164</v>
      </c>
      <c r="R4879" t="s">
        <v>11180</v>
      </c>
      <c r="S4879" t="s">
        <v>9096</v>
      </c>
      <c r="T4879" t="s">
        <v>11183</v>
      </c>
      <c r="U4879" t="s">
        <v>11201</v>
      </c>
      <c r="V4879" t="s">
        <v>422</v>
      </c>
      <c r="W4879">
        <v>1100.48</v>
      </c>
      <c r="X4879" t="s">
        <v>11335</v>
      </c>
      <c r="Y4879" t="s">
        <v>11336</v>
      </c>
      <c r="Z4879" t="s">
        <v>14502</v>
      </c>
      <c r="AB4879" t="s">
        <v>18824</v>
      </c>
      <c r="AC4879">
        <v>96</v>
      </c>
      <c r="AD4879" t="s">
        <v>19566</v>
      </c>
      <c r="AE4879" t="s">
        <v>9144</v>
      </c>
      <c r="AF4879">
        <v>42</v>
      </c>
      <c r="AG4879">
        <v>4</v>
      </c>
      <c r="AH4879">
        <v>0</v>
      </c>
      <c r="AI4879">
        <v>195.31</v>
      </c>
      <c r="AL4879" t="s">
        <v>19614</v>
      </c>
      <c r="AM4879">
        <v>50292</v>
      </c>
      <c r="AS4879">
        <v>0.7</v>
      </c>
      <c r="AT4879" t="s">
        <v>422</v>
      </c>
      <c r="AU4879" t="s">
        <v>20657</v>
      </c>
      <c r="AV4879" t="s">
        <v>20733</v>
      </c>
    </row>
    <row r="4880" spans="1:48">
      <c r="A4880" s="1">
        <f>HYPERLINK("https://lsnyc.legalserver.org/matter/dynamic-profile/view/0799066","16-0799066")</f>
        <v>0</v>
      </c>
      <c r="B4880" t="s">
        <v>101</v>
      </c>
      <c r="C4880" t="s">
        <v>256</v>
      </c>
      <c r="D4880" t="s">
        <v>656</v>
      </c>
      <c r="F4880" t="s">
        <v>1961</v>
      </c>
      <c r="G4880" t="s">
        <v>3588</v>
      </c>
      <c r="H4880" t="s">
        <v>6041</v>
      </c>
      <c r="I4880" t="s">
        <v>8175</v>
      </c>
      <c r="J4880" t="s">
        <v>9065</v>
      </c>
      <c r="K4880">
        <v>10452</v>
      </c>
      <c r="L4880" t="s">
        <v>9094</v>
      </c>
      <c r="M4880" t="s">
        <v>9095</v>
      </c>
      <c r="N4880" t="s">
        <v>9499</v>
      </c>
      <c r="O4880" t="s">
        <v>11135</v>
      </c>
      <c r="P4880" t="s">
        <v>11168</v>
      </c>
      <c r="R4880" t="s">
        <v>11180</v>
      </c>
      <c r="S4880" t="s">
        <v>9094</v>
      </c>
      <c r="T4880" t="s">
        <v>11183</v>
      </c>
      <c r="V4880" t="s">
        <v>675</v>
      </c>
      <c r="W4880">
        <v>798.6</v>
      </c>
      <c r="X4880" t="s">
        <v>11333</v>
      </c>
      <c r="Y4880" t="s">
        <v>11346</v>
      </c>
      <c r="Z4880" t="s">
        <v>14503</v>
      </c>
      <c r="AC4880">
        <v>61</v>
      </c>
      <c r="AD4880" t="s">
        <v>19566</v>
      </c>
      <c r="AF4880">
        <v>25</v>
      </c>
      <c r="AG4880">
        <v>1</v>
      </c>
      <c r="AH4880">
        <v>0</v>
      </c>
      <c r="AI4880">
        <v>195.36</v>
      </c>
      <c r="AL4880" t="s">
        <v>19614</v>
      </c>
      <c r="AM4880">
        <v>23208.38</v>
      </c>
      <c r="AS4880">
        <v>0.6</v>
      </c>
      <c r="AT4880" t="s">
        <v>873</v>
      </c>
      <c r="AU4880" t="s">
        <v>109</v>
      </c>
    </row>
    <row r="4881" spans="1:48">
      <c r="A4881" s="1">
        <f>HYPERLINK("https://lsnyc.legalserver.org/matter/dynamic-profile/view/1903879","19-1903879")</f>
        <v>0</v>
      </c>
      <c r="B4881" t="s">
        <v>67</v>
      </c>
      <c r="C4881" t="s">
        <v>257</v>
      </c>
      <c r="D4881" t="s">
        <v>597</v>
      </c>
      <c r="E4881" t="s">
        <v>259</v>
      </c>
      <c r="F4881" t="s">
        <v>1616</v>
      </c>
      <c r="G4881" t="s">
        <v>5225</v>
      </c>
      <c r="H4881" t="s">
        <v>7819</v>
      </c>
      <c r="I4881" t="s">
        <v>8896</v>
      </c>
      <c r="J4881" t="s">
        <v>9059</v>
      </c>
      <c r="K4881">
        <v>11210</v>
      </c>
      <c r="L4881" t="s">
        <v>9094</v>
      </c>
      <c r="M4881" t="s">
        <v>9095</v>
      </c>
      <c r="O4881" t="s">
        <v>11137</v>
      </c>
      <c r="P4881" t="s">
        <v>11167</v>
      </c>
      <c r="Q4881" t="s">
        <v>11173</v>
      </c>
      <c r="R4881" t="s">
        <v>11180</v>
      </c>
      <c r="S4881" t="s">
        <v>9096</v>
      </c>
      <c r="T4881" t="s">
        <v>11183</v>
      </c>
      <c r="V4881" t="s">
        <v>597</v>
      </c>
      <c r="W4881">
        <v>0</v>
      </c>
      <c r="X4881" t="s">
        <v>11332</v>
      </c>
      <c r="Z4881" t="s">
        <v>14504</v>
      </c>
      <c r="AC4881">
        <v>38</v>
      </c>
      <c r="AF4881">
        <v>0</v>
      </c>
      <c r="AG4881">
        <v>5</v>
      </c>
      <c r="AH4881">
        <v>0</v>
      </c>
      <c r="AI4881">
        <v>195.56</v>
      </c>
      <c r="AL4881" t="s">
        <v>19614</v>
      </c>
      <c r="AM4881">
        <v>59000</v>
      </c>
      <c r="AS4881">
        <v>7.6</v>
      </c>
      <c r="AT4881" t="s">
        <v>259</v>
      </c>
      <c r="AU4881" t="s">
        <v>67</v>
      </c>
      <c r="AV4881" t="s">
        <v>20733</v>
      </c>
    </row>
    <row r="4882" spans="1:48">
      <c r="A4882" s="1">
        <f>HYPERLINK("https://lsnyc.legalserver.org/matter/dynamic-profile/view/1887522","19-1887522")</f>
        <v>0</v>
      </c>
      <c r="B4882" t="s">
        <v>103</v>
      </c>
      <c r="C4882" t="s">
        <v>256</v>
      </c>
      <c r="D4882" t="s">
        <v>604</v>
      </c>
      <c r="F4882" t="s">
        <v>1915</v>
      </c>
      <c r="G4882" t="s">
        <v>3592</v>
      </c>
      <c r="H4882" t="s">
        <v>5886</v>
      </c>
      <c r="I4882">
        <v>55</v>
      </c>
      <c r="J4882" t="s">
        <v>9065</v>
      </c>
      <c r="K4882">
        <v>10453</v>
      </c>
      <c r="L4882" t="s">
        <v>9094</v>
      </c>
      <c r="M4882" t="s">
        <v>9094</v>
      </c>
      <c r="N4882" t="s">
        <v>9238</v>
      </c>
      <c r="O4882" t="s">
        <v>11134</v>
      </c>
      <c r="P4882" t="s">
        <v>11168</v>
      </c>
      <c r="R4882" t="s">
        <v>11180</v>
      </c>
      <c r="S4882" t="s">
        <v>9094</v>
      </c>
      <c r="T4882" t="s">
        <v>11183</v>
      </c>
      <c r="V4882" t="s">
        <v>512</v>
      </c>
      <c r="W4882">
        <v>1136.42</v>
      </c>
      <c r="X4882" t="s">
        <v>11333</v>
      </c>
      <c r="Y4882" t="s">
        <v>11339</v>
      </c>
      <c r="Z4882" t="s">
        <v>14505</v>
      </c>
      <c r="AB4882" t="s">
        <v>18825</v>
      </c>
      <c r="AC4882">
        <v>46</v>
      </c>
      <c r="AD4882" t="s">
        <v>19566</v>
      </c>
      <c r="AE4882" t="s">
        <v>19587</v>
      </c>
      <c r="AF4882">
        <v>21</v>
      </c>
      <c r="AG4882">
        <v>1</v>
      </c>
      <c r="AH4882">
        <v>0</v>
      </c>
      <c r="AI4882">
        <v>195.58</v>
      </c>
      <c r="AL4882" t="s">
        <v>19615</v>
      </c>
      <c r="AM4882">
        <v>23744</v>
      </c>
      <c r="AS4882">
        <v>0</v>
      </c>
      <c r="AU4882" t="s">
        <v>20647</v>
      </c>
    </row>
    <row r="4883" spans="1:48">
      <c r="A4883" s="1">
        <f>HYPERLINK("https://lsnyc.legalserver.org/matter/dynamic-profile/view/1869166","18-1869166")</f>
        <v>0</v>
      </c>
      <c r="B4883" t="s">
        <v>114</v>
      </c>
      <c r="C4883" t="s">
        <v>256</v>
      </c>
      <c r="D4883" t="s">
        <v>959</v>
      </c>
      <c r="F4883" t="s">
        <v>1915</v>
      </c>
      <c r="G4883" t="s">
        <v>3592</v>
      </c>
      <c r="H4883" t="s">
        <v>5886</v>
      </c>
      <c r="I4883">
        <v>55</v>
      </c>
      <c r="J4883" t="s">
        <v>9065</v>
      </c>
      <c r="K4883">
        <v>10453</v>
      </c>
      <c r="L4883" t="s">
        <v>9094</v>
      </c>
      <c r="M4883" t="s">
        <v>9095</v>
      </c>
      <c r="N4883" t="s">
        <v>10856</v>
      </c>
      <c r="O4883" t="s">
        <v>11129</v>
      </c>
      <c r="P4883" t="s">
        <v>11165</v>
      </c>
      <c r="R4883" t="s">
        <v>11180</v>
      </c>
      <c r="S4883" t="s">
        <v>9096</v>
      </c>
      <c r="T4883" t="s">
        <v>11183</v>
      </c>
      <c r="V4883" t="s">
        <v>675</v>
      </c>
      <c r="W4883">
        <v>1136.42</v>
      </c>
      <c r="X4883" t="s">
        <v>11333</v>
      </c>
      <c r="Y4883" t="s">
        <v>11347</v>
      </c>
      <c r="Z4883" t="s">
        <v>14505</v>
      </c>
      <c r="AB4883" t="s">
        <v>18825</v>
      </c>
      <c r="AC4883">
        <v>43</v>
      </c>
      <c r="AD4883" t="s">
        <v>19566</v>
      </c>
      <c r="AF4883">
        <v>21</v>
      </c>
      <c r="AG4883">
        <v>1</v>
      </c>
      <c r="AH4883">
        <v>0</v>
      </c>
      <c r="AI4883">
        <v>195.58</v>
      </c>
      <c r="AL4883" t="s">
        <v>19615</v>
      </c>
      <c r="AM4883">
        <v>23744</v>
      </c>
      <c r="AS4883">
        <v>9</v>
      </c>
      <c r="AT4883" t="s">
        <v>846</v>
      </c>
      <c r="AU4883" t="s">
        <v>20647</v>
      </c>
    </row>
    <row r="4884" spans="1:48">
      <c r="A4884" s="1">
        <f>HYPERLINK("https://lsnyc.legalserver.org/matter/dynamic-profile/view/1894414","19-1894414")</f>
        <v>0</v>
      </c>
      <c r="B4884" t="s">
        <v>178</v>
      </c>
      <c r="C4884" t="s">
        <v>256</v>
      </c>
      <c r="D4884" t="s">
        <v>526</v>
      </c>
      <c r="F4884" t="s">
        <v>2945</v>
      </c>
      <c r="G4884" t="s">
        <v>3427</v>
      </c>
      <c r="H4884" t="s">
        <v>7820</v>
      </c>
      <c r="I4884" t="s">
        <v>8419</v>
      </c>
      <c r="J4884" t="s">
        <v>9065</v>
      </c>
      <c r="K4884">
        <v>10451</v>
      </c>
      <c r="L4884" t="s">
        <v>9094</v>
      </c>
      <c r="M4884" t="s">
        <v>9094</v>
      </c>
      <c r="O4884" t="s">
        <v>11133</v>
      </c>
      <c r="P4884" t="s">
        <v>11167</v>
      </c>
      <c r="R4884" t="s">
        <v>11180</v>
      </c>
      <c r="T4884" t="s">
        <v>11189</v>
      </c>
      <c r="U4884" t="s">
        <v>11201</v>
      </c>
      <c r="V4884" t="s">
        <v>526</v>
      </c>
      <c r="W4884">
        <v>0</v>
      </c>
      <c r="X4884" t="s">
        <v>11333</v>
      </c>
      <c r="Z4884" t="s">
        <v>14506</v>
      </c>
      <c r="AB4884" t="s">
        <v>18826</v>
      </c>
      <c r="AC4884">
        <v>0</v>
      </c>
      <c r="AE4884" t="s">
        <v>19587</v>
      </c>
      <c r="AF4884">
        <v>0</v>
      </c>
      <c r="AG4884">
        <v>1</v>
      </c>
      <c r="AH4884">
        <v>0</v>
      </c>
      <c r="AI4884">
        <v>195.61</v>
      </c>
      <c r="AL4884" t="s">
        <v>19614</v>
      </c>
      <c r="AM4884">
        <v>24432</v>
      </c>
      <c r="AS4884">
        <v>0.25</v>
      </c>
      <c r="AT4884" t="s">
        <v>487</v>
      </c>
      <c r="AU4884" t="s">
        <v>178</v>
      </c>
    </row>
    <row r="4885" spans="1:48">
      <c r="A4885" s="1">
        <f>HYPERLINK("https://lsnyc.legalserver.org/matter/dynamic-profile/view/1889409","19-1889409")</f>
        <v>0</v>
      </c>
      <c r="B4885" t="s">
        <v>122</v>
      </c>
      <c r="C4885" t="s">
        <v>256</v>
      </c>
      <c r="D4885" t="s">
        <v>543</v>
      </c>
      <c r="F4885" t="s">
        <v>1146</v>
      </c>
      <c r="G4885" t="s">
        <v>5226</v>
      </c>
      <c r="H4885" t="s">
        <v>7821</v>
      </c>
      <c r="I4885" t="s">
        <v>8249</v>
      </c>
      <c r="J4885" t="s">
        <v>9066</v>
      </c>
      <c r="K4885">
        <v>10306</v>
      </c>
      <c r="L4885" t="s">
        <v>9094</v>
      </c>
      <c r="M4885" t="s">
        <v>9094</v>
      </c>
      <c r="N4885" t="s">
        <v>10857</v>
      </c>
      <c r="O4885" t="s">
        <v>11129</v>
      </c>
      <c r="P4885" t="s">
        <v>11165</v>
      </c>
      <c r="R4885" t="s">
        <v>11181</v>
      </c>
      <c r="S4885" t="s">
        <v>9096</v>
      </c>
      <c r="T4885" t="s">
        <v>11183</v>
      </c>
      <c r="U4885" t="s">
        <v>11201</v>
      </c>
      <c r="V4885" t="s">
        <v>543</v>
      </c>
      <c r="W4885">
        <v>1470</v>
      </c>
      <c r="X4885" t="s">
        <v>11334</v>
      </c>
      <c r="Y4885" t="s">
        <v>11337</v>
      </c>
      <c r="Z4885" t="s">
        <v>14507</v>
      </c>
      <c r="AB4885" t="s">
        <v>18827</v>
      </c>
      <c r="AC4885">
        <v>125</v>
      </c>
      <c r="AD4885" t="s">
        <v>19566</v>
      </c>
      <c r="AE4885" t="s">
        <v>9144</v>
      </c>
      <c r="AF4885">
        <v>2</v>
      </c>
      <c r="AG4885">
        <v>1</v>
      </c>
      <c r="AH4885">
        <v>1</v>
      </c>
      <c r="AI4885">
        <v>195.85</v>
      </c>
      <c r="AJ4885" t="s">
        <v>19591</v>
      </c>
      <c r="AK4885" t="s">
        <v>19608</v>
      </c>
      <c r="AL4885" t="s">
        <v>19614</v>
      </c>
      <c r="AM4885">
        <v>33118.19</v>
      </c>
      <c r="AO4885" t="s">
        <v>20294</v>
      </c>
      <c r="AP4885" t="s">
        <v>20334</v>
      </c>
      <c r="AQ4885" t="s">
        <v>20369</v>
      </c>
      <c r="AR4885" t="s">
        <v>20558</v>
      </c>
      <c r="AS4885">
        <v>29.2</v>
      </c>
      <c r="AT4885" t="s">
        <v>1130</v>
      </c>
      <c r="AU4885" t="s">
        <v>122</v>
      </c>
      <c r="AV4885" t="s">
        <v>20733</v>
      </c>
    </row>
    <row r="4886" spans="1:48">
      <c r="A4886" s="1">
        <f>HYPERLINK("https://lsnyc.legalserver.org/matter/dynamic-profile/view/1899976","19-1899976")</f>
        <v>0</v>
      </c>
      <c r="B4886" t="s">
        <v>113</v>
      </c>
      <c r="C4886" t="s">
        <v>256</v>
      </c>
      <c r="D4886" t="s">
        <v>293</v>
      </c>
      <c r="F4886" t="s">
        <v>1554</v>
      </c>
      <c r="G4886" t="s">
        <v>3544</v>
      </c>
      <c r="H4886" t="s">
        <v>5864</v>
      </c>
      <c r="I4886" t="s">
        <v>8234</v>
      </c>
      <c r="J4886" t="s">
        <v>9065</v>
      </c>
      <c r="K4886">
        <v>10460</v>
      </c>
      <c r="L4886" t="s">
        <v>9094</v>
      </c>
      <c r="M4886" t="s">
        <v>9095</v>
      </c>
      <c r="O4886" t="s">
        <v>9121</v>
      </c>
      <c r="P4886" t="s">
        <v>11166</v>
      </c>
      <c r="R4886" t="s">
        <v>11180</v>
      </c>
      <c r="S4886" t="s">
        <v>9094</v>
      </c>
      <c r="T4886" t="s">
        <v>11183</v>
      </c>
      <c r="V4886" t="s">
        <v>11218</v>
      </c>
      <c r="W4886">
        <v>1018</v>
      </c>
      <c r="X4886" t="s">
        <v>11333</v>
      </c>
      <c r="Y4886" t="s">
        <v>11346</v>
      </c>
      <c r="Z4886" t="s">
        <v>14508</v>
      </c>
      <c r="AB4886" t="s">
        <v>18828</v>
      </c>
      <c r="AC4886">
        <v>168</v>
      </c>
      <c r="AD4886" t="s">
        <v>19566</v>
      </c>
      <c r="AE4886" t="s">
        <v>19580</v>
      </c>
      <c r="AF4886">
        <v>14</v>
      </c>
      <c r="AG4886">
        <v>1</v>
      </c>
      <c r="AH4886">
        <v>1</v>
      </c>
      <c r="AI4886">
        <v>195.88</v>
      </c>
      <c r="AL4886" t="s">
        <v>19614</v>
      </c>
      <c r="AM4886">
        <v>33124</v>
      </c>
      <c r="AS4886">
        <v>0</v>
      </c>
      <c r="AU4886" t="s">
        <v>20647</v>
      </c>
      <c r="AV4886" t="s">
        <v>20733</v>
      </c>
    </row>
    <row r="4887" spans="1:48">
      <c r="A4887" s="1">
        <f>HYPERLINK("https://lsnyc.legalserver.org/matter/dynamic-profile/view/1838125","17-1838125")</f>
        <v>0</v>
      </c>
      <c r="B4887" t="s">
        <v>103</v>
      </c>
      <c r="C4887" t="s">
        <v>256</v>
      </c>
      <c r="D4887" t="s">
        <v>277</v>
      </c>
      <c r="F4887" t="s">
        <v>2199</v>
      </c>
      <c r="G4887" t="s">
        <v>5227</v>
      </c>
      <c r="H4887" t="s">
        <v>7822</v>
      </c>
      <c r="I4887" t="s">
        <v>8287</v>
      </c>
      <c r="J4887" t="s">
        <v>9065</v>
      </c>
      <c r="K4887">
        <v>10473</v>
      </c>
      <c r="L4887" t="s">
        <v>9094</v>
      </c>
      <c r="M4887" t="s">
        <v>9095</v>
      </c>
      <c r="N4887" t="s">
        <v>10045</v>
      </c>
      <c r="O4887" t="s">
        <v>11135</v>
      </c>
      <c r="P4887" t="s">
        <v>11168</v>
      </c>
      <c r="R4887" t="s">
        <v>11180</v>
      </c>
      <c r="S4887" t="s">
        <v>9094</v>
      </c>
      <c r="T4887" t="s">
        <v>11183</v>
      </c>
      <c r="V4887" t="s">
        <v>705</v>
      </c>
      <c r="W4887">
        <v>932.5</v>
      </c>
      <c r="X4887" t="s">
        <v>11333</v>
      </c>
      <c r="Z4887" t="s">
        <v>14509</v>
      </c>
      <c r="AB4887" t="s">
        <v>18829</v>
      </c>
      <c r="AC4887">
        <v>225</v>
      </c>
      <c r="AD4887" t="s">
        <v>19566</v>
      </c>
      <c r="AE4887" t="s">
        <v>9144</v>
      </c>
      <c r="AF4887">
        <v>13</v>
      </c>
      <c r="AG4887">
        <v>2</v>
      </c>
      <c r="AH4887">
        <v>1</v>
      </c>
      <c r="AI4887">
        <v>195.89</v>
      </c>
      <c r="AL4887" t="s">
        <v>19614</v>
      </c>
      <c r="AM4887">
        <v>40000</v>
      </c>
      <c r="AS4887">
        <v>0</v>
      </c>
      <c r="AU4887" t="s">
        <v>20643</v>
      </c>
    </row>
    <row r="4888" spans="1:48">
      <c r="A4888" s="1">
        <f>HYPERLINK("https://lsnyc.legalserver.org/matter/dynamic-profile/view/1878486","18-1878486")</f>
        <v>0</v>
      </c>
      <c r="B4888" t="s">
        <v>68</v>
      </c>
      <c r="C4888" t="s">
        <v>257</v>
      </c>
      <c r="D4888" t="s">
        <v>768</v>
      </c>
      <c r="E4888" t="s">
        <v>563</v>
      </c>
      <c r="F4888" t="s">
        <v>1171</v>
      </c>
      <c r="G4888" t="s">
        <v>3572</v>
      </c>
      <c r="H4888" t="s">
        <v>7823</v>
      </c>
      <c r="I4888" t="s">
        <v>8266</v>
      </c>
      <c r="J4888" t="s">
        <v>9059</v>
      </c>
      <c r="K4888">
        <v>11212</v>
      </c>
      <c r="L4888" t="s">
        <v>9094</v>
      </c>
      <c r="M4888" t="s">
        <v>9094</v>
      </c>
      <c r="N4888" t="s">
        <v>10858</v>
      </c>
      <c r="O4888" t="s">
        <v>11129</v>
      </c>
      <c r="P4888" t="s">
        <v>11165</v>
      </c>
      <c r="Q4888" t="s">
        <v>11174</v>
      </c>
      <c r="R4888" t="s">
        <v>11180</v>
      </c>
      <c r="S4888" t="s">
        <v>9096</v>
      </c>
      <c r="T4888" t="s">
        <v>11183</v>
      </c>
      <c r="U4888" t="s">
        <v>11201</v>
      </c>
      <c r="V4888" t="s">
        <v>768</v>
      </c>
      <c r="W4888">
        <v>1225</v>
      </c>
      <c r="X4888" t="s">
        <v>11332</v>
      </c>
      <c r="Y4888" t="s">
        <v>11340</v>
      </c>
      <c r="Z4888" t="s">
        <v>14010</v>
      </c>
      <c r="AA4888" t="s">
        <v>9144</v>
      </c>
      <c r="AB4888" t="s">
        <v>18830</v>
      </c>
      <c r="AC4888">
        <v>32</v>
      </c>
      <c r="AD4888" t="s">
        <v>19566</v>
      </c>
      <c r="AE4888" t="s">
        <v>9144</v>
      </c>
      <c r="AF4888">
        <v>8</v>
      </c>
      <c r="AG4888">
        <v>1</v>
      </c>
      <c r="AH4888">
        <v>0</v>
      </c>
      <c r="AI4888">
        <v>196.51</v>
      </c>
      <c r="AL4888" t="s">
        <v>19614</v>
      </c>
      <c r="AM4888">
        <v>23856</v>
      </c>
      <c r="AN4888" t="s">
        <v>19720</v>
      </c>
      <c r="AS4888">
        <v>3.5</v>
      </c>
      <c r="AT4888" t="s">
        <v>563</v>
      </c>
      <c r="AU4888" t="s">
        <v>95</v>
      </c>
    </row>
    <row r="4889" spans="1:48">
      <c r="A4889" s="1">
        <f>HYPERLINK("https://lsnyc.legalserver.org/matter/dynamic-profile/view/1888629","19-1888629")</f>
        <v>0</v>
      </c>
      <c r="B4889" t="s">
        <v>83</v>
      </c>
      <c r="C4889" t="s">
        <v>257</v>
      </c>
      <c r="D4889" t="s">
        <v>494</v>
      </c>
      <c r="E4889" t="s">
        <v>425</v>
      </c>
      <c r="F4889" t="s">
        <v>2362</v>
      </c>
      <c r="G4889" t="s">
        <v>4750</v>
      </c>
      <c r="H4889" t="s">
        <v>7302</v>
      </c>
      <c r="J4889" t="s">
        <v>9059</v>
      </c>
      <c r="K4889">
        <v>11215</v>
      </c>
      <c r="L4889" t="s">
        <v>9094</v>
      </c>
      <c r="M4889" t="s">
        <v>9094</v>
      </c>
      <c r="N4889" t="s">
        <v>10859</v>
      </c>
      <c r="O4889" t="s">
        <v>11128</v>
      </c>
      <c r="P4889" t="s">
        <v>11165</v>
      </c>
      <c r="Q4889" t="s">
        <v>11174</v>
      </c>
      <c r="R4889" t="s">
        <v>11180</v>
      </c>
      <c r="S4889" t="s">
        <v>9096</v>
      </c>
      <c r="T4889" t="s">
        <v>11183</v>
      </c>
      <c r="V4889" t="s">
        <v>756</v>
      </c>
      <c r="W4889">
        <v>153.7</v>
      </c>
      <c r="X4889" t="s">
        <v>11332</v>
      </c>
      <c r="Z4889" t="s">
        <v>14141</v>
      </c>
      <c r="AB4889" t="s">
        <v>18831</v>
      </c>
      <c r="AC4889">
        <v>3</v>
      </c>
      <c r="AF4889">
        <v>60</v>
      </c>
      <c r="AG4889">
        <v>2</v>
      </c>
      <c r="AH4889">
        <v>0</v>
      </c>
      <c r="AI4889">
        <v>196.57</v>
      </c>
      <c r="AM4889">
        <v>33240</v>
      </c>
      <c r="AQ4889" t="s">
        <v>20369</v>
      </c>
      <c r="AR4889" t="s">
        <v>20422</v>
      </c>
      <c r="AS4889">
        <v>3.7</v>
      </c>
      <c r="AT4889" t="s">
        <v>333</v>
      </c>
      <c r="AU4889" t="s">
        <v>215</v>
      </c>
      <c r="AV4889" t="s">
        <v>20733</v>
      </c>
    </row>
    <row r="4890" spans="1:48">
      <c r="A4890" s="1">
        <f>HYPERLINK("https://lsnyc.legalserver.org/matter/dynamic-profile/view/1888601","19-1888601")</f>
        <v>0</v>
      </c>
      <c r="B4890" t="s">
        <v>83</v>
      </c>
      <c r="C4890" t="s">
        <v>257</v>
      </c>
      <c r="D4890" t="s">
        <v>348</v>
      </c>
      <c r="E4890" t="s">
        <v>472</v>
      </c>
      <c r="F4890" t="s">
        <v>2362</v>
      </c>
      <c r="G4890" t="s">
        <v>4750</v>
      </c>
      <c r="H4890" t="s">
        <v>7302</v>
      </c>
      <c r="I4890">
        <v>1</v>
      </c>
      <c r="J4890" t="s">
        <v>9059</v>
      </c>
      <c r="K4890">
        <v>11215</v>
      </c>
      <c r="L4890" t="s">
        <v>9094</v>
      </c>
      <c r="M4890" t="s">
        <v>9094</v>
      </c>
      <c r="O4890" t="s">
        <v>9121</v>
      </c>
      <c r="P4890" t="s">
        <v>11165</v>
      </c>
      <c r="Q4890" t="s">
        <v>11174</v>
      </c>
      <c r="R4890" t="s">
        <v>11180</v>
      </c>
      <c r="T4890" t="s">
        <v>11183</v>
      </c>
      <c r="V4890" t="s">
        <v>756</v>
      </c>
      <c r="W4890">
        <v>153.7</v>
      </c>
      <c r="X4890" t="s">
        <v>11332</v>
      </c>
      <c r="Z4890" t="s">
        <v>14141</v>
      </c>
      <c r="AB4890" t="s">
        <v>18831</v>
      </c>
      <c r="AC4890">
        <v>0</v>
      </c>
      <c r="AF4890">
        <v>60</v>
      </c>
      <c r="AG4890">
        <v>2</v>
      </c>
      <c r="AH4890">
        <v>0</v>
      </c>
      <c r="AI4890">
        <v>196.57</v>
      </c>
      <c r="AL4890" t="s">
        <v>19614</v>
      </c>
      <c r="AM4890">
        <v>33240</v>
      </c>
      <c r="AO4890" t="s">
        <v>20290</v>
      </c>
      <c r="AP4890" t="s">
        <v>20313</v>
      </c>
      <c r="AQ4890" t="s">
        <v>20369</v>
      </c>
      <c r="AS4890">
        <v>5.1</v>
      </c>
      <c r="AT4890" t="s">
        <v>370</v>
      </c>
      <c r="AU4890" t="s">
        <v>215</v>
      </c>
    </row>
    <row r="4891" spans="1:48">
      <c r="A4891" s="1">
        <f>HYPERLINK("https://lsnyc.legalserver.org/matter/dynamic-profile/view/1891324","19-1891324")</f>
        <v>0</v>
      </c>
      <c r="B4891" t="s">
        <v>103</v>
      </c>
      <c r="C4891" t="s">
        <v>256</v>
      </c>
      <c r="D4891" t="s">
        <v>543</v>
      </c>
      <c r="F4891" t="s">
        <v>1452</v>
      </c>
      <c r="G4891" t="s">
        <v>3386</v>
      </c>
      <c r="H4891" t="s">
        <v>5887</v>
      </c>
      <c r="I4891" t="s">
        <v>8419</v>
      </c>
      <c r="J4891" t="s">
        <v>9065</v>
      </c>
      <c r="K4891">
        <v>10453</v>
      </c>
      <c r="L4891" t="s">
        <v>9094</v>
      </c>
      <c r="M4891" t="s">
        <v>9094</v>
      </c>
      <c r="O4891" t="s">
        <v>11134</v>
      </c>
      <c r="P4891" t="s">
        <v>11168</v>
      </c>
      <c r="R4891" t="s">
        <v>11180</v>
      </c>
      <c r="S4891" t="s">
        <v>9094</v>
      </c>
      <c r="T4891" t="s">
        <v>11183</v>
      </c>
      <c r="V4891" t="s">
        <v>512</v>
      </c>
      <c r="W4891">
        <v>685.84</v>
      </c>
      <c r="X4891" t="s">
        <v>11333</v>
      </c>
      <c r="Y4891" t="s">
        <v>11346</v>
      </c>
      <c r="Z4891" t="s">
        <v>14510</v>
      </c>
      <c r="AC4891">
        <v>170</v>
      </c>
      <c r="AD4891" t="s">
        <v>19566</v>
      </c>
      <c r="AE4891" t="s">
        <v>9144</v>
      </c>
      <c r="AF4891">
        <v>40</v>
      </c>
      <c r="AG4891">
        <v>2</v>
      </c>
      <c r="AH4891">
        <v>0</v>
      </c>
      <c r="AI4891">
        <v>196.57</v>
      </c>
      <c r="AL4891" t="s">
        <v>19614</v>
      </c>
      <c r="AM4891">
        <v>33240</v>
      </c>
      <c r="AS4891">
        <v>0</v>
      </c>
      <c r="AU4891" t="s">
        <v>163</v>
      </c>
    </row>
    <row r="4892" spans="1:48">
      <c r="A4892" s="1">
        <f>HYPERLINK("https://lsnyc.legalserver.org/matter/dynamic-profile/view/1891319","19-1891319")</f>
        <v>0</v>
      </c>
      <c r="B4892" t="s">
        <v>103</v>
      </c>
      <c r="C4892" t="s">
        <v>256</v>
      </c>
      <c r="D4892" t="s">
        <v>543</v>
      </c>
      <c r="F4892" t="s">
        <v>1452</v>
      </c>
      <c r="G4892" t="s">
        <v>3386</v>
      </c>
      <c r="H4892" t="s">
        <v>5887</v>
      </c>
      <c r="I4892" t="s">
        <v>8419</v>
      </c>
      <c r="J4892" t="s">
        <v>9065</v>
      </c>
      <c r="K4892">
        <v>10453</v>
      </c>
      <c r="L4892" t="s">
        <v>9094</v>
      </c>
      <c r="M4892" t="s">
        <v>9094</v>
      </c>
      <c r="N4892" t="s">
        <v>9352</v>
      </c>
      <c r="O4892" t="s">
        <v>11130</v>
      </c>
      <c r="P4892" t="s">
        <v>11165</v>
      </c>
      <c r="R4892" t="s">
        <v>11180</v>
      </c>
      <c r="S4892" t="s">
        <v>9094</v>
      </c>
      <c r="T4892" t="s">
        <v>11183</v>
      </c>
      <c r="V4892" t="s">
        <v>512</v>
      </c>
      <c r="W4892">
        <v>685.84</v>
      </c>
      <c r="X4892" t="s">
        <v>11333</v>
      </c>
      <c r="Y4892" t="s">
        <v>11346</v>
      </c>
      <c r="Z4892" t="s">
        <v>14510</v>
      </c>
      <c r="AC4892">
        <v>170</v>
      </c>
      <c r="AD4892" t="s">
        <v>19566</v>
      </c>
      <c r="AE4892" t="s">
        <v>9144</v>
      </c>
      <c r="AF4892">
        <v>40</v>
      </c>
      <c r="AG4892">
        <v>2</v>
      </c>
      <c r="AH4892">
        <v>0</v>
      </c>
      <c r="AI4892">
        <v>196.57</v>
      </c>
      <c r="AL4892" t="s">
        <v>19614</v>
      </c>
      <c r="AM4892">
        <v>33240</v>
      </c>
      <c r="AS4892">
        <v>0</v>
      </c>
      <c r="AU4892" t="s">
        <v>163</v>
      </c>
    </row>
    <row r="4893" spans="1:48">
      <c r="A4893" s="1">
        <f>HYPERLINK("https://lsnyc.legalserver.org/matter/dynamic-profile/view/1911885","19-1911885")</f>
        <v>0</v>
      </c>
      <c r="B4893" t="s">
        <v>55</v>
      </c>
      <c r="C4893" t="s">
        <v>256</v>
      </c>
      <c r="D4893" t="s">
        <v>284</v>
      </c>
      <c r="F4893" t="s">
        <v>1462</v>
      </c>
      <c r="G4893" t="s">
        <v>5228</v>
      </c>
      <c r="H4893" t="s">
        <v>7824</v>
      </c>
      <c r="I4893" t="s">
        <v>8897</v>
      </c>
      <c r="J4893" t="s">
        <v>9090</v>
      </c>
      <c r="K4893">
        <v>11694</v>
      </c>
      <c r="L4893" t="s">
        <v>9094</v>
      </c>
      <c r="M4893" t="s">
        <v>9095</v>
      </c>
      <c r="N4893" t="s">
        <v>10860</v>
      </c>
      <c r="O4893" t="s">
        <v>11129</v>
      </c>
      <c r="P4893" t="s">
        <v>11165</v>
      </c>
      <c r="R4893" t="s">
        <v>11180</v>
      </c>
      <c r="S4893" t="s">
        <v>9096</v>
      </c>
      <c r="T4893" t="s">
        <v>11183</v>
      </c>
      <c r="U4893" t="s">
        <v>11201</v>
      </c>
      <c r="V4893" t="s">
        <v>11309</v>
      </c>
      <c r="W4893">
        <v>1025</v>
      </c>
      <c r="X4893" t="s">
        <v>11331</v>
      </c>
      <c r="Y4893" t="s">
        <v>11336</v>
      </c>
      <c r="Z4893" t="s">
        <v>14511</v>
      </c>
      <c r="AB4893" t="s">
        <v>18832</v>
      </c>
      <c r="AC4893">
        <v>0</v>
      </c>
      <c r="AD4893" t="s">
        <v>15441</v>
      </c>
      <c r="AE4893" t="s">
        <v>9144</v>
      </c>
      <c r="AF4893">
        <v>16</v>
      </c>
      <c r="AG4893">
        <v>1</v>
      </c>
      <c r="AH4893">
        <v>0</v>
      </c>
      <c r="AI4893">
        <v>196.77</v>
      </c>
      <c r="AL4893" t="s">
        <v>19614</v>
      </c>
      <c r="AM4893">
        <v>24576</v>
      </c>
      <c r="AS4893">
        <v>7.88</v>
      </c>
      <c r="AT4893" t="s">
        <v>321</v>
      </c>
      <c r="AU4893" t="s">
        <v>20619</v>
      </c>
      <c r="AV4893" t="s">
        <v>20733</v>
      </c>
    </row>
    <row r="4894" spans="1:48">
      <c r="A4894" s="1">
        <f>HYPERLINK("https://lsnyc.legalserver.org/matter/dynamic-profile/view/0812242","16-0812242")</f>
        <v>0</v>
      </c>
      <c r="B4894" t="s">
        <v>193</v>
      </c>
      <c r="C4894" t="s">
        <v>256</v>
      </c>
      <c r="D4894" t="s">
        <v>805</v>
      </c>
      <c r="F4894" t="s">
        <v>2946</v>
      </c>
      <c r="G4894" t="s">
        <v>4605</v>
      </c>
      <c r="H4894" t="s">
        <v>7825</v>
      </c>
      <c r="I4894" t="s">
        <v>8160</v>
      </c>
      <c r="J4894" t="s">
        <v>9055</v>
      </c>
      <c r="K4894">
        <v>11355</v>
      </c>
      <c r="L4894" t="s">
        <v>9095</v>
      </c>
      <c r="M4894" t="s">
        <v>9095</v>
      </c>
      <c r="O4894" t="s">
        <v>11130</v>
      </c>
      <c r="P4894" t="s">
        <v>11164</v>
      </c>
      <c r="R4894" t="s">
        <v>11180</v>
      </c>
      <c r="S4894" t="s">
        <v>9096</v>
      </c>
      <c r="T4894" t="s">
        <v>11183</v>
      </c>
      <c r="W4894">
        <v>1266.69</v>
      </c>
      <c r="X4894" t="s">
        <v>11331</v>
      </c>
      <c r="Y4894" t="s">
        <v>11346</v>
      </c>
      <c r="Z4894" t="s">
        <v>14512</v>
      </c>
      <c r="AB4894" t="s">
        <v>18833</v>
      </c>
      <c r="AC4894">
        <v>84</v>
      </c>
      <c r="AD4894" t="s">
        <v>19566</v>
      </c>
      <c r="AE4894" t="s">
        <v>9144</v>
      </c>
      <c r="AF4894">
        <v>30</v>
      </c>
      <c r="AG4894">
        <v>1</v>
      </c>
      <c r="AH4894">
        <v>0</v>
      </c>
      <c r="AI4894">
        <v>196.77</v>
      </c>
      <c r="AL4894" t="s">
        <v>19614</v>
      </c>
      <c r="AM4894">
        <v>23376</v>
      </c>
      <c r="AS4894">
        <v>2.55</v>
      </c>
      <c r="AT4894" t="s">
        <v>273</v>
      </c>
      <c r="AU4894" t="s">
        <v>20640</v>
      </c>
    </row>
    <row r="4895" spans="1:48">
      <c r="A4895" s="1">
        <f>HYPERLINK("https://lsnyc.legalserver.org/matter/dynamic-profile/view/1900037","19-1900037")</f>
        <v>0</v>
      </c>
      <c r="B4895" t="s">
        <v>113</v>
      </c>
      <c r="C4895" t="s">
        <v>256</v>
      </c>
      <c r="D4895" t="s">
        <v>293</v>
      </c>
      <c r="F4895" t="s">
        <v>1296</v>
      </c>
      <c r="G4895" t="s">
        <v>4129</v>
      </c>
      <c r="H4895" t="s">
        <v>5864</v>
      </c>
      <c r="I4895" t="s">
        <v>8112</v>
      </c>
      <c r="J4895" t="s">
        <v>9065</v>
      </c>
      <c r="K4895">
        <v>10460</v>
      </c>
      <c r="L4895" t="s">
        <v>9094</v>
      </c>
      <c r="M4895" t="s">
        <v>9095</v>
      </c>
      <c r="O4895" t="s">
        <v>9121</v>
      </c>
      <c r="P4895" t="s">
        <v>11166</v>
      </c>
      <c r="R4895" t="s">
        <v>11180</v>
      </c>
      <c r="S4895" t="s">
        <v>9094</v>
      </c>
      <c r="T4895" t="s">
        <v>11183</v>
      </c>
      <c r="V4895" t="s">
        <v>11218</v>
      </c>
      <c r="W4895">
        <v>582</v>
      </c>
      <c r="X4895" t="s">
        <v>11333</v>
      </c>
      <c r="Y4895" t="s">
        <v>11346</v>
      </c>
      <c r="Z4895" t="s">
        <v>14513</v>
      </c>
      <c r="AC4895">
        <v>168</v>
      </c>
      <c r="AD4895" t="s">
        <v>19566</v>
      </c>
      <c r="AE4895" t="s">
        <v>19580</v>
      </c>
      <c r="AF4895">
        <v>3</v>
      </c>
      <c r="AG4895">
        <v>1</v>
      </c>
      <c r="AH4895">
        <v>0</v>
      </c>
      <c r="AI4895">
        <v>196.77</v>
      </c>
      <c r="AL4895" t="s">
        <v>19614</v>
      </c>
      <c r="AM4895">
        <v>24576</v>
      </c>
      <c r="AS4895">
        <v>0</v>
      </c>
      <c r="AU4895" t="s">
        <v>20647</v>
      </c>
      <c r="AV4895" t="s">
        <v>20733</v>
      </c>
    </row>
    <row r="4896" spans="1:48">
      <c r="A4896" s="1">
        <f>HYPERLINK("https://lsnyc.legalserver.org/matter/dynamic-profile/view/1891083","19-1891083")</f>
        <v>0</v>
      </c>
      <c r="B4896" t="s">
        <v>72</v>
      </c>
      <c r="C4896" t="s">
        <v>257</v>
      </c>
      <c r="D4896" t="s">
        <v>554</v>
      </c>
      <c r="E4896" t="s">
        <v>457</v>
      </c>
      <c r="F4896" t="s">
        <v>2572</v>
      </c>
      <c r="G4896" t="s">
        <v>4945</v>
      </c>
      <c r="H4896" t="s">
        <v>7826</v>
      </c>
      <c r="I4896" t="s">
        <v>8108</v>
      </c>
      <c r="J4896" t="s">
        <v>9059</v>
      </c>
      <c r="K4896">
        <v>11212</v>
      </c>
      <c r="L4896" t="s">
        <v>9094</v>
      </c>
      <c r="M4896" t="s">
        <v>9096</v>
      </c>
      <c r="N4896" t="s">
        <v>10861</v>
      </c>
      <c r="O4896" t="s">
        <v>11129</v>
      </c>
      <c r="P4896" t="s">
        <v>11164</v>
      </c>
      <c r="Q4896" t="s">
        <v>11172</v>
      </c>
      <c r="R4896" t="s">
        <v>11180</v>
      </c>
      <c r="S4896" t="s">
        <v>9096</v>
      </c>
      <c r="T4896" t="s">
        <v>11183</v>
      </c>
      <c r="U4896" t="s">
        <v>11199</v>
      </c>
      <c r="V4896" t="s">
        <v>523</v>
      </c>
      <c r="W4896">
        <v>1298</v>
      </c>
      <c r="X4896" t="s">
        <v>11332</v>
      </c>
      <c r="Y4896" t="s">
        <v>11157</v>
      </c>
      <c r="Z4896" t="s">
        <v>14514</v>
      </c>
      <c r="AA4896" t="s">
        <v>15888</v>
      </c>
      <c r="AB4896" t="s">
        <v>18834</v>
      </c>
      <c r="AC4896">
        <v>3</v>
      </c>
      <c r="AD4896" t="s">
        <v>19565</v>
      </c>
      <c r="AE4896" t="s">
        <v>9144</v>
      </c>
      <c r="AF4896">
        <v>9</v>
      </c>
      <c r="AG4896">
        <v>1</v>
      </c>
      <c r="AH4896">
        <v>2</v>
      </c>
      <c r="AI4896">
        <v>196.91</v>
      </c>
      <c r="AL4896" t="s">
        <v>19614</v>
      </c>
      <c r="AM4896">
        <v>42000</v>
      </c>
      <c r="AS4896">
        <v>2.08</v>
      </c>
      <c r="AT4896" t="s">
        <v>791</v>
      </c>
      <c r="AU4896" t="s">
        <v>20672</v>
      </c>
      <c r="AV4896" t="s">
        <v>20733</v>
      </c>
    </row>
    <row r="4897" spans="1:48">
      <c r="A4897" s="1">
        <f>HYPERLINK("https://lsnyc.legalserver.org/matter/dynamic-profile/view/1880686","18-1880686")</f>
        <v>0</v>
      </c>
      <c r="B4897" t="s">
        <v>87</v>
      </c>
      <c r="C4897" t="s">
        <v>256</v>
      </c>
      <c r="D4897" t="s">
        <v>285</v>
      </c>
      <c r="F4897" t="s">
        <v>1170</v>
      </c>
      <c r="G4897" t="s">
        <v>1193</v>
      </c>
      <c r="H4897" t="s">
        <v>5788</v>
      </c>
      <c r="I4897" t="s">
        <v>8129</v>
      </c>
      <c r="J4897" t="s">
        <v>9059</v>
      </c>
      <c r="K4897">
        <v>11221</v>
      </c>
      <c r="L4897" t="s">
        <v>9094</v>
      </c>
      <c r="M4897" t="s">
        <v>9094</v>
      </c>
      <c r="N4897" t="s">
        <v>9172</v>
      </c>
      <c r="O4897" t="s">
        <v>11130</v>
      </c>
      <c r="P4897" t="s">
        <v>11165</v>
      </c>
      <c r="R4897" t="s">
        <v>11180</v>
      </c>
      <c r="T4897" t="s">
        <v>11183</v>
      </c>
      <c r="V4897" t="s">
        <v>611</v>
      </c>
      <c r="W4897">
        <v>130</v>
      </c>
      <c r="X4897" t="s">
        <v>11332</v>
      </c>
      <c r="Y4897" t="s">
        <v>11340</v>
      </c>
      <c r="Z4897" t="s">
        <v>14458</v>
      </c>
      <c r="AB4897" t="s">
        <v>18780</v>
      </c>
      <c r="AC4897">
        <v>7</v>
      </c>
      <c r="AF4897">
        <v>31</v>
      </c>
      <c r="AG4897">
        <v>1</v>
      </c>
      <c r="AH4897">
        <v>0</v>
      </c>
      <c r="AI4897">
        <v>197.03</v>
      </c>
      <c r="AL4897" t="s">
        <v>19614</v>
      </c>
      <c r="AM4897">
        <v>23920</v>
      </c>
      <c r="AS4897">
        <v>0.3</v>
      </c>
      <c r="AT4897" t="s">
        <v>434</v>
      </c>
      <c r="AU4897" t="s">
        <v>20633</v>
      </c>
      <c r="AV4897" t="s">
        <v>20733</v>
      </c>
    </row>
    <row r="4898" spans="1:48">
      <c r="A4898" s="1">
        <f>HYPERLINK("https://lsnyc.legalserver.org/matter/dynamic-profile/view/0831602","17-0831602")</f>
        <v>0</v>
      </c>
      <c r="B4898" t="s">
        <v>78</v>
      </c>
      <c r="C4898" t="s">
        <v>256</v>
      </c>
      <c r="D4898" t="s">
        <v>1087</v>
      </c>
      <c r="F4898" t="s">
        <v>2940</v>
      </c>
      <c r="G4898" t="s">
        <v>5218</v>
      </c>
      <c r="H4898" t="s">
        <v>5809</v>
      </c>
      <c r="I4898" t="s">
        <v>8795</v>
      </c>
      <c r="J4898" t="s">
        <v>9059</v>
      </c>
      <c r="K4898">
        <v>11212</v>
      </c>
      <c r="L4898" t="s">
        <v>9094</v>
      </c>
      <c r="M4898" t="s">
        <v>9095</v>
      </c>
      <c r="N4898" t="s">
        <v>9189</v>
      </c>
      <c r="O4898" t="s">
        <v>9121</v>
      </c>
      <c r="P4898" t="s">
        <v>11167</v>
      </c>
      <c r="R4898" t="s">
        <v>11180</v>
      </c>
      <c r="S4898" t="s">
        <v>9094</v>
      </c>
      <c r="T4898" t="s">
        <v>11183</v>
      </c>
      <c r="V4898" t="s">
        <v>1087</v>
      </c>
      <c r="W4898">
        <v>1375</v>
      </c>
      <c r="X4898" t="s">
        <v>11332</v>
      </c>
      <c r="Y4898" t="s">
        <v>11157</v>
      </c>
      <c r="Z4898" t="s">
        <v>14492</v>
      </c>
      <c r="AC4898">
        <v>32</v>
      </c>
      <c r="AD4898" t="s">
        <v>19566</v>
      </c>
      <c r="AF4898">
        <v>2</v>
      </c>
      <c r="AG4898">
        <v>2</v>
      </c>
      <c r="AH4898">
        <v>0</v>
      </c>
      <c r="AI4898">
        <v>197.04</v>
      </c>
      <c r="AL4898" t="s">
        <v>19614</v>
      </c>
      <c r="AM4898">
        <v>32000</v>
      </c>
      <c r="AS4898">
        <v>0.5</v>
      </c>
      <c r="AT4898" t="s">
        <v>392</v>
      </c>
      <c r="AU4898" t="s">
        <v>78</v>
      </c>
    </row>
    <row r="4899" spans="1:48">
      <c r="A4899" s="1">
        <f>HYPERLINK("https://lsnyc.legalserver.org/matter/dynamic-profile/view/0830754","17-0830754")</f>
        <v>0</v>
      </c>
      <c r="B4899" t="s">
        <v>250</v>
      </c>
      <c r="C4899" t="s">
        <v>257</v>
      </c>
      <c r="D4899" t="s">
        <v>1003</v>
      </c>
      <c r="E4899" t="s">
        <v>426</v>
      </c>
      <c r="F4899" t="s">
        <v>1624</v>
      </c>
      <c r="G4899" t="s">
        <v>3506</v>
      </c>
      <c r="H4899" t="s">
        <v>7827</v>
      </c>
      <c r="I4899" t="s">
        <v>8161</v>
      </c>
      <c r="J4899" t="s">
        <v>9065</v>
      </c>
      <c r="K4899">
        <v>10451</v>
      </c>
      <c r="L4899" t="s">
        <v>9094</v>
      </c>
      <c r="M4899" t="s">
        <v>9095</v>
      </c>
      <c r="N4899" t="s">
        <v>10862</v>
      </c>
      <c r="O4899" t="s">
        <v>11128</v>
      </c>
      <c r="P4899" t="s">
        <v>11165</v>
      </c>
      <c r="Q4899" t="s">
        <v>11174</v>
      </c>
      <c r="R4899" t="s">
        <v>11180</v>
      </c>
      <c r="S4899" t="s">
        <v>9096</v>
      </c>
      <c r="T4899" t="s">
        <v>11183</v>
      </c>
      <c r="U4899" t="s">
        <v>11201</v>
      </c>
      <c r="V4899" t="s">
        <v>11300</v>
      </c>
      <c r="W4899">
        <v>865</v>
      </c>
      <c r="X4899" t="s">
        <v>11333</v>
      </c>
      <c r="Y4899" t="s">
        <v>11351</v>
      </c>
      <c r="Z4899" t="s">
        <v>14515</v>
      </c>
      <c r="AA4899" t="s">
        <v>15889</v>
      </c>
      <c r="AB4899" t="s">
        <v>18835</v>
      </c>
      <c r="AC4899">
        <v>75</v>
      </c>
      <c r="AD4899" t="s">
        <v>19566</v>
      </c>
      <c r="AE4899" t="s">
        <v>9144</v>
      </c>
      <c r="AF4899">
        <v>16</v>
      </c>
      <c r="AG4899">
        <v>2</v>
      </c>
      <c r="AH4899">
        <v>0</v>
      </c>
      <c r="AI4899">
        <v>197.04</v>
      </c>
      <c r="AJ4899" t="s">
        <v>11269</v>
      </c>
      <c r="AK4899" t="s">
        <v>19609</v>
      </c>
      <c r="AL4899" t="s">
        <v>19615</v>
      </c>
      <c r="AM4899">
        <v>32000</v>
      </c>
      <c r="AO4899" t="s">
        <v>20293</v>
      </c>
      <c r="AP4899" t="s">
        <v>20359</v>
      </c>
      <c r="AQ4899" t="s">
        <v>20369</v>
      </c>
      <c r="AR4899" t="s">
        <v>20559</v>
      </c>
      <c r="AS4899">
        <v>136.6</v>
      </c>
      <c r="AT4899" t="s">
        <v>706</v>
      </c>
      <c r="AU4899" t="s">
        <v>20643</v>
      </c>
    </row>
    <row r="4900" spans="1:48">
      <c r="A4900" s="1">
        <f>HYPERLINK("https://lsnyc.legalserver.org/matter/dynamic-profile/view/1834023","17-1834023")</f>
        <v>0</v>
      </c>
      <c r="B4900" t="s">
        <v>250</v>
      </c>
      <c r="C4900" t="s">
        <v>257</v>
      </c>
      <c r="D4900" t="s">
        <v>538</v>
      </c>
      <c r="E4900" t="s">
        <v>435</v>
      </c>
      <c r="F4900" t="s">
        <v>1624</v>
      </c>
      <c r="G4900" t="s">
        <v>3506</v>
      </c>
      <c r="H4900" t="s">
        <v>7827</v>
      </c>
      <c r="I4900" t="s">
        <v>8161</v>
      </c>
      <c r="J4900" t="s">
        <v>9065</v>
      </c>
      <c r="K4900">
        <v>10451</v>
      </c>
      <c r="L4900" t="s">
        <v>9094</v>
      </c>
      <c r="M4900" t="s">
        <v>9095</v>
      </c>
      <c r="N4900" t="s">
        <v>10863</v>
      </c>
      <c r="O4900" t="s">
        <v>11129</v>
      </c>
      <c r="P4900" t="s">
        <v>11165</v>
      </c>
      <c r="Q4900" t="s">
        <v>11174</v>
      </c>
      <c r="R4900" t="s">
        <v>11180</v>
      </c>
      <c r="S4900" t="s">
        <v>9096</v>
      </c>
      <c r="T4900" t="s">
        <v>11183</v>
      </c>
      <c r="U4900" t="s">
        <v>11201</v>
      </c>
      <c r="V4900" t="s">
        <v>1075</v>
      </c>
      <c r="W4900">
        <v>865</v>
      </c>
      <c r="X4900" t="s">
        <v>11333</v>
      </c>
      <c r="Y4900" t="s">
        <v>11351</v>
      </c>
      <c r="Z4900" t="s">
        <v>14515</v>
      </c>
      <c r="AA4900" t="s">
        <v>15889</v>
      </c>
      <c r="AB4900" t="s">
        <v>18835</v>
      </c>
      <c r="AC4900">
        <v>75</v>
      </c>
      <c r="AD4900" t="s">
        <v>19566</v>
      </c>
      <c r="AE4900" t="s">
        <v>9144</v>
      </c>
      <c r="AF4900">
        <v>16</v>
      </c>
      <c r="AG4900">
        <v>2</v>
      </c>
      <c r="AH4900">
        <v>0</v>
      </c>
      <c r="AI4900">
        <v>197.04</v>
      </c>
      <c r="AJ4900" t="s">
        <v>11269</v>
      </c>
      <c r="AK4900" t="s">
        <v>19609</v>
      </c>
      <c r="AL4900" t="s">
        <v>19615</v>
      </c>
      <c r="AM4900">
        <v>32000</v>
      </c>
      <c r="AS4900">
        <v>60.5</v>
      </c>
      <c r="AT4900" t="s">
        <v>481</v>
      </c>
      <c r="AU4900" t="s">
        <v>20650</v>
      </c>
    </row>
    <row r="4901" spans="1:48">
      <c r="A4901" s="1">
        <f>HYPERLINK("https://lsnyc.legalserver.org/matter/dynamic-profile/view/1866430","18-1866430")</f>
        <v>0</v>
      </c>
      <c r="B4901" t="s">
        <v>60</v>
      </c>
      <c r="C4901" t="s">
        <v>256</v>
      </c>
      <c r="D4901" t="s">
        <v>727</v>
      </c>
      <c r="F4901" t="s">
        <v>2947</v>
      </c>
      <c r="G4901" t="s">
        <v>3723</v>
      </c>
      <c r="H4901" t="s">
        <v>7828</v>
      </c>
      <c r="I4901" t="s">
        <v>8250</v>
      </c>
      <c r="J4901" t="s">
        <v>9055</v>
      </c>
      <c r="K4901">
        <v>11354</v>
      </c>
      <c r="L4901" t="s">
        <v>9094</v>
      </c>
      <c r="M4901" t="s">
        <v>9095</v>
      </c>
      <c r="N4901" t="s">
        <v>9102</v>
      </c>
      <c r="O4901" t="s">
        <v>9121</v>
      </c>
      <c r="P4901" t="s">
        <v>11164</v>
      </c>
      <c r="R4901" t="s">
        <v>11180</v>
      </c>
      <c r="S4901" t="s">
        <v>9096</v>
      </c>
      <c r="T4901" t="s">
        <v>11187</v>
      </c>
      <c r="V4901" t="s">
        <v>727</v>
      </c>
      <c r="W4901">
        <v>2205</v>
      </c>
      <c r="X4901" t="s">
        <v>11331</v>
      </c>
      <c r="Z4901" t="s">
        <v>14516</v>
      </c>
      <c r="AA4901" t="s">
        <v>9171</v>
      </c>
      <c r="AC4901">
        <v>64</v>
      </c>
      <c r="AD4901" t="s">
        <v>15441</v>
      </c>
      <c r="AE4901" t="s">
        <v>9144</v>
      </c>
      <c r="AF4901">
        <v>4</v>
      </c>
      <c r="AG4901">
        <v>5</v>
      </c>
      <c r="AH4901">
        <v>0</v>
      </c>
      <c r="AI4901">
        <v>197.14</v>
      </c>
      <c r="AL4901" t="s">
        <v>19619</v>
      </c>
      <c r="AM4901">
        <v>58000</v>
      </c>
      <c r="AN4901" t="s">
        <v>20056</v>
      </c>
      <c r="AS4901">
        <v>0.55</v>
      </c>
      <c r="AT4901" t="s">
        <v>893</v>
      </c>
      <c r="AU4901" t="s">
        <v>60</v>
      </c>
    </row>
    <row r="4902" spans="1:48">
      <c r="A4902" s="1">
        <f>HYPERLINK("https://lsnyc.legalserver.org/matter/dynamic-profile/view/1886037","18-1886037")</f>
        <v>0</v>
      </c>
      <c r="B4902" t="s">
        <v>159</v>
      </c>
      <c r="C4902" t="s">
        <v>256</v>
      </c>
      <c r="D4902" t="s">
        <v>746</v>
      </c>
      <c r="F4902" t="s">
        <v>1846</v>
      </c>
      <c r="G4902" t="s">
        <v>1299</v>
      </c>
      <c r="H4902" t="s">
        <v>6860</v>
      </c>
      <c r="I4902" t="s">
        <v>8745</v>
      </c>
      <c r="J4902" t="s">
        <v>9065</v>
      </c>
      <c r="K4902">
        <v>10453</v>
      </c>
      <c r="L4902" t="s">
        <v>9094</v>
      </c>
      <c r="M4902" t="s">
        <v>9094</v>
      </c>
      <c r="O4902" t="s">
        <v>11133</v>
      </c>
      <c r="P4902" t="s">
        <v>11166</v>
      </c>
      <c r="R4902" t="s">
        <v>11180</v>
      </c>
      <c r="S4902" t="s">
        <v>9096</v>
      </c>
      <c r="T4902" t="s">
        <v>11189</v>
      </c>
      <c r="V4902" t="s">
        <v>746</v>
      </c>
      <c r="W4902">
        <v>900.16</v>
      </c>
      <c r="X4902" t="s">
        <v>11333</v>
      </c>
      <c r="Y4902" t="s">
        <v>11347</v>
      </c>
      <c r="Z4902" t="s">
        <v>14517</v>
      </c>
      <c r="AA4902" t="s">
        <v>15890</v>
      </c>
      <c r="AB4902" t="s">
        <v>18836</v>
      </c>
      <c r="AC4902">
        <v>72</v>
      </c>
      <c r="AD4902" t="s">
        <v>19566</v>
      </c>
      <c r="AE4902" t="s">
        <v>19587</v>
      </c>
      <c r="AF4902">
        <v>36</v>
      </c>
      <c r="AG4902">
        <v>4</v>
      </c>
      <c r="AH4902">
        <v>0</v>
      </c>
      <c r="AI4902">
        <v>197.15</v>
      </c>
      <c r="AL4902" t="s">
        <v>19614</v>
      </c>
      <c r="AM4902">
        <v>49484</v>
      </c>
      <c r="AN4902" t="s">
        <v>20057</v>
      </c>
      <c r="AS4902">
        <v>5.2</v>
      </c>
      <c r="AT4902" t="s">
        <v>556</v>
      </c>
      <c r="AU4902" t="s">
        <v>20647</v>
      </c>
    </row>
    <row r="4903" spans="1:48">
      <c r="A4903" s="1">
        <f>HYPERLINK("https://lsnyc.legalserver.org/matter/dynamic-profile/view/1901830","19-1901830")</f>
        <v>0</v>
      </c>
      <c r="B4903" t="s">
        <v>69</v>
      </c>
      <c r="C4903" t="s">
        <v>257</v>
      </c>
      <c r="D4903" t="s">
        <v>610</v>
      </c>
      <c r="E4903" t="s">
        <v>806</v>
      </c>
      <c r="F4903" t="s">
        <v>1220</v>
      </c>
      <c r="G4903" t="s">
        <v>3572</v>
      </c>
      <c r="H4903" t="s">
        <v>7443</v>
      </c>
      <c r="I4903" t="s">
        <v>8391</v>
      </c>
      <c r="J4903" t="s">
        <v>9059</v>
      </c>
      <c r="K4903">
        <v>11208</v>
      </c>
      <c r="L4903" t="s">
        <v>9094</v>
      </c>
      <c r="M4903" t="s">
        <v>9095</v>
      </c>
      <c r="N4903" t="s">
        <v>10516</v>
      </c>
      <c r="O4903" t="s">
        <v>11139</v>
      </c>
      <c r="P4903" t="s">
        <v>11168</v>
      </c>
      <c r="Q4903" t="s">
        <v>11177</v>
      </c>
      <c r="R4903" t="s">
        <v>11180</v>
      </c>
      <c r="S4903" t="s">
        <v>9096</v>
      </c>
      <c r="T4903" t="s">
        <v>11184</v>
      </c>
      <c r="U4903" t="s">
        <v>11201</v>
      </c>
      <c r="V4903" t="s">
        <v>319</v>
      </c>
      <c r="W4903">
        <v>1956</v>
      </c>
      <c r="X4903" t="s">
        <v>11332</v>
      </c>
      <c r="Y4903" t="s">
        <v>11157</v>
      </c>
      <c r="Z4903" t="s">
        <v>13864</v>
      </c>
      <c r="AB4903" t="s">
        <v>18195</v>
      </c>
      <c r="AC4903">
        <v>3</v>
      </c>
      <c r="AD4903" t="s">
        <v>19565</v>
      </c>
      <c r="AE4903" t="s">
        <v>19586</v>
      </c>
      <c r="AF4903">
        <v>4</v>
      </c>
      <c r="AG4903">
        <v>1</v>
      </c>
      <c r="AH4903">
        <v>3</v>
      </c>
      <c r="AI4903">
        <v>197.31</v>
      </c>
      <c r="AL4903" t="s">
        <v>19614</v>
      </c>
      <c r="AM4903">
        <v>50806.8</v>
      </c>
      <c r="AS4903">
        <v>5.5</v>
      </c>
      <c r="AT4903" t="s">
        <v>806</v>
      </c>
      <c r="AU4903" t="s">
        <v>79</v>
      </c>
      <c r="AV4903" t="s">
        <v>20733</v>
      </c>
    </row>
    <row r="4904" spans="1:48">
      <c r="A4904" s="1">
        <f>HYPERLINK("https://lsnyc.legalserver.org/matter/dynamic-profile/view/1879126","18-1879126")</f>
        <v>0</v>
      </c>
      <c r="B4904" t="s">
        <v>119</v>
      </c>
      <c r="C4904" t="s">
        <v>257</v>
      </c>
      <c r="D4904" t="s">
        <v>572</v>
      </c>
      <c r="E4904" t="s">
        <v>664</v>
      </c>
      <c r="F4904" t="s">
        <v>2948</v>
      </c>
      <c r="G4904" t="s">
        <v>5229</v>
      </c>
      <c r="H4904" t="s">
        <v>6762</v>
      </c>
      <c r="I4904" t="s">
        <v>8898</v>
      </c>
      <c r="J4904" t="s">
        <v>9065</v>
      </c>
      <c r="K4904">
        <v>10453</v>
      </c>
      <c r="L4904" t="s">
        <v>9094</v>
      </c>
      <c r="M4904" t="s">
        <v>9094</v>
      </c>
      <c r="N4904" t="s">
        <v>10864</v>
      </c>
      <c r="O4904" t="s">
        <v>11129</v>
      </c>
      <c r="P4904" t="s">
        <v>11165</v>
      </c>
      <c r="Q4904" t="s">
        <v>11176</v>
      </c>
      <c r="R4904" t="s">
        <v>11180</v>
      </c>
      <c r="T4904" t="s">
        <v>11183</v>
      </c>
      <c r="U4904" t="s">
        <v>11203</v>
      </c>
      <c r="V4904" t="s">
        <v>589</v>
      </c>
      <c r="W4904">
        <v>820</v>
      </c>
      <c r="X4904" t="s">
        <v>11333</v>
      </c>
      <c r="Y4904" t="s">
        <v>11157</v>
      </c>
      <c r="Z4904" t="s">
        <v>14518</v>
      </c>
      <c r="AB4904" t="s">
        <v>18837</v>
      </c>
      <c r="AC4904">
        <v>111</v>
      </c>
      <c r="AD4904" t="s">
        <v>15441</v>
      </c>
      <c r="AE4904" t="s">
        <v>9144</v>
      </c>
      <c r="AF4904">
        <v>40</v>
      </c>
      <c r="AG4904">
        <v>1</v>
      </c>
      <c r="AH4904">
        <v>0</v>
      </c>
      <c r="AI4904">
        <v>197.36</v>
      </c>
      <c r="AL4904" t="s">
        <v>19614</v>
      </c>
      <c r="AM4904">
        <v>23959.2</v>
      </c>
      <c r="AR4904" t="s">
        <v>20560</v>
      </c>
      <c r="AS4904">
        <v>10.1</v>
      </c>
      <c r="AT4904" t="s">
        <v>383</v>
      </c>
      <c r="AU4904" t="s">
        <v>20660</v>
      </c>
    </row>
    <row r="4905" spans="1:48">
      <c r="A4905" s="1">
        <f>HYPERLINK("https://lsnyc.legalserver.org/matter/dynamic-profile/view/1912299","19-1912299")</f>
        <v>0</v>
      </c>
      <c r="B4905" t="s">
        <v>98</v>
      </c>
      <c r="C4905" t="s">
        <v>256</v>
      </c>
      <c r="D4905" t="s">
        <v>309</v>
      </c>
      <c r="F4905" t="s">
        <v>2304</v>
      </c>
      <c r="G4905" t="s">
        <v>4525</v>
      </c>
      <c r="H4905" t="s">
        <v>5879</v>
      </c>
      <c r="I4905" t="s">
        <v>8191</v>
      </c>
      <c r="J4905" t="s">
        <v>9065</v>
      </c>
      <c r="K4905">
        <v>10456</v>
      </c>
      <c r="L4905" t="s">
        <v>9094</v>
      </c>
      <c r="M4905" t="s">
        <v>9095</v>
      </c>
      <c r="N4905" t="s">
        <v>9235</v>
      </c>
      <c r="O4905" t="s">
        <v>11130</v>
      </c>
      <c r="P4905" t="s">
        <v>11165</v>
      </c>
      <c r="R4905" t="s">
        <v>11180</v>
      </c>
      <c r="S4905" t="s">
        <v>9094</v>
      </c>
      <c r="T4905" t="s">
        <v>11183</v>
      </c>
      <c r="W4905">
        <v>1235</v>
      </c>
      <c r="X4905" t="s">
        <v>11333</v>
      </c>
      <c r="Y4905" t="s">
        <v>11346</v>
      </c>
      <c r="Z4905" t="s">
        <v>13192</v>
      </c>
      <c r="AB4905" t="s">
        <v>17549</v>
      </c>
      <c r="AC4905">
        <v>30</v>
      </c>
      <c r="AD4905" t="s">
        <v>19569</v>
      </c>
      <c r="AE4905" t="s">
        <v>9144</v>
      </c>
      <c r="AF4905">
        <v>19</v>
      </c>
      <c r="AG4905">
        <v>4</v>
      </c>
      <c r="AH4905">
        <v>3</v>
      </c>
      <c r="AI4905">
        <v>197.39</v>
      </c>
      <c r="AM4905">
        <v>77000</v>
      </c>
      <c r="AS4905">
        <v>0</v>
      </c>
      <c r="AU4905" t="s">
        <v>20642</v>
      </c>
      <c r="AV4905" t="s">
        <v>20733</v>
      </c>
    </row>
    <row r="4906" spans="1:48">
      <c r="A4906" s="1">
        <f>HYPERLINK("https://lsnyc.legalserver.org/matter/dynamic-profile/view/1858286","18-1858286")</f>
        <v>0</v>
      </c>
      <c r="B4906" t="s">
        <v>94</v>
      </c>
      <c r="C4906" t="s">
        <v>257</v>
      </c>
      <c r="D4906" t="s">
        <v>579</v>
      </c>
      <c r="E4906" t="s">
        <v>498</v>
      </c>
      <c r="F4906" t="s">
        <v>1450</v>
      </c>
      <c r="G4906" t="s">
        <v>3370</v>
      </c>
      <c r="H4906" t="s">
        <v>5997</v>
      </c>
      <c r="I4906" t="s">
        <v>8898</v>
      </c>
      <c r="J4906" t="s">
        <v>9059</v>
      </c>
      <c r="K4906">
        <v>11213</v>
      </c>
      <c r="L4906" t="s">
        <v>9094</v>
      </c>
      <c r="M4906" t="s">
        <v>9095</v>
      </c>
      <c r="N4906" t="s">
        <v>9788</v>
      </c>
      <c r="O4906" t="s">
        <v>11130</v>
      </c>
      <c r="P4906" t="s">
        <v>11165</v>
      </c>
      <c r="Q4906" t="s">
        <v>11172</v>
      </c>
      <c r="R4906" t="s">
        <v>11180</v>
      </c>
      <c r="S4906" t="s">
        <v>9094</v>
      </c>
      <c r="T4906" t="s">
        <v>11183</v>
      </c>
      <c r="V4906" t="s">
        <v>755</v>
      </c>
      <c r="W4906">
        <v>1042</v>
      </c>
      <c r="X4906" t="s">
        <v>11332</v>
      </c>
      <c r="Y4906" t="s">
        <v>11339</v>
      </c>
      <c r="Z4906" t="s">
        <v>14519</v>
      </c>
      <c r="AB4906" t="s">
        <v>18838</v>
      </c>
      <c r="AC4906">
        <v>107</v>
      </c>
      <c r="AD4906" t="s">
        <v>19566</v>
      </c>
      <c r="AE4906" t="s">
        <v>9144</v>
      </c>
      <c r="AF4906">
        <v>32</v>
      </c>
      <c r="AG4906">
        <v>3</v>
      </c>
      <c r="AH4906">
        <v>1</v>
      </c>
      <c r="AI4906">
        <v>197.61</v>
      </c>
      <c r="AJ4906" t="s">
        <v>679</v>
      </c>
      <c r="AL4906" t="s">
        <v>19615</v>
      </c>
      <c r="AM4906">
        <v>49600</v>
      </c>
      <c r="AP4906" t="s">
        <v>11157</v>
      </c>
      <c r="AQ4906" t="s">
        <v>20369</v>
      </c>
      <c r="AR4906" t="s">
        <v>20463</v>
      </c>
      <c r="AS4906">
        <v>0.75</v>
      </c>
      <c r="AT4906" t="s">
        <v>426</v>
      </c>
      <c r="AU4906" t="s">
        <v>20685</v>
      </c>
    </row>
    <row r="4907" spans="1:48">
      <c r="A4907" s="1">
        <f>HYPERLINK("https://lsnyc.legalserver.org/matter/dynamic-profile/view/1904585","19-1904585")</f>
        <v>0</v>
      </c>
      <c r="B4907" t="s">
        <v>195</v>
      </c>
      <c r="C4907" t="s">
        <v>256</v>
      </c>
      <c r="D4907" t="s">
        <v>615</v>
      </c>
      <c r="F4907" t="s">
        <v>1492</v>
      </c>
      <c r="G4907" t="s">
        <v>5230</v>
      </c>
      <c r="H4907" t="s">
        <v>7829</v>
      </c>
      <c r="I4907" t="s">
        <v>8879</v>
      </c>
      <c r="J4907" t="s">
        <v>9067</v>
      </c>
      <c r="K4907">
        <v>10002</v>
      </c>
      <c r="L4907" t="s">
        <v>9094</v>
      </c>
      <c r="M4907" t="s">
        <v>9095</v>
      </c>
      <c r="O4907" t="s">
        <v>11136</v>
      </c>
      <c r="P4907" t="s">
        <v>11167</v>
      </c>
      <c r="R4907" t="s">
        <v>11180</v>
      </c>
      <c r="T4907" t="s">
        <v>11183</v>
      </c>
      <c r="W4907">
        <v>1035.79</v>
      </c>
      <c r="X4907" t="s">
        <v>11335</v>
      </c>
      <c r="Y4907" t="s">
        <v>11339</v>
      </c>
      <c r="Z4907" t="s">
        <v>14520</v>
      </c>
      <c r="AB4907" t="s">
        <v>18839</v>
      </c>
      <c r="AC4907">
        <v>0</v>
      </c>
      <c r="AD4907" t="s">
        <v>15441</v>
      </c>
      <c r="AF4907">
        <v>3</v>
      </c>
      <c r="AG4907">
        <v>1</v>
      </c>
      <c r="AH4907">
        <v>1</v>
      </c>
      <c r="AI4907">
        <v>197.68</v>
      </c>
      <c r="AL4907" t="s">
        <v>19615</v>
      </c>
      <c r="AM4907">
        <v>33428</v>
      </c>
      <c r="AS4907">
        <v>2.35</v>
      </c>
      <c r="AT4907" t="s">
        <v>410</v>
      </c>
      <c r="AU4907" t="s">
        <v>20655</v>
      </c>
      <c r="AV4907" t="s">
        <v>20733</v>
      </c>
    </row>
    <row r="4908" spans="1:48">
      <c r="A4908" s="1">
        <f>HYPERLINK("https://lsnyc.legalserver.org/matter/dynamic-profile/view/1867103","18-1867103")</f>
        <v>0</v>
      </c>
      <c r="B4908" t="s">
        <v>78</v>
      </c>
      <c r="C4908" t="s">
        <v>256</v>
      </c>
      <c r="D4908" t="s">
        <v>272</v>
      </c>
      <c r="F4908" t="s">
        <v>1266</v>
      </c>
      <c r="G4908" t="s">
        <v>5231</v>
      </c>
      <c r="H4908" t="s">
        <v>5809</v>
      </c>
      <c r="I4908" t="s">
        <v>8537</v>
      </c>
      <c r="J4908" t="s">
        <v>9059</v>
      </c>
      <c r="K4908">
        <v>11212</v>
      </c>
      <c r="L4908" t="s">
        <v>9094</v>
      </c>
      <c r="M4908" t="s">
        <v>9095</v>
      </c>
      <c r="O4908" t="s">
        <v>11137</v>
      </c>
      <c r="P4908" t="s">
        <v>11168</v>
      </c>
      <c r="R4908" t="s">
        <v>11180</v>
      </c>
      <c r="S4908" t="s">
        <v>9094</v>
      </c>
      <c r="T4908" t="s">
        <v>11183</v>
      </c>
      <c r="V4908" t="s">
        <v>673</v>
      </c>
      <c r="W4908">
        <v>920.21</v>
      </c>
      <c r="X4908" t="s">
        <v>11332</v>
      </c>
      <c r="Y4908" t="s">
        <v>11157</v>
      </c>
      <c r="Z4908" t="s">
        <v>14263</v>
      </c>
      <c r="AB4908" t="s">
        <v>18840</v>
      </c>
      <c r="AC4908">
        <v>32</v>
      </c>
      <c r="AD4908" t="s">
        <v>19566</v>
      </c>
      <c r="AE4908" t="s">
        <v>9144</v>
      </c>
      <c r="AF4908">
        <v>18</v>
      </c>
      <c r="AG4908">
        <v>1</v>
      </c>
      <c r="AH4908">
        <v>0</v>
      </c>
      <c r="AI4908">
        <v>197.69</v>
      </c>
      <c r="AL4908" t="s">
        <v>19614</v>
      </c>
      <c r="AM4908">
        <v>24000</v>
      </c>
      <c r="AS4908">
        <v>0</v>
      </c>
      <c r="AU4908" t="s">
        <v>95</v>
      </c>
    </row>
    <row r="4909" spans="1:48">
      <c r="A4909" s="1">
        <f>HYPERLINK("https://lsnyc.legalserver.org/matter/dynamic-profile/view/1872376","18-1872376")</f>
        <v>0</v>
      </c>
      <c r="B4909" t="s">
        <v>78</v>
      </c>
      <c r="C4909" t="s">
        <v>256</v>
      </c>
      <c r="D4909" t="s">
        <v>620</v>
      </c>
      <c r="F4909" t="s">
        <v>1270</v>
      </c>
      <c r="G4909" t="s">
        <v>5232</v>
      </c>
      <c r="H4909" t="s">
        <v>6453</v>
      </c>
      <c r="I4909" t="s">
        <v>8266</v>
      </c>
      <c r="J4909" t="s">
        <v>9059</v>
      </c>
      <c r="K4909">
        <v>11206</v>
      </c>
      <c r="L4909" t="s">
        <v>9094</v>
      </c>
      <c r="M4909" t="s">
        <v>9095</v>
      </c>
      <c r="N4909" t="s">
        <v>9972</v>
      </c>
      <c r="O4909" t="s">
        <v>11134</v>
      </c>
      <c r="P4909" t="s">
        <v>11168</v>
      </c>
      <c r="R4909" t="s">
        <v>11180</v>
      </c>
      <c r="S4909" t="s">
        <v>9094</v>
      </c>
      <c r="T4909" t="s">
        <v>11183</v>
      </c>
      <c r="V4909" t="s">
        <v>11253</v>
      </c>
      <c r="W4909">
        <v>1157.82</v>
      </c>
      <c r="X4909" t="s">
        <v>11332</v>
      </c>
      <c r="Y4909" t="s">
        <v>11346</v>
      </c>
      <c r="Z4909" t="s">
        <v>14521</v>
      </c>
      <c r="AB4909" t="s">
        <v>18841</v>
      </c>
      <c r="AC4909">
        <v>25</v>
      </c>
      <c r="AD4909" t="s">
        <v>19570</v>
      </c>
      <c r="AE4909" t="s">
        <v>9144</v>
      </c>
      <c r="AF4909">
        <v>25</v>
      </c>
      <c r="AG4909">
        <v>1</v>
      </c>
      <c r="AH4909">
        <v>0</v>
      </c>
      <c r="AI4909">
        <v>197.69</v>
      </c>
      <c r="AL4909" t="s">
        <v>19614</v>
      </c>
      <c r="AM4909">
        <v>24000</v>
      </c>
      <c r="AS4909">
        <v>7.5</v>
      </c>
      <c r="AT4909" t="s">
        <v>473</v>
      </c>
      <c r="AU4909" t="s">
        <v>20637</v>
      </c>
    </row>
    <row r="4910" spans="1:48">
      <c r="A4910" s="1">
        <f>HYPERLINK("https://lsnyc.legalserver.org/matter/dynamic-profile/view/1871016","18-1871016")</f>
        <v>0</v>
      </c>
      <c r="B4910" t="s">
        <v>114</v>
      </c>
      <c r="C4910" t="s">
        <v>256</v>
      </c>
      <c r="D4910" t="s">
        <v>715</v>
      </c>
      <c r="F4910" t="s">
        <v>1375</v>
      </c>
      <c r="G4910" t="s">
        <v>2348</v>
      </c>
      <c r="H4910" t="s">
        <v>7460</v>
      </c>
      <c r="I4910" t="s">
        <v>8899</v>
      </c>
      <c r="J4910" t="s">
        <v>9065</v>
      </c>
      <c r="K4910">
        <v>10460</v>
      </c>
      <c r="L4910" t="s">
        <v>9094</v>
      </c>
      <c r="M4910" t="s">
        <v>9095</v>
      </c>
      <c r="N4910" t="s">
        <v>10865</v>
      </c>
      <c r="O4910" t="s">
        <v>11129</v>
      </c>
      <c r="P4910" t="s">
        <v>11165</v>
      </c>
      <c r="R4910" t="s">
        <v>11180</v>
      </c>
      <c r="T4910" t="s">
        <v>11183</v>
      </c>
      <c r="U4910" t="s">
        <v>11201</v>
      </c>
      <c r="V4910" t="s">
        <v>808</v>
      </c>
      <c r="W4910">
        <v>1250</v>
      </c>
      <c r="X4910" t="s">
        <v>11333</v>
      </c>
      <c r="Y4910" t="s">
        <v>11157</v>
      </c>
      <c r="Z4910" t="s">
        <v>14522</v>
      </c>
      <c r="AB4910" t="s">
        <v>18842</v>
      </c>
      <c r="AC4910">
        <v>25</v>
      </c>
      <c r="AD4910" t="s">
        <v>19566</v>
      </c>
      <c r="AE4910" t="s">
        <v>9144</v>
      </c>
      <c r="AF4910">
        <v>4</v>
      </c>
      <c r="AG4910">
        <v>1</v>
      </c>
      <c r="AH4910">
        <v>0</v>
      </c>
      <c r="AI4910">
        <v>197.69</v>
      </c>
      <c r="AL4910" t="s">
        <v>19614</v>
      </c>
      <c r="AM4910">
        <v>24000</v>
      </c>
      <c r="AS4910">
        <v>49.2</v>
      </c>
      <c r="AT4910" t="s">
        <v>988</v>
      </c>
      <c r="AU4910" t="s">
        <v>20623</v>
      </c>
    </row>
    <row r="4911" spans="1:48">
      <c r="A4911" s="1">
        <f>HYPERLINK("https://lsnyc.legalserver.org/matter/dynamic-profile/view/1882836","18-1882836")</f>
        <v>0</v>
      </c>
      <c r="B4911" t="s">
        <v>106</v>
      </c>
      <c r="C4911" t="s">
        <v>257</v>
      </c>
      <c r="D4911" t="s">
        <v>831</v>
      </c>
      <c r="E4911" t="s">
        <v>429</v>
      </c>
      <c r="F4911" t="s">
        <v>1209</v>
      </c>
      <c r="G4911" t="s">
        <v>3220</v>
      </c>
      <c r="H4911" t="s">
        <v>6624</v>
      </c>
      <c r="I4911" t="s">
        <v>8463</v>
      </c>
      <c r="J4911" t="s">
        <v>9065</v>
      </c>
      <c r="K4911">
        <v>10458</v>
      </c>
      <c r="L4911" t="s">
        <v>9094</v>
      </c>
      <c r="M4911" t="s">
        <v>9094</v>
      </c>
      <c r="N4911" t="s">
        <v>9825</v>
      </c>
      <c r="O4911" t="s">
        <v>11130</v>
      </c>
      <c r="P4911" t="s">
        <v>11165</v>
      </c>
      <c r="Q4911" t="s">
        <v>11179</v>
      </c>
      <c r="R4911" t="s">
        <v>11180</v>
      </c>
      <c r="S4911" t="s">
        <v>9094</v>
      </c>
      <c r="T4911" t="s">
        <v>11183</v>
      </c>
      <c r="V4911" t="s">
        <v>11218</v>
      </c>
      <c r="W4911">
        <v>1129.54</v>
      </c>
      <c r="X4911" t="s">
        <v>11333</v>
      </c>
      <c r="Y4911" t="s">
        <v>11346</v>
      </c>
      <c r="Z4911" t="s">
        <v>14041</v>
      </c>
      <c r="AB4911" t="s">
        <v>18366</v>
      </c>
      <c r="AC4911">
        <v>0</v>
      </c>
      <c r="AD4911" t="s">
        <v>19566</v>
      </c>
      <c r="AE4911" t="s">
        <v>9144</v>
      </c>
      <c r="AF4911">
        <v>4</v>
      </c>
      <c r="AG4911">
        <v>1</v>
      </c>
      <c r="AH4911">
        <v>0</v>
      </c>
      <c r="AI4911">
        <v>197.69</v>
      </c>
      <c r="AL4911" t="s">
        <v>19614</v>
      </c>
      <c r="AM4911">
        <v>24000</v>
      </c>
      <c r="AS4911">
        <v>1.8</v>
      </c>
      <c r="AT4911" t="s">
        <v>429</v>
      </c>
      <c r="AU4911" t="s">
        <v>163</v>
      </c>
      <c r="AV4911" t="s">
        <v>20733</v>
      </c>
    </row>
    <row r="4912" spans="1:48">
      <c r="A4912" s="1">
        <f>HYPERLINK("https://lsnyc.legalserver.org/matter/dynamic-profile/view/1900672","19-1900672")</f>
        <v>0</v>
      </c>
      <c r="B4912" t="s">
        <v>76</v>
      </c>
      <c r="C4912" t="s">
        <v>256</v>
      </c>
      <c r="D4912" t="s">
        <v>283</v>
      </c>
      <c r="F4912" t="s">
        <v>1280</v>
      </c>
      <c r="G4912" t="s">
        <v>5233</v>
      </c>
      <c r="H4912" t="s">
        <v>6621</v>
      </c>
      <c r="I4912">
        <v>24</v>
      </c>
      <c r="J4912" t="s">
        <v>9059</v>
      </c>
      <c r="K4912">
        <v>11213</v>
      </c>
      <c r="L4912" t="s">
        <v>9094</v>
      </c>
      <c r="M4912" t="s">
        <v>9095</v>
      </c>
      <c r="N4912" t="s">
        <v>9144</v>
      </c>
      <c r="O4912" t="s">
        <v>9121</v>
      </c>
      <c r="P4912" t="s">
        <v>11167</v>
      </c>
      <c r="R4912" t="s">
        <v>11180</v>
      </c>
      <c r="S4912" t="s">
        <v>9094</v>
      </c>
      <c r="T4912" t="s">
        <v>11183</v>
      </c>
      <c r="U4912" t="s">
        <v>11201</v>
      </c>
      <c r="V4912" t="s">
        <v>291</v>
      </c>
      <c r="W4912">
        <v>917</v>
      </c>
      <c r="X4912" t="s">
        <v>11332</v>
      </c>
      <c r="Y4912" t="s">
        <v>11346</v>
      </c>
      <c r="Z4912" t="s">
        <v>14523</v>
      </c>
      <c r="AB4912" t="s">
        <v>18843</v>
      </c>
      <c r="AC4912">
        <v>31</v>
      </c>
      <c r="AD4912" t="s">
        <v>19566</v>
      </c>
      <c r="AE4912" t="s">
        <v>9144</v>
      </c>
      <c r="AF4912">
        <v>18</v>
      </c>
      <c r="AG4912">
        <v>3</v>
      </c>
      <c r="AH4912">
        <v>0</v>
      </c>
      <c r="AI4912">
        <v>197.84</v>
      </c>
      <c r="AL4912" t="s">
        <v>19614</v>
      </c>
      <c r="AM4912">
        <v>42200</v>
      </c>
      <c r="AN4912" t="s">
        <v>20058</v>
      </c>
      <c r="AS4912">
        <v>0.3</v>
      </c>
      <c r="AT4912" t="s">
        <v>338</v>
      </c>
      <c r="AU4912" t="s">
        <v>95</v>
      </c>
      <c r="AV4912" t="s">
        <v>20733</v>
      </c>
    </row>
    <row r="4913" spans="1:48">
      <c r="A4913" s="1">
        <f>HYPERLINK("https://lsnyc.legalserver.org/matter/dynamic-profile/view/1892748","19-1892748")</f>
        <v>0</v>
      </c>
      <c r="B4913" t="s">
        <v>101</v>
      </c>
      <c r="C4913" t="s">
        <v>256</v>
      </c>
      <c r="D4913" t="s">
        <v>553</v>
      </c>
      <c r="F4913" t="s">
        <v>2949</v>
      </c>
      <c r="G4913" t="s">
        <v>5234</v>
      </c>
      <c r="H4913" t="s">
        <v>7830</v>
      </c>
      <c r="I4913">
        <v>2</v>
      </c>
      <c r="J4913" t="s">
        <v>9065</v>
      </c>
      <c r="K4913">
        <v>10459</v>
      </c>
      <c r="L4913" t="s">
        <v>9094</v>
      </c>
      <c r="M4913" t="s">
        <v>9094</v>
      </c>
      <c r="N4913" t="s">
        <v>10866</v>
      </c>
      <c r="O4913" t="s">
        <v>11128</v>
      </c>
      <c r="P4913" t="s">
        <v>11164</v>
      </c>
      <c r="R4913" t="s">
        <v>11180</v>
      </c>
      <c r="S4913" t="s">
        <v>9096</v>
      </c>
      <c r="T4913" t="s">
        <v>11183</v>
      </c>
      <c r="V4913" t="s">
        <v>553</v>
      </c>
      <c r="W4913">
        <v>750</v>
      </c>
      <c r="X4913" t="s">
        <v>11333</v>
      </c>
      <c r="Z4913" t="s">
        <v>14524</v>
      </c>
      <c r="AB4913" t="s">
        <v>18844</v>
      </c>
      <c r="AC4913">
        <v>0</v>
      </c>
      <c r="AF4913">
        <v>0</v>
      </c>
      <c r="AG4913">
        <v>2</v>
      </c>
      <c r="AH4913">
        <v>0</v>
      </c>
      <c r="AI4913">
        <v>197.85</v>
      </c>
      <c r="AL4913" t="s">
        <v>19614</v>
      </c>
      <c r="AM4913">
        <v>33456</v>
      </c>
      <c r="AN4913" t="s">
        <v>20059</v>
      </c>
      <c r="AS4913">
        <v>0</v>
      </c>
      <c r="AU4913" t="s">
        <v>20671</v>
      </c>
      <c r="AV4913" t="s">
        <v>20733</v>
      </c>
    </row>
    <row r="4914" spans="1:48">
      <c r="A4914" s="1">
        <f>HYPERLINK("https://lsnyc.legalserver.org/matter/dynamic-profile/view/1881696","18-1881696")</f>
        <v>0</v>
      </c>
      <c r="B4914" t="s">
        <v>72</v>
      </c>
      <c r="C4914" t="s">
        <v>257</v>
      </c>
      <c r="D4914" t="s">
        <v>440</v>
      </c>
      <c r="E4914" t="s">
        <v>457</v>
      </c>
      <c r="F4914" t="s">
        <v>2936</v>
      </c>
      <c r="G4914" t="s">
        <v>4630</v>
      </c>
      <c r="H4914" t="s">
        <v>7810</v>
      </c>
      <c r="I4914">
        <v>1</v>
      </c>
      <c r="J4914" t="s">
        <v>9059</v>
      </c>
      <c r="K4914">
        <v>11203</v>
      </c>
      <c r="L4914" t="s">
        <v>9094</v>
      </c>
      <c r="M4914" t="s">
        <v>9094</v>
      </c>
      <c r="N4914" t="s">
        <v>10848</v>
      </c>
      <c r="O4914" t="s">
        <v>11129</v>
      </c>
      <c r="P4914" t="s">
        <v>11165</v>
      </c>
      <c r="Q4914" t="s">
        <v>11178</v>
      </c>
      <c r="R4914" t="s">
        <v>11180</v>
      </c>
      <c r="T4914" t="s">
        <v>11183</v>
      </c>
      <c r="V4914" t="s">
        <v>784</v>
      </c>
      <c r="W4914">
        <v>1829</v>
      </c>
      <c r="X4914" t="s">
        <v>11332</v>
      </c>
      <c r="Y4914" t="s">
        <v>11336</v>
      </c>
      <c r="Z4914" t="s">
        <v>14484</v>
      </c>
      <c r="AB4914" t="s">
        <v>18808</v>
      </c>
      <c r="AC4914">
        <v>0</v>
      </c>
      <c r="AE4914" t="s">
        <v>19580</v>
      </c>
      <c r="AF4914">
        <v>9</v>
      </c>
      <c r="AG4914">
        <v>3</v>
      </c>
      <c r="AH4914">
        <v>0</v>
      </c>
      <c r="AI4914">
        <v>198.05</v>
      </c>
      <c r="AL4914" t="s">
        <v>19614</v>
      </c>
      <c r="AM4914">
        <v>41154.28</v>
      </c>
      <c r="AS4914">
        <v>10.75</v>
      </c>
      <c r="AT4914" t="s">
        <v>738</v>
      </c>
      <c r="AU4914" t="s">
        <v>20625</v>
      </c>
      <c r="AV4914" t="s">
        <v>20733</v>
      </c>
    </row>
    <row r="4915" spans="1:48">
      <c r="A4915" s="1">
        <f>HYPERLINK("https://lsnyc.legalserver.org/matter/dynamic-profile/view/1879223","18-1879223")</f>
        <v>0</v>
      </c>
      <c r="B4915" t="s">
        <v>83</v>
      </c>
      <c r="C4915" t="s">
        <v>256</v>
      </c>
      <c r="D4915" t="s">
        <v>572</v>
      </c>
      <c r="F4915" t="s">
        <v>1370</v>
      </c>
      <c r="G4915" t="s">
        <v>3398</v>
      </c>
      <c r="H4915" t="s">
        <v>6684</v>
      </c>
      <c r="I4915" t="s">
        <v>8119</v>
      </c>
      <c r="J4915" t="s">
        <v>9059</v>
      </c>
      <c r="K4915">
        <v>11226</v>
      </c>
      <c r="L4915" t="s">
        <v>9094</v>
      </c>
      <c r="M4915" t="s">
        <v>9094</v>
      </c>
      <c r="O4915" t="s">
        <v>11129</v>
      </c>
      <c r="P4915" t="s">
        <v>11165</v>
      </c>
      <c r="R4915" t="s">
        <v>11180</v>
      </c>
      <c r="T4915" t="s">
        <v>11183</v>
      </c>
      <c r="V4915" t="s">
        <v>697</v>
      </c>
      <c r="W4915">
        <v>0</v>
      </c>
      <c r="X4915" t="s">
        <v>11332</v>
      </c>
      <c r="Z4915" t="s">
        <v>14525</v>
      </c>
      <c r="AB4915" t="s">
        <v>18845</v>
      </c>
      <c r="AC4915">
        <v>0</v>
      </c>
      <c r="AF4915">
        <v>0</v>
      </c>
      <c r="AG4915">
        <v>4</v>
      </c>
      <c r="AH4915">
        <v>1</v>
      </c>
      <c r="AI4915">
        <v>198.25</v>
      </c>
      <c r="AL4915" t="s">
        <v>19614</v>
      </c>
      <c r="AM4915">
        <v>58324</v>
      </c>
      <c r="AS4915">
        <v>81.55</v>
      </c>
      <c r="AT4915" t="s">
        <v>584</v>
      </c>
      <c r="AU4915" t="s">
        <v>67</v>
      </c>
    </row>
    <row r="4916" spans="1:48">
      <c r="A4916" s="1">
        <f>HYPERLINK("https://lsnyc.legalserver.org/matter/dynamic-profile/view/1847881","17-1847881")</f>
        <v>0</v>
      </c>
      <c r="B4916" t="s">
        <v>111</v>
      </c>
      <c r="C4916" t="s">
        <v>256</v>
      </c>
      <c r="D4916" t="s">
        <v>409</v>
      </c>
      <c r="F4916" t="s">
        <v>2950</v>
      </c>
      <c r="G4916" t="s">
        <v>5235</v>
      </c>
      <c r="H4916" t="s">
        <v>7831</v>
      </c>
      <c r="I4916" t="s">
        <v>8209</v>
      </c>
      <c r="J4916" t="s">
        <v>9065</v>
      </c>
      <c r="K4916">
        <v>10471</v>
      </c>
      <c r="L4916" t="s">
        <v>9094</v>
      </c>
      <c r="M4916" t="s">
        <v>9095</v>
      </c>
      <c r="N4916" t="s">
        <v>10867</v>
      </c>
      <c r="O4916" t="s">
        <v>11129</v>
      </c>
      <c r="P4916" t="s">
        <v>11165</v>
      </c>
      <c r="R4916" t="s">
        <v>11181</v>
      </c>
      <c r="S4916" t="s">
        <v>9096</v>
      </c>
      <c r="T4916" t="s">
        <v>11183</v>
      </c>
      <c r="V4916" t="s">
        <v>11232</v>
      </c>
      <c r="W4916">
        <v>1525</v>
      </c>
      <c r="X4916" t="s">
        <v>11333</v>
      </c>
      <c r="Y4916" t="s">
        <v>11337</v>
      </c>
      <c r="Z4916" t="s">
        <v>14526</v>
      </c>
      <c r="AB4916" t="s">
        <v>18846</v>
      </c>
      <c r="AC4916">
        <v>89</v>
      </c>
      <c r="AD4916" t="s">
        <v>19566</v>
      </c>
      <c r="AE4916" t="s">
        <v>9144</v>
      </c>
      <c r="AF4916">
        <v>2</v>
      </c>
      <c r="AG4916">
        <v>3</v>
      </c>
      <c r="AH4916">
        <v>0</v>
      </c>
      <c r="AI4916">
        <v>198.33</v>
      </c>
      <c r="AJ4916" t="s">
        <v>19591</v>
      </c>
      <c r="AK4916" t="s">
        <v>19608</v>
      </c>
      <c r="AL4916" t="s">
        <v>19614</v>
      </c>
      <c r="AM4916">
        <v>40500</v>
      </c>
      <c r="AS4916">
        <v>338.4</v>
      </c>
      <c r="AT4916" t="s">
        <v>370</v>
      </c>
      <c r="AU4916" t="s">
        <v>228</v>
      </c>
    </row>
    <row r="4917" spans="1:48">
      <c r="A4917" s="1">
        <f>HYPERLINK("https://lsnyc.legalserver.org/matter/dynamic-profile/view/0822001","16-0822001")</f>
        <v>0</v>
      </c>
      <c r="B4917" t="s">
        <v>103</v>
      </c>
      <c r="C4917" t="s">
        <v>256</v>
      </c>
      <c r="D4917" t="s">
        <v>463</v>
      </c>
      <c r="F4917" t="s">
        <v>2355</v>
      </c>
      <c r="G4917" t="s">
        <v>3448</v>
      </c>
      <c r="H4917" t="s">
        <v>5899</v>
      </c>
      <c r="I4917" t="s">
        <v>8225</v>
      </c>
      <c r="J4917" t="s">
        <v>9065</v>
      </c>
      <c r="K4917">
        <v>10452</v>
      </c>
      <c r="L4917" t="s">
        <v>9094</v>
      </c>
      <c r="M4917" t="s">
        <v>9095</v>
      </c>
      <c r="O4917" t="s">
        <v>11135</v>
      </c>
      <c r="P4917" t="s">
        <v>11168</v>
      </c>
      <c r="R4917" t="s">
        <v>11180</v>
      </c>
      <c r="S4917" t="s">
        <v>9094</v>
      </c>
      <c r="T4917" t="s">
        <v>11183</v>
      </c>
      <c r="V4917" t="s">
        <v>463</v>
      </c>
      <c r="W4917">
        <v>778.01</v>
      </c>
      <c r="X4917" t="s">
        <v>11333</v>
      </c>
      <c r="Y4917" t="s">
        <v>11346</v>
      </c>
      <c r="Z4917" t="s">
        <v>12175</v>
      </c>
      <c r="AB4917" t="s">
        <v>18454</v>
      </c>
      <c r="AC4917">
        <v>63</v>
      </c>
      <c r="AD4917" t="s">
        <v>19566</v>
      </c>
      <c r="AE4917" t="s">
        <v>9144</v>
      </c>
      <c r="AF4917">
        <v>12</v>
      </c>
      <c r="AG4917">
        <v>2</v>
      </c>
      <c r="AH4917">
        <v>0</v>
      </c>
      <c r="AI4917">
        <v>198.33</v>
      </c>
      <c r="AL4917" t="s">
        <v>19615</v>
      </c>
      <c r="AM4917">
        <v>31772</v>
      </c>
      <c r="AS4917">
        <v>0</v>
      </c>
      <c r="AU4917" t="s">
        <v>20643</v>
      </c>
    </row>
    <row r="4918" spans="1:48">
      <c r="A4918" s="1">
        <f>HYPERLINK("https://lsnyc.legalserver.org/matter/dynamic-profile/view/1896360","19-1896360")</f>
        <v>0</v>
      </c>
      <c r="B4918" t="s">
        <v>94</v>
      </c>
      <c r="C4918" t="s">
        <v>257</v>
      </c>
      <c r="D4918" t="s">
        <v>350</v>
      </c>
      <c r="E4918" t="s">
        <v>328</v>
      </c>
      <c r="F4918" t="s">
        <v>2951</v>
      </c>
      <c r="G4918" t="s">
        <v>3974</v>
      </c>
      <c r="H4918" t="s">
        <v>7832</v>
      </c>
      <c r="I4918" t="s">
        <v>8564</v>
      </c>
      <c r="J4918" t="s">
        <v>9059</v>
      </c>
      <c r="K4918">
        <v>11212</v>
      </c>
      <c r="L4918" t="s">
        <v>9094</v>
      </c>
      <c r="M4918" t="s">
        <v>9096</v>
      </c>
      <c r="N4918" t="s">
        <v>10868</v>
      </c>
      <c r="O4918" t="s">
        <v>11128</v>
      </c>
      <c r="P4918" t="s">
        <v>11167</v>
      </c>
      <c r="Q4918" t="s">
        <v>11173</v>
      </c>
      <c r="R4918" t="s">
        <v>11180</v>
      </c>
      <c r="S4918" t="s">
        <v>9096</v>
      </c>
      <c r="T4918" t="s">
        <v>11183</v>
      </c>
      <c r="U4918" t="s">
        <v>11201</v>
      </c>
      <c r="V4918" t="s">
        <v>700</v>
      </c>
      <c r="W4918">
        <v>2100</v>
      </c>
      <c r="X4918" t="s">
        <v>11332</v>
      </c>
      <c r="Z4918" t="s">
        <v>11738</v>
      </c>
      <c r="AB4918" t="s">
        <v>18847</v>
      </c>
      <c r="AC4918">
        <v>2</v>
      </c>
      <c r="AD4918" t="s">
        <v>19565</v>
      </c>
      <c r="AE4918" t="s">
        <v>9144</v>
      </c>
      <c r="AF4918">
        <v>5</v>
      </c>
      <c r="AG4918">
        <v>3</v>
      </c>
      <c r="AH4918">
        <v>2</v>
      </c>
      <c r="AI4918">
        <v>198.61</v>
      </c>
      <c r="AL4918" t="s">
        <v>19614</v>
      </c>
      <c r="AM4918">
        <v>59920</v>
      </c>
      <c r="AN4918" t="s">
        <v>20060</v>
      </c>
      <c r="AP4918" t="s">
        <v>11157</v>
      </c>
      <c r="AQ4918" t="s">
        <v>20368</v>
      </c>
      <c r="AR4918" t="s">
        <v>20462</v>
      </c>
      <c r="AS4918">
        <v>3.2</v>
      </c>
      <c r="AT4918" t="s">
        <v>328</v>
      </c>
      <c r="AU4918" t="s">
        <v>20660</v>
      </c>
      <c r="AV4918" t="s">
        <v>20733</v>
      </c>
    </row>
    <row r="4919" spans="1:48">
      <c r="A4919" s="1">
        <f>HYPERLINK("https://lsnyc.legalserver.org/matter/dynamic-profile/view/1913235","19-1913235")</f>
        <v>0</v>
      </c>
      <c r="B4919" t="s">
        <v>71</v>
      </c>
      <c r="C4919" t="s">
        <v>256</v>
      </c>
      <c r="D4919" t="s">
        <v>1063</v>
      </c>
      <c r="F4919" t="s">
        <v>2952</v>
      </c>
      <c r="G4919" t="s">
        <v>5236</v>
      </c>
      <c r="H4919" t="s">
        <v>6525</v>
      </c>
      <c r="I4919" t="s">
        <v>8264</v>
      </c>
      <c r="J4919" t="s">
        <v>9059</v>
      </c>
      <c r="K4919">
        <v>11239</v>
      </c>
      <c r="L4919" t="s">
        <v>9094</v>
      </c>
      <c r="M4919" t="s">
        <v>9095</v>
      </c>
      <c r="N4919" t="s">
        <v>10869</v>
      </c>
      <c r="O4919" t="s">
        <v>11129</v>
      </c>
      <c r="P4919" t="s">
        <v>11165</v>
      </c>
      <c r="R4919" t="s">
        <v>11180</v>
      </c>
      <c r="S4919" t="s">
        <v>9096</v>
      </c>
      <c r="T4919" t="s">
        <v>11183</v>
      </c>
      <c r="U4919" t="s">
        <v>11201</v>
      </c>
      <c r="V4919" t="s">
        <v>286</v>
      </c>
      <c r="W4919">
        <v>1200</v>
      </c>
      <c r="X4919" t="s">
        <v>11332</v>
      </c>
      <c r="Y4919" t="s">
        <v>11345</v>
      </c>
      <c r="Z4919" t="s">
        <v>14527</v>
      </c>
      <c r="AA4919" t="s">
        <v>9171</v>
      </c>
      <c r="AB4919" t="s">
        <v>18848</v>
      </c>
      <c r="AC4919">
        <v>1092</v>
      </c>
      <c r="AD4919" t="s">
        <v>19567</v>
      </c>
      <c r="AE4919" t="s">
        <v>19580</v>
      </c>
      <c r="AF4919">
        <v>22</v>
      </c>
      <c r="AG4919">
        <v>2</v>
      </c>
      <c r="AH4919">
        <v>0</v>
      </c>
      <c r="AI4919">
        <v>198.7</v>
      </c>
      <c r="AL4919" t="s">
        <v>19614</v>
      </c>
      <c r="AM4919">
        <v>33600</v>
      </c>
      <c r="AS4919">
        <v>2</v>
      </c>
      <c r="AT4919" t="s">
        <v>521</v>
      </c>
      <c r="AU4919" t="s">
        <v>95</v>
      </c>
      <c r="AV4919" t="s">
        <v>20733</v>
      </c>
    </row>
    <row r="4920" spans="1:48">
      <c r="A4920" s="1">
        <f>HYPERLINK("https://lsnyc.legalserver.org/matter/dynamic-profile/view/1912988","19-1912988")</f>
        <v>0</v>
      </c>
      <c r="B4920" t="s">
        <v>90</v>
      </c>
      <c r="C4920" t="s">
        <v>256</v>
      </c>
      <c r="D4920" t="s">
        <v>294</v>
      </c>
      <c r="F4920" t="s">
        <v>1491</v>
      </c>
      <c r="G4920" t="s">
        <v>3720</v>
      </c>
      <c r="H4920" t="s">
        <v>7833</v>
      </c>
      <c r="I4920">
        <v>1</v>
      </c>
      <c r="J4920" t="s">
        <v>9059</v>
      </c>
      <c r="K4920">
        <v>11208</v>
      </c>
      <c r="L4920" t="s">
        <v>9094</v>
      </c>
      <c r="M4920" t="s">
        <v>9095</v>
      </c>
      <c r="N4920" t="s">
        <v>9154</v>
      </c>
      <c r="O4920" t="s">
        <v>9121</v>
      </c>
      <c r="R4920" t="s">
        <v>11180</v>
      </c>
      <c r="S4920" t="s">
        <v>9096</v>
      </c>
      <c r="T4920" t="s">
        <v>11196</v>
      </c>
      <c r="U4920" t="s">
        <v>11201</v>
      </c>
      <c r="V4920" t="s">
        <v>263</v>
      </c>
      <c r="W4920">
        <v>0</v>
      </c>
      <c r="X4920" t="s">
        <v>11332</v>
      </c>
      <c r="Z4920" t="s">
        <v>13155</v>
      </c>
      <c r="AA4920" t="s">
        <v>9144</v>
      </c>
      <c r="AB4920" t="s">
        <v>18849</v>
      </c>
      <c r="AC4920">
        <v>0</v>
      </c>
      <c r="AE4920" t="s">
        <v>9144</v>
      </c>
      <c r="AF4920">
        <v>0</v>
      </c>
      <c r="AG4920">
        <v>1</v>
      </c>
      <c r="AH4920">
        <v>1</v>
      </c>
      <c r="AI4920">
        <v>198.7</v>
      </c>
      <c r="AL4920" t="s">
        <v>19615</v>
      </c>
      <c r="AM4920">
        <v>33600</v>
      </c>
      <c r="AS4920">
        <v>0</v>
      </c>
      <c r="AU4920" t="s">
        <v>95</v>
      </c>
      <c r="AV4920" t="s">
        <v>20733</v>
      </c>
    </row>
    <row r="4921" spans="1:48">
      <c r="A4921" s="1">
        <f>HYPERLINK("https://lsnyc.legalserver.org/matter/dynamic-profile/view/0797950","16-0797950")</f>
        <v>0</v>
      </c>
      <c r="B4921" t="s">
        <v>101</v>
      </c>
      <c r="C4921" t="s">
        <v>256</v>
      </c>
      <c r="D4921" t="s">
        <v>351</v>
      </c>
      <c r="F4921" t="s">
        <v>2953</v>
      </c>
      <c r="G4921" t="s">
        <v>5037</v>
      </c>
      <c r="H4921" t="s">
        <v>5890</v>
      </c>
      <c r="I4921" t="s">
        <v>8739</v>
      </c>
      <c r="J4921" t="s">
        <v>9065</v>
      </c>
      <c r="K4921">
        <v>10453</v>
      </c>
      <c r="L4921" t="s">
        <v>9094</v>
      </c>
      <c r="M4921" t="s">
        <v>9095</v>
      </c>
      <c r="N4921" t="s">
        <v>9458</v>
      </c>
      <c r="O4921" t="s">
        <v>11147</v>
      </c>
      <c r="P4921" t="s">
        <v>11165</v>
      </c>
      <c r="R4921" t="s">
        <v>11180</v>
      </c>
      <c r="S4921" t="s">
        <v>9094</v>
      </c>
      <c r="T4921" t="s">
        <v>11183</v>
      </c>
      <c r="V4921" t="s">
        <v>892</v>
      </c>
      <c r="W4921">
        <v>1200</v>
      </c>
      <c r="X4921" t="s">
        <v>11333</v>
      </c>
      <c r="Y4921" t="s">
        <v>11338</v>
      </c>
      <c r="Z4921" t="s">
        <v>14528</v>
      </c>
      <c r="AB4921" t="s">
        <v>18850</v>
      </c>
      <c r="AC4921">
        <v>46</v>
      </c>
      <c r="AD4921" t="s">
        <v>19566</v>
      </c>
      <c r="AE4921" t="s">
        <v>9144</v>
      </c>
      <c r="AF4921">
        <v>10</v>
      </c>
      <c r="AG4921">
        <v>1</v>
      </c>
      <c r="AH4921">
        <v>0</v>
      </c>
      <c r="AI4921">
        <v>198.72</v>
      </c>
      <c r="AL4921" t="s">
        <v>19614</v>
      </c>
      <c r="AM4921">
        <v>23608</v>
      </c>
      <c r="AN4921" t="s">
        <v>20061</v>
      </c>
      <c r="AS4921">
        <v>1.4</v>
      </c>
      <c r="AT4921" t="s">
        <v>577</v>
      </c>
      <c r="AU4921" t="s">
        <v>109</v>
      </c>
    </row>
    <row r="4922" spans="1:48">
      <c r="A4922" s="1">
        <f>HYPERLINK("https://lsnyc.legalserver.org/matter/dynamic-profile/view/1893491","19-1893491")</f>
        <v>0</v>
      </c>
      <c r="B4922" t="s">
        <v>129</v>
      </c>
      <c r="C4922" t="s">
        <v>257</v>
      </c>
      <c r="D4922" t="s">
        <v>360</v>
      </c>
      <c r="E4922" t="s">
        <v>271</v>
      </c>
      <c r="F4922" t="s">
        <v>1676</v>
      </c>
      <c r="G4922" t="s">
        <v>4161</v>
      </c>
      <c r="H4922" t="s">
        <v>7834</v>
      </c>
      <c r="I4922" t="s">
        <v>8900</v>
      </c>
      <c r="J4922" t="s">
        <v>9066</v>
      </c>
      <c r="K4922">
        <v>10301</v>
      </c>
      <c r="L4922" t="s">
        <v>9094</v>
      </c>
      <c r="M4922" t="s">
        <v>9096</v>
      </c>
      <c r="N4922" t="s">
        <v>10870</v>
      </c>
      <c r="O4922" t="s">
        <v>11129</v>
      </c>
      <c r="P4922" t="s">
        <v>11165</v>
      </c>
      <c r="Q4922" t="s">
        <v>11174</v>
      </c>
      <c r="R4922" t="s">
        <v>11180</v>
      </c>
      <c r="S4922" t="s">
        <v>9096</v>
      </c>
      <c r="T4922" t="s">
        <v>11183</v>
      </c>
      <c r="U4922" t="s">
        <v>11201</v>
      </c>
      <c r="V4922" t="s">
        <v>360</v>
      </c>
      <c r="W4922">
        <v>1800</v>
      </c>
      <c r="X4922" t="s">
        <v>11334</v>
      </c>
      <c r="Y4922" t="s">
        <v>11350</v>
      </c>
      <c r="Z4922" t="s">
        <v>14529</v>
      </c>
      <c r="AB4922" t="s">
        <v>18851</v>
      </c>
      <c r="AC4922">
        <v>3</v>
      </c>
      <c r="AD4922" t="s">
        <v>19565</v>
      </c>
      <c r="AE4922" t="s">
        <v>19580</v>
      </c>
      <c r="AF4922">
        <v>9</v>
      </c>
      <c r="AG4922">
        <v>2</v>
      </c>
      <c r="AH4922">
        <v>1</v>
      </c>
      <c r="AI4922">
        <v>198.78</v>
      </c>
      <c r="AL4922" t="s">
        <v>19614</v>
      </c>
      <c r="AM4922">
        <v>42400</v>
      </c>
      <c r="AO4922" t="s">
        <v>20293</v>
      </c>
      <c r="AP4922" t="s">
        <v>20309</v>
      </c>
      <c r="AQ4922" t="s">
        <v>20369</v>
      </c>
      <c r="AR4922" t="s">
        <v>20561</v>
      </c>
      <c r="AS4922">
        <v>9.699999999999999</v>
      </c>
      <c r="AT4922" t="s">
        <v>750</v>
      </c>
      <c r="AU4922" t="s">
        <v>20653</v>
      </c>
      <c r="AV4922" t="s">
        <v>20733</v>
      </c>
    </row>
    <row r="4923" spans="1:48">
      <c r="A4923" s="1">
        <f>HYPERLINK("https://lsnyc.legalserver.org/matter/dynamic-profile/view/1907847","19-1907847")</f>
        <v>0</v>
      </c>
      <c r="B4923" t="s">
        <v>174</v>
      </c>
      <c r="C4923" t="s">
        <v>256</v>
      </c>
      <c r="D4923" t="s">
        <v>779</v>
      </c>
      <c r="F4923" t="s">
        <v>1969</v>
      </c>
      <c r="G4923" t="s">
        <v>5237</v>
      </c>
      <c r="H4923" t="s">
        <v>7835</v>
      </c>
      <c r="I4923" t="s">
        <v>8901</v>
      </c>
      <c r="J4923" t="s">
        <v>9065</v>
      </c>
      <c r="K4923">
        <v>10472</v>
      </c>
      <c r="L4923" t="s">
        <v>9094</v>
      </c>
      <c r="M4923" t="s">
        <v>9095</v>
      </c>
      <c r="O4923" t="s">
        <v>9121</v>
      </c>
      <c r="P4923" t="s">
        <v>11164</v>
      </c>
      <c r="R4923" t="s">
        <v>11180</v>
      </c>
      <c r="S4923" t="s">
        <v>9096</v>
      </c>
      <c r="T4923" t="s">
        <v>11183</v>
      </c>
      <c r="V4923" t="s">
        <v>308</v>
      </c>
      <c r="W4923">
        <v>1908</v>
      </c>
      <c r="X4923" t="s">
        <v>11333</v>
      </c>
      <c r="Y4923" t="s">
        <v>11346</v>
      </c>
      <c r="Z4923" t="s">
        <v>14530</v>
      </c>
      <c r="AB4923" t="s">
        <v>18852</v>
      </c>
      <c r="AC4923">
        <v>60</v>
      </c>
      <c r="AD4923" t="s">
        <v>19566</v>
      </c>
      <c r="AE4923" t="s">
        <v>9144</v>
      </c>
      <c r="AF4923">
        <v>7</v>
      </c>
      <c r="AG4923">
        <v>2</v>
      </c>
      <c r="AH4923">
        <v>3</v>
      </c>
      <c r="AI4923">
        <v>198.87</v>
      </c>
      <c r="AL4923" t="s">
        <v>19614</v>
      </c>
      <c r="AM4923">
        <v>60000</v>
      </c>
      <c r="AS4923">
        <v>2.1</v>
      </c>
      <c r="AT4923" t="s">
        <v>664</v>
      </c>
      <c r="AU4923" t="s">
        <v>174</v>
      </c>
      <c r="AV4923" t="s">
        <v>20733</v>
      </c>
    </row>
    <row r="4924" spans="1:48">
      <c r="A4924" s="1">
        <f>HYPERLINK("https://lsnyc.legalserver.org/matter/dynamic-profile/view/1836056","17-1836056")</f>
        <v>0</v>
      </c>
      <c r="B4924" t="s">
        <v>93</v>
      </c>
      <c r="C4924" t="s">
        <v>256</v>
      </c>
      <c r="D4924" t="s">
        <v>1088</v>
      </c>
      <c r="F4924" t="s">
        <v>1266</v>
      </c>
      <c r="G4924" t="s">
        <v>5231</v>
      </c>
      <c r="H4924" t="s">
        <v>5809</v>
      </c>
      <c r="I4924" t="s">
        <v>8537</v>
      </c>
      <c r="J4924" t="s">
        <v>9059</v>
      </c>
      <c r="K4924">
        <v>11212</v>
      </c>
      <c r="L4924" t="s">
        <v>9094</v>
      </c>
      <c r="M4924" t="s">
        <v>9095</v>
      </c>
      <c r="O4924" t="s">
        <v>11135</v>
      </c>
      <c r="P4924" t="s">
        <v>11167</v>
      </c>
      <c r="R4924" t="s">
        <v>11180</v>
      </c>
      <c r="S4924" t="s">
        <v>9094</v>
      </c>
      <c r="T4924" t="s">
        <v>11183</v>
      </c>
      <c r="V4924" t="s">
        <v>1088</v>
      </c>
      <c r="W4924">
        <v>920.21</v>
      </c>
      <c r="X4924" t="s">
        <v>11332</v>
      </c>
      <c r="Y4924" t="s">
        <v>11340</v>
      </c>
      <c r="Z4924" t="s">
        <v>14263</v>
      </c>
      <c r="AB4924" t="s">
        <v>18840</v>
      </c>
      <c r="AC4924">
        <v>31</v>
      </c>
      <c r="AD4924" t="s">
        <v>19566</v>
      </c>
      <c r="AF4924">
        <v>18</v>
      </c>
      <c r="AG4924">
        <v>1</v>
      </c>
      <c r="AH4924">
        <v>0</v>
      </c>
      <c r="AI4924">
        <v>199</v>
      </c>
      <c r="AL4924" t="s">
        <v>19614</v>
      </c>
      <c r="AM4924">
        <v>24000</v>
      </c>
      <c r="AS4924">
        <v>0.1</v>
      </c>
      <c r="AT4924" t="s">
        <v>1088</v>
      </c>
      <c r="AU4924" t="s">
        <v>59</v>
      </c>
    </row>
    <row r="4925" spans="1:48">
      <c r="A4925" s="1">
        <f>HYPERLINK("https://lsnyc.legalserver.org/matter/dynamic-profile/view/0828727","17-0828727")</f>
        <v>0</v>
      </c>
      <c r="B4925" t="s">
        <v>78</v>
      </c>
      <c r="C4925" t="s">
        <v>256</v>
      </c>
      <c r="D4925" t="s">
        <v>1089</v>
      </c>
      <c r="F4925" t="s">
        <v>1266</v>
      </c>
      <c r="G4925" t="s">
        <v>5231</v>
      </c>
      <c r="H4925" t="s">
        <v>5809</v>
      </c>
      <c r="I4925" t="s">
        <v>8537</v>
      </c>
      <c r="J4925" t="s">
        <v>9059</v>
      </c>
      <c r="K4925">
        <v>11212</v>
      </c>
      <c r="L4925" t="s">
        <v>9094</v>
      </c>
      <c r="M4925" t="s">
        <v>9094</v>
      </c>
      <c r="N4925" t="s">
        <v>10189</v>
      </c>
      <c r="O4925" t="s">
        <v>9121</v>
      </c>
      <c r="P4925" t="s">
        <v>11167</v>
      </c>
      <c r="R4925" t="s">
        <v>11180</v>
      </c>
      <c r="S4925" t="s">
        <v>9094</v>
      </c>
      <c r="T4925" t="s">
        <v>11183</v>
      </c>
      <c r="V4925" t="s">
        <v>1087</v>
      </c>
      <c r="W4925">
        <v>920.21</v>
      </c>
      <c r="X4925" t="s">
        <v>11332</v>
      </c>
      <c r="Y4925" t="s">
        <v>11157</v>
      </c>
      <c r="Z4925" t="s">
        <v>14263</v>
      </c>
      <c r="AB4925" t="s">
        <v>18840</v>
      </c>
      <c r="AC4925">
        <v>32</v>
      </c>
      <c r="AD4925" t="s">
        <v>19566</v>
      </c>
      <c r="AE4925" t="s">
        <v>9144</v>
      </c>
      <c r="AF4925">
        <v>18</v>
      </c>
      <c r="AG4925">
        <v>1</v>
      </c>
      <c r="AH4925">
        <v>0</v>
      </c>
      <c r="AI4925">
        <v>199</v>
      </c>
      <c r="AL4925" t="s">
        <v>19614</v>
      </c>
      <c r="AM4925">
        <v>24000</v>
      </c>
      <c r="AN4925" t="s">
        <v>19665</v>
      </c>
      <c r="AS4925">
        <v>0.25</v>
      </c>
      <c r="AT4925" t="s">
        <v>778</v>
      </c>
      <c r="AU4925" t="s">
        <v>78</v>
      </c>
    </row>
    <row r="4926" spans="1:48">
      <c r="A4926" s="1">
        <f>HYPERLINK("https://lsnyc.legalserver.org/matter/dynamic-profile/view/1856573","18-1856573")</f>
        <v>0</v>
      </c>
      <c r="B4926" t="s">
        <v>78</v>
      </c>
      <c r="C4926" t="s">
        <v>256</v>
      </c>
      <c r="D4926" t="s">
        <v>812</v>
      </c>
      <c r="F4926" t="s">
        <v>1270</v>
      </c>
      <c r="G4926" t="s">
        <v>5232</v>
      </c>
      <c r="H4926" t="s">
        <v>6453</v>
      </c>
      <c r="I4926" t="s">
        <v>8266</v>
      </c>
      <c r="J4926" t="s">
        <v>9059</v>
      </c>
      <c r="K4926">
        <v>11206</v>
      </c>
      <c r="L4926" t="s">
        <v>9094</v>
      </c>
      <c r="M4926" t="s">
        <v>9095</v>
      </c>
      <c r="N4926" t="s">
        <v>10871</v>
      </c>
      <c r="O4926" t="s">
        <v>11130</v>
      </c>
      <c r="P4926" t="s">
        <v>11165</v>
      </c>
      <c r="R4926" t="s">
        <v>11180</v>
      </c>
      <c r="S4926" t="s">
        <v>9094</v>
      </c>
      <c r="T4926" t="s">
        <v>11183</v>
      </c>
      <c r="V4926" t="s">
        <v>970</v>
      </c>
      <c r="W4926">
        <v>1157.82</v>
      </c>
      <c r="X4926" t="s">
        <v>11332</v>
      </c>
      <c r="Y4926" t="s">
        <v>11346</v>
      </c>
      <c r="Z4926" t="s">
        <v>14521</v>
      </c>
      <c r="AB4926" t="s">
        <v>18841</v>
      </c>
      <c r="AC4926">
        <v>25</v>
      </c>
      <c r="AD4926" t="s">
        <v>19570</v>
      </c>
      <c r="AE4926" t="s">
        <v>9144</v>
      </c>
      <c r="AF4926">
        <v>25</v>
      </c>
      <c r="AG4926">
        <v>1</v>
      </c>
      <c r="AH4926">
        <v>0</v>
      </c>
      <c r="AI4926">
        <v>199</v>
      </c>
      <c r="AL4926" t="s">
        <v>19614</v>
      </c>
      <c r="AM4926">
        <v>24000</v>
      </c>
      <c r="AS4926">
        <v>305.95</v>
      </c>
      <c r="AT4926" t="s">
        <v>487</v>
      </c>
      <c r="AU4926" t="s">
        <v>95</v>
      </c>
    </row>
    <row r="4927" spans="1:48">
      <c r="A4927" s="1">
        <f>HYPERLINK("https://lsnyc.legalserver.org/matter/dynamic-profile/view/1847205","17-1847205")</f>
        <v>0</v>
      </c>
      <c r="B4927" t="s">
        <v>78</v>
      </c>
      <c r="C4927" t="s">
        <v>256</v>
      </c>
      <c r="D4927" t="s">
        <v>757</v>
      </c>
      <c r="F4927" t="s">
        <v>1270</v>
      </c>
      <c r="G4927" t="s">
        <v>5232</v>
      </c>
      <c r="H4927" t="s">
        <v>6453</v>
      </c>
      <c r="I4927" t="s">
        <v>8266</v>
      </c>
      <c r="J4927" t="s">
        <v>9059</v>
      </c>
      <c r="K4927">
        <v>11206</v>
      </c>
      <c r="L4927" t="s">
        <v>9094</v>
      </c>
      <c r="M4927" t="s">
        <v>9095</v>
      </c>
      <c r="O4927" t="s">
        <v>11137</v>
      </c>
      <c r="P4927" t="s">
        <v>11168</v>
      </c>
      <c r="R4927" t="s">
        <v>11180</v>
      </c>
      <c r="S4927" t="s">
        <v>9094</v>
      </c>
      <c r="T4927" t="s">
        <v>11183</v>
      </c>
      <c r="V4927" t="s">
        <v>1006</v>
      </c>
      <c r="W4927">
        <v>1157.82</v>
      </c>
      <c r="X4927" t="s">
        <v>11332</v>
      </c>
      <c r="Y4927" t="s">
        <v>11346</v>
      </c>
      <c r="Z4927" t="s">
        <v>14521</v>
      </c>
      <c r="AA4927" t="s">
        <v>9171</v>
      </c>
      <c r="AB4927" t="s">
        <v>18841</v>
      </c>
      <c r="AC4927">
        <v>25</v>
      </c>
      <c r="AD4927" t="s">
        <v>19570</v>
      </c>
      <c r="AE4927" t="s">
        <v>9144</v>
      </c>
      <c r="AF4927">
        <v>25</v>
      </c>
      <c r="AG4927">
        <v>1</v>
      </c>
      <c r="AH4927">
        <v>0</v>
      </c>
      <c r="AI4927">
        <v>199</v>
      </c>
      <c r="AL4927" t="s">
        <v>19614</v>
      </c>
      <c r="AM4927">
        <v>24000</v>
      </c>
      <c r="AS4927">
        <v>235.55</v>
      </c>
      <c r="AT4927" t="s">
        <v>404</v>
      </c>
      <c r="AU4927" t="s">
        <v>95</v>
      </c>
    </row>
    <row r="4928" spans="1:48">
      <c r="A4928" s="1">
        <f>HYPERLINK("https://lsnyc.legalserver.org/matter/dynamic-profile/view/1838781","17-1838781")</f>
        <v>0</v>
      </c>
      <c r="B4928" t="s">
        <v>103</v>
      </c>
      <c r="C4928" t="s">
        <v>256</v>
      </c>
      <c r="D4928" t="s">
        <v>1058</v>
      </c>
      <c r="F4928" t="s">
        <v>1365</v>
      </c>
      <c r="G4928" t="s">
        <v>5238</v>
      </c>
      <c r="H4928" t="s">
        <v>7562</v>
      </c>
      <c r="I4928" t="s">
        <v>8160</v>
      </c>
      <c r="J4928" t="s">
        <v>9065</v>
      </c>
      <c r="K4928">
        <v>10473</v>
      </c>
      <c r="L4928" t="s">
        <v>9094</v>
      </c>
      <c r="M4928" t="s">
        <v>9095</v>
      </c>
      <c r="N4928" t="s">
        <v>10609</v>
      </c>
      <c r="O4928" t="s">
        <v>11135</v>
      </c>
      <c r="P4928" t="s">
        <v>11168</v>
      </c>
      <c r="R4928" t="s">
        <v>11180</v>
      </c>
      <c r="S4928" t="s">
        <v>9094</v>
      </c>
      <c r="T4928" t="s">
        <v>11183</v>
      </c>
      <c r="V4928" t="s">
        <v>11223</v>
      </c>
      <c r="W4928">
        <v>627.54</v>
      </c>
      <c r="X4928" t="s">
        <v>11333</v>
      </c>
      <c r="Y4928" t="s">
        <v>11351</v>
      </c>
      <c r="Z4928" t="s">
        <v>14531</v>
      </c>
      <c r="AB4928" t="s">
        <v>18853</v>
      </c>
      <c r="AC4928">
        <v>976</v>
      </c>
      <c r="AD4928" t="s">
        <v>19566</v>
      </c>
      <c r="AE4928" t="s">
        <v>19580</v>
      </c>
      <c r="AF4928">
        <v>37</v>
      </c>
      <c r="AG4928">
        <v>1</v>
      </c>
      <c r="AH4928">
        <v>0</v>
      </c>
      <c r="AI4928">
        <v>199</v>
      </c>
      <c r="AJ4928" t="s">
        <v>936</v>
      </c>
      <c r="AL4928" t="s">
        <v>19614</v>
      </c>
      <c r="AM4928">
        <v>24000</v>
      </c>
      <c r="AS4928">
        <v>0</v>
      </c>
      <c r="AU4928" t="s">
        <v>20643</v>
      </c>
    </row>
    <row r="4929" spans="1:48">
      <c r="A4929" s="1">
        <f>HYPERLINK("https://lsnyc.legalserver.org/matter/dynamic-profile/view/1841105","17-1841105")</f>
        <v>0</v>
      </c>
      <c r="B4929" t="s">
        <v>108</v>
      </c>
      <c r="C4929" t="s">
        <v>256</v>
      </c>
      <c r="D4929" t="s">
        <v>1064</v>
      </c>
      <c r="F4929" t="s">
        <v>2954</v>
      </c>
      <c r="G4929" t="s">
        <v>2903</v>
      </c>
      <c r="H4929" t="s">
        <v>6410</v>
      </c>
      <c r="I4929" t="s">
        <v>8227</v>
      </c>
      <c r="J4929" t="s">
        <v>9065</v>
      </c>
      <c r="K4929">
        <v>10463</v>
      </c>
      <c r="L4929" t="s">
        <v>9094</v>
      </c>
      <c r="M4929" t="s">
        <v>9095</v>
      </c>
      <c r="N4929" t="s">
        <v>10872</v>
      </c>
      <c r="O4929" t="s">
        <v>11136</v>
      </c>
      <c r="P4929" t="s">
        <v>11166</v>
      </c>
      <c r="R4929" t="s">
        <v>11180</v>
      </c>
      <c r="S4929" t="s">
        <v>9094</v>
      </c>
      <c r="T4929" t="s">
        <v>11183</v>
      </c>
      <c r="V4929" t="s">
        <v>11310</v>
      </c>
      <c r="W4929">
        <v>215</v>
      </c>
      <c r="X4929" t="s">
        <v>11333</v>
      </c>
      <c r="Y4929" t="s">
        <v>11351</v>
      </c>
      <c r="Z4929" t="s">
        <v>14532</v>
      </c>
      <c r="AB4929" t="s">
        <v>18854</v>
      </c>
      <c r="AC4929">
        <v>67</v>
      </c>
      <c r="AD4929" t="s">
        <v>19566</v>
      </c>
      <c r="AF4929">
        <v>4</v>
      </c>
      <c r="AG4929">
        <v>1</v>
      </c>
      <c r="AH4929">
        <v>0</v>
      </c>
      <c r="AI4929">
        <v>199</v>
      </c>
      <c r="AJ4929" t="s">
        <v>438</v>
      </c>
      <c r="AL4929" t="s">
        <v>19614</v>
      </c>
      <c r="AM4929">
        <v>24000</v>
      </c>
      <c r="AS4929">
        <v>0.1</v>
      </c>
      <c r="AT4929" t="s">
        <v>352</v>
      </c>
      <c r="AU4929" t="s">
        <v>20704</v>
      </c>
    </row>
    <row r="4930" spans="1:48">
      <c r="A4930" s="1">
        <f>HYPERLINK("https://lsnyc.legalserver.org/matter/dynamic-profile/view/1897727","19-1897727")</f>
        <v>0</v>
      </c>
      <c r="B4930" t="s">
        <v>141</v>
      </c>
      <c r="C4930" t="s">
        <v>256</v>
      </c>
      <c r="D4930" t="s">
        <v>291</v>
      </c>
      <c r="F4930" t="s">
        <v>2345</v>
      </c>
      <c r="G4930" t="s">
        <v>3811</v>
      </c>
      <c r="H4930" t="s">
        <v>7836</v>
      </c>
      <c r="I4930" t="s">
        <v>8902</v>
      </c>
      <c r="J4930" t="s">
        <v>9067</v>
      </c>
      <c r="K4930">
        <v>10034</v>
      </c>
      <c r="L4930" t="s">
        <v>9094</v>
      </c>
      <c r="M4930" t="s">
        <v>9095</v>
      </c>
      <c r="O4930" t="s">
        <v>9121</v>
      </c>
      <c r="P4930" t="s">
        <v>11166</v>
      </c>
      <c r="R4930" t="s">
        <v>11180</v>
      </c>
      <c r="S4930" t="s">
        <v>9096</v>
      </c>
      <c r="T4930" t="s">
        <v>11183</v>
      </c>
      <c r="V4930" t="s">
        <v>293</v>
      </c>
      <c r="W4930">
        <v>908.41</v>
      </c>
      <c r="X4930" t="s">
        <v>11335</v>
      </c>
      <c r="Y4930" t="s">
        <v>11342</v>
      </c>
      <c r="Z4930" t="s">
        <v>14533</v>
      </c>
      <c r="AB4930" t="s">
        <v>18855</v>
      </c>
      <c r="AC4930">
        <v>80</v>
      </c>
      <c r="AD4930" t="s">
        <v>19566</v>
      </c>
      <c r="AE4930" t="s">
        <v>9144</v>
      </c>
      <c r="AF4930">
        <v>22</v>
      </c>
      <c r="AG4930">
        <v>1</v>
      </c>
      <c r="AH4930">
        <v>0</v>
      </c>
      <c r="AI4930">
        <v>199.01</v>
      </c>
      <c r="AL4930" t="s">
        <v>19615</v>
      </c>
      <c r="AM4930">
        <v>24856</v>
      </c>
      <c r="AS4930">
        <v>6.7</v>
      </c>
      <c r="AT4930" t="s">
        <v>1135</v>
      </c>
      <c r="AU4930" t="s">
        <v>20631</v>
      </c>
      <c r="AV4930" t="s">
        <v>20733</v>
      </c>
    </row>
    <row r="4931" spans="1:48">
      <c r="A4931" s="1">
        <f>HYPERLINK("https://lsnyc.legalserver.org/matter/dynamic-profile/view/1882669","18-1882669")</f>
        <v>0</v>
      </c>
      <c r="B4931" t="s">
        <v>61</v>
      </c>
      <c r="C4931" t="s">
        <v>257</v>
      </c>
      <c r="D4931" t="s">
        <v>433</v>
      </c>
      <c r="E4931" t="s">
        <v>328</v>
      </c>
      <c r="F4931" t="s">
        <v>2955</v>
      </c>
      <c r="G4931" t="s">
        <v>4147</v>
      </c>
      <c r="H4931" t="s">
        <v>7837</v>
      </c>
      <c r="I4931">
        <v>1</v>
      </c>
      <c r="J4931" t="s">
        <v>9038</v>
      </c>
      <c r="K4931">
        <v>11691</v>
      </c>
      <c r="L4931" t="s">
        <v>9094</v>
      </c>
      <c r="M4931" t="s">
        <v>9094</v>
      </c>
      <c r="N4931" t="s">
        <v>9171</v>
      </c>
      <c r="O4931" t="s">
        <v>9121</v>
      </c>
      <c r="P4931" t="s">
        <v>11167</v>
      </c>
      <c r="Q4931" t="s">
        <v>11173</v>
      </c>
      <c r="R4931" t="s">
        <v>11180</v>
      </c>
      <c r="S4931" t="s">
        <v>9096</v>
      </c>
      <c r="T4931" t="s">
        <v>11183</v>
      </c>
      <c r="U4931" t="s">
        <v>11201</v>
      </c>
      <c r="V4931" t="s">
        <v>583</v>
      </c>
      <c r="W4931">
        <v>1450</v>
      </c>
      <c r="X4931" t="s">
        <v>11331</v>
      </c>
      <c r="Y4931" t="s">
        <v>11340</v>
      </c>
      <c r="Z4931" t="s">
        <v>14184</v>
      </c>
      <c r="AA4931" t="s">
        <v>15279</v>
      </c>
      <c r="AB4931" t="s">
        <v>18856</v>
      </c>
      <c r="AC4931">
        <v>3</v>
      </c>
      <c r="AD4931" t="s">
        <v>19565</v>
      </c>
      <c r="AE4931" t="s">
        <v>19580</v>
      </c>
      <c r="AF4931">
        <v>4</v>
      </c>
      <c r="AG4931">
        <v>1</v>
      </c>
      <c r="AH4931">
        <v>2</v>
      </c>
      <c r="AI4931">
        <v>199.07</v>
      </c>
      <c r="AL4931" t="s">
        <v>19614</v>
      </c>
      <c r="AM4931">
        <v>41366</v>
      </c>
      <c r="AS4931">
        <v>3</v>
      </c>
      <c r="AT4931" t="s">
        <v>760</v>
      </c>
      <c r="AU4931" t="s">
        <v>20660</v>
      </c>
      <c r="AV4931" t="s">
        <v>20733</v>
      </c>
    </row>
    <row r="4932" spans="1:48">
      <c r="A4932" s="1">
        <f>HYPERLINK("https://lsnyc.legalserver.org/matter/dynamic-profile/view/1874218","18-1874218")</f>
        <v>0</v>
      </c>
      <c r="B4932" t="s">
        <v>89</v>
      </c>
      <c r="C4932" t="s">
        <v>257</v>
      </c>
      <c r="D4932" t="s">
        <v>585</v>
      </c>
      <c r="E4932" t="s">
        <v>308</v>
      </c>
      <c r="F4932" t="s">
        <v>2956</v>
      </c>
      <c r="G4932" t="s">
        <v>4411</v>
      </c>
      <c r="H4932" t="s">
        <v>7838</v>
      </c>
      <c r="I4932" t="s">
        <v>8117</v>
      </c>
      <c r="J4932" t="s">
        <v>9059</v>
      </c>
      <c r="K4932">
        <v>11215</v>
      </c>
      <c r="L4932" t="s">
        <v>9094</v>
      </c>
      <c r="M4932" t="s">
        <v>9094</v>
      </c>
      <c r="N4932" t="s">
        <v>10873</v>
      </c>
      <c r="O4932" t="s">
        <v>11139</v>
      </c>
      <c r="P4932" t="s">
        <v>11168</v>
      </c>
      <c r="Q4932" t="s">
        <v>11177</v>
      </c>
      <c r="R4932" t="s">
        <v>11180</v>
      </c>
      <c r="S4932" t="s">
        <v>9096</v>
      </c>
      <c r="T4932" t="s">
        <v>11184</v>
      </c>
      <c r="V4932" t="s">
        <v>585</v>
      </c>
      <c r="W4932">
        <v>1750</v>
      </c>
      <c r="X4932" t="s">
        <v>11332</v>
      </c>
      <c r="Y4932" t="s">
        <v>11344</v>
      </c>
      <c r="Z4932" t="s">
        <v>14534</v>
      </c>
      <c r="AA4932" t="s">
        <v>15891</v>
      </c>
      <c r="AB4932" t="s">
        <v>18857</v>
      </c>
      <c r="AC4932">
        <v>6</v>
      </c>
      <c r="AD4932" t="s">
        <v>19566</v>
      </c>
      <c r="AF4932">
        <v>2</v>
      </c>
      <c r="AG4932">
        <v>2</v>
      </c>
      <c r="AH4932">
        <v>0</v>
      </c>
      <c r="AI4932">
        <v>199.27</v>
      </c>
      <c r="AL4932" t="s">
        <v>19614</v>
      </c>
      <c r="AM4932">
        <v>32800</v>
      </c>
      <c r="AN4932" t="s">
        <v>20062</v>
      </c>
      <c r="AS4932">
        <v>8.9</v>
      </c>
      <c r="AT4932" t="s">
        <v>602</v>
      </c>
      <c r="AU4932" t="s">
        <v>20633</v>
      </c>
      <c r="AV4932" t="s">
        <v>20733</v>
      </c>
    </row>
    <row r="4933" spans="1:48">
      <c r="A4933" s="1">
        <f>HYPERLINK("https://lsnyc.legalserver.org/matter/dynamic-profile/view/1909594","19-1909594")</f>
        <v>0</v>
      </c>
      <c r="B4933" t="s">
        <v>137</v>
      </c>
      <c r="C4933" t="s">
        <v>256</v>
      </c>
      <c r="D4933" t="s">
        <v>444</v>
      </c>
      <c r="F4933" t="s">
        <v>2957</v>
      </c>
      <c r="G4933" t="s">
        <v>5239</v>
      </c>
      <c r="H4933" t="s">
        <v>7839</v>
      </c>
      <c r="J4933" t="s">
        <v>9067</v>
      </c>
      <c r="K4933">
        <v>10032</v>
      </c>
      <c r="L4933" t="s">
        <v>9094</v>
      </c>
      <c r="M4933" t="s">
        <v>9095</v>
      </c>
      <c r="O4933" t="s">
        <v>11136</v>
      </c>
      <c r="P4933" t="s">
        <v>11169</v>
      </c>
      <c r="R4933" t="s">
        <v>11180</v>
      </c>
      <c r="S4933" t="s">
        <v>9096</v>
      </c>
      <c r="T4933" t="s">
        <v>11183</v>
      </c>
      <c r="V4933" t="s">
        <v>444</v>
      </c>
      <c r="W4933">
        <v>1285</v>
      </c>
      <c r="X4933" t="s">
        <v>11335</v>
      </c>
      <c r="Y4933" t="s">
        <v>11347</v>
      </c>
      <c r="Z4933" t="s">
        <v>14535</v>
      </c>
      <c r="AB4933" t="s">
        <v>18858</v>
      </c>
      <c r="AC4933">
        <v>4</v>
      </c>
      <c r="AD4933" t="s">
        <v>19566</v>
      </c>
      <c r="AE4933" t="s">
        <v>19580</v>
      </c>
      <c r="AF4933">
        <v>3</v>
      </c>
      <c r="AG4933">
        <v>2</v>
      </c>
      <c r="AH4933">
        <v>0</v>
      </c>
      <c r="AI4933">
        <v>199.27</v>
      </c>
      <c r="AL4933" t="s">
        <v>19615</v>
      </c>
      <c r="AM4933">
        <v>33696</v>
      </c>
      <c r="AS4933">
        <v>0.3</v>
      </c>
      <c r="AT4933" t="s">
        <v>308</v>
      </c>
      <c r="AU4933" t="s">
        <v>130</v>
      </c>
      <c r="AV4933" t="s">
        <v>20733</v>
      </c>
    </row>
    <row r="4934" spans="1:48">
      <c r="A4934" s="1">
        <f>HYPERLINK("https://lsnyc.legalserver.org/matter/dynamic-profile/view/1866186","18-1866186")</f>
        <v>0</v>
      </c>
      <c r="B4934" t="s">
        <v>76</v>
      </c>
      <c r="C4934" t="s">
        <v>256</v>
      </c>
      <c r="D4934" t="s">
        <v>696</v>
      </c>
      <c r="F4934" t="s">
        <v>2958</v>
      </c>
      <c r="G4934" t="s">
        <v>3220</v>
      </c>
      <c r="H4934" t="s">
        <v>7840</v>
      </c>
      <c r="I4934" t="s">
        <v>8244</v>
      </c>
      <c r="J4934" t="s">
        <v>9059</v>
      </c>
      <c r="K4934">
        <v>11212</v>
      </c>
      <c r="L4934" t="s">
        <v>9094</v>
      </c>
      <c r="M4934" t="s">
        <v>9094</v>
      </c>
      <c r="N4934" t="s">
        <v>9121</v>
      </c>
      <c r="O4934" t="s">
        <v>11137</v>
      </c>
      <c r="P4934" t="s">
        <v>11167</v>
      </c>
      <c r="R4934" t="s">
        <v>11180</v>
      </c>
      <c r="S4934" t="s">
        <v>9096</v>
      </c>
      <c r="T4934" t="s">
        <v>11183</v>
      </c>
      <c r="V4934" t="s">
        <v>11229</v>
      </c>
      <c r="W4934">
        <v>710</v>
      </c>
      <c r="X4934" t="s">
        <v>11332</v>
      </c>
      <c r="Y4934" t="s">
        <v>11338</v>
      </c>
      <c r="Z4934" t="s">
        <v>13923</v>
      </c>
      <c r="AA4934" t="s">
        <v>15892</v>
      </c>
      <c r="AB4934" t="s">
        <v>18859</v>
      </c>
      <c r="AC4934">
        <v>90</v>
      </c>
      <c r="AD4934" t="s">
        <v>19567</v>
      </c>
      <c r="AE4934" t="s">
        <v>19580</v>
      </c>
      <c r="AF4934">
        <v>11</v>
      </c>
      <c r="AG4934">
        <v>1</v>
      </c>
      <c r="AH4934">
        <v>1</v>
      </c>
      <c r="AI4934">
        <v>199.34</v>
      </c>
      <c r="AL4934" t="s">
        <v>19614</v>
      </c>
      <c r="AM4934">
        <v>32812</v>
      </c>
      <c r="AN4934" t="s">
        <v>19665</v>
      </c>
      <c r="AS4934">
        <v>1</v>
      </c>
      <c r="AT4934" t="s">
        <v>696</v>
      </c>
      <c r="AU4934" t="s">
        <v>20619</v>
      </c>
    </row>
    <row r="4935" spans="1:48">
      <c r="A4935" s="1">
        <f>HYPERLINK("https://lsnyc.legalserver.org/matter/dynamic-profile/view/1910075","19-1910075")</f>
        <v>0</v>
      </c>
      <c r="B4935" t="s">
        <v>118</v>
      </c>
      <c r="C4935" t="s">
        <v>256</v>
      </c>
      <c r="D4935" t="s">
        <v>435</v>
      </c>
      <c r="F4935" t="s">
        <v>1227</v>
      </c>
      <c r="G4935" t="s">
        <v>5240</v>
      </c>
      <c r="H4935" t="s">
        <v>7841</v>
      </c>
      <c r="J4935" t="s">
        <v>9065</v>
      </c>
      <c r="K4935">
        <v>10456</v>
      </c>
      <c r="L4935" t="s">
        <v>9094</v>
      </c>
      <c r="M4935" t="s">
        <v>9095</v>
      </c>
      <c r="O4935" t="s">
        <v>9121</v>
      </c>
      <c r="P4935" t="s">
        <v>11164</v>
      </c>
      <c r="R4935" t="s">
        <v>11180</v>
      </c>
      <c r="S4935" t="s">
        <v>9096</v>
      </c>
      <c r="T4935" t="s">
        <v>11183</v>
      </c>
      <c r="W4935">
        <v>0</v>
      </c>
      <c r="X4935" t="s">
        <v>11333</v>
      </c>
      <c r="Y4935" t="s">
        <v>11346</v>
      </c>
      <c r="Z4935" t="s">
        <v>14536</v>
      </c>
      <c r="AB4935" t="s">
        <v>18860</v>
      </c>
      <c r="AC4935">
        <v>0</v>
      </c>
      <c r="AF4935">
        <v>0</v>
      </c>
      <c r="AG4935">
        <v>1</v>
      </c>
      <c r="AH4935">
        <v>0</v>
      </c>
      <c r="AI4935">
        <v>199.36</v>
      </c>
      <c r="AM4935">
        <v>24900</v>
      </c>
      <c r="AS4935">
        <v>0</v>
      </c>
      <c r="AU4935" t="s">
        <v>118</v>
      </c>
      <c r="AV4935" t="s">
        <v>20733</v>
      </c>
    </row>
    <row r="4936" spans="1:48">
      <c r="A4936" s="1">
        <f>HYPERLINK("https://lsnyc.legalserver.org/matter/dynamic-profile/view/1907616","19-1907616")</f>
        <v>0</v>
      </c>
      <c r="B4936" t="s">
        <v>98</v>
      </c>
      <c r="C4936" t="s">
        <v>256</v>
      </c>
      <c r="D4936" t="s">
        <v>416</v>
      </c>
      <c r="F4936" t="s">
        <v>2739</v>
      </c>
      <c r="G4936" t="s">
        <v>3220</v>
      </c>
      <c r="H4936" t="s">
        <v>5851</v>
      </c>
      <c r="I4936" t="s">
        <v>8191</v>
      </c>
      <c r="J4936" t="s">
        <v>9065</v>
      </c>
      <c r="K4936">
        <v>10474</v>
      </c>
      <c r="L4936" t="s">
        <v>9094</v>
      </c>
      <c r="M4936" t="s">
        <v>9095</v>
      </c>
      <c r="N4936" t="s">
        <v>9218</v>
      </c>
      <c r="O4936" t="s">
        <v>11134</v>
      </c>
      <c r="P4936" t="s">
        <v>11168</v>
      </c>
      <c r="R4936" t="s">
        <v>11180</v>
      </c>
      <c r="S4936" t="s">
        <v>9094</v>
      </c>
      <c r="T4936" t="s">
        <v>11183</v>
      </c>
      <c r="W4936">
        <v>1650</v>
      </c>
      <c r="X4936" t="s">
        <v>11333</v>
      </c>
      <c r="Y4936" t="s">
        <v>11346</v>
      </c>
      <c r="Z4936" t="s">
        <v>14537</v>
      </c>
      <c r="AB4936" t="s">
        <v>18861</v>
      </c>
      <c r="AC4936">
        <v>40</v>
      </c>
      <c r="AD4936" t="s">
        <v>19566</v>
      </c>
      <c r="AE4936" t="s">
        <v>9144</v>
      </c>
      <c r="AF4936">
        <v>3</v>
      </c>
      <c r="AG4936">
        <v>1</v>
      </c>
      <c r="AH4936">
        <v>2</v>
      </c>
      <c r="AI4936">
        <v>199.66</v>
      </c>
      <c r="AL4936" t="s">
        <v>19614</v>
      </c>
      <c r="AM4936">
        <v>42588</v>
      </c>
      <c r="AS4936">
        <v>0</v>
      </c>
      <c r="AU4936" t="s">
        <v>110</v>
      </c>
      <c r="AV4936" t="s">
        <v>20733</v>
      </c>
    </row>
    <row r="4937" spans="1:48">
      <c r="A4937" s="1">
        <f>HYPERLINK("https://lsnyc.legalserver.org/matter/dynamic-profile/view/1907608","19-1907608")</f>
        <v>0</v>
      </c>
      <c r="B4937" t="s">
        <v>98</v>
      </c>
      <c r="C4937" t="s">
        <v>256</v>
      </c>
      <c r="D4937" t="s">
        <v>275</v>
      </c>
      <c r="F4937" t="s">
        <v>2739</v>
      </c>
      <c r="G4937" t="s">
        <v>3220</v>
      </c>
      <c r="H4937" t="s">
        <v>5851</v>
      </c>
      <c r="I4937" t="s">
        <v>8191</v>
      </c>
      <c r="J4937" t="s">
        <v>9065</v>
      </c>
      <c r="K4937">
        <v>10474</v>
      </c>
      <c r="L4937" t="s">
        <v>9094</v>
      </c>
      <c r="M4937" t="s">
        <v>9095</v>
      </c>
      <c r="O4937" t="s">
        <v>11130</v>
      </c>
      <c r="P4937" t="s">
        <v>11165</v>
      </c>
      <c r="R4937" t="s">
        <v>11180</v>
      </c>
      <c r="S4937" t="s">
        <v>9094</v>
      </c>
      <c r="T4937" t="s">
        <v>11183</v>
      </c>
      <c r="W4937">
        <v>1650</v>
      </c>
      <c r="X4937" t="s">
        <v>11333</v>
      </c>
      <c r="Z4937" t="s">
        <v>14537</v>
      </c>
      <c r="AB4937" t="s">
        <v>18861</v>
      </c>
      <c r="AC4937">
        <v>40</v>
      </c>
      <c r="AE4937" t="s">
        <v>9144</v>
      </c>
      <c r="AF4937">
        <v>3</v>
      </c>
      <c r="AG4937">
        <v>1</v>
      </c>
      <c r="AH4937">
        <v>2</v>
      </c>
      <c r="AI4937">
        <v>199.66</v>
      </c>
      <c r="AL4937" t="s">
        <v>19614</v>
      </c>
      <c r="AM4937">
        <v>42588</v>
      </c>
      <c r="AS4937">
        <v>0</v>
      </c>
      <c r="AU4937" t="s">
        <v>110</v>
      </c>
      <c r="AV4937" t="s">
        <v>20733</v>
      </c>
    </row>
    <row r="4938" spans="1:48">
      <c r="A4938" s="1">
        <f>HYPERLINK("https://lsnyc.legalserver.org/matter/dynamic-profile/view/1891669","19-1891669")</f>
        <v>0</v>
      </c>
      <c r="B4938" t="s">
        <v>55</v>
      </c>
      <c r="C4938" t="s">
        <v>256</v>
      </c>
      <c r="D4938" t="s">
        <v>788</v>
      </c>
      <c r="F4938" t="s">
        <v>2959</v>
      </c>
      <c r="G4938" t="s">
        <v>3344</v>
      </c>
      <c r="H4938" t="s">
        <v>7842</v>
      </c>
      <c r="I4938">
        <v>1</v>
      </c>
      <c r="J4938" t="s">
        <v>9038</v>
      </c>
      <c r="K4938">
        <v>11691</v>
      </c>
      <c r="L4938" t="s">
        <v>9094</v>
      </c>
      <c r="M4938" t="s">
        <v>9095</v>
      </c>
      <c r="N4938" t="s">
        <v>10874</v>
      </c>
      <c r="O4938" t="s">
        <v>11128</v>
      </c>
      <c r="P4938" t="s">
        <v>11165</v>
      </c>
      <c r="R4938" t="s">
        <v>11180</v>
      </c>
      <c r="S4938" t="s">
        <v>9096</v>
      </c>
      <c r="T4938" t="s">
        <v>11183</v>
      </c>
      <c r="U4938" t="s">
        <v>11201</v>
      </c>
      <c r="V4938" t="s">
        <v>11311</v>
      </c>
      <c r="W4938">
        <v>1475</v>
      </c>
      <c r="X4938" t="s">
        <v>11331</v>
      </c>
      <c r="Y4938" t="s">
        <v>11354</v>
      </c>
      <c r="Z4938" t="s">
        <v>14538</v>
      </c>
      <c r="AA4938" t="s">
        <v>15274</v>
      </c>
      <c r="AB4938" t="s">
        <v>18862</v>
      </c>
      <c r="AC4938">
        <v>3</v>
      </c>
      <c r="AD4938" t="s">
        <v>19566</v>
      </c>
      <c r="AE4938" t="s">
        <v>19580</v>
      </c>
      <c r="AF4938">
        <v>9</v>
      </c>
      <c r="AG4938">
        <v>1</v>
      </c>
      <c r="AH4938">
        <v>0</v>
      </c>
      <c r="AI4938">
        <v>199.84</v>
      </c>
      <c r="AL4938" t="s">
        <v>19614</v>
      </c>
      <c r="AM4938">
        <v>24960</v>
      </c>
      <c r="AP4938" t="s">
        <v>11157</v>
      </c>
      <c r="AS4938">
        <v>20.61</v>
      </c>
      <c r="AT4938" t="s">
        <v>612</v>
      </c>
      <c r="AU4938" t="s">
        <v>20629</v>
      </c>
      <c r="AV4938" t="s">
        <v>20733</v>
      </c>
    </row>
    <row r="4939" spans="1:48">
      <c r="A4939" s="1">
        <f>HYPERLINK("https://lsnyc.legalserver.org/matter/dynamic-profile/view/1905194","19-1905194")</f>
        <v>0</v>
      </c>
      <c r="B4939" t="s">
        <v>91</v>
      </c>
      <c r="C4939" t="s">
        <v>257</v>
      </c>
      <c r="D4939" t="s">
        <v>414</v>
      </c>
      <c r="E4939" t="s">
        <v>664</v>
      </c>
      <c r="F4939" t="s">
        <v>2960</v>
      </c>
      <c r="G4939" t="s">
        <v>5241</v>
      </c>
      <c r="H4939" t="s">
        <v>7843</v>
      </c>
      <c r="I4939">
        <v>3</v>
      </c>
      <c r="J4939" t="s">
        <v>9059</v>
      </c>
      <c r="K4939">
        <v>11233</v>
      </c>
      <c r="L4939" t="s">
        <v>9094</v>
      </c>
      <c r="M4939" t="s">
        <v>9095</v>
      </c>
      <c r="N4939" t="s">
        <v>10875</v>
      </c>
      <c r="O4939" t="s">
        <v>11128</v>
      </c>
      <c r="P4939" t="s">
        <v>11167</v>
      </c>
      <c r="Q4939" t="s">
        <v>11173</v>
      </c>
      <c r="R4939" t="s">
        <v>11180</v>
      </c>
      <c r="S4939" t="s">
        <v>9096</v>
      </c>
      <c r="T4939" t="s">
        <v>11183</v>
      </c>
      <c r="U4939" t="s">
        <v>11201</v>
      </c>
      <c r="V4939" t="s">
        <v>493</v>
      </c>
      <c r="W4939">
        <v>870</v>
      </c>
      <c r="X4939" t="s">
        <v>11332</v>
      </c>
      <c r="Y4939" t="s">
        <v>11157</v>
      </c>
      <c r="Z4939" t="s">
        <v>14539</v>
      </c>
      <c r="AB4939" t="s">
        <v>18863</v>
      </c>
      <c r="AC4939">
        <v>3</v>
      </c>
      <c r="AD4939" t="s">
        <v>19565</v>
      </c>
      <c r="AE4939" t="s">
        <v>9144</v>
      </c>
      <c r="AF4939">
        <v>1</v>
      </c>
      <c r="AG4939">
        <v>1</v>
      </c>
      <c r="AH4939">
        <v>0</v>
      </c>
      <c r="AI4939">
        <v>199.84</v>
      </c>
      <c r="AL4939" t="s">
        <v>19614</v>
      </c>
      <c r="AM4939">
        <v>24960</v>
      </c>
      <c r="AO4939" t="s">
        <v>20290</v>
      </c>
      <c r="AP4939" t="s">
        <v>20334</v>
      </c>
      <c r="AQ4939" t="s">
        <v>20368</v>
      </c>
      <c r="AR4939" t="s">
        <v>20562</v>
      </c>
      <c r="AS4939">
        <v>2.5</v>
      </c>
      <c r="AT4939" t="s">
        <v>426</v>
      </c>
      <c r="AU4939" t="s">
        <v>79</v>
      </c>
      <c r="AV4939" t="s">
        <v>20733</v>
      </c>
    </row>
    <row r="4940" spans="1:48">
      <c r="A4940" s="1">
        <f>HYPERLINK("https://lsnyc.legalserver.org/matter/dynamic-profile/view/1913059","19-1913059")</f>
        <v>0</v>
      </c>
      <c r="B4940" t="s">
        <v>78</v>
      </c>
      <c r="C4940" t="s">
        <v>256</v>
      </c>
      <c r="D4940" t="s">
        <v>833</v>
      </c>
      <c r="F4940" t="s">
        <v>1721</v>
      </c>
      <c r="G4940" t="s">
        <v>3419</v>
      </c>
      <c r="H4940" t="s">
        <v>7548</v>
      </c>
      <c r="I4940" t="s">
        <v>8160</v>
      </c>
      <c r="J4940" t="s">
        <v>9059</v>
      </c>
      <c r="K4940">
        <v>11206</v>
      </c>
      <c r="L4940" t="s">
        <v>9094</v>
      </c>
      <c r="M4940" t="s">
        <v>9095</v>
      </c>
      <c r="N4940" t="s">
        <v>9171</v>
      </c>
      <c r="O4940" t="s">
        <v>11137</v>
      </c>
      <c r="P4940" t="s">
        <v>11167</v>
      </c>
      <c r="R4940" t="s">
        <v>11180</v>
      </c>
      <c r="S4940" t="s">
        <v>9094</v>
      </c>
      <c r="T4940" t="s">
        <v>11183</v>
      </c>
      <c r="U4940" t="s">
        <v>11201</v>
      </c>
      <c r="V4940" t="s">
        <v>483</v>
      </c>
      <c r="W4940">
        <v>1200</v>
      </c>
      <c r="X4940" t="s">
        <v>11332</v>
      </c>
      <c r="Y4940" t="s">
        <v>11346</v>
      </c>
      <c r="Z4940" t="s">
        <v>14540</v>
      </c>
      <c r="AA4940" t="s">
        <v>9171</v>
      </c>
      <c r="AB4940" t="s">
        <v>18864</v>
      </c>
      <c r="AC4940">
        <v>16</v>
      </c>
      <c r="AD4940" t="s">
        <v>19566</v>
      </c>
      <c r="AE4940" t="s">
        <v>9144</v>
      </c>
      <c r="AF4940">
        <v>8</v>
      </c>
      <c r="AG4940">
        <v>1</v>
      </c>
      <c r="AH4940">
        <v>0</v>
      </c>
      <c r="AI4940">
        <v>199.84</v>
      </c>
      <c r="AL4940" t="s">
        <v>19614</v>
      </c>
      <c r="AM4940">
        <v>24960</v>
      </c>
      <c r="AS4940">
        <v>0</v>
      </c>
      <c r="AU4940" t="s">
        <v>95</v>
      </c>
      <c r="AV4940" t="s">
        <v>20733</v>
      </c>
    </row>
    <row r="4941" spans="1:48">
      <c r="A4941" s="1">
        <f>HYPERLINK("https://lsnyc.legalserver.org/matter/dynamic-profile/view/1909579","19-1909579")</f>
        <v>0</v>
      </c>
      <c r="B4941" t="s">
        <v>115</v>
      </c>
      <c r="C4941" t="s">
        <v>257</v>
      </c>
      <c r="D4941" t="s">
        <v>273</v>
      </c>
      <c r="E4941" t="s">
        <v>425</v>
      </c>
      <c r="F4941" t="s">
        <v>1999</v>
      </c>
      <c r="G4941" t="s">
        <v>5242</v>
      </c>
      <c r="H4941" t="s">
        <v>7844</v>
      </c>
      <c r="J4941" t="s">
        <v>9065</v>
      </c>
      <c r="K4941">
        <v>10463</v>
      </c>
      <c r="L4941" t="s">
        <v>9094</v>
      </c>
      <c r="M4941" t="s">
        <v>9095</v>
      </c>
      <c r="N4941" t="s">
        <v>9171</v>
      </c>
      <c r="O4941" t="s">
        <v>9121</v>
      </c>
      <c r="P4941" t="s">
        <v>11164</v>
      </c>
      <c r="Q4941" t="s">
        <v>11172</v>
      </c>
      <c r="R4941" t="s">
        <v>11180</v>
      </c>
      <c r="S4941" t="s">
        <v>9096</v>
      </c>
      <c r="T4941" t="s">
        <v>11183</v>
      </c>
      <c r="U4941" t="s">
        <v>11201</v>
      </c>
      <c r="W4941">
        <v>1200</v>
      </c>
      <c r="X4941" t="s">
        <v>11333</v>
      </c>
      <c r="Y4941" t="s">
        <v>11339</v>
      </c>
      <c r="Z4941" t="s">
        <v>14541</v>
      </c>
      <c r="AB4941" t="s">
        <v>15274</v>
      </c>
      <c r="AC4941">
        <v>0</v>
      </c>
      <c r="AD4941" t="s">
        <v>19574</v>
      </c>
      <c r="AE4941" t="s">
        <v>9144</v>
      </c>
      <c r="AF4941">
        <v>30</v>
      </c>
      <c r="AG4941">
        <v>1</v>
      </c>
      <c r="AH4941">
        <v>0</v>
      </c>
      <c r="AI4941">
        <v>199.84</v>
      </c>
      <c r="AL4941" t="s">
        <v>19614</v>
      </c>
      <c r="AM4941">
        <v>24960</v>
      </c>
      <c r="AS4941">
        <v>0.4</v>
      </c>
      <c r="AT4941" t="s">
        <v>425</v>
      </c>
      <c r="AU4941" t="s">
        <v>115</v>
      </c>
      <c r="AV4941" t="s">
        <v>20733</v>
      </c>
    </row>
    <row r="4942" spans="1:48">
      <c r="A4942" s="1">
        <f>HYPERLINK("https://lsnyc.legalserver.org/matter/dynamic-profile/view/1903502","19-1903502")</f>
        <v>0</v>
      </c>
      <c r="B4942" t="s">
        <v>115</v>
      </c>
      <c r="C4942" t="s">
        <v>256</v>
      </c>
      <c r="D4942" t="s">
        <v>750</v>
      </c>
      <c r="F4942" t="s">
        <v>1143</v>
      </c>
      <c r="G4942" t="s">
        <v>3498</v>
      </c>
      <c r="H4942" t="s">
        <v>7845</v>
      </c>
      <c r="I4942" t="s">
        <v>8266</v>
      </c>
      <c r="J4942" t="s">
        <v>9065</v>
      </c>
      <c r="K4942">
        <v>10453</v>
      </c>
      <c r="L4942" t="s">
        <v>9094</v>
      </c>
      <c r="M4942" t="s">
        <v>9095</v>
      </c>
      <c r="N4942" t="s">
        <v>10876</v>
      </c>
      <c r="O4942" t="s">
        <v>11128</v>
      </c>
      <c r="P4942" t="s">
        <v>11165</v>
      </c>
      <c r="R4942" t="s">
        <v>11180</v>
      </c>
      <c r="S4942" t="s">
        <v>9096</v>
      </c>
      <c r="T4942" t="s">
        <v>11183</v>
      </c>
      <c r="U4942" t="s">
        <v>11201</v>
      </c>
      <c r="V4942" t="s">
        <v>493</v>
      </c>
      <c r="W4942">
        <v>825</v>
      </c>
      <c r="X4942" t="s">
        <v>11333</v>
      </c>
      <c r="Y4942" t="s">
        <v>11157</v>
      </c>
      <c r="Z4942" t="s">
        <v>14542</v>
      </c>
      <c r="AB4942" t="s">
        <v>18865</v>
      </c>
      <c r="AC4942">
        <v>25</v>
      </c>
      <c r="AD4942" t="s">
        <v>19566</v>
      </c>
      <c r="AE4942" t="s">
        <v>9144</v>
      </c>
      <c r="AF4942">
        <v>19</v>
      </c>
      <c r="AG4942">
        <v>1</v>
      </c>
      <c r="AH4942">
        <v>0</v>
      </c>
      <c r="AI4942">
        <v>199.84</v>
      </c>
      <c r="AL4942" t="s">
        <v>19614</v>
      </c>
      <c r="AM4942">
        <v>24960</v>
      </c>
      <c r="AS4942">
        <v>32.26</v>
      </c>
      <c r="AT4942" t="s">
        <v>1130</v>
      </c>
      <c r="AU4942" t="s">
        <v>20672</v>
      </c>
      <c r="AV4942" t="s">
        <v>20733</v>
      </c>
    </row>
    <row r="4943" spans="1:48">
      <c r="A4943" s="1">
        <f>HYPERLINK("https://lsnyc.legalserver.org/matter/dynamic-profile/view/1908034","19-1908034")</f>
        <v>0</v>
      </c>
      <c r="B4943" t="s">
        <v>196</v>
      </c>
      <c r="C4943" t="s">
        <v>256</v>
      </c>
      <c r="D4943" t="s">
        <v>551</v>
      </c>
      <c r="F4943" t="s">
        <v>1367</v>
      </c>
      <c r="G4943" t="s">
        <v>3699</v>
      </c>
      <c r="H4943" t="s">
        <v>7846</v>
      </c>
      <c r="I4943" t="s">
        <v>8216</v>
      </c>
      <c r="J4943" t="s">
        <v>9067</v>
      </c>
      <c r="K4943">
        <v>10034</v>
      </c>
      <c r="L4943" t="s">
        <v>9094</v>
      </c>
      <c r="M4943" t="s">
        <v>9095</v>
      </c>
      <c r="N4943" t="s">
        <v>10877</v>
      </c>
      <c r="O4943" t="s">
        <v>11128</v>
      </c>
      <c r="P4943" t="s">
        <v>11169</v>
      </c>
      <c r="R4943" t="s">
        <v>11180</v>
      </c>
      <c r="S4943" t="s">
        <v>9096</v>
      </c>
      <c r="T4943" t="s">
        <v>11183</v>
      </c>
      <c r="V4943" t="s">
        <v>551</v>
      </c>
      <c r="W4943">
        <v>1000</v>
      </c>
      <c r="X4943" t="s">
        <v>11335</v>
      </c>
      <c r="Y4943" t="s">
        <v>11336</v>
      </c>
      <c r="Z4943" t="s">
        <v>14543</v>
      </c>
      <c r="AB4943" t="s">
        <v>18866</v>
      </c>
      <c r="AC4943">
        <v>70</v>
      </c>
      <c r="AD4943" t="s">
        <v>19566</v>
      </c>
      <c r="AE4943" t="s">
        <v>9144</v>
      </c>
      <c r="AF4943">
        <v>8</v>
      </c>
      <c r="AG4943">
        <v>5</v>
      </c>
      <c r="AH4943">
        <v>0</v>
      </c>
      <c r="AI4943">
        <v>199.93</v>
      </c>
      <c r="AL4943" t="s">
        <v>19615</v>
      </c>
      <c r="AM4943">
        <v>60320</v>
      </c>
      <c r="AS4943">
        <v>2</v>
      </c>
      <c r="AT4943" t="s">
        <v>669</v>
      </c>
      <c r="AU4943" t="s">
        <v>20659</v>
      </c>
      <c r="AV4943" t="s">
        <v>20733</v>
      </c>
    </row>
    <row r="4944" spans="1:48">
      <c r="A4944" s="1">
        <f>HYPERLINK("https://lsnyc.legalserver.org/matter/dynamic-profile/view/1899896","19-1899896")</f>
        <v>0</v>
      </c>
      <c r="B4944" t="s">
        <v>86</v>
      </c>
      <c r="C4944" t="s">
        <v>256</v>
      </c>
      <c r="D4944" t="s">
        <v>411</v>
      </c>
      <c r="F4944" t="s">
        <v>1808</v>
      </c>
      <c r="G4944" t="s">
        <v>1665</v>
      </c>
      <c r="H4944" t="s">
        <v>5778</v>
      </c>
      <c r="I4944" t="s">
        <v>8410</v>
      </c>
      <c r="J4944" t="s">
        <v>9059</v>
      </c>
      <c r="K4944">
        <v>11226</v>
      </c>
      <c r="L4944" t="s">
        <v>9094</v>
      </c>
      <c r="M4944" t="s">
        <v>9095</v>
      </c>
      <c r="O4944" t="s">
        <v>9121</v>
      </c>
      <c r="P4944" t="s">
        <v>11166</v>
      </c>
      <c r="R4944" t="s">
        <v>11180</v>
      </c>
      <c r="T4944" t="s">
        <v>11183</v>
      </c>
      <c r="V4944" t="s">
        <v>700</v>
      </c>
      <c r="W4944">
        <v>0</v>
      </c>
      <c r="X4944" t="s">
        <v>11332</v>
      </c>
      <c r="Z4944" t="s">
        <v>12246</v>
      </c>
      <c r="AB4944" t="s">
        <v>16670</v>
      </c>
      <c r="AC4944">
        <v>0</v>
      </c>
      <c r="AF4944">
        <v>0</v>
      </c>
      <c r="AG4944">
        <v>1</v>
      </c>
      <c r="AH4944">
        <v>0</v>
      </c>
      <c r="AI4944">
        <v>200.16</v>
      </c>
      <c r="AL4944" t="s">
        <v>19614</v>
      </c>
      <c r="AM4944">
        <v>25000</v>
      </c>
      <c r="AS4944">
        <v>44.75</v>
      </c>
      <c r="AT4944" t="s">
        <v>660</v>
      </c>
      <c r="AU4944" t="s">
        <v>215</v>
      </c>
      <c r="AV4944" t="s">
        <v>20733</v>
      </c>
    </row>
    <row r="4945" spans="1:48">
      <c r="A4945" s="1">
        <f>HYPERLINK("https://lsnyc.legalserver.org/matter/dynamic-profile/view/1894638","19-1894638")</f>
        <v>0</v>
      </c>
      <c r="B4945" t="s">
        <v>83</v>
      </c>
      <c r="C4945" t="s">
        <v>256</v>
      </c>
      <c r="D4945" t="s">
        <v>502</v>
      </c>
      <c r="F4945" t="s">
        <v>2961</v>
      </c>
      <c r="G4945" t="s">
        <v>3387</v>
      </c>
      <c r="H4945" t="s">
        <v>6704</v>
      </c>
      <c r="I4945" t="s">
        <v>8160</v>
      </c>
      <c r="J4945" t="s">
        <v>9059</v>
      </c>
      <c r="K4945">
        <v>11225</v>
      </c>
      <c r="L4945" t="s">
        <v>9094</v>
      </c>
      <c r="M4945" t="s">
        <v>9094</v>
      </c>
      <c r="N4945" t="s">
        <v>9304</v>
      </c>
      <c r="O4945" t="s">
        <v>11132</v>
      </c>
      <c r="P4945" t="s">
        <v>11165</v>
      </c>
      <c r="R4945" t="s">
        <v>11180</v>
      </c>
      <c r="S4945" t="s">
        <v>9094</v>
      </c>
      <c r="T4945" t="s">
        <v>11183</v>
      </c>
      <c r="V4945" t="s">
        <v>421</v>
      </c>
      <c r="W4945">
        <v>1928.63</v>
      </c>
      <c r="X4945" t="s">
        <v>11332</v>
      </c>
      <c r="Z4945" t="s">
        <v>14544</v>
      </c>
      <c r="AC4945">
        <v>0</v>
      </c>
      <c r="AF4945">
        <v>8</v>
      </c>
      <c r="AG4945">
        <v>1</v>
      </c>
      <c r="AH4945">
        <v>0</v>
      </c>
      <c r="AI4945">
        <v>200.16</v>
      </c>
      <c r="AL4945" t="s">
        <v>19614</v>
      </c>
      <c r="AM4945">
        <v>25000</v>
      </c>
      <c r="AS4945">
        <v>0.1</v>
      </c>
      <c r="AT4945" t="s">
        <v>288</v>
      </c>
      <c r="AU4945" t="s">
        <v>215</v>
      </c>
      <c r="AV4945" t="s">
        <v>20733</v>
      </c>
    </row>
    <row r="4946" spans="1:48">
      <c r="A4946" s="1">
        <f>HYPERLINK("https://lsnyc.legalserver.org/matter/dynamic-profile/view/1895658","19-1895658")</f>
        <v>0</v>
      </c>
      <c r="B4946" t="s">
        <v>83</v>
      </c>
      <c r="C4946" t="s">
        <v>256</v>
      </c>
      <c r="D4946" t="s">
        <v>360</v>
      </c>
      <c r="F4946" t="s">
        <v>2961</v>
      </c>
      <c r="G4946" t="s">
        <v>3387</v>
      </c>
      <c r="H4946" t="s">
        <v>6704</v>
      </c>
      <c r="I4946" t="s">
        <v>8160</v>
      </c>
      <c r="J4946" t="s">
        <v>9059</v>
      </c>
      <c r="K4946">
        <v>11225</v>
      </c>
      <c r="L4946" t="s">
        <v>9094</v>
      </c>
      <c r="M4946" t="s">
        <v>9094</v>
      </c>
      <c r="O4946" t="s">
        <v>11132</v>
      </c>
      <c r="P4946" t="s">
        <v>11165</v>
      </c>
      <c r="R4946" t="s">
        <v>11180</v>
      </c>
      <c r="S4946" t="s">
        <v>9094</v>
      </c>
      <c r="T4946" t="s">
        <v>11183</v>
      </c>
      <c r="V4946" t="s">
        <v>360</v>
      </c>
      <c r="W4946">
        <v>1928.63</v>
      </c>
      <c r="X4946" t="s">
        <v>11332</v>
      </c>
      <c r="Z4946" t="s">
        <v>14544</v>
      </c>
      <c r="AC4946">
        <v>0</v>
      </c>
      <c r="AF4946">
        <v>8</v>
      </c>
      <c r="AG4946">
        <v>1</v>
      </c>
      <c r="AH4946">
        <v>0</v>
      </c>
      <c r="AI4946">
        <v>200.16</v>
      </c>
      <c r="AL4946" t="s">
        <v>19614</v>
      </c>
      <c r="AM4946">
        <v>25000</v>
      </c>
      <c r="AS4946">
        <v>0</v>
      </c>
      <c r="AU4946" t="s">
        <v>215</v>
      </c>
    </row>
    <row r="4947" spans="1:48">
      <c r="A4947" s="1">
        <f>HYPERLINK("https://lsnyc.legalserver.org/matter/dynamic-profile/view/1894656","19-1894656")</f>
        <v>0</v>
      </c>
      <c r="B4947" t="s">
        <v>83</v>
      </c>
      <c r="C4947" t="s">
        <v>256</v>
      </c>
      <c r="D4947" t="s">
        <v>502</v>
      </c>
      <c r="F4947" t="s">
        <v>2961</v>
      </c>
      <c r="G4947" t="s">
        <v>3387</v>
      </c>
      <c r="H4947" t="s">
        <v>6704</v>
      </c>
      <c r="I4947" t="s">
        <v>8160</v>
      </c>
      <c r="J4947" t="s">
        <v>9059</v>
      </c>
      <c r="K4947">
        <v>11225</v>
      </c>
      <c r="L4947" t="s">
        <v>9094</v>
      </c>
      <c r="M4947" t="s">
        <v>9094</v>
      </c>
      <c r="N4947" t="s">
        <v>9304</v>
      </c>
      <c r="O4947" t="s">
        <v>11134</v>
      </c>
      <c r="P4947" t="s">
        <v>11168</v>
      </c>
      <c r="R4947" t="s">
        <v>11180</v>
      </c>
      <c r="S4947" t="s">
        <v>9094</v>
      </c>
      <c r="T4947" t="s">
        <v>11183</v>
      </c>
      <c r="V4947" t="s">
        <v>421</v>
      </c>
      <c r="W4947">
        <v>1928.63</v>
      </c>
      <c r="X4947" t="s">
        <v>11332</v>
      </c>
      <c r="Z4947" t="s">
        <v>14544</v>
      </c>
      <c r="AC4947">
        <v>0</v>
      </c>
      <c r="AF4947">
        <v>8</v>
      </c>
      <c r="AG4947">
        <v>1</v>
      </c>
      <c r="AH4947">
        <v>0</v>
      </c>
      <c r="AI4947">
        <v>200.16</v>
      </c>
      <c r="AL4947" t="s">
        <v>19614</v>
      </c>
      <c r="AM4947">
        <v>25000</v>
      </c>
      <c r="AN4947" t="s">
        <v>19825</v>
      </c>
      <c r="AS4947">
        <v>0</v>
      </c>
      <c r="AU4947" t="s">
        <v>215</v>
      </c>
      <c r="AV4947" t="s">
        <v>20733</v>
      </c>
    </row>
    <row r="4948" spans="1:48">
      <c r="A4948" s="1">
        <f>HYPERLINK("https://lsnyc.legalserver.org/matter/dynamic-profile/view/1892034","19-1892034")</f>
        <v>0</v>
      </c>
      <c r="B4948" t="s">
        <v>72</v>
      </c>
      <c r="C4948" t="s">
        <v>257</v>
      </c>
      <c r="D4948" t="s">
        <v>868</v>
      </c>
      <c r="E4948" t="s">
        <v>457</v>
      </c>
      <c r="F4948" t="s">
        <v>2962</v>
      </c>
      <c r="G4948" t="s">
        <v>5243</v>
      </c>
      <c r="H4948" t="s">
        <v>7847</v>
      </c>
      <c r="I4948" t="s">
        <v>8392</v>
      </c>
      <c r="J4948" t="s">
        <v>9059</v>
      </c>
      <c r="K4948">
        <v>11212</v>
      </c>
      <c r="L4948" t="s">
        <v>9094</v>
      </c>
      <c r="M4948" t="s">
        <v>9094</v>
      </c>
      <c r="N4948" t="s">
        <v>10878</v>
      </c>
      <c r="O4948" t="s">
        <v>11129</v>
      </c>
      <c r="P4948" t="s">
        <v>11164</v>
      </c>
      <c r="Q4948" t="s">
        <v>11172</v>
      </c>
      <c r="R4948" t="s">
        <v>11180</v>
      </c>
      <c r="S4948" t="s">
        <v>9096</v>
      </c>
      <c r="T4948" t="s">
        <v>11183</v>
      </c>
      <c r="V4948" t="s">
        <v>868</v>
      </c>
      <c r="W4948">
        <v>1049.49</v>
      </c>
      <c r="X4948" t="s">
        <v>11332</v>
      </c>
      <c r="Y4948" t="s">
        <v>11340</v>
      </c>
      <c r="Z4948" t="s">
        <v>14545</v>
      </c>
      <c r="AB4948" t="s">
        <v>18867</v>
      </c>
      <c r="AC4948">
        <v>54</v>
      </c>
      <c r="AD4948" t="s">
        <v>19566</v>
      </c>
      <c r="AE4948" t="s">
        <v>9144</v>
      </c>
      <c r="AF4948">
        <v>15</v>
      </c>
      <c r="AG4948">
        <v>1</v>
      </c>
      <c r="AH4948">
        <v>0</v>
      </c>
      <c r="AI4948">
        <v>200.16</v>
      </c>
      <c r="AL4948" t="s">
        <v>19614</v>
      </c>
      <c r="AM4948">
        <v>25000</v>
      </c>
      <c r="AS4948">
        <v>2.25</v>
      </c>
      <c r="AT4948" t="s">
        <v>284</v>
      </c>
      <c r="AU4948" t="s">
        <v>79</v>
      </c>
      <c r="AV4948" t="s">
        <v>20733</v>
      </c>
    </row>
    <row r="4949" spans="1:48">
      <c r="A4949" s="1">
        <f>HYPERLINK("https://lsnyc.legalserver.org/matter/dynamic-profile/view/1907325","19-1907325")</f>
        <v>0</v>
      </c>
      <c r="B4949" t="s">
        <v>119</v>
      </c>
      <c r="C4949" t="s">
        <v>256</v>
      </c>
      <c r="D4949" t="s">
        <v>268</v>
      </c>
      <c r="F4949" t="s">
        <v>2963</v>
      </c>
      <c r="G4949" t="s">
        <v>5244</v>
      </c>
      <c r="H4949" t="s">
        <v>6797</v>
      </c>
      <c r="I4949">
        <v>1</v>
      </c>
      <c r="J4949" t="s">
        <v>9065</v>
      </c>
      <c r="K4949">
        <v>10451</v>
      </c>
      <c r="L4949" t="s">
        <v>9094</v>
      </c>
      <c r="M4949" t="s">
        <v>9095</v>
      </c>
      <c r="P4949" t="s">
        <v>11164</v>
      </c>
      <c r="R4949" t="s">
        <v>11180</v>
      </c>
      <c r="S4949" t="s">
        <v>9094</v>
      </c>
      <c r="T4949" t="s">
        <v>11183</v>
      </c>
      <c r="U4949" t="s">
        <v>11201</v>
      </c>
      <c r="W4949">
        <v>1098</v>
      </c>
      <c r="X4949" t="s">
        <v>11333</v>
      </c>
      <c r="Y4949" t="s">
        <v>11346</v>
      </c>
      <c r="Z4949" t="s">
        <v>14546</v>
      </c>
      <c r="AB4949" t="s">
        <v>18868</v>
      </c>
      <c r="AC4949">
        <v>14</v>
      </c>
      <c r="AD4949" t="s">
        <v>19566</v>
      </c>
      <c r="AE4949" t="s">
        <v>9144</v>
      </c>
      <c r="AF4949">
        <v>7</v>
      </c>
      <c r="AG4949">
        <v>1</v>
      </c>
      <c r="AH4949">
        <v>0</v>
      </c>
      <c r="AI4949">
        <v>200.16</v>
      </c>
      <c r="AL4949" t="s">
        <v>19614</v>
      </c>
      <c r="AM4949">
        <v>25000</v>
      </c>
      <c r="AS4949">
        <v>0</v>
      </c>
      <c r="AU4949" t="s">
        <v>163</v>
      </c>
      <c r="AV4949" t="s">
        <v>20733</v>
      </c>
    </row>
    <row r="4950" spans="1:48">
      <c r="A4950" s="1">
        <f>HYPERLINK("https://lsnyc.legalserver.org/matter/dynamic-profile/view/1909942","19-1909942")</f>
        <v>0</v>
      </c>
      <c r="B4950" t="s">
        <v>125</v>
      </c>
      <c r="C4950" t="s">
        <v>256</v>
      </c>
      <c r="D4950" t="s">
        <v>308</v>
      </c>
      <c r="F4950" t="s">
        <v>2964</v>
      </c>
      <c r="G4950" t="s">
        <v>3388</v>
      </c>
      <c r="H4950" t="s">
        <v>7848</v>
      </c>
      <c r="J4950" t="s">
        <v>9066</v>
      </c>
      <c r="K4950">
        <v>10310</v>
      </c>
      <c r="L4950" t="s">
        <v>9094</v>
      </c>
      <c r="M4950" t="s">
        <v>9095</v>
      </c>
      <c r="N4950" t="s">
        <v>9154</v>
      </c>
      <c r="O4950" t="s">
        <v>9121</v>
      </c>
      <c r="P4950" t="s">
        <v>11164</v>
      </c>
      <c r="R4950" t="s">
        <v>11181</v>
      </c>
      <c r="S4950" t="s">
        <v>9096</v>
      </c>
      <c r="T4950" t="s">
        <v>11183</v>
      </c>
      <c r="U4950" t="s">
        <v>11201</v>
      </c>
      <c r="V4950" t="s">
        <v>992</v>
      </c>
      <c r="W4950">
        <v>1500</v>
      </c>
      <c r="X4950" t="s">
        <v>11334</v>
      </c>
      <c r="Y4950" t="s">
        <v>11337</v>
      </c>
      <c r="Z4950" t="s">
        <v>14547</v>
      </c>
      <c r="AB4950" t="s">
        <v>18869</v>
      </c>
      <c r="AC4950">
        <v>2</v>
      </c>
      <c r="AD4950" t="s">
        <v>19565</v>
      </c>
      <c r="AE4950" t="s">
        <v>19582</v>
      </c>
      <c r="AF4950">
        <v>0</v>
      </c>
      <c r="AG4950">
        <v>1</v>
      </c>
      <c r="AH4950">
        <v>0</v>
      </c>
      <c r="AI4950">
        <v>200.16</v>
      </c>
      <c r="AJ4950" t="s">
        <v>19591</v>
      </c>
      <c r="AK4950" t="s">
        <v>19608</v>
      </c>
      <c r="AL4950" t="s">
        <v>19614</v>
      </c>
      <c r="AM4950">
        <v>25000</v>
      </c>
      <c r="AS4950">
        <v>2.3</v>
      </c>
      <c r="AT4950" t="s">
        <v>488</v>
      </c>
      <c r="AU4950" t="s">
        <v>125</v>
      </c>
      <c r="AV4950" t="s">
        <v>20733</v>
      </c>
    </row>
    <row r="4951" spans="1:48">
      <c r="A4951" s="1">
        <f>HYPERLINK("https://lsnyc.legalserver.org/matter/dynamic-profile/view/1905662","19-1905662")</f>
        <v>0</v>
      </c>
      <c r="B4951" t="s">
        <v>147</v>
      </c>
      <c r="C4951" t="s">
        <v>257</v>
      </c>
      <c r="D4951" t="s">
        <v>396</v>
      </c>
      <c r="E4951" t="s">
        <v>563</v>
      </c>
      <c r="F4951" t="s">
        <v>2965</v>
      </c>
      <c r="G4951" t="s">
        <v>5245</v>
      </c>
      <c r="H4951" t="s">
        <v>7849</v>
      </c>
      <c r="I4951" t="s">
        <v>8903</v>
      </c>
      <c r="J4951" t="s">
        <v>9066</v>
      </c>
      <c r="K4951">
        <v>10304</v>
      </c>
      <c r="L4951" t="s">
        <v>9094</v>
      </c>
      <c r="M4951" t="s">
        <v>9095</v>
      </c>
      <c r="N4951" t="s">
        <v>10879</v>
      </c>
      <c r="O4951" t="s">
        <v>11129</v>
      </c>
      <c r="P4951" t="s">
        <v>11165</v>
      </c>
      <c r="Q4951" t="s">
        <v>11174</v>
      </c>
      <c r="R4951" t="s">
        <v>11180</v>
      </c>
      <c r="S4951" t="s">
        <v>9096</v>
      </c>
      <c r="T4951" t="s">
        <v>11183</v>
      </c>
      <c r="U4951" t="s">
        <v>11201</v>
      </c>
      <c r="V4951" t="s">
        <v>333</v>
      </c>
      <c r="W4951">
        <v>583</v>
      </c>
      <c r="X4951" t="s">
        <v>11334</v>
      </c>
      <c r="Y4951" t="s">
        <v>11345</v>
      </c>
      <c r="Z4951" t="s">
        <v>14275</v>
      </c>
      <c r="AB4951" t="s">
        <v>18870</v>
      </c>
      <c r="AC4951">
        <v>134</v>
      </c>
      <c r="AD4951" t="s">
        <v>19567</v>
      </c>
      <c r="AE4951" t="s">
        <v>9144</v>
      </c>
      <c r="AF4951">
        <v>4</v>
      </c>
      <c r="AG4951">
        <v>1</v>
      </c>
      <c r="AH4951">
        <v>0</v>
      </c>
      <c r="AI4951">
        <v>200.16</v>
      </c>
      <c r="AL4951" t="s">
        <v>19614</v>
      </c>
      <c r="AM4951">
        <v>25000</v>
      </c>
      <c r="AO4951" t="s">
        <v>20299</v>
      </c>
      <c r="AP4951" t="s">
        <v>20309</v>
      </c>
      <c r="AQ4951" t="s">
        <v>20369</v>
      </c>
      <c r="AR4951" t="s">
        <v>20433</v>
      </c>
      <c r="AS4951">
        <v>7.7</v>
      </c>
      <c r="AT4951" t="s">
        <v>294</v>
      </c>
      <c r="AU4951" t="s">
        <v>20652</v>
      </c>
      <c r="AV4951" t="s">
        <v>20733</v>
      </c>
    </row>
    <row r="4952" spans="1:48">
      <c r="A4952" s="1">
        <f>HYPERLINK("https://lsnyc.legalserver.org/matter/dynamic-profile/view/1902417","19-1902417")</f>
        <v>0</v>
      </c>
      <c r="B4952" t="s">
        <v>196</v>
      </c>
      <c r="C4952" t="s">
        <v>256</v>
      </c>
      <c r="D4952" t="s">
        <v>798</v>
      </c>
      <c r="F4952" t="s">
        <v>2966</v>
      </c>
      <c r="G4952" t="s">
        <v>5246</v>
      </c>
      <c r="H4952" t="s">
        <v>7850</v>
      </c>
      <c r="I4952" t="s">
        <v>8270</v>
      </c>
      <c r="J4952" t="s">
        <v>9067</v>
      </c>
      <c r="K4952">
        <v>10029</v>
      </c>
      <c r="L4952" t="s">
        <v>9094</v>
      </c>
      <c r="M4952" t="s">
        <v>9095</v>
      </c>
      <c r="N4952" t="s">
        <v>10880</v>
      </c>
      <c r="O4952" t="s">
        <v>11128</v>
      </c>
      <c r="P4952" t="s">
        <v>11164</v>
      </c>
      <c r="R4952" t="s">
        <v>11180</v>
      </c>
      <c r="S4952" t="s">
        <v>9096</v>
      </c>
      <c r="T4952" t="s">
        <v>11190</v>
      </c>
      <c r="V4952" t="s">
        <v>798</v>
      </c>
      <c r="W4952">
        <v>1124</v>
      </c>
      <c r="X4952" t="s">
        <v>11335</v>
      </c>
      <c r="Z4952" t="s">
        <v>14548</v>
      </c>
      <c r="AB4952" t="s">
        <v>18871</v>
      </c>
      <c r="AC4952">
        <v>0</v>
      </c>
      <c r="AD4952" t="s">
        <v>19567</v>
      </c>
      <c r="AE4952" t="s">
        <v>19580</v>
      </c>
      <c r="AF4952">
        <v>2</v>
      </c>
      <c r="AG4952">
        <v>1</v>
      </c>
      <c r="AH4952">
        <v>0</v>
      </c>
      <c r="AI4952">
        <v>200.16</v>
      </c>
      <c r="AL4952" t="s">
        <v>19614</v>
      </c>
      <c r="AM4952">
        <v>25000</v>
      </c>
      <c r="AS4952">
        <v>1.7</v>
      </c>
      <c r="AT4952" t="s">
        <v>785</v>
      </c>
      <c r="AU4952" t="s">
        <v>20655</v>
      </c>
      <c r="AV4952" t="s">
        <v>20733</v>
      </c>
    </row>
    <row r="4953" spans="1:48">
      <c r="A4953" s="1">
        <f>HYPERLINK("https://lsnyc.legalserver.org/matter/dynamic-profile/view/1863783","18-1863783")</f>
        <v>0</v>
      </c>
      <c r="B4953" t="s">
        <v>136</v>
      </c>
      <c r="C4953" t="s">
        <v>256</v>
      </c>
      <c r="D4953" t="s">
        <v>504</v>
      </c>
      <c r="F4953" t="s">
        <v>2967</v>
      </c>
      <c r="G4953" t="s">
        <v>5247</v>
      </c>
      <c r="H4953" t="s">
        <v>5961</v>
      </c>
      <c r="I4953">
        <v>8030</v>
      </c>
      <c r="J4953" t="s">
        <v>9067</v>
      </c>
      <c r="K4953">
        <v>10029</v>
      </c>
      <c r="L4953" t="s">
        <v>9094</v>
      </c>
      <c r="M4953" t="s">
        <v>9094</v>
      </c>
      <c r="N4953" t="s">
        <v>9287</v>
      </c>
      <c r="O4953" t="s">
        <v>11130</v>
      </c>
      <c r="P4953" t="s">
        <v>11165</v>
      </c>
      <c r="R4953" t="s">
        <v>11180</v>
      </c>
      <c r="S4953" t="s">
        <v>9094</v>
      </c>
      <c r="T4953" t="s">
        <v>11183</v>
      </c>
      <c r="U4953" t="s">
        <v>11201</v>
      </c>
      <c r="V4953" t="s">
        <v>651</v>
      </c>
      <c r="W4953">
        <v>0</v>
      </c>
      <c r="X4953" t="s">
        <v>11335</v>
      </c>
      <c r="Y4953" t="s">
        <v>11339</v>
      </c>
      <c r="Z4953" t="s">
        <v>14549</v>
      </c>
      <c r="AB4953" t="s">
        <v>18872</v>
      </c>
      <c r="AC4953">
        <v>108</v>
      </c>
      <c r="AD4953" t="s">
        <v>19567</v>
      </c>
      <c r="AE4953" t="s">
        <v>19580</v>
      </c>
      <c r="AF4953">
        <v>6</v>
      </c>
      <c r="AG4953">
        <v>2</v>
      </c>
      <c r="AH4953">
        <v>1</v>
      </c>
      <c r="AI4953">
        <v>200.19</v>
      </c>
      <c r="AL4953" t="s">
        <v>19614</v>
      </c>
      <c r="AM4953">
        <v>41600</v>
      </c>
      <c r="AN4953" t="s">
        <v>19697</v>
      </c>
      <c r="AS4953">
        <v>0.6</v>
      </c>
      <c r="AT4953" t="s">
        <v>293</v>
      </c>
      <c r="AU4953" t="s">
        <v>20657</v>
      </c>
    </row>
    <row r="4954" spans="1:48">
      <c r="A4954" s="1">
        <f>HYPERLINK("https://lsnyc.legalserver.org/matter/dynamic-profile/view/1860718","18-1860718")</f>
        <v>0</v>
      </c>
      <c r="B4954" t="s">
        <v>80</v>
      </c>
      <c r="C4954" t="s">
        <v>256</v>
      </c>
      <c r="D4954" t="s">
        <v>737</v>
      </c>
      <c r="F4954" t="s">
        <v>1152</v>
      </c>
      <c r="G4954" t="s">
        <v>5248</v>
      </c>
      <c r="H4954" t="s">
        <v>7851</v>
      </c>
      <c r="I4954" t="s">
        <v>8555</v>
      </c>
      <c r="J4954" t="s">
        <v>9059</v>
      </c>
      <c r="K4954">
        <v>11235</v>
      </c>
      <c r="L4954" t="s">
        <v>9096</v>
      </c>
      <c r="M4954" t="s">
        <v>9095</v>
      </c>
      <c r="N4954" t="s">
        <v>10881</v>
      </c>
      <c r="O4954" t="s">
        <v>11129</v>
      </c>
      <c r="P4954" t="s">
        <v>11165</v>
      </c>
      <c r="R4954" t="s">
        <v>11180</v>
      </c>
      <c r="S4954" t="s">
        <v>9096</v>
      </c>
      <c r="T4954" t="s">
        <v>11183</v>
      </c>
      <c r="W4954">
        <v>1500</v>
      </c>
      <c r="X4954" t="s">
        <v>11332</v>
      </c>
      <c r="Y4954" t="s">
        <v>11340</v>
      </c>
      <c r="Z4954" t="s">
        <v>14550</v>
      </c>
      <c r="AB4954" t="s">
        <v>18873</v>
      </c>
      <c r="AC4954">
        <v>5</v>
      </c>
      <c r="AD4954" t="s">
        <v>19566</v>
      </c>
      <c r="AE4954" t="s">
        <v>9144</v>
      </c>
      <c r="AF4954">
        <v>2</v>
      </c>
      <c r="AG4954">
        <v>2</v>
      </c>
      <c r="AH4954">
        <v>0</v>
      </c>
      <c r="AI4954">
        <v>200.49</v>
      </c>
      <c r="AL4954" t="s">
        <v>19614</v>
      </c>
      <c r="AM4954">
        <v>33000</v>
      </c>
      <c r="AS4954">
        <v>22.7</v>
      </c>
      <c r="AT4954" t="s">
        <v>864</v>
      </c>
      <c r="AU4954" t="s">
        <v>20630</v>
      </c>
    </row>
    <row r="4955" spans="1:48">
      <c r="A4955" s="1">
        <f>HYPERLINK("https://lsnyc.legalserver.org/matter/dynamic-profile/view/1899509","19-1899509")</f>
        <v>0</v>
      </c>
      <c r="B4955" t="s">
        <v>119</v>
      </c>
      <c r="C4955" t="s">
        <v>257</v>
      </c>
      <c r="D4955" t="s">
        <v>454</v>
      </c>
      <c r="E4955" t="s">
        <v>664</v>
      </c>
      <c r="F4955" t="s">
        <v>1381</v>
      </c>
      <c r="G4955" t="s">
        <v>3749</v>
      </c>
      <c r="H4955" t="s">
        <v>7852</v>
      </c>
      <c r="I4955" t="s">
        <v>8270</v>
      </c>
      <c r="J4955" t="s">
        <v>9065</v>
      </c>
      <c r="K4955">
        <v>10452</v>
      </c>
      <c r="L4955" t="s">
        <v>9094</v>
      </c>
      <c r="M4955" t="s">
        <v>9095</v>
      </c>
      <c r="O4955" t="s">
        <v>9121</v>
      </c>
      <c r="P4955" t="s">
        <v>11164</v>
      </c>
      <c r="Q4955" t="s">
        <v>11172</v>
      </c>
      <c r="R4955" t="s">
        <v>11180</v>
      </c>
      <c r="S4955" t="s">
        <v>9096</v>
      </c>
      <c r="T4955" t="s">
        <v>11183</v>
      </c>
      <c r="V4955" t="s">
        <v>11218</v>
      </c>
      <c r="W4955">
        <v>1153</v>
      </c>
      <c r="X4955" t="s">
        <v>11333</v>
      </c>
      <c r="Y4955" t="s">
        <v>11346</v>
      </c>
      <c r="Z4955" t="s">
        <v>14551</v>
      </c>
      <c r="AB4955" t="s">
        <v>18874</v>
      </c>
      <c r="AC4955">
        <v>61</v>
      </c>
      <c r="AD4955" t="s">
        <v>15441</v>
      </c>
      <c r="AE4955" t="s">
        <v>19580</v>
      </c>
      <c r="AF4955">
        <v>4</v>
      </c>
      <c r="AG4955">
        <v>1</v>
      </c>
      <c r="AH4955">
        <v>0</v>
      </c>
      <c r="AI4955">
        <v>200.62</v>
      </c>
      <c r="AL4955" t="s">
        <v>19615</v>
      </c>
      <c r="AM4955">
        <v>25057.2</v>
      </c>
      <c r="AN4955" t="s">
        <v>20063</v>
      </c>
      <c r="AS4955">
        <v>0.5</v>
      </c>
      <c r="AT4955" t="s">
        <v>760</v>
      </c>
      <c r="AU4955" t="s">
        <v>163</v>
      </c>
      <c r="AV4955" t="s">
        <v>20733</v>
      </c>
    </row>
    <row r="4956" spans="1:48">
      <c r="A4956" s="1">
        <f>HYPERLINK("https://lsnyc.legalserver.org/matter/dynamic-profile/view/1840475","17-1840475")</f>
        <v>0</v>
      </c>
      <c r="B4956" t="s">
        <v>141</v>
      </c>
      <c r="C4956" t="s">
        <v>256</v>
      </c>
      <c r="D4956" t="s">
        <v>730</v>
      </c>
      <c r="F4956" t="s">
        <v>2968</v>
      </c>
      <c r="G4956" t="s">
        <v>3999</v>
      </c>
      <c r="H4956" t="s">
        <v>6450</v>
      </c>
      <c r="I4956" t="s">
        <v>8223</v>
      </c>
      <c r="J4956" t="s">
        <v>9067</v>
      </c>
      <c r="K4956">
        <v>10034</v>
      </c>
      <c r="L4956" t="s">
        <v>9094</v>
      </c>
      <c r="M4956" t="s">
        <v>9095</v>
      </c>
      <c r="N4956" t="s">
        <v>9881</v>
      </c>
      <c r="O4956" t="s">
        <v>11128</v>
      </c>
      <c r="P4956" t="s">
        <v>11165</v>
      </c>
      <c r="R4956" t="s">
        <v>11180</v>
      </c>
      <c r="S4956" t="s">
        <v>9096</v>
      </c>
      <c r="T4956" t="s">
        <v>11183</v>
      </c>
      <c r="V4956" t="s">
        <v>837</v>
      </c>
      <c r="W4956">
        <v>1067</v>
      </c>
      <c r="X4956" t="s">
        <v>11335</v>
      </c>
      <c r="Y4956" t="s">
        <v>11338</v>
      </c>
      <c r="Z4956" t="s">
        <v>14552</v>
      </c>
      <c r="AB4956" t="s">
        <v>18875</v>
      </c>
      <c r="AC4956">
        <v>49</v>
      </c>
      <c r="AD4956" t="s">
        <v>19566</v>
      </c>
      <c r="AE4956" t="s">
        <v>9144</v>
      </c>
      <c r="AF4956">
        <v>14</v>
      </c>
      <c r="AG4956">
        <v>3</v>
      </c>
      <c r="AH4956">
        <v>0</v>
      </c>
      <c r="AI4956">
        <v>200.76</v>
      </c>
      <c r="AL4956" t="s">
        <v>19614</v>
      </c>
      <c r="AM4956">
        <v>40995</v>
      </c>
      <c r="AS4956">
        <v>193.05</v>
      </c>
      <c r="AT4956" t="s">
        <v>470</v>
      </c>
      <c r="AU4956" t="s">
        <v>130</v>
      </c>
      <c r="AV4956" t="s">
        <v>20733</v>
      </c>
    </row>
    <row r="4957" spans="1:48">
      <c r="A4957" s="1">
        <f>HYPERLINK("https://lsnyc.legalserver.org/matter/dynamic-profile/view/1855958","18-1855958")</f>
        <v>0</v>
      </c>
      <c r="B4957" t="s">
        <v>78</v>
      </c>
      <c r="C4957" t="s">
        <v>256</v>
      </c>
      <c r="D4957" t="s">
        <v>818</v>
      </c>
      <c r="F4957" t="s">
        <v>2969</v>
      </c>
      <c r="G4957" t="s">
        <v>5249</v>
      </c>
      <c r="H4957" t="s">
        <v>6277</v>
      </c>
      <c r="I4957" t="s">
        <v>8160</v>
      </c>
      <c r="J4957" t="s">
        <v>9059</v>
      </c>
      <c r="K4957">
        <v>11206</v>
      </c>
      <c r="L4957" t="s">
        <v>9094</v>
      </c>
      <c r="M4957" t="s">
        <v>9095</v>
      </c>
      <c r="N4957" t="s">
        <v>9553</v>
      </c>
      <c r="O4957" t="s">
        <v>11134</v>
      </c>
      <c r="P4957" t="s">
        <v>11168</v>
      </c>
      <c r="R4957" t="s">
        <v>11180</v>
      </c>
      <c r="S4957" t="s">
        <v>9094</v>
      </c>
      <c r="T4957" t="s">
        <v>11183</v>
      </c>
      <c r="V4957" t="s">
        <v>977</v>
      </c>
      <c r="W4957">
        <v>811</v>
      </c>
      <c r="X4957" t="s">
        <v>11332</v>
      </c>
      <c r="Z4957" t="s">
        <v>14553</v>
      </c>
      <c r="AC4957">
        <v>29</v>
      </c>
      <c r="AD4957" t="s">
        <v>19566</v>
      </c>
      <c r="AE4957" t="s">
        <v>9144</v>
      </c>
      <c r="AF4957">
        <v>6</v>
      </c>
      <c r="AG4957">
        <v>1</v>
      </c>
      <c r="AH4957">
        <v>2</v>
      </c>
      <c r="AI4957">
        <v>200.78</v>
      </c>
      <c r="AJ4957" t="s">
        <v>11246</v>
      </c>
      <c r="AL4957" t="s">
        <v>19614</v>
      </c>
      <c r="AM4957">
        <v>41000</v>
      </c>
      <c r="AS4957">
        <v>5</v>
      </c>
      <c r="AT4957" t="s">
        <v>719</v>
      </c>
      <c r="AU4957" t="s">
        <v>95</v>
      </c>
    </row>
    <row r="4958" spans="1:48">
      <c r="A4958" s="1">
        <f>HYPERLINK("https://lsnyc.legalserver.org/matter/dynamic-profile/view/1909441","19-1909441")</f>
        <v>0</v>
      </c>
      <c r="B4958" t="s">
        <v>122</v>
      </c>
      <c r="C4958" t="s">
        <v>257</v>
      </c>
      <c r="D4958" t="s">
        <v>339</v>
      </c>
      <c r="E4958" t="s">
        <v>728</v>
      </c>
      <c r="F4958" t="s">
        <v>2970</v>
      </c>
      <c r="G4958" t="s">
        <v>3628</v>
      </c>
      <c r="H4958" t="s">
        <v>7853</v>
      </c>
      <c r="I4958">
        <v>2</v>
      </c>
      <c r="J4958" t="s">
        <v>9066</v>
      </c>
      <c r="K4958">
        <v>10306</v>
      </c>
      <c r="L4958" t="s">
        <v>9094</v>
      </c>
      <c r="M4958" t="s">
        <v>9095</v>
      </c>
      <c r="N4958" t="s">
        <v>9102</v>
      </c>
      <c r="O4958" t="s">
        <v>9121</v>
      </c>
      <c r="P4958" t="s">
        <v>11164</v>
      </c>
      <c r="Q4958" t="s">
        <v>11172</v>
      </c>
      <c r="R4958" t="s">
        <v>11181</v>
      </c>
      <c r="S4958" t="s">
        <v>9096</v>
      </c>
      <c r="T4958" t="s">
        <v>11183</v>
      </c>
      <c r="U4958" t="s">
        <v>11201</v>
      </c>
      <c r="V4958" t="s">
        <v>339</v>
      </c>
      <c r="W4958">
        <v>0</v>
      </c>
      <c r="X4958" t="s">
        <v>11334</v>
      </c>
      <c r="Y4958" t="s">
        <v>11337</v>
      </c>
      <c r="Z4958" t="s">
        <v>14554</v>
      </c>
      <c r="AB4958" t="s">
        <v>18876</v>
      </c>
      <c r="AC4958">
        <v>20</v>
      </c>
      <c r="AD4958" t="s">
        <v>19565</v>
      </c>
      <c r="AE4958" t="s">
        <v>9144</v>
      </c>
      <c r="AF4958">
        <v>2</v>
      </c>
      <c r="AG4958">
        <v>2</v>
      </c>
      <c r="AH4958">
        <v>1</v>
      </c>
      <c r="AI4958">
        <v>200.79</v>
      </c>
      <c r="AJ4958" t="s">
        <v>19591</v>
      </c>
      <c r="AK4958" t="s">
        <v>19608</v>
      </c>
      <c r="AL4958" t="s">
        <v>19615</v>
      </c>
      <c r="AM4958">
        <v>42828</v>
      </c>
      <c r="AS4958">
        <v>1.9</v>
      </c>
      <c r="AT4958" t="s">
        <v>728</v>
      </c>
      <c r="AU4958" t="s">
        <v>122</v>
      </c>
      <c r="AV4958" t="s">
        <v>20733</v>
      </c>
    </row>
    <row r="4959" spans="1:48">
      <c r="A4959" s="1">
        <f>HYPERLINK("https://lsnyc.legalserver.org/matter/dynamic-profile/view/0769528","15-0769528")</f>
        <v>0</v>
      </c>
      <c r="B4959" t="s">
        <v>86</v>
      </c>
      <c r="C4959" t="s">
        <v>256</v>
      </c>
      <c r="D4959" t="s">
        <v>1090</v>
      </c>
      <c r="F4959" t="s">
        <v>2971</v>
      </c>
      <c r="G4959" t="s">
        <v>3344</v>
      </c>
      <c r="H4959" t="s">
        <v>7787</v>
      </c>
      <c r="I4959" t="s">
        <v>8171</v>
      </c>
      <c r="J4959" t="s">
        <v>9059</v>
      </c>
      <c r="K4959">
        <v>11213</v>
      </c>
      <c r="L4959" t="s">
        <v>9096</v>
      </c>
      <c r="M4959" t="s">
        <v>9095</v>
      </c>
      <c r="N4959" t="s">
        <v>10882</v>
      </c>
      <c r="O4959" t="s">
        <v>11128</v>
      </c>
      <c r="P4959" t="s">
        <v>11165</v>
      </c>
      <c r="R4959" t="s">
        <v>11180</v>
      </c>
      <c r="T4959" t="s">
        <v>11183</v>
      </c>
      <c r="V4959" t="s">
        <v>11231</v>
      </c>
      <c r="W4959">
        <v>1575.48</v>
      </c>
      <c r="X4959" t="s">
        <v>11332</v>
      </c>
      <c r="Z4959" t="s">
        <v>12142</v>
      </c>
      <c r="AB4959" t="s">
        <v>18877</v>
      </c>
      <c r="AC4959">
        <v>23</v>
      </c>
      <c r="AD4959" t="s">
        <v>19566</v>
      </c>
      <c r="AF4959">
        <v>0</v>
      </c>
      <c r="AG4959">
        <v>3</v>
      </c>
      <c r="AH4959">
        <v>0</v>
      </c>
      <c r="AI4959">
        <v>200.91</v>
      </c>
      <c r="AJ4959" t="s">
        <v>805</v>
      </c>
      <c r="AL4959" t="s">
        <v>19614</v>
      </c>
      <c r="AM4959">
        <v>39760</v>
      </c>
      <c r="AS4959">
        <v>75</v>
      </c>
      <c r="AT4959" t="s">
        <v>868</v>
      </c>
      <c r="AU4959" t="s">
        <v>20675</v>
      </c>
    </row>
    <row r="4960" spans="1:48">
      <c r="A4960" s="1">
        <f>HYPERLINK("https://lsnyc.legalserver.org/matter/dynamic-profile/view/1908622","19-1908622")</f>
        <v>0</v>
      </c>
      <c r="B4960" t="s">
        <v>72</v>
      </c>
      <c r="C4960" t="s">
        <v>257</v>
      </c>
      <c r="D4960" t="s">
        <v>574</v>
      </c>
      <c r="E4960" t="s">
        <v>321</v>
      </c>
      <c r="F4960" t="s">
        <v>2972</v>
      </c>
      <c r="G4960" t="s">
        <v>3572</v>
      </c>
      <c r="H4960" t="s">
        <v>7006</v>
      </c>
      <c r="I4960" t="s">
        <v>8192</v>
      </c>
      <c r="J4960" t="s">
        <v>9059</v>
      </c>
      <c r="K4960">
        <v>11208</v>
      </c>
      <c r="L4960" t="s">
        <v>9094</v>
      </c>
      <c r="M4960" t="s">
        <v>9095</v>
      </c>
      <c r="N4960" t="s">
        <v>10883</v>
      </c>
      <c r="O4960" t="s">
        <v>11128</v>
      </c>
      <c r="P4960" t="s">
        <v>11164</v>
      </c>
      <c r="Q4960" t="s">
        <v>11172</v>
      </c>
      <c r="R4960" t="s">
        <v>11180</v>
      </c>
      <c r="S4960" t="s">
        <v>9096</v>
      </c>
      <c r="T4960" t="s">
        <v>11183</v>
      </c>
      <c r="U4960" t="s">
        <v>11201</v>
      </c>
      <c r="V4960" t="s">
        <v>335</v>
      </c>
      <c r="W4960">
        <v>0</v>
      </c>
      <c r="X4960" t="s">
        <v>11332</v>
      </c>
      <c r="Y4960" t="s">
        <v>11157</v>
      </c>
      <c r="Z4960" t="s">
        <v>12008</v>
      </c>
      <c r="AA4960" t="s">
        <v>9144</v>
      </c>
      <c r="AB4960" t="s">
        <v>18878</v>
      </c>
      <c r="AC4960">
        <v>24</v>
      </c>
      <c r="AE4960" t="s">
        <v>9144</v>
      </c>
      <c r="AF4960">
        <v>0</v>
      </c>
      <c r="AG4960">
        <v>2</v>
      </c>
      <c r="AH4960">
        <v>0</v>
      </c>
      <c r="AI4960">
        <v>201.06</v>
      </c>
      <c r="AL4960" t="s">
        <v>19614</v>
      </c>
      <c r="AM4960">
        <v>34000</v>
      </c>
      <c r="AS4960">
        <v>3.95</v>
      </c>
      <c r="AT4960" t="s">
        <v>446</v>
      </c>
      <c r="AU4960" t="s">
        <v>95</v>
      </c>
      <c r="AV4960" t="s">
        <v>20733</v>
      </c>
    </row>
    <row r="4961" spans="1:48">
      <c r="A4961" s="1">
        <f>HYPERLINK("https://lsnyc.legalserver.org/matter/dynamic-profile/view/1899126","19-1899126")</f>
        <v>0</v>
      </c>
      <c r="B4961" t="s">
        <v>140</v>
      </c>
      <c r="C4961" t="s">
        <v>256</v>
      </c>
      <c r="D4961" t="s">
        <v>492</v>
      </c>
      <c r="F4961" t="s">
        <v>2973</v>
      </c>
      <c r="G4961" t="s">
        <v>5250</v>
      </c>
      <c r="H4961" t="s">
        <v>7854</v>
      </c>
      <c r="I4961" t="s">
        <v>8649</v>
      </c>
      <c r="J4961" t="s">
        <v>9067</v>
      </c>
      <c r="K4961">
        <v>10128</v>
      </c>
      <c r="L4961" t="s">
        <v>9094</v>
      </c>
      <c r="M4961" t="s">
        <v>9095</v>
      </c>
      <c r="O4961" t="s">
        <v>11136</v>
      </c>
      <c r="P4961" t="s">
        <v>11164</v>
      </c>
      <c r="R4961" t="s">
        <v>11181</v>
      </c>
      <c r="S4961" t="s">
        <v>9096</v>
      </c>
      <c r="T4961" t="s">
        <v>11183</v>
      </c>
      <c r="V4961" t="s">
        <v>492</v>
      </c>
      <c r="W4961">
        <v>0</v>
      </c>
      <c r="X4961" t="s">
        <v>11335</v>
      </c>
      <c r="Y4961" t="s">
        <v>11337</v>
      </c>
      <c r="Z4961" t="s">
        <v>14555</v>
      </c>
      <c r="AC4961">
        <v>0</v>
      </c>
      <c r="AD4961" t="s">
        <v>19566</v>
      </c>
      <c r="AE4961" t="s">
        <v>11157</v>
      </c>
      <c r="AF4961">
        <v>0</v>
      </c>
      <c r="AG4961">
        <v>1</v>
      </c>
      <c r="AH4961">
        <v>1</v>
      </c>
      <c r="AI4961">
        <v>201.06</v>
      </c>
      <c r="AJ4961" t="s">
        <v>19591</v>
      </c>
      <c r="AK4961" t="s">
        <v>19608</v>
      </c>
      <c r="AL4961" t="s">
        <v>19614</v>
      </c>
      <c r="AM4961">
        <v>34000</v>
      </c>
      <c r="AS4961">
        <v>95</v>
      </c>
      <c r="AT4961" t="s">
        <v>556</v>
      </c>
      <c r="AU4961" t="s">
        <v>130</v>
      </c>
      <c r="AV4961" t="s">
        <v>20733</v>
      </c>
    </row>
    <row r="4962" spans="1:48">
      <c r="A4962" s="1">
        <f>HYPERLINK("https://lsnyc.legalserver.org/matter/dynamic-profile/view/1887677","18-1887677")</f>
        <v>0</v>
      </c>
      <c r="B4962" t="s">
        <v>113</v>
      </c>
      <c r="C4962" t="s">
        <v>256</v>
      </c>
      <c r="D4962" t="s">
        <v>629</v>
      </c>
      <c r="F4962" t="s">
        <v>1554</v>
      </c>
      <c r="G4962" t="s">
        <v>3544</v>
      </c>
      <c r="H4962" t="s">
        <v>5864</v>
      </c>
      <c r="I4962" t="s">
        <v>8234</v>
      </c>
      <c r="J4962" t="s">
        <v>9065</v>
      </c>
      <c r="K4962">
        <v>10460</v>
      </c>
      <c r="L4962" t="s">
        <v>9094</v>
      </c>
      <c r="M4962" t="s">
        <v>9094</v>
      </c>
      <c r="N4962" t="s">
        <v>9222</v>
      </c>
      <c r="O4962" t="s">
        <v>11130</v>
      </c>
      <c r="P4962" t="s">
        <v>11165</v>
      </c>
      <c r="R4962" t="s">
        <v>11180</v>
      </c>
      <c r="S4962" t="s">
        <v>9094</v>
      </c>
      <c r="T4962" t="s">
        <v>11183</v>
      </c>
      <c r="V4962" t="s">
        <v>512</v>
      </c>
      <c r="W4962">
        <v>1018</v>
      </c>
      <c r="X4962" t="s">
        <v>11333</v>
      </c>
      <c r="Y4962" t="s">
        <v>11346</v>
      </c>
      <c r="Z4962" t="s">
        <v>14508</v>
      </c>
      <c r="AB4962" t="s">
        <v>18828</v>
      </c>
      <c r="AC4962">
        <v>168</v>
      </c>
      <c r="AD4962" t="s">
        <v>19566</v>
      </c>
      <c r="AE4962" t="s">
        <v>19580</v>
      </c>
      <c r="AF4962">
        <v>14</v>
      </c>
      <c r="AG4962">
        <v>1</v>
      </c>
      <c r="AH4962">
        <v>1</v>
      </c>
      <c r="AI4962">
        <v>201.24</v>
      </c>
      <c r="AL4962" t="s">
        <v>19614</v>
      </c>
      <c r="AM4962">
        <v>33124</v>
      </c>
      <c r="AS4962">
        <v>2</v>
      </c>
      <c r="AT4962" t="s">
        <v>610</v>
      </c>
      <c r="AU4962" t="s">
        <v>163</v>
      </c>
    </row>
    <row r="4963" spans="1:48">
      <c r="A4963" s="1">
        <f>HYPERLINK("https://lsnyc.legalserver.org/matter/dynamic-profile/view/1909087","19-1909087")</f>
        <v>0</v>
      </c>
      <c r="B4963" t="s">
        <v>70</v>
      </c>
      <c r="C4963" t="s">
        <v>256</v>
      </c>
      <c r="D4963" t="s">
        <v>669</v>
      </c>
      <c r="F4963" t="s">
        <v>2974</v>
      </c>
      <c r="G4963" t="s">
        <v>5251</v>
      </c>
      <c r="H4963" t="s">
        <v>6474</v>
      </c>
      <c r="I4963" t="s">
        <v>8170</v>
      </c>
      <c r="J4963" t="s">
        <v>9059</v>
      </c>
      <c r="K4963">
        <v>11233</v>
      </c>
      <c r="L4963" t="s">
        <v>9094</v>
      </c>
      <c r="M4963" t="s">
        <v>9095</v>
      </c>
      <c r="N4963" t="s">
        <v>9147</v>
      </c>
      <c r="O4963" t="s">
        <v>11134</v>
      </c>
      <c r="P4963" t="s">
        <v>11168</v>
      </c>
      <c r="R4963" t="s">
        <v>11180</v>
      </c>
      <c r="S4963" t="s">
        <v>9094</v>
      </c>
      <c r="T4963" t="s">
        <v>11183</v>
      </c>
      <c r="U4963" t="s">
        <v>11201</v>
      </c>
      <c r="V4963" t="s">
        <v>11207</v>
      </c>
      <c r="W4963">
        <v>840.39</v>
      </c>
      <c r="X4963" t="s">
        <v>11332</v>
      </c>
      <c r="Y4963" t="s">
        <v>11157</v>
      </c>
      <c r="Z4963" t="s">
        <v>14556</v>
      </c>
      <c r="AC4963">
        <v>359</v>
      </c>
      <c r="AD4963" t="s">
        <v>19566</v>
      </c>
      <c r="AE4963" t="s">
        <v>9144</v>
      </c>
      <c r="AF4963">
        <v>8</v>
      </c>
      <c r="AG4963">
        <v>2</v>
      </c>
      <c r="AH4963">
        <v>1</v>
      </c>
      <c r="AI4963">
        <v>201.59</v>
      </c>
      <c r="AL4963" t="s">
        <v>19614</v>
      </c>
      <c r="AM4963">
        <v>43000</v>
      </c>
      <c r="AN4963" t="s">
        <v>19973</v>
      </c>
      <c r="AS4963">
        <v>0</v>
      </c>
      <c r="AU4963" t="s">
        <v>79</v>
      </c>
      <c r="AV4963" t="s">
        <v>9144</v>
      </c>
    </row>
    <row r="4964" spans="1:48">
      <c r="A4964" s="1">
        <f>HYPERLINK("https://lsnyc.legalserver.org/matter/dynamic-profile/view/1901441","19-1901441")</f>
        <v>0</v>
      </c>
      <c r="B4964" t="s">
        <v>101</v>
      </c>
      <c r="C4964" t="s">
        <v>256</v>
      </c>
      <c r="D4964" t="s">
        <v>559</v>
      </c>
      <c r="F4964" t="s">
        <v>2378</v>
      </c>
      <c r="G4964" t="s">
        <v>3497</v>
      </c>
      <c r="H4964" t="s">
        <v>6113</v>
      </c>
      <c r="I4964" t="s">
        <v>8216</v>
      </c>
      <c r="J4964" t="s">
        <v>9065</v>
      </c>
      <c r="K4964">
        <v>10452</v>
      </c>
      <c r="L4964" t="s">
        <v>9094</v>
      </c>
      <c r="M4964" t="s">
        <v>9095</v>
      </c>
      <c r="O4964" t="s">
        <v>11134</v>
      </c>
      <c r="P4964" t="s">
        <v>11168</v>
      </c>
      <c r="R4964" t="s">
        <v>11180</v>
      </c>
      <c r="S4964" t="s">
        <v>9094</v>
      </c>
      <c r="T4964" t="s">
        <v>11183</v>
      </c>
      <c r="V4964" t="s">
        <v>11218</v>
      </c>
      <c r="W4964">
        <v>1151.46</v>
      </c>
      <c r="X4964" t="s">
        <v>11333</v>
      </c>
      <c r="Y4964" t="s">
        <v>11346</v>
      </c>
      <c r="Z4964" t="s">
        <v>12097</v>
      </c>
      <c r="AB4964" t="s">
        <v>18879</v>
      </c>
      <c r="AC4964">
        <v>52</v>
      </c>
      <c r="AD4964" t="s">
        <v>19566</v>
      </c>
      <c r="AE4964" t="s">
        <v>9144</v>
      </c>
      <c r="AF4964">
        <v>7</v>
      </c>
      <c r="AG4964">
        <v>1</v>
      </c>
      <c r="AH4964">
        <v>0</v>
      </c>
      <c r="AI4964">
        <v>201.7</v>
      </c>
      <c r="AL4964" t="s">
        <v>19614</v>
      </c>
      <c r="AM4964">
        <v>25192</v>
      </c>
      <c r="AS4964">
        <v>0.5</v>
      </c>
      <c r="AT4964" t="s">
        <v>321</v>
      </c>
      <c r="AU4964" t="s">
        <v>220</v>
      </c>
      <c r="AV4964" t="s">
        <v>20733</v>
      </c>
    </row>
    <row r="4965" spans="1:48">
      <c r="A4965" s="1">
        <f>HYPERLINK("https://lsnyc.legalserver.org/matter/dynamic-profile/view/1901677","19-1901677")</f>
        <v>0</v>
      </c>
      <c r="B4965" t="s">
        <v>64</v>
      </c>
      <c r="C4965" t="s">
        <v>257</v>
      </c>
      <c r="D4965" t="s">
        <v>610</v>
      </c>
      <c r="E4965" t="s">
        <v>408</v>
      </c>
      <c r="F4965" t="s">
        <v>1227</v>
      </c>
      <c r="G4965" t="s">
        <v>3867</v>
      </c>
      <c r="H4965" t="s">
        <v>7855</v>
      </c>
      <c r="I4965" t="s">
        <v>8139</v>
      </c>
      <c r="J4965" t="s">
        <v>9059</v>
      </c>
      <c r="K4965">
        <v>11207</v>
      </c>
      <c r="L4965" t="s">
        <v>9094</v>
      </c>
      <c r="M4965" t="s">
        <v>9095</v>
      </c>
      <c r="N4965" t="s">
        <v>10884</v>
      </c>
      <c r="O4965" t="s">
        <v>11128</v>
      </c>
      <c r="P4965" t="s">
        <v>11164</v>
      </c>
      <c r="Q4965" t="s">
        <v>11172</v>
      </c>
      <c r="R4965" t="s">
        <v>11180</v>
      </c>
      <c r="S4965" t="s">
        <v>9096</v>
      </c>
      <c r="T4965" t="s">
        <v>11183</v>
      </c>
      <c r="U4965" t="s">
        <v>11201</v>
      </c>
      <c r="V4965" t="s">
        <v>327</v>
      </c>
      <c r="W4965">
        <v>846.5</v>
      </c>
      <c r="X4965" t="s">
        <v>11332</v>
      </c>
      <c r="Y4965" t="s">
        <v>11350</v>
      </c>
      <c r="Z4965" t="s">
        <v>14557</v>
      </c>
      <c r="AA4965" t="s">
        <v>9144</v>
      </c>
      <c r="AB4965" t="s">
        <v>18880</v>
      </c>
      <c r="AC4965">
        <v>241</v>
      </c>
      <c r="AD4965" t="s">
        <v>19566</v>
      </c>
      <c r="AE4965" t="s">
        <v>9144</v>
      </c>
      <c r="AF4965">
        <v>1</v>
      </c>
      <c r="AG4965">
        <v>1</v>
      </c>
      <c r="AH4965">
        <v>0</v>
      </c>
      <c r="AI4965">
        <v>201.76</v>
      </c>
      <c r="AK4965" t="s">
        <v>19612</v>
      </c>
      <c r="AL4965" t="s">
        <v>19614</v>
      </c>
      <c r="AM4965">
        <v>25200</v>
      </c>
      <c r="AN4965" t="s">
        <v>20064</v>
      </c>
      <c r="AS4965">
        <v>4.1</v>
      </c>
      <c r="AT4965" t="s">
        <v>760</v>
      </c>
      <c r="AU4965" t="s">
        <v>95</v>
      </c>
      <c r="AV4965" t="s">
        <v>20733</v>
      </c>
    </row>
    <row r="4966" spans="1:48">
      <c r="A4966" s="1">
        <f>HYPERLINK("https://lsnyc.legalserver.org/matter/dynamic-profile/view/1890790","19-1890790")</f>
        <v>0</v>
      </c>
      <c r="B4966" t="s">
        <v>103</v>
      </c>
      <c r="C4966" t="s">
        <v>256</v>
      </c>
      <c r="D4966" t="s">
        <v>381</v>
      </c>
      <c r="F4966" t="s">
        <v>2975</v>
      </c>
      <c r="G4966" t="s">
        <v>5252</v>
      </c>
      <c r="H4966" t="s">
        <v>5887</v>
      </c>
      <c r="I4966" t="s">
        <v>8904</v>
      </c>
      <c r="J4966" t="s">
        <v>9065</v>
      </c>
      <c r="K4966">
        <v>10453</v>
      </c>
      <c r="L4966" t="s">
        <v>9094</v>
      </c>
      <c r="M4966" t="s">
        <v>9094</v>
      </c>
      <c r="O4966" t="s">
        <v>11134</v>
      </c>
      <c r="P4966" t="s">
        <v>11168</v>
      </c>
      <c r="R4966" t="s">
        <v>11180</v>
      </c>
      <c r="S4966" t="s">
        <v>9094</v>
      </c>
      <c r="T4966" t="s">
        <v>11183</v>
      </c>
      <c r="V4966" t="s">
        <v>512</v>
      </c>
      <c r="W4966">
        <v>864</v>
      </c>
      <c r="X4966" t="s">
        <v>11333</v>
      </c>
      <c r="Y4966" t="s">
        <v>11346</v>
      </c>
      <c r="Z4966" t="s">
        <v>14558</v>
      </c>
      <c r="AB4966" t="s">
        <v>18881</v>
      </c>
      <c r="AC4966">
        <v>170</v>
      </c>
      <c r="AD4966" t="s">
        <v>19566</v>
      </c>
      <c r="AE4966" t="s">
        <v>19587</v>
      </c>
      <c r="AF4966">
        <v>22</v>
      </c>
      <c r="AG4966">
        <v>1</v>
      </c>
      <c r="AH4966">
        <v>0</v>
      </c>
      <c r="AI4966">
        <v>201.76</v>
      </c>
      <c r="AL4966" t="s">
        <v>19614</v>
      </c>
      <c r="AM4966">
        <v>25200</v>
      </c>
      <c r="AS4966">
        <v>0</v>
      </c>
      <c r="AU4966" t="s">
        <v>20647</v>
      </c>
    </row>
    <row r="4967" spans="1:48">
      <c r="A4967" s="1">
        <f>HYPERLINK("https://lsnyc.legalserver.org/matter/dynamic-profile/view/1890778","19-1890778")</f>
        <v>0</v>
      </c>
      <c r="B4967" t="s">
        <v>103</v>
      </c>
      <c r="C4967" t="s">
        <v>256</v>
      </c>
      <c r="D4967" t="s">
        <v>381</v>
      </c>
      <c r="F4967" t="s">
        <v>2975</v>
      </c>
      <c r="G4967" t="s">
        <v>5252</v>
      </c>
      <c r="H4967" t="s">
        <v>5887</v>
      </c>
      <c r="I4967" t="s">
        <v>8904</v>
      </c>
      <c r="J4967" t="s">
        <v>9065</v>
      </c>
      <c r="K4967">
        <v>10453</v>
      </c>
      <c r="L4967" t="s">
        <v>9094</v>
      </c>
      <c r="M4967" t="s">
        <v>9094</v>
      </c>
      <c r="N4967" t="s">
        <v>9352</v>
      </c>
      <c r="O4967" t="s">
        <v>11130</v>
      </c>
      <c r="P4967" t="s">
        <v>11165</v>
      </c>
      <c r="R4967" t="s">
        <v>11180</v>
      </c>
      <c r="S4967" t="s">
        <v>9094</v>
      </c>
      <c r="T4967" t="s">
        <v>11183</v>
      </c>
      <c r="V4967" t="s">
        <v>512</v>
      </c>
      <c r="W4967">
        <v>864</v>
      </c>
      <c r="X4967" t="s">
        <v>11333</v>
      </c>
      <c r="Y4967" t="s">
        <v>11346</v>
      </c>
      <c r="Z4967" t="s">
        <v>14558</v>
      </c>
      <c r="AB4967" t="s">
        <v>18881</v>
      </c>
      <c r="AC4967">
        <v>170</v>
      </c>
      <c r="AD4967" t="s">
        <v>19566</v>
      </c>
      <c r="AE4967" t="s">
        <v>19587</v>
      </c>
      <c r="AF4967">
        <v>22</v>
      </c>
      <c r="AG4967">
        <v>1</v>
      </c>
      <c r="AH4967">
        <v>0</v>
      </c>
      <c r="AI4967">
        <v>201.76</v>
      </c>
      <c r="AL4967" t="s">
        <v>19614</v>
      </c>
      <c r="AM4967">
        <v>25200</v>
      </c>
      <c r="AS4967">
        <v>0</v>
      </c>
      <c r="AU4967" t="s">
        <v>20647</v>
      </c>
    </row>
    <row r="4968" spans="1:48">
      <c r="A4968" s="1">
        <f>HYPERLINK("https://lsnyc.legalserver.org/matter/dynamic-profile/view/1892214","19-1892214")</f>
        <v>0</v>
      </c>
      <c r="B4968" t="s">
        <v>76</v>
      </c>
      <c r="C4968" t="s">
        <v>256</v>
      </c>
      <c r="D4968" t="s">
        <v>473</v>
      </c>
      <c r="F4968" t="s">
        <v>2411</v>
      </c>
      <c r="G4968" t="s">
        <v>1362</v>
      </c>
      <c r="H4968" t="s">
        <v>6169</v>
      </c>
      <c r="I4968" t="s">
        <v>8283</v>
      </c>
      <c r="J4968" t="s">
        <v>9059</v>
      </c>
      <c r="K4968">
        <v>11213</v>
      </c>
      <c r="L4968" t="s">
        <v>9094</v>
      </c>
      <c r="M4968" t="s">
        <v>9094</v>
      </c>
      <c r="N4968" t="s">
        <v>10885</v>
      </c>
      <c r="O4968" t="s">
        <v>11130</v>
      </c>
      <c r="P4968" t="s">
        <v>11165</v>
      </c>
      <c r="R4968" t="s">
        <v>11180</v>
      </c>
      <c r="S4968" t="s">
        <v>9094</v>
      </c>
      <c r="T4968" t="s">
        <v>11183</v>
      </c>
      <c r="U4968" t="s">
        <v>11201</v>
      </c>
      <c r="V4968" t="s">
        <v>407</v>
      </c>
      <c r="W4968">
        <v>1071.14</v>
      </c>
      <c r="X4968" t="s">
        <v>11332</v>
      </c>
      <c r="Z4968" t="s">
        <v>14559</v>
      </c>
      <c r="AC4968">
        <v>35</v>
      </c>
      <c r="AD4968" t="s">
        <v>19566</v>
      </c>
      <c r="AE4968" t="s">
        <v>9144</v>
      </c>
      <c r="AF4968">
        <v>19</v>
      </c>
      <c r="AG4968">
        <v>3</v>
      </c>
      <c r="AH4968">
        <v>1</v>
      </c>
      <c r="AI4968">
        <v>201.94</v>
      </c>
      <c r="AL4968" t="s">
        <v>19614</v>
      </c>
      <c r="AM4968">
        <v>52000</v>
      </c>
      <c r="AN4968" t="s">
        <v>20065</v>
      </c>
      <c r="AS4968">
        <v>0</v>
      </c>
      <c r="AU4968" t="s">
        <v>95</v>
      </c>
    </row>
    <row r="4969" spans="1:48">
      <c r="A4969" s="1">
        <f>HYPERLINK("https://lsnyc.legalserver.org/matter/dynamic-profile/view/1905355","19-1905355")</f>
        <v>0</v>
      </c>
      <c r="B4969" t="s">
        <v>123</v>
      </c>
      <c r="C4969" t="s">
        <v>256</v>
      </c>
      <c r="D4969" t="s">
        <v>498</v>
      </c>
      <c r="F4969" t="s">
        <v>2059</v>
      </c>
      <c r="G4969" t="s">
        <v>3903</v>
      </c>
      <c r="H4969" t="s">
        <v>7849</v>
      </c>
      <c r="I4969" t="s">
        <v>8905</v>
      </c>
      <c r="J4969" t="s">
        <v>9066</v>
      </c>
      <c r="K4969">
        <v>10304</v>
      </c>
      <c r="L4969" t="s">
        <v>9094</v>
      </c>
      <c r="M4969" t="s">
        <v>9095</v>
      </c>
      <c r="N4969" t="s">
        <v>10886</v>
      </c>
      <c r="O4969" t="s">
        <v>11129</v>
      </c>
      <c r="P4969" t="s">
        <v>11165</v>
      </c>
      <c r="R4969" t="s">
        <v>11180</v>
      </c>
      <c r="S4969" t="s">
        <v>9096</v>
      </c>
      <c r="T4969" t="s">
        <v>11183</v>
      </c>
      <c r="U4969" t="s">
        <v>11201</v>
      </c>
      <c r="W4969">
        <v>941</v>
      </c>
      <c r="X4969" t="s">
        <v>11334</v>
      </c>
      <c r="Y4969" t="s">
        <v>11345</v>
      </c>
      <c r="Z4969" t="s">
        <v>14560</v>
      </c>
      <c r="AB4969" t="s">
        <v>18882</v>
      </c>
      <c r="AC4969">
        <v>0</v>
      </c>
      <c r="AD4969" t="s">
        <v>19567</v>
      </c>
      <c r="AE4969" t="s">
        <v>9144</v>
      </c>
      <c r="AF4969">
        <v>10</v>
      </c>
      <c r="AG4969">
        <v>2</v>
      </c>
      <c r="AH4969">
        <v>2</v>
      </c>
      <c r="AI4969">
        <v>201.94</v>
      </c>
      <c r="AL4969" t="s">
        <v>19614</v>
      </c>
      <c r="AM4969">
        <v>52000</v>
      </c>
      <c r="AO4969" t="s">
        <v>20290</v>
      </c>
      <c r="AP4969" t="s">
        <v>20360</v>
      </c>
      <c r="AQ4969" t="s">
        <v>20369</v>
      </c>
      <c r="AR4969" t="s">
        <v>20533</v>
      </c>
      <c r="AS4969">
        <v>12.45</v>
      </c>
      <c r="AT4969" t="s">
        <v>270</v>
      </c>
      <c r="AU4969" t="s">
        <v>20653</v>
      </c>
      <c r="AV4969" t="s">
        <v>20733</v>
      </c>
    </row>
    <row r="4970" spans="1:48">
      <c r="A4970" s="1">
        <f>HYPERLINK("https://lsnyc.legalserver.org/matter/dynamic-profile/view/1897575","19-1897575")</f>
        <v>0</v>
      </c>
      <c r="B4970" t="s">
        <v>136</v>
      </c>
      <c r="C4970" t="s">
        <v>256</v>
      </c>
      <c r="D4970" t="s">
        <v>617</v>
      </c>
      <c r="F4970" t="s">
        <v>1770</v>
      </c>
      <c r="G4970" t="s">
        <v>3639</v>
      </c>
      <c r="H4970" t="s">
        <v>6596</v>
      </c>
      <c r="I4970" t="s">
        <v>8109</v>
      </c>
      <c r="J4970" t="s">
        <v>9067</v>
      </c>
      <c r="K4970">
        <v>10035</v>
      </c>
      <c r="L4970" t="s">
        <v>9094</v>
      </c>
      <c r="M4970" t="s">
        <v>9094</v>
      </c>
      <c r="O4970" t="s">
        <v>9121</v>
      </c>
      <c r="P4970" t="s">
        <v>11167</v>
      </c>
      <c r="R4970" t="s">
        <v>11180</v>
      </c>
      <c r="S4970" t="s">
        <v>9094</v>
      </c>
      <c r="T4970" t="s">
        <v>11183</v>
      </c>
      <c r="U4970" t="s">
        <v>11201</v>
      </c>
      <c r="V4970" t="s">
        <v>317</v>
      </c>
      <c r="W4970">
        <v>985</v>
      </c>
      <c r="X4970" t="s">
        <v>11335</v>
      </c>
      <c r="Y4970" t="s">
        <v>11339</v>
      </c>
      <c r="Z4970" t="s">
        <v>14561</v>
      </c>
      <c r="AB4970" t="s">
        <v>18883</v>
      </c>
      <c r="AC4970">
        <v>60</v>
      </c>
      <c r="AD4970" t="s">
        <v>19566</v>
      </c>
      <c r="AE4970" t="s">
        <v>9144</v>
      </c>
      <c r="AF4970">
        <v>10</v>
      </c>
      <c r="AG4970">
        <v>3</v>
      </c>
      <c r="AH4970">
        <v>1</v>
      </c>
      <c r="AI4970">
        <v>201.94</v>
      </c>
      <c r="AL4970" t="s">
        <v>19614</v>
      </c>
      <c r="AM4970">
        <v>52000</v>
      </c>
      <c r="AS4970">
        <v>0</v>
      </c>
      <c r="AU4970" t="s">
        <v>20657</v>
      </c>
    </row>
    <row r="4971" spans="1:48">
      <c r="A4971" s="1">
        <f>HYPERLINK("https://lsnyc.legalserver.org/matter/dynamic-profile/view/1866379","18-1866379")</f>
        <v>0</v>
      </c>
      <c r="B4971" t="s">
        <v>111</v>
      </c>
      <c r="C4971" t="s">
        <v>256</v>
      </c>
      <c r="D4971" t="s">
        <v>957</v>
      </c>
      <c r="F4971" t="s">
        <v>1276</v>
      </c>
      <c r="G4971" t="s">
        <v>5253</v>
      </c>
      <c r="H4971" t="s">
        <v>7856</v>
      </c>
      <c r="I4971" t="s">
        <v>8191</v>
      </c>
      <c r="J4971" t="s">
        <v>9065</v>
      </c>
      <c r="K4971">
        <v>10467</v>
      </c>
      <c r="L4971" t="s">
        <v>9094</v>
      </c>
      <c r="M4971" t="s">
        <v>9095</v>
      </c>
      <c r="O4971" t="s">
        <v>11151</v>
      </c>
      <c r="P4971" t="s">
        <v>11166</v>
      </c>
      <c r="R4971" t="s">
        <v>11180</v>
      </c>
      <c r="S4971" t="s">
        <v>9096</v>
      </c>
      <c r="T4971" t="s">
        <v>11190</v>
      </c>
      <c r="V4971" t="s">
        <v>272</v>
      </c>
      <c r="W4971">
        <v>1800</v>
      </c>
      <c r="X4971" t="s">
        <v>11333</v>
      </c>
      <c r="Y4971" t="s">
        <v>11349</v>
      </c>
      <c r="Z4971" t="s">
        <v>14562</v>
      </c>
      <c r="AA4971" t="s">
        <v>15893</v>
      </c>
      <c r="AB4971" t="s">
        <v>18884</v>
      </c>
      <c r="AC4971">
        <v>32</v>
      </c>
      <c r="AD4971" t="s">
        <v>19566</v>
      </c>
      <c r="AE4971" t="s">
        <v>19580</v>
      </c>
      <c r="AF4971">
        <v>3</v>
      </c>
      <c r="AG4971">
        <v>3</v>
      </c>
      <c r="AH4971">
        <v>0</v>
      </c>
      <c r="AI4971">
        <v>202.12</v>
      </c>
      <c r="AJ4971" t="s">
        <v>11246</v>
      </c>
      <c r="AL4971" t="s">
        <v>19615</v>
      </c>
      <c r="AM4971">
        <v>42000</v>
      </c>
      <c r="AN4971" t="s">
        <v>20066</v>
      </c>
      <c r="AS4971">
        <v>17.5</v>
      </c>
      <c r="AT4971" t="s">
        <v>479</v>
      </c>
      <c r="AU4971" t="s">
        <v>247</v>
      </c>
    </row>
    <row r="4972" spans="1:48">
      <c r="A4972" s="1">
        <f>HYPERLINK("https://lsnyc.legalserver.org/matter/dynamic-profile/view/1862511","18-1862511")</f>
        <v>0</v>
      </c>
      <c r="B4972" t="s">
        <v>101</v>
      </c>
      <c r="C4972" t="s">
        <v>257</v>
      </c>
      <c r="D4972" t="s">
        <v>576</v>
      </c>
      <c r="E4972" t="s">
        <v>551</v>
      </c>
      <c r="F4972" t="s">
        <v>2804</v>
      </c>
      <c r="G4972" t="s">
        <v>4593</v>
      </c>
      <c r="H4972" t="s">
        <v>5902</v>
      </c>
      <c r="I4972" t="s">
        <v>8250</v>
      </c>
      <c r="J4972" t="s">
        <v>9065</v>
      </c>
      <c r="K4972">
        <v>10452</v>
      </c>
      <c r="L4972" t="s">
        <v>9094</v>
      </c>
      <c r="M4972" t="s">
        <v>9095</v>
      </c>
      <c r="N4972" t="s">
        <v>9537</v>
      </c>
      <c r="O4972" t="s">
        <v>11130</v>
      </c>
      <c r="P4972" t="s">
        <v>11165</v>
      </c>
      <c r="Q4972" t="s">
        <v>11174</v>
      </c>
      <c r="R4972" t="s">
        <v>11180</v>
      </c>
      <c r="S4972" t="s">
        <v>9094</v>
      </c>
      <c r="T4972" t="s">
        <v>11183</v>
      </c>
      <c r="V4972" t="s">
        <v>874</v>
      </c>
      <c r="W4972">
        <v>1300</v>
      </c>
      <c r="X4972" t="s">
        <v>11333</v>
      </c>
      <c r="Y4972" t="s">
        <v>11346</v>
      </c>
      <c r="Z4972" t="s">
        <v>11389</v>
      </c>
      <c r="AB4972" t="s">
        <v>18519</v>
      </c>
      <c r="AC4972">
        <v>60</v>
      </c>
      <c r="AD4972" t="s">
        <v>19566</v>
      </c>
      <c r="AE4972" t="s">
        <v>9144</v>
      </c>
      <c r="AF4972">
        <v>1</v>
      </c>
      <c r="AG4972">
        <v>2</v>
      </c>
      <c r="AH4972">
        <v>1</v>
      </c>
      <c r="AI4972">
        <v>202.12</v>
      </c>
      <c r="AL4972" t="s">
        <v>19614</v>
      </c>
      <c r="AM4972">
        <v>42000</v>
      </c>
      <c r="AS4972">
        <v>0.5</v>
      </c>
      <c r="AT4972" t="s">
        <v>551</v>
      </c>
      <c r="AU4972" t="s">
        <v>20647</v>
      </c>
    </row>
    <row r="4973" spans="1:48">
      <c r="A4973" s="1">
        <f>HYPERLINK("https://lsnyc.legalserver.org/matter/dynamic-profile/view/1864458","18-1864458")</f>
        <v>0</v>
      </c>
      <c r="B4973" t="s">
        <v>136</v>
      </c>
      <c r="C4973" t="s">
        <v>256</v>
      </c>
      <c r="D4973" t="s">
        <v>552</v>
      </c>
      <c r="F4973" t="s">
        <v>1557</v>
      </c>
      <c r="G4973" t="s">
        <v>3010</v>
      </c>
      <c r="H4973" t="s">
        <v>5961</v>
      </c>
      <c r="I4973">
        <v>607</v>
      </c>
      <c r="J4973" t="s">
        <v>9067</v>
      </c>
      <c r="K4973">
        <v>10029</v>
      </c>
      <c r="L4973" t="s">
        <v>9094</v>
      </c>
      <c r="M4973" t="s">
        <v>9094</v>
      </c>
      <c r="N4973" t="s">
        <v>9287</v>
      </c>
      <c r="O4973" t="s">
        <v>11130</v>
      </c>
      <c r="P4973" t="s">
        <v>11165</v>
      </c>
      <c r="R4973" t="s">
        <v>11180</v>
      </c>
      <c r="S4973" t="s">
        <v>9094</v>
      </c>
      <c r="T4973" t="s">
        <v>11183</v>
      </c>
      <c r="U4973" t="s">
        <v>11201</v>
      </c>
      <c r="V4973" t="s">
        <v>552</v>
      </c>
      <c r="W4973">
        <v>0</v>
      </c>
      <c r="X4973" t="s">
        <v>11335</v>
      </c>
      <c r="Y4973" t="s">
        <v>11339</v>
      </c>
      <c r="Z4973" t="s">
        <v>14563</v>
      </c>
      <c r="AC4973">
        <v>108</v>
      </c>
      <c r="AD4973" t="s">
        <v>19567</v>
      </c>
      <c r="AE4973" t="s">
        <v>19580</v>
      </c>
      <c r="AF4973">
        <v>15</v>
      </c>
      <c r="AG4973">
        <v>2</v>
      </c>
      <c r="AH4973">
        <v>1</v>
      </c>
      <c r="AI4973">
        <v>202.12</v>
      </c>
      <c r="AL4973" t="s">
        <v>19614</v>
      </c>
      <c r="AM4973">
        <v>42000</v>
      </c>
      <c r="AS4973">
        <v>1.3</v>
      </c>
      <c r="AT4973" t="s">
        <v>1096</v>
      </c>
      <c r="AU4973" t="s">
        <v>20657</v>
      </c>
    </row>
    <row r="4974" spans="1:48">
      <c r="A4974" s="1">
        <f>HYPERLINK("https://lsnyc.legalserver.org/matter/dynamic-profile/view/1838769","17-1838769")</f>
        <v>0</v>
      </c>
      <c r="B4974" t="s">
        <v>103</v>
      </c>
      <c r="C4974" t="s">
        <v>256</v>
      </c>
      <c r="D4974" t="s">
        <v>1058</v>
      </c>
      <c r="F4974" t="s">
        <v>2976</v>
      </c>
      <c r="G4974" t="s">
        <v>4163</v>
      </c>
      <c r="H4974" t="s">
        <v>7562</v>
      </c>
      <c r="I4974" t="s">
        <v>8218</v>
      </c>
      <c r="J4974" t="s">
        <v>9065</v>
      </c>
      <c r="K4974">
        <v>10473</v>
      </c>
      <c r="L4974" t="s">
        <v>9094</v>
      </c>
      <c r="M4974" t="s">
        <v>9095</v>
      </c>
      <c r="N4974" t="s">
        <v>10609</v>
      </c>
      <c r="O4974" t="s">
        <v>11135</v>
      </c>
      <c r="P4974" t="s">
        <v>11168</v>
      </c>
      <c r="R4974" t="s">
        <v>11180</v>
      </c>
      <c r="S4974" t="s">
        <v>9094</v>
      </c>
      <c r="T4974" t="s">
        <v>11183</v>
      </c>
      <c r="V4974" t="s">
        <v>11223</v>
      </c>
      <c r="W4974">
        <v>700.9</v>
      </c>
      <c r="X4974" t="s">
        <v>11333</v>
      </c>
      <c r="Y4974" t="s">
        <v>11351</v>
      </c>
      <c r="Z4974" t="s">
        <v>14564</v>
      </c>
      <c r="AB4974" t="s">
        <v>18885</v>
      </c>
      <c r="AC4974">
        <v>976</v>
      </c>
      <c r="AD4974" t="s">
        <v>19566</v>
      </c>
      <c r="AE4974" t="s">
        <v>11157</v>
      </c>
      <c r="AF4974">
        <v>36</v>
      </c>
      <c r="AG4974">
        <v>1</v>
      </c>
      <c r="AH4974">
        <v>0</v>
      </c>
      <c r="AI4974">
        <v>202.21</v>
      </c>
      <c r="AJ4974" t="s">
        <v>936</v>
      </c>
      <c r="AL4974" t="s">
        <v>19614</v>
      </c>
      <c r="AM4974">
        <v>24386.8</v>
      </c>
      <c r="AS4974">
        <v>0</v>
      </c>
      <c r="AU4974" t="s">
        <v>20643</v>
      </c>
    </row>
    <row r="4975" spans="1:48">
      <c r="A4975" s="1">
        <f>HYPERLINK("https://lsnyc.legalserver.org/matter/dynamic-profile/view/1887669","19-1887669")</f>
        <v>0</v>
      </c>
      <c r="B4975" t="s">
        <v>113</v>
      </c>
      <c r="C4975" t="s">
        <v>256</v>
      </c>
      <c r="D4975" t="s">
        <v>629</v>
      </c>
      <c r="F4975" t="s">
        <v>1296</v>
      </c>
      <c r="G4975" t="s">
        <v>4129</v>
      </c>
      <c r="H4975" t="s">
        <v>5864</v>
      </c>
      <c r="I4975" t="s">
        <v>8112</v>
      </c>
      <c r="J4975" t="s">
        <v>9065</v>
      </c>
      <c r="K4975">
        <v>10460</v>
      </c>
      <c r="L4975" t="s">
        <v>9094</v>
      </c>
      <c r="M4975" t="s">
        <v>9095</v>
      </c>
      <c r="N4975" t="s">
        <v>9222</v>
      </c>
      <c r="O4975" t="s">
        <v>11130</v>
      </c>
      <c r="P4975" t="s">
        <v>11165</v>
      </c>
      <c r="R4975" t="s">
        <v>11180</v>
      </c>
      <c r="S4975" t="s">
        <v>9094</v>
      </c>
      <c r="T4975" t="s">
        <v>11183</v>
      </c>
      <c r="V4975" t="s">
        <v>512</v>
      </c>
      <c r="W4975">
        <v>582</v>
      </c>
      <c r="X4975" t="s">
        <v>11333</v>
      </c>
      <c r="Y4975" t="s">
        <v>11346</v>
      </c>
      <c r="Z4975" t="s">
        <v>14513</v>
      </c>
      <c r="AC4975">
        <v>168</v>
      </c>
      <c r="AE4975" t="s">
        <v>19580</v>
      </c>
      <c r="AF4975">
        <v>3</v>
      </c>
      <c r="AG4975">
        <v>1</v>
      </c>
      <c r="AH4975">
        <v>0</v>
      </c>
      <c r="AI4975">
        <v>202.44</v>
      </c>
      <c r="AL4975" t="s">
        <v>19614</v>
      </c>
      <c r="AM4975">
        <v>24576</v>
      </c>
      <c r="AS4975">
        <v>0</v>
      </c>
      <c r="AU4975" t="s">
        <v>163</v>
      </c>
    </row>
    <row r="4976" spans="1:48">
      <c r="A4976" s="1">
        <f>HYPERLINK("https://lsnyc.legalserver.org/matter/dynamic-profile/view/1908589","19-1908589")</f>
        <v>0</v>
      </c>
      <c r="B4976" t="s">
        <v>142</v>
      </c>
      <c r="C4976" t="s">
        <v>256</v>
      </c>
      <c r="D4976" t="s">
        <v>574</v>
      </c>
      <c r="F4976" t="s">
        <v>2224</v>
      </c>
      <c r="G4976" t="s">
        <v>3646</v>
      </c>
      <c r="H4976" t="s">
        <v>6326</v>
      </c>
      <c r="I4976" t="s">
        <v>8279</v>
      </c>
      <c r="J4976" t="s">
        <v>9067</v>
      </c>
      <c r="K4976">
        <v>10035</v>
      </c>
      <c r="L4976" t="s">
        <v>9094</v>
      </c>
      <c r="M4976" t="s">
        <v>9095</v>
      </c>
      <c r="N4976" t="s">
        <v>10887</v>
      </c>
      <c r="O4976" t="s">
        <v>11129</v>
      </c>
      <c r="P4976" t="s">
        <v>11165</v>
      </c>
      <c r="R4976" t="s">
        <v>11180</v>
      </c>
      <c r="S4976" t="s">
        <v>9096</v>
      </c>
      <c r="T4976" t="s">
        <v>11183</v>
      </c>
      <c r="U4976" t="s">
        <v>11201</v>
      </c>
      <c r="V4976" t="s">
        <v>396</v>
      </c>
      <c r="W4976">
        <v>1794</v>
      </c>
      <c r="X4976" t="s">
        <v>11335</v>
      </c>
      <c r="Y4976" t="s">
        <v>11339</v>
      </c>
      <c r="Z4976" t="s">
        <v>13033</v>
      </c>
      <c r="AB4976" t="s">
        <v>17402</v>
      </c>
      <c r="AC4976">
        <v>72</v>
      </c>
      <c r="AD4976" t="s">
        <v>19566</v>
      </c>
      <c r="AE4976" t="s">
        <v>19580</v>
      </c>
      <c r="AF4976">
        <v>11</v>
      </c>
      <c r="AG4976">
        <v>4</v>
      </c>
      <c r="AH4976">
        <v>0</v>
      </c>
      <c r="AI4976">
        <v>202.73</v>
      </c>
      <c r="AJ4976" t="s">
        <v>404</v>
      </c>
      <c r="AK4976" t="s">
        <v>19612</v>
      </c>
      <c r="AL4976" t="s">
        <v>19614</v>
      </c>
      <c r="AM4976">
        <v>52204</v>
      </c>
      <c r="AS4976">
        <v>5.95</v>
      </c>
      <c r="AT4976" t="s">
        <v>301</v>
      </c>
      <c r="AU4976" t="s">
        <v>20657</v>
      </c>
      <c r="AV4976" t="s">
        <v>20733</v>
      </c>
    </row>
    <row r="4977" spans="1:48">
      <c r="A4977" s="1">
        <f>HYPERLINK("https://lsnyc.legalserver.org/matter/dynamic-profile/view/1898014","19-1898014")</f>
        <v>0</v>
      </c>
      <c r="B4977" t="s">
        <v>122</v>
      </c>
      <c r="C4977" t="s">
        <v>256</v>
      </c>
      <c r="D4977" t="s">
        <v>492</v>
      </c>
      <c r="F4977" t="s">
        <v>1264</v>
      </c>
      <c r="G4977" t="s">
        <v>3811</v>
      </c>
      <c r="H4977" t="s">
        <v>7857</v>
      </c>
      <c r="I4977" t="s">
        <v>8248</v>
      </c>
      <c r="J4977" t="s">
        <v>9066</v>
      </c>
      <c r="K4977">
        <v>10306</v>
      </c>
      <c r="L4977" t="s">
        <v>9094</v>
      </c>
      <c r="M4977" t="s">
        <v>9095</v>
      </c>
      <c r="N4977" t="s">
        <v>10888</v>
      </c>
      <c r="O4977" t="s">
        <v>11128</v>
      </c>
      <c r="P4977" t="s">
        <v>11165</v>
      </c>
      <c r="R4977" t="s">
        <v>11180</v>
      </c>
      <c r="S4977" t="s">
        <v>9096</v>
      </c>
      <c r="T4977" t="s">
        <v>11183</v>
      </c>
      <c r="U4977" t="s">
        <v>11201</v>
      </c>
      <c r="V4977" t="s">
        <v>492</v>
      </c>
      <c r="W4977">
        <v>1350</v>
      </c>
      <c r="X4977" t="s">
        <v>11334</v>
      </c>
      <c r="Y4977" t="s">
        <v>11345</v>
      </c>
      <c r="Z4977" t="s">
        <v>11649</v>
      </c>
      <c r="AB4977" t="s">
        <v>18886</v>
      </c>
      <c r="AC4977">
        <v>2</v>
      </c>
      <c r="AD4977" t="s">
        <v>19565</v>
      </c>
      <c r="AE4977" t="s">
        <v>9144</v>
      </c>
      <c r="AF4977">
        <v>5</v>
      </c>
      <c r="AG4977">
        <v>2</v>
      </c>
      <c r="AH4977">
        <v>0</v>
      </c>
      <c r="AI4977">
        <v>202.96</v>
      </c>
      <c r="AJ4977" t="s">
        <v>596</v>
      </c>
      <c r="AK4977" t="s">
        <v>19612</v>
      </c>
      <c r="AL4977" t="s">
        <v>19614</v>
      </c>
      <c r="AM4977">
        <v>34320</v>
      </c>
      <c r="AS4977">
        <v>8.25</v>
      </c>
      <c r="AT4977" t="s">
        <v>487</v>
      </c>
      <c r="AU4977" t="s">
        <v>20653</v>
      </c>
      <c r="AV4977" t="s">
        <v>20733</v>
      </c>
    </row>
    <row r="4978" spans="1:48">
      <c r="A4978" s="1">
        <f>HYPERLINK("https://lsnyc.legalserver.org/matter/dynamic-profile/view/1876504","18-1876504")</f>
        <v>0</v>
      </c>
      <c r="B4978" t="s">
        <v>70</v>
      </c>
      <c r="C4978" t="s">
        <v>256</v>
      </c>
      <c r="D4978" t="s">
        <v>1061</v>
      </c>
      <c r="F4978" t="s">
        <v>1280</v>
      </c>
      <c r="G4978" t="s">
        <v>5233</v>
      </c>
      <c r="H4978" t="s">
        <v>6621</v>
      </c>
      <c r="I4978">
        <v>24</v>
      </c>
      <c r="J4978" t="s">
        <v>9059</v>
      </c>
      <c r="K4978">
        <v>11213</v>
      </c>
      <c r="L4978" t="s">
        <v>9094</v>
      </c>
      <c r="M4978" t="s">
        <v>9094</v>
      </c>
      <c r="N4978" t="s">
        <v>9179</v>
      </c>
      <c r="O4978" t="s">
        <v>11130</v>
      </c>
      <c r="P4978" t="s">
        <v>11165</v>
      </c>
      <c r="R4978" t="s">
        <v>11180</v>
      </c>
      <c r="S4978" t="s">
        <v>9094</v>
      </c>
      <c r="T4978" t="s">
        <v>11183</v>
      </c>
      <c r="V4978" t="s">
        <v>479</v>
      </c>
      <c r="W4978">
        <v>917</v>
      </c>
      <c r="X4978" t="s">
        <v>11332</v>
      </c>
      <c r="Y4978" t="s">
        <v>11346</v>
      </c>
      <c r="Z4978" t="s">
        <v>14523</v>
      </c>
      <c r="AB4978" t="s">
        <v>18843</v>
      </c>
      <c r="AC4978">
        <v>31</v>
      </c>
      <c r="AD4978" t="s">
        <v>19566</v>
      </c>
      <c r="AE4978" t="s">
        <v>9144</v>
      </c>
      <c r="AF4978">
        <v>18</v>
      </c>
      <c r="AG4978">
        <v>3</v>
      </c>
      <c r="AH4978">
        <v>0</v>
      </c>
      <c r="AI4978">
        <v>203.08</v>
      </c>
      <c r="AJ4978" t="s">
        <v>868</v>
      </c>
      <c r="AK4978" t="s">
        <v>19612</v>
      </c>
      <c r="AL4978" t="s">
        <v>19614</v>
      </c>
      <c r="AM4978">
        <v>42200</v>
      </c>
      <c r="AS4978">
        <v>665.95</v>
      </c>
      <c r="AT4978" t="s">
        <v>484</v>
      </c>
      <c r="AU4978" t="s">
        <v>95</v>
      </c>
    </row>
    <row r="4979" spans="1:48">
      <c r="A4979" s="1">
        <f>HYPERLINK("https://lsnyc.legalserver.org/matter/dynamic-profile/view/1835830","17-1835830")</f>
        <v>0</v>
      </c>
      <c r="B4979" t="s">
        <v>136</v>
      </c>
      <c r="C4979" t="s">
        <v>256</v>
      </c>
      <c r="D4979" t="s">
        <v>920</v>
      </c>
      <c r="F4979" t="s">
        <v>1256</v>
      </c>
      <c r="G4979" t="s">
        <v>4045</v>
      </c>
      <c r="H4979" t="s">
        <v>7858</v>
      </c>
      <c r="I4979" t="s">
        <v>8112</v>
      </c>
      <c r="J4979" t="s">
        <v>9067</v>
      </c>
      <c r="K4979">
        <v>10034</v>
      </c>
      <c r="L4979" t="s">
        <v>9094</v>
      </c>
      <c r="M4979" t="s">
        <v>9095</v>
      </c>
      <c r="N4979" t="s">
        <v>10090</v>
      </c>
      <c r="O4979" t="s">
        <v>11135</v>
      </c>
      <c r="P4979" t="s">
        <v>11168</v>
      </c>
      <c r="R4979" t="s">
        <v>11180</v>
      </c>
      <c r="S4979" t="s">
        <v>9094</v>
      </c>
      <c r="T4979" t="s">
        <v>11183</v>
      </c>
      <c r="V4979" t="s">
        <v>837</v>
      </c>
      <c r="W4979">
        <v>1419.68</v>
      </c>
      <c r="X4979" t="s">
        <v>11335</v>
      </c>
      <c r="Y4979" t="s">
        <v>11339</v>
      </c>
      <c r="Z4979" t="s">
        <v>13146</v>
      </c>
      <c r="AC4979">
        <v>43</v>
      </c>
      <c r="AD4979" t="s">
        <v>19566</v>
      </c>
      <c r="AE4979" t="s">
        <v>9144</v>
      </c>
      <c r="AF4979">
        <v>8</v>
      </c>
      <c r="AG4979">
        <v>3</v>
      </c>
      <c r="AH4979">
        <v>1</v>
      </c>
      <c r="AI4979">
        <v>203.25</v>
      </c>
      <c r="AJ4979" t="s">
        <v>11246</v>
      </c>
      <c r="AL4979" t="s">
        <v>19615</v>
      </c>
      <c r="AM4979">
        <v>50000</v>
      </c>
      <c r="AN4979" t="s">
        <v>19823</v>
      </c>
      <c r="AS4979">
        <v>0</v>
      </c>
      <c r="AU4979" t="s">
        <v>20657</v>
      </c>
    </row>
    <row r="4980" spans="1:48">
      <c r="A4980" s="1">
        <f>HYPERLINK("https://lsnyc.legalserver.org/matter/dynamic-profile/view/1880157","18-1880157")</f>
        <v>0</v>
      </c>
      <c r="B4980" t="s">
        <v>56</v>
      </c>
      <c r="C4980" t="s">
        <v>256</v>
      </c>
      <c r="D4980" t="s">
        <v>569</v>
      </c>
      <c r="F4980" t="s">
        <v>1374</v>
      </c>
      <c r="G4980" t="s">
        <v>5254</v>
      </c>
      <c r="H4980" t="s">
        <v>6510</v>
      </c>
      <c r="I4980" t="s">
        <v>8562</v>
      </c>
      <c r="J4980" t="s">
        <v>9053</v>
      </c>
      <c r="K4980">
        <v>11372</v>
      </c>
      <c r="L4980" t="s">
        <v>9094</v>
      </c>
      <c r="M4980" t="s">
        <v>9094</v>
      </c>
      <c r="N4980" t="s">
        <v>10889</v>
      </c>
      <c r="O4980" t="s">
        <v>11129</v>
      </c>
      <c r="P4980" t="s">
        <v>11165</v>
      </c>
      <c r="R4980" t="s">
        <v>11180</v>
      </c>
      <c r="S4980" t="s">
        <v>9096</v>
      </c>
      <c r="T4980" t="s">
        <v>11183</v>
      </c>
      <c r="U4980" t="s">
        <v>11201</v>
      </c>
      <c r="V4980" t="s">
        <v>723</v>
      </c>
      <c r="W4980">
        <v>2350</v>
      </c>
      <c r="X4980" t="s">
        <v>11331</v>
      </c>
      <c r="Y4980" t="s">
        <v>11340</v>
      </c>
      <c r="Z4980" t="s">
        <v>14565</v>
      </c>
      <c r="AB4980" t="s">
        <v>18887</v>
      </c>
      <c r="AC4980">
        <v>60</v>
      </c>
      <c r="AD4980" t="s">
        <v>19576</v>
      </c>
      <c r="AE4980" t="s">
        <v>9144</v>
      </c>
      <c r="AF4980">
        <v>11</v>
      </c>
      <c r="AG4980">
        <v>2</v>
      </c>
      <c r="AH4980">
        <v>3</v>
      </c>
      <c r="AI4980">
        <v>203.94</v>
      </c>
      <c r="AJ4980" t="s">
        <v>650</v>
      </c>
      <c r="AK4980" t="s">
        <v>19612</v>
      </c>
      <c r="AL4980" t="s">
        <v>19614</v>
      </c>
      <c r="AM4980">
        <v>60000</v>
      </c>
      <c r="AO4980" t="s">
        <v>20293</v>
      </c>
      <c r="AP4980" t="s">
        <v>20309</v>
      </c>
      <c r="AQ4980" t="s">
        <v>20369</v>
      </c>
      <c r="AR4980" t="s">
        <v>20563</v>
      </c>
      <c r="AS4980">
        <v>19.9</v>
      </c>
      <c r="AT4980" t="s">
        <v>512</v>
      </c>
      <c r="AU4980" t="s">
        <v>20620</v>
      </c>
    </row>
    <row r="4981" spans="1:48">
      <c r="A4981" s="1">
        <f>HYPERLINK("https://lsnyc.legalserver.org/matter/dynamic-profile/view/1912395","19-1912395")</f>
        <v>0</v>
      </c>
      <c r="B4981" t="s">
        <v>193</v>
      </c>
      <c r="C4981" t="s">
        <v>256</v>
      </c>
      <c r="D4981" t="s">
        <v>744</v>
      </c>
      <c r="F4981" t="s">
        <v>1450</v>
      </c>
      <c r="G4981" t="s">
        <v>5199</v>
      </c>
      <c r="H4981" t="s">
        <v>7859</v>
      </c>
      <c r="I4981" t="s">
        <v>8397</v>
      </c>
      <c r="J4981" t="s">
        <v>9048</v>
      </c>
      <c r="K4981">
        <v>11385</v>
      </c>
      <c r="L4981" t="s">
        <v>9096</v>
      </c>
      <c r="M4981" t="s">
        <v>9095</v>
      </c>
      <c r="O4981" t="s">
        <v>11130</v>
      </c>
      <c r="R4981" t="s">
        <v>11180</v>
      </c>
      <c r="S4981" t="s">
        <v>9096</v>
      </c>
      <c r="T4981" t="s">
        <v>11183</v>
      </c>
      <c r="W4981">
        <v>756.72</v>
      </c>
      <c r="X4981" t="s">
        <v>11331</v>
      </c>
      <c r="Y4981" t="s">
        <v>11347</v>
      </c>
      <c r="Z4981" t="s">
        <v>14566</v>
      </c>
      <c r="AB4981" t="s">
        <v>18888</v>
      </c>
      <c r="AC4981">
        <v>0</v>
      </c>
      <c r="AD4981" t="s">
        <v>19566</v>
      </c>
      <c r="AE4981" t="s">
        <v>9144</v>
      </c>
      <c r="AF4981">
        <v>20</v>
      </c>
      <c r="AG4981">
        <v>1</v>
      </c>
      <c r="AH4981">
        <v>0</v>
      </c>
      <c r="AI4981">
        <v>204</v>
      </c>
      <c r="AL4981" t="s">
        <v>19615</v>
      </c>
      <c r="AM4981">
        <v>25480</v>
      </c>
      <c r="AS4981">
        <v>9.33</v>
      </c>
      <c r="AT4981" t="s">
        <v>612</v>
      </c>
      <c r="AU4981" t="s">
        <v>20619</v>
      </c>
      <c r="AV4981" t="s">
        <v>9144</v>
      </c>
    </row>
    <row r="4982" spans="1:48">
      <c r="A4982" s="1">
        <f>HYPERLINK("https://lsnyc.legalserver.org/matter/dynamic-profile/view/1875894","18-1875894")</f>
        <v>0</v>
      </c>
      <c r="B4982" t="s">
        <v>64</v>
      </c>
      <c r="C4982" t="s">
        <v>257</v>
      </c>
      <c r="D4982" t="s">
        <v>689</v>
      </c>
      <c r="E4982" t="s">
        <v>273</v>
      </c>
      <c r="F4982" t="s">
        <v>2075</v>
      </c>
      <c r="G4982" t="s">
        <v>4197</v>
      </c>
      <c r="H4982" t="s">
        <v>7860</v>
      </c>
      <c r="I4982">
        <v>1</v>
      </c>
      <c r="J4982" t="s">
        <v>9059</v>
      </c>
      <c r="K4982">
        <v>11208</v>
      </c>
      <c r="L4982" t="s">
        <v>9096</v>
      </c>
      <c r="M4982" t="s">
        <v>9095</v>
      </c>
      <c r="N4982" t="s">
        <v>10890</v>
      </c>
      <c r="O4982" t="s">
        <v>11129</v>
      </c>
      <c r="P4982" t="s">
        <v>11165</v>
      </c>
      <c r="Q4982" t="s">
        <v>11174</v>
      </c>
      <c r="R4982" t="s">
        <v>11180</v>
      </c>
      <c r="S4982" t="s">
        <v>9096</v>
      </c>
      <c r="T4982" t="s">
        <v>11183</v>
      </c>
      <c r="W4982">
        <v>2000</v>
      </c>
      <c r="X4982" t="s">
        <v>11332</v>
      </c>
      <c r="Y4982" t="s">
        <v>11336</v>
      </c>
      <c r="Z4982" t="s">
        <v>14051</v>
      </c>
      <c r="AB4982" t="s">
        <v>18889</v>
      </c>
      <c r="AC4982">
        <v>3</v>
      </c>
      <c r="AD4982" t="s">
        <v>19565</v>
      </c>
      <c r="AE4982" t="s">
        <v>19590</v>
      </c>
      <c r="AF4982">
        <v>1</v>
      </c>
      <c r="AG4982">
        <v>1</v>
      </c>
      <c r="AH4982">
        <v>3</v>
      </c>
      <c r="AI4982">
        <v>204.69</v>
      </c>
      <c r="AL4982" t="s">
        <v>19614</v>
      </c>
      <c r="AM4982">
        <v>51376</v>
      </c>
      <c r="AN4982" t="s">
        <v>19727</v>
      </c>
      <c r="AS4982">
        <v>14.7</v>
      </c>
      <c r="AT4982" t="s">
        <v>608</v>
      </c>
      <c r="AU4982" t="s">
        <v>95</v>
      </c>
    </row>
    <row r="4983" spans="1:48">
      <c r="A4983" s="1">
        <f>HYPERLINK("https://lsnyc.legalserver.org/matter/dynamic-profile/view/1897574","19-1897574")</f>
        <v>0</v>
      </c>
      <c r="B4983" t="s">
        <v>67</v>
      </c>
      <c r="C4983" t="s">
        <v>256</v>
      </c>
      <c r="D4983" t="s">
        <v>617</v>
      </c>
      <c r="F4983" t="s">
        <v>2977</v>
      </c>
      <c r="G4983" t="s">
        <v>2412</v>
      </c>
      <c r="H4983" t="s">
        <v>7861</v>
      </c>
      <c r="I4983" t="s">
        <v>8229</v>
      </c>
      <c r="J4983" t="s">
        <v>9059</v>
      </c>
      <c r="K4983">
        <v>11226</v>
      </c>
      <c r="L4983" t="s">
        <v>9094</v>
      </c>
      <c r="M4983" t="s">
        <v>9095</v>
      </c>
      <c r="P4983" t="s">
        <v>11166</v>
      </c>
      <c r="R4983" t="s">
        <v>11180</v>
      </c>
      <c r="T4983" t="s">
        <v>11183</v>
      </c>
      <c r="V4983" t="s">
        <v>617</v>
      </c>
      <c r="W4983">
        <v>0</v>
      </c>
      <c r="X4983" t="s">
        <v>11332</v>
      </c>
      <c r="Z4983" t="s">
        <v>14567</v>
      </c>
      <c r="AC4983">
        <v>0</v>
      </c>
      <c r="AF4983">
        <v>0</v>
      </c>
      <c r="AG4983">
        <v>2</v>
      </c>
      <c r="AH4983">
        <v>0</v>
      </c>
      <c r="AI4983">
        <v>204.8</v>
      </c>
      <c r="AL4983" t="s">
        <v>19614</v>
      </c>
      <c r="AM4983">
        <v>34632</v>
      </c>
      <c r="AS4983">
        <v>6.5</v>
      </c>
      <c r="AT4983" t="s">
        <v>669</v>
      </c>
      <c r="AU4983" t="s">
        <v>67</v>
      </c>
    </row>
    <row r="4984" spans="1:48">
      <c r="A4984" s="1">
        <f>HYPERLINK("https://lsnyc.legalserver.org/matter/dynamic-profile/view/1905068","19-1905068")</f>
        <v>0</v>
      </c>
      <c r="B4984" t="s">
        <v>78</v>
      </c>
      <c r="C4984" t="s">
        <v>256</v>
      </c>
      <c r="D4984" t="s">
        <v>367</v>
      </c>
      <c r="F4984" t="s">
        <v>2978</v>
      </c>
      <c r="G4984" t="s">
        <v>4690</v>
      </c>
      <c r="H4984" t="s">
        <v>7577</v>
      </c>
      <c r="I4984" t="s">
        <v>8124</v>
      </c>
      <c r="J4984" t="s">
        <v>9059</v>
      </c>
      <c r="K4984">
        <v>11221</v>
      </c>
      <c r="L4984" t="s">
        <v>9094</v>
      </c>
      <c r="M4984" t="s">
        <v>9095</v>
      </c>
      <c r="N4984" t="s">
        <v>10891</v>
      </c>
      <c r="O4984" t="s">
        <v>11137</v>
      </c>
      <c r="P4984" t="s">
        <v>11167</v>
      </c>
      <c r="R4984" t="s">
        <v>11180</v>
      </c>
      <c r="S4984" t="s">
        <v>9094</v>
      </c>
      <c r="T4984" t="s">
        <v>11186</v>
      </c>
      <c r="U4984" t="s">
        <v>11201</v>
      </c>
      <c r="V4984" t="s">
        <v>635</v>
      </c>
      <c r="W4984">
        <v>891.1900000000001</v>
      </c>
      <c r="X4984" t="s">
        <v>11332</v>
      </c>
      <c r="Y4984" t="s">
        <v>11346</v>
      </c>
      <c r="Z4984" t="s">
        <v>14568</v>
      </c>
      <c r="AA4984" t="s">
        <v>9144</v>
      </c>
      <c r="AB4984" t="s">
        <v>18890</v>
      </c>
      <c r="AC4984">
        <v>13</v>
      </c>
      <c r="AD4984" t="s">
        <v>19566</v>
      </c>
      <c r="AE4984" t="s">
        <v>9144</v>
      </c>
      <c r="AF4984">
        <v>27</v>
      </c>
      <c r="AG4984">
        <v>2</v>
      </c>
      <c r="AH4984">
        <v>0</v>
      </c>
      <c r="AI4984">
        <v>204.87</v>
      </c>
      <c r="AL4984" t="s">
        <v>19614</v>
      </c>
      <c r="AM4984">
        <v>34644</v>
      </c>
      <c r="AS4984">
        <v>0</v>
      </c>
      <c r="AU4984" t="s">
        <v>95</v>
      </c>
      <c r="AV4984" t="s">
        <v>20733</v>
      </c>
    </row>
    <row r="4985" spans="1:48">
      <c r="A4985" s="1">
        <f>HYPERLINK("https://lsnyc.legalserver.org/matter/dynamic-profile/view/1905774","19-1905774")</f>
        <v>0</v>
      </c>
      <c r="B4985" t="s">
        <v>78</v>
      </c>
      <c r="C4985" t="s">
        <v>256</v>
      </c>
      <c r="D4985" t="s">
        <v>328</v>
      </c>
      <c r="F4985" t="s">
        <v>2978</v>
      </c>
      <c r="G4985" t="s">
        <v>4690</v>
      </c>
      <c r="H4985" t="s">
        <v>7577</v>
      </c>
      <c r="I4985" t="s">
        <v>8124</v>
      </c>
      <c r="J4985" t="s">
        <v>9059</v>
      </c>
      <c r="K4985">
        <v>11221</v>
      </c>
      <c r="L4985" t="s">
        <v>9094</v>
      </c>
      <c r="M4985" t="s">
        <v>9095</v>
      </c>
      <c r="N4985" t="s">
        <v>9102</v>
      </c>
      <c r="O4985" t="s">
        <v>11137</v>
      </c>
      <c r="P4985" t="s">
        <v>11167</v>
      </c>
      <c r="R4985" t="s">
        <v>11180</v>
      </c>
      <c r="S4985" t="s">
        <v>9094</v>
      </c>
      <c r="T4985" t="s">
        <v>11186</v>
      </c>
      <c r="U4985" t="s">
        <v>11201</v>
      </c>
      <c r="V4985" t="s">
        <v>512</v>
      </c>
      <c r="W4985">
        <v>891.1900000000001</v>
      </c>
      <c r="X4985" t="s">
        <v>11332</v>
      </c>
      <c r="Y4985" t="s">
        <v>11340</v>
      </c>
      <c r="Z4985" t="s">
        <v>14568</v>
      </c>
      <c r="AA4985" t="s">
        <v>9144</v>
      </c>
      <c r="AB4985" t="s">
        <v>18890</v>
      </c>
      <c r="AC4985">
        <v>13</v>
      </c>
      <c r="AD4985" t="s">
        <v>19566</v>
      </c>
      <c r="AE4985" t="s">
        <v>9144</v>
      </c>
      <c r="AF4985">
        <v>27</v>
      </c>
      <c r="AG4985">
        <v>2</v>
      </c>
      <c r="AH4985">
        <v>0</v>
      </c>
      <c r="AI4985">
        <v>204.87</v>
      </c>
      <c r="AL4985" t="s">
        <v>19614</v>
      </c>
      <c r="AM4985">
        <v>34644</v>
      </c>
      <c r="AN4985" t="s">
        <v>20067</v>
      </c>
      <c r="AS4985">
        <v>0</v>
      </c>
      <c r="AU4985" t="s">
        <v>95</v>
      </c>
      <c r="AV4985" t="s">
        <v>20733</v>
      </c>
    </row>
    <row r="4986" spans="1:48">
      <c r="A4986" s="1">
        <f>HYPERLINK("https://lsnyc.legalserver.org/matter/dynamic-profile/view/1905056","19-1905056")</f>
        <v>0</v>
      </c>
      <c r="B4986" t="s">
        <v>70</v>
      </c>
      <c r="C4986" t="s">
        <v>256</v>
      </c>
      <c r="D4986" t="s">
        <v>367</v>
      </c>
      <c r="F4986" t="s">
        <v>2978</v>
      </c>
      <c r="G4986" t="s">
        <v>4690</v>
      </c>
      <c r="H4986" t="s">
        <v>7577</v>
      </c>
      <c r="I4986" t="s">
        <v>8124</v>
      </c>
      <c r="J4986" t="s">
        <v>9059</v>
      </c>
      <c r="K4986">
        <v>11221</v>
      </c>
      <c r="L4986" t="s">
        <v>9094</v>
      </c>
      <c r="M4986" t="s">
        <v>9095</v>
      </c>
      <c r="N4986" t="s">
        <v>9318</v>
      </c>
      <c r="O4986" t="s">
        <v>11141</v>
      </c>
      <c r="P4986" t="s">
        <v>11170</v>
      </c>
      <c r="R4986" t="s">
        <v>11180</v>
      </c>
      <c r="S4986" t="s">
        <v>9094</v>
      </c>
      <c r="T4986" t="s">
        <v>11185</v>
      </c>
      <c r="U4986" t="s">
        <v>11201</v>
      </c>
      <c r="V4986" t="s">
        <v>264</v>
      </c>
      <c r="W4986">
        <v>891.1900000000001</v>
      </c>
      <c r="X4986" t="s">
        <v>11332</v>
      </c>
      <c r="Y4986" t="s">
        <v>11346</v>
      </c>
      <c r="Z4986" t="s">
        <v>14568</v>
      </c>
      <c r="AA4986" t="s">
        <v>9144</v>
      </c>
      <c r="AB4986" t="s">
        <v>18890</v>
      </c>
      <c r="AC4986">
        <v>13</v>
      </c>
      <c r="AD4986" t="s">
        <v>19566</v>
      </c>
      <c r="AE4986" t="s">
        <v>9144</v>
      </c>
      <c r="AF4986">
        <v>27</v>
      </c>
      <c r="AG4986">
        <v>2</v>
      </c>
      <c r="AH4986">
        <v>0</v>
      </c>
      <c r="AI4986">
        <v>204.87</v>
      </c>
      <c r="AL4986" t="s">
        <v>19614</v>
      </c>
      <c r="AM4986">
        <v>34644</v>
      </c>
      <c r="AS4986">
        <v>0.8</v>
      </c>
      <c r="AT4986" t="s">
        <v>612</v>
      </c>
      <c r="AU4986" t="s">
        <v>95</v>
      </c>
      <c r="AV4986" t="s">
        <v>20733</v>
      </c>
    </row>
    <row r="4987" spans="1:48">
      <c r="A4987" s="1">
        <f>HYPERLINK("https://lsnyc.legalserver.org/matter/dynamic-profile/view/1857511","18-1857511")</f>
        <v>0</v>
      </c>
      <c r="B4987" t="s">
        <v>119</v>
      </c>
      <c r="C4987" t="s">
        <v>256</v>
      </c>
      <c r="D4987" t="s">
        <v>468</v>
      </c>
      <c r="F4987" t="s">
        <v>2540</v>
      </c>
      <c r="G4987" t="s">
        <v>4770</v>
      </c>
      <c r="H4987" t="s">
        <v>5897</v>
      </c>
      <c r="I4987" t="s">
        <v>8739</v>
      </c>
      <c r="J4987" t="s">
        <v>9065</v>
      </c>
      <c r="K4987">
        <v>10452</v>
      </c>
      <c r="L4987" t="s">
        <v>9094</v>
      </c>
      <c r="M4987" t="s">
        <v>9094</v>
      </c>
      <c r="N4987" t="s">
        <v>9253</v>
      </c>
      <c r="O4987" t="s">
        <v>11135</v>
      </c>
      <c r="P4987" t="s">
        <v>11168</v>
      </c>
      <c r="R4987" t="s">
        <v>11180</v>
      </c>
      <c r="S4987" t="s">
        <v>9094</v>
      </c>
      <c r="T4987" t="s">
        <v>11183</v>
      </c>
      <c r="V4987" t="s">
        <v>945</v>
      </c>
      <c r="W4987">
        <v>766.61</v>
      </c>
      <c r="X4987" t="s">
        <v>11333</v>
      </c>
      <c r="Y4987" t="s">
        <v>11346</v>
      </c>
      <c r="Z4987" t="s">
        <v>13670</v>
      </c>
      <c r="AB4987" t="s">
        <v>17998</v>
      </c>
      <c r="AC4987">
        <v>122</v>
      </c>
      <c r="AD4987" t="s">
        <v>19566</v>
      </c>
      <c r="AE4987" t="s">
        <v>9144</v>
      </c>
      <c r="AF4987">
        <v>24</v>
      </c>
      <c r="AG4987">
        <v>2</v>
      </c>
      <c r="AH4987">
        <v>5</v>
      </c>
      <c r="AI4987">
        <v>204.94</v>
      </c>
      <c r="AL4987" t="s">
        <v>19614</v>
      </c>
      <c r="AM4987">
        <v>78000</v>
      </c>
      <c r="AN4987" t="s">
        <v>19693</v>
      </c>
      <c r="AS4987">
        <v>0.25</v>
      </c>
      <c r="AT4987" t="s">
        <v>637</v>
      </c>
      <c r="AU4987" t="s">
        <v>20647</v>
      </c>
    </row>
    <row r="4988" spans="1:48">
      <c r="A4988" s="1">
        <f>HYPERLINK("https://lsnyc.legalserver.org/matter/dynamic-profile/view/1877294","18-1877294")</f>
        <v>0</v>
      </c>
      <c r="B4988" t="s">
        <v>156</v>
      </c>
      <c r="C4988" t="s">
        <v>256</v>
      </c>
      <c r="D4988" t="s">
        <v>581</v>
      </c>
      <c r="F4988" t="s">
        <v>1561</v>
      </c>
      <c r="G4988" t="s">
        <v>5255</v>
      </c>
      <c r="H4988" t="s">
        <v>7862</v>
      </c>
      <c r="I4988" t="s">
        <v>8218</v>
      </c>
      <c r="J4988" t="s">
        <v>9065</v>
      </c>
      <c r="K4988">
        <v>10452</v>
      </c>
      <c r="L4988" t="s">
        <v>9094</v>
      </c>
      <c r="M4988" t="s">
        <v>9094</v>
      </c>
      <c r="N4988" t="s">
        <v>10892</v>
      </c>
      <c r="O4988" t="s">
        <v>11129</v>
      </c>
      <c r="P4988" t="s">
        <v>11165</v>
      </c>
      <c r="R4988" t="s">
        <v>11180</v>
      </c>
      <c r="S4988" t="s">
        <v>9096</v>
      </c>
      <c r="T4988" t="s">
        <v>11183</v>
      </c>
      <c r="U4988" t="s">
        <v>11200</v>
      </c>
      <c r="V4988" t="s">
        <v>581</v>
      </c>
      <c r="W4988">
        <v>1405.42</v>
      </c>
      <c r="X4988" t="s">
        <v>11333</v>
      </c>
      <c r="Y4988" t="s">
        <v>11345</v>
      </c>
      <c r="Z4988" t="s">
        <v>12577</v>
      </c>
      <c r="AB4988" t="s">
        <v>18891</v>
      </c>
      <c r="AC4988">
        <v>129</v>
      </c>
      <c r="AD4988" t="s">
        <v>19566</v>
      </c>
      <c r="AE4988" t="s">
        <v>9144</v>
      </c>
      <c r="AF4988">
        <v>7</v>
      </c>
      <c r="AG4988">
        <v>4</v>
      </c>
      <c r="AH4988">
        <v>1</v>
      </c>
      <c r="AI4988">
        <v>205.3</v>
      </c>
      <c r="AJ4988" t="s">
        <v>458</v>
      </c>
      <c r="AK4988" t="s">
        <v>19612</v>
      </c>
      <c r="AL4988" t="s">
        <v>19614</v>
      </c>
      <c r="AM4988">
        <v>60400</v>
      </c>
      <c r="AN4988" t="s">
        <v>19718</v>
      </c>
      <c r="AO4988" t="s">
        <v>20296</v>
      </c>
      <c r="AP4988" t="s">
        <v>20331</v>
      </c>
      <c r="AQ4988" t="s">
        <v>20369</v>
      </c>
      <c r="AR4988" t="s">
        <v>20564</v>
      </c>
      <c r="AS4988">
        <v>43.7</v>
      </c>
      <c r="AT4988" t="s">
        <v>596</v>
      </c>
      <c r="AU4988" t="s">
        <v>247</v>
      </c>
    </row>
    <row r="4989" spans="1:48">
      <c r="A4989" s="1">
        <f>HYPERLINK("https://lsnyc.legalserver.org/matter/dynamic-profile/view/1879892","18-1879892")</f>
        <v>0</v>
      </c>
      <c r="B4989" t="s">
        <v>139</v>
      </c>
      <c r="C4989" t="s">
        <v>256</v>
      </c>
      <c r="D4989" t="s">
        <v>313</v>
      </c>
      <c r="F4989" t="s">
        <v>1450</v>
      </c>
      <c r="G4989" t="s">
        <v>3374</v>
      </c>
      <c r="H4989" t="s">
        <v>6363</v>
      </c>
      <c r="I4989" t="s">
        <v>8191</v>
      </c>
      <c r="J4989" t="s">
        <v>9067</v>
      </c>
      <c r="K4989">
        <v>10040</v>
      </c>
      <c r="L4989" t="s">
        <v>9094</v>
      </c>
      <c r="M4989" t="s">
        <v>9094</v>
      </c>
      <c r="O4989" t="s">
        <v>11134</v>
      </c>
      <c r="P4989" t="s">
        <v>11168</v>
      </c>
      <c r="R4989" t="s">
        <v>11180</v>
      </c>
      <c r="S4989" t="s">
        <v>9094</v>
      </c>
      <c r="T4989" t="s">
        <v>11183</v>
      </c>
      <c r="V4989" t="s">
        <v>313</v>
      </c>
      <c r="W4989">
        <v>1269.44</v>
      </c>
      <c r="X4989" t="s">
        <v>11335</v>
      </c>
      <c r="Y4989" t="s">
        <v>11340</v>
      </c>
      <c r="Z4989" t="s">
        <v>14569</v>
      </c>
      <c r="AB4989" t="s">
        <v>18892</v>
      </c>
      <c r="AC4989">
        <v>88</v>
      </c>
      <c r="AD4989" t="s">
        <v>19566</v>
      </c>
      <c r="AE4989" t="s">
        <v>9144</v>
      </c>
      <c r="AF4989">
        <v>24</v>
      </c>
      <c r="AG4989">
        <v>2</v>
      </c>
      <c r="AH4989">
        <v>0</v>
      </c>
      <c r="AI4989">
        <v>205.35</v>
      </c>
      <c r="AL4989" t="s">
        <v>19615</v>
      </c>
      <c r="AM4989">
        <v>33800</v>
      </c>
      <c r="AS4989">
        <v>0</v>
      </c>
      <c r="AU4989" t="s">
        <v>130</v>
      </c>
    </row>
    <row r="4990" spans="1:48">
      <c r="A4990" s="1">
        <f>HYPERLINK("https://lsnyc.legalserver.org/matter/dynamic-profile/view/1863969","18-1863969")</f>
        <v>0</v>
      </c>
      <c r="B4990" t="s">
        <v>136</v>
      </c>
      <c r="C4990" t="s">
        <v>256</v>
      </c>
      <c r="D4990" t="s">
        <v>809</v>
      </c>
      <c r="F4990" t="s">
        <v>2061</v>
      </c>
      <c r="G4990" t="s">
        <v>3573</v>
      </c>
      <c r="H4990" t="s">
        <v>5961</v>
      </c>
      <c r="I4990">
        <v>315</v>
      </c>
      <c r="J4990" t="s">
        <v>9067</v>
      </c>
      <c r="K4990">
        <v>10029</v>
      </c>
      <c r="L4990" t="s">
        <v>9094</v>
      </c>
      <c r="M4990" t="s">
        <v>9094</v>
      </c>
      <c r="N4990" t="s">
        <v>9287</v>
      </c>
      <c r="O4990" t="s">
        <v>11130</v>
      </c>
      <c r="P4990" t="s">
        <v>11165</v>
      </c>
      <c r="R4990" t="s">
        <v>11180</v>
      </c>
      <c r="S4990" t="s">
        <v>9094</v>
      </c>
      <c r="T4990" t="s">
        <v>11183</v>
      </c>
      <c r="U4990" t="s">
        <v>11201</v>
      </c>
      <c r="V4990" t="s">
        <v>809</v>
      </c>
      <c r="W4990">
        <v>0</v>
      </c>
      <c r="X4990" t="s">
        <v>11335</v>
      </c>
      <c r="Y4990" t="s">
        <v>11339</v>
      </c>
      <c r="Z4990" t="s">
        <v>11492</v>
      </c>
      <c r="AC4990">
        <v>108</v>
      </c>
      <c r="AD4990" t="s">
        <v>19567</v>
      </c>
      <c r="AE4990" t="s">
        <v>19580</v>
      </c>
      <c r="AF4990">
        <v>9</v>
      </c>
      <c r="AG4990">
        <v>2</v>
      </c>
      <c r="AH4990">
        <v>0</v>
      </c>
      <c r="AI4990">
        <v>205.35</v>
      </c>
      <c r="AL4990" t="s">
        <v>19614</v>
      </c>
      <c r="AM4990">
        <v>33800</v>
      </c>
      <c r="AS4990">
        <v>0.5</v>
      </c>
      <c r="AT4990" t="s">
        <v>289</v>
      </c>
      <c r="AU4990" t="s">
        <v>20657</v>
      </c>
    </row>
    <row r="4991" spans="1:48">
      <c r="A4991" s="1">
        <f>HYPERLINK("https://lsnyc.legalserver.org/matter/dynamic-profile/view/1913635","19-1913635")</f>
        <v>0</v>
      </c>
      <c r="B4991" t="s">
        <v>92</v>
      </c>
      <c r="C4991" t="s">
        <v>256</v>
      </c>
      <c r="D4991" t="s">
        <v>521</v>
      </c>
      <c r="F4991" t="s">
        <v>2493</v>
      </c>
      <c r="G4991" t="s">
        <v>3497</v>
      </c>
      <c r="H4991" t="s">
        <v>6306</v>
      </c>
      <c r="I4991" t="s">
        <v>8160</v>
      </c>
      <c r="J4991" t="s">
        <v>9059</v>
      </c>
      <c r="K4991">
        <v>11238</v>
      </c>
      <c r="L4991" t="s">
        <v>9094</v>
      </c>
      <c r="M4991" t="s">
        <v>9095</v>
      </c>
      <c r="O4991" t="s">
        <v>11130</v>
      </c>
      <c r="P4991" t="s">
        <v>11165</v>
      </c>
      <c r="R4991" t="s">
        <v>11180</v>
      </c>
      <c r="S4991" t="s">
        <v>9094</v>
      </c>
      <c r="T4991" t="s">
        <v>11183</v>
      </c>
      <c r="U4991" t="s">
        <v>11201</v>
      </c>
      <c r="V4991" t="s">
        <v>11243</v>
      </c>
      <c r="W4991">
        <v>983.4400000000001</v>
      </c>
      <c r="X4991" t="s">
        <v>11332</v>
      </c>
      <c r="Y4991" t="s">
        <v>11157</v>
      </c>
      <c r="Z4991" t="s">
        <v>14388</v>
      </c>
      <c r="AA4991" t="s">
        <v>9144</v>
      </c>
      <c r="AB4991" t="s">
        <v>18709</v>
      </c>
      <c r="AC4991">
        <v>16</v>
      </c>
      <c r="AD4991" t="s">
        <v>19566</v>
      </c>
      <c r="AE4991" t="s">
        <v>9144</v>
      </c>
      <c r="AF4991">
        <v>13</v>
      </c>
      <c r="AG4991">
        <v>2</v>
      </c>
      <c r="AH4991">
        <v>2</v>
      </c>
      <c r="AI4991">
        <v>205.59</v>
      </c>
      <c r="AL4991" t="s">
        <v>19614</v>
      </c>
      <c r="AM4991">
        <v>52940</v>
      </c>
      <c r="AN4991" t="s">
        <v>19753</v>
      </c>
      <c r="AS4991">
        <v>0</v>
      </c>
      <c r="AU4991" t="s">
        <v>79</v>
      </c>
      <c r="AV4991" t="s">
        <v>20733</v>
      </c>
    </row>
    <row r="4992" spans="1:48">
      <c r="A4992" s="1">
        <f>HYPERLINK("https://lsnyc.legalserver.org/matter/dynamic-profile/view/1909432","19-1909432")</f>
        <v>0</v>
      </c>
      <c r="B4992" t="s">
        <v>139</v>
      </c>
      <c r="C4992" t="s">
        <v>256</v>
      </c>
      <c r="D4992" t="s">
        <v>339</v>
      </c>
      <c r="F4992" t="s">
        <v>2979</v>
      </c>
      <c r="G4992" t="s">
        <v>5256</v>
      </c>
      <c r="H4992" t="s">
        <v>6653</v>
      </c>
      <c r="I4992" t="s">
        <v>8153</v>
      </c>
      <c r="J4992" t="s">
        <v>9067</v>
      </c>
      <c r="K4992">
        <v>10040</v>
      </c>
      <c r="L4992" t="s">
        <v>9094</v>
      </c>
      <c r="M4992" t="s">
        <v>9095</v>
      </c>
      <c r="O4992" t="s">
        <v>11130</v>
      </c>
      <c r="P4992" t="s">
        <v>11165</v>
      </c>
      <c r="R4992" t="s">
        <v>11180</v>
      </c>
      <c r="S4992" t="s">
        <v>9094</v>
      </c>
      <c r="T4992" t="s">
        <v>11183</v>
      </c>
      <c r="V4992" t="s">
        <v>11312</v>
      </c>
      <c r="W4992">
        <v>1200</v>
      </c>
      <c r="X4992" t="s">
        <v>11335</v>
      </c>
      <c r="Y4992" t="s">
        <v>11338</v>
      </c>
      <c r="Z4992" t="s">
        <v>14570</v>
      </c>
      <c r="AB4992" t="s">
        <v>18893</v>
      </c>
      <c r="AC4992">
        <v>77</v>
      </c>
      <c r="AD4992" t="s">
        <v>19565</v>
      </c>
      <c r="AE4992" t="s">
        <v>9144</v>
      </c>
      <c r="AF4992">
        <v>8</v>
      </c>
      <c r="AG4992">
        <v>1</v>
      </c>
      <c r="AH4992">
        <v>0</v>
      </c>
      <c r="AI4992">
        <v>205.6</v>
      </c>
      <c r="AJ4992" t="s">
        <v>404</v>
      </c>
      <c r="AK4992" t="s">
        <v>19612</v>
      </c>
      <c r="AL4992" t="s">
        <v>19614</v>
      </c>
      <c r="AM4992">
        <v>25680</v>
      </c>
      <c r="AS4992">
        <v>0.1</v>
      </c>
      <c r="AT4992" t="s">
        <v>425</v>
      </c>
      <c r="AU4992" t="s">
        <v>130</v>
      </c>
      <c r="AV4992" t="s">
        <v>20733</v>
      </c>
    </row>
    <row r="4993" spans="1:48">
      <c r="A4993" s="1">
        <f>HYPERLINK("https://lsnyc.legalserver.org/matter/dynamic-profile/view/1914825","19-1914825")</f>
        <v>0</v>
      </c>
      <c r="B4993" t="s">
        <v>142</v>
      </c>
      <c r="C4993" t="s">
        <v>256</v>
      </c>
      <c r="D4993" t="s">
        <v>331</v>
      </c>
      <c r="F4993" t="s">
        <v>1770</v>
      </c>
      <c r="G4993" t="s">
        <v>3639</v>
      </c>
      <c r="H4993" t="s">
        <v>6596</v>
      </c>
      <c r="I4993" t="s">
        <v>8109</v>
      </c>
      <c r="J4993" t="s">
        <v>9067</v>
      </c>
      <c r="K4993">
        <v>10035</v>
      </c>
      <c r="L4993" t="s">
        <v>9094</v>
      </c>
      <c r="M4993" t="s">
        <v>9095</v>
      </c>
      <c r="O4993" t="s">
        <v>11130</v>
      </c>
      <c r="P4993" t="s">
        <v>11165</v>
      </c>
      <c r="R4993" t="s">
        <v>11180</v>
      </c>
      <c r="S4993" t="s">
        <v>9094</v>
      </c>
      <c r="T4993" t="s">
        <v>11183</v>
      </c>
      <c r="U4993" t="s">
        <v>11201</v>
      </c>
      <c r="V4993" t="s">
        <v>632</v>
      </c>
      <c r="W4993">
        <v>985</v>
      </c>
      <c r="X4993" t="s">
        <v>11335</v>
      </c>
      <c r="Y4993" t="s">
        <v>11340</v>
      </c>
      <c r="Z4993" t="s">
        <v>14561</v>
      </c>
      <c r="AB4993" t="s">
        <v>18883</v>
      </c>
      <c r="AC4993">
        <v>60</v>
      </c>
      <c r="AD4993" t="s">
        <v>19566</v>
      </c>
      <c r="AE4993" t="s">
        <v>9144</v>
      </c>
      <c r="AF4993">
        <v>10</v>
      </c>
      <c r="AG4993">
        <v>3</v>
      </c>
      <c r="AH4993">
        <v>1</v>
      </c>
      <c r="AI4993">
        <v>205.83</v>
      </c>
      <c r="AL4993" t="s">
        <v>19614</v>
      </c>
      <c r="AM4993">
        <v>53000</v>
      </c>
      <c r="AS4993">
        <v>0</v>
      </c>
      <c r="AU4993" t="s">
        <v>20657</v>
      </c>
      <c r="AV4993" t="s">
        <v>20733</v>
      </c>
    </row>
    <row r="4994" spans="1:48">
      <c r="A4994" s="1">
        <f>HYPERLINK("https://lsnyc.legalserver.org/matter/dynamic-profile/view/1861611","18-1861611")</f>
        <v>0</v>
      </c>
      <c r="B4994" t="s">
        <v>140</v>
      </c>
      <c r="C4994" t="s">
        <v>256</v>
      </c>
      <c r="D4994" t="s">
        <v>532</v>
      </c>
      <c r="F4994" t="s">
        <v>1146</v>
      </c>
      <c r="G4994" t="s">
        <v>5257</v>
      </c>
      <c r="H4994" t="s">
        <v>6170</v>
      </c>
      <c r="I4994" t="s">
        <v>8906</v>
      </c>
      <c r="J4994" t="s">
        <v>9067</v>
      </c>
      <c r="K4994">
        <v>10034</v>
      </c>
      <c r="L4994" t="s">
        <v>9095</v>
      </c>
      <c r="M4994" t="s">
        <v>9095</v>
      </c>
      <c r="N4994" t="s">
        <v>10893</v>
      </c>
      <c r="O4994" t="s">
        <v>11129</v>
      </c>
      <c r="P4994" t="s">
        <v>11165</v>
      </c>
      <c r="R4994" t="s">
        <v>11180</v>
      </c>
      <c r="T4994" t="s">
        <v>11183</v>
      </c>
      <c r="W4994">
        <v>1200</v>
      </c>
      <c r="X4994" t="s">
        <v>11335</v>
      </c>
      <c r="Z4994" t="s">
        <v>14571</v>
      </c>
      <c r="AB4994" t="s">
        <v>18894</v>
      </c>
      <c r="AC4994">
        <v>20</v>
      </c>
      <c r="AD4994" t="s">
        <v>15441</v>
      </c>
      <c r="AE4994" t="s">
        <v>9144</v>
      </c>
      <c r="AF4994">
        <v>6</v>
      </c>
      <c r="AG4994">
        <v>3</v>
      </c>
      <c r="AH4994">
        <v>0</v>
      </c>
      <c r="AI4994">
        <v>206.45</v>
      </c>
      <c r="AL4994" t="s">
        <v>19615</v>
      </c>
      <c r="AM4994">
        <v>42900</v>
      </c>
      <c r="AS4994">
        <v>54.75</v>
      </c>
      <c r="AT4994" t="s">
        <v>496</v>
      </c>
      <c r="AU4994" t="s">
        <v>20635</v>
      </c>
    </row>
    <row r="4995" spans="1:48">
      <c r="A4995" s="1">
        <f>HYPERLINK("https://lsnyc.legalserver.org/matter/dynamic-profile/view/1879973","18-1879973")</f>
        <v>0</v>
      </c>
      <c r="B4995" t="s">
        <v>114</v>
      </c>
      <c r="C4995" t="s">
        <v>256</v>
      </c>
      <c r="D4995" t="s">
        <v>572</v>
      </c>
      <c r="F4995" t="s">
        <v>1152</v>
      </c>
      <c r="G4995" t="s">
        <v>3498</v>
      </c>
      <c r="H4995" t="s">
        <v>7696</v>
      </c>
      <c r="I4995">
        <v>1</v>
      </c>
      <c r="J4995" t="s">
        <v>9065</v>
      </c>
      <c r="K4995">
        <v>10475</v>
      </c>
      <c r="L4995" t="s">
        <v>9094</v>
      </c>
      <c r="M4995" t="s">
        <v>9094</v>
      </c>
      <c r="N4995" t="s">
        <v>10894</v>
      </c>
      <c r="O4995" t="s">
        <v>11152</v>
      </c>
      <c r="P4995" t="s">
        <v>11165</v>
      </c>
      <c r="R4995" t="s">
        <v>11180</v>
      </c>
      <c r="S4995" t="s">
        <v>9096</v>
      </c>
      <c r="T4995" t="s">
        <v>11183</v>
      </c>
      <c r="V4995" t="s">
        <v>572</v>
      </c>
      <c r="W4995">
        <v>1513</v>
      </c>
      <c r="X4995" t="s">
        <v>11333</v>
      </c>
      <c r="Z4995" t="s">
        <v>12691</v>
      </c>
      <c r="AC4995">
        <v>10914</v>
      </c>
      <c r="AD4995" t="s">
        <v>19568</v>
      </c>
      <c r="AF4995">
        <v>12</v>
      </c>
      <c r="AG4995">
        <v>1</v>
      </c>
      <c r="AH4995">
        <v>2</v>
      </c>
      <c r="AI4995">
        <v>206.74</v>
      </c>
      <c r="AJ4995" t="s">
        <v>650</v>
      </c>
      <c r="AK4995" t="s">
        <v>19612</v>
      </c>
      <c r="AL4995" t="s">
        <v>19614</v>
      </c>
      <c r="AM4995">
        <v>42960</v>
      </c>
      <c r="AS4995">
        <v>46</v>
      </c>
      <c r="AT4995" t="s">
        <v>292</v>
      </c>
      <c r="AU4995" t="s">
        <v>114</v>
      </c>
    </row>
    <row r="4996" spans="1:48">
      <c r="A4996" s="1">
        <f>HYPERLINK("https://lsnyc.legalserver.org/matter/dynamic-profile/view/1903861","19-1903861")</f>
        <v>0</v>
      </c>
      <c r="B4996" t="s">
        <v>49</v>
      </c>
      <c r="C4996" t="s">
        <v>257</v>
      </c>
      <c r="D4996" t="s">
        <v>597</v>
      </c>
      <c r="E4996" t="s">
        <v>320</v>
      </c>
      <c r="F4996" t="s">
        <v>1416</v>
      </c>
      <c r="G4996" t="s">
        <v>1488</v>
      </c>
      <c r="H4996" t="s">
        <v>7863</v>
      </c>
      <c r="J4996" t="s">
        <v>9038</v>
      </c>
      <c r="K4996">
        <v>11691</v>
      </c>
      <c r="L4996" t="s">
        <v>9094</v>
      </c>
      <c r="M4996" t="s">
        <v>9095</v>
      </c>
      <c r="N4996" t="s">
        <v>9102</v>
      </c>
      <c r="O4996" t="s">
        <v>11128</v>
      </c>
      <c r="P4996" t="s">
        <v>11164</v>
      </c>
      <c r="Q4996" t="s">
        <v>11172</v>
      </c>
      <c r="R4996" t="s">
        <v>11180</v>
      </c>
      <c r="S4996" t="s">
        <v>9096</v>
      </c>
      <c r="T4996" t="s">
        <v>11183</v>
      </c>
      <c r="U4996" t="s">
        <v>11201</v>
      </c>
      <c r="W4996">
        <v>1300</v>
      </c>
      <c r="X4996" t="s">
        <v>11331</v>
      </c>
      <c r="Y4996" t="s">
        <v>11338</v>
      </c>
      <c r="Z4996" t="s">
        <v>11569</v>
      </c>
      <c r="AA4996" t="s">
        <v>9144</v>
      </c>
      <c r="AB4996" t="s">
        <v>15274</v>
      </c>
      <c r="AC4996">
        <v>2</v>
      </c>
      <c r="AD4996" t="s">
        <v>19565</v>
      </c>
      <c r="AE4996" t="s">
        <v>9144</v>
      </c>
      <c r="AF4996">
        <v>-1</v>
      </c>
      <c r="AG4996">
        <v>1</v>
      </c>
      <c r="AH4996">
        <v>1</v>
      </c>
      <c r="AI4996">
        <v>206.98</v>
      </c>
      <c r="AL4996" t="s">
        <v>19614</v>
      </c>
      <c r="AM4996">
        <v>35000</v>
      </c>
      <c r="AP4996" t="s">
        <v>11157</v>
      </c>
      <c r="AR4996" t="s">
        <v>20508</v>
      </c>
      <c r="AS4996">
        <v>3.35</v>
      </c>
      <c r="AT4996" t="s">
        <v>446</v>
      </c>
      <c r="AU4996" t="s">
        <v>20629</v>
      </c>
      <c r="AV4996" t="s">
        <v>20733</v>
      </c>
    </row>
    <row r="4997" spans="1:48">
      <c r="A4997" s="1">
        <f>HYPERLINK("https://lsnyc.legalserver.org/matter/dynamic-profile/view/1908943","19-1908943")</f>
        <v>0</v>
      </c>
      <c r="B4997" t="s">
        <v>73</v>
      </c>
      <c r="C4997" t="s">
        <v>256</v>
      </c>
      <c r="D4997" t="s">
        <v>806</v>
      </c>
      <c r="F4997" t="s">
        <v>2980</v>
      </c>
      <c r="G4997" t="s">
        <v>1299</v>
      </c>
      <c r="H4997" t="s">
        <v>7864</v>
      </c>
      <c r="I4997">
        <v>2</v>
      </c>
      <c r="J4997" t="s">
        <v>9059</v>
      </c>
      <c r="K4997">
        <v>11207</v>
      </c>
      <c r="L4997" t="s">
        <v>9094</v>
      </c>
      <c r="M4997" t="s">
        <v>9095</v>
      </c>
      <c r="N4997" t="s">
        <v>9203</v>
      </c>
      <c r="O4997" t="s">
        <v>11128</v>
      </c>
      <c r="P4997" t="s">
        <v>11165</v>
      </c>
      <c r="R4997" t="s">
        <v>11180</v>
      </c>
      <c r="S4997" t="s">
        <v>9096</v>
      </c>
      <c r="T4997" t="s">
        <v>11183</v>
      </c>
      <c r="U4997" t="s">
        <v>11201</v>
      </c>
      <c r="V4997" t="s">
        <v>899</v>
      </c>
      <c r="W4997">
        <v>1000</v>
      </c>
      <c r="X4997" t="s">
        <v>11332</v>
      </c>
      <c r="Y4997" t="s">
        <v>11338</v>
      </c>
      <c r="Z4997" t="s">
        <v>14572</v>
      </c>
      <c r="AA4997" t="s">
        <v>9144</v>
      </c>
      <c r="AC4997">
        <v>3</v>
      </c>
      <c r="AD4997" t="s">
        <v>19565</v>
      </c>
      <c r="AE4997" t="s">
        <v>9144</v>
      </c>
      <c r="AF4997">
        <v>2</v>
      </c>
      <c r="AG4997">
        <v>2</v>
      </c>
      <c r="AH4997">
        <v>0</v>
      </c>
      <c r="AI4997">
        <v>206.98</v>
      </c>
      <c r="AJ4997" t="s">
        <v>476</v>
      </c>
      <c r="AK4997" t="s">
        <v>19612</v>
      </c>
      <c r="AL4997" t="s">
        <v>19614</v>
      </c>
      <c r="AM4997">
        <v>35000</v>
      </c>
      <c r="AS4997">
        <v>0.5</v>
      </c>
      <c r="AT4997" t="s">
        <v>301</v>
      </c>
      <c r="AU4997" t="s">
        <v>79</v>
      </c>
      <c r="AV4997" t="s">
        <v>20733</v>
      </c>
    </row>
    <row r="4998" spans="1:48">
      <c r="A4998" s="1">
        <f>HYPERLINK("https://lsnyc.legalserver.org/matter/dynamic-profile/view/1900001","19-1900001")</f>
        <v>0</v>
      </c>
      <c r="B4998" t="s">
        <v>113</v>
      </c>
      <c r="C4998" t="s">
        <v>256</v>
      </c>
      <c r="D4998" t="s">
        <v>293</v>
      </c>
      <c r="F4998" t="s">
        <v>1471</v>
      </c>
      <c r="G4998" t="s">
        <v>5258</v>
      </c>
      <c r="H4998" t="s">
        <v>5864</v>
      </c>
      <c r="I4998" t="s">
        <v>8907</v>
      </c>
      <c r="J4998" t="s">
        <v>9065</v>
      </c>
      <c r="K4998">
        <v>10460</v>
      </c>
      <c r="L4998" t="s">
        <v>9094</v>
      </c>
      <c r="M4998" t="s">
        <v>9095</v>
      </c>
      <c r="O4998" t="s">
        <v>9121</v>
      </c>
      <c r="P4998" t="s">
        <v>11166</v>
      </c>
      <c r="R4998" t="s">
        <v>11180</v>
      </c>
      <c r="S4998" t="s">
        <v>9094</v>
      </c>
      <c r="T4998" t="s">
        <v>11183</v>
      </c>
      <c r="V4998" t="s">
        <v>11218</v>
      </c>
      <c r="W4998">
        <v>1960</v>
      </c>
      <c r="X4998" t="s">
        <v>11333</v>
      </c>
      <c r="Y4998" t="s">
        <v>11346</v>
      </c>
      <c r="Z4998" t="s">
        <v>14573</v>
      </c>
      <c r="AB4998" t="s">
        <v>18895</v>
      </c>
      <c r="AC4998">
        <v>168</v>
      </c>
      <c r="AD4998" t="s">
        <v>19567</v>
      </c>
      <c r="AE4998" t="s">
        <v>19580</v>
      </c>
      <c r="AF4998">
        <v>11</v>
      </c>
      <c r="AG4998">
        <v>1</v>
      </c>
      <c r="AH4998">
        <v>1</v>
      </c>
      <c r="AI4998">
        <v>206.98</v>
      </c>
      <c r="AL4998" t="s">
        <v>19614</v>
      </c>
      <c r="AM4998">
        <v>35000</v>
      </c>
      <c r="AS4998">
        <v>0</v>
      </c>
      <c r="AU4998" t="s">
        <v>220</v>
      </c>
      <c r="AV4998" t="s">
        <v>20733</v>
      </c>
    </row>
    <row r="4999" spans="1:48">
      <c r="A4999" s="1">
        <f>HYPERLINK("https://lsnyc.legalserver.org/matter/dynamic-profile/view/1900007","19-1900007")</f>
        <v>0</v>
      </c>
      <c r="B4999" t="s">
        <v>220</v>
      </c>
      <c r="C4999" t="s">
        <v>256</v>
      </c>
      <c r="D4999" t="s">
        <v>293</v>
      </c>
      <c r="F4999" t="s">
        <v>2981</v>
      </c>
      <c r="G4999" t="s">
        <v>5259</v>
      </c>
      <c r="H4999" t="s">
        <v>5864</v>
      </c>
      <c r="I4999" t="s">
        <v>8908</v>
      </c>
      <c r="J4999" t="s">
        <v>9065</v>
      </c>
      <c r="K4999">
        <v>10460</v>
      </c>
      <c r="L4999" t="s">
        <v>9094</v>
      </c>
      <c r="M4999" t="s">
        <v>9095</v>
      </c>
      <c r="O4999" t="s">
        <v>9121</v>
      </c>
      <c r="P4999" t="s">
        <v>11166</v>
      </c>
      <c r="R4999" t="s">
        <v>11180</v>
      </c>
      <c r="S4999" t="s">
        <v>9094</v>
      </c>
      <c r="T4999" t="s">
        <v>11183</v>
      </c>
      <c r="V4999" t="s">
        <v>11218</v>
      </c>
      <c r="W4999">
        <v>1169</v>
      </c>
      <c r="X4999" t="s">
        <v>11333</v>
      </c>
      <c r="Y4999" t="s">
        <v>11346</v>
      </c>
      <c r="Z4999" t="s">
        <v>14574</v>
      </c>
      <c r="AC4999">
        <v>168</v>
      </c>
      <c r="AD4999" t="s">
        <v>19566</v>
      </c>
      <c r="AE4999" t="s">
        <v>19580</v>
      </c>
      <c r="AF4999">
        <v>-1</v>
      </c>
      <c r="AG4999">
        <v>2</v>
      </c>
      <c r="AH4999">
        <v>0</v>
      </c>
      <c r="AI4999">
        <v>206.98</v>
      </c>
      <c r="AL4999" t="s">
        <v>19614</v>
      </c>
      <c r="AM4999">
        <v>35000</v>
      </c>
      <c r="AS4999">
        <v>0</v>
      </c>
      <c r="AU4999" t="s">
        <v>220</v>
      </c>
      <c r="AV4999" t="s">
        <v>20733</v>
      </c>
    </row>
    <row r="5000" spans="1:48">
      <c r="A5000" s="1">
        <f>HYPERLINK("https://lsnyc.legalserver.org/matter/dynamic-profile/view/1909955","19-1909955")</f>
        <v>0</v>
      </c>
      <c r="B5000" t="s">
        <v>117</v>
      </c>
      <c r="C5000" t="s">
        <v>257</v>
      </c>
      <c r="D5000" t="s">
        <v>806</v>
      </c>
      <c r="E5000" t="s">
        <v>341</v>
      </c>
      <c r="F5000" t="s">
        <v>1314</v>
      </c>
      <c r="G5000" t="s">
        <v>2681</v>
      </c>
      <c r="H5000" t="s">
        <v>7865</v>
      </c>
      <c r="I5000" t="s">
        <v>8124</v>
      </c>
      <c r="J5000" t="s">
        <v>9065</v>
      </c>
      <c r="K5000">
        <v>10457</v>
      </c>
      <c r="L5000" t="s">
        <v>9094</v>
      </c>
      <c r="M5000" t="s">
        <v>9095</v>
      </c>
      <c r="P5000" t="s">
        <v>11164</v>
      </c>
      <c r="Q5000" t="s">
        <v>11172</v>
      </c>
      <c r="R5000" t="s">
        <v>11180</v>
      </c>
      <c r="T5000" t="s">
        <v>11183</v>
      </c>
      <c r="W5000">
        <v>964</v>
      </c>
      <c r="X5000" t="s">
        <v>11333</v>
      </c>
      <c r="Y5000" t="s">
        <v>11346</v>
      </c>
      <c r="Z5000" t="s">
        <v>14575</v>
      </c>
      <c r="AB5000" t="s">
        <v>18896</v>
      </c>
      <c r="AC5000">
        <v>36</v>
      </c>
      <c r="AD5000" t="s">
        <v>19566</v>
      </c>
      <c r="AE5000" t="s">
        <v>9144</v>
      </c>
      <c r="AF5000">
        <v>2</v>
      </c>
      <c r="AG5000">
        <v>2</v>
      </c>
      <c r="AH5000">
        <v>0</v>
      </c>
      <c r="AI5000">
        <v>206.98</v>
      </c>
      <c r="AL5000" t="s">
        <v>19615</v>
      </c>
      <c r="AM5000">
        <v>35000</v>
      </c>
      <c r="AS5000">
        <v>0.1</v>
      </c>
      <c r="AT5000" t="s">
        <v>341</v>
      </c>
      <c r="AU5000" t="s">
        <v>163</v>
      </c>
      <c r="AV5000" t="s">
        <v>20733</v>
      </c>
    </row>
    <row r="5001" spans="1:48">
      <c r="A5001" s="1">
        <f>HYPERLINK("https://lsnyc.legalserver.org/matter/dynamic-profile/view/1868024","18-1868024")</f>
        <v>0</v>
      </c>
      <c r="B5001" t="s">
        <v>82</v>
      </c>
      <c r="C5001" t="s">
        <v>256</v>
      </c>
      <c r="D5001" t="s">
        <v>950</v>
      </c>
      <c r="F5001" t="s">
        <v>2982</v>
      </c>
      <c r="G5001" t="s">
        <v>5260</v>
      </c>
      <c r="H5001" t="s">
        <v>5772</v>
      </c>
      <c r="I5001" t="s">
        <v>8909</v>
      </c>
      <c r="J5001" t="s">
        <v>9059</v>
      </c>
      <c r="K5001">
        <v>11230</v>
      </c>
      <c r="L5001" t="s">
        <v>9094</v>
      </c>
      <c r="M5001" t="s">
        <v>9095</v>
      </c>
      <c r="O5001" t="s">
        <v>9121</v>
      </c>
      <c r="P5001" t="s">
        <v>11166</v>
      </c>
      <c r="R5001" t="s">
        <v>11180</v>
      </c>
      <c r="S5001" t="s">
        <v>9094</v>
      </c>
      <c r="T5001" t="s">
        <v>11183</v>
      </c>
      <c r="V5001" t="s">
        <v>313</v>
      </c>
      <c r="W5001">
        <v>615.9400000000001</v>
      </c>
      <c r="X5001" t="s">
        <v>11332</v>
      </c>
      <c r="Y5001" t="s">
        <v>11346</v>
      </c>
      <c r="Z5001" t="s">
        <v>14576</v>
      </c>
      <c r="AC5001">
        <v>40</v>
      </c>
      <c r="AD5001" t="s">
        <v>19566</v>
      </c>
      <c r="AE5001" t="s">
        <v>9144</v>
      </c>
      <c r="AF5001">
        <v>37</v>
      </c>
      <c r="AG5001">
        <v>4</v>
      </c>
      <c r="AH5001">
        <v>0</v>
      </c>
      <c r="AI5001">
        <v>207.17</v>
      </c>
      <c r="AL5001" t="s">
        <v>19614</v>
      </c>
      <c r="AM5001">
        <v>52000</v>
      </c>
      <c r="AS5001">
        <v>3.7</v>
      </c>
      <c r="AT5001" t="s">
        <v>695</v>
      </c>
      <c r="AU5001" t="s">
        <v>20630</v>
      </c>
    </row>
    <row r="5002" spans="1:48">
      <c r="A5002" s="1">
        <f>HYPERLINK("https://lsnyc.legalserver.org/matter/dynamic-profile/view/1913818","19-1913818")</f>
        <v>0</v>
      </c>
      <c r="B5002" t="s">
        <v>57</v>
      </c>
      <c r="C5002" t="s">
        <v>256</v>
      </c>
      <c r="D5002" t="s">
        <v>301</v>
      </c>
      <c r="F5002" t="s">
        <v>1552</v>
      </c>
      <c r="G5002" t="s">
        <v>5261</v>
      </c>
      <c r="H5002" t="s">
        <v>7866</v>
      </c>
      <c r="I5002" t="s">
        <v>8157</v>
      </c>
      <c r="J5002" t="s">
        <v>9064</v>
      </c>
      <c r="K5002">
        <v>11101</v>
      </c>
      <c r="L5002" t="s">
        <v>9094</v>
      </c>
      <c r="M5002" t="s">
        <v>9095</v>
      </c>
      <c r="N5002" t="s">
        <v>10895</v>
      </c>
      <c r="O5002" t="s">
        <v>11130</v>
      </c>
      <c r="P5002" t="s">
        <v>11167</v>
      </c>
      <c r="R5002" t="s">
        <v>11180</v>
      </c>
      <c r="S5002" t="s">
        <v>9096</v>
      </c>
      <c r="T5002" t="s">
        <v>11183</v>
      </c>
      <c r="U5002" t="s">
        <v>11201</v>
      </c>
      <c r="V5002" t="s">
        <v>301</v>
      </c>
      <c r="W5002">
        <v>1540</v>
      </c>
      <c r="X5002" t="s">
        <v>11331</v>
      </c>
      <c r="Y5002" t="s">
        <v>11346</v>
      </c>
      <c r="Z5002" t="s">
        <v>14577</v>
      </c>
      <c r="AB5002" t="s">
        <v>18897</v>
      </c>
      <c r="AC5002">
        <v>30</v>
      </c>
      <c r="AD5002" t="s">
        <v>19566</v>
      </c>
      <c r="AF5002">
        <v>11</v>
      </c>
      <c r="AG5002">
        <v>2</v>
      </c>
      <c r="AH5002">
        <v>1</v>
      </c>
      <c r="AI5002">
        <v>207.22</v>
      </c>
      <c r="AK5002" t="s">
        <v>19612</v>
      </c>
      <c r="AL5002" t="s">
        <v>19616</v>
      </c>
      <c r="AM5002">
        <v>44200</v>
      </c>
      <c r="AS5002">
        <v>3.2</v>
      </c>
      <c r="AT5002" t="s">
        <v>321</v>
      </c>
      <c r="AU5002" t="s">
        <v>57</v>
      </c>
    </row>
    <row r="5003" spans="1:48">
      <c r="A5003" s="1">
        <f>HYPERLINK("https://lsnyc.legalserver.org/matter/dynamic-profile/view/1856450","18-1856450")</f>
        <v>0</v>
      </c>
      <c r="B5003" t="s">
        <v>139</v>
      </c>
      <c r="C5003" t="s">
        <v>256</v>
      </c>
      <c r="D5003" t="s">
        <v>812</v>
      </c>
      <c r="F5003" t="s">
        <v>2983</v>
      </c>
      <c r="G5003" t="s">
        <v>3405</v>
      </c>
      <c r="H5003" t="s">
        <v>5948</v>
      </c>
      <c r="I5003" t="s">
        <v>8704</v>
      </c>
      <c r="J5003" t="s">
        <v>9067</v>
      </c>
      <c r="K5003">
        <v>10034</v>
      </c>
      <c r="L5003" t="s">
        <v>9094</v>
      </c>
      <c r="M5003" t="s">
        <v>9095</v>
      </c>
      <c r="O5003" t="s">
        <v>11130</v>
      </c>
      <c r="P5003" t="s">
        <v>11165</v>
      </c>
      <c r="R5003" t="s">
        <v>11180</v>
      </c>
      <c r="S5003" t="s">
        <v>9094</v>
      </c>
      <c r="T5003" t="s">
        <v>11183</v>
      </c>
      <c r="V5003" t="s">
        <v>812</v>
      </c>
      <c r="W5003">
        <v>987</v>
      </c>
      <c r="X5003" t="s">
        <v>11335</v>
      </c>
      <c r="Y5003" t="s">
        <v>11339</v>
      </c>
      <c r="Z5003" t="s">
        <v>14578</v>
      </c>
      <c r="AB5003" t="s">
        <v>18898</v>
      </c>
      <c r="AC5003">
        <v>49</v>
      </c>
      <c r="AD5003" t="s">
        <v>19566</v>
      </c>
      <c r="AE5003" t="s">
        <v>9144</v>
      </c>
      <c r="AF5003">
        <v>35</v>
      </c>
      <c r="AG5003">
        <v>3</v>
      </c>
      <c r="AH5003">
        <v>1</v>
      </c>
      <c r="AI5003">
        <v>207.32</v>
      </c>
      <c r="AL5003" t="s">
        <v>19614</v>
      </c>
      <c r="AM5003">
        <v>51000</v>
      </c>
      <c r="AS5003">
        <v>0.9</v>
      </c>
      <c r="AT5003" t="s">
        <v>746</v>
      </c>
      <c r="AU5003" t="s">
        <v>130</v>
      </c>
    </row>
    <row r="5004" spans="1:48">
      <c r="A5004" s="1">
        <f>HYPERLINK("https://lsnyc.legalserver.org/matter/dynamic-profile/view/1881860","18-1881860")</f>
        <v>0</v>
      </c>
      <c r="B5004" t="s">
        <v>251</v>
      </c>
      <c r="C5004" t="s">
        <v>257</v>
      </c>
      <c r="D5004" t="s">
        <v>514</v>
      </c>
      <c r="E5004" t="s">
        <v>396</v>
      </c>
      <c r="F5004" t="s">
        <v>2984</v>
      </c>
      <c r="G5004" t="s">
        <v>3699</v>
      </c>
      <c r="H5004" t="s">
        <v>7867</v>
      </c>
      <c r="I5004" t="s">
        <v>8187</v>
      </c>
      <c r="J5004" t="s">
        <v>9065</v>
      </c>
      <c r="K5004">
        <v>10456</v>
      </c>
      <c r="L5004" t="s">
        <v>9094</v>
      </c>
      <c r="M5004" t="s">
        <v>9094</v>
      </c>
      <c r="O5004" t="s">
        <v>11128</v>
      </c>
      <c r="P5004" t="s">
        <v>11166</v>
      </c>
      <c r="Q5004" t="s">
        <v>11173</v>
      </c>
      <c r="R5004" t="s">
        <v>11180</v>
      </c>
      <c r="S5004" t="s">
        <v>9096</v>
      </c>
      <c r="T5004" t="s">
        <v>11183</v>
      </c>
      <c r="V5004" t="s">
        <v>697</v>
      </c>
      <c r="W5004">
        <v>971</v>
      </c>
      <c r="X5004" t="s">
        <v>11333</v>
      </c>
      <c r="Y5004" t="s">
        <v>11340</v>
      </c>
      <c r="Z5004" t="s">
        <v>14579</v>
      </c>
      <c r="AB5004" t="s">
        <v>18899</v>
      </c>
      <c r="AC5004">
        <v>0</v>
      </c>
      <c r="AD5004" t="s">
        <v>19566</v>
      </c>
      <c r="AE5004" t="s">
        <v>19587</v>
      </c>
      <c r="AF5004">
        <v>60</v>
      </c>
      <c r="AG5004">
        <v>2</v>
      </c>
      <c r="AH5004">
        <v>0</v>
      </c>
      <c r="AI5004">
        <v>207.48</v>
      </c>
      <c r="AL5004" t="s">
        <v>19615</v>
      </c>
      <c r="AM5004">
        <v>34152</v>
      </c>
      <c r="AS5004">
        <v>4.9</v>
      </c>
      <c r="AT5004" t="s">
        <v>473</v>
      </c>
      <c r="AU5004" t="s">
        <v>20644</v>
      </c>
    </row>
    <row r="5005" spans="1:48">
      <c r="A5005" s="1">
        <f>HYPERLINK("https://lsnyc.legalserver.org/matter/dynamic-profile/view/1884708","18-1884708")</f>
        <v>0</v>
      </c>
      <c r="B5005" t="s">
        <v>112</v>
      </c>
      <c r="C5005" t="s">
        <v>256</v>
      </c>
      <c r="D5005" t="s">
        <v>622</v>
      </c>
      <c r="F5005" t="s">
        <v>1367</v>
      </c>
      <c r="G5005" t="s">
        <v>5262</v>
      </c>
      <c r="H5005" t="s">
        <v>7868</v>
      </c>
      <c r="I5005">
        <v>15</v>
      </c>
      <c r="J5005" t="s">
        <v>9065</v>
      </c>
      <c r="K5005">
        <v>10451</v>
      </c>
      <c r="L5005" t="s">
        <v>9094</v>
      </c>
      <c r="M5005" t="s">
        <v>9094</v>
      </c>
      <c r="N5005" t="s">
        <v>9171</v>
      </c>
      <c r="O5005" t="s">
        <v>11161</v>
      </c>
      <c r="P5005" t="s">
        <v>11166</v>
      </c>
      <c r="R5005" t="s">
        <v>11180</v>
      </c>
      <c r="S5005" t="s">
        <v>9096</v>
      </c>
      <c r="T5005" t="s">
        <v>11190</v>
      </c>
      <c r="V5005" t="s">
        <v>611</v>
      </c>
      <c r="W5005">
        <v>964</v>
      </c>
      <c r="X5005" t="s">
        <v>11333</v>
      </c>
      <c r="Y5005" t="s">
        <v>11340</v>
      </c>
      <c r="Z5005" t="s">
        <v>14580</v>
      </c>
      <c r="AB5005" t="s">
        <v>18900</v>
      </c>
      <c r="AC5005">
        <v>17</v>
      </c>
      <c r="AD5005" t="s">
        <v>19566</v>
      </c>
      <c r="AE5005" t="s">
        <v>19580</v>
      </c>
      <c r="AF5005">
        <v>7</v>
      </c>
      <c r="AG5005">
        <v>1</v>
      </c>
      <c r="AH5005">
        <v>0</v>
      </c>
      <c r="AI5005">
        <v>207.58</v>
      </c>
      <c r="AL5005" t="s">
        <v>19615</v>
      </c>
      <c r="AM5005">
        <v>25200</v>
      </c>
      <c r="AN5005" t="s">
        <v>20068</v>
      </c>
      <c r="AS5005">
        <v>4.95</v>
      </c>
      <c r="AT5005" t="s">
        <v>484</v>
      </c>
      <c r="AU5005" t="s">
        <v>20670</v>
      </c>
    </row>
    <row r="5006" spans="1:48">
      <c r="A5006" s="1">
        <f>HYPERLINK("https://lsnyc.legalserver.org/matter/dynamic-profile/view/1891637","19-1891637")</f>
        <v>0</v>
      </c>
      <c r="B5006" t="s">
        <v>147</v>
      </c>
      <c r="C5006" t="s">
        <v>256</v>
      </c>
      <c r="D5006" t="s">
        <v>311</v>
      </c>
      <c r="F5006" t="s">
        <v>2260</v>
      </c>
      <c r="G5006" t="s">
        <v>5159</v>
      </c>
      <c r="H5006" t="s">
        <v>7869</v>
      </c>
      <c r="I5006" t="s">
        <v>8910</v>
      </c>
      <c r="J5006" t="s">
        <v>9066</v>
      </c>
      <c r="K5006">
        <v>10304</v>
      </c>
      <c r="L5006" t="s">
        <v>9094</v>
      </c>
      <c r="M5006" t="s">
        <v>9095</v>
      </c>
      <c r="N5006" t="s">
        <v>10896</v>
      </c>
      <c r="O5006" t="s">
        <v>11129</v>
      </c>
      <c r="P5006" t="s">
        <v>11165</v>
      </c>
      <c r="R5006" t="s">
        <v>11180</v>
      </c>
      <c r="S5006" t="s">
        <v>9096</v>
      </c>
      <c r="T5006" t="s">
        <v>11183</v>
      </c>
      <c r="U5006" t="s">
        <v>11201</v>
      </c>
      <c r="V5006" t="s">
        <v>311</v>
      </c>
      <c r="W5006">
        <v>678.91</v>
      </c>
      <c r="X5006" t="s">
        <v>11334</v>
      </c>
      <c r="Y5006" t="s">
        <v>11340</v>
      </c>
      <c r="Z5006" t="s">
        <v>14581</v>
      </c>
      <c r="AB5006" t="s">
        <v>18901</v>
      </c>
      <c r="AC5006">
        <v>16</v>
      </c>
      <c r="AD5006" t="s">
        <v>19566</v>
      </c>
      <c r="AE5006" t="s">
        <v>9144</v>
      </c>
      <c r="AF5006">
        <v>20</v>
      </c>
      <c r="AG5006">
        <v>1</v>
      </c>
      <c r="AH5006">
        <v>0</v>
      </c>
      <c r="AI5006">
        <v>207.62</v>
      </c>
      <c r="AJ5006" t="s">
        <v>842</v>
      </c>
      <c r="AK5006" t="s">
        <v>19612</v>
      </c>
      <c r="AL5006" t="s">
        <v>19614</v>
      </c>
      <c r="AM5006">
        <v>25932</v>
      </c>
      <c r="AS5006">
        <v>26.85</v>
      </c>
      <c r="AT5006" t="s">
        <v>487</v>
      </c>
      <c r="AU5006" t="s">
        <v>20652</v>
      </c>
      <c r="AV5006" t="s">
        <v>20733</v>
      </c>
    </row>
    <row r="5007" spans="1:48">
      <c r="A5007" s="1">
        <f>HYPERLINK("https://lsnyc.legalserver.org/matter/dynamic-profile/view/1872874","18-1872874")</f>
        <v>0</v>
      </c>
      <c r="B5007" t="s">
        <v>195</v>
      </c>
      <c r="C5007" t="s">
        <v>256</v>
      </c>
      <c r="D5007" t="s">
        <v>713</v>
      </c>
      <c r="F5007" t="s">
        <v>1710</v>
      </c>
      <c r="G5007" t="s">
        <v>3402</v>
      </c>
      <c r="H5007" t="s">
        <v>7870</v>
      </c>
      <c r="I5007" t="s">
        <v>8216</v>
      </c>
      <c r="J5007" t="s">
        <v>9067</v>
      </c>
      <c r="K5007">
        <v>10031</v>
      </c>
      <c r="L5007" t="s">
        <v>9094</v>
      </c>
      <c r="M5007" t="s">
        <v>9094</v>
      </c>
      <c r="N5007" t="s">
        <v>10897</v>
      </c>
      <c r="O5007" t="s">
        <v>11128</v>
      </c>
      <c r="P5007" t="s">
        <v>11165</v>
      </c>
      <c r="R5007" t="s">
        <v>11180</v>
      </c>
      <c r="S5007" t="s">
        <v>9096</v>
      </c>
      <c r="T5007" t="s">
        <v>11183</v>
      </c>
      <c r="U5007" t="s">
        <v>11201</v>
      </c>
      <c r="V5007" t="s">
        <v>713</v>
      </c>
      <c r="W5007">
        <v>186.57</v>
      </c>
      <c r="X5007" t="s">
        <v>11335</v>
      </c>
      <c r="Y5007" t="s">
        <v>11338</v>
      </c>
      <c r="Z5007" t="s">
        <v>14582</v>
      </c>
      <c r="AB5007" t="s">
        <v>18902</v>
      </c>
      <c r="AC5007">
        <v>0</v>
      </c>
      <c r="AD5007" t="s">
        <v>19566</v>
      </c>
      <c r="AE5007" t="s">
        <v>9144</v>
      </c>
      <c r="AF5007">
        <v>48</v>
      </c>
      <c r="AG5007">
        <v>2</v>
      </c>
      <c r="AH5007">
        <v>0</v>
      </c>
      <c r="AI5007">
        <v>207.87</v>
      </c>
      <c r="AL5007" t="s">
        <v>19614</v>
      </c>
      <c r="AM5007">
        <v>34216</v>
      </c>
      <c r="AS5007">
        <v>98.09999999999999</v>
      </c>
      <c r="AT5007" t="s">
        <v>632</v>
      </c>
      <c r="AU5007" t="s">
        <v>20655</v>
      </c>
    </row>
    <row r="5008" spans="1:48">
      <c r="A5008" s="1">
        <f>HYPERLINK("https://lsnyc.legalserver.org/matter/dynamic-profile/view/0815813","16-0815813")</f>
        <v>0</v>
      </c>
      <c r="B5008" t="s">
        <v>186</v>
      </c>
      <c r="C5008" t="s">
        <v>256</v>
      </c>
      <c r="D5008" t="s">
        <v>1091</v>
      </c>
      <c r="F5008" t="s">
        <v>2432</v>
      </c>
      <c r="G5008" t="s">
        <v>5263</v>
      </c>
      <c r="H5008" t="s">
        <v>7871</v>
      </c>
      <c r="I5008" t="s">
        <v>8254</v>
      </c>
      <c r="J5008" t="s">
        <v>9065</v>
      </c>
      <c r="K5008">
        <v>10471</v>
      </c>
      <c r="L5008" t="s">
        <v>9094</v>
      </c>
      <c r="M5008" t="s">
        <v>9094</v>
      </c>
      <c r="N5008" t="s">
        <v>10898</v>
      </c>
      <c r="O5008" t="s">
        <v>11129</v>
      </c>
      <c r="P5008" t="s">
        <v>11165</v>
      </c>
      <c r="R5008" t="s">
        <v>11180</v>
      </c>
      <c r="S5008" t="s">
        <v>9096</v>
      </c>
      <c r="T5008" t="s">
        <v>11183</v>
      </c>
      <c r="U5008" t="s">
        <v>11201</v>
      </c>
      <c r="V5008" t="s">
        <v>611</v>
      </c>
      <c r="W5008">
        <v>2000</v>
      </c>
      <c r="X5008" t="s">
        <v>11333</v>
      </c>
      <c r="Y5008" t="s">
        <v>11349</v>
      </c>
      <c r="Z5008" t="s">
        <v>13277</v>
      </c>
      <c r="AB5008" t="s">
        <v>18903</v>
      </c>
      <c r="AC5008">
        <v>69</v>
      </c>
      <c r="AD5008" t="s">
        <v>15441</v>
      </c>
      <c r="AE5008" t="s">
        <v>9144</v>
      </c>
      <c r="AF5008">
        <v>2</v>
      </c>
      <c r="AG5008">
        <v>2</v>
      </c>
      <c r="AH5008">
        <v>0</v>
      </c>
      <c r="AI5008">
        <v>208.11</v>
      </c>
      <c r="AJ5008" t="s">
        <v>289</v>
      </c>
      <c r="AK5008" t="s">
        <v>19612</v>
      </c>
      <c r="AL5008" t="s">
        <v>19615</v>
      </c>
      <c r="AM5008">
        <v>33339.54</v>
      </c>
      <c r="AN5008" t="s">
        <v>20069</v>
      </c>
      <c r="AS5008">
        <v>163</v>
      </c>
      <c r="AT5008" t="s">
        <v>594</v>
      </c>
      <c r="AU5008" t="s">
        <v>20648</v>
      </c>
    </row>
    <row r="5009" spans="1:48">
      <c r="A5009" s="1">
        <f>HYPERLINK("https://lsnyc.legalserver.org/matter/dynamic-profile/view/1838041","17-1838041")</f>
        <v>0</v>
      </c>
      <c r="B5009" t="s">
        <v>103</v>
      </c>
      <c r="C5009" t="s">
        <v>256</v>
      </c>
      <c r="D5009" t="s">
        <v>277</v>
      </c>
      <c r="F5009" t="s">
        <v>1786</v>
      </c>
      <c r="G5009" t="s">
        <v>5264</v>
      </c>
      <c r="H5009" t="s">
        <v>6927</v>
      </c>
      <c r="I5009" t="s">
        <v>8153</v>
      </c>
      <c r="J5009" t="s">
        <v>9065</v>
      </c>
      <c r="K5009">
        <v>10473</v>
      </c>
      <c r="L5009" t="s">
        <v>9094</v>
      </c>
      <c r="M5009" t="s">
        <v>9095</v>
      </c>
      <c r="N5009" t="s">
        <v>10045</v>
      </c>
      <c r="O5009" t="s">
        <v>11135</v>
      </c>
      <c r="P5009" t="s">
        <v>11168</v>
      </c>
      <c r="R5009" t="s">
        <v>11180</v>
      </c>
      <c r="S5009" t="s">
        <v>9094</v>
      </c>
      <c r="T5009" t="s">
        <v>11183</v>
      </c>
      <c r="V5009" t="s">
        <v>11223</v>
      </c>
      <c r="W5009">
        <v>1340.5</v>
      </c>
      <c r="X5009" t="s">
        <v>11333</v>
      </c>
      <c r="Y5009" t="s">
        <v>11351</v>
      </c>
      <c r="Z5009" t="s">
        <v>14583</v>
      </c>
      <c r="AC5009">
        <v>976</v>
      </c>
      <c r="AD5009" t="s">
        <v>19566</v>
      </c>
      <c r="AE5009" t="s">
        <v>9144</v>
      </c>
      <c r="AF5009">
        <v>4</v>
      </c>
      <c r="AG5009">
        <v>1</v>
      </c>
      <c r="AH5009">
        <v>1</v>
      </c>
      <c r="AI5009">
        <v>208.13</v>
      </c>
      <c r="AJ5009" t="s">
        <v>936</v>
      </c>
      <c r="AL5009" t="s">
        <v>19614</v>
      </c>
      <c r="AM5009">
        <v>33800</v>
      </c>
      <c r="AS5009">
        <v>0</v>
      </c>
      <c r="AU5009" t="s">
        <v>20643</v>
      </c>
    </row>
    <row r="5010" spans="1:48">
      <c r="A5010" s="1">
        <f>HYPERLINK("https://lsnyc.legalserver.org/matter/dynamic-profile/view/1903053","19-1903053")</f>
        <v>0</v>
      </c>
      <c r="B5010" t="s">
        <v>111</v>
      </c>
      <c r="C5010" t="s">
        <v>256</v>
      </c>
      <c r="D5010" t="s">
        <v>403</v>
      </c>
      <c r="F5010" t="s">
        <v>2985</v>
      </c>
      <c r="G5010" t="s">
        <v>3588</v>
      </c>
      <c r="H5010" t="s">
        <v>6370</v>
      </c>
      <c r="I5010" t="s">
        <v>8192</v>
      </c>
      <c r="J5010" t="s">
        <v>9065</v>
      </c>
      <c r="K5010">
        <v>10463</v>
      </c>
      <c r="L5010" t="s">
        <v>9094</v>
      </c>
      <c r="M5010" t="s">
        <v>9095</v>
      </c>
      <c r="N5010" t="s">
        <v>10899</v>
      </c>
      <c r="O5010" t="s">
        <v>11129</v>
      </c>
      <c r="P5010" t="s">
        <v>11165</v>
      </c>
      <c r="R5010" t="s">
        <v>11180</v>
      </c>
      <c r="S5010" t="s">
        <v>9096</v>
      </c>
      <c r="T5010" t="s">
        <v>11183</v>
      </c>
      <c r="V5010" t="s">
        <v>403</v>
      </c>
      <c r="W5010">
        <v>948</v>
      </c>
      <c r="X5010" t="s">
        <v>11333</v>
      </c>
      <c r="Y5010" t="s">
        <v>11346</v>
      </c>
      <c r="Z5010" t="s">
        <v>14584</v>
      </c>
      <c r="AB5010" t="s">
        <v>18904</v>
      </c>
      <c r="AC5010">
        <v>55</v>
      </c>
      <c r="AD5010" t="s">
        <v>19566</v>
      </c>
      <c r="AE5010" t="s">
        <v>9144</v>
      </c>
      <c r="AF5010">
        <v>10</v>
      </c>
      <c r="AG5010">
        <v>1</v>
      </c>
      <c r="AH5010">
        <v>0</v>
      </c>
      <c r="AI5010">
        <v>208.17</v>
      </c>
      <c r="AJ5010" t="s">
        <v>458</v>
      </c>
      <c r="AK5010" t="s">
        <v>19612</v>
      </c>
      <c r="AL5010" t="s">
        <v>19615</v>
      </c>
      <c r="AM5010">
        <v>26000</v>
      </c>
      <c r="AN5010" t="s">
        <v>20070</v>
      </c>
      <c r="AS5010">
        <v>65.8</v>
      </c>
      <c r="AT5010" t="s">
        <v>563</v>
      </c>
      <c r="AU5010" t="s">
        <v>220</v>
      </c>
      <c r="AV5010" t="s">
        <v>20733</v>
      </c>
    </row>
    <row r="5011" spans="1:48">
      <c r="A5011" s="1">
        <f>HYPERLINK("https://lsnyc.legalserver.org/matter/dynamic-profile/view/1911896","19-1911896")</f>
        <v>0</v>
      </c>
      <c r="B5011" t="s">
        <v>98</v>
      </c>
      <c r="C5011" t="s">
        <v>256</v>
      </c>
      <c r="D5011" t="s">
        <v>284</v>
      </c>
      <c r="F5011" t="s">
        <v>2161</v>
      </c>
      <c r="G5011" t="s">
        <v>3405</v>
      </c>
      <c r="H5011" t="s">
        <v>6216</v>
      </c>
      <c r="I5011" t="s">
        <v>8192</v>
      </c>
      <c r="J5011" t="s">
        <v>9065</v>
      </c>
      <c r="K5011">
        <v>10452</v>
      </c>
      <c r="L5011" t="s">
        <v>9094</v>
      </c>
      <c r="M5011" t="s">
        <v>9095</v>
      </c>
      <c r="N5011" t="s">
        <v>9497</v>
      </c>
      <c r="O5011" t="s">
        <v>11134</v>
      </c>
      <c r="P5011" t="s">
        <v>11168</v>
      </c>
      <c r="R5011" t="s">
        <v>11180</v>
      </c>
      <c r="S5011" t="s">
        <v>9094</v>
      </c>
      <c r="T5011" t="s">
        <v>11183</v>
      </c>
      <c r="W5011">
        <v>1248.48</v>
      </c>
      <c r="X5011" t="s">
        <v>11333</v>
      </c>
      <c r="Y5011" t="s">
        <v>11346</v>
      </c>
      <c r="Z5011" t="s">
        <v>14585</v>
      </c>
      <c r="AB5011" t="s">
        <v>18905</v>
      </c>
      <c r="AC5011">
        <v>67</v>
      </c>
      <c r="AD5011" t="s">
        <v>15441</v>
      </c>
      <c r="AE5011" t="s">
        <v>9144</v>
      </c>
      <c r="AF5011">
        <v>6</v>
      </c>
      <c r="AG5011">
        <v>1</v>
      </c>
      <c r="AH5011">
        <v>0</v>
      </c>
      <c r="AI5011">
        <v>208.17</v>
      </c>
      <c r="AL5011" t="s">
        <v>19615</v>
      </c>
      <c r="AM5011">
        <v>26000</v>
      </c>
      <c r="AS5011">
        <v>0</v>
      </c>
      <c r="AU5011" t="s">
        <v>20647</v>
      </c>
      <c r="AV5011" t="s">
        <v>20733</v>
      </c>
    </row>
    <row r="5012" spans="1:48">
      <c r="A5012" s="1">
        <f>HYPERLINK("https://lsnyc.legalserver.org/matter/dynamic-profile/view/1906998","19-1906998")</f>
        <v>0</v>
      </c>
      <c r="B5012" t="s">
        <v>117</v>
      </c>
      <c r="C5012" t="s">
        <v>256</v>
      </c>
      <c r="D5012" t="s">
        <v>498</v>
      </c>
      <c r="F5012" t="s">
        <v>2986</v>
      </c>
      <c r="G5012" t="s">
        <v>5265</v>
      </c>
      <c r="H5012" t="s">
        <v>5899</v>
      </c>
      <c r="I5012" t="s">
        <v>8171</v>
      </c>
      <c r="J5012" t="s">
        <v>9065</v>
      </c>
      <c r="K5012">
        <v>10452</v>
      </c>
      <c r="L5012" t="s">
        <v>9094</v>
      </c>
      <c r="M5012" t="s">
        <v>9095</v>
      </c>
      <c r="R5012" t="s">
        <v>11180</v>
      </c>
      <c r="S5012" t="s">
        <v>9094</v>
      </c>
      <c r="T5012" t="s">
        <v>11183</v>
      </c>
      <c r="W5012">
        <v>794.86</v>
      </c>
      <c r="X5012" t="s">
        <v>11333</v>
      </c>
      <c r="Y5012" t="s">
        <v>11339</v>
      </c>
      <c r="Z5012" t="s">
        <v>14586</v>
      </c>
      <c r="AB5012" t="s">
        <v>18906</v>
      </c>
      <c r="AC5012">
        <v>65</v>
      </c>
      <c r="AD5012" t="s">
        <v>19566</v>
      </c>
      <c r="AE5012" t="s">
        <v>9144</v>
      </c>
      <c r="AF5012">
        <v>30</v>
      </c>
      <c r="AG5012">
        <v>1</v>
      </c>
      <c r="AH5012">
        <v>0</v>
      </c>
      <c r="AI5012">
        <v>208.17</v>
      </c>
      <c r="AL5012" t="s">
        <v>19614</v>
      </c>
      <c r="AM5012">
        <v>26000</v>
      </c>
      <c r="AS5012">
        <v>0</v>
      </c>
      <c r="AU5012" t="s">
        <v>220</v>
      </c>
    </row>
    <row r="5013" spans="1:48">
      <c r="A5013" s="1">
        <f>HYPERLINK("https://lsnyc.legalserver.org/matter/dynamic-profile/view/1914795","19-1914795")</f>
        <v>0</v>
      </c>
      <c r="B5013" t="s">
        <v>117</v>
      </c>
      <c r="C5013" t="s">
        <v>256</v>
      </c>
      <c r="D5013" t="s">
        <v>632</v>
      </c>
      <c r="F5013" t="s">
        <v>2986</v>
      </c>
      <c r="G5013" t="s">
        <v>5265</v>
      </c>
      <c r="H5013" t="s">
        <v>5899</v>
      </c>
      <c r="I5013" t="s">
        <v>8171</v>
      </c>
      <c r="J5013" t="s">
        <v>9065</v>
      </c>
      <c r="K5013">
        <v>10452</v>
      </c>
      <c r="L5013" t="s">
        <v>9094</v>
      </c>
      <c r="M5013" t="s">
        <v>9095</v>
      </c>
      <c r="R5013" t="s">
        <v>11180</v>
      </c>
      <c r="T5013" t="s">
        <v>11183</v>
      </c>
      <c r="W5013">
        <v>794.86</v>
      </c>
      <c r="X5013" t="s">
        <v>11333</v>
      </c>
      <c r="Y5013" t="s">
        <v>11339</v>
      </c>
      <c r="Z5013" t="s">
        <v>14586</v>
      </c>
      <c r="AB5013" t="s">
        <v>18906</v>
      </c>
      <c r="AC5013">
        <v>65</v>
      </c>
      <c r="AD5013" t="s">
        <v>19566</v>
      </c>
      <c r="AE5013" t="s">
        <v>9144</v>
      </c>
      <c r="AF5013">
        <v>30</v>
      </c>
      <c r="AG5013">
        <v>1</v>
      </c>
      <c r="AH5013">
        <v>0</v>
      </c>
      <c r="AI5013">
        <v>208.17</v>
      </c>
      <c r="AL5013" t="s">
        <v>19614</v>
      </c>
      <c r="AM5013">
        <v>26000</v>
      </c>
      <c r="AS5013">
        <v>0</v>
      </c>
      <c r="AU5013" t="s">
        <v>163</v>
      </c>
      <c r="AV5013" t="s">
        <v>20733</v>
      </c>
    </row>
    <row r="5014" spans="1:48">
      <c r="A5014" s="1">
        <f>HYPERLINK("https://lsnyc.legalserver.org/matter/dynamic-profile/view/1908706","19-1908706")</f>
        <v>0</v>
      </c>
      <c r="B5014" t="s">
        <v>132</v>
      </c>
      <c r="C5014" t="s">
        <v>257</v>
      </c>
      <c r="D5014" t="s">
        <v>326</v>
      </c>
      <c r="E5014" t="s">
        <v>648</v>
      </c>
      <c r="F5014" t="s">
        <v>2149</v>
      </c>
      <c r="G5014" t="s">
        <v>3364</v>
      </c>
      <c r="H5014" t="s">
        <v>7872</v>
      </c>
      <c r="I5014" t="s">
        <v>8187</v>
      </c>
      <c r="J5014" t="s">
        <v>9067</v>
      </c>
      <c r="K5014">
        <v>10034</v>
      </c>
      <c r="L5014" t="s">
        <v>9094</v>
      </c>
      <c r="M5014" t="s">
        <v>9095</v>
      </c>
      <c r="O5014" t="s">
        <v>11128</v>
      </c>
      <c r="P5014" t="s">
        <v>11164</v>
      </c>
      <c r="Q5014" t="s">
        <v>11172</v>
      </c>
      <c r="R5014" t="s">
        <v>11180</v>
      </c>
      <c r="S5014" t="s">
        <v>9096</v>
      </c>
      <c r="T5014" t="s">
        <v>11183</v>
      </c>
      <c r="W5014">
        <v>1000</v>
      </c>
      <c r="X5014" t="s">
        <v>11335</v>
      </c>
      <c r="Y5014" t="s">
        <v>11338</v>
      </c>
      <c r="Z5014" t="s">
        <v>13829</v>
      </c>
      <c r="AB5014" t="s">
        <v>18907</v>
      </c>
      <c r="AC5014">
        <v>32</v>
      </c>
      <c r="AD5014" t="s">
        <v>19566</v>
      </c>
      <c r="AE5014" t="s">
        <v>9144</v>
      </c>
      <c r="AF5014">
        <v>28</v>
      </c>
      <c r="AG5014">
        <v>1</v>
      </c>
      <c r="AH5014">
        <v>0</v>
      </c>
      <c r="AI5014">
        <v>208.17</v>
      </c>
      <c r="AL5014" t="s">
        <v>19614</v>
      </c>
      <c r="AM5014">
        <v>26000</v>
      </c>
      <c r="AS5014">
        <v>2.1</v>
      </c>
      <c r="AT5014" t="s">
        <v>297</v>
      </c>
      <c r="AU5014" t="s">
        <v>130</v>
      </c>
      <c r="AV5014" t="s">
        <v>20733</v>
      </c>
    </row>
    <row r="5015" spans="1:48">
      <c r="A5015" s="1">
        <f>HYPERLINK("https://lsnyc.legalserver.org/matter/dynamic-profile/view/1872135","18-1872135")</f>
        <v>0</v>
      </c>
      <c r="B5015" t="s">
        <v>111</v>
      </c>
      <c r="C5015" t="s">
        <v>256</v>
      </c>
      <c r="D5015" t="s">
        <v>675</v>
      </c>
      <c r="F5015" t="s">
        <v>2508</v>
      </c>
      <c r="G5015" t="s">
        <v>4741</v>
      </c>
      <c r="H5015" t="s">
        <v>6895</v>
      </c>
      <c r="I5015" t="s">
        <v>8688</v>
      </c>
      <c r="J5015" t="s">
        <v>9065</v>
      </c>
      <c r="K5015">
        <v>10452</v>
      </c>
      <c r="L5015" t="s">
        <v>9096</v>
      </c>
      <c r="M5015" t="s">
        <v>9095</v>
      </c>
      <c r="O5015" t="s">
        <v>11135</v>
      </c>
      <c r="P5015" t="s">
        <v>11168</v>
      </c>
      <c r="R5015" t="s">
        <v>11180</v>
      </c>
      <c r="S5015" t="s">
        <v>9094</v>
      </c>
      <c r="T5015" t="s">
        <v>11183</v>
      </c>
      <c r="V5015" t="s">
        <v>675</v>
      </c>
      <c r="W5015">
        <v>853.4400000000001</v>
      </c>
      <c r="X5015" t="s">
        <v>11333</v>
      </c>
      <c r="Y5015" t="s">
        <v>11340</v>
      </c>
      <c r="Z5015" t="s">
        <v>13613</v>
      </c>
      <c r="AA5015" t="s">
        <v>15894</v>
      </c>
      <c r="AB5015" t="s">
        <v>17949</v>
      </c>
      <c r="AC5015">
        <v>0</v>
      </c>
      <c r="AD5015" t="s">
        <v>19566</v>
      </c>
      <c r="AE5015" t="s">
        <v>9144</v>
      </c>
      <c r="AF5015">
        <v>14</v>
      </c>
      <c r="AG5015">
        <v>2</v>
      </c>
      <c r="AH5015">
        <v>0</v>
      </c>
      <c r="AI5015">
        <v>208.51</v>
      </c>
      <c r="AL5015" t="s">
        <v>19614</v>
      </c>
      <c r="AM5015">
        <v>34320</v>
      </c>
      <c r="AS5015">
        <v>3.75</v>
      </c>
      <c r="AT5015" t="s">
        <v>279</v>
      </c>
      <c r="AU5015" t="s">
        <v>20642</v>
      </c>
    </row>
    <row r="5016" spans="1:48">
      <c r="A5016" s="1">
        <f>HYPERLINK("https://lsnyc.legalserver.org/matter/dynamic-profile/view/1842860","17-1842860")</f>
        <v>0</v>
      </c>
      <c r="B5016" t="s">
        <v>122</v>
      </c>
      <c r="C5016" t="s">
        <v>257</v>
      </c>
      <c r="D5016" t="s">
        <v>480</v>
      </c>
      <c r="E5016" t="s">
        <v>414</v>
      </c>
      <c r="F5016" t="s">
        <v>1723</v>
      </c>
      <c r="G5016" t="s">
        <v>3332</v>
      </c>
      <c r="H5016" t="s">
        <v>7873</v>
      </c>
      <c r="I5016" t="s">
        <v>8911</v>
      </c>
      <c r="J5016" t="s">
        <v>9066</v>
      </c>
      <c r="K5016">
        <v>10314</v>
      </c>
      <c r="L5016" t="s">
        <v>9094</v>
      </c>
      <c r="M5016" t="s">
        <v>9095</v>
      </c>
      <c r="N5016" t="s">
        <v>9260</v>
      </c>
      <c r="O5016" t="s">
        <v>11135</v>
      </c>
      <c r="P5016" t="s">
        <v>11168</v>
      </c>
      <c r="Q5016" t="s">
        <v>11177</v>
      </c>
      <c r="R5016" t="s">
        <v>11180</v>
      </c>
      <c r="S5016" t="s">
        <v>9094</v>
      </c>
      <c r="T5016" t="s">
        <v>11183</v>
      </c>
      <c r="U5016" t="s">
        <v>11201</v>
      </c>
      <c r="V5016" t="s">
        <v>712</v>
      </c>
      <c r="W5016">
        <v>871</v>
      </c>
      <c r="X5016" t="s">
        <v>11334</v>
      </c>
      <c r="Y5016" t="s">
        <v>11339</v>
      </c>
      <c r="Z5016" t="s">
        <v>14587</v>
      </c>
      <c r="AB5016" t="s">
        <v>18908</v>
      </c>
      <c r="AC5016">
        <v>96</v>
      </c>
      <c r="AD5016" t="s">
        <v>19566</v>
      </c>
      <c r="AE5016" t="s">
        <v>19587</v>
      </c>
      <c r="AF5016">
        <v>6</v>
      </c>
      <c r="AG5016">
        <v>1</v>
      </c>
      <c r="AH5016">
        <v>0</v>
      </c>
      <c r="AI5016">
        <v>208.96</v>
      </c>
      <c r="AJ5016" t="s">
        <v>19603</v>
      </c>
      <c r="AL5016" t="s">
        <v>19614</v>
      </c>
      <c r="AM5016">
        <v>25200</v>
      </c>
      <c r="AO5016" t="s">
        <v>20293</v>
      </c>
      <c r="AP5016" t="s">
        <v>20316</v>
      </c>
      <c r="AQ5016" t="s">
        <v>20369</v>
      </c>
      <c r="AR5016" t="s">
        <v>20385</v>
      </c>
      <c r="AS5016">
        <v>0.8</v>
      </c>
      <c r="AT5016" t="s">
        <v>414</v>
      </c>
      <c r="AU5016" t="s">
        <v>20651</v>
      </c>
      <c r="AV5016" t="s">
        <v>20733</v>
      </c>
    </row>
    <row r="5017" spans="1:48">
      <c r="A5017" s="1">
        <f>HYPERLINK("https://lsnyc.legalserver.org/matter/dynamic-profile/view/1890535","19-1890535")</f>
        <v>0</v>
      </c>
      <c r="B5017" t="s">
        <v>70</v>
      </c>
      <c r="C5017" t="s">
        <v>256</v>
      </c>
      <c r="D5017" t="s">
        <v>695</v>
      </c>
      <c r="F5017" t="s">
        <v>2987</v>
      </c>
      <c r="G5017" t="s">
        <v>3624</v>
      </c>
      <c r="H5017" t="s">
        <v>5749</v>
      </c>
      <c r="I5017" t="s">
        <v>8797</v>
      </c>
      <c r="J5017" t="s">
        <v>9059</v>
      </c>
      <c r="K5017">
        <v>11233</v>
      </c>
      <c r="L5017" t="s">
        <v>9094</v>
      </c>
      <c r="M5017" t="s">
        <v>9096</v>
      </c>
      <c r="N5017" t="s">
        <v>9146</v>
      </c>
      <c r="O5017" t="s">
        <v>11134</v>
      </c>
      <c r="P5017" t="s">
        <v>11168</v>
      </c>
      <c r="R5017" t="s">
        <v>11180</v>
      </c>
      <c r="S5017" t="s">
        <v>9094</v>
      </c>
      <c r="T5017" t="s">
        <v>11183</v>
      </c>
      <c r="U5017" t="s">
        <v>11201</v>
      </c>
      <c r="V5017" t="s">
        <v>482</v>
      </c>
      <c r="W5017">
        <v>1121</v>
      </c>
      <c r="X5017" t="s">
        <v>11332</v>
      </c>
      <c r="Y5017" t="s">
        <v>11157</v>
      </c>
      <c r="Z5017" t="s">
        <v>14588</v>
      </c>
      <c r="AA5017" t="s">
        <v>9144</v>
      </c>
      <c r="AC5017">
        <v>359</v>
      </c>
      <c r="AD5017" t="s">
        <v>19566</v>
      </c>
      <c r="AE5017" t="s">
        <v>9144</v>
      </c>
      <c r="AF5017">
        <v>4</v>
      </c>
      <c r="AG5017">
        <v>3</v>
      </c>
      <c r="AH5017">
        <v>0</v>
      </c>
      <c r="AI5017">
        <v>209.07</v>
      </c>
      <c r="AJ5017" t="s">
        <v>546</v>
      </c>
      <c r="AK5017" t="s">
        <v>19612</v>
      </c>
      <c r="AL5017" t="s">
        <v>19614</v>
      </c>
      <c r="AM5017">
        <v>44595</v>
      </c>
      <c r="AN5017" t="s">
        <v>20071</v>
      </c>
      <c r="AS5017">
        <v>0</v>
      </c>
      <c r="AU5017" t="s">
        <v>95</v>
      </c>
      <c r="AV5017" t="s">
        <v>9144</v>
      </c>
    </row>
    <row r="5018" spans="1:48">
      <c r="A5018" s="1">
        <f>HYPERLINK("https://lsnyc.legalserver.org/matter/dynamic-profile/view/1891469","19-1891469")</f>
        <v>0</v>
      </c>
      <c r="B5018" t="s">
        <v>70</v>
      </c>
      <c r="C5018" t="s">
        <v>256</v>
      </c>
      <c r="D5018" t="s">
        <v>316</v>
      </c>
      <c r="F5018" t="s">
        <v>2987</v>
      </c>
      <c r="G5018" t="s">
        <v>3624</v>
      </c>
      <c r="H5018" t="s">
        <v>5749</v>
      </c>
      <c r="I5018" t="s">
        <v>8797</v>
      </c>
      <c r="J5018" t="s">
        <v>9059</v>
      </c>
      <c r="K5018">
        <v>11233</v>
      </c>
      <c r="L5018" t="s">
        <v>9094</v>
      </c>
      <c r="M5018" t="s">
        <v>9096</v>
      </c>
      <c r="O5018" t="s">
        <v>11137</v>
      </c>
      <c r="P5018" t="s">
        <v>11167</v>
      </c>
      <c r="R5018" t="s">
        <v>11180</v>
      </c>
      <c r="S5018" t="s">
        <v>9094</v>
      </c>
      <c r="T5018" t="s">
        <v>11183</v>
      </c>
      <c r="U5018" t="s">
        <v>11201</v>
      </c>
      <c r="V5018" t="s">
        <v>749</v>
      </c>
      <c r="W5018">
        <v>1121</v>
      </c>
      <c r="X5018" t="s">
        <v>11332</v>
      </c>
      <c r="Y5018" t="s">
        <v>11157</v>
      </c>
      <c r="Z5018" t="s">
        <v>14588</v>
      </c>
      <c r="AC5018">
        <v>359</v>
      </c>
      <c r="AD5018" t="s">
        <v>19566</v>
      </c>
      <c r="AE5018" t="s">
        <v>9144</v>
      </c>
      <c r="AF5018">
        <v>4</v>
      </c>
      <c r="AG5018">
        <v>3</v>
      </c>
      <c r="AH5018">
        <v>0</v>
      </c>
      <c r="AI5018">
        <v>209.07</v>
      </c>
      <c r="AJ5018" t="s">
        <v>546</v>
      </c>
      <c r="AK5018" t="s">
        <v>19612</v>
      </c>
      <c r="AL5018" t="s">
        <v>19614</v>
      </c>
      <c r="AM5018">
        <v>44595</v>
      </c>
      <c r="AN5018" t="s">
        <v>20072</v>
      </c>
      <c r="AS5018">
        <v>0</v>
      </c>
      <c r="AU5018" t="s">
        <v>79</v>
      </c>
    </row>
    <row r="5019" spans="1:48">
      <c r="A5019" s="1">
        <f>HYPERLINK("https://lsnyc.legalserver.org/matter/dynamic-profile/view/1898292","19-1898292")</f>
        <v>0</v>
      </c>
      <c r="B5019" t="s">
        <v>101</v>
      </c>
      <c r="C5019" t="s">
        <v>256</v>
      </c>
      <c r="D5019" t="s">
        <v>596</v>
      </c>
      <c r="F5019" t="s">
        <v>2028</v>
      </c>
      <c r="G5019" t="s">
        <v>5266</v>
      </c>
      <c r="H5019" t="s">
        <v>6383</v>
      </c>
      <c r="I5019" t="s">
        <v>8267</v>
      </c>
      <c r="J5019" t="s">
        <v>9065</v>
      </c>
      <c r="K5019">
        <v>10467</v>
      </c>
      <c r="L5019" t="s">
        <v>9094</v>
      </c>
      <c r="M5019" t="s">
        <v>9094</v>
      </c>
      <c r="O5019" t="s">
        <v>11134</v>
      </c>
      <c r="P5019" t="s">
        <v>11168</v>
      </c>
      <c r="R5019" t="s">
        <v>11180</v>
      </c>
      <c r="S5019" t="s">
        <v>9094</v>
      </c>
      <c r="T5019" t="s">
        <v>11183</v>
      </c>
      <c r="V5019" t="s">
        <v>11218</v>
      </c>
      <c r="W5019">
        <v>1522.5</v>
      </c>
      <c r="X5019" t="s">
        <v>11333</v>
      </c>
      <c r="Y5019" t="s">
        <v>11346</v>
      </c>
      <c r="Z5019" t="s">
        <v>14589</v>
      </c>
      <c r="AC5019">
        <v>60</v>
      </c>
      <c r="AD5019" t="s">
        <v>19566</v>
      </c>
      <c r="AE5019" t="s">
        <v>9144</v>
      </c>
      <c r="AF5019">
        <v>3</v>
      </c>
      <c r="AG5019">
        <v>2</v>
      </c>
      <c r="AH5019">
        <v>2</v>
      </c>
      <c r="AI5019">
        <v>209.15</v>
      </c>
      <c r="AL5019" t="s">
        <v>19614</v>
      </c>
      <c r="AM5019">
        <v>53856</v>
      </c>
      <c r="AS5019">
        <v>0</v>
      </c>
      <c r="AU5019" t="s">
        <v>20642</v>
      </c>
      <c r="AV5019" t="s">
        <v>20733</v>
      </c>
    </row>
    <row r="5020" spans="1:48">
      <c r="A5020" s="1">
        <f>HYPERLINK("https://lsnyc.legalserver.org/matter/dynamic-profile/view/1838158","17-1838158")</f>
        <v>0</v>
      </c>
      <c r="B5020" t="s">
        <v>103</v>
      </c>
      <c r="C5020" t="s">
        <v>256</v>
      </c>
      <c r="D5020" t="s">
        <v>277</v>
      </c>
      <c r="F5020" t="s">
        <v>1556</v>
      </c>
      <c r="G5020" t="s">
        <v>4246</v>
      </c>
      <c r="H5020" t="s">
        <v>6927</v>
      </c>
      <c r="I5020" t="s">
        <v>8895</v>
      </c>
      <c r="J5020" t="s">
        <v>9065</v>
      </c>
      <c r="K5020">
        <v>10473</v>
      </c>
      <c r="L5020" t="s">
        <v>9094</v>
      </c>
      <c r="M5020" t="s">
        <v>9095</v>
      </c>
      <c r="N5020" t="s">
        <v>10045</v>
      </c>
      <c r="O5020" t="s">
        <v>11135</v>
      </c>
      <c r="P5020" t="s">
        <v>11168</v>
      </c>
      <c r="R5020" t="s">
        <v>11180</v>
      </c>
      <c r="S5020" t="s">
        <v>9094</v>
      </c>
      <c r="T5020" t="s">
        <v>11183</v>
      </c>
      <c r="V5020" t="s">
        <v>11223</v>
      </c>
      <c r="W5020">
        <v>905</v>
      </c>
      <c r="X5020" t="s">
        <v>11333</v>
      </c>
      <c r="Y5020" t="s">
        <v>11351</v>
      </c>
      <c r="Z5020" t="s">
        <v>14590</v>
      </c>
      <c r="AB5020" t="s">
        <v>18909</v>
      </c>
      <c r="AC5020">
        <v>976</v>
      </c>
      <c r="AD5020" t="s">
        <v>19569</v>
      </c>
      <c r="AE5020" t="s">
        <v>9144</v>
      </c>
      <c r="AF5020">
        <v>44</v>
      </c>
      <c r="AG5020">
        <v>2</v>
      </c>
      <c r="AH5020">
        <v>0</v>
      </c>
      <c r="AI5020">
        <v>209.36</v>
      </c>
      <c r="AJ5020" t="s">
        <v>936</v>
      </c>
      <c r="AL5020" t="s">
        <v>19614</v>
      </c>
      <c r="AM5020">
        <v>46000</v>
      </c>
      <c r="AS5020">
        <v>0</v>
      </c>
      <c r="AU5020" t="s">
        <v>20643</v>
      </c>
    </row>
    <row r="5021" spans="1:48">
      <c r="A5021" s="1">
        <f>HYPERLINK("https://lsnyc.legalserver.org/matter/dynamic-profile/view/1882347","18-1882347")</f>
        <v>0</v>
      </c>
      <c r="B5021" t="s">
        <v>113</v>
      </c>
      <c r="C5021" t="s">
        <v>257</v>
      </c>
      <c r="D5021" t="s">
        <v>697</v>
      </c>
      <c r="E5021" t="s">
        <v>326</v>
      </c>
      <c r="F5021" t="s">
        <v>1407</v>
      </c>
      <c r="G5021" t="s">
        <v>3220</v>
      </c>
      <c r="H5021" t="s">
        <v>5892</v>
      </c>
      <c r="I5021" t="s">
        <v>8134</v>
      </c>
      <c r="J5021" t="s">
        <v>9065</v>
      </c>
      <c r="K5021">
        <v>10453</v>
      </c>
      <c r="L5021" t="s">
        <v>9094</v>
      </c>
      <c r="M5021" t="s">
        <v>9094</v>
      </c>
      <c r="O5021" t="s">
        <v>9121</v>
      </c>
      <c r="P5021" t="s">
        <v>11167</v>
      </c>
      <c r="Q5021" t="s">
        <v>11173</v>
      </c>
      <c r="R5021" t="s">
        <v>11180</v>
      </c>
      <c r="T5021" t="s">
        <v>11183</v>
      </c>
      <c r="V5021" t="s">
        <v>11218</v>
      </c>
      <c r="W5021">
        <v>718.12</v>
      </c>
      <c r="X5021" t="s">
        <v>11333</v>
      </c>
      <c r="Y5021" t="s">
        <v>11346</v>
      </c>
      <c r="Z5021" t="s">
        <v>13156</v>
      </c>
      <c r="AB5021" t="s">
        <v>18910</v>
      </c>
      <c r="AC5021">
        <v>99</v>
      </c>
      <c r="AD5021" t="s">
        <v>19566</v>
      </c>
      <c r="AE5021" t="s">
        <v>19580</v>
      </c>
      <c r="AF5021">
        <v>9</v>
      </c>
      <c r="AG5021">
        <v>1</v>
      </c>
      <c r="AH5021">
        <v>0</v>
      </c>
      <c r="AI5021">
        <v>209.56</v>
      </c>
      <c r="AL5021" t="s">
        <v>19615</v>
      </c>
      <c r="AM5021">
        <v>25440</v>
      </c>
      <c r="AN5021" t="s">
        <v>19802</v>
      </c>
      <c r="AS5021">
        <v>0.5</v>
      </c>
      <c r="AT5021" t="s">
        <v>326</v>
      </c>
      <c r="AU5021" t="s">
        <v>163</v>
      </c>
      <c r="AV5021" t="s">
        <v>20733</v>
      </c>
    </row>
    <row r="5022" spans="1:48">
      <c r="A5022" s="1">
        <f>HYPERLINK("https://lsnyc.legalserver.org/matter/dynamic-profile/view/1894303","19-1894303")</f>
        <v>0</v>
      </c>
      <c r="B5022" t="s">
        <v>157</v>
      </c>
      <c r="C5022" t="s">
        <v>257</v>
      </c>
      <c r="D5022" t="s">
        <v>507</v>
      </c>
      <c r="E5022" t="s">
        <v>425</v>
      </c>
      <c r="F5022" t="s">
        <v>2988</v>
      </c>
      <c r="G5022" t="s">
        <v>4625</v>
      </c>
      <c r="H5022" t="s">
        <v>7874</v>
      </c>
      <c r="I5022" t="s">
        <v>8229</v>
      </c>
      <c r="J5022" t="s">
        <v>9059</v>
      </c>
      <c r="K5022">
        <v>11233</v>
      </c>
      <c r="L5022" t="s">
        <v>9094</v>
      </c>
      <c r="M5022" t="s">
        <v>9095</v>
      </c>
      <c r="N5022" t="s">
        <v>10900</v>
      </c>
      <c r="P5022" t="s">
        <v>11167</v>
      </c>
      <c r="Q5022" t="s">
        <v>11173</v>
      </c>
      <c r="R5022" t="s">
        <v>11180</v>
      </c>
      <c r="T5022" t="s">
        <v>11193</v>
      </c>
      <c r="V5022" t="s">
        <v>507</v>
      </c>
      <c r="W5022">
        <v>1870</v>
      </c>
      <c r="X5022" t="s">
        <v>11332</v>
      </c>
      <c r="Z5022" t="s">
        <v>14591</v>
      </c>
      <c r="AB5022" t="s">
        <v>18911</v>
      </c>
      <c r="AC5022">
        <v>0</v>
      </c>
      <c r="AF5022">
        <v>4</v>
      </c>
      <c r="AG5022">
        <v>1</v>
      </c>
      <c r="AH5022">
        <v>3</v>
      </c>
      <c r="AI5022">
        <v>209.94</v>
      </c>
      <c r="AL5022" t="s">
        <v>19614</v>
      </c>
      <c r="AM5022">
        <v>54059</v>
      </c>
      <c r="AS5022">
        <v>5.7</v>
      </c>
      <c r="AT5022" t="s">
        <v>283</v>
      </c>
      <c r="AU5022" t="s">
        <v>20660</v>
      </c>
      <c r="AV5022" t="s">
        <v>20733</v>
      </c>
    </row>
    <row r="5023" spans="1:48">
      <c r="A5023" s="1">
        <f>HYPERLINK("https://lsnyc.legalserver.org/matter/dynamic-profile/view/1898091","19-1898091")</f>
        <v>0</v>
      </c>
      <c r="B5023" t="s">
        <v>82</v>
      </c>
      <c r="C5023" t="s">
        <v>257</v>
      </c>
      <c r="D5023" t="s">
        <v>470</v>
      </c>
      <c r="E5023" t="s">
        <v>396</v>
      </c>
      <c r="F5023" t="s">
        <v>2160</v>
      </c>
      <c r="G5023" t="s">
        <v>4411</v>
      </c>
      <c r="H5023" t="s">
        <v>7875</v>
      </c>
      <c r="I5023" t="s">
        <v>8161</v>
      </c>
      <c r="J5023" t="s">
        <v>9059</v>
      </c>
      <c r="K5023">
        <v>11237</v>
      </c>
      <c r="L5023" t="s">
        <v>9094</v>
      </c>
      <c r="M5023" t="s">
        <v>9094</v>
      </c>
      <c r="O5023" t="s">
        <v>11128</v>
      </c>
      <c r="P5023" t="s">
        <v>11164</v>
      </c>
      <c r="Q5023" t="s">
        <v>11172</v>
      </c>
      <c r="R5023" t="s">
        <v>11180</v>
      </c>
      <c r="S5023" t="s">
        <v>9096</v>
      </c>
      <c r="T5023" t="s">
        <v>11183</v>
      </c>
      <c r="V5023" t="s">
        <v>499</v>
      </c>
      <c r="W5023">
        <v>0</v>
      </c>
      <c r="X5023" t="s">
        <v>11332</v>
      </c>
      <c r="Y5023" t="s">
        <v>11338</v>
      </c>
      <c r="Z5023" t="s">
        <v>14592</v>
      </c>
      <c r="AB5023" t="s">
        <v>18912</v>
      </c>
      <c r="AC5023">
        <v>4</v>
      </c>
      <c r="AD5023" t="s">
        <v>19565</v>
      </c>
      <c r="AE5023" t="s">
        <v>9144</v>
      </c>
      <c r="AF5023">
        <v>8</v>
      </c>
      <c r="AG5023">
        <v>1</v>
      </c>
      <c r="AH5023">
        <v>0</v>
      </c>
      <c r="AI5023">
        <v>210.01</v>
      </c>
      <c r="AL5023" t="s">
        <v>19615</v>
      </c>
      <c r="AM5023">
        <v>26230</v>
      </c>
      <c r="AS5023">
        <v>1.1</v>
      </c>
      <c r="AT5023" t="s">
        <v>396</v>
      </c>
      <c r="AU5023" t="s">
        <v>215</v>
      </c>
      <c r="AV5023" t="s">
        <v>20733</v>
      </c>
    </row>
    <row r="5024" spans="1:48">
      <c r="A5024" s="1">
        <f>HYPERLINK("https://lsnyc.legalserver.org/matter/dynamic-profile/view/1899523","19-1899523")</f>
        <v>0</v>
      </c>
      <c r="B5024" t="s">
        <v>65</v>
      </c>
      <c r="C5024" t="s">
        <v>256</v>
      </c>
      <c r="D5024" t="s">
        <v>1092</v>
      </c>
      <c r="F5024" t="s">
        <v>2989</v>
      </c>
      <c r="G5024" t="s">
        <v>5267</v>
      </c>
      <c r="H5024" t="s">
        <v>7876</v>
      </c>
      <c r="I5024" t="s">
        <v>8214</v>
      </c>
      <c r="J5024" t="s">
        <v>9059</v>
      </c>
      <c r="K5024">
        <v>11238</v>
      </c>
      <c r="L5024" t="s">
        <v>9094</v>
      </c>
      <c r="M5024" t="s">
        <v>9095</v>
      </c>
      <c r="O5024" t="s">
        <v>9121</v>
      </c>
      <c r="P5024" t="s">
        <v>11166</v>
      </c>
      <c r="R5024" t="s">
        <v>11180</v>
      </c>
      <c r="S5024" t="s">
        <v>9096</v>
      </c>
      <c r="T5024" t="s">
        <v>11183</v>
      </c>
      <c r="U5024" t="s">
        <v>11201</v>
      </c>
      <c r="V5024" t="s">
        <v>1092</v>
      </c>
      <c r="W5024">
        <v>993.77</v>
      </c>
      <c r="X5024" t="s">
        <v>11332</v>
      </c>
      <c r="Y5024" t="s">
        <v>11340</v>
      </c>
      <c r="Z5024" t="s">
        <v>14593</v>
      </c>
      <c r="AB5024" t="s">
        <v>18913</v>
      </c>
      <c r="AC5024">
        <v>20</v>
      </c>
      <c r="AD5024" t="s">
        <v>19566</v>
      </c>
      <c r="AE5024" t="s">
        <v>9144</v>
      </c>
      <c r="AF5024">
        <v>35</v>
      </c>
      <c r="AG5024">
        <v>2</v>
      </c>
      <c r="AH5024">
        <v>0</v>
      </c>
      <c r="AI5024">
        <v>210.48</v>
      </c>
      <c r="AJ5024" t="s">
        <v>289</v>
      </c>
      <c r="AK5024" t="s">
        <v>19612</v>
      </c>
      <c r="AL5024" t="s">
        <v>19614</v>
      </c>
      <c r="AM5024">
        <v>35592</v>
      </c>
      <c r="AS5024">
        <v>4.8</v>
      </c>
      <c r="AT5024" t="s">
        <v>488</v>
      </c>
      <c r="AU5024" t="s">
        <v>65</v>
      </c>
      <c r="AV5024" t="s">
        <v>20733</v>
      </c>
    </row>
    <row r="5025" spans="1:48">
      <c r="A5025" s="1">
        <f>HYPERLINK("https://lsnyc.legalserver.org/matter/dynamic-profile/view/1909493","19-1909493")</f>
        <v>0</v>
      </c>
      <c r="B5025" t="s">
        <v>64</v>
      </c>
      <c r="C5025" t="s">
        <v>256</v>
      </c>
      <c r="D5025" t="s">
        <v>273</v>
      </c>
      <c r="F5025" t="s">
        <v>2990</v>
      </c>
      <c r="G5025" t="s">
        <v>3776</v>
      </c>
      <c r="H5025" t="s">
        <v>7877</v>
      </c>
      <c r="I5025" t="s">
        <v>8170</v>
      </c>
      <c r="J5025" t="s">
        <v>9059</v>
      </c>
      <c r="K5025">
        <v>11207</v>
      </c>
      <c r="L5025" t="s">
        <v>9094</v>
      </c>
      <c r="M5025" t="s">
        <v>9095</v>
      </c>
      <c r="N5025" t="s">
        <v>9121</v>
      </c>
      <c r="O5025" t="s">
        <v>9121</v>
      </c>
      <c r="P5025" t="s">
        <v>11167</v>
      </c>
      <c r="R5025" t="s">
        <v>11180</v>
      </c>
      <c r="S5025" t="s">
        <v>9096</v>
      </c>
      <c r="T5025" t="s">
        <v>11183</v>
      </c>
      <c r="V5025" t="s">
        <v>297</v>
      </c>
      <c r="W5025">
        <v>0</v>
      </c>
      <c r="X5025" t="s">
        <v>11332</v>
      </c>
      <c r="Y5025" t="s">
        <v>11339</v>
      </c>
      <c r="Z5025" t="s">
        <v>14594</v>
      </c>
      <c r="AB5025" t="s">
        <v>18914</v>
      </c>
      <c r="AC5025">
        <v>102</v>
      </c>
      <c r="AD5025" t="s">
        <v>19566</v>
      </c>
      <c r="AE5025" t="s">
        <v>9144</v>
      </c>
      <c r="AF5025">
        <v>0</v>
      </c>
      <c r="AG5025">
        <v>2</v>
      </c>
      <c r="AH5025">
        <v>0</v>
      </c>
      <c r="AI5025">
        <v>210.55</v>
      </c>
      <c r="AL5025" t="s">
        <v>19614</v>
      </c>
      <c r="AM5025">
        <v>35604</v>
      </c>
      <c r="AS5025">
        <v>3.1</v>
      </c>
      <c r="AT5025" t="s">
        <v>496</v>
      </c>
      <c r="AU5025" t="s">
        <v>79</v>
      </c>
      <c r="AV5025" t="s">
        <v>20733</v>
      </c>
    </row>
    <row r="5026" spans="1:48">
      <c r="A5026" s="1">
        <f>HYPERLINK("https://lsnyc.legalserver.org/matter/dynamic-profile/view/1878956","18-1878956")</f>
        <v>0</v>
      </c>
      <c r="B5026" t="s">
        <v>139</v>
      </c>
      <c r="C5026" t="s">
        <v>256</v>
      </c>
      <c r="D5026" t="s">
        <v>725</v>
      </c>
      <c r="F5026" t="s">
        <v>2866</v>
      </c>
      <c r="G5026" t="s">
        <v>3419</v>
      </c>
      <c r="H5026" t="s">
        <v>6363</v>
      </c>
      <c r="I5026" t="s">
        <v>8214</v>
      </c>
      <c r="J5026" t="s">
        <v>9067</v>
      </c>
      <c r="K5026">
        <v>10040</v>
      </c>
      <c r="L5026" t="s">
        <v>9094</v>
      </c>
      <c r="M5026" t="s">
        <v>9094</v>
      </c>
      <c r="O5026" t="s">
        <v>11134</v>
      </c>
      <c r="P5026" t="s">
        <v>11168</v>
      </c>
      <c r="R5026" t="s">
        <v>11180</v>
      </c>
      <c r="S5026" t="s">
        <v>9094</v>
      </c>
      <c r="T5026" t="s">
        <v>11183</v>
      </c>
      <c r="V5026" t="s">
        <v>725</v>
      </c>
      <c r="W5026">
        <v>913.34</v>
      </c>
      <c r="X5026" t="s">
        <v>11335</v>
      </c>
      <c r="Y5026" t="s">
        <v>11339</v>
      </c>
      <c r="Z5026" t="s">
        <v>12089</v>
      </c>
      <c r="AB5026" t="s">
        <v>18915</v>
      </c>
      <c r="AC5026">
        <v>88</v>
      </c>
      <c r="AD5026" t="s">
        <v>19566</v>
      </c>
      <c r="AE5026" t="s">
        <v>9144</v>
      </c>
      <c r="AF5026">
        <v>29</v>
      </c>
      <c r="AG5026">
        <v>1</v>
      </c>
      <c r="AH5026">
        <v>1</v>
      </c>
      <c r="AI5026">
        <v>210.58</v>
      </c>
      <c r="AL5026" t="s">
        <v>19615</v>
      </c>
      <c r="AM5026">
        <v>34661.76</v>
      </c>
      <c r="AS5026">
        <v>0</v>
      </c>
      <c r="AU5026" t="s">
        <v>130</v>
      </c>
      <c r="AV5026" t="s">
        <v>20733</v>
      </c>
    </row>
    <row r="5027" spans="1:48">
      <c r="A5027" s="1">
        <f>HYPERLINK("https://lsnyc.legalserver.org/matter/dynamic-profile/view/0821609","16-0821609")</f>
        <v>0</v>
      </c>
      <c r="B5027" t="s">
        <v>103</v>
      </c>
      <c r="C5027" t="s">
        <v>256</v>
      </c>
      <c r="D5027" t="s">
        <v>927</v>
      </c>
      <c r="F5027" t="s">
        <v>1969</v>
      </c>
      <c r="G5027" t="s">
        <v>2536</v>
      </c>
      <c r="H5027" t="s">
        <v>5899</v>
      </c>
      <c r="I5027" t="s">
        <v>8156</v>
      </c>
      <c r="J5027" t="s">
        <v>9065</v>
      </c>
      <c r="K5027">
        <v>10452</v>
      </c>
      <c r="L5027" t="s">
        <v>9094</v>
      </c>
      <c r="M5027" t="s">
        <v>9095</v>
      </c>
      <c r="O5027" t="s">
        <v>11135</v>
      </c>
      <c r="P5027" t="s">
        <v>11168</v>
      </c>
      <c r="R5027" t="s">
        <v>11180</v>
      </c>
      <c r="S5027" t="s">
        <v>9094</v>
      </c>
      <c r="T5027" t="s">
        <v>11183</v>
      </c>
      <c r="V5027" t="s">
        <v>927</v>
      </c>
      <c r="W5027">
        <v>876.15</v>
      </c>
      <c r="X5027" t="s">
        <v>11333</v>
      </c>
      <c r="Y5027" t="s">
        <v>11346</v>
      </c>
      <c r="Z5027" t="s">
        <v>14595</v>
      </c>
      <c r="AB5027" t="s">
        <v>18916</v>
      </c>
      <c r="AC5027">
        <v>63</v>
      </c>
      <c r="AD5027" t="s">
        <v>19566</v>
      </c>
      <c r="AE5027" t="s">
        <v>9144</v>
      </c>
      <c r="AF5027">
        <v>16</v>
      </c>
      <c r="AG5027">
        <v>2</v>
      </c>
      <c r="AH5027">
        <v>0</v>
      </c>
      <c r="AI5027">
        <v>210.99</v>
      </c>
      <c r="AL5027" t="s">
        <v>19614</v>
      </c>
      <c r="AM5027">
        <v>33800</v>
      </c>
      <c r="AS5027">
        <v>0</v>
      </c>
      <c r="AU5027" t="s">
        <v>20643</v>
      </c>
    </row>
    <row r="5028" spans="1:48">
      <c r="A5028" s="1">
        <f>HYPERLINK("https://lsnyc.legalserver.org/matter/dynamic-profile/view/0821610","16-0821610")</f>
        <v>0</v>
      </c>
      <c r="B5028" t="s">
        <v>103</v>
      </c>
      <c r="C5028" t="s">
        <v>256</v>
      </c>
      <c r="D5028" t="s">
        <v>519</v>
      </c>
      <c r="F5028" t="s">
        <v>1969</v>
      </c>
      <c r="G5028" t="s">
        <v>2536</v>
      </c>
      <c r="H5028" t="s">
        <v>5899</v>
      </c>
      <c r="I5028" t="s">
        <v>8156</v>
      </c>
      <c r="J5028" t="s">
        <v>9065</v>
      </c>
      <c r="K5028">
        <v>10452</v>
      </c>
      <c r="L5028" t="s">
        <v>9094</v>
      </c>
      <c r="M5028" t="s">
        <v>9095</v>
      </c>
      <c r="O5028" t="s">
        <v>11135</v>
      </c>
      <c r="P5028" t="s">
        <v>11168</v>
      </c>
      <c r="R5028" t="s">
        <v>11180</v>
      </c>
      <c r="S5028" t="s">
        <v>9094</v>
      </c>
      <c r="T5028" t="s">
        <v>11183</v>
      </c>
      <c r="V5028" t="s">
        <v>519</v>
      </c>
      <c r="W5028">
        <v>876.15</v>
      </c>
      <c r="X5028" t="s">
        <v>11333</v>
      </c>
      <c r="Y5028" t="s">
        <v>11346</v>
      </c>
      <c r="Z5028" t="s">
        <v>14595</v>
      </c>
      <c r="AB5028" t="s">
        <v>18916</v>
      </c>
      <c r="AC5028">
        <v>63</v>
      </c>
      <c r="AD5028" t="s">
        <v>19566</v>
      </c>
      <c r="AE5028" t="s">
        <v>9144</v>
      </c>
      <c r="AF5028">
        <v>16</v>
      </c>
      <c r="AG5028">
        <v>2</v>
      </c>
      <c r="AH5028">
        <v>0</v>
      </c>
      <c r="AI5028">
        <v>210.99</v>
      </c>
      <c r="AL5028" t="s">
        <v>19614</v>
      </c>
      <c r="AM5028">
        <v>46800</v>
      </c>
      <c r="AS5028">
        <v>0</v>
      </c>
      <c r="AU5028" t="s">
        <v>20643</v>
      </c>
    </row>
    <row r="5029" spans="1:48">
      <c r="A5029" s="1">
        <f>HYPERLINK("https://lsnyc.legalserver.org/matter/dynamic-profile/view/0826254","17-0826254")</f>
        <v>0</v>
      </c>
      <c r="B5029" t="s">
        <v>139</v>
      </c>
      <c r="C5029" t="s">
        <v>256</v>
      </c>
      <c r="D5029" t="s">
        <v>876</v>
      </c>
      <c r="F5029" t="s">
        <v>1450</v>
      </c>
      <c r="G5029" t="s">
        <v>3374</v>
      </c>
      <c r="H5029" t="s">
        <v>6363</v>
      </c>
      <c r="I5029" t="s">
        <v>8191</v>
      </c>
      <c r="J5029" t="s">
        <v>9067</v>
      </c>
      <c r="K5029">
        <v>10040</v>
      </c>
      <c r="L5029" t="s">
        <v>9094</v>
      </c>
      <c r="M5029" t="s">
        <v>9095</v>
      </c>
      <c r="N5029" t="s">
        <v>9887</v>
      </c>
      <c r="O5029" t="s">
        <v>11130</v>
      </c>
      <c r="P5029" t="s">
        <v>11165</v>
      </c>
      <c r="R5029" t="s">
        <v>11180</v>
      </c>
      <c r="S5029" t="s">
        <v>9094</v>
      </c>
      <c r="T5029" t="s">
        <v>11183</v>
      </c>
      <c r="V5029" t="s">
        <v>11298</v>
      </c>
      <c r="W5029">
        <v>1269.44</v>
      </c>
      <c r="X5029" t="s">
        <v>11335</v>
      </c>
      <c r="Y5029" t="s">
        <v>11339</v>
      </c>
      <c r="Z5029" t="s">
        <v>14569</v>
      </c>
      <c r="AB5029" t="s">
        <v>18892</v>
      </c>
      <c r="AC5029">
        <v>83</v>
      </c>
      <c r="AD5029" t="s">
        <v>19566</v>
      </c>
      <c r="AE5029" t="s">
        <v>9144</v>
      </c>
      <c r="AF5029">
        <v>24</v>
      </c>
      <c r="AG5029">
        <v>2</v>
      </c>
      <c r="AH5029">
        <v>0</v>
      </c>
      <c r="AI5029">
        <v>210.99</v>
      </c>
      <c r="AJ5029" t="s">
        <v>11246</v>
      </c>
      <c r="AL5029" t="s">
        <v>19615</v>
      </c>
      <c r="AM5029">
        <v>33800</v>
      </c>
      <c r="AS5029">
        <v>0</v>
      </c>
      <c r="AT5029" t="s">
        <v>537</v>
      </c>
      <c r="AU5029" t="s">
        <v>20657</v>
      </c>
    </row>
    <row r="5030" spans="1:48">
      <c r="A5030" s="1">
        <f>HYPERLINK("https://lsnyc.legalserver.org/matter/dynamic-profile/view/1906710","19-1906710")</f>
        <v>0</v>
      </c>
      <c r="B5030" t="s">
        <v>83</v>
      </c>
      <c r="C5030" t="s">
        <v>256</v>
      </c>
      <c r="D5030" t="s">
        <v>474</v>
      </c>
      <c r="F5030" t="s">
        <v>1370</v>
      </c>
      <c r="G5030" t="s">
        <v>5268</v>
      </c>
      <c r="H5030" t="s">
        <v>6257</v>
      </c>
      <c r="I5030" t="s">
        <v>8124</v>
      </c>
      <c r="J5030" t="s">
        <v>9059</v>
      </c>
      <c r="K5030">
        <v>11225</v>
      </c>
      <c r="L5030" t="s">
        <v>9094</v>
      </c>
      <c r="M5030" t="s">
        <v>9095</v>
      </c>
      <c r="O5030" t="s">
        <v>11134</v>
      </c>
      <c r="P5030" t="s">
        <v>11164</v>
      </c>
      <c r="R5030" t="s">
        <v>11180</v>
      </c>
      <c r="S5030" t="s">
        <v>9096</v>
      </c>
      <c r="T5030" t="s">
        <v>11183</v>
      </c>
      <c r="V5030" t="s">
        <v>330</v>
      </c>
      <c r="W5030">
        <v>1976.11</v>
      </c>
      <c r="X5030" t="s">
        <v>11332</v>
      </c>
      <c r="Z5030" t="s">
        <v>14596</v>
      </c>
      <c r="AB5030" t="s">
        <v>18917</v>
      </c>
      <c r="AC5030">
        <v>11</v>
      </c>
      <c r="AF5030">
        <v>6</v>
      </c>
      <c r="AG5030">
        <v>2</v>
      </c>
      <c r="AH5030">
        <v>1</v>
      </c>
      <c r="AI5030">
        <v>211.25</v>
      </c>
      <c r="AL5030" t="s">
        <v>19614</v>
      </c>
      <c r="AM5030">
        <v>45060</v>
      </c>
      <c r="AS5030">
        <v>1.6</v>
      </c>
      <c r="AT5030" t="s">
        <v>435</v>
      </c>
      <c r="AU5030" t="s">
        <v>215</v>
      </c>
      <c r="AV5030" t="s">
        <v>20733</v>
      </c>
    </row>
    <row r="5031" spans="1:48">
      <c r="A5031" s="1">
        <f>HYPERLINK("https://lsnyc.legalserver.org/matter/dynamic-profile/view/1906759","19-1906759")</f>
        <v>0</v>
      </c>
      <c r="B5031" t="s">
        <v>83</v>
      </c>
      <c r="C5031" t="s">
        <v>256</v>
      </c>
      <c r="D5031" t="s">
        <v>474</v>
      </c>
      <c r="F5031" t="s">
        <v>2991</v>
      </c>
      <c r="G5031" t="s">
        <v>5269</v>
      </c>
      <c r="H5031" t="s">
        <v>6257</v>
      </c>
      <c r="J5031" t="s">
        <v>9059</v>
      </c>
      <c r="K5031">
        <v>11225</v>
      </c>
      <c r="L5031" t="s">
        <v>9094</v>
      </c>
      <c r="M5031" t="s">
        <v>9095</v>
      </c>
      <c r="O5031" t="s">
        <v>11133</v>
      </c>
      <c r="P5031" t="s">
        <v>11166</v>
      </c>
      <c r="R5031" t="s">
        <v>11180</v>
      </c>
      <c r="T5031" t="s">
        <v>11183</v>
      </c>
      <c r="V5031" t="s">
        <v>330</v>
      </c>
      <c r="W5031">
        <v>1976.11</v>
      </c>
      <c r="X5031" t="s">
        <v>11332</v>
      </c>
      <c r="Z5031" t="s">
        <v>14597</v>
      </c>
      <c r="AC5031">
        <v>11</v>
      </c>
      <c r="AF5031">
        <v>6</v>
      </c>
      <c r="AG5031">
        <v>2</v>
      </c>
      <c r="AH5031">
        <v>1</v>
      </c>
      <c r="AI5031">
        <v>211.25</v>
      </c>
      <c r="AL5031" t="s">
        <v>19614</v>
      </c>
      <c r="AM5031">
        <v>45060</v>
      </c>
      <c r="AS5031">
        <v>0.1</v>
      </c>
      <c r="AT5031" t="s">
        <v>288</v>
      </c>
      <c r="AU5031" t="s">
        <v>215</v>
      </c>
      <c r="AV5031" t="s">
        <v>20733</v>
      </c>
    </row>
    <row r="5032" spans="1:48">
      <c r="A5032" s="1">
        <f>HYPERLINK("https://lsnyc.legalserver.org/matter/dynamic-profile/view/1903665","19-1903665")</f>
        <v>0</v>
      </c>
      <c r="B5032" t="s">
        <v>122</v>
      </c>
      <c r="C5032" t="s">
        <v>256</v>
      </c>
      <c r="D5032" t="s">
        <v>700</v>
      </c>
      <c r="F5032" t="s">
        <v>2992</v>
      </c>
      <c r="G5032" t="s">
        <v>5270</v>
      </c>
      <c r="H5032" t="s">
        <v>7873</v>
      </c>
      <c r="I5032" t="s">
        <v>8912</v>
      </c>
      <c r="J5032" t="s">
        <v>9066</v>
      </c>
      <c r="K5032">
        <v>10314</v>
      </c>
      <c r="L5032" t="s">
        <v>9094</v>
      </c>
      <c r="M5032" t="s">
        <v>9095</v>
      </c>
      <c r="N5032" t="s">
        <v>9580</v>
      </c>
      <c r="O5032" t="s">
        <v>11134</v>
      </c>
      <c r="P5032" t="s">
        <v>11168</v>
      </c>
      <c r="R5032" t="s">
        <v>11180</v>
      </c>
      <c r="S5032" t="s">
        <v>9094</v>
      </c>
      <c r="T5032" t="s">
        <v>11183</v>
      </c>
      <c r="U5032" t="s">
        <v>11201</v>
      </c>
      <c r="V5032" t="s">
        <v>610</v>
      </c>
      <c r="W5032">
        <v>859</v>
      </c>
      <c r="X5032" t="s">
        <v>11334</v>
      </c>
      <c r="Y5032" t="s">
        <v>11340</v>
      </c>
      <c r="Z5032" t="s">
        <v>14598</v>
      </c>
      <c r="AB5032" t="s">
        <v>18918</v>
      </c>
      <c r="AC5032">
        <v>96</v>
      </c>
      <c r="AD5032" t="s">
        <v>19566</v>
      </c>
      <c r="AE5032" t="s">
        <v>19587</v>
      </c>
      <c r="AF5032">
        <v>7</v>
      </c>
      <c r="AG5032">
        <v>1</v>
      </c>
      <c r="AH5032">
        <v>0</v>
      </c>
      <c r="AI5032">
        <v>211.37</v>
      </c>
      <c r="AL5032" t="s">
        <v>19614</v>
      </c>
      <c r="AM5032">
        <v>26400</v>
      </c>
      <c r="AO5032" t="s">
        <v>20293</v>
      </c>
      <c r="AP5032" t="s">
        <v>20316</v>
      </c>
      <c r="AQ5032" t="s">
        <v>20369</v>
      </c>
      <c r="AR5032" t="s">
        <v>20372</v>
      </c>
      <c r="AS5032">
        <v>0.6</v>
      </c>
      <c r="AT5032" t="s">
        <v>270</v>
      </c>
      <c r="AU5032" t="s">
        <v>20653</v>
      </c>
      <c r="AV5032" t="s">
        <v>20733</v>
      </c>
    </row>
    <row r="5033" spans="1:48">
      <c r="A5033" s="1">
        <f>HYPERLINK("https://lsnyc.legalserver.org/matter/dynamic-profile/view/0829559","17-0829559")</f>
        <v>0</v>
      </c>
      <c r="B5033" t="s">
        <v>136</v>
      </c>
      <c r="C5033" t="s">
        <v>257</v>
      </c>
      <c r="D5033" t="s">
        <v>1093</v>
      </c>
      <c r="E5033" t="s">
        <v>377</v>
      </c>
      <c r="F5033" t="s">
        <v>1264</v>
      </c>
      <c r="G5033" t="s">
        <v>5271</v>
      </c>
      <c r="H5033" t="s">
        <v>6470</v>
      </c>
      <c r="I5033">
        <v>38</v>
      </c>
      <c r="J5033" t="s">
        <v>9067</v>
      </c>
      <c r="K5033">
        <v>10034</v>
      </c>
      <c r="L5033" t="s">
        <v>9094</v>
      </c>
      <c r="M5033" t="s">
        <v>9095</v>
      </c>
      <c r="O5033" t="s">
        <v>11133</v>
      </c>
      <c r="P5033" t="s">
        <v>11167</v>
      </c>
      <c r="Q5033" t="s">
        <v>11173</v>
      </c>
      <c r="R5033" t="s">
        <v>11180</v>
      </c>
      <c r="S5033" t="s">
        <v>9096</v>
      </c>
      <c r="T5033" t="s">
        <v>11183</v>
      </c>
      <c r="V5033" t="s">
        <v>807</v>
      </c>
      <c r="W5033">
        <v>1082.09</v>
      </c>
      <c r="X5033" t="s">
        <v>11335</v>
      </c>
      <c r="Y5033" t="s">
        <v>11351</v>
      </c>
      <c r="Z5033" t="s">
        <v>14599</v>
      </c>
      <c r="AB5033" t="s">
        <v>18919</v>
      </c>
      <c r="AC5033">
        <v>52</v>
      </c>
      <c r="AD5033" t="s">
        <v>19566</v>
      </c>
      <c r="AE5033" t="s">
        <v>9144</v>
      </c>
      <c r="AF5033">
        <v>22</v>
      </c>
      <c r="AG5033">
        <v>2</v>
      </c>
      <c r="AH5033">
        <v>0</v>
      </c>
      <c r="AI5033">
        <v>211.39</v>
      </c>
      <c r="AJ5033" t="s">
        <v>11246</v>
      </c>
      <c r="AL5033" t="s">
        <v>19614</v>
      </c>
      <c r="AM5033">
        <v>33864</v>
      </c>
      <c r="AS5033">
        <v>1.4</v>
      </c>
      <c r="AT5033" t="s">
        <v>888</v>
      </c>
      <c r="AU5033" t="s">
        <v>136</v>
      </c>
    </row>
    <row r="5034" spans="1:48">
      <c r="A5034" s="1">
        <f>HYPERLINK("https://lsnyc.legalserver.org/matter/dynamic-profile/view/1891925","19-1891925")</f>
        <v>0</v>
      </c>
      <c r="B5034" t="s">
        <v>70</v>
      </c>
      <c r="C5034" t="s">
        <v>256</v>
      </c>
      <c r="D5034" t="s">
        <v>868</v>
      </c>
      <c r="F5034" t="s">
        <v>2993</v>
      </c>
      <c r="G5034" t="s">
        <v>5272</v>
      </c>
      <c r="H5034" t="s">
        <v>5748</v>
      </c>
      <c r="I5034" t="s">
        <v>8874</v>
      </c>
      <c r="J5034" t="s">
        <v>9059</v>
      </c>
      <c r="K5034">
        <v>11233</v>
      </c>
      <c r="L5034" t="s">
        <v>9094</v>
      </c>
      <c r="M5034" t="s">
        <v>9096</v>
      </c>
      <c r="N5034" t="s">
        <v>9145</v>
      </c>
      <c r="O5034" t="s">
        <v>11134</v>
      </c>
      <c r="P5034" t="s">
        <v>11168</v>
      </c>
      <c r="R5034" t="s">
        <v>11180</v>
      </c>
      <c r="S5034" t="s">
        <v>9094</v>
      </c>
      <c r="T5034" t="s">
        <v>11183</v>
      </c>
      <c r="U5034" t="s">
        <v>11201</v>
      </c>
      <c r="V5034" t="s">
        <v>482</v>
      </c>
      <c r="W5034">
        <v>1047</v>
      </c>
      <c r="X5034" t="s">
        <v>11332</v>
      </c>
      <c r="Y5034" t="s">
        <v>11157</v>
      </c>
      <c r="Z5034" t="s">
        <v>14600</v>
      </c>
      <c r="AC5034">
        <v>359</v>
      </c>
      <c r="AD5034" t="s">
        <v>19566</v>
      </c>
      <c r="AE5034" t="s">
        <v>9144</v>
      </c>
      <c r="AF5034">
        <v>8</v>
      </c>
      <c r="AG5034">
        <v>3</v>
      </c>
      <c r="AH5034">
        <v>3</v>
      </c>
      <c r="AI5034">
        <v>211.54</v>
      </c>
      <c r="AL5034" t="s">
        <v>19614</v>
      </c>
      <c r="AM5034">
        <v>73170</v>
      </c>
      <c r="AN5034" t="s">
        <v>19846</v>
      </c>
      <c r="AS5034">
        <v>0</v>
      </c>
      <c r="AU5034" t="s">
        <v>79</v>
      </c>
    </row>
    <row r="5035" spans="1:48">
      <c r="A5035" s="1">
        <f>HYPERLINK("https://lsnyc.legalserver.org/matter/dynamic-profile/view/1891930","19-1891930")</f>
        <v>0</v>
      </c>
      <c r="B5035" t="s">
        <v>70</v>
      </c>
      <c r="C5035" t="s">
        <v>256</v>
      </c>
      <c r="D5035" t="s">
        <v>868</v>
      </c>
      <c r="F5035" t="s">
        <v>2993</v>
      </c>
      <c r="G5035" t="s">
        <v>5272</v>
      </c>
      <c r="H5035" t="s">
        <v>5748</v>
      </c>
      <c r="I5035" t="s">
        <v>8874</v>
      </c>
      <c r="J5035" t="s">
        <v>9059</v>
      </c>
      <c r="K5035">
        <v>11233</v>
      </c>
      <c r="L5035" t="s">
        <v>9094</v>
      </c>
      <c r="M5035" t="s">
        <v>9096</v>
      </c>
      <c r="O5035" t="s">
        <v>11137</v>
      </c>
      <c r="P5035" t="s">
        <v>11167</v>
      </c>
      <c r="R5035" t="s">
        <v>11180</v>
      </c>
      <c r="S5035" t="s">
        <v>9094</v>
      </c>
      <c r="T5035" t="s">
        <v>11183</v>
      </c>
      <c r="U5035" t="s">
        <v>11201</v>
      </c>
      <c r="V5035" t="s">
        <v>749</v>
      </c>
      <c r="W5035">
        <v>1047</v>
      </c>
      <c r="X5035" t="s">
        <v>11332</v>
      </c>
      <c r="Y5035" t="s">
        <v>11157</v>
      </c>
      <c r="Z5035" t="s">
        <v>14600</v>
      </c>
      <c r="AC5035">
        <v>359</v>
      </c>
      <c r="AD5035" t="s">
        <v>19566</v>
      </c>
      <c r="AE5035" t="s">
        <v>9144</v>
      </c>
      <c r="AF5035">
        <v>8</v>
      </c>
      <c r="AG5035">
        <v>3</v>
      </c>
      <c r="AH5035">
        <v>3</v>
      </c>
      <c r="AI5035">
        <v>211.54</v>
      </c>
      <c r="AL5035" t="s">
        <v>19614</v>
      </c>
      <c r="AM5035">
        <v>73170</v>
      </c>
      <c r="AN5035" t="s">
        <v>20073</v>
      </c>
      <c r="AS5035">
        <v>0</v>
      </c>
      <c r="AU5035" t="s">
        <v>79</v>
      </c>
    </row>
    <row r="5036" spans="1:48">
      <c r="A5036" s="1">
        <f>HYPERLINK("https://lsnyc.legalserver.org/matter/dynamic-profile/view/1907750","19-1907750")</f>
        <v>0</v>
      </c>
      <c r="B5036" t="s">
        <v>211</v>
      </c>
      <c r="C5036" t="s">
        <v>256</v>
      </c>
      <c r="D5036" t="s">
        <v>396</v>
      </c>
      <c r="F5036" t="s">
        <v>2344</v>
      </c>
      <c r="G5036" t="s">
        <v>5273</v>
      </c>
      <c r="H5036" t="s">
        <v>7878</v>
      </c>
      <c r="I5036">
        <v>506</v>
      </c>
      <c r="J5036" t="s">
        <v>9055</v>
      </c>
      <c r="K5036">
        <v>11355</v>
      </c>
      <c r="L5036" t="s">
        <v>9094</v>
      </c>
      <c r="M5036" t="s">
        <v>9095</v>
      </c>
      <c r="N5036" t="s">
        <v>10901</v>
      </c>
      <c r="O5036" t="s">
        <v>11129</v>
      </c>
      <c r="P5036" t="s">
        <v>11165</v>
      </c>
      <c r="R5036" t="s">
        <v>11180</v>
      </c>
      <c r="S5036" t="s">
        <v>9096</v>
      </c>
      <c r="T5036" t="s">
        <v>11183</v>
      </c>
      <c r="U5036" t="s">
        <v>11200</v>
      </c>
      <c r="V5036" t="s">
        <v>396</v>
      </c>
      <c r="W5036">
        <v>1325</v>
      </c>
      <c r="X5036" t="s">
        <v>11331</v>
      </c>
      <c r="Y5036" t="s">
        <v>11340</v>
      </c>
      <c r="Z5036" t="s">
        <v>12875</v>
      </c>
      <c r="AB5036" t="s">
        <v>18920</v>
      </c>
      <c r="AC5036">
        <v>47</v>
      </c>
      <c r="AD5036" t="s">
        <v>15441</v>
      </c>
      <c r="AE5036" t="s">
        <v>9144</v>
      </c>
      <c r="AF5036">
        <v>3</v>
      </c>
      <c r="AG5036">
        <v>2</v>
      </c>
      <c r="AH5036">
        <v>0</v>
      </c>
      <c r="AI5036">
        <v>211.71</v>
      </c>
      <c r="AJ5036" t="s">
        <v>472</v>
      </c>
      <c r="AK5036" t="s">
        <v>19612</v>
      </c>
      <c r="AL5036" t="s">
        <v>19614</v>
      </c>
      <c r="AM5036">
        <v>35800</v>
      </c>
      <c r="AP5036" t="s">
        <v>11157</v>
      </c>
      <c r="AS5036">
        <v>31.6</v>
      </c>
      <c r="AT5036" t="s">
        <v>270</v>
      </c>
      <c r="AU5036" t="s">
        <v>20620</v>
      </c>
      <c r="AV5036" t="s">
        <v>20733</v>
      </c>
    </row>
    <row r="5037" spans="1:48">
      <c r="A5037" s="1">
        <f>HYPERLINK("https://lsnyc.legalserver.org/matter/dynamic-profile/view/1907227","19-1907227")</f>
        <v>0</v>
      </c>
      <c r="B5037" t="s">
        <v>64</v>
      </c>
      <c r="C5037" t="s">
        <v>256</v>
      </c>
      <c r="D5037" t="s">
        <v>636</v>
      </c>
      <c r="F5037" t="s">
        <v>2064</v>
      </c>
      <c r="G5037" t="s">
        <v>3477</v>
      </c>
      <c r="H5037" t="s">
        <v>7879</v>
      </c>
      <c r="I5037" t="s">
        <v>8134</v>
      </c>
      <c r="J5037" t="s">
        <v>9059</v>
      </c>
      <c r="K5037">
        <v>11233</v>
      </c>
      <c r="L5037" t="s">
        <v>9094</v>
      </c>
      <c r="M5037" t="s">
        <v>9095</v>
      </c>
      <c r="N5037" t="s">
        <v>10902</v>
      </c>
      <c r="O5037" t="s">
        <v>11129</v>
      </c>
      <c r="P5037" t="s">
        <v>11165</v>
      </c>
      <c r="R5037" t="s">
        <v>11180</v>
      </c>
      <c r="S5037" t="s">
        <v>9096</v>
      </c>
      <c r="T5037" t="s">
        <v>11183</v>
      </c>
      <c r="V5037" t="s">
        <v>11207</v>
      </c>
      <c r="W5037">
        <v>868.12</v>
      </c>
      <c r="X5037" t="s">
        <v>11332</v>
      </c>
      <c r="Y5037" t="s">
        <v>11157</v>
      </c>
      <c r="Z5037" t="s">
        <v>11804</v>
      </c>
      <c r="AB5037" t="s">
        <v>18921</v>
      </c>
      <c r="AC5037">
        <v>32</v>
      </c>
      <c r="AD5037" t="s">
        <v>19566</v>
      </c>
      <c r="AE5037" t="s">
        <v>9144</v>
      </c>
      <c r="AF5037">
        <v>7</v>
      </c>
      <c r="AG5037">
        <v>1</v>
      </c>
      <c r="AH5037">
        <v>1</v>
      </c>
      <c r="AI5037">
        <v>211.71</v>
      </c>
      <c r="AL5037" t="s">
        <v>19614</v>
      </c>
      <c r="AM5037">
        <v>35800</v>
      </c>
      <c r="AS5037">
        <v>16</v>
      </c>
      <c r="AT5037" t="s">
        <v>1135</v>
      </c>
      <c r="AU5037" t="s">
        <v>79</v>
      </c>
      <c r="AV5037" t="s">
        <v>20733</v>
      </c>
    </row>
    <row r="5038" spans="1:48">
      <c r="A5038" s="1">
        <f>HYPERLINK("https://lsnyc.legalserver.org/matter/dynamic-profile/view/1908816","19-1908816")</f>
        <v>0</v>
      </c>
      <c r="B5038" t="s">
        <v>69</v>
      </c>
      <c r="C5038" t="s">
        <v>256</v>
      </c>
      <c r="D5038" t="s">
        <v>481</v>
      </c>
      <c r="F5038" t="s">
        <v>2064</v>
      </c>
      <c r="G5038" t="s">
        <v>3477</v>
      </c>
      <c r="H5038" t="s">
        <v>7879</v>
      </c>
      <c r="I5038" t="s">
        <v>8134</v>
      </c>
      <c r="J5038" t="s">
        <v>9059</v>
      </c>
      <c r="K5038">
        <v>11233</v>
      </c>
      <c r="L5038" t="s">
        <v>9094</v>
      </c>
      <c r="M5038" t="s">
        <v>9095</v>
      </c>
      <c r="N5038" t="s">
        <v>10903</v>
      </c>
      <c r="O5038" t="s">
        <v>11139</v>
      </c>
      <c r="R5038" t="s">
        <v>11180</v>
      </c>
      <c r="S5038" t="s">
        <v>9096</v>
      </c>
      <c r="T5038" t="s">
        <v>11191</v>
      </c>
      <c r="U5038" t="s">
        <v>11202</v>
      </c>
      <c r="W5038">
        <v>868.12</v>
      </c>
      <c r="X5038" t="s">
        <v>11332</v>
      </c>
      <c r="Y5038" t="s">
        <v>11157</v>
      </c>
      <c r="Z5038" t="s">
        <v>11804</v>
      </c>
      <c r="AA5038" t="s">
        <v>9171</v>
      </c>
      <c r="AB5038" t="s">
        <v>18921</v>
      </c>
      <c r="AC5038">
        <v>32</v>
      </c>
      <c r="AD5038" t="s">
        <v>19566</v>
      </c>
      <c r="AE5038" t="s">
        <v>9144</v>
      </c>
      <c r="AF5038">
        <v>7</v>
      </c>
      <c r="AG5038">
        <v>1</v>
      </c>
      <c r="AH5038">
        <v>1</v>
      </c>
      <c r="AI5038">
        <v>211.71</v>
      </c>
      <c r="AL5038" t="s">
        <v>19614</v>
      </c>
      <c r="AM5038">
        <v>35800</v>
      </c>
      <c r="AN5038" t="s">
        <v>20074</v>
      </c>
      <c r="AS5038">
        <v>23.5</v>
      </c>
      <c r="AT5038" t="s">
        <v>1130</v>
      </c>
      <c r="AU5038" t="s">
        <v>95</v>
      </c>
      <c r="AV5038" t="s">
        <v>20733</v>
      </c>
    </row>
    <row r="5039" spans="1:48">
      <c r="A5039" s="1">
        <f>HYPERLINK("https://lsnyc.legalserver.org/matter/dynamic-profile/view/1871698","18-1871698")</f>
        <v>0</v>
      </c>
      <c r="B5039" t="s">
        <v>63</v>
      </c>
      <c r="C5039" t="s">
        <v>256</v>
      </c>
      <c r="D5039" t="s">
        <v>686</v>
      </c>
      <c r="F5039" t="s">
        <v>2994</v>
      </c>
      <c r="G5039" t="s">
        <v>1333</v>
      </c>
      <c r="H5039" t="s">
        <v>5738</v>
      </c>
      <c r="I5039" t="s">
        <v>8262</v>
      </c>
      <c r="J5039" t="s">
        <v>9055</v>
      </c>
      <c r="K5039">
        <v>11354</v>
      </c>
      <c r="L5039" t="s">
        <v>9094</v>
      </c>
      <c r="M5039" t="s">
        <v>9094</v>
      </c>
      <c r="N5039" t="s">
        <v>9171</v>
      </c>
      <c r="O5039" t="s">
        <v>11133</v>
      </c>
      <c r="P5039" t="s">
        <v>11166</v>
      </c>
      <c r="R5039" t="s">
        <v>11180</v>
      </c>
      <c r="S5039" t="s">
        <v>9096</v>
      </c>
      <c r="T5039" t="s">
        <v>11183</v>
      </c>
      <c r="U5039" t="s">
        <v>11201</v>
      </c>
      <c r="V5039" t="s">
        <v>686</v>
      </c>
      <c r="W5039">
        <v>1590.83</v>
      </c>
      <c r="X5039" t="s">
        <v>11331</v>
      </c>
      <c r="Y5039" t="s">
        <v>11351</v>
      </c>
      <c r="Z5039" t="s">
        <v>14601</v>
      </c>
      <c r="AA5039" t="s">
        <v>9144</v>
      </c>
      <c r="AB5039" t="s">
        <v>18922</v>
      </c>
      <c r="AC5039">
        <v>90</v>
      </c>
      <c r="AD5039" t="s">
        <v>19566</v>
      </c>
      <c r="AE5039" t="s">
        <v>9144</v>
      </c>
      <c r="AF5039">
        <v>8</v>
      </c>
      <c r="AG5039">
        <v>3</v>
      </c>
      <c r="AH5039">
        <v>0</v>
      </c>
      <c r="AI5039">
        <v>211.74</v>
      </c>
      <c r="AL5039" t="s">
        <v>19623</v>
      </c>
      <c r="AM5039">
        <v>44000</v>
      </c>
      <c r="AS5039">
        <v>1.8</v>
      </c>
      <c r="AT5039" t="s">
        <v>473</v>
      </c>
      <c r="AU5039" t="s">
        <v>60</v>
      </c>
    </row>
    <row r="5040" spans="1:48">
      <c r="A5040" s="1">
        <f>HYPERLINK("https://lsnyc.legalserver.org/matter/dynamic-profile/view/1854327","17-1854327")</f>
        <v>0</v>
      </c>
      <c r="B5040" t="s">
        <v>101</v>
      </c>
      <c r="C5040" t="s">
        <v>257</v>
      </c>
      <c r="D5040" t="s">
        <v>852</v>
      </c>
      <c r="E5040" t="s">
        <v>551</v>
      </c>
      <c r="F5040" t="s">
        <v>1402</v>
      </c>
      <c r="G5040" t="s">
        <v>3499</v>
      </c>
      <c r="H5040" t="s">
        <v>6262</v>
      </c>
      <c r="I5040" t="s">
        <v>8178</v>
      </c>
      <c r="J5040" t="s">
        <v>9065</v>
      </c>
      <c r="K5040">
        <v>10452</v>
      </c>
      <c r="L5040" t="s">
        <v>9094</v>
      </c>
      <c r="M5040" t="s">
        <v>9095</v>
      </c>
      <c r="N5040" t="s">
        <v>9537</v>
      </c>
      <c r="O5040" t="s">
        <v>11130</v>
      </c>
      <c r="P5040" t="s">
        <v>11165</v>
      </c>
      <c r="Q5040" t="s">
        <v>11174</v>
      </c>
      <c r="R5040" t="s">
        <v>11180</v>
      </c>
      <c r="S5040" t="s">
        <v>9094</v>
      </c>
      <c r="T5040" t="s">
        <v>11183</v>
      </c>
      <c r="V5040" t="s">
        <v>874</v>
      </c>
      <c r="W5040">
        <v>980</v>
      </c>
      <c r="X5040" t="s">
        <v>11333</v>
      </c>
      <c r="Y5040" t="s">
        <v>11346</v>
      </c>
      <c r="Z5040" t="s">
        <v>14602</v>
      </c>
      <c r="AB5040" t="s">
        <v>18923</v>
      </c>
      <c r="AC5040">
        <v>60</v>
      </c>
      <c r="AD5040" t="s">
        <v>19566</v>
      </c>
      <c r="AE5040" t="s">
        <v>9144</v>
      </c>
      <c r="AF5040">
        <v>29</v>
      </c>
      <c r="AG5040">
        <v>6</v>
      </c>
      <c r="AH5040">
        <v>0</v>
      </c>
      <c r="AI5040">
        <v>211.77</v>
      </c>
      <c r="AL5040" t="s">
        <v>19615</v>
      </c>
      <c r="AM5040">
        <v>69800</v>
      </c>
      <c r="AS5040">
        <v>197.8</v>
      </c>
      <c r="AT5040" t="s">
        <v>551</v>
      </c>
      <c r="AU5040" t="s">
        <v>20650</v>
      </c>
    </row>
    <row r="5041" spans="1:48">
      <c r="A5041" s="1">
        <f>HYPERLINK("https://lsnyc.legalserver.org/matter/dynamic-profile/view/0798998","16-0798998")</f>
        <v>0</v>
      </c>
      <c r="B5041" t="s">
        <v>101</v>
      </c>
      <c r="C5041" t="s">
        <v>256</v>
      </c>
      <c r="D5041" t="s">
        <v>1094</v>
      </c>
      <c r="F5041" t="s">
        <v>2995</v>
      </c>
      <c r="G5041" t="s">
        <v>3630</v>
      </c>
      <c r="H5041" t="s">
        <v>6041</v>
      </c>
      <c r="I5041" t="s">
        <v>8453</v>
      </c>
      <c r="J5041" t="s">
        <v>9065</v>
      </c>
      <c r="K5041">
        <v>10452</v>
      </c>
      <c r="L5041" t="s">
        <v>9094</v>
      </c>
      <c r="M5041" t="s">
        <v>9095</v>
      </c>
      <c r="N5041" t="s">
        <v>9499</v>
      </c>
      <c r="O5041" t="s">
        <v>11135</v>
      </c>
      <c r="P5041" t="s">
        <v>11168</v>
      </c>
      <c r="R5041" t="s">
        <v>11180</v>
      </c>
      <c r="S5041" t="s">
        <v>9094</v>
      </c>
      <c r="T5041" t="s">
        <v>11183</v>
      </c>
      <c r="V5041" t="s">
        <v>11221</v>
      </c>
      <c r="W5041">
        <v>709.39</v>
      </c>
      <c r="X5041" t="s">
        <v>11333</v>
      </c>
      <c r="Y5041" t="s">
        <v>11346</v>
      </c>
      <c r="Z5041" t="s">
        <v>14603</v>
      </c>
      <c r="AB5041" t="s">
        <v>18924</v>
      </c>
      <c r="AC5041">
        <v>0</v>
      </c>
      <c r="AD5041" t="s">
        <v>19566</v>
      </c>
      <c r="AE5041" t="s">
        <v>9144</v>
      </c>
      <c r="AF5041">
        <v>42</v>
      </c>
      <c r="AG5041">
        <v>1</v>
      </c>
      <c r="AH5041">
        <v>0</v>
      </c>
      <c r="AI5041">
        <v>212.12</v>
      </c>
      <c r="AL5041" t="s">
        <v>19614</v>
      </c>
      <c r="AM5041">
        <v>25200</v>
      </c>
      <c r="AS5041">
        <v>0.75</v>
      </c>
      <c r="AT5041" t="s">
        <v>873</v>
      </c>
      <c r="AU5041" t="s">
        <v>109</v>
      </c>
    </row>
    <row r="5042" spans="1:48">
      <c r="A5042" s="1">
        <f>HYPERLINK("https://lsnyc.legalserver.org/matter/dynamic-profile/view/0817064","16-0817064")</f>
        <v>0</v>
      </c>
      <c r="B5042" t="s">
        <v>101</v>
      </c>
      <c r="C5042" t="s">
        <v>256</v>
      </c>
      <c r="D5042" t="s">
        <v>813</v>
      </c>
      <c r="F5042" t="s">
        <v>2995</v>
      </c>
      <c r="G5042" t="s">
        <v>3630</v>
      </c>
      <c r="H5042" t="s">
        <v>6041</v>
      </c>
      <c r="I5042" t="s">
        <v>8453</v>
      </c>
      <c r="J5042" t="s">
        <v>9065</v>
      </c>
      <c r="K5042">
        <v>10452</v>
      </c>
      <c r="L5042" t="s">
        <v>9094</v>
      </c>
      <c r="M5042" t="s">
        <v>9095</v>
      </c>
      <c r="N5042" t="s">
        <v>9500</v>
      </c>
      <c r="O5042" t="s">
        <v>11135</v>
      </c>
      <c r="P5042" t="s">
        <v>11168</v>
      </c>
      <c r="R5042" t="s">
        <v>11180</v>
      </c>
      <c r="S5042" t="s">
        <v>9094</v>
      </c>
      <c r="T5042" t="s">
        <v>11183</v>
      </c>
      <c r="V5042" t="s">
        <v>1024</v>
      </c>
      <c r="W5042">
        <v>709.39</v>
      </c>
      <c r="X5042" t="s">
        <v>11333</v>
      </c>
      <c r="Y5042" t="s">
        <v>11346</v>
      </c>
      <c r="Z5042" t="s">
        <v>14603</v>
      </c>
      <c r="AB5042" t="s">
        <v>18924</v>
      </c>
      <c r="AC5042">
        <v>62</v>
      </c>
      <c r="AD5042" t="s">
        <v>19566</v>
      </c>
      <c r="AE5042" t="s">
        <v>9144</v>
      </c>
      <c r="AF5042">
        <v>42</v>
      </c>
      <c r="AG5042">
        <v>1</v>
      </c>
      <c r="AH5042">
        <v>0</v>
      </c>
      <c r="AI5042">
        <v>212.12</v>
      </c>
      <c r="AL5042" t="s">
        <v>19614</v>
      </c>
      <c r="AM5042">
        <v>25200</v>
      </c>
      <c r="AS5042">
        <v>0.8</v>
      </c>
      <c r="AT5042" t="s">
        <v>873</v>
      </c>
      <c r="AU5042" t="s">
        <v>20643</v>
      </c>
    </row>
    <row r="5043" spans="1:48">
      <c r="A5043" s="1">
        <f>HYPERLINK("https://lsnyc.legalserver.org/matter/dynamic-profile/view/0822707","16-0822707")</f>
        <v>0</v>
      </c>
      <c r="B5043" t="s">
        <v>101</v>
      </c>
      <c r="C5043" t="s">
        <v>256</v>
      </c>
      <c r="D5043" t="s">
        <v>944</v>
      </c>
      <c r="F5043" t="s">
        <v>2995</v>
      </c>
      <c r="G5043" t="s">
        <v>3630</v>
      </c>
      <c r="H5043" t="s">
        <v>6041</v>
      </c>
      <c r="I5043" t="s">
        <v>8453</v>
      </c>
      <c r="J5043" t="s">
        <v>9065</v>
      </c>
      <c r="K5043">
        <v>10452</v>
      </c>
      <c r="L5043" t="s">
        <v>9094</v>
      </c>
      <c r="M5043" t="s">
        <v>9095</v>
      </c>
      <c r="N5043" t="s">
        <v>9501</v>
      </c>
      <c r="O5043" t="s">
        <v>11135</v>
      </c>
      <c r="P5043" t="s">
        <v>11168</v>
      </c>
      <c r="R5043" t="s">
        <v>11180</v>
      </c>
      <c r="S5043" t="s">
        <v>9094</v>
      </c>
      <c r="T5043" t="s">
        <v>11183</v>
      </c>
      <c r="V5043" t="s">
        <v>1089</v>
      </c>
      <c r="W5043">
        <v>709.39</v>
      </c>
      <c r="X5043" t="s">
        <v>11333</v>
      </c>
      <c r="Y5043" t="s">
        <v>11346</v>
      </c>
      <c r="Z5043" t="s">
        <v>14603</v>
      </c>
      <c r="AB5043" t="s">
        <v>18924</v>
      </c>
      <c r="AC5043">
        <v>62</v>
      </c>
      <c r="AD5043" t="s">
        <v>19566</v>
      </c>
      <c r="AE5043" t="s">
        <v>9144</v>
      </c>
      <c r="AF5043">
        <v>42</v>
      </c>
      <c r="AG5043">
        <v>1</v>
      </c>
      <c r="AH5043">
        <v>0</v>
      </c>
      <c r="AI5043">
        <v>212.12</v>
      </c>
      <c r="AL5043" t="s">
        <v>19614</v>
      </c>
      <c r="AM5043">
        <v>25200</v>
      </c>
      <c r="AS5043">
        <v>0.3</v>
      </c>
      <c r="AT5043" t="s">
        <v>873</v>
      </c>
      <c r="AU5043" t="s">
        <v>20643</v>
      </c>
    </row>
    <row r="5044" spans="1:48">
      <c r="A5044" s="1">
        <f>HYPERLINK("https://lsnyc.legalserver.org/matter/dynamic-profile/view/0821566","16-0821566")</f>
        <v>0</v>
      </c>
      <c r="B5044" t="s">
        <v>103</v>
      </c>
      <c r="C5044" t="s">
        <v>256</v>
      </c>
      <c r="D5044" t="s">
        <v>758</v>
      </c>
      <c r="F5044" t="s">
        <v>2996</v>
      </c>
      <c r="G5044" t="s">
        <v>3646</v>
      </c>
      <c r="H5044" t="s">
        <v>5899</v>
      </c>
      <c r="I5044" t="s">
        <v>8197</v>
      </c>
      <c r="J5044" t="s">
        <v>9065</v>
      </c>
      <c r="K5044">
        <v>10452</v>
      </c>
      <c r="L5044" t="s">
        <v>9094</v>
      </c>
      <c r="M5044" t="s">
        <v>9095</v>
      </c>
      <c r="O5044" t="s">
        <v>11135</v>
      </c>
      <c r="P5044" t="s">
        <v>11168</v>
      </c>
      <c r="R5044" t="s">
        <v>11180</v>
      </c>
      <c r="S5044" t="s">
        <v>9094</v>
      </c>
      <c r="T5044" t="s">
        <v>11183</v>
      </c>
      <c r="V5044" t="s">
        <v>758</v>
      </c>
      <c r="W5044">
        <v>903.17</v>
      </c>
      <c r="X5044" t="s">
        <v>11333</v>
      </c>
      <c r="Y5044" t="s">
        <v>11346</v>
      </c>
      <c r="Z5044" t="s">
        <v>14604</v>
      </c>
      <c r="AB5044" t="s">
        <v>18925</v>
      </c>
      <c r="AC5044">
        <v>63</v>
      </c>
      <c r="AD5044" t="s">
        <v>19566</v>
      </c>
      <c r="AF5044">
        <v>35</v>
      </c>
      <c r="AG5044">
        <v>2</v>
      </c>
      <c r="AH5044">
        <v>0</v>
      </c>
      <c r="AI5044">
        <v>212.23</v>
      </c>
      <c r="AL5044" t="s">
        <v>19614</v>
      </c>
      <c r="AM5044">
        <v>34000</v>
      </c>
      <c r="AS5044">
        <v>0</v>
      </c>
      <c r="AU5044" t="s">
        <v>20643</v>
      </c>
    </row>
    <row r="5045" spans="1:48">
      <c r="A5045" s="1">
        <f>HYPERLINK("https://lsnyc.legalserver.org/matter/dynamic-profile/view/0821569","16-0821569")</f>
        <v>0</v>
      </c>
      <c r="B5045" t="s">
        <v>103</v>
      </c>
      <c r="C5045" t="s">
        <v>256</v>
      </c>
      <c r="D5045" t="s">
        <v>519</v>
      </c>
      <c r="F5045" t="s">
        <v>2996</v>
      </c>
      <c r="G5045" t="s">
        <v>3646</v>
      </c>
      <c r="H5045" t="s">
        <v>5899</v>
      </c>
      <c r="I5045" t="s">
        <v>8197</v>
      </c>
      <c r="J5045" t="s">
        <v>9065</v>
      </c>
      <c r="K5045">
        <v>10452</v>
      </c>
      <c r="L5045" t="s">
        <v>9094</v>
      </c>
      <c r="M5045" t="s">
        <v>9095</v>
      </c>
      <c r="O5045" t="s">
        <v>11135</v>
      </c>
      <c r="P5045" t="s">
        <v>11168</v>
      </c>
      <c r="R5045" t="s">
        <v>11180</v>
      </c>
      <c r="S5045" t="s">
        <v>9094</v>
      </c>
      <c r="T5045" t="s">
        <v>11183</v>
      </c>
      <c r="V5045" t="s">
        <v>519</v>
      </c>
      <c r="W5045">
        <v>903.17</v>
      </c>
      <c r="X5045" t="s">
        <v>11333</v>
      </c>
      <c r="Y5045" t="s">
        <v>11346</v>
      </c>
      <c r="Z5045" t="s">
        <v>14604</v>
      </c>
      <c r="AB5045" t="s">
        <v>18925</v>
      </c>
      <c r="AC5045">
        <v>63</v>
      </c>
      <c r="AD5045" t="s">
        <v>19566</v>
      </c>
      <c r="AF5045">
        <v>35</v>
      </c>
      <c r="AG5045">
        <v>2</v>
      </c>
      <c r="AH5045">
        <v>0</v>
      </c>
      <c r="AI5045">
        <v>212.23</v>
      </c>
      <c r="AL5045" t="s">
        <v>19614</v>
      </c>
      <c r="AM5045">
        <v>34000</v>
      </c>
      <c r="AS5045">
        <v>0</v>
      </c>
      <c r="AU5045" t="s">
        <v>20643</v>
      </c>
    </row>
    <row r="5046" spans="1:48">
      <c r="A5046" s="1">
        <f>HYPERLINK("https://lsnyc.legalserver.org/matter/dynamic-profile/view/1911053","19-1911053")</f>
        <v>0</v>
      </c>
      <c r="B5046" t="s">
        <v>66</v>
      </c>
      <c r="C5046" t="s">
        <v>256</v>
      </c>
      <c r="D5046" t="s">
        <v>648</v>
      </c>
      <c r="F5046" t="s">
        <v>2997</v>
      </c>
      <c r="G5046" t="s">
        <v>1362</v>
      </c>
      <c r="H5046" t="s">
        <v>7880</v>
      </c>
      <c r="I5046" t="s">
        <v>8130</v>
      </c>
      <c r="J5046" t="s">
        <v>9059</v>
      </c>
      <c r="K5046">
        <v>11226</v>
      </c>
      <c r="L5046" t="s">
        <v>9095</v>
      </c>
      <c r="M5046" t="s">
        <v>9095</v>
      </c>
      <c r="R5046" t="s">
        <v>11180</v>
      </c>
      <c r="T5046" t="s">
        <v>11183</v>
      </c>
      <c r="W5046">
        <v>0</v>
      </c>
      <c r="X5046" t="s">
        <v>11332</v>
      </c>
      <c r="Z5046" t="s">
        <v>14605</v>
      </c>
      <c r="AC5046">
        <v>0</v>
      </c>
      <c r="AF5046">
        <v>0</v>
      </c>
      <c r="AG5046">
        <v>6</v>
      </c>
      <c r="AH5046">
        <v>1</v>
      </c>
      <c r="AI5046">
        <v>212.25</v>
      </c>
      <c r="AL5046" t="s">
        <v>19614</v>
      </c>
      <c r="AM5046">
        <v>82800</v>
      </c>
      <c r="AS5046">
        <v>1.8</v>
      </c>
      <c r="AT5046" t="s">
        <v>648</v>
      </c>
      <c r="AU5046" t="s">
        <v>67</v>
      </c>
    </row>
    <row r="5047" spans="1:48">
      <c r="A5047" s="1">
        <f>HYPERLINK("https://lsnyc.legalserver.org/matter/dynamic-profile/view/1876570","18-1876570")</f>
        <v>0</v>
      </c>
      <c r="B5047" t="s">
        <v>165</v>
      </c>
      <c r="C5047" t="s">
        <v>256</v>
      </c>
      <c r="D5047" t="s">
        <v>593</v>
      </c>
      <c r="F5047" t="s">
        <v>1147</v>
      </c>
      <c r="G5047" t="s">
        <v>3407</v>
      </c>
      <c r="H5047" t="s">
        <v>6934</v>
      </c>
      <c r="I5047" t="s">
        <v>8264</v>
      </c>
      <c r="J5047" t="s">
        <v>9059</v>
      </c>
      <c r="K5047">
        <v>11216</v>
      </c>
      <c r="L5047" t="s">
        <v>9094</v>
      </c>
      <c r="M5047" t="s">
        <v>9094</v>
      </c>
      <c r="N5047" t="s">
        <v>10050</v>
      </c>
      <c r="O5047" t="s">
        <v>11132</v>
      </c>
      <c r="P5047" t="s">
        <v>11165</v>
      </c>
      <c r="R5047" t="s">
        <v>11180</v>
      </c>
      <c r="S5047" t="s">
        <v>9094</v>
      </c>
      <c r="T5047" t="s">
        <v>11183</v>
      </c>
      <c r="V5047" t="s">
        <v>516</v>
      </c>
      <c r="W5047">
        <v>2300</v>
      </c>
      <c r="X5047" t="s">
        <v>11332</v>
      </c>
      <c r="Y5047" t="s">
        <v>11339</v>
      </c>
      <c r="Z5047" t="s">
        <v>14606</v>
      </c>
      <c r="AB5047" t="s">
        <v>18926</v>
      </c>
      <c r="AC5047">
        <v>8</v>
      </c>
      <c r="AD5047" t="s">
        <v>19566</v>
      </c>
      <c r="AE5047" t="s">
        <v>9144</v>
      </c>
      <c r="AF5047">
        <v>2</v>
      </c>
      <c r="AG5047">
        <v>2</v>
      </c>
      <c r="AH5047">
        <v>0</v>
      </c>
      <c r="AI5047">
        <v>212.64</v>
      </c>
      <c r="AJ5047" t="s">
        <v>440</v>
      </c>
      <c r="AK5047" t="s">
        <v>19612</v>
      </c>
      <c r="AL5047" t="s">
        <v>19614</v>
      </c>
      <c r="AM5047">
        <v>35000</v>
      </c>
      <c r="AN5047" t="s">
        <v>19720</v>
      </c>
      <c r="AS5047">
        <v>0</v>
      </c>
      <c r="AU5047" t="s">
        <v>95</v>
      </c>
    </row>
    <row r="5048" spans="1:48">
      <c r="A5048" s="1">
        <f>HYPERLINK("https://lsnyc.legalserver.org/matter/dynamic-profile/view/1876567","18-1876567")</f>
        <v>0</v>
      </c>
      <c r="B5048" t="s">
        <v>165</v>
      </c>
      <c r="C5048" t="s">
        <v>256</v>
      </c>
      <c r="D5048" t="s">
        <v>593</v>
      </c>
      <c r="F5048" t="s">
        <v>1147</v>
      </c>
      <c r="G5048" t="s">
        <v>3407</v>
      </c>
      <c r="H5048" t="s">
        <v>6934</v>
      </c>
      <c r="I5048" t="s">
        <v>8264</v>
      </c>
      <c r="J5048" t="s">
        <v>9059</v>
      </c>
      <c r="K5048">
        <v>11216</v>
      </c>
      <c r="L5048" t="s">
        <v>9094</v>
      </c>
      <c r="M5048" t="s">
        <v>9094</v>
      </c>
      <c r="N5048" t="s">
        <v>9121</v>
      </c>
      <c r="O5048" t="s">
        <v>11136</v>
      </c>
      <c r="P5048" t="s">
        <v>11167</v>
      </c>
      <c r="R5048" t="s">
        <v>11180</v>
      </c>
      <c r="S5048" t="s">
        <v>9094</v>
      </c>
      <c r="T5048" t="s">
        <v>11183</v>
      </c>
      <c r="V5048" t="s">
        <v>940</v>
      </c>
      <c r="W5048">
        <v>2300</v>
      </c>
      <c r="X5048" t="s">
        <v>11332</v>
      </c>
      <c r="Y5048" t="s">
        <v>11339</v>
      </c>
      <c r="Z5048" t="s">
        <v>14606</v>
      </c>
      <c r="AB5048" t="s">
        <v>18926</v>
      </c>
      <c r="AC5048">
        <v>8</v>
      </c>
      <c r="AD5048" t="s">
        <v>19566</v>
      </c>
      <c r="AE5048" t="s">
        <v>9144</v>
      </c>
      <c r="AF5048">
        <v>2</v>
      </c>
      <c r="AG5048">
        <v>2</v>
      </c>
      <c r="AH5048">
        <v>0</v>
      </c>
      <c r="AI5048">
        <v>212.64</v>
      </c>
      <c r="AJ5048" t="s">
        <v>440</v>
      </c>
      <c r="AK5048" t="s">
        <v>19612</v>
      </c>
      <c r="AL5048" t="s">
        <v>19614</v>
      </c>
      <c r="AM5048">
        <v>35000</v>
      </c>
      <c r="AN5048" t="s">
        <v>19720</v>
      </c>
      <c r="AS5048">
        <v>0</v>
      </c>
      <c r="AU5048" t="s">
        <v>95</v>
      </c>
    </row>
    <row r="5049" spans="1:48">
      <c r="A5049" s="1">
        <f>HYPERLINK("https://lsnyc.legalserver.org/matter/dynamic-profile/view/1871573","18-1871573")</f>
        <v>0</v>
      </c>
      <c r="B5049" t="s">
        <v>78</v>
      </c>
      <c r="C5049" t="s">
        <v>256</v>
      </c>
      <c r="D5049" t="s">
        <v>389</v>
      </c>
      <c r="F5049" t="s">
        <v>1276</v>
      </c>
      <c r="G5049" t="s">
        <v>5274</v>
      </c>
      <c r="H5049" t="s">
        <v>5809</v>
      </c>
      <c r="I5049" t="s">
        <v>8171</v>
      </c>
      <c r="J5049" t="s">
        <v>9059</v>
      </c>
      <c r="K5049">
        <v>11212</v>
      </c>
      <c r="L5049" t="s">
        <v>9094</v>
      </c>
      <c r="M5049" t="s">
        <v>9095</v>
      </c>
      <c r="O5049" t="s">
        <v>9121</v>
      </c>
      <c r="P5049" t="s">
        <v>11167</v>
      </c>
      <c r="R5049" t="s">
        <v>11180</v>
      </c>
      <c r="S5049" t="s">
        <v>9094</v>
      </c>
      <c r="T5049" t="s">
        <v>11183</v>
      </c>
      <c r="V5049" t="s">
        <v>11214</v>
      </c>
      <c r="W5049">
        <v>1201</v>
      </c>
      <c r="X5049" t="s">
        <v>11332</v>
      </c>
      <c r="Y5049" t="s">
        <v>11157</v>
      </c>
      <c r="Z5049" t="s">
        <v>14607</v>
      </c>
      <c r="AB5049" t="s">
        <v>18927</v>
      </c>
      <c r="AC5049">
        <v>32</v>
      </c>
      <c r="AD5049" t="s">
        <v>19566</v>
      </c>
      <c r="AF5049">
        <v>10</v>
      </c>
      <c r="AG5049">
        <v>2</v>
      </c>
      <c r="AH5049">
        <v>0</v>
      </c>
      <c r="AI5049">
        <v>212.64</v>
      </c>
      <c r="AL5049" t="s">
        <v>19614</v>
      </c>
      <c r="AM5049">
        <v>35000</v>
      </c>
      <c r="AS5049">
        <v>0</v>
      </c>
      <c r="AU5049" t="s">
        <v>20637</v>
      </c>
    </row>
    <row r="5050" spans="1:48">
      <c r="A5050" s="1">
        <f>HYPERLINK("https://lsnyc.legalserver.org/matter/dynamic-profile/view/1870548","18-1870548")</f>
        <v>0</v>
      </c>
      <c r="B5050" t="s">
        <v>78</v>
      </c>
      <c r="C5050" t="s">
        <v>256</v>
      </c>
      <c r="D5050" t="s">
        <v>400</v>
      </c>
      <c r="F5050" t="s">
        <v>1276</v>
      </c>
      <c r="G5050" t="s">
        <v>5274</v>
      </c>
      <c r="H5050" t="s">
        <v>5809</v>
      </c>
      <c r="I5050" t="s">
        <v>8171</v>
      </c>
      <c r="J5050" t="s">
        <v>9059</v>
      </c>
      <c r="K5050">
        <v>11212</v>
      </c>
      <c r="L5050" t="s">
        <v>9094</v>
      </c>
      <c r="M5050" t="s">
        <v>9095</v>
      </c>
      <c r="P5050" t="s">
        <v>11168</v>
      </c>
      <c r="R5050" t="s">
        <v>11180</v>
      </c>
      <c r="S5050" t="s">
        <v>9094</v>
      </c>
      <c r="T5050" t="s">
        <v>11183</v>
      </c>
      <c r="V5050" t="s">
        <v>11313</v>
      </c>
      <c r="W5050">
        <v>1201</v>
      </c>
      <c r="X5050" t="s">
        <v>11332</v>
      </c>
      <c r="Y5050" t="s">
        <v>11340</v>
      </c>
      <c r="Z5050" t="s">
        <v>14607</v>
      </c>
      <c r="AB5050" t="s">
        <v>18927</v>
      </c>
      <c r="AC5050">
        <v>32</v>
      </c>
      <c r="AD5050" t="s">
        <v>19566</v>
      </c>
      <c r="AE5050" t="s">
        <v>9144</v>
      </c>
      <c r="AF5050">
        <v>10</v>
      </c>
      <c r="AG5050">
        <v>2</v>
      </c>
      <c r="AH5050">
        <v>0</v>
      </c>
      <c r="AI5050">
        <v>212.64</v>
      </c>
      <c r="AL5050" t="s">
        <v>19614</v>
      </c>
      <c r="AM5050">
        <v>35000</v>
      </c>
      <c r="AS5050">
        <v>0</v>
      </c>
      <c r="AU5050" t="s">
        <v>95</v>
      </c>
    </row>
    <row r="5051" spans="1:48">
      <c r="A5051" s="1">
        <f>HYPERLINK("https://lsnyc.legalserver.org/matter/dynamic-profile/view/1883384","18-1883384")</f>
        <v>0</v>
      </c>
      <c r="B5051" t="s">
        <v>252</v>
      </c>
      <c r="C5051" t="s">
        <v>257</v>
      </c>
      <c r="D5051" t="s">
        <v>583</v>
      </c>
      <c r="E5051" t="s">
        <v>551</v>
      </c>
      <c r="F5051" t="s">
        <v>1201</v>
      </c>
      <c r="G5051" t="s">
        <v>5275</v>
      </c>
      <c r="H5051" t="s">
        <v>7881</v>
      </c>
      <c r="I5051" t="s">
        <v>8209</v>
      </c>
      <c r="J5051" t="s">
        <v>9059</v>
      </c>
      <c r="K5051">
        <v>11210</v>
      </c>
      <c r="L5051" t="s">
        <v>9095</v>
      </c>
      <c r="M5051" t="s">
        <v>9095</v>
      </c>
      <c r="Q5051" t="s">
        <v>11172</v>
      </c>
      <c r="R5051" t="s">
        <v>11180</v>
      </c>
      <c r="T5051" t="s">
        <v>11193</v>
      </c>
      <c r="W5051">
        <v>0</v>
      </c>
      <c r="X5051" t="s">
        <v>11332</v>
      </c>
      <c r="Z5051" t="s">
        <v>11833</v>
      </c>
      <c r="AB5051" t="s">
        <v>18928</v>
      </c>
      <c r="AC5051">
        <v>0</v>
      </c>
      <c r="AF5051">
        <v>0</v>
      </c>
      <c r="AG5051">
        <v>1</v>
      </c>
      <c r="AH5051">
        <v>1</v>
      </c>
      <c r="AI5051">
        <v>212.64</v>
      </c>
      <c r="AL5051" t="s">
        <v>19614</v>
      </c>
      <c r="AM5051">
        <v>35000</v>
      </c>
      <c r="AS5051">
        <v>0.75</v>
      </c>
      <c r="AT5051" t="s">
        <v>551</v>
      </c>
      <c r="AU5051" t="s">
        <v>20635</v>
      </c>
    </row>
    <row r="5052" spans="1:48">
      <c r="A5052" s="1">
        <f>HYPERLINK("https://lsnyc.legalserver.org/matter/dynamic-profile/view/1885992","18-1885992")</f>
        <v>0</v>
      </c>
      <c r="B5052" t="s">
        <v>113</v>
      </c>
      <c r="C5052" t="s">
        <v>257</v>
      </c>
      <c r="D5052" t="s">
        <v>622</v>
      </c>
      <c r="E5052" t="s">
        <v>321</v>
      </c>
      <c r="F5052" t="s">
        <v>1471</v>
      </c>
      <c r="G5052" t="s">
        <v>5258</v>
      </c>
      <c r="H5052" t="s">
        <v>5864</v>
      </c>
      <c r="I5052" t="s">
        <v>8907</v>
      </c>
      <c r="J5052" t="s">
        <v>9065</v>
      </c>
      <c r="K5052">
        <v>10460</v>
      </c>
      <c r="L5052" t="s">
        <v>9094</v>
      </c>
      <c r="M5052" t="s">
        <v>9094</v>
      </c>
      <c r="N5052" t="s">
        <v>9222</v>
      </c>
      <c r="O5052" t="s">
        <v>11130</v>
      </c>
      <c r="P5052" t="s">
        <v>11165</v>
      </c>
      <c r="Q5052" t="s">
        <v>11174</v>
      </c>
      <c r="R5052" t="s">
        <v>11180</v>
      </c>
      <c r="S5052" t="s">
        <v>9094</v>
      </c>
      <c r="T5052" t="s">
        <v>11183</v>
      </c>
      <c r="V5052" t="s">
        <v>512</v>
      </c>
      <c r="W5052">
        <v>1960</v>
      </c>
      <c r="X5052" t="s">
        <v>11333</v>
      </c>
      <c r="Y5052" t="s">
        <v>11346</v>
      </c>
      <c r="Z5052" t="s">
        <v>14573</v>
      </c>
      <c r="AB5052" t="s">
        <v>18895</v>
      </c>
      <c r="AC5052">
        <v>169</v>
      </c>
      <c r="AD5052" t="s">
        <v>19567</v>
      </c>
      <c r="AE5052" t="s">
        <v>19580</v>
      </c>
      <c r="AF5052">
        <v>11</v>
      </c>
      <c r="AG5052">
        <v>1</v>
      </c>
      <c r="AH5052">
        <v>1</v>
      </c>
      <c r="AI5052">
        <v>212.64</v>
      </c>
      <c r="AL5052" t="s">
        <v>19614</v>
      </c>
      <c r="AM5052">
        <v>35000</v>
      </c>
      <c r="AS5052">
        <v>0.25</v>
      </c>
      <c r="AT5052" t="s">
        <v>321</v>
      </c>
      <c r="AU5052" t="s">
        <v>158</v>
      </c>
    </row>
    <row r="5053" spans="1:48">
      <c r="A5053" s="1">
        <f>HYPERLINK("https://lsnyc.legalserver.org/matter/dynamic-profile/view/1886012","18-1886012")</f>
        <v>0</v>
      </c>
      <c r="B5053" t="s">
        <v>113</v>
      </c>
      <c r="C5053" t="s">
        <v>257</v>
      </c>
      <c r="D5053" t="s">
        <v>357</v>
      </c>
      <c r="E5053" t="s">
        <v>321</v>
      </c>
      <c r="F5053" t="s">
        <v>2981</v>
      </c>
      <c r="G5053" t="s">
        <v>5259</v>
      </c>
      <c r="H5053" t="s">
        <v>5864</v>
      </c>
      <c r="I5053" t="s">
        <v>8908</v>
      </c>
      <c r="J5053" t="s">
        <v>9065</v>
      </c>
      <c r="K5053">
        <v>10460</v>
      </c>
      <c r="L5053" t="s">
        <v>9094</v>
      </c>
      <c r="M5053" t="s">
        <v>9094</v>
      </c>
      <c r="N5053" t="s">
        <v>9222</v>
      </c>
      <c r="O5053" t="s">
        <v>11130</v>
      </c>
      <c r="P5053" t="s">
        <v>11165</v>
      </c>
      <c r="Q5053" t="s">
        <v>11174</v>
      </c>
      <c r="R5053" t="s">
        <v>11180</v>
      </c>
      <c r="S5053" t="s">
        <v>9094</v>
      </c>
      <c r="T5053" t="s">
        <v>11183</v>
      </c>
      <c r="V5053" t="s">
        <v>512</v>
      </c>
      <c r="W5053">
        <v>1169</v>
      </c>
      <c r="X5053" t="s">
        <v>11333</v>
      </c>
      <c r="Y5053" t="s">
        <v>11346</v>
      </c>
      <c r="Z5053" t="s">
        <v>14574</v>
      </c>
      <c r="AC5053">
        <v>169</v>
      </c>
      <c r="AD5053" t="s">
        <v>19566</v>
      </c>
      <c r="AE5053" t="s">
        <v>19580</v>
      </c>
      <c r="AF5053">
        <v>0</v>
      </c>
      <c r="AG5053">
        <v>2</v>
      </c>
      <c r="AH5053">
        <v>0</v>
      </c>
      <c r="AI5053">
        <v>212.64</v>
      </c>
      <c r="AL5053" t="s">
        <v>19614</v>
      </c>
      <c r="AM5053">
        <v>35000</v>
      </c>
      <c r="AS5053">
        <v>0.25</v>
      </c>
      <c r="AT5053" t="s">
        <v>321</v>
      </c>
      <c r="AU5053" t="s">
        <v>158</v>
      </c>
    </row>
    <row r="5054" spans="1:48">
      <c r="A5054" s="1">
        <f>HYPERLINK("https://lsnyc.legalserver.org/matter/dynamic-profile/view/1876352","18-1876352")</f>
        <v>0</v>
      </c>
      <c r="B5054" t="s">
        <v>103</v>
      </c>
      <c r="C5054" t="s">
        <v>256</v>
      </c>
      <c r="D5054" t="s">
        <v>479</v>
      </c>
      <c r="F5054" t="s">
        <v>2998</v>
      </c>
      <c r="G5054" t="s">
        <v>5276</v>
      </c>
      <c r="H5054" t="s">
        <v>6413</v>
      </c>
      <c r="I5054" t="s">
        <v>8217</v>
      </c>
      <c r="J5054" t="s">
        <v>9065</v>
      </c>
      <c r="K5054">
        <v>10456</v>
      </c>
      <c r="L5054" t="s">
        <v>9094</v>
      </c>
      <c r="M5054" t="s">
        <v>9094</v>
      </c>
      <c r="N5054" t="s">
        <v>9648</v>
      </c>
      <c r="O5054" t="s">
        <v>11134</v>
      </c>
      <c r="P5054" t="s">
        <v>11168</v>
      </c>
      <c r="R5054" t="s">
        <v>11180</v>
      </c>
      <c r="S5054" t="s">
        <v>9094</v>
      </c>
      <c r="T5054" t="s">
        <v>11183</v>
      </c>
      <c r="V5054" t="s">
        <v>945</v>
      </c>
      <c r="W5054">
        <v>1245</v>
      </c>
      <c r="X5054" t="s">
        <v>11333</v>
      </c>
      <c r="Y5054" t="s">
        <v>11346</v>
      </c>
      <c r="Z5054" t="s">
        <v>13922</v>
      </c>
      <c r="AB5054" t="s">
        <v>18929</v>
      </c>
      <c r="AC5054">
        <v>61</v>
      </c>
      <c r="AD5054" t="s">
        <v>19566</v>
      </c>
      <c r="AE5054" t="s">
        <v>19581</v>
      </c>
      <c r="AF5054">
        <v>21</v>
      </c>
      <c r="AG5054">
        <v>1</v>
      </c>
      <c r="AH5054">
        <v>1</v>
      </c>
      <c r="AI5054">
        <v>212.64</v>
      </c>
      <c r="AL5054" t="s">
        <v>19614</v>
      </c>
      <c r="AM5054">
        <v>35000</v>
      </c>
      <c r="AS5054">
        <v>0</v>
      </c>
      <c r="AU5054" t="s">
        <v>163</v>
      </c>
    </row>
    <row r="5055" spans="1:48">
      <c r="A5055" s="1">
        <f>HYPERLINK("https://lsnyc.legalserver.org/matter/dynamic-profile/view/1880627","18-1880627")</f>
        <v>0</v>
      </c>
      <c r="B5055" t="s">
        <v>103</v>
      </c>
      <c r="C5055" t="s">
        <v>256</v>
      </c>
      <c r="D5055" t="s">
        <v>477</v>
      </c>
      <c r="F5055" t="s">
        <v>2998</v>
      </c>
      <c r="G5055" t="s">
        <v>5276</v>
      </c>
      <c r="H5055" t="s">
        <v>6413</v>
      </c>
      <c r="I5055" t="s">
        <v>8217</v>
      </c>
      <c r="J5055" t="s">
        <v>9065</v>
      </c>
      <c r="K5055">
        <v>10456</v>
      </c>
      <c r="L5055" t="s">
        <v>9094</v>
      </c>
      <c r="M5055" t="s">
        <v>9094</v>
      </c>
      <c r="N5055" t="s">
        <v>9732</v>
      </c>
      <c r="O5055" t="s">
        <v>11134</v>
      </c>
      <c r="P5055" t="s">
        <v>11168</v>
      </c>
      <c r="R5055" t="s">
        <v>11180</v>
      </c>
      <c r="S5055" t="s">
        <v>9094</v>
      </c>
      <c r="T5055" t="s">
        <v>11183</v>
      </c>
      <c r="V5055" t="s">
        <v>299</v>
      </c>
      <c r="W5055">
        <v>1245</v>
      </c>
      <c r="X5055" t="s">
        <v>11333</v>
      </c>
      <c r="Y5055" t="s">
        <v>11346</v>
      </c>
      <c r="Z5055" t="s">
        <v>13922</v>
      </c>
      <c r="AB5055" t="s">
        <v>18929</v>
      </c>
      <c r="AC5055">
        <v>61</v>
      </c>
      <c r="AD5055" t="s">
        <v>19566</v>
      </c>
      <c r="AE5055" t="s">
        <v>19581</v>
      </c>
      <c r="AF5055">
        <v>21</v>
      </c>
      <c r="AG5055">
        <v>1</v>
      </c>
      <c r="AH5055">
        <v>1</v>
      </c>
      <c r="AI5055">
        <v>212.64</v>
      </c>
      <c r="AL5055" t="s">
        <v>19614</v>
      </c>
      <c r="AM5055">
        <v>35000</v>
      </c>
      <c r="AS5055">
        <v>0</v>
      </c>
      <c r="AU5055" t="s">
        <v>20642</v>
      </c>
    </row>
    <row r="5056" spans="1:48">
      <c r="A5056" s="1">
        <f>HYPERLINK("https://lsnyc.legalserver.org/matter/dynamic-profile/view/1882345","18-1882345")</f>
        <v>0</v>
      </c>
      <c r="B5056" t="s">
        <v>113</v>
      </c>
      <c r="C5056" t="s">
        <v>256</v>
      </c>
      <c r="D5056" t="s">
        <v>697</v>
      </c>
      <c r="F5056" t="s">
        <v>1173</v>
      </c>
      <c r="G5056" t="s">
        <v>3497</v>
      </c>
      <c r="H5056" t="s">
        <v>5892</v>
      </c>
      <c r="I5056" t="s">
        <v>8302</v>
      </c>
      <c r="J5056" t="s">
        <v>9065</v>
      </c>
      <c r="K5056">
        <v>10453</v>
      </c>
      <c r="L5056" t="s">
        <v>9094</v>
      </c>
      <c r="M5056" t="s">
        <v>9094</v>
      </c>
      <c r="O5056" t="s">
        <v>9121</v>
      </c>
      <c r="P5056" t="s">
        <v>11167</v>
      </c>
      <c r="R5056" t="s">
        <v>11180</v>
      </c>
      <c r="T5056" t="s">
        <v>11183</v>
      </c>
      <c r="V5056" t="s">
        <v>11218</v>
      </c>
      <c r="W5056">
        <v>1400</v>
      </c>
      <c r="X5056" t="s">
        <v>11333</v>
      </c>
      <c r="Y5056" t="s">
        <v>11346</v>
      </c>
      <c r="Z5056" t="s">
        <v>14608</v>
      </c>
      <c r="AC5056">
        <v>99</v>
      </c>
      <c r="AD5056" t="s">
        <v>19566</v>
      </c>
      <c r="AE5056" t="s">
        <v>19580</v>
      </c>
      <c r="AF5056">
        <v>0</v>
      </c>
      <c r="AG5056">
        <v>1</v>
      </c>
      <c r="AH5056">
        <v>1</v>
      </c>
      <c r="AI5056">
        <v>212.64</v>
      </c>
      <c r="AL5056" t="s">
        <v>19614</v>
      </c>
      <c r="AM5056">
        <v>35000</v>
      </c>
      <c r="AN5056" t="s">
        <v>19802</v>
      </c>
      <c r="AS5056">
        <v>0</v>
      </c>
      <c r="AU5056" t="s">
        <v>163</v>
      </c>
      <c r="AV5056" t="s">
        <v>20733</v>
      </c>
    </row>
    <row r="5057" spans="1:48">
      <c r="A5057" s="1">
        <f>HYPERLINK("https://lsnyc.legalserver.org/matter/dynamic-profile/view/1887278","19-1887278")</f>
        <v>0</v>
      </c>
      <c r="B5057" t="s">
        <v>113</v>
      </c>
      <c r="C5057" t="s">
        <v>257</v>
      </c>
      <c r="D5057" t="s">
        <v>344</v>
      </c>
      <c r="E5057" t="s">
        <v>481</v>
      </c>
      <c r="F5057" t="s">
        <v>1173</v>
      </c>
      <c r="G5057" t="s">
        <v>3497</v>
      </c>
      <c r="H5057" t="s">
        <v>5892</v>
      </c>
      <c r="I5057" t="s">
        <v>8302</v>
      </c>
      <c r="J5057" t="s">
        <v>9065</v>
      </c>
      <c r="K5057">
        <v>10453</v>
      </c>
      <c r="L5057" t="s">
        <v>9094</v>
      </c>
      <c r="M5057" t="s">
        <v>9095</v>
      </c>
      <c r="O5057" t="s">
        <v>9121</v>
      </c>
      <c r="P5057" t="s">
        <v>11166</v>
      </c>
      <c r="Q5057" t="s">
        <v>11173</v>
      </c>
      <c r="R5057" t="s">
        <v>11180</v>
      </c>
      <c r="S5057" t="s">
        <v>9094</v>
      </c>
      <c r="T5057" t="s">
        <v>11183</v>
      </c>
      <c r="V5057" t="s">
        <v>441</v>
      </c>
      <c r="W5057">
        <v>1400</v>
      </c>
      <c r="X5057" t="s">
        <v>11333</v>
      </c>
      <c r="Y5057" t="s">
        <v>11346</v>
      </c>
      <c r="Z5057" t="s">
        <v>14608</v>
      </c>
      <c r="AC5057">
        <v>99</v>
      </c>
      <c r="AD5057" t="s">
        <v>15441</v>
      </c>
      <c r="AE5057" t="s">
        <v>19580</v>
      </c>
      <c r="AF5057">
        <v>0</v>
      </c>
      <c r="AG5057">
        <v>1</v>
      </c>
      <c r="AH5057">
        <v>1</v>
      </c>
      <c r="AI5057">
        <v>212.64</v>
      </c>
      <c r="AL5057" t="s">
        <v>19614</v>
      </c>
      <c r="AM5057">
        <v>35000</v>
      </c>
      <c r="AN5057" t="s">
        <v>20075</v>
      </c>
      <c r="AS5057">
        <v>0.5</v>
      </c>
      <c r="AT5057" t="s">
        <v>481</v>
      </c>
      <c r="AU5057" t="s">
        <v>20647</v>
      </c>
      <c r="AV5057" t="s">
        <v>20733</v>
      </c>
    </row>
    <row r="5058" spans="1:48">
      <c r="A5058" s="1">
        <f>HYPERLINK("https://lsnyc.legalserver.org/matter/dynamic-profile/view/1898376","19-1898376")</f>
        <v>0</v>
      </c>
      <c r="B5058" t="s">
        <v>70</v>
      </c>
      <c r="C5058" t="s">
        <v>256</v>
      </c>
      <c r="D5058" t="s">
        <v>299</v>
      </c>
      <c r="F5058" t="s">
        <v>1255</v>
      </c>
      <c r="G5058" t="s">
        <v>5277</v>
      </c>
      <c r="H5058" t="s">
        <v>5748</v>
      </c>
      <c r="I5058" t="s">
        <v>8913</v>
      </c>
      <c r="J5058" t="s">
        <v>9059</v>
      </c>
      <c r="K5058">
        <v>11233</v>
      </c>
      <c r="L5058" t="s">
        <v>9094</v>
      </c>
      <c r="M5058" t="s">
        <v>9096</v>
      </c>
      <c r="N5058" t="s">
        <v>9145</v>
      </c>
      <c r="O5058" t="s">
        <v>11134</v>
      </c>
      <c r="P5058" t="s">
        <v>11168</v>
      </c>
      <c r="R5058" t="s">
        <v>11180</v>
      </c>
      <c r="S5058" t="s">
        <v>9094</v>
      </c>
      <c r="T5058" t="s">
        <v>11183</v>
      </c>
      <c r="U5058" t="s">
        <v>11201</v>
      </c>
      <c r="V5058" t="s">
        <v>482</v>
      </c>
      <c r="W5058">
        <v>1082.69</v>
      </c>
      <c r="X5058" t="s">
        <v>11332</v>
      </c>
      <c r="Y5058" t="s">
        <v>11157</v>
      </c>
      <c r="Z5058" t="s">
        <v>14609</v>
      </c>
      <c r="AC5058">
        <v>359</v>
      </c>
      <c r="AD5058" t="s">
        <v>19566</v>
      </c>
      <c r="AF5058">
        <v>39</v>
      </c>
      <c r="AG5058">
        <v>2</v>
      </c>
      <c r="AH5058">
        <v>0</v>
      </c>
      <c r="AI5058">
        <v>212.89</v>
      </c>
      <c r="AL5058" t="s">
        <v>19614</v>
      </c>
      <c r="AM5058">
        <v>36000</v>
      </c>
      <c r="AN5058" t="s">
        <v>19642</v>
      </c>
      <c r="AS5058">
        <v>0</v>
      </c>
      <c r="AU5058" t="s">
        <v>79</v>
      </c>
    </row>
    <row r="5059" spans="1:48">
      <c r="A5059" s="1">
        <f>HYPERLINK("https://lsnyc.legalserver.org/matter/dynamic-profile/view/1898379","19-1898379")</f>
        <v>0</v>
      </c>
      <c r="B5059" t="s">
        <v>70</v>
      </c>
      <c r="C5059" t="s">
        <v>256</v>
      </c>
      <c r="D5059" t="s">
        <v>299</v>
      </c>
      <c r="F5059" t="s">
        <v>1255</v>
      </c>
      <c r="G5059" t="s">
        <v>5277</v>
      </c>
      <c r="H5059" t="s">
        <v>5748</v>
      </c>
      <c r="I5059" t="s">
        <v>8913</v>
      </c>
      <c r="J5059" t="s">
        <v>9059</v>
      </c>
      <c r="K5059">
        <v>11233</v>
      </c>
      <c r="L5059" t="s">
        <v>9094</v>
      </c>
      <c r="M5059" t="s">
        <v>9096</v>
      </c>
      <c r="O5059" t="s">
        <v>11137</v>
      </c>
      <c r="P5059" t="s">
        <v>11167</v>
      </c>
      <c r="R5059" t="s">
        <v>11180</v>
      </c>
      <c r="S5059" t="s">
        <v>9094</v>
      </c>
      <c r="T5059" t="s">
        <v>11183</v>
      </c>
      <c r="U5059" t="s">
        <v>11201</v>
      </c>
      <c r="V5059" t="s">
        <v>749</v>
      </c>
      <c r="W5059">
        <v>1082.69</v>
      </c>
      <c r="X5059" t="s">
        <v>11332</v>
      </c>
      <c r="Y5059" t="s">
        <v>11157</v>
      </c>
      <c r="Z5059" t="s">
        <v>14609</v>
      </c>
      <c r="AC5059">
        <v>359</v>
      </c>
      <c r="AD5059" t="s">
        <v>19566</v>
      </c>
      <c r="AF5059">
        <v>39</v>
      </c>
      <c r="AG5059">
        <v>2</v>
      </c>
      <c r="AH5059">
        <v>0</v>
      </c>
      <c r="AI5059">
        <v>212.89</v>
      </c>
      <c r="AL5059" t="s">
        <v>19614</v>
      </c>
      <c r="AM5059">
        <v>36000</v>
      </c>
      <c r="AN5059" t="s">
        <v>20076</v>
      </c>
      <c r="AS5059">
        <v>0</v>
      </c>
      <c r="AU5059" t="s">
        <v>79</v>
      </c>
    </row>
    <row r="5060" spans="1:48">
      <c r="A5060" s="1">
        <f>HYPERLINK("https://lsnyc.legalserver.org/matter/dynamic-profile/view/1889010","19-1889010")</f>
        <v>0</v>
      </c>
      <c r="B5060" t="s">
        <v>65</v>
      </c>
      <c r="C5060" t="s">
        <v>256</v>
      </c>
      <c r="D5060" t="s">
        <v>503</v>
      </c>
      <c r="F5060" t="s">
        <v>2999</v>
      </c>
      <c r="G5060" t="s">
        <v>5278</v>
      </c>
      <c r="H5060" t="s">
        <v>5774</v>
      </c>
      <c r="I5060" t="s">
        <v>8169</v>
      </c>
      <c r="J5060" t="s">
        <v>9059</v>
      </c>
      <c r="K5060">
        <v>11226</v>
      </c>
      <c r="L5060" t="s">
        <v>9096</v>
      </c>
      <c r="M5060" t="s">
        <v>9094</v>
      </c>
      <c r="O5060" t="s">
        <v>11134</v>
      </c>
      <c r="P5060" t="s">
        <v>11168</v>
      </c>
      <c r="R5060" t="s">
        <v>11180</v>
      </c>
      <c r="S5060" t="s">
        <v>9094</v>
      </c>
      <c r="T5060" t="s">
        <v>11183</v>
      </c>
      <c r="U5060" t="s">
        <v>11201</v>
      </c>
      <c r="V5060" t="s">
        <v>11289</v>
      </c>
      <c r="W5060">
        <v>1107</v>
      </c>
      <c r="X5060" t="s">
        <v>11332</v>
      </c>
      <c r="Z5060" t="s">
        <v>14610</v>
      </c>
      <c r="AC5060">
        <v>0</v>
      </c>
      <c r="AF5060">
        <v>13</v>
      </c>
      <c r="AG5060">
        <v>1</v>
      </c>
      <c r="AH5060">
        <v>1</v>
      </c>
      <c r="AI5060">
        <v>212.89</v>
      </c>
      <c r="AL5060" t="s">
        <v>19614</v>
      </c>
      <c r="AM5060">
        <v>36000</v>
      </c>
      <c r="AS5060">
        <v>0.3</v>
      </c>
      <c r="AT5060" t="s">
        <v>288</v>
      </c>
      <c r="AU5060" t="s">
        <v>215</v>
      </c>
    </row>
    <row r="5061" spans="1:48">
      <c r="A5061" s="1">
        <f>HYPERLINK("https://lsnyc.legalserver.org/matter/dynamic-profile/view/1889256","19-1889256")</f>
        <v>0</v>
      </c>
      <c r="B5061" t="s">
        <v>66</v>
      </c>
      <c r="C5061" t="s">
        <v>256</v>
      </c>
      <c r="D5061" t="s">
        <v>602</v>
      </c>
      <c r="F5061" t="s">
        <v>2999</v>
      </c>
      <c r="G5061" t="s">
        <v>5278</v>
      </c>
      <c r="H5061" t="s">
        <v>5774</v>
      </c>
      <c r="I5061" t="s">
        <v>8169</v>
      </c>
      <c r="J5061" t="s">
        <v>9059</v>
      </c>
      <c r="K5061">
        <v>11226</v>
      </c>
      <c r="L5061" t="s">
        <v>9096</v>
      </c>
      <c r="M5061" t="s">
        <v>9094</v>
      </c>
      <c r="O5061" t="s">
        <v>11134</v>
      </c>
      <c r="P5061" t="s">
        <v>11166</v>
      </c>
      <c r="R5061" t="s">
        <v>11180</v>
      </c>
      <c r="S5061" t="s">
        <v>9094</v>
      </c>
      <c r="T5061" t="s">
        <v>11183</v>
      </c>
      <c r="V5061" t="s">
        <v>402</v>
      </c>
      <c r="W5061">
        <v>1107</v>
      </c>
      <c r="X5061" t="s">
        <v>11332</v>
      </c>
      <c r="Z5061" t="s">
        <v>14610</v>
      </c>
      <c r="AC5061">
        <v>0</v>
      </c>
      <c r="AF5061">
        <v>13</v>
      </c>
      <c r="AG5061">
        <v>1</v>
      </c>
      <c r="AH5061">
        <v>1</v>
      </c>
      <c r="AI5061">
        <v>212.89</v>
      </c>
      <c r="AL5061" t="s">
        <v>19614</v>
      </c>
      <c r="AM5061">
        <v>36000</v>
      </c>
      <c r="AS5061">
        <v>0</v>
      </c>
      <c r="AU5061" t="s">
        <v>215</v>
      </c>
    </row>
    <row r="5062" spans="1:48">
      <c r="A5062" s="1">
        <f>HYPERLINK("https://lsnyc.legalserver.org/matter/dynamic-profile/view/1892654","19-1892654")</f>
        <v>0</v>
      </c>
      <c r="B5062" t="s">
        <v>253</v>
      </c>
      <c r="C5062" t="s">
        <v>256</v>
      </c>
      <c r="D5062" t="s">
        <v>553</v>
      </c>
      <c r="F5062" t="s">
        <v>1146</v>
      </c>
      <c r="G5062" t="s">
        <v>4156</v>
      </c>
      <c r="H5062" t="s">
        <v>7882</v>
      </c>
      <c r="I5062" t="s">
        <v>8191</v>
      </c>
      <c r="J5062" t="s">
        <v>9065</v>
      </c>
      <c r="K5062">
        <v>10468</v>
      </c>
      <c r="L5062" t="s">
        <v>9094</v>
      </c>
      <c r="M5062" t="s">
        <v>9094</v>
      </c>
      <c r="O5062" t="s">
        <v>11145</v>
      </c>
      <c r="P5062" t="s">
        <v>11167</v>
      </c>
      <c r="R5062" t="s">
        <v>11180</v>
      </c>
      <c r="T5062" t="s">
        <v>11190</v>
      </c>
      <c r="V5062" t="s">
        <v>553</v>
      </c>
      <c r="W5062">
        <v>1500</v>
      </c>
      <c r="X5062" t="s">
        <v>11333</v>
      </c>
      <c r="Y5062" t="s">
        <v>11336</v>
      </c>
      <c r="Z5062" t="s">
        <v>14611</v>
      </c>
      <c r="AB5062" t="s">
        <v>18930</v>
      </c>
      <c r="AC5062">
        <v>0</v>
      </c>
      <c r="AD5062" t="s">
        <v>19566</v>
      </c>
      <c r="AE5062" t="s">
        <v>19580</v>
      </c>
      <c r="AF5062">
        <v>9</v>
      </c>
      <c r="AG5062">
        <v>2</v>
      </c>
      <c r="AH5062">
        <v>0</v>
      </c>
      <c r="AI5062">
        <v>212.89</v>
      </c>
      <c r="AL5062" t="s">
        <v>19614</v>
      </c>
      <c r="AM5062">
        <v>36000</v>
      </c>
      <c r="AS5062">
        <v>1.5</v>
      </c>
      <c r="AT5062" t="s">
        <v>523</v>
      </c>
      <c r="AU5062" t="s">
        <v>20670</v>
      </c>
    </row>
    <row r="5063" spans="1:48">
      <c r="A5063" s="1">
        <f>HYPERLINK("https://lsnyc.legalserver.org/matter/dynamic-profile/view/1905411","19-1905411")</f>
        <v>0</v>
      </c>
      <c r="B5063" t="s">
        <v>98</v>
      </c>
      <c r="C5063" t="s">
        <v>257</v>
      </c>
      <c r="D5063" t="s">
        <v>408</v>
      </c>
      <c r="E5063" t="s">
        <v>483</v>
      </c>
      <c r="F5063" t="s">
        <v>1450</v>
      </c>
      <c r="G5063" t="s">
        <v>5279</v>
      </c>
      <c r="H5063" t="s">
        <v>7883</v>
      </c>
      <c r="I5063" t="s">
        <v>8209</v>
      </c>
      <c r="J5063" t="s">
        <v>9065</v>
      </c>
      <c r="K5063">
        <v>10457</v>
      </c>
      <c r="L5063" t="s">
        <v>9094</v>
      </c>
      <c r="M5063" t="s">
        <v>9095</v>
      </c>
      <c r="N5063" t="s">
        <v>10904</v>
      </c>
      <c r="O5063" t="s">
        <v>11128</v>
      </c>
      <c r="P5063" t="s">
        <v>11167</v>
      </c>
      <c r="Q5063" t="s">
        <v>11173</v>
      </c>
      <c r="R5063" t="s">
        <v>11180</v>
      </c>
      <c r="S5063" t="s">
        <v>9096</v>
      </c>
      <c r="T5063" t="s">
        <v>11183</v>
      </c>
      <c r="V5063" t="s">
        <v>1063</v>
      </c>
      <c r="W5063">
        <v>924.22</v>
      </c>
      <c r="X5063" t="s">
        <v>11333</v>
      </c>
      <c r="Y5063" t="s">
        <v>11346</v>
      </c>
      <c r="Z5063" t="s">
        <v>14612</v>
      </c>
      <c r="AC5063">
        <v>10</v>
      </c>
      <c r="AD5063" t="s">
        <v>19566</v>
      </c>
      <c r="AE5063" t="s">
        <v>9144</v>
      </c>
      <c r="AF5063">
        <v>28</v>
      </c>
      <c r="AG5063">
        <v>2</v>
      </c>
      <c r="AH5063">
        <v>0</v>
      </c>
      <c r="AI5063">
        <v>212.89</v>
      </c>
      <c r="AL5063" t="s">
        <v>19615</v>
      </c>
      <c r="AM5063">
        <v>36000</v>
      </c>
      <c r="AS5063">
        <v>5.5</v>
      </c>
      <c r="AT5063" t="s">
        <v>1063</v>
      </c>
      <c r="AU5063" t="s">
        <v>20642</v>
      </c>
      <c r="AV5063" t="s">
        <v>20733</v>
      </c>
    </row>
    <row r="5064" spans="1:48">
      <c r="A5064" s="1">
        <f>HYPERLINK("https://lsnyc.legalserver.org/matter/dynamic-profile/view/1914840","19-1914840")</f>
        <v>0</v>
      </c>
      <c r="B5064" t="s">
        <v>142</v>
      </c>
      <c r="C5064" t="s">
        <v>256</v>
      </c>
      <c r="D5064" t="s">
        <v>331</v>
      </c>
      <c r="F5064" t="s">
        <v>1397</v>
      </c>
      <c r="G5064" t="s">
        <v>5280</v>
      </c>
      <c r="H5064" t="s">
        <v>6596</v>
      </c>
      <c r="I5064" t="s">
        <v>8259</v>
      </c>
      <c r="J5064" t="s">
        <v>9067</v>
      </c>
      <c r="K5064">
        <v>10035</v>
      </c>
      <c r="L5064" t="s">
        <v>9094</v>
      </c>
      <c r="M5064" t="s">
        <v>9095</v>
      </c>
      <c r="O5064" t="s">
        <v>11130</v>
      </c>
      <c r="P5064" t="s">
        <v>11165</v>
      </c>
      <c r="R5064" t="s">
        <v>11180</v>
      </c>
      <c r="S5064" t="s">
        <v>9094</v>
      </c>
      <c r="T5064" t="s">
        <v>11183</v>
      </c>
      <c r="U5064" t="s">
        <v>11201</v>
      </c>
      <c r="V5064" t="s">
        <v>632</v>
      </c>
      <c r="W5064">
        <v>900</v>
      </c>
      <c r="X5064" t="s">
        <v>11335</v>
      </c>
      <c r="Y5064" t="s">
        <v>11340</v>
      </c>
      <c r="Z5064" t="s">
        <v>14613</v>
      </c>
      <c r="AC5064">
        <v>60</v>
      </c>
      <c r="AD5064" t="s">
        <v>19566</v>
      </c>
      <c r="AE5064" t="s">
        <v>9144</v>
      </c>
      <c r="AF5064">
        <v>15</v>
      </c>
      <c r="AG5064">
        <v>1</v>
      </c>
      <c r="AH5064">
        <v>1</v>
      </c>
      <c r="AI5064">
        <v>212.89</v>
      </c>
      <c r="AL5064" t="s">
        <v>19614</v>
      </c>
      <c r="AM5064">
        <v>36000</v>
      </c>
      <c r="AS5064">
        <v>0</v>
      </c>
      <c r="AU5064" t="s">
        <v>20657</v>
      </c>
      <c r="AV5064" t="s">
        <v>20733</v>
      </c>
    </row>
    <row r="5065" spans="1:48">
      <c r="A5065" s="1">
        <f>HYPERLINK("https://lsnyc.legalserver.org/matter/dynamic-profile/view/1907024","19-1907024")</f>
        <v>0</v>
      </c>
      <c r="B5065" t="s">
        <v>73</v>
      </c>
      <c r="C5065" t="s">
        <v>257</v>
      </c>
      <c r="D5065" t="s">
        <v>498</v>
      </c>
      <c r="E5065" t="s">
        <v>446</v>
      </c>
      <c r="F5065" t="s">
        <v>3000</v>
      </c>
      <c r="G5065" t="s">
        <v>1432</v>
      </c>
      <c r="H5065" t="s">
        <v>7884</v>
      </c>
      <c r="I5065" t="s">
        <v>8250</v>
      </c>
      <c r="J5065" t="s">
        <v>9059</v>
      </c>
      <c r="K5065">
        <v>11225</v>
      </c>
      <c r="L5065" t="s">
        <v>9096</v>
      </c>
      <c r="M5065" t="s">
        <v>9095</v>
      </c>
      <c r="N5065" t="s">
        <v>10905</v>
      </c>
      <c r="O5065" t="s">
        <v>11129</v>
      </c>
      <c r="P5065" t="s">
        <v>11164</v>
      </c>
      <c r="Q5065" t="s">
        <v>11172</v>
      </c>
      <c r="R5065" t="s">
        <v>11180</v>
      </c>
      <c r="S5065" t="s">
        <v>9096</v>
      </c>
      <c r="T5065" t="s">
        <v>11183</v>
      </c>
      <c r="W5065">
        <v>763.14</v>
      </c>
      <c r="X5065" t="s">
        <v>11332</v>
      </c>
      <c r="Y5065" t="s">
        <v>11157</v>
      </c>
      <c r="Z5065" t="s">
        <v>14614</v>
      </c>
      <c r="AB5065" t="s">
        <v>18931</v>
      </c>
      <c r="AC5065">
        <v>90</v>
      </c>
      <c r="AD5065" t="s">
        <v>19566</v>
      </c>
      <c r="AE5065" t="s">
        <v>9144</v>
      </c>
      <c r="AF5065">
        <v>7</v>
      </c>
      <c r="AG5065">
        <v>2</v>
      </c>
      <c r="AH5065">
        <v>1</v>
      </c>
      <c r="AI5065">
        <v>213.31</v>
      </c>
      <c r="AL5065" t="s">
        <v>19614</v>
      </c>
      <c r="AM5065">
        <v>45500</v>
      </c>
      <c r="AN5065" t="s">
        <v>19824</v>
      </c>
      <c r="AQ5065" t="s">
        <v>20370</v>
      </c>
      <c r="AR5065" t="s">
        <v>20423</v>
      </c>
      <c r="AS5065">
        <v>0.1</v>
      </c>
      <c r="AT5065" t="s">
        <v>446</v>
      </c>
      <c r="AU5065" t="s">
        <v>79</v>
      </c>
      <c r="AV5065" t="s">
        <v>9144</v>
      </c>
    </row>
    <row r="5066" spans="1:48">
      <c r="A5066" s="1">
        <f>HYPERLINK("https://lsnyc.legalserver.org/matter/dynamic-profile/view/1904164","19-1904164")</f>
        <v>0</v>
      </c>
      <c r="B5066" t="s">
        <v>129</v>
      </c>
      <c r="C5066" t="s">
        <v>256</v>
      </c>
      <c r="D5066" t="s">
        <v>621</v>
      </c>
      <c r="F5066" t="s">
        <v>3001</v>
      </c>
      <c r="G5066" t="s">
        <v>3427</v>
      </c>
      <c r="H5066" t="s">
        <v>6271</v>
      </c>
      <c r="I5066" t="s">
        <v>8841</v>
      </c>
      <c r="J5066" t="s">
        <v>9066</v>
      </c>
      <c r="K5066">
        <v>10301</v>
      </c>
      <c r="L5066" t="s">
        <v>9094</v>
      </c>
      <c r="M5066" t="s">
        <v>9095</v>
      </c>
      <c r="N5066" t="s">
        <v>10906</v>
      </c>
      <c r="O5066" t="s">
        <v>11129</v>
      </c>
      <c r="P5066" t="s">
        <v>11165</v>
      </c>
      <c r="R5066" t="s">
        <v>11180</v>
      </c>
      <c r="S5066" t="s">
        <v>9096</v>
      </c>
      <c r="T5066" t="s">
        <v>11190</v>
      </c>
      <c r="U5066" t="s">
        <v>11201</v>
      </c>
      <c r="W5066">
        <v>867</v>
      </c>
      <c r="X5066" t="s">
        <v>11334</v>
      </c>
      <c r="Y5066" t="s">
        <v>11345</v>
      </c>
      <c r="Z5066" t="s">
        <v>14615</v>
      </c>
      <c r="AB5066" t="s">
        <v>18932</v>
      </c>
      <c r="AC5066">
        <v>0</v>
      </c>
      <c r="AD5066" t="s">
        <v>19567</v>
      </c>
      <c r="AE5066" t="s">
        <v>19580</v>
      </c>
      <c r="AF5066">
        <v>25</v>
      </c>
      <c r="AG5066">
        <v>2</v>
      </c>
      <c r="AH5066">
        <v>1</v>
      </c>
      <c r="AI5066">
        <v>213.31</v>
      </c>
      <c r="AL5066" t="s">
        <v>19614</v>
      </c>
      <c r="AM5066">
        <v>45500.04</v>
      </c>
      <c r="AS5066">
        <v>23.15</v>
      </c>
      <c r="AT5066" t="s">
        <v>1130</v>
      </c>
      <c r="AU5066" t="s">
        <v>20653</v>
      </c>
      <c r="AV5066" t="s">
        <v>20733</v>
      </c>
    </row>
    <row r="5067" spans="1:48">
      <c r="A5067" s="1">
        <f>HYPERLINK("https://lsnyc.legalserver.org/matter/dynamic-profile/view/0772732","15-0772732")</f>
        <v>0</v>
      </c>
      <c r="B5067" t="s">
        <v>86</v>
      </c>
      <c r="C5067" t="s">
        <v>256</v>
      </c>
      <c r="D5067" t="s">
        <v>1095</v>
      </c>
      <c r="F5067" t="s">
        <v>1213</v>
      </c>
      <c r="G5067" t="s">
        <v>5281</v>
      </c>
      <c r="H5067" t="s">
        <v>7787</v>
      </c>
      <c r="I5067" t="s">
        <v>8212</v>
      </c>
      <c r="J5067" t="s">
        <v>9059</v>
      </c>
      <c r="K5067">
        <v>11213</v>
      </c>
      <c r="L5067" t="s">
        <v>9094</v>
      </c>
      <c r="M5067" t="s">
        <v>9095</v>
      </c>
      <c r="N5067" t="s">
        <v>10907</v>
      </c>
      <c r="O5067" t="s">
        <v>11128</v>
      </c>
      <c r="P5067" t="s">
        <v>11165</v>
      </c>
      <c r="R5067" t="s">
        <v>11180</v>
      </c>
      <c r="T5067" t="s">
        <v>11183</v>
      </c>
      <c r="V5067" t="s">
        <v>11231</v>
      </c>
      <c r="W5067">
        <v>1180.32</v>
      </c>
      <c r="X5067" t="s">
        <v>11332</v>
      </c>
      <c r="Z5067" t="s">
        <v>14616</v>
      </c>
      <c r="AB5067" t="s">
        <v>18933</v>
      </c>
      <c r="AC5067">
        <v>0</v>
      </c>
      <c r="AD5067" t="s">
        <v>19566</v>
      </c>
      <c r="AF5067">
        <v>11</v>
      </c>
      <c r="AG5067">
        <v>2</v>
      </c>
      <c r="AH5067">
        <v>0</v>
      </c>
      <c r="AI5067">
        <v>213.43</v>
      </c>
      <c r="AJ5067" t="s">
        <v>11246</v>
      </c>
      <c r="AL5067" t="s">
        <v>19614</v>
      </c>
      <c r="AM5067">
        <v>34000</v>
      </c>
      <c r="AS5067">
        <v>133.5</v>
      </c>
      <c r="AT5067" t="s">
        <v>1133</v>
      </c>
      <c r="AU5067" t="s">
        <v>20729</v>
      </c>
    </row>
    <row r="5068" spans="1:48">
      <c r="A5068" s="1">
        <f>HYPERLINK("https://lsnyc.legalserver.org/matter/dynamic-profile/view/1910472","19-1910472")</f>
        <v>0</v>
      </c>
      <c r="B5068" t="s">
        <v>95</v>
      </c>
      <c r="C5068" t="s">
        <v>257</v>
      </c>
      <c r="D5068" t="s">
        <v>341</v>
      </c>
      <c r="E5068" t="s">
        <v>1130</v>
      </c>
      <c r="F5068" t="s">
        <v>1384</v>
      </c>
      <c r="G5068" t="s">
        <v>5282</v>
      </c>
      <c r="H5068" t="s">
        <v>7885</v>
      </c>
      <c r="I5068" t="s">
        <v>8914</v>
      </c>
      <c r="J5068" t="s">
        <v>9059</v>
      </c>
      <c r="K5068">
        <v>11233</v>
      </c>
      <c r="L5068" t="s">
        <v>9096</v>
      </c>
      <c r="M5068" t="s">
        <v>9095</v>
      </c>
      <c r="N5068" t="s">
        <v>9154</v>
      </c>
      <c r="O5068" t="s">
        <v>9121</v>
      </c>
      <c r="Q5068" t="s">
        <v>11172</v>
      </c>
      <c r="R5068" t="s">
        <v>11180</v>
      </c>
      <c r="S5068" t="s">
        <v>9096</v>
      </c>
      <c r="T5068" t="s">
        <v>11183</v>
      </c>
      <c r="U5068" t="s">
        <v>11201</v>
      </c>
      <c r="W5068">
        <v>3182</v>
      </c>
      <c r="X5068" t="s">
        <v>11332</v>
      </c>
      <c r="Z5068" t="s">
        <v>14617</v>
      </c>
      <c r="AA5068" t="s">
        <v>9171</v>
      </c>
      <c r="AB5068" t="s">
        <v>18934</v>
      </c>
      <c r="AC5068">
        <v>46</v>
      </c>
      <c r="AD5068" t="s">
        <v>19566</v>
      </c>
      <c r="AE5068" t="s">
        <v>9144</v>
      </c>
      <c r="AF5068">
        <v>3</v>
      </c>
      <c r="AG5068">
        <v>1</v>
      </c>
      <c r="AH5068">
        <v>0</v>
      </c>
      <c r="AI5068">
        <v>213.48</v>
      </c>
      <c r="AL5068" t="s">
        <v>19614</v>
      </c>
      <c r="AM5068">
        <v>26664</v>
      </c>
      <c r="AS5068">
        <v>0.75</v>
      </c>
      <c r="AT5068" t="s">
        <v>1130</v>
      </c>
      <c r="AU5068" t="s">
        <v>20631</v>
      </c>
      <c r="AV5068" t="s">
        <v>9144</v>
      </c>
    </row>
    <row r="5069" spans="1:48">
      <c r="A5069" s="1">
        <f>HYPERLINK("https://lsnyc.legalserver.org/matter/dynamic-profile/view/1896514","19-1896514")</f>
        <v>0</v>
      </c>
      <c r="B5069" t="s">
        <v>73</v>
      </c>
      <c r="C5069" t="s">
        <v>256</v>
      </c>
      <c r="D5069" t="s">
        <v>384</v>
      </c>
      <c r="F5069" t="s">
        <v>3002</v>
      </c>
      <c r="G5069" t="s">
        <v>5283</v>
      </c>
      <c r="H5069" t="s">
        <v>7886</v>
      </c>
      <c r="I5069" t="s">
        <v>8107</v>
      </c>
      <c r="J5069" t="s">
        <v>9059</v>
      </c>
      <c r="K5069">
        <v>11208</v>
      </c>
      <c r="L5069" t="s">
        <v>9094</v>
      </c>
      <c r="M5069" t="s">
        <v>9096</v>
      </c>
      <c r="N5069" t="s">
        <v>10908</v>
      </c>
      <c r="O5069" t="s">
        <v>11129</v>
      </c>
      <c r="P5069" t="s">
        <v>11165</v>
      </c>
      <c r="R5069" t="s">
        <v>11180</v>
      </c>
      <c r="S5069" t="s">
        <v>9096</v>
      </c>
      <c r="T5069" t="s">
        <v>11183</v>
      </c>
      <c r="V5069" t="s">
        <v>310</v>
      </c>
      <c r="W5069">
        <v>951</v>
      </c>
      <c r="X5069" t="s">
        <v>11332</v>
      </c>
      <c r="Z5069" t="s">
        <v>14618</v>
      </c>
      <c r="AB5069" t="s">
        <v>18935</v>
      </c>
      <c r="AC5069">
        <v>3</v>
      </c>
      <c r="AD5069" t="s">
        <v>19565</v>
      </c>
      <c r="AE5069" t="s">
        <v>9144</v>
      </c>
      <c r="AF5069">
        <v>4</v>
      </c>
      <c r="AG5069">
        <v>2</v>
      </c>
      <c r="AH5069">
        <v>2</v>
      </c>
      <c r="AI5069">
        <v>213.59</v>
      </c>
      <c r="AJ5069" t="s">
        <v>19604</v>
      </c>
      <c r="AK5069" t="s">
        <v>19612</v>
      </c>
      <c r="AL5069" t="s">
        <v>19614</v>
      </c>
      <c r="AM5069">
        <v>55000</v>
      </c>
      <c r="AS5069">
        <v>43.2</v>
      </c>
      <c r="AT5069" t="s">
        <v>484</v>
      </c>
      <c r="AU5069" t="s">
        <v>79</v>
      </c>
      <c r="AV5069" t="s">
        <v>20733</v>
      </c>
    </row>
    <row r="5070" spans="1:48">
      <c r="A5070" s="1">
        <f>HYPERLINK("https://lsnyc.legalserver.org/matter/dynamic-profile/view/1868183","18-1868183")</f>
        <v>0</v>
      </c>
      <c r="B5070" t="s">
        <v>111</v>
      </c>
      <c r="C5070" t="s">
        <v>256</v>
      </c>
      <c r="D5070" t="s">
        <v>380</v>
      </c>
      <c r="F5070" t="s">
        <v>2985</v>
      </c>
      <c r="G5070" t="s">
        <v>3588</v>
      </c>
      <c r="H5070" t="s">
        <v>6370</v>
      </c>
      <c r="I5070" t="s">
        <v>8192</v>
      </c>
      <c r="J5070" t="s">
        <v>9065</v>
      </c>
      <c r="K5070">
        <v>10463</v>
      </c>
      <c r="L5070" t="s">
        <v>9094</v>
      </c>
      <c r="M5070" t="s">
        <v>9094</v>
      </c>
      <c r="N5070" t="s">
        <v>9673</v>
      </c>
      <c r="O5070" t="s">
        <v>11136</v>
      </c>
      <c r="P5070" t="s">
        <v>11165</v>
      </c>
      <c r="R5070" t="s">
        <v>11180</v>
      </c>
      <c r="S5070" t="s">
        <v>9096</v>
      </c>
      <c r="T5070" t="s">
        <v>11183</v>
      </c>
      <c r="V5070" t="s">
        <v>808</v>
      </c>
      <c r="W5070">
        <v>948</v>
      </c>
      <c r="X5070" t="s">
        <v>11333</v>
      </c>
      <c r="Y5070" t="s">
        <v>11346</v>
      </c>
      <c r="Z5070" t="s">
        <v>14584</v>
      </c>
      <c r="AB5070" t="s">
        <v>18904</v>
      </c>
      <c r="AC5070">
        <v>55</v>
      </c>
      <c r="AD5070" t="s">
        <v>19566</v>
      </c>
      <c r="AE5070" t="s">
        <v>9144</v>
      </c>
      <c r="AF5070">
        <v>10</v>
      </c>
      <c r="AG5070">
        <v>1</v>
      </c>
      <c r="AH5070">
        <v>0</v>
      </c>
      <c r="AI5070">
        <v>214.17</v>
      </c>
      <c r="AJ5070" t="s">
        <v>458</v>
      </c>
      <c r="AK5070" t="s">
        <v>19612</v>
      </c>
      <c r="AL5070" t="s">
        <v>19615</v>
      </c>
      <c r="AM5070">
        <v>26000</v>
      </c>
      <c r="AN5070" t="s">
        <v>20077</v>
      </c>
      <c r="AS5070">
        <v>161.9</v>
      </c>
      <c r="AT5070" t="s">
        <v>331</v>
      </c>
      <c r="AU5070" t="s">
        <v>20647</v>
      </c>
    </row>
    <row r="5071" spans="1:48">
      <c r="A5071" s="1">
        <f>HYPERLINK("https://lsnyc.legalserver.org/matter/dynamic-profile/view/1875479","18-1875479")</f>
        <v>0</v>
      </c>
      <c r="B5071" t="s">
        <v>103</v>
      </c>
      <c r="C5071" t="s">
        <v>256</v>
      </c>
      <c r="D5071" t="s">
        <v>940</v>
      </c>
      <c r="F5071" t="s">
        <v>1140</v>
      </c>
      <c r="G5071" t="s">
        <v>5284</v>
      </c>
      <c r="H5071" t="s">
        <v>6100</v>
      </c>
      <c r="I5071" t="s">
        <v>8112</v>
      </c>
      <c r="J5071" t="s">
        <v>9065</v>
      </c>
      <c r="K5071">
        <v>10452</v>
      </c>
      <c r="L5071" t="s">
        <v>9094</v>
      </c>
      <c r="M5071" t="s">
        <v>9094</v>
      </c>
      <c r="O5071" t="s">
        <v>11134</v>
      </c>
      <c r="P5071" t="s">
        <v>11168</v>
      </c>
      <c r="R5071" t="s">
        <v>11180</v>
      </c>
      <c r="S5071" t="s">
        <v>9094</v>
      </c>
      <c r="T5071" t="s">
        <v>11183</v>
      </c>
      <c r="V5071" t="s">
        <v>738</v>
      </c>
      <c r="W5071">
        <v>1300</v>
      </c>
      <c r="X5071" t="s">
        <v>11333</v>
      </c>
      <c r="Y5071" t="s">
        <v>11346</v>
      </c>
      <c r="Z5071" t="s">
        <v>14619</v>
      </c>
      <c r="AB5071" t="s">
        <v>18936</v>
      </c>
      <c r="AC5071">
        <v>53</v>
      </c>
      <c r="AD5071" t="s">
        <v>19566</v>
      </c>
      <c r="AE5071" t="s">
        <v>19580</v>
      </c>
      <c r="AF5071">
        <v>2</v>
      </c>
      <c r="AG5071">
        <v>1</v>
      </c>
      <c r="AH5071">
        <v>0</v>
      </c>
      <c r="AI5071">
        <v>214.17</v>
      </c>
      <c r="AL5071" t="s">
        <v>19614</v>
      </c>
      <c r="AM5071">
        <v>26000</v>
      </c>
      <c r="AN5071" t="s">
        <v>20078</v>
      </c>
      <c r="AS5071">
        <v>8.5</v>
      </c>
      <c r="AT5071" t="s">
        <v>337</v>
      </c>
      <c r="AU5071" t="s">
        <v>103</v>
      </c>
    </row>
    <row r="5072" spans="1:48">
      <c r="A5072" s="1">
        <f>HYPERLINK("https://lsnyc.legalserver.org/matter/dynamic-profile/view/1877045","18-1877045")</f>
        <v>0</v>
      </c>
      <c r="B5072" t="s">
        <v>127</v>
      </c>
      <c r="C5072" t="s">
        <v>256</v>
      </c>
      <c r="D5072" t="s">
        <v>605</v>
      </c>
      <c r="F5072" t="s">
        <v>2271</v>
      </c>
      <c r="G5072" t="s">
        <v>5285</v>
      </c>
      <c r="H5072" t="s">
        <v>7887</v>
      </c>
      <c r="I5072" t="s">
        <v>8164</v>
      </c>
      <c r="J5072" t="s">
        <v>9066</v>
      </c>
      <c r="K5072">
        <v>10304</v>
      </c>
      <c r="L5072" t="s">
        <v>9094</v>
      </c>
      <c r="M5072" t="s">
        <v>9094</v>
      </c>
      <c r="N5072" t="s">
        <v>10909</v>
      </c>
      <c r="O5072" t="s">
        <v>11129</v>
      </c>
      <c r="P5072" t="s">
        <v>11165</v>
      </c>
      <c r="R5072" t="s">
        <v>11180</v>
      </c>
      <c r="S5072" t="s">
        <v>9096</v>
      </c>
      <c r="T5072" t="s">
        <v>11183</v>
      </c>
      <c r="U5072" t="s">
        <v>11201</v>
      </c>
      <c r="V5072" t="s">
        <v>605</v>
      </c>
      <c r="W5072">
        <v>1100</v>
      </c>
      <c r="X5072" t="s">
        <v>11334</v>
      </c>
      <c r="Y5072" t="s">
        <v>11338</v>
      </c>
      <c r="Z5072" t="s">
        <v>14620</v>
      </c>
      <c r="AA5072" t="s">
        <v>15895</v>
      </c>
      <c r="AB5072" t="s">
        <v>18937</v>
      </c>
      <c r="AC5072">
        <v>3</v>
      </c>
      <c r="AD5072" t="s">
        <v>19565</v>
      </c>
      <c r="AE5072" t="s">
        <v>9144</v>
      </c>
      <c r="AF5072">
        <v>20</v>
      </c>
      <c r="AG5072">
        <v>1</v>
      </c>
      <c r="AH5072">
        <v>0</v>
      </c>
      <c r="AI5072">
        <v>214.17</v>
      </c>
      <c r="AJ5072" t="s">
        <v>458</v>
      </c>
      <c r="AK5072" t="s">
        <v>19612</v>
      </c>
      <c r="AL5072" t="s">
        <v>19614</v>
      </c>
      <c r="AM5072">
        <v>26000</v>
      </c>
      <c r="AO5072" t="s">
        <v>20294</v>
      </c>
      <c r="AP5072" t="s">
        <v>20309</v>
      </c>
      <c r="AQ5072" t="s">
        <v>20369</v>
      </c>
      <c r="AR5072" t="s">
        <v>20565</v>
      </c>
      <c r="AS5072">
        <v>8.25</v>
      </c>
      <c r="AT5072" t="s">
        <v>649</v>
      </c>
      <c r="AU5072" t="s">
        <v>20662</v>
      </c>
    </row>
    <row r="5073" spans="1:48">
      <c r="A5073" s="1">
        <f>HYPERLINK("https://lsnyc.legalserver.org/matter/dynamic-profile/view/1881586","18-1881586")</f>
        <v>0</v>
      </c>
      <c r="B5073" t="s">
        <v>213</v>
      </c>
      <c r="C5073" t="s">
        <v>257</v>
      </c>
      <c r="D5073" t="s">
        <v>508</v>
      </c>
      <c r="E5073" t="s">
        <v>444</v>
      </c>
      <c r="F5073" t="s">
        <v>3003</v>
      </c>
      <c r="G5073" t="s">
        <v>3644</v>
      </c>
      <c r="H5073" t="s">
        <v>7888</v>
      </c>
      <c r="I5073">
        <v>54</v>
      </c>
      <c r="J5073" t="s">
        <v>9067</v>
      </c>
      <c r="K5073">
        <v>10031</v>
      </c>
      <c r="L5073" t="s">
        <v>9094</v>
      </c>
      <c r="M5073" t="s">
        <v>9094</v>
      </c>
      <c r="N5073" t="s">
        <v>10910</v>
      </c>
      <c r="O5073" t="s">
        <v>11129</v>
      </c>
      <c r="P5073" t="s">
        <v>11164</v>
      </c>
      <c r="Q5073" t="s">
        <v>11172</v>
      </c>
      <c r="R5073" t="s">
        <v>11180</v>
      </c>
      <c r="S5073" t="s">
        <v>9096</v>
      </c>
      <c r="T5073" t="s">
        <v>11183</v>
      </c>
      <c r="U5073" t="s">
        <v>11201</v>
      </c>
      <c r="V5073" t="s">
        <v>697</v>
      </c>
      <c r="W5073">
        <v>787.74</v>
      </c>
      <c r="X5073" t="s">
        <v>11335</v>
      </c>
      <c r="Y5073" t="s">
        <v>11340</v>
      </c>
      <c r="Z5073" t="s">
        <v>14621</v>
      </c>
      <c r="AB5073" t="s">
        <v>18938</v>
      </c>
      <c r="AC5073">
        <v>51</v>
      </c>
      <c r="AD5073" t="s">
        <v>19566</v>
      </c>
      <c r="AE5073" t="s">
        <v>9144</v>
      </c>
      <c r="AF5073">
        <v>33</v>
      </c>
      <c r="AG5073">
        <v>1</v>
      </c>
      <c r="AH5073">
        <v>0</v>
      </c>
      <c r="AI5073">
        <v>214.17</v>
      </c>
      <c r="AL5073" t="s">
        <v>19615</v>
      </c>
      <c r="AM5073">
        <v>26000</v>
      </c>
      <c r="AS5073">
        <v>0.6</v>
      </c>
      <c r="AT5073" t="s">
        <v>323</v>
      </c>
      <c r="AU5073" t="s">
        <v>20655</v>
      </c>
      <c r="AV5073" t="s">
        <v>20733</v>
      </c>
    </row>
    <row r="5074" spans="1:48">
      <c r="A5074" s="1">
        <f>HYPERLINK("https://lsnyc.legalserver.org/matter/dynamic-profile/view/1886726","18-1886726")</f>
        <v>0</v>
      </c>
      <c r="B5074" t="s">
        <v>101</v>
      </c>
      <c r="C5074" t="s">
        <v>256</v>
      </c>
      <c r="D5074" t="s">
        <v>753</v>
      </c>
      <c r="F5074" t="s">
        <v>2028</v>
      </c>
      <c r="G5074" t="s">
        <v>4374</v>
      </c>
      <c r="H5074" t="s">
        <v>6383</v>
      </c>
      <c r="I5074" t="s">
        <v>8267</v>
      </c>
      <c r="J5074" t="s">
        <v>9065</v>
      </c>
      <c r="K5074">
        <v>10467</v>
      </c>
      <c r="L5074" t="s">
        <v>9094</v>
      </c>
      <c r="M5074" t="s">
        <v>9094</v>
      </c>
      <c r="N5074" t="s">
        <v>9642</v>
      </c>
      <c r="O5074" t="s">
        <v>11130</v>
      </c>
      <c r="P5074" t="s">
        <v>11165</v>
      </c>
      <c r="R5074" t="s">
        <v>11180</v>
      </c>
      <c r="S5074" t="s">
        <v>9094</v>
      </c>
      <c r="T5074" t="s">
        <v>11183</v>
      </c>
      <c r="V5074" t="s">
        <v>11212</v>
      </c>
      <c r="W5074">
        <v>1522.5</v>
      </c>
      <c r="X5074" t="s">
        <v>11333</v>
      </c>
      <c r="Y5074" t="s">
        <v>11346</v>
      </c>
      <c r="Z5074" t="s">
        <v>14589</v>
      </c>
      <c r="AC5074">
        <v>0</v>
      </c>
      <c r="AD5074" t="s">
        <v>19566</v>
      </c>
      <c r="AE5074" t="s">
        <v>9144</v>
      </c>
      <c r="AF5074">
        <v>3</v>
      </c>
      <c r="AG5074">
        <v>2</v>
      </c>
      <c r="AH5074">
        <v>2</v>
      </c>
      <c r="AI5074">
        <v>214.57</v>
      </c>
      <c r="AL5074" t="s">
        <v>19614</v>
      </c>
      <c r="AM5074">
        <v>53856</v>
      </c>
      <c r="AS5074">
        <v>0</v>
      </c>
      <c r="AU5074" t="s">
        <v>20647</v>
      </c>
    </row>
    <row r="5075" spans="1:48">
      <c r="A5075" s="1">
        <f>HYPERLINK("https://lsnyc.legalserver.org/matter/dynamic-profile/view/1900402","19-1900402")</f>
        <v>0</v>
      </c>
      <c r="B5075" t="s">
        <v>65</v>
      </c>
      <c r="C5075" t="s">
        <v>256</v>
      </c>
      <c r="D5075" t="s">
        <v>262</v>
      </c>
      <c r="F5075" t="s">
        <v>2371</v>
      </c>
      <c r="G5075" t="s">
        <v>5286</v>
      </c>
      <c r="H5075" t="s">
        <v>7889</v>
      </c>
      <c r="I5075" t="s">
        <v>8915</v>
      </c>
      <c r="J5075" t="s">
        <v>9059</v>
      </c>
      <c r="K5075">
        <v>11225</v>
      </c>
      <c r="L5075" t="s">
        <v>9094</v>
      </c>
      <c r="M5075" t="s">
        <v>9095</v>
      </c>
      <c r="N5075" t="s">
        <v>10911</v>
      </c>
      <c r="O5075" t="s">
        <v>11130</v>
      </c>
      <c r="P5075" t="s">
        <v>11165</v>
      </c>
      <c r="R5075" t="s">
        <v>11180</v>
      </c>
      <c r="S5075" t="s">
        <v>9096</v>
      </c>
      <c r="T5075" t="s">
        <v>11183</v>
      </c>
      <c r="U5075" t="s">
        <v>11201</v>
      </c>
      <c r="V5075" t="s">
        <v>445</v>
      </c>
      <c r="W5075">
        <v>693.5599999999999</v>
      </c>
      <c r="X5075" t="s">
        <v>11332</v>
      </c>
      <c r="Z5075" t="s">
        <v>14622</v>
      </c>
      <c r="AB5075" t="s">
        <v>18939</v>
      </c>
      <c r="AC5075">
        <v>21</v>
      </c>
      <c r="AD5075" t="s">
        <v>19566</v>
      </c>
      <c r="AF5075">
        <v>25</v>
      </c>
      <c r="AG5075">
        <v>2</v>
      </c>
      <c r="AH5075">
        <v>0</v>
      </c>
      <c r="AI5075">
        <v>214.67</v>
      </c>
      <c r="AL5075" t="s">
        <v>19614</v>
      </c>
      <c r="AM5075">
        <v>36300</v>
      </c>
      <c r="AO5075" t="s">
        <v>20293</v>
      </c>
      <c r="AP5075" t="s">
        <v>11157</v>
      </c>
      <c r="AQ5075" t="s">
        <v>20369</v>
      </c>
      <c r="AR5075" t="s">
        <v>20497</v>
      </c>
      <c r="AS5075">
        <v>28.1</v>
      </c>
      <c r="AT5075" t="s">
        <v>295</v>
      </c>
      <c r="AU5075" t="s">
        <v>67</v>
      </c>
      <c r="AV5075" t="s">
        <v>20733</v>
      </c>
    </row>
    <row r="5076" spans="1:48">
      <c r="A5076" s="1">
        <f>HYPERLINK("https://lsnyc.legalserver.org/matter/dynamic-profile/view/1901828","19-1901828")</f>
        <v>0</v>
      </c>
      <c r="B5076" t="s">
        <v>65</v>
      </c>
      <c r="C5076" t="s">
        <v>256</v>
      </c>
      <c r="D5076" t="s">
        <v>610</v>
      </c>
      <c r="F5076" t="s">
        <v>2371</v>
      </c>
      <c r="G5076" t="s">
        <v>5286</v>
      </c>
      <c r="H5076" t="s">
        <v>7889</v>
      </c>
      <c r="I5076" t="s">
        <v>8915</v>
      </c>
      <c r="J5076" t="s">
        <v>9059</v>
      </c>
      <c r="K5076">
        <v>11225</v>
      </c>
      <c r="L5076" t="s">
        <v>9094</v>
      </c>
      <c r="M5076" t="s">
        <v>9095</v>
      </c>
      <c r="O5076" t="s">
        <v>11133</v>
      </c>
      <c r="P5076" t="s">
        <v>11166</v>
      </c>
      <c r="R5076" t="s">
        <v>11180</v>
      </c>
      <c r="S5076" t="s">
        <v>9096</v>
      </c>
      <c r="T5076" t="s">
        <v>11183</v>
      </c>
      <c r="V5076" t="s">
        <v>706</v>
      </c>
      <c r="W5076">
        <v>0</v>
      </c>
      <c r="X5076" t="s">
        <v>11332</v>
      </c>
      <c r="Z5076" t="s">
        <v>14622</v>
      </c>
      <c r="AB5076" t="s">
        <v>18939</v>
      </c>
      <c r="AC5076">
        <v>21</v>
      </c>
      <c r="AF5076">
        <v>0</v>
      </c>
      <c r="AG5076">
        <v>2</v>
      </c>
      <c r="AH5076">
        <v>0</v>
      </c>
      <c r="AI5076">
        <v>214.67</v>
      </c>
      <c r="AJ5076" t="s">
        <v>414</v>
      </c>
      <c r="AK5076" t="s">
        <v>19612</v>
      </c>
      <c r="AL5076" t="s">
        <v>19614</v>
      </c>
      <c r="AM5076">
        <v>36300</v>
      </c>
      <c r="AP5076" t="s">
        <v>11157</v>
      </c>
      <c r="AQ5076" t="s">
        <v>20369</v>
      </c>
      <c r="AR5076" t="s">
        <v>20410</v>
      </c>
      <c r="AS5076">
        <v>4.2</v>
      </c>
      <c r="AT5076" t="s">
        <v>367</v>
      </c>
      <c r="AU5076" t="s">
        <v>67</v>
      </c>
      <c r="AV5076" t="s">
        <v>20733</v>
      </c>
    </row>
    <row r="5077" spans="1:48">
      <c r="A5077" s="1">
        <f>HYPERLINK("https://lsnyc.legalserver.org/matter/dynamic-profile/view/1860351","18-1860351")</f>
        <v>0</v>
      </c>
      <c r="B5077" t="s">
        <v>52</v>
      </c>
      <c r="C5077" t="s">
        <v>256</v>
      </c>
      <c r="D5077" t="s">
        <v>364</v>
      </c>
      <c r="F5077" t="s">
        <v>2470</v>
      </c>
      <c r="G5077" t="s">
        <v>4704</v>
      </c>
      <c r="H5077" t="s">
        <v>6711</v>
      </c>
      <c r="I5077" t="s">
        <v>8215</v>
      </c>
      <c r="J5077" t="s">
        <v>9039</v>
      </c>
      <c r="K5077">
        <v>11432</v>
      </c>
      <c r="L5077" t="s">
        <v>9094</v>
      </c>
      <c r="M5077" t="s">
        <v>9095</v>
      </c>
      <c r="N5077" t="s">
        <v>9698</v>
      </c>
      <c r="O5077" t="s">
        <v>11135</v>
      </c>
      <c r="P5077" t="s">
        <v>11168</v>
      </c>
      <c r="R5077" t="s">
        <v>11180</v>
      </c>
      <c r="S5077" t="s">
        <v>9094</v>
      </c>
      <c r="T5077" t="s">
        <v>11189</v>
      </c>
      <c r="V5077" t="s">
        <v>11249</v>
      </c>
      <c r="W5077">
        <v>2000</v>
      </c>
      <c r="X5077" t="s">
        <v>11331</v>
      </c>
      <c r="Y5077" t="s">
        <v>11340</v>
      </c>
      <c r="Z5077" t="s">
        <v>13533</v>
      </c>
      <c r="AA5077" t="s">
        <v>9171</v>
      </c>
      <c r="AB5077" t="s">
        <v>17870</v>
      </c>
      <c r="AC5077">
        <v>60</v>
      </c>
      <c r="AD5077" t="s">
        <v>19566</v>
      </c>
      <c r="AE5077" t="s">
        <v>9144</v>
      </c>
      <c r="AF5077">
        <v>13</v>
      </c>
      <c r="AG5077">
        <v>4</v>
      </c>
      <c r="AH5077">
        <v>0</v>
      </c>
      <c r="AI5077">
        <v>215.14</v>
      </c>
      <c r="AJ5077" t="s">
        <v>11246</v>
      </c>
      <c r="AL5077" t="s">
        <v>19614</v>
      </c>
      <c r="AM5077">
        <v>54000</v>
      </c>
      <c r="AS5077">
        <v>0.2</v>
      </c>
      <c r="AT5077" t="s">
        <v>848</v>
      </c>
      <c r="AU5077" t="s">
        <v>153</v>
      </c>
    </row>
    <row r="5078" spans="1:48">
      <c r="A5078" s="1">
        <f>HYPERLINK("https://lsnyc.legalserver.org/matter/dynamic-profile/view/1860363","18-1860363")</f>
        <v>0</v>
      </c>
      <c r="B5078" t="s">
        <v>52</v>
      </c>
      <c r="C5078" t="s">
        <v>256</v>
      </c>
      <c r="D5078" t="s">
        <v>364</v>
      </c>
      <c r="F5078" t="s">
        <v>2470</v>
      </c>
      <c r="G5078" t="s">
        <v>4704</v>
      </c>
      <c r="H5078" t="s">
        <v>6711</v>
      </c>
      <c r="I5078" t="s">
        <v>8215</v>
      </c>
      <c r="J5078" t="s">
        <v>9039</v>
      </c>
      <c r="K5078">
        <v>11432</v>
      </c>
      <c r="L5078" t="s">
        <v>9094</v>
      </c>
      <c r="M5078" t="s">
        <v>9095</v>
      </c>
      <c r="N5078" t="s">
        <v>9703</v>
      </c>
      <c r="O5078" t="s">
        <v>11135</v>
      </c>
      <c r="P5078" t="s">
        <v>11168</v>
      </c>
      <c r="R5078" t="s">
        <v>11180</v>
      </c>
      <c r="S5078" t="s">
        <v>9094</v>
      </c>
      <c r="T5078" t="s">
        <v>11189</v>
      </c>
      <c r="V5078" t="s">
        <v>11249</v>
      </c>
      <c r="W5078">
        <v>2000.23</v>
      </c>
      <c r="X5078" t="s">
        <v>11331</v>
      </c>
      <c r="Y5078" t="s">
        <v>11340</v>
      </c>
      <c r="Z5078" t="s">
        <v>13533</v>
      </c>
      <c r="AA5078" t="s">
        <v>9171</v>
      </c>
      <c r="AB5078" t="s">
        <v>17870</v>
      </c>
      <c r="AC5078">
        <v>60</v>
      </c>
      <c r="AD5078" t="s">
        <v>19566</v>
      </c>
      <c r="AE5078" t="s">
        <v>9144</v>
      </c>
      <c r="AF5078">
        <v>13</v>
      </c>
      <c r="AG5078">
        <v>4</v>
      </c>
      <c r="AH5078">
        <v>0</v>
      </c>
      <c r="AI5078">
        <v>215.14</v>
      </c>
      <c r="AJ5078" t="s">
        <v>19605</v>
      </c>
      <c r="AL5078" t="s">
        <v>19614</v>
      </c>
      <c r="AM5078">
        <v>54000</v>
      </c>
      <c r="AS5078">
        <v>0.7</v>
      </c>
      <c r="AT5078" t="s">
        <v>848</v>
      </c>
      <c r="AU5078" t="s">
        <v>153</v>
      </c>
    </row>
    <row r="5079" spans="1:48">
      <c r="A5079" s="1">
        <f>HYPERLINK("https://lsnyc.legalserver.org/matter/dynamic-profile/view/1872693","18-1872693")</f>
        <v>0</v>
      </c>
      <c r="B5079" t="s">
        <v>65</v>
      </c>
      <c r="C5079" t="s">
        <v>257</v>
      </c>
      <c r="D5079" t="s">
        <v>672</v>
      </c>
      <c r="E5079" t="s">
        <v>307</v>
      </c>
      <c r="F5079" t="s">
        <v>3004</v>
      </c>
      <c r="G5079" t="s">
        <v>5287</v>
      </c>
      <c r="H5079" t="s">
        <v>7619</v>
      </c>
      <c r="I5079" t="s">
        <v>8496</v>
      </c>
      <c r="J5079" t="s">
        <v>9059</v>
      </c>
      <c r="K5079">
        <v>11226</v>
      </c>
      <c r="L5079" t="s">
        <v>9094</v>
      </c>
      <c r="M5079" t="s">
        <v>9094</v>
      </c>
      <c r="N5079" t="s">
        <v>10912</v>
      </c>
      <c r="O5079" t="s">
        <v>11129</v>
      </c>
      <c r="P5079" t="s">
        <v>11165</v>
      </c>
      <c r="Q5079" t="s">
        <v>11174</v>
      </c>
      <c r="R5079" t="s">
        <v>11180</v>
      </c>
      <c r="S5079" t="s">
        <v>9094</v>
      </c>
      <c r="T5079" t="s">
        <v>11183</v>
      </c>
      <c r="U5079" t="s">
        <v>11201</v>
      </c>
      <c r="V5079" t="s">
        <v>11271</v>
      </c>
      <c r="W5079">
        <v>881.4</v>
      </c>
      <c r="X5079" t="s">
        <v>11332</v>
      </c>
      <c r="Y5079" t="s">
        <v>11347</v>
      </c>
      <c r="Z5079" t="s">
        <v>14623</v>
      </c>
      <c r="AB5079" t="s">
        <v>18940</v>
      </c>
      <c r="AC5079">
        <v>32</v>
      </c>
      <c r="AD5079" t="s">
        <v>19566</v>
      </c>
      <c r="AE5079" t="s">
        <v>9144</v>
      </c>
      <c r="AF5079">
        <v>21</v>
      </c>
      <c r="AG5079">
        <v>4</v>
      </c>
      <c r="AH5079">
        <v>0</v>
      </c>
      <c r="AI5079">
        <v>215.22</v>
      </c>
      <c r="AL5079" t="s">
        <v>19620</v>
      </c>
      <c r="AM5079">
        <v>54020</v>
      </c>
      <c r="AO5079" t="s">
        <v>20291</v>
      </c>
      <c r="AP5079" t="s">
        <v>20361</v>
      </c>
      <c r="AQ5079" t="s">
        <v>20369</v>
      </c>
      <c r="AR5079" t="s">
        <v>20548</v>
      </c>
      <c r="AS5079">
        <v>41.7</v>
      </c>
      <c r="AT5079" t="s">
        <v>367</v>
      </c>
      <c r="AU5079" t="s">
        <v>20630</v>
      </c>
      <c r="AV5079" t="s">
        <v>20733</v>
      </c>
    </row>
    <row r="5080" spans="1:48">
      <c r="A5080" s="1">
        <f>HYPERLINK("https://lsnyc.legalserver.org/matter/dynamic-profile/view/1912866","19-1912866")</f>
        <v>0</v>
      </c>
      <c r="B5080" t="s">
        <v>52</v>
      </c>
      <c r="C5080" t="s">
        <v>256</v>
      </c>
      <c r="D5080" t="s">
        <v>563</v>
      </c>
      <c r="F5080" t="s">
        <v>1264</v>
      </c>
      <c r="G5080" t="s">
        <v>5288</v>
      </c>
      <c r="H5080" t="s">
        <v>5692</v>
      </c>
      <c r="I5080" t="s">
        <v>8170</v>
      </c>
      <c r="J5080" t="s">
        <v>9038</v>
      </c>
      <c r="K5080">
        <v>11691</v>
      </c>
      <c r="L5080" t="s">
        <v>9094</v>
      </c>
      <c r="M5080" t="s">
        <v>9095</v>
      </c>
      <c r="N5080" t="s">
        <v>9664</v>
      </c>
      <c r="O5080" t="s">
        <v>11130</v>
      </c>
      <c r="P5080" t="s">
        <v>11165</v>
      </c>
      <c r="R5080" t="s">
        <v>11180</v>
      </c>
      <c r="S5080" t="s">
        <v>9094</v>
      </c>
      <c r="T5080" t="s">
        <v>11183</v>
      </c>
      <c r="U5080" t="s">
        <v>11201</v>
      </c>
      <c r="V5080" t="s">
        <v>563</v>
      </c>
      <c r="W5080">
        <v>637</v>
      </c>
      <c r="X5080" t="s">
        <v>11331</v>
      </c>
      <c r="Y5080" t="s">
        <v>11339</v>
      </c>
      <c r="Z5080" t="s">
        <v>14624</v>
      </c>
      <c r="AB5080" t="s">
        <v>18941</v>
      </c>
      <c r="AC5080">
        <v>43</v>
      </c>
      <c r="AD5080" t="s">
        <v>19566</v>
      </c>
      <c r="AE5080" t="s">
        <v>9144</v>
      </c>
      <c r="AF5080">
        <v>17</v>
      </c>
      <c r="AG5080">
        <v>2</v>
      </c>
      <c r="AH5080">
        <v>0</v>
      </c>
      <c r="AI5080">
        <v>215.26</v>
      </c>
      <c r="AL5080" t="s">
        <v>19615</v>
      </c>
      <c r="AM5080">
        <v>36400</v>
      </c>
      <c r="AP5080" t="s">
        <v>11157</v>
      </c>
      <c r="AS5080">
        <v>0</v>
      </c>
      <c r="AU5080" t="s">
        <v>20620</v>
      </c>
      <c r="AV5080" t="s">
        <v>20733</v>
      </c>
    </row>
    <row r="5081" spans="1:48">
      <c r="A5081" s="1">
        <f>HYPERLINK("https://lsnyc.legalserver.org/matter/dynamic-profile/view/1912648","19-1912648")</f>
        <v>0</v>
      </c>
      <c r="B5081" t="s">
        <v>52</v>
      </c>
      <c r="C5081" t="s">
        <v>256</v>
      </c>
      <c r="D5081" t="s">
        <v>263</v>
      </c>
      <c r="F5081" t="s">
        <v>1264</v>
      </c>
      <c r="G5081" t="s">
        <v>5288</v>
      </c>
      <c r="H5081" t="s">
        <v>5692</v>
      </c>
      <c r="I5081" t="s">
        <v>8170</v>
      </c>
      <c r="J5081" t="s">
        <v>9038</v>
      </c>
      <c r="K5081">
        <v>11691</v>
      </c>
      <c r="L5081" t="s">
        <v>9094</v>
      </c>
      <c r="M5081" t="s">
        <v>9095</v>
      </c>
      <c r="O5081" t="s">
        <v>11129</v>
      </c>
      <c r="P5081" t="s">
        <v>11165</v>
      </c>
      <c r="R5081" t="s">
        <v>11180</v>
      </c>
      <c r="S5081" t="s">
        <v>9094</v>
      </c>
      <c r="T5081" t="s">
        <v>11183</v>
      </c>
      <c r="U5081" t="s">
        <v>11201</v>
      </c>
      <c r="V5081" t="s">
        <v>263</v>
      </c>
      <c r="W5081">
        <v>637</v>
      </c>
      <c r="X5081" t="s">
        <v>11331</v>
      </c>
      <c r="Y5081" t="s">
        <v>11339</v>
      </c>
      <c r="Z5081" t="s">
        <v>14624</v>
      </c>
      <c r="AB5081" t="s">
        <v>18941</v>
      </c>
      <c r="AC5081">
        <v>43</v>
      </c>
      <c r="AD5081" t="s">
        <v>19566</v>
      </c>
      <c r="AE5081" t="s">
        <v>9144</v>
      </c>
      <c r="AF5081">
        <v>17</v>
      </c>
      <c r="AG5081">
        <v>2</v>
      </c>
      <c r="AH5081">
        <v>0</v>
      </c>
      <c r="AI5081">
        <v>215.26</v>
      </c>
      <c r="AJ5081" t="s">
        <v>476</v>
      </c>
      <c r="AK5081" t="s">
        <v>19612</v>
      </c>
      <c r="AL5081" t="s">
        <v>19615</v>
      </c>
      <c r="AM5081">
        <v>36400</v>
      </c>
      <c r="AP5081" t="s">
        <v>11157</v>
      </c>
      <c r="AS5081">
        <v>0.5</v>
      </c>
      <c r="AT5081" t="s">
        <v>496</v>
      </c>
      <c r="AU5081" t="s">
        <v>20620</v>
      </c>
      <c r="AV5081" t="s">
        <v>20733</v>
      </c>
    </row>
    <row r="5082" spans="1:48">
      <c r="A5082" s="1">
        <f>HYPERLINK("https://lsnyc.legalserver.org/matter/dynamic-profile/view/1915245","19-1915245")</f>
        <v>0</v>
      </c>
      <c r="B5082" t="s">
        <v>52</v>
      </c>
      <c r="C5082" t="s">
        <v>256</v>
      </c>
      <c r="D5082" t="s">
        <v>321</v>
      </c>
      <c r="F5082" t="s">
        <v>1264</v>
      </c>
      <c r="G5082" t="s">
        <v>5288</v>
      </c>
      <c r="H5082" t="s">
        <v>5692</v>
      </c>
      <c r="I5082" t="s">
        <v>8170</v>
      </c>
      <c r="J5082" t="s">
        <v>9038</v>
      </c>
      <c r="K5082">
        <v>11691</v>
      </c>
      <c r="L5082" t="s">
        <v>9094</v>
      </c>
      <c r="M5082" t="s">
        <v>9095</v>
      </c>
      <c r="O5082" t="s">
        <v>11129</v>
      </c>
      <c r="P5082" t="s">
        <v>11165</v>
      </c>
      <c r="R5082" t="s">
        <v>11180</v>
      </c>
      <c r="S5082" t="s">
        <v>9096</v>
      </c>
      <c r="T5082" t="s">
        <v>11183</v>
      </c>
      <c r="V5082" t="s">
        <v>321</v>
      </c>
      <c r="W5082">
        <v>637</v>
      </c>
      <c r="X5082" t="s">
        <v>11331</v>
      </c>
      <c r="Y5082" t="s">
        <v>11339</v>
      </c>
      <c r="Z5082" t="s">
        <v>14624</v>
      </c>
      <c r="AB5082" t="s">
        <v>18941</v>
      </c>
      <c r="AC5082">
        <v>43</v>
      </c>
      <c r="AD5082" t="s">
        <v>19566</v>
      </c>
      <c r="AE5082" t="s">
        <v>9144</v>
      </c>
      <c r="AF5082">
        <v>17</v>
      </c>
      <c r="AG5082">
        <v>2</v>
      </c>
      <c r="AH5082">
        <v>0</v>
      </c>
      <c r="AI5082">
        <v>215.26</v>
      </c>
      <c r="AL5082" t="s">
        <v>19615</v>
      </c>
      <c r="AM5082">
        <v>36400</v>
      </c>
      <c r="AS5082">
        <v>0.5</v>
      </c>
      <c r="AT5082" t="s">
        <v>321</v>
      </c>
      <c r="AU5082" t="s">
        <v>20620</v>
      </c>
      <c r="AV5082" t="s">
        <v>20733</v>
      </c>
    </row>
    <row r="5083" spans="1:48">
      <c r="A5083" s="1">
        <f>HYPERLINK("https://lsnyc.legalserver.org/matter/dynamic-profile/view/1907259","19-1907259")</f>
        <v>0</v>
      </c>
      <c r="B5083" t="s">
        <v>86</v>
      </c>
      <c r="C5083" t="s">
        <v>256</v>
      </c>
      <c r="D5083" t="s">
        <v>415</v>
      </c>
      <c r="F5083" t="s">
        <v>3005</v>
      </c>
      <c r="G5083" t="s">
        <v>2348</v>
      </c>
      <c r="H5083" t="s">
        <v>5786</v>
      </c>
      <c r="I5083" t="s">
        <v>8916</v>
      </c>
      <c r="J5083" t="s">
        <v>9059</v>
      </c>
      <c r="K5083">
        <v>11225</v>
      </c>
      <c r="L5083" t="s">
        <v>9096</v>
      </c>
      <c r="M5083" t="s">
        <v>9095</v>
      </c>
      <c r="O5083" t="s">
        <v>11137</v>
      </c>
      <c r="P5083" t="s">
        <v>11166</v>
      </c>
      <c r="R5083" t="s">
        <v>11180</v>
      </c>
      <c r="S5083" t="s">
        <v>9094</v>
      </c>
      <c r="T5083" t="s">
        <v>11183</v>
      </c>
      <c r="W5083">
        <v>0</v>
      </c>
      <c r="X5083" t="s">
        <v>11332</v>
      </c>
      <c r="Z5083" t="s">
        <v>14625</v>
      </c>
      <c r="AC5083">
        <v>46</v>
      </c>
      <c r="AF5083">
        <v>0</v>
      </c>
      <c r="AG5083">
        <v>2</v>
      </c>
      <c r="AH5083">
        <v>0</v>
      </c>
      <c r="AI5083">
        <v>215.26</v>
      </c>
      <c r="AL5083" t="s">
        <v>19614</v>
      </c>
      <c r="AM5083">
        <v>36400</v>
      </c>
      <c r="AS5083">
        <v>10.5</v>
      </c>
      <c r="AT5083" t="s">
        <v>521</v>
      </c>
      <c r="AU5083" t="s">
        <v>215</v>
      </c>
    </row>
    <row r="5084" spans="1:48">
      <c r="A5084" s="1">
        <f>HYPERLINK("https://lsnyc.legalserver.org/matter/dynamic-profile/view/1893448","19-1893448")</f>
        <v>0</v>
      </c>
      <c r="B5084" t="s">
        <v>92</v>
      </c>
      <c r="C5084" t="s">
        <v>256</v>
      </c>
      <c r="D5084" t="s">
        <v>373</v>
      </c>
      <c r="F5084" t="s">
        <v>3006</v>
      </c>
      <c r="G5084" t="s">
        <v>5289</v>
      </c>
      <c r="H5084" t="s">
        <v>6908</v>
      </c>
      <c r="J5084" t="s">
        <v>9059</v>
      </c>
      <c r="K5084">
        <v>11208</v>
      </c>
      <c r="L5084" t="s">
        <v>9094</v>
      </c>
      <c r="M5084" t="s">
        <v>9094</v>
      </c>
      <c r="O5084" t="s">
        <v>11137</v>
      </c>
      <c r="P5084" t="s">
        <v>11167</v>
      </c>
      <c r="R5084" t="s">
        <v>11180</v>
      </c>
      <c r="S5084" t="s">
        <v>9094</v>
      </c>
      <c r="T5084" t="s">
        <v>11183</v>
      </c>
      <c r="U5084" t="s">
        <v>11201</v>
      </c>
      <c r="V5084" t="s">
        <v>589</v>
      </c>
      <c r="W5084">
        <v>0</v>
      </c>
      <c r="X5084" t="s">
        <v>11332</v>
      </c>
      <c r="Z5084" t="s">
        <v>14626</v>
      </c>
      <c r="AB5084" t="s">
        <v>18942</v>
      </c>
      <c r="AC5084">
        <v>9</v>
      </c>
      <c r="AF5084">
        <v>0</v>
      </c>
      <c r="AG5084">
        <v>2</v>
      </c>
      <c r="AH5084">
        <v>0</v>
      </c>
      <c r="AI5084">
        <v>215.26</v>
      </c>
      <c r="AJ5084" t="s">
        <v>624</v>
      </c>
      <c r="AK5084" t="s">
        <v>19612</v>
      </c>
      <c r="AL5084" t="s">
        <v>19614</v>
      </c>
      <c r="AM5084">
        <v>36400</v>
      </c>
      <c r="AN5084" t="s">
        <v>20079</v>
      </c>
      <c r="AS5084">
        <v>0</v>
      </c>
      <c r="AU5084" t="s">
        <v>95</v>
      </c>
    </row>
    <row r="5085" spans="1:48">
      <c r="A5085" s="1">
        <f>HYPERLINK("https://lsnyc.legalserver.org/matter/dynamic-profile/view/0828951","17-0828951")</f>
        <v>0</v>
      </c>
      <c r="B5085" t="s">
        <v>78</v>
      </c>
      <c r="C5085" t="s">
        <v>256</v>
      </c>
      <c r="D5085" t="s">
        <v>966</v>
      </c>
      <c r="F5085" t="s">
        <v>1276</v>
      </c>
      <c r="G5085" t="s">
        <v>5274</v>
      </c>
      <c r="H5085" t="s">
        <v>5809</v>
      </c>
      <c r="I5085" t="s">
        <v>8171</v>
      </c>
      <c r="J5085" t="s">
        <v>9059</v>
      </c>
      <c r="K5085">
        <v>11212</v>
      </c>
      <c r="L5085" t="s">
        <v>9094</v>
      </c>
      <c r="M5085" t="s">
        <v>9095</v>
      </c>
      <c r="N5085" t="s">
        <v>10189</v>
      </c>
      <c r="O5085" t="s">
        <v>9121</v>
      </c>
      <c r="P5085" t="s">
        <v>11168</v>
      </c>
      <c r="R5085" t="s">
        <v>11180</v>
      </c>
      <c r="S5085" t="s">
        <v>9094</v>
      </c>
      <c r="T5085" t="s">
        <v>11183</v>
      </c>
      <c r="V5085" t="s">
        <v>1087</v>
      </c>
      <c r="W5085">
        <v>1201</v>
      </c>
      <c r="X5085" t="s">
        <v>11332</v>
      </c>
      <c r="Y5085" t="s">
        <v>11157</v>
      </c>
      <c r="Z5085" t="s">
        <v>14607</v>
      </c>
      <c r="AB5085" t="s">
        <v>18927</v>
      </c>
      <c r="AC5085">
        <v>32</v>
      </c>
      <c r="AD5085" t="s">
        <v>19566</v>
      </c>
      <c r="AF5085">
        <v>10</v>
      </c>
      <c r="AG5085">
        <v>2</v>
      </c>
      <c r="AH5085">
        <v>0</v>
      </c>
      <c r="AI5085">
        <v>215.52</v>
      </c>
      <c r="AL5085" t="s">
        <v>19614</v>
      </c>
      <c r="AM5085">
        <v>35000</v>
      </c>
      <c r="AS5085">
        <v>0.25</v>
      </c>
      <c r="AT5085" t="s">
        <v>778</v>
      </c>
      <c r="AU5085" t="s">
        <v>78</v>
      </c>
    </row>
    <row r="5086" spans="1:48">
      <c r="A5086" s="1">
        <f>HYPERLINK("https://lsnyc.legalserver.org/matter/dynamic-profile/view/1866878","18-1866878")</f>
        <v>0</v>
      </c>
      <c r="B5086" t="s">
        <v>78</v>
      </c>
      <c r="C5086" t="s">
        <v>256</v>
      </c>
      <c r="D5086" t="s">
        <v>600</v>
      </c>
      <c r="F5086" t="s">
        <v>1276</v>
      </c>
      <c r="G5086" t="s">
        <v>5274</v>
      </c>
      <c r="H5086" t="s">
        <v>5809</v>
      </c>
      <c r="I5086" t="s">
        <v>8171</v>
      </c>
      <c r="J5086" t="s">
        <v>9059</v>
      </c>
      <c r="K5086">
        <v>11212</v>
      </c>
      <c r="L5086" t="s">
        <v>9094</v>
      </c>
      <c r="M5086" t="s">
        <v>9095</v>
      </c>
      <c r="O5086" t="s">
        <v>9121</v>
      </c>
      <c r="P5086" t="s">
        <v>11168</v>
      </c>
      <c r="R5086" t="s">
        <v>11180</v>
      </c>
      <c r="S5086" t="s">
        <v>9094</v>
      </c>
      <c r="T5086" t="s">
        <v>11183</v>
      </c>
      <c r="V5086" t="s">
        <v>733</v>
      </c>
      <c r="W5086">
        <v>1201</v>
      </c>
      <c r="X5086" t="s">
        <v>11332</v>
      </c>
      <c r="Z5086" t="s">
        <v>14607</v>
      </c>
      <c r="AB5086" t="s">
        <v>18927</v>
      </c>
      <c r="AC5086">
        <v>31</v>
      </c>
      <c r="AD5086" t="s">
        <v>19566</v>
      </c>
      <c r="AF5086">
        <v>11</v>
      </c>
      <c r="AG5086">
        <v>2</v>
      </c>
      <c r="AH5086">
        <v>0</v>
      </c>
      <c r="AI5086">
        <v>215.52</v>
      </c>
      <c r="AL5086" t="s">
        <v>19614</v>
      </c>
      <c r="AM5086">
        <v>35000</v>
      </c>
      <c r="AS5086">
        <v>0.25</v>
      </c>
      <c r="AT5086" t="s">
        <v>600</v>
      </c>
      <c r="AU5086" t="s">
        <v>78</v>
      </c>
    </row>
    <row r="5087" spans="1:48">
      <c r="A5087" s="1">
        <f>HYPERLINK("https://lsnyc.legalserver.org/matter/dynamic-profile/view/1856743","18-1856743")</f>
        <v>0</v>
      </c>
      <c r="B5087" t="s">
        <v>103</v>
      </c>
      <c r="C5087" t="s">
        <v>256</v>
      </c>
      <c r="D5087" t="s">
        <v>844</v>
      </c>
      <c r="F5087" t="s">
        <v>2998</v>
      </c>
      <c r="G5087" t="s">
        <v>5276</v>
      </c>
      <c r="H5087" t="s">
        <v>6413</v>
      </c>
      <c r="I5087" t="s">
        <v>8217</v>
      </c>
      <c r="J5087" t="s">
        <v>9065</v>
      </c>
      <c r="K5087">
        <v>10456</v>
      </c>
      <c r="L5087" t="s">
        <v>9094</v>
      </c>
      <c r="M5087" t="s">
        <v>9095</v>
      </c>
      <c r="N5087" t="s">
        <v>9740</v>
      </c>
      <c r="O5087" t="s">
        <v>11135</v>
      </c>
      <c r="P5087" t="s">
        <v>11168</v>
      </c>
      <c r="R5087" t="s">
        <v>11180</v>
      </c>
      <c r="S5087" t="s">
        <v>9094</v>
      </c>
      <c r="T5087" t="s">
        <v>11183</v>
      </c>
      <c r="V5087" t="s">
        <v>1122</v>
      </c>
      <c r="W5087">
        <v>1245</v>
      </c>
      <c r="X5087" t="s">
        <v>11333</v>
      </c>
      <c r="Y5087" t="s">
        <v>11346</v>
      </c>
      <c r="Z5087" t="s">
        <v>13922</v>
      </c>
      <c r="AB5087" t="s">
        <v>18929</v>
      </c>
      <c r="AC5087">
        <v>61</v>
      </c>
      <c r="AD5087" t="s">
        <v>19566</v>
      </c>
      <c r="AE5087" t="s">
        <v>19581</v>
      </c>
      <c r="AF5087">
        <v>21</v>
      </c>
      <c r="AG5087">
        <v>1</v>
      </c>
      <c r="AH5087">
        <v>1</v>
      </c>
      <c r="AI5087">
        <v>215.52</v>
      </c>
      <c r="AJ5087" t="s">
        <v>19597</v>
      </c>
      <c r="AL5087" t="s">
        <v>19614</v>
      </c>
      <c r="AM5087">
        <v>35000</v>
      </c>
      <c r="AS5087">
        <v>0.5</v>
      </c>
      <c r="AT5087" t="s">
        <v>844</v>
      </c>
      <c r="AU5087" t="s">
        <v>20642</v>
      </c>
    </row>
    <row r="5088" spans="1:48">
      <c r="A5088" s="1">
        <f>HYPERLINK("https://lsnyc.legalserver.org/matter/dynamic-profile/view/1891500","19-1891500")</f>
        <v>0</v>
      </c>
      <c r="B5088" t="s">
        <v>70</v>
      </c>
      <c r="C5088" t="s">
        <v>256</v>
      </c>
      <c r="D5088" t="s">
        <v>316</v>
      </c>
      <c r="F5088" t="s">
        <v>3007</v>
      </c>
      <c r="G5088" t="s">
        <v>4144</v>
      </c>
      <c r="H5088" t="s">
        <v>5749</v>
      </c>
      <c r="I5088" t="s">
        <v>8341</v>
      </c>
      <c r="J5088" t="s">
        <v>9059</v>
      </c>
      <c r="K5088">
        <v>11233</v>
      </c>
      <c r="L5088" t="s">
        <v>9094</v>
      </c>
      <c r="M5088" t="s">
        <v>9096</v>
      </c>
      <c r="N5088" t="s">
        <v>9146</v>
      </c>
      <c r="O5088" t="s">
        <v>11134</v>
      </c>
      <c r="P5088" t="s">
        <v>11168</v>
      </c>
      <c r="R5088" t="s">
        <v>11180</v>
      </c>
      <c r="S5088" t="s">
        <v>9094</v>
      </c>
      <c r="T5088" t="s">
        <v>11183</v>
      </c>
      <c r="U5088" t="s">
        <v>11201</v>
      </c>
      <c r="V5088" t="s">
        <v>482</v>
      </c>
      <c r="W5088">
        <v>997</v>
      </c>
      <c r="X5088" t="s">
        <v>11332</v>
      </c>
      <c r="Z5088" t="s">
        <v>12230</v>
      </c>
      <c r="AC5088">
        <v>359</v>
      </c>
      <c r="AD5088" t="s">
        <v>19566</v>
      </c>
      <c r="AF5088">
        <v>40</v>
      </c>
      <c r="AG5088">
        <v>2</v>
      </c>
      <c r="AH5088">
        <v>1</v>
      </c>
      <c r="AI5088">
        <v>215.66</v>
      </c>
      <c r="AJ5088" t="s">
        <v>546</v>
      </c>
      <c r="AK5088" t="s">
        <v>19612</v>
      </c>
      <c r="AL5088" t="s">
        <v>19614</v>
      </c>
      <c r="AM5088">
        <v>46000</v>
      </c>
      <c r="AN5088" t="s">
        <v>19641</v>
      </c>
      <c r="AS5088">
        <v>0</v>
      </c>
      <c r="AU5088" t="s">
        <v>95</v>
      </c>
    </row>
    <row r="5089" spans="1:48">
      <c r="A5089" s="1">
        <f>HYPERLINK("https://lsnyc.legalserver.org/matter/dynamic-profile/view/1891502","19-1891502")</f>
        <v>0</v>
      </c>
      <c r="B5089" t="s">
        <v>70</v>
      </c>
      <c r="C5089" t="s">
        <v>256</v>
      </c>
      <c r="D5089" t="s">
        <v>316</v>
      </c>
      <c r="F5089" t="s">
        <v>3007</v>
      </c>
      <c r="G5089" t="s">
        <v>4144</v>
      </c>
      <c r="H5089" t="s">
        <v>5749</v>
      </c>
      <c r="I5089" t="s">
        <v>8341</v>
      </c>
      <c r="J5089" t="s">
        <v>9059</v>
      </c>
      <c r="K5089">
        <v>11233</v>
      </c>
      <c r="L5089" t="s">
        <v>9094</v>
      </c>
      <c r="M5089" t="s">
        <v>9096</v>
      </c>
      <c r="N5089" t="s">
        <v>9144</v>
      </c>
      <c r="O5089" t="s">
        <v>11137</v>
      </c>
      <c r="P5089" t="s">
        <v>11167</v>
      </c>
      <c r="R5089" t="s">
        <v>11180</v>
      </c>
      <c r="S5089" t="s">
        <v>9094</v>
      </c>
      <c r="T5089" t="s">
        <v>11183</v>
      </c>
      <c r="U5089" t="s">
        <v>11201</v>
      </c>
      <c r="V5089" t="s">
        <v>749</v>
      </c>
      <c r="W5089">
        <v>997</v>
      </c>
      <c r="X5089" t="s">
        <v>11332</v>
      </c>
      <c r="Z5089" t="s">
        <v>12230</v>
      </c>
      <c r="AC5089">
        <v>359</v>
      </c>
      <c r="AD5089" t="s">
        <v>19566</v>
      </c>
      <c r="AF5089">
        <v>40</v>
      </c>
      <c r="AG5089">
        <v>2</v>
      </c>
      <c r="AH5089">
        <v>1</v>
      </c>
      <c r="AI5089">
        <v>215.66</v>
      </c>
      <c r="AJ5089" t="s">
        <v>546</v>
      </c>
      <c r="AK5089" t="s">
        <v>19612</v>
      </c>
      <c r="AL5089" t="s">
        <v>19614</v>
      </c>
      <c r="AM5089">
        <v>46000</v>
      </c>
      <c r="AN5089" t="s">
        <v>20080</v>
      </c>
      <c r="AS5089">
        <v>0</v>
      </c>
      <c r="AU5089" t="s">
        <v>95</v>
      </c>
    </row>
    <row r="5090" spans="1:48">
      <c r="A5090" s="1">
        <f>HYPERLINK("https://lsnyc.legalserver.org/matter/dynamic-profile/view/1909505","19-1909505")</f>
        <v>0</v>
      </c>
      <c r="B5090" t="s">
        <v>71</v>
      </c>
      <c r="C5090" t="s">
        <v>256</v>
      </c>
      <c r="D5090" t="s">
        <v>273</v>
      </c>
      <c r="F5090" t="s">
        <v>1852</v>
      </c>
      <c r="G5090" t="s">
        <v>5290</v>
      </c>
      <c r="H5090" t="s">
        <v>7890</v>
      </c>
      <c r="I5090" t="s">
        <v>8119</v>
      </c>
      <c r="J5090" t="s">
        <v>9059</v>
      </c>
      <c r="K5090">
        <v>11207</v>
      </c>
      <c r="L5090" t="s">
        <v>9094</v>
      </c>
      <c r="M5090" t="s">
        <v>9095</v>
      </c>
      <c r="N5090" t="s">
        <v>10913</v>
      </c>
      <c r="O5090" t="s">
        <v>11129</v>
      </c>
      <c r="P5090" t="s">
        <v>11165</v>
      </c>
      <c r="R5090" t="s">
        <v>11180</v>
      </c>
      <c r="S5090" t="s">
        <v>9096</v>
      </c>
      <c r="T5090" t="s">
        <v>11183</v>
      </c>
      <c r="U5090" t="s">
        <v>11201</v>
      </c>
      <c r="V5090" t="s">
        <v>435</v>
      </c>
      <c r="W5090">
        <v>538</v>
      </c>
      <c r="X5090" t="s">
        <v>11332</v>
      </c>
      <c r="Y5090" t="s">
        <v>11157</v>
      </c>
      <c r="Z5090" t="s">
        <v>13724</v>
      </c>
      <c r="AB5090" t="s">
        <v>18943</v>
      </c>
      <c r="AC5090">
        <v>60</v>
      </c>
      <c r="AD5090" t="s">
        <v>19570</v>
      </c>
      <c r="AE5090" t="s">
        <v>11157</v>
      </c>
      <c r="AF5090">
        <v>20</v>
      </c>
      <c r="AG5090">
        <v>2</v>
      </c>
      <c r="AH5090">
        <v>1</v>
      </c>
      <c r="AI5090">
        <v>215.66</v>
      </c>
      <c r="AJ5090" t="s">
        <v>476</v>
      </c>
      <c r="AK5090" t="s">
        <v>19612</v>
      </c>
      <c r="AL5090" t="s">
        <v>19614</v>
      </c>
      <c r="AM5090">
        <v>46000</v>
      </c>
      <c r="AS5090">
        <v>2.2</v>
      </c>
      <c r="AT5090" t="s">
        <v>276</v>
      </c>
      <c r="AU5090" t="s">
        <v>79</v>
      </c>
      <c r="AV5090" t="s">
        <v>20733</v>
      </c>
    </row>
    <row r="5091" spans="1:48">
      <c r="A5091" s="1">
        <f>HYPERLINK("https://lsnyc.legalserver.org/matter/dynamic-profile/view/1914136","19-1914136")</f>
        <v>0</v>
      </c>
      <c r="B5091" t="s">
        <v>98</v>
      </c>
      <c r="C5091" t="s">
        <v>256</v>
      </c>
      <c r="D5091" t="s">
        <v>395</v>
      </c>
      <c r="F5091" t="s">
        <v>3008</v>
      </c>
      <c r="G5091" t="s">
        <v>3821</v>
      </c>
      <c r="H5091" t="s">
        <v>7891</v>
      </c>
      <c r="I5091" t="s">
        <v>8197</v>
      </c>
      <c r="J5091" t="s">
        <v>9065</v>
      </c>
      <c r="K5091">
        <v>10456</v>
      </c>
      <c r="L5091" t="s">
        <v>9095</v>
      </c>
      <c r="M5091" t="s">
        <v>9095</v>
      </c>
      <c r="O5091" t="s">
        <v>11134</v>
      </c>
      <c r="P5091" t="s">
        <v>11168</v>
      </c>
      <c r="R5091" t="s">
        <v>11180</v>
      </c>
      <c r="S5091" t="s">
        <v>9094</v>
      </c>
      <c r="T5091" t="s">
        <v>11183</v>
      </c>
      <c r="W5091">
        <v>0</v>
      </c>
      <c r="X5091" t="s">
        <v>11333</v>
      </c>
      <c r="Z5091" t="s">
        <v>11609</v>
      </c>
      <c r="AC5091">
        <v>0</v>
      </c>
      <c r="AF5091">
        <v>16</v>
      </c>
      <c r="AG5091">
        <v>2</v>
      </c>
      <c r="AH5091">
        <v>1</v>
      </c>
      <c r="AI5091">
        <v>215.66</v>
      </c>
      <c r="AL5091" t="s">
        <v>19614</v>
      </c>
      <c r="AM5091">
        <v>46000</v>
      </c>
      <c r="AS5091">
        <v>0</v>
      </c>
      <c r="AU5091" t="s">
        <v>98</v>
      </c>
    </row>
    <row r="5092" spans="1:48">
      <c r="A5092" s="1">
        <f>HYPERLINK("https://lsnyc.legalserver.org/matter/dynamic-profile/view/1912303","19-1912303")</f>
        <v>0</v>
      </c>
      <c r="B5092" t="s">
        <v>98</v>
      </c>
      <c r="C5092" t="s">
        <v>256</v>
      </c>
      <c r="D5092" t="s">
        <v>309</v>
      </c>
      <c r="F5092" t="s">
        <v>3008</v>
      </c>
      <c r="G5092" t="s">
        <v>3821</v>
      </c>
      <c r="H5092" t="s">
        <v>7891</v>
      </c>
      <c r="I5092" t="s">
        <v>8197</v>
      </c>
      <c r="J5092" t="s">
        <v>9065</v>
      </c>
      <c r="K5092">
        <v>10456</v>
      </c>
      <c r="L5092" t="s">
        <v>9094</v>
      </c>
      <c r="M5092" t="s">
        <v>9095</v>
      </c>
      <c r="N5092" t="s">
        <v>9235</v>
      </c>
      <c r="O5092" t="s">
        <v>11130</v>
      </c>
      <c r="P5092" t="s">
        <v>11165</v>
      </c>
      <c r="R5092" t="s">
        <v>11180</v>
      </c>
      <c r="S5092" t="s">
        <v>9094</v>
      </c>
      <c r="T5092" t="s">
        <v>11183</v>
      </c>
      <c r="W5092">
        <v>0</v>
      </c>
      <c r="X5092" t="s">
        <v>11333</v>
      </c>
      <c r="Y5092" t="s">
        <v>11346</v>
      </c>
      <c r="Z5092" t="s">
        <v>11609</v>
      </c>
      <c r="AC5092">
        <v>30</v>
      </c>
      <c r="AD5092" t="s">
        <v>15441</v>
      </c>
      <c r="AE5092" t="s">
        <v>9144</v>
      </c>
      <c r="AF5092">
        <v>16</v>
      </c>
      <c r="AG5092">
        <v>2</v>
      </c>
      <c r="AH5092">
        <v>1</v>
      </c>
      <c r="AI5092">
        <v>215.66</v>
      </c>
      <c r="AL5092" t="s">
        <v>19614</v>
      </c>
      <c r="AM5092">
        <v>46000</v>
      </c>
      <c r="AS5092">
        <v>0</v>
      </c>
      <c r="AU5092" t="s">
        <v>20642</v>
      </c>
      <c r="AV5092" t="s">
        <v>20733</v>
      </c>
    </row>
    <row r="5093" spans="1:48">
      <c r="A5093" s="1">
        <f>HYPERLINK("https://lsnyc.legalserver.org/matter/dynamic-profile/view/1911209","19-1911209")</f>
        <v>0</v>
      </c>
      <c r="B5093" t="s">
        <v>178</v>
      </c>
      <c r="C5093" t="s">
        <v>257</v>
      </c>
      <c r="D5093" t="s">
        <v>336</v>
      </c>
      <c r="E5093" t="s">
        <v>664</v>
      </c>
      <c r="F5093" t="s">
        <v>1310</v>
      </c>
      <c r="G5093" t="s">
        <v>5291</v>
      </c>
      <c r="H5093" t="s">
        <v>7817</v>
      </c>
      <c r="I5093" t="s">
        <v>8329</v>
      </c>
      <c r="J5093" t="s">
        <v>9065</v>
      </c>
      <c r="K5093">
        <v>10452</v>
      </c>
      <c r="L5093" t="s">
        <v>9094</v>
      </c>
      <c r="M5093" t="s">
        <v>9095</v>
      </c>
      <c r="O5093" t="s">
        <v>11136</v>
      </c>
      <c r="P5093" t="s">
        <v>11164</v>
      </c>
      <c r="Q5093" t="s">
        <v>11172</v>
      </c>
      <c r="R5093" t="s">
        <v>11180</v>
      </c>
      <c r="S5093" t="s">
        <v>9096</v>
      </c>
      <c r="T5093" t="s">
        <v>11183</v>
      </c>
      <c r="W5093">
        <v>0</v>
      </c>
      <c r="X5093" t="s">
        <v>11333</v>
      </c>
      <c r="Z5093" t="s">
        <v>14627</v>
      </c>
      <c r="AB5093" t="s">
        <v>18944</v>
      </c>
      <c r="AC5093">
        <v>0</v>
      </c>
      <c r="AE5093" t="s">
        <v>9144</v>
      </c>
      <c r="AF5093">
        <v>0</v>
      </c>
      <c r="AG5093">
        <v>2</v>
      </c>
      <c r="AH5093">
        <v>1</v>
      </c>
      <c r="AI5093">
        <v>215.66</v>
      </c>
      <c r="AK5093" t="s">
        <v>19613</v>
      </c>
      <c r="AL5093" t="s">
        <v>19614</v>
      </c>
      <c r="AM5093">
        <v>46000</v>
      </c>
      <c r="AS5093">
        <v>1.75</v>
      </c>
      <c r="AT5093" t="s">
        <v>664</v>
      </c>
      <c r="AU5093" t="s">
        <v>178</v>
      </c>
      <c r="AV5093" t="s">
        <v>20733</v>
      </c>
    </row>
    <row r="5094" spans="1:48">
      <c r="A5094" s="1">
        <f>HYPERLINK("https://lsnyc.legalserver.org/matter/dynamic-profile/view/1903247","19-1903247")</f>
        <v>0</v>
      </c>
      <c r="B5094" t="s">
        <v>136</v>
      </c>
      <c r="C5094" t="s">
        <v>256</v>
      </c>
      <c r="D5094" t="s">
        <v>280</v>
      </c>
      <c r="F5094" t="s">
        <v>1145</v>
      </c>
      <c r="G5094" t="s">
        <v>5164</v>
      </c>
      <c r="H5094" t="s">
        <v>6670</v>
      </c>
      <c r="I5094">
        <v>34</v>
      </c>
      <c r="J5094" t="s">
        <v>9067</v>
      </c>
      <c r="K5094">
        <v>10039</v>
      </c>
      <c r="L5094" t="s">
        <v>9094</v>
      </c>
      <c r="M5094" t="s">
        <v>9095</v>
      </c>
      <c r="N5094" t="s">
        <v>10914</v>
      </c>
      <c r="O5094" t="s">
        <v>11132</v>
      </c>
      <c r="P5094" t="s">
        <v>11165</v>
      </c>
      <c r="R5094" t="s">
        <v>11180</v>
      </c>
      <c r="S5094" t="s">
        <v>9094</v>
      </c>
      <c r="T5094" t="s">
        <v>11183</v>
      </c>
      <c r="U5094" t="s">
        <v>11201</v>
      </c>
      <c r="V5094" t="s">
        <v>280</v>
      </c>
      <c r="W5094">
        <v>1600</v>
      </c>
      <c r="X5094" t="s">
        <v>11335</v>
      </c>
      <c r="Y5094" t="s">
        <v>11340</v>
      </c>
      <c r="Z5094" t="s">
        <v>14386</v>
      </c>
      <c r="AB5094" t="s">
        <v>18707</v>
      </c>
      <c r="AC5094">
        <v>34</v>
      </c>
      <c r="AD5094" t="s">
        <v>19565</v>
      </c>
      <c r="AE5094" t="s">
        <v>9144</v>
      </c>
      <c r="AF5094">
        <v>4</v>
      </c>
      <c r="AG5094">
        <v>1</v>
      </c>
      <c r="AH5094">
        <v>0</v>
      </c>
      <c r="AI5094">
        <v>215.69</v>
      </c>
      <c r="AL5094" t="s">
        <v>19614</v>
      </c>
      <c r="AM5094">
        <v>26940</v>
      </c>
      <c r="AS5094">
        <v>15.5</v>
      </c>
      <c r="AT5094" t="s">
        <v>301</v>
      </c>
      <c r="AU5094" t="s">
        <v>20657</v>
      </c>
      <c r="AV5094" t="s">
        <v>20733</v>
      </c>
    </row>
    <row r="5095" spans="1:48">
      <c r="A5095" s="1">
        <f>HYPERLINK("https://lsnyc.legalserver.org/matter/dynamic-profile/view/1898022","19-1898022")</f>
        <v>0</v>
      </c>
      <c r="B5095" t="s">
        <v>70</v>
      </c>
      <c r="C5095" t="s">
        <v>256</v>
      </c>
      <c r="D5095" t="s">
        <v>598</v>
      </c>
      <c r="F5095" t="s">
        <v>1510</v>
      </c>
      <c r="G5095" t="s">
        <v>3942</v>
      </c>
      <c r="H5095" t="s">
        <v>6474</v>
      </c>
      <c r="I5095" t="s">
        <v>8375</v>
      </c>
      <c r="J5095" t="s">
        <v>9059</v>
      </c>
      <c r="K5095">
        <v>11233</v>
      </c>
      <c r="L5095" t="s">
        <v>9094</v>
      </c>
      <c r="M5095" t="s">
        <v>9096</v>
      </c>
      <c r="N5095" t="s">
        <v>9146</v>
      </c>
      <c r="O5095" t="s">
        <v>11134</v>
      </c>
      <c r="P5095" t="s">
        <v>11168</v>
      </c>
      <c r="R5095" t="s">
        <v>11180</v>
      </c>
      <c r="S5095" t="s">
        <v>9094</v>
      </c>
      <c r="T5095" t="s">
        <v>11183</v>
      </c>
      <c r="U5095" t="s">
        <v>11201</v>
      </c>
      <c r="V5095" t="s">
        <v>482</v>
      </c>
      <c r="W5095">
        <v>836.36</v>
      </c>
      <c r="X5095" t="s">
        <v>11332</v>
      </c>
      <c r="Y5095" t="s">
        <v>11157</v>
      </c>
      <c r="Z5095" t="s">
        <v>14628</v>
      </c>
      <c r="AB5095" t="s">
        <v>18945</v>
      </c>
      <c r="AC5095">
        <v>359</v>
      </c>
      <c r="AD5095" t="s">
        <v>19566</v>
      </c>
      <c r="AF5095">
        <v>16</v>
      </c>
      <c r="AG5095">
        <v>1</v>
      </c>
      <c r="AH5095">
        <v>0</v>
      </c>
      <c r="AI5095">
        <v>216.17</v>
      </c>
      <c r="AL5095" t="s">
        <v>19614</v>
      </c>
      <c r="AM5095">
        <v>27000</v>
      </c>
      <c r="AN5095" t="s">
        <v>20081</v>
      </c>
      <c r="AS5095">
        <v>0</v>
      </c>
      <c r="AU5095" t="s">
        <v>79</v>
      </c>
    </row>
    <row r="5096" spans="1:48">
      <c r="A5096" s="1">
        <f>HYPERLINK("https://lsnyc.legalserver.org/matter/dynamic-profile/view/1898027","19-1898027")</f>
        <v>0</v>
      </c>
      <c r="B5096" t="s">
        <v>70</v>
      </c>
      <c r="C5096" t="s">
        <v>256</v>
      </c>
      <c r="D5096" t="s">
        <v>598</v>
      </c>
      <c r="F5096" t="s">
        <v>1510</v>
      </c>
      <c r="G5096" t="s">
        <v>3942</v>
      </c>
      <c r="H5096" t="s">
        <v>6474</v>
      </c>
      <c r="I5096" t="s">
        <v>8375</v>
      </c>
      <c r="J5096" t="s">
        <v>9059</v>
      </c>
      <c r="K5096">
        <v>11233</v>
      </c>
      <c r="L5096" t="s">
        <v>9094</v>
      </c>
      <c r="M5096" t="s">
        <v>9096</v>
      </c>
      <c r="O5096" t="s">
        <v>11137</v>
      </c>
      <c r="P5096" t="s">
        <v>11167</v>
      </c>
      <c r="R5096" t="s">
        <v>11180</v>
      </c>
      <c r="S5096" t="s">
        <v>9094</v>
      </c>
      <c r="T5096" t="s">
        <v>11183</v>
      </c>
      <c r="U5096" t="s">
        <v>11201</v>
      </c>
      <c r="V5096" t="s">
        <v>749</v>
      </c>
      <c r="W5096">
        <v>836.36</v>
      </c>
      <c r="X5096" t="s">
        <v>11332</v>
      </c>
      <c r="Y5096" t="s">
        <v>11157</v>
      </c>
      <c r="Z5096" t="s">
        <v>14628</v>
      </c>
      <c r="AB5096" t="s">
        <v>18945</v>
      </c>
      <c r="AC5096">
        <v>359</v>
      </c>
      <c r="AD5096" t="s">
        <v>19566</v>
      </c>
      <c r="AF5096">
        <v>16</v>
      </c>
      <c r="AG5096">
        <v>1</v>
      </c>
      <c r="AH5096">
        <v>0</v>
      </c>
      <c r="AI5096">
        <v>216.17</v>
      </c>
      <c r="AL5096" t="s">
        <v>19614</v>
      </c>
      <c r="AM5096">
        <v>27000</v>
      </c>
      <c r="AN5096" t="s">
        <v>20082</v>
      </c>
      <c r="AS5096">
        <v>0</v>
      </c>
      <c r="AU5096" t="s">
        <v>79</v>
      </c>
    </row>
    <row r="5097" spans="1:48">
      <c r="A5097" s="1">
        <f>HYPERLINK("https://lsnyc.legalserver.org/matter/dynamic-profile/view/1871147","18-1871147")</f>
        <v>0</v>
      </c>
      <c r="B5097" t="s">
        <v>108</v>
      </c>
      <c r="C5097" t="s">
        <v>256</v>
      </c>
      <c r="D5097" t="s">
        <v>1096</v>
      </c>
      <c r="F5097" t="s">
        <v>1577</v>
      </c>
      <c r="G5097" t="s">
        <v>3343</v>
      </c>
      <c r="H5097" t="s">
        <v>7892</v>
      </c>
      <c r="I5097" t="s">
        <v>8802</v>
      </c>
      <c r="J5097" t="s">
        <v>9065</v>
      </c>
      <c r="K5097">
        <v>10452</v>
      </c>
      <c r="L5097" t="s">
        <v>9094</v>
      </c>
      <c r="M5097" t="s">
        <v>9095</v>
      </c>
      <c r="N5097" t="s">
        <v>10915</v>
      </c>
      <c r="O5097" t="s">
        <v>11129</v>
      </c>
      <c r="P5097" t="s">
        <v>11165</v>
      </c>
      <c r="R5097" t="s">
        <v>11180</v>
      </c>
      <c r="S5097" t="s">
        <v>9096</v>
      </c>
      <c r="T5097" t="s">
        <v>11183</v>
      </c>
      <c r="V5097" t="s">
        <v>675</v>
      </c>
      <c r="W5097">
        <v>1194.67</v>
      </c>
      <c r="X5097" t="s">
        <v>11333</v>
      </c>
      <c r="Y5097" t="s">
        <v>11338</v>
      </c>
      <c r="Z5097" t="s">
        <v>14629</v>
      </c>
      <c r="AB5097" t="s">
        <v>18946</v>
      </c>
      <c r="AC5097">
        <v>0</v>
      </c>
      <c r="AF5097">
        <v>20</v>
      </c>
      <c r="AG5097">
        <v>1</v>
      </c>
      <c r="AH5097">
        <v>0</v>
      </c>
      <c r="AI5097">
        <v>216.38</v>
      </c>
      <c r="AL5097" t="s">
        <v>19614</v>
      </c>
      <c r="AM5097">
        <v>26268</v>
      </c>
      <c r="AO5097" t="s">
        <v>20290</v>
      </c>
      <c r="AP5097" t="s">
        <v>20313</v>
      </c>
      <c r="AQ5097" t="s">
        <v>20369</v>
      </c>
      <c r="AR5097" t="s">
        <v>20566</v>
      </c>
      <c r="AS5097">
        <v>16.8</v>
      </c>
      <c r="AT5097" t="s">
        <v>301</v>
      </c>
      <c r="AU5097" t="s">
        <v>101</v>
      </c>
    </row>
    <row r="5098" spans="1:48">
      <c r="A5098" s="1">
        <f>HYPERLINK("https://lsnyc.legalserver.org/matter/dynamic-profile/view/1857600","18-1857600")</f>
        <v>0</v>
      </c>
      <c r="B5098" t="s">
        <v>122</v>
      </c>
      <c r="C5098" t="s">
        <v>257</v>
      </c>
      <c r="D5098" t="s">
        <v>755</v>
      </c>
      <c r="E5098" t="s">
        <v>416</v>
      </c>
      <c r="F5098" t="s">
        <v>1200</v>
      </c>
      <c r="G5098" t="s">
        <v>5043</v>
      </c>
      <c r="H5098" t="s">
        <v>6444</v>
      </c>
      <c r="I5098" t="s">
        <v>8202</v>
      </c>
      <c r="J5098" t="s">
        <v>9066</v>
      </c>
      <c r="K5098">
        <v>10304</v>
      </c>
      <c r="L5098" t="s">
        <v>9094</v>
      </c>
      <c r="M5098" t="s">
        <v>9095</v>
      </c>
      <c r="N5098" t="s">
        <v>9102</v>
      </c>
      <c r="O5098" t="s">
        <v>11137</v>
      </c>
      <c r="P5098" t="s">
        <v>11166</v>
      </c>
      <c r="Q5098" t="s">
        <v>11176</v>
      </c>
      <c r="R5098" t="s">
        <v>11180</v>
      </c>
      <c r="S5098" t="s">
        <v>9094</v>
      </c>
      <c r="T5098" t="s">
        <v>11183</v>
      </c>
      <c r="U5098" t="s">
        <v>11201</v>
      </c>
      <c r="V5098" t="s">
        <v>755</v>
      </c>
      <c r="W5098">
        <v>1150</v>
      </c>
      <c r="X5098" t="s">
        <v>11334</v>
      </c>
      <c r="Y5098" t="s">
        <v>11340</v>
      </c>
      <c r="Z5098" t="s">
        <v>14630</v>
      </c>
      <c r="AB5098" t="s">
        <v>18947</v>
      </c>
      <c r="AC5098">
        <v>86</v>
      </c>
      <c r="AD5098" t="s">
        <v>19566</v>
      </c>
      <c r="AE5098" t="s">
        <v>9144</v>
      </c>
      <c r="AF5098">
        <v>12</v>
      </c>
      <c r="AG5098">
        <v>2</v>
      </c>
      <c r="AH5098">
        <v>0</v>
      </c>
      <c r="AI5098">
        <v>216.5</v>
      </c>
      <c r="AJ5098" t="s">
        <v>466</v>
      </c>
      <c r="AL5098" t="s">
        <v>19614</v>
      </c>
      <c r="AM5098">
        <v>35160</v>
      </c>
      <c r="AS5098">
        <v>3.1</v>
      </c>
      <c r="AT5098" t="s">
        <v>416</v>
      </c>
      <c r="AU5098" t="s">
        <v>128</v>
      </c>
      <c r="AV5098" t="s">
        <v>20733</v>
      </c>
    </row>
    <row r="5099" spans="1:48">
      <c r="A5099" s="1">
        <f>HYPERLINK("https://lsnyc.legalserver.org/matter/dynamic-profile/view/1875736","18-1875736")</f>
        <v>0</v>
      </c>
      <c r="B5099" t="s">
        <v>60</v>
      </c>
      <c r="C5099" t="s">
        <v>257</v>
      </c>
      <c r="D5099" t="s">
        <v>742</v>
      </c>
      <c r="E5099" t="s">
        <v>320</v>
      </c>
      <c r="F5099" t="s">
        <v>1276</v>
      </c>
      <c r="G5099" t="s">
        <v>4008</v>
      </c>
      <c r="H5099" t="s">
        <v>7893</v>
      </c>
      <c r="I5099" t="s">
        <v>8438</v>
      </c>
      <c r="J5099" t="s">
        <v>9038</v>
      </c>
      <c r="K5099">
        <v>11691</v>
      </c>
      <c r="L5099" t="s">
        <v>9094</v>
      </c>
      <c r="M5099" t="s">
        <v>9094</v>
      </c>
      <c r="N5099" t="s">
        <v>10916</v>
      </c>
      <c r="O5099" t="s">
        <v>11128</v>
      </c>
      <c r="P5099" t="s">
        <v>11164</v>
      </c>
      <c r="Q5099" t="s">
        <v>11172</v>
      </c>
      <c r="R5099" t="s">
        <v>11180</v>
      </c>
      <c r="S5099" t="s">
        <v>9096</v>
      </c>
      <c r="T5099" t="s">
        <v>11183</v>
      </c>
      <c r="U5099" t="s">
        <v>11201</v>
      </c>
      <c r="V5099" t="s">
        <v>526</v>
      </c>
      <c r="W5099">
        <v>1500</v>
      </c>
      <c r="X5099" t="s">
        <v>11331</v>
      </c>
      <c r="Y5099" t="s">
        <v>11336</v>
      </c>
      <c r="Z5099" t="s">
        <v>14631</v>
      </c>
      <c r="AA5099" t="s">
        <v>15896</v>
      </c>
      <c r="AB5099" t="s">
        <v>18948</v>
      </c>
      <c r="AC5099">
        <v>2</v>
      </c>
      <c r="AD5099" t="s">
        <v>19565</v>
      </c>
      <c r="AE5099" t="s">
        <v>9144</v>
      </c>
      <c r="AF5099">
        <v>3</v>
      </c>
      <c r="AG5099">
        <v>1</v>
      </c>
      <c r="AH5099">
        <v>2</v>
      </c>
      <c r="AI5099">
        <v>216.55</v>
      </c>
      <c r="AJ5099" t="s">
        <v>458</v>
      </c>
      <c r="AK5099" t="s">
        <v>19612</v>
      </c>
      <c r="AL5099" t="s">
        <v>19614</v>
      </c>
      <c r="AM5099">
        <v>45000</v>
      </c>
      <c r="AS5099">
        <v>1.15</v>
      </c>
      <c r="AT5099" t="s">
        <v>791</v>
      </c>
      <c r="AU5099" t="s">
        <v>153</v>
      </c>
    </row>
    <row r="5100" spans="1:48">
      <c r="A5100" s="1">
        <f>HYPERLINK("https://lsnyc.legalserver.org/matter/dynamic-profile/view/1906258","19-1906258")</f>
        <v>0</v>
      </c>
      <c r="B5100" t="s">
        <v>84</v>
      </c>
      <c r="C5100" t="s">
        <v>256</v>
      </c>
      <c r="D5100" t="s">
        <v>372</v>
      </c>
      <c r="F5100" t="s">
        <v>2189</v>
      </c>
      <c r="G5100" t="s">
        <v>5292</v>
      </c>
      <c r="H5100" t="s">
        <v>7894</v>
      </c>
      <c r="I5100">
        <v>6</v>
      </c>
      <c r="J5100" t="s">
        <v>9059</v>
      </c>
      <c r="K5100">
        <v>11230</v>
      </c>
      <c r="L5100" t="s">
        <v>9094</v>
      </c>
      <c r="M5100" t="s">
        <v>9095</v>
      </c>
      <c r="O5100" t="s">
        <v>11130</v>
      </c>
      <c r="P5100" t="s">
        <v>11165</v>
      </c>
      <c r="R5100" t="s">
        <v>11180</v>
      </c>
      <c r="S5100" t="s">
        <v>9096</v>
      </c>
      <c r="T5100" t="s">
        <v>11183</v>
      </c>
      <c r="V5100" t="s">
        <v>372</v>
      </c>
      <c r="W5100">
        <v>0</v>
      </c>
      <c r="X5100" t="s">
        <v>11332</v>
      </c>
      <c r="Z5100" t="s">
        <v>14632</v>
      </c>
      <c r="AB5100" t="s">
        <v>18949</v>
      </c>
      <c r="AC5100">
        <v>6</v>
      </c>
      <c r="AD5100" t="s">
        <v>19566</v>
      </c>
      <c r="AF5100">
        <v>0</v>
      </c>
      <c r="AG5100">
        <v>2</v>
      </c>
      <c r="AH5100">
        <v>1</v>
      </c>
      <c r="AI5100">
        <v>216.6</v>
      </c>
      <c r="AJ5100" t="s">
        <v>472</v>
      </c>
      <c r="AK5100" t="s">
        <v>19612</v>
      </c>
      <c r="AL5100" t="s">
        <v>19615</v>
      </c>
      <c r="AM5100">
        <v>46200</v>
      </c>
      <c r="AS5100">
        <v>15.2</v>
      </c>
      <c r="AT5100" t="s">
        <v>284</v>
      </c>
      <c r="AU5100" t="s">
        <v>215</v>
      </c>
      <c r="AV5100" t="s">
        <v>20733</v>
      </c>
    </row>
    <row r="5101" spans="1:48">
      <c r="A5101" s="1">
        <f>HYPERLINK("https://lsnyc.legalserver.org/matter/dynamic-profile/view/1858760","18-1858760")</f>
        <v>0</v>
      </c>
      <c r="B5101" t="s">
        <v>101</v>
      </c>
      <c r="C5101" t="s">
        <v>256</v>
      </c>
      <c r="D5101" t="s">
        <v>1097</v>
      </c>
      <c r="F5101" t="s">
        <v>2831</v>
      </c>
      <c r="G5101" t="s">
        <v>5094</v>
      </c>
      <c r="H5101" t="s">
        <v>6041</v>
      </c>
      <c r="I5101" t="s">
        <v>8168</v>
      </c>
      <c r="J5101" t="s">
        <v>9065</v>
      </c>
      <c r="K5101">
        <v>10452</v>
      </c>
      <c r="L5101" t="s">
        <v>9094</v>
      </c>
      <c r="M5101" t="s">
        <v>9095</v>
      </c>
      <c r="N5101" t="s">
        <v>9496</v>
      </c>
      <c r="O5101" t="s">
        <v>11135</v>
      </c>
      <c r="P5101" t="s">
        <v>11168</v>
      </c>
      <c r="R5101" t="s">
        <v>11180</v>
      </c>
      <c r="S5101" t="s">
        <v>9094</v>
      </c>
      <c r="T5101" t="s">
        <v>11183</v>
      </c>
      <c r="V5101" t="s">
        <v>687</v>
      </c>
      <c r="W5101">
        <v>0</v>
      </c>
      <c r="X5101" t="s">
        <v>11333</v>
      </c>
      <c r="Y5101" t="s">
        <v>11346</v>
      </c>
      <c r="Z5101" t="s">
        <v>14248</v>
      </c>
      <c r="AB5101" t="s">
        <v>18572</v>
      </c>
      <c r="AC5101">
        <v>62</v>
      </c>
      <c r="AD5101" t="s">
        <v>19566</v>
      </c>
      <c r="AE5101" t="s">
        <v>9144</v>
      </c>
      <c r="AF5101">
        <v>0</v>
      </c>
      <c r="AG5101">
        <v>2</v>
      </c>
      <c r="AH5101">
        <v>0</v>
      </c>
      <c r="AI5101">
        <v>216.67</v>
      </c>
      <c r="AL5101" t="s">
        <v>19615</v>
      </c>
      <c r="AM5101">
        <v>35664</v>
      </c>
      <c r="AS5101">
        <v>0</v>
      </c>
      <c r="AU5101" t="s">
        <v>174</v>
      </c>
    </row>
    <row r="5102" spans="1:48">
      <c r="A5102" s="1">
        <f>HYPERLINK("https://lsnyc.legalserver.org/matter/dynamic-profile/view/1865297","18-1865297")</f>
        <v>0</v>
      </c>
      <c r="B5102" t="s">
        <v>188</v>
      </c>
      <c r="C5102" t="s">
        <v>256</v>
      </c>
      <c r="D5102" t="s">
        <v>1056</v>
      </c>
      <c r="F5102" t="s">
        <v>3009</v>
      </c>
      <c r="G5102" t="s">
        <v>3592</v>
      </c>
      <c r="H5102" t="s">
        <v>6535</v>
      </c>
      <c r="I5102" t="s">
        <v>8917</v>
      </c>
      <c r="J5102" t="s">
        <v>9067</v>
      </c>
      <c r="K5102">
        <v>10033</v>
      </c>
      <c r="L5102" t="s">
        <v>9094</v>
      </c>
      <c r="M5102" t="s">
        <v>9095</v>
      </c>
      <c r="O5102" t="s">
        <v>11129</v>
      </c>
      <c r="P5102" t="s">
        <v>11166</v>
      </c>
      <c r="R5102" t="s">
        <v>11180</v>
      </c>
      <c r="S5102" t="s">
        <v>9096</v>
      </c>
      <c r="T5102" t="s">
        <v>11183</v>
      </c>
      <c r="U5102" t="s">
        <v>11201</v>
      </c>
      <c r="V5102" t="s">
        <v>1056</v>
      </c>
      <c r="W5102">
        <v>2070</v>
      </c>
      <c r="X5102" t="s">
        <v>11335</v>
      </c>
      <c r="Y5102" t="s">
        <v>11347</v>
      </c>
      <c r="Z5102" t="s">
        <v>14633</v>
      </c>
      <c r="AB5102" t="s">
        <v>18950</v>
      </c>
      <c r="AC5102">
        <v>0</v>
      </c>
      <c r="AE5102" t="s">
        <v>9144</v>
      </c>
      <c r="AF5102">
        <v>7</v>
      </c>
      <c r="AG5102">
        <v>4</v>
      </c>
      <c r="AH5102">
        <v>1</v>
      </c>
      <c r="AI5102">
        <v>217.4</v>
      </c>
      <c r="AL5102" t="s">
        <v>19615</v>
      </c>
      <c r="AM5102">
        <v>126040</v>
      </c>
      <c r="AS5102">
        <v>43.1</v>
      </c>
      <c r="AT5102" t="s">
        <v>286</v>
      </c>
      <c r="AU5102" t="s">
        <v>20655</v>
      </c>
    </row>
    <row r="5103" spans="1:48">
      <c r="A5103" s="1">
        <f>HYPERLINK("https://lsnyc.legalserver.org/matter/dynamic-profile/view/1871560","18-1871560")</f>
        <v>0</v>
      </c>
      <c r="B5103" t="s">
        <v>138</v>
      </c>
      <c r="C5103" t="s">
        <v>256</v>
      </c>
      <c r="D5103" t="s">
        <v>389</v>
      </c>
      <c r="F5103" t="s">
        <v>2362</v>
      </c>
      <c r="G5103" t="s">
        <v>5293</v>
      </c>
      <c r="H5103" t="s">
        <v>5943</v>
      </c>
      <c r="I5103" t="s">
        <v>8160</v>
      </c>
      <c r="J5103" t="s">
        <v>9067</v>
      </c>
      <c r="K5103">
        <v>10034</v>
      </c>
      <c r="L5103" t="s">
        <v>9094</v>
      </c>
      <c r="M5103" t="s">
        <v>9094</v>
      </c>
      <c r="N5103" t="s">
        <v>9279</v>
      </c>
      <c r="O5103" t="s">
        <v>11130</v>
      </c>
      <c r="P5103" t="s">
        <v>11165</v>
      </c>
      <c r="R5103" t="s">
        <v>11180</v>
      </c>
      <c r="S5103" t="s">
        <v>9094</v>
      </c>
      <c r="T5103" t="s">
        <v>11183</v>
      </c>
      <c r="V5103" t="s">
        <v>389</v>
      </c>
      <c r="W5103">
        <v>1926</v>
      </c>
      <c r="X5103" t="s">
        <v>11335</v>
      </c>
      <c r="Y5103" t="s">
        <v>11338</v>
      </c>
      <c r="Z5103" t="s">
        <v>14634</v>
      </c>
      <c r="AB5103" t="s">
        <v>18951</v>
      </c>
      <c r="AC5103">
        <v>67</v>
      </c>
      <c r="AD5103" t="s">
        <v>19566</v>
      </c>
      <c r="AE5103" t="s">
        <v>9144</v>
      </c>
      <c r="AF5103">
        <v>10</v>
      </c>
      <c r="AG5103">
        <v>2</v>
      </c>
      <c r="AH5103">
        <v>0</v>
      </c>
      <c r="AI5103">
        <v>217.65</v>
      </c>
      <c r="AL5103" t="s">
        <v>19614</v>
      </c>
      <c r="AM5103">
        <v>35824.6</v>
      </c>
      <c r="AS5103">
        <v>0.4</v>
      </c>
      <c r="AT5103" t="s">
        <v>855</v>
      </c>
      <c r="AU5103" t="s">
        <v>130</v>
      </c>
      <c r="AV5103" t="s">
        <v>20733</v>
      </c>
    </row>
    <row r="5104" spans="1:48">
      <c r="A5104" s="1">
        <f>HYPERLINK("https://lsnyc.legalserver.org/matter/dynamic-profile/view/1912911","19-1912911")</f>
        <v>0</v>
      </c>
      <c r="B5104" t="s">
        <v>142</v>
      </c>
      <c r="C5104" t="s">
        <v>256</v>
      </c>
      <c r="D5104" t="s">
        <v>294</v>
      </c>
      <c r="F5104" t="s">
        <v>3010</v>
      </c>
      <c r="G5104" t="s">
        <v>1461</v>
      </c>
      <c r="H5104" t="s">
        <v>7895</v>
      </c>
      <c r="I5104" t="s">
        <v>8918</v>
      </c>
      <c r="J5104" t="s">
        <v>9067</v>
      </c>
      <c r="K5104">
        <v>10029</v>
      </c>
      <c r="L5104" t="s">
        <v>9094</v>
      </c>
      <c r="M5104" t="s">
        <v>9095</v>
      </c>
      <c r="N5104" t="s">
        <v>10917</v>
      </c>
      <c r="O5104" t="s">
        <v>11128</v>
      </c>
      <c r="P5104" t="s">
        <v>11169</v>
      </c>
      <c r="R5104" t="s">
        <v>11180</v>
      </c>
      <c r="S5104" t="s">
        <v>9096</v>
      </c>
      <c r="T5104" t="s">
        <v>11190</v>
      </c>
      <c r="U5104" t="s">
        <v>11201</v>
      </c>
      <c r="V5104" t="s">
        <v>301</v>
      </c>
      <c r="W5104">
        <v>2900</v>
      </c>
      <c r="X5104" t="s">
        <v>11335</v>
      </c>
      <c r="Y5104" t="s">
        <v>11346</v>
      </c>
      <c r="Z5104" t="s">
        <v>14279</v>
      </c>
      <c r="AB5104" t="s">
        <v>18952</v>
      </c>
      <c r="AC5104">
        <v>15</v>
      </c>
      <c r="AD5104" t="s">
        <v>19575</v>
      </c>
      <c r="AE5104" t="s">
        <v>19580</v>
      </c>
      <c r="AF5104">
        <v>5</v>
      </c>
      <c r="AG5104">
        <v>2</v>
      </c>
      <c r="AH5104">
        <v>0</v>
      </c>
      <c r="AI5104">
        <v>218.21</v>
      </c>
      <c r="AL5104" t="s">
        <v>19614</v>
      </c>
      <c r="AM5104">
        <v>36900</v>
      </c>
      <c r="AS5104">
        <v>2.6</v>
      </c>
      <c r="AT5104" t="s">
        <v>487</v>
      </c>
      <c r="AU5104" t="s">
        <v>20632</v>
      </c>
      <c r="AV5104" t="s">
        <v>20733</v>
      </c>
    </row>
    <row r="5105" spans="1:48">
      <c r="A5105" s="1">
        <f>HYPERLINK("https://lsnyc.legalserver.org/matter/dynamic-profile/view/1908779","19-1908779")</f>
        <v>0</v>
      </c>
      <c r="B5105" t="s">
        <v>64</v>
      </c>
      <c r="C5105" t="s">
        <v>257</v>
      </c>
      <c r="D5105" t="s">
        <v>481</v>
      </c>
      <c r="E5105" t="s">
        <v>297</v>
      </c>
      <c r="F5105" t="s">
        <v>1540</v>
      </c>
      <c r="G5105" t="s">
        <v>5294</v>
      </c>
      <c r="H5105" t="s">
        <v>7896</v>
      </c>
      <c r="I5105" t="s">
        <v>8189</v>
      </c>
      <c r="J5105" t="s">
        <v>9059</v>
      </c>
      <c r="K5105">
        <v>11230</v>
      </c>
      <c r="L5105" t="s">
        <v>9096</v>
      </c>
      <c r="M5105" t="s">
        <v>9095</v>
      </c>
      <c r="N5105" t="s">
        <v>9171</v>
      </c>
      <c r="O5105" t="s">
        <v>11130</v>
      </c>
      <c r="P5105" t="s">
        <v>11164</v>
      </c>
      <c r="Q5105" t="s">
        <v>11172</v>
      </c>
      <c r="R5105" t="s">
        <v>11180</v>
      </c>
      <c r="S5105" t="s">
        <v>9096</v>
      </c>
      <c r="T5105" t="s">
        <v>11183</v>
      </c>
      <c r="U5105" t="s">
        <v>11201</v>
      </c>
      <c r="W5105">
        <v>1250</v>
      </c>
      <c r="X5105" t="s">
        <v>11332</v>
      </c>
      <c r="Y5105" t="s">
        <v>11340</v>
      </c>
      <c r="Z5105" t="s">
        <v>14635</v>
      </c>
      <c r="AA5105" t="s">
        <v>9171</v>
      </c>
      <c r="AB5105" t="s">
        <v>18953</v>
      </c>
      <c r="AC5105">
        <v>55</v>
      </c>
      <c r="AD5105" t="s">
        <v>19569</v>
      </c>
      <c r="AE5105" t="s">
        <v>19587</v>
      </c>
      <c r="AF5105">
        <v>7</v>
      </c>
      <c r="AG5105">
        <v>1</v>
      </c>
      <c r="AH5105">
        <v>0</v>
      </c>
      <c r="AI5105">
        <v>218.25</v>
      </c>
      <c r="AL5105" t="s">
        <v>19614</v>
      </c>
      <c r="AM5105">
        <v>27260</v>
      </c>
      <c r="AN5105" t="s">
        <v>20083</v>
      </c>
      <c r="AS5105">
        <v>1.3</v>
      </c>
      <c r="AT5105" t="s">
        <v>472</v>
      </c>
      <c r="AU5105" t="s">
        <v>20639</v>
      </c>
      <c r="AV5105" t="s">
        <v>9144</v>
      </c>
    </row>
    <row r="5106" spans="1:48">
      <c r="A5106" s="1">
        <f>HYPERLINK("https://lsnyc.legalserver.org/matter/dynamic-profile/view/1856600","18-1856600")</f>
        <v>0</v>
      </c>
      <c r="B5106" t="s">
        <v>227</v>
      </c>
      <c r="C5106" t="s">
        <v>256</v>
      </c>
      <c r="D5106" t="s">
        <v>630</v>
      </c>
      <c r="F5106" t="s">
        <v>1721</v>
      </c>
      <c r="G5106" t="s">
        <v>3644</v>
      </c>
      <c r="H5106" t="s">
        <v>7897</v>
      </c>
      <c r="I5106" t="s">
        <v>8168</v>
      </c>
      <c r="J5106" t="s">
        <v>9059</v>
      </c>
      <c r="K5106">
        <v>11201</v>
      </c>
      <c r="L5106" t="s">
        <v>9094</v>
      </c>
      <c r="M5106" t="s">
        <v>9095</v>
      </c>
      <c r="N5106" t="s">
        <v>10918</v>
      </c>
      <c r="O5106" t="s">
        <v>11129</v>
      </c>
      <c r="P5106" t="s">
        <v>11165</v>
      </c>
      <c r="R5106" t="s">
        <v>11180</v>
      </c>
      <c r="T5106" t="s">
        <v>11183</v>
      </c>
      <c r="V5106" t="s">
        <v>618</v>
      </c>
      <c r="W5106">
        <v>0</v>
      </c>
      <c r="X5106" t="s">
        <v>11332</v>
      </c>
      <c r="Y5106" t="s">
        <v>11346</v>
      </c>
      <c r="Z5106" t="s">
        <v>14500</v>
      </c>
      <c r="AC5106">
        <v>0</v>
      </c>
      <c r="AD5106" t="s">
        <v>19566</v>
      </c>
      <c r="AF5106">
        <v>45</v>
      </c>
      <c r="AG5106">
        <v>2</v>
      </c>
      <c r="AH5106">
        <v>0</v>
      </c>
      <c r="AI5106">
        <v>218.57</v>
      </c>
      <c r="AJ5106" t="s">
        <v>919</v>
      </c>
      <c r="AL5106" t="s">
        <v>19614</v>
      </c>
      <c r="AM5106">
        <v>35496</v>
      </c>
      <c r="AS5106">
        <v>31.3</v>
      </c>
      <c r="AT5106" t="s">
        <v>370</v>
      </c>
      <c r="AU5106" t="s">
        <v>227</v>
      </c>
    </row>
    <row r="5107" spans="1:48">
      <c r="A5107" s="1">
        <f>HYPERLINK("https://lsnyc.legalserver.org/matter/dynamic-profile/view/1911194","19-1911194")</f>
        <v>0</v>
      </c>
      <c r="B5107" t="s">
        <v>129</v>
      </c>
      <c r="C5107" t="s">
        <v>256</v>
      </c>
      <c r="D5107" t="s">
        <v>284</v>
      </c>
      <c r="F5107" t="s">
        <v>3011</v>
      </c>
      <c r="G5107" t="s">
        <v>5295</v>
      </c>
      <c r="H5107" t="s">
        <v>7898</v>
      </c>
      <c r="I5107" t="s">
        <v>8248</v>
      </c>
      <c r="J5107" t="s">
        <v>9066</v>
      </c>
      <c r="K5107">
        <v>10301</v>
      </c>
      <c r="L5107" t="s">
        <v>9095</v>
      </c>
      <c r="M5107" t="s">
        <v>9095</v>
      </c>
      <c r="N5107" t="s">
        <v>10919</v>
      </c>
      <c r="O5107" t="s">
        <v>11128</v>
      </c>
      <c r="P5107" t="s">
        <v>11165</v>
      </c>
      <c r="R5107" t="s">
        <v>11180</v>
      </c>
      <c r="S5107" t="s">
        <v>9096</v>
      </c>
      <c r="T5107" t="s">
        <v>11183</v>
      </c>
      <c r="U5107" t="s">
        <v>11201</v>
      </c>
      <c r="W5107">
        <v>1975</v>
      </c>
      <c r="X5107" t="s">
        <v>11334</v>
      </c>
      <c r="Y5107" t="s">
        <v>11341</v>
      </c>
      <c r="Z5107" t="s">
        <v>14636</v>
      </c>
      <c r="AB5107" t="s">
        <v>18954</v>
      </c>
      <c r="AC5107">
        <v>2</v>
      </c>
      <c r="AD5107" t="s">
        <v>19565</v>
      </c>
      <c r="AE5107" t="s">
        <v>9144</v>
      </c>
      <c r="AF5107">
        <v>4</v>
      </c>
      <c r="AG5107">
        <v>2</v>
      </c>
      <c r="AH5107">
        <v>2</v>
      </c>
      <c r="AI5107">
        <v>218.7</v>
      </c>
      <c r="AL5107" t="s">
        <v>19614</v>
      </c>
      <c r="AM5107">
        <v>56316</v>
      </c>
      <c r="AS5107">
        <v>5</v>
      </c>
      <c r="AT5107" t="s">
        <v>1130</v>
      </c>
      <c r="AU5107" t="s">
        <v>20653</v>
      </c>
    </row>
    <row r="5108" spans="1:48">
      <c r="A5108" s="1">
        <f>HYPERLINK("https://lsnyc.legalserver.org/matter/dynamic-profile/view/1862661","18-1862661")</f>
        <v>0</v>
      </c>
      <c r="B5108" t="s">
        <v>86</v>
      </c>
      <c r="C5108" t="s">
        <v>256</v>
      </c>
      <c r="D5108" t="s">
        <v>576</v>
      </c>
      <c r="F5108" t="s">
        <v>2206</v>
      </c>
      <c r="G5108" t="s">
        <v>5296</v>
      </c>
      <c r="H5108" t="s">
        <v>7040</v>
      </c>
      <c r="I5108" t="s">
        <v>8919</v>
      </c>
      <c r="J5108" t="s">
        <v>9059</v>
      </c>
      <c r="K5108">
        <v>11226</v>
      </c>
      <c r="L5108" t="s">
        <v>9094</v>
      </c>
      <c r="M5108" t="s">
        <v>9095</v>
      </c>
      <c r="N5108" t="s">
        <v>10920</v>
      </c>
      <c r="O5108" t="s">
        <v>11135</v>
      </c>
      <c r="P5108" t="s">
        <v>11165</v>
      </c>
      <c r="R5108" t="s">
        <v>11180</v>
      </c>
      <c r="S5108" t="s">
        <v>9094</v>
      </c>
      <c r="T5108" t="s">
        <v>11183</v>
      </c>
      <c r="V5108" t="s">
        <v>675</v>
      </c>
      <c r="W5108">
        <v>0</v>
      </c>
      <c r="X5108" t="s">
        <v>11332</v>
      </c>
      <c r="Y5108" t="s">
        <v>11346</v>
      </c>
      <c r="Z5108" t="s">
        <v>14637</v>
      </c>
      <c r="AB5108" t="s">
        <v>18955</v>
      </c>
      <c r="AC5108">
        <v>61</v>
      </c>
      <c r="AD5108" t="s">
        <v>19566</v>
      </c>
      <c r="AF5108">
        <v>20</v>
      </c>
      <c r="AG5108">
        <v>2</v>
      </c>
      <c r="AH5108">
        <v>0</v>
      </c>
      <c r="AI5108">
        <v>218.71</v>
      </c>
      <c r="AL5108" t="s">
        <v>19614</v>
      </c>
      <c r="AM5108">
        <v>36000</v>
      </c>
      <c r="AS5108">
        <v>0</v>
      </c>
      <c r="AU5108" t="s">
        <v>20630</v>
      </c>
    </row>
    <row r="5109" spans="1:48">
      <c r="A5109" s="1">
        <f>HYPERLINK("https://lsnyc.legalserver.org/matter/dynamic-profile/view/1906473","19-1906473")</f>
        <v>0</v>
      </c>
      <c r="B5109" t="s">
        <v>73</v>
      </c>
      <c r="C5109" t="s">
        <v>256</v>
      </c>
      <c r="D5109" t="s">
        <v>864</v>
      </c>
      <c r="F5109" t="s">
        <v>2873</v>
      </c>
      <c r="G5109" t="s">
        <v>1260</v>
      </c>
      <c r="H5109" t="s">
        <v>7726</v>
      </c>
      <c r="I5109" t="s">
        <v>8176</v>
      </c>
      <c r="J5109" t="s">
        <v>9059</v>
      </c>
      <c r="K5109">
        <v>11208</v>
      </c>
      <c r="L5109" t="s">
        <v>9094</v>
      </c>
      <c r="M5109" t="s">
        <v>9095</v>
      </c>
      <c r="N5109" t="s">
        <v>10921</v>
      </c>
      <c r="O5109" t="s">
        <v>11129</v>
      </c>
      <c r="P5109" t="s">
        <v>11165</v>
      </c>
      <c r="R5109" t="s">
        <v>11180</v>
      </c>
      <c r="S5109" t="s">
        <v>9096</v>
      </c>
      <c r="T5109" t="s">
        <v>11183</v>
      </c>
      <c r="U5109" t="s">
        <v>11201</v>
      </c>
      <c r="V5109" t="s">
        <v>372</v>
      </c>
      <c r="W5109">
        <v>913</v>
      </c>
      <c r="X5109" t="s">
        <v>11332</v>
      </c>
      <c r="Y5109" t="s">
        <v>11340</v>
      </c>
      <c r="Z5109" t="s">
        <v>14340</v>
      </c>
      <c r="AA5109" t="s">
        <v>9144</v>
      </c>
      <c r="AB5109" t="s">
        <v>18662</v>
      </c>
      <c r="AC5109">
        <v>64</v>
      </c>
      <c r="AD5109" t="s">
        <v>19566</v>
      </c>
      <c r="AE5109" t="s">
        <v>9144</v>
      </c>
      <c r="AF5109">
        <v>5</v>
      </c>
      <c r="AG5109">
        <v>2</v>
      </c>
      <c r="AH5109">
        <v>0</v>
      </c>
      <c r="AI5109">
        <v>218.81</v>
      </c>
      <c r="AJ5109" t="s">
        <v>472</v>
      </c>
      <c r="AK5109" t="s">
        <v>19612</v>
      </c>
      <c r="AL5109" t="s">
        <v>19614</v>
      </c>
      <c r="AM5109">
        <v>37000</v>
      </c>
      <c r="AS5109">
        <v>5.7</v>
      </c>
      <c r="AT5109" t="s">
        <v>404</v>
      </c>
      <c r="AU5109" t="s">
        <v>95</v>
      </c>
      <c r="AV5109" t="s">
        <v>20733</v>
      </c>
    </row>
    <row r="5110" spans="1:48">
      <c r="A5110" s="1">
        <f>HYPERLINK("https://lsnyc.legalserver.org/matter/dynamic-profile/view/1906610","19-1906610")</f>
        <v>0</v>
      </c>
      <c r="B5110" t="s">
        <v>94</v>
      </c>
      <c r="C5110" t="s">
        <v>257</v>
      </c>
      <c r="D5110" t="s">
        <v>333</v>
      </c>
      <c r="E5110" t="s">
        <v>333</v>
      </c>
      <c r="F5110" t="s">
        <v>1300</v>
      </c>
      <c r="G5110" t="s">
        <v>5161</v>
      </c>
      <c r="H5110" t="s">
        <v>5973</v>
      </c>
      <c r="J5110" t="s">
        <v>9059</v>
      </c>
      <c r="K5110">
        <v>11206</v>
      </c>
      <c r="L5110" t="s">
        <v>9094</v>
      </c>
      <c r="M5110" t="s">
        <v>9095</v>
      </c>
      <c r="N5110" t="s">
        <v>10922</v>
      </c>
      <c r="O5110" t="s">
        <v>11129</v>
      </c>
      <c r="P5110" t="s">
        <v>11165</v>
      </c>
      <c r="Q5110" t="s">
        <v>11172</v>
      </c>
      <c r="R5110" t="s">
        <v>11180</v>
      </c>
      <c r="S5110" t="s">
        <v>9096</v>
      </c>
      <c r="T5110" t="s">
        <v>11183</v>
      </c>
      <c r="U5110" t="s">
        <v>11201</v>
      </c>
      <c r="V5110" t="s">
        <v>394</v>
      </c>
      <c r="W5110">
        <v>588</v>
      </c>
      <c r="X5110" t="s">
        <v>11332</v>
      </c>
      <c r="Y5110" t="s">
        <v>11340</v>
      </c>
      <c r="Z5110" t="s">
        <v>14381</v>
      </c>
      <c r="AB5110" t="s">
        <v>18702</v>
      </c>
      <c r="AC5110">
        <v>8</v>
      </c>
      <c r="AD5110" t="s">
        <v>19566</v>
      </c>
      <c r="AE5110" t="s">
        <v>9144</v>
      </c>
      <c r="AF5110">
        <v>4</v>
      </c>
      <c r="AG5110">
        <v>1</v>
      </c>
      <c r="AH5110">
        <v>1</v>
      </c>
      <c r="AI5110">
        <v>218.81</v>
      </c>
      <c r="AL5110" t="s">
        <v>19614</v>
      </c>
      <c r="AM5110">
        <v>37000</v>
      </c>
      <c r="AS5110">
        <v>0.1</v>
      </c>
      <c r="AT5110" t="s">
        <v>333</v>
      </c>
      <c r="AU5110" t="s">
        <v>94</v>
      </c>
      <c r="AV5110" t="s">
        <v>20733</v>
      </c>
    </row>
    <row r="5111" spans="1:48">
      <c r="A5111" s="1">
        <f>HYPERLINK("https://lsnyc.legalserver.org/matter/dynamic-profile/view/1906627","19-1906627")</f>
        <v>0</v>
      </c>
      <c r="B5111" t="s">
        <v>93</v>
      </c>
      <c r="C5111" t="s">
        <v>256</v>
      </c>
      <c r="D5111" t="s">
        <v>333</v>
      </c>
      <c r="F5111" t="s">
        <v>1300</v>
      </c>
      <c r="G5111" t="s">
        <v>5161</v>
      </c>
      <c r="H5111" t="s">
        <v>5973</v>
      </c>
      <c r="J5111" t="s">
        <v>9059</v>
      </c>
      <c r="K5111">
        <v>11206</v>
      </c>
      <c r="L5111" t="s">
        <v>9094</v>
      </c>
      <c r="M5111" t="s">
        <v>9095</v>
      </c>
      <c r="N5111" t="s">
        <v>10923</v>
      </c>
      <c r="O5111" t="s">
        <v>11129</v>
      </c>
      <c r="P5111" t="s">
        <v>11165</v>
      </c>
      <c r="R5111" t="s">
        <v>11180</v>
      </c>
      <c r="S5111" t="s">
        <v>9096</v>
      </c>
      <c r="T5111" t="s">
        <v>11183</v>
      </c>
      <c r="U5111" t="s">
        <v>11201</v>
      </c>
      <c r="V5111" t="s">
        <v>333</v>
      </c>
      <c r="W5111">
        <v>588</v>
      </c>
      <c r="X5111" t="s">
        <v>11332</v>
      </c>
      <c r="Y5111" t="s">
        <v>11340</v>
      </c>
      <c r="Z5111" t="s">
        <v>14381</v>
      </c>
      <c r="AB5111" t="s">
        <v>18702</v>
      </c>
      <c r="AC5111">
        <v>8</v>
      </c>
      <c r="AD5111" t="s">
        <v>19566</v>
      </c>
      <c r="AF5111">
        <v>4</v>
      </c>
      <c r="AG5111">
        <v>1</v>
      </c>
      <c r="AH5111">
        <v>1</v>
      </c>
      <c r="AI5111">
        <v>218.81</v>
      </c>
      <c r="AJ5111" t="s">
        <v>472</v>
      </c>
      <c r="AK5111" t="s">
        <v>19612</v>
      </c>
      <c r="AL5111" t="s">
        <v>19614</v>
      </c>
      <c r="AM5111">
        <v>37000</v>
      </c>
      <c r="AS5111">
        <v>21.65</v>
      </c>
      <c r="AT5111" t="s">
        <v>301</v>
      </c>
      <c r="AU5111" t="s">
        <v>94</v>
      </c>
      <c r="AV5111" t="s">
        <v>20733</v>
      </c>
    </row>
    <row r="5112" spans="1:48">
      <c r="A5112" s="1">
        <f>HYPERLINK("https://lsnyc.legalserver.org/matter/dynamic-profile/view/1842835","17-1842835")</f>
        <v>0</v>
      </c>
      <c r="B5112" t="s">
        <v>122</v>
      </c>
      <c r="C5112" t="s">
        <v>257</v>
      </c>
      <c r="D5112" t="s">
        <v>480</v>
      </c>
      <c r="E5112" t="s">
        <v>414</v>
      </c>
      <c r="F5112" t="s">
        <v>2992</v>
      </c>
      <c r="G5112" t="s">
        <v>5270</v>
      </c>
      <c r="H5112" t="s">
        <v>7873</v>
      </c>
      <c r="I5112" t="s">
        <v>8912</v>
      </c>
      <c r="J5112" t="s">
        <v>9066</v>
      </c>
      <c r="K5112">
        <v>10314</v>
      </c>
      <c r="L5112" t="s">
        <v>9094</v>
      </c>
      <c r="M5112" t="s">
        <v>9095</v>
      </c>
      <c r="N5112" t="s">
        <v>9260</v>
      </c>
      <c r="O5112" t="s">
        <v>11135</v>
      </c>
      <c r="P5112" t="s">
        <v>11168</v>
      </c>
      <c r="Q5112" t="s">
        <v>11177</v>
      </c>
      <c r="R5112" t="s">
        <v>11180</v>
      </c>
      <c r="S5112" t="s">
        <v>9094</v>
      </c>
      <c r="T5112" t="s">
        <v>11183</v>
      </c>
      <c r="U5112" t="s">
        <v>11201</v>
      </c>
      <c r="V5112" t="s">
        <v>712</v>
      </c>
      <c r="W5112">
        <v>859</v>
      </c>
      <c r="X5112" t="s">
        <v>11334</v>
      </c>
      <c r="Y5112" t="s">
        <v>11339</v>
      </c>
      <c r="Z5112" t="s">
        <v>14598</v>
      </c>
      <c r="AB5112" t="s">
        <v>18918</v>
      </c>
      <c r="AC5112">
        <v>96</v>
      </c>
      <c r="AD5112" t="s">
        <v>19566</v>
      </c>
      <c r="AE5112" t="s">
        <v>19587</v>
      </c>
      <c r="AF5112">
        <v>6</v>
      </c>
      <c r="AG5112">
        <v>1</v>
      </c>
      <c r="AH5112">
        <v>0</v>
      </c>
      <c r="AI5112">
        <v>218.91</v>
      </c>
      <c r="AJ5112" t="s">
        <v>19603</v>
      </c>
      <c r="AL5112" t="s">
        <v>19614</v>
      </c>
      <c r="AM5112">
        <v>26400</v>
      </c>
      <c r="AO5112" t="s">
        <v>20293</v>
      </c>
      <c r="AP5112" t="s">
        <v>20316</v>
      </c>
      <c r="AQ5112" t="s">
        <v>20369</v>
      </c>
      <c r="AR5112" t="s">
        <v>20385</v>
      </c>
      <c r="AS5112">
        <v>0.8</v>
      </c>
      <c r="AT5112" t="s">
        <v>414</v>
      </c>
      <c r="AU5112" t="s">
        <v>20651</v>
      </c>
      <c r="AV5112" t="s">
        <v>20733</v>
      </c>
    </row>
    <row r="5113" spans="1:48">
      <c r="A5113" s="1">
        <f>HYPERLINK("https://lsnyc.legalserver.org/matter/dynamic-profile/view/1845669","17-1845669")</f>
        <v>0</v>
      </c>
      <c r="B5113" t="s">
        <v>138</v>
      </c>
      <c r="C5113" t="s">
        <v>256</v>
      </c>
      <c r="D5113" t="s">
        <v>842</v>
      </c>
      <c r="F5113" t="s">
        <v>2118</v>
      </c>
      <c r="G5113" t="s">
        <v>5297</v>
      </c>
      <c r="H5113" t="s">
        <v>6004</v>
      </c>
      <c r="I5113">
        <v>52</v>
      </c>
      <c r="J5113" t="s">
        <v>9067</v>
      </c>
      <c r="K5113">
        <v>10034</v>
      </c>
      <c r="L5113" t="s">
        <v>9094</v>
      </c>
      <c r="M5113" t="s">
        <v>9095</v>
      </c>
      <c r="N5113" t="s">
        <v>10251</v>
      </c>
      <c r="O5113" t="s">
        <v>11129</v>
      </c>
      <c r="P5113" t="s">
        <v>11167</v>
      </c>
      <c r="R5113" t="s">
        <v>11180</v>
      </c>
      <c r="S5113" t="s">
        <v>9096</v>
      </c>
      <c r="T5113" t="s">
        <v>11183</v>
      </c>
      <c r="V5113" t="s">
        <v>587</v>
      </c>
      <c r="W5113">
        <v>1050</v>
      </c>
      <c r="X5113" t="s">
        <v>11335</v>
      </c>
      <c r="Y5113" t="s">
        <v>11338</v>
      </c>
      <c r="Z5113" t="s">
        <v>12531</v>
      </c>
      <c r="AB5113" t="s">
        <v>18956</v>
      </c>
      <c r="AC5113">
        <v>1000</v>
      </c>
      <c r="AD5113" t="s">
        <v>19566</v>
      </c>
      <c r="AE5113" t="s">
        <v>9144</v>
      </c>
      <c r="AF5113">
        <v>4</v>
      </c>
      <c r="AG5113">
        <v>1</v>
      </c>
      <c r="AH5113">
        <v>0</v>
      </c>
      <c r="AI5113">
        <v>218.91</v>
      </c>
      <c r="AJ5113" t="s">
        <v>11246</v>
      </c>
      <c r="AL5113" t="s">
        <v>19614</v>
      </c>
      <c r="AM5113">
        <v>26400</v>
      </c>
      <c r="AS5113">
        <v>13.8</v>
      </c>
      <c r="AT5113" t="s">
        <v>352</v>
      </c>
      <c r="AU5113" t="s">
        <v>20627</v>
      </c>
    </row>
    <row r="5114" spans="1:48">
      <c r="A5114" s="1">
        <f>HYPERLINK("https://lsnyc.legalserver.org/matter/dynamic-profile/view/1879253","18-1879253")</f>
        <v>0</v>
      </c>
      <c r="B5114" t="s">
        <v>103</v>
      </c>
      <c r="C5114" t="s">
        <v>257</v>
      </c>
      <c r="D5114" t="s">
        <v>572</v>
      </c>
      <c r="E5114" t="s">
        <v>334</v>
      </c>
      <c r="F5114" t="s">
        <v>3012</v>
      </c>
      <c r="G5114" t="s">
        <v>5298</v>
      </c>
      <c r="H5114" t="s">
        <v>5854</v>
      </c>
      <c r="I5114" t="s">
        <v>8372</v>
      </c>
      <c r="J5114" t="s">
        <v>9065</v>
      </c>
      <c r="K5114">
        <v>10468</v>
      </c>
      <c r="L5114" t="s">
        <v>9094</v>
      </c>
      <c r="M5114" t="s">
        <v>9094</v>
      </c>
      <c r="O5114" t="s">
        <v>11134</v>
      </c>
      <c r="P5114" t="s">
        <v>11168</v>
      </c>
      <c r="Q5114" t="s">
        <v>11176</v>
      </c>
      <c r="R5114" t="s">
        <v>11180</v>
      </c>
      <c r="S5114" t="s">
        <v>9094</v>
      </c>
      <c r="T5114" t="s">
        <v>11183</v>
      </c>
      <c r="V5114" t="s">
        <v>572</v>
      </c>
      <c r="W5114">
        <v>907.04</v>
      </c>
      <c r="X5114" t="s">
        <v>11333</v>
      </c>
      <c r="Y5114" t="s">
        <v>11346</v>
      </c>
      <c r="Z5114" t="s">
        <v>11646</v>
      </c>
      <c r="AB5114" t="s">
        <v>18957</v>
      </c>
      <c r="AC5114">
        <v>58</v>
      </c>
      <c r="AD5114" t="s">
        <v>19569</v>
      </c>
      <c r="AE5114" t="s">
        <v>9144</v>
      </c>
      <c r="AF5114">
        <v>21</v>
      </c>
      <c r="AG5114">
        <v>2</v>
      </c>
      <c r="AH5114">
        <v>2</v>
      </c>
      <c r="AI5114">
        <v>219.12</v>
      </c>
      <c r="AL5114" t="s">
        <v>19614</v>
      </c>
      <c r="AM5114">
        <v>55000</v>
      </c>
      <c r="AN5114" t="s">
        <v>20084</v>
      </c>
      <c r="AS5114">
        <v>0.5</v>
      </c>
      <c r="AT5114" t="s">
        <v>334</v>
      </c>
      <c r="AU5114" t="s">
        <v>20642</v>
      </c>
    </row>
    <row r="5115" spans="1:48">
      <c r="A5115" s="1">
        <f>HYPERLINK("https://lsnyc.legalserver.org/matter/dynamic-profile/view/1875680","18-1875680")</f>
        <v>0</v>
      </c>
      <c r="B5115" t="s">
        <v>103</v>
      </c>
      <c r="C5115" t="s">
        <v>257</v>
      </c>
      <c r="D5115" t="s">
        <v>419</v>
      </c>
      <c r="E5115" t="s">
        <v>275</v>
      </c>
      <c r="F5115" t="s">
        <v>3012</v>
      </c>
      <c r="G5115" t="s">
        <v>5298</v>
      </c>
      <c r="H5115" t="s">
        <v>5854</v>
      </c>
      <c r="I5115" t="s">
        <v>8372</v>
      </c>
      <c r="J5115" t="s">
        <v>9065</v>
      </c>
      <c r="K5115">
        <v>10468</v>
      </c>
      <c r="L5115" t="s">
        <v>9094</v>
      </c>
      <c r="M5115" t="s">
        <v>9094</v>
      </c>
      <c r="N5115" t="s">
        <v>9219</v>
      </c>
      <c r="O5115" t="s">
        <v>11130</v>
      </c>
      <c r="P5115" t="s">
        <v>11165</v>
      </c>
      <c r="Q5115" t="s">
        <v>11174</v>
      </c>
      <c r="R5115" t="s">
        <v>11180</v>
      </c>
      <c r="S5115" t="s">
        <v>9094</v>
      </c>
      <c r="T5115" t="s">
        <v>11183</v>
      </c>
      <c r="V5115" t="s">
        <v>738</v>
      </c>
      <c r="W5115">
        <v>907.04</v>
      </c>
      <c r="X5115" t="s">
        <v>11333</v>
      </c>
      <c r="Y5115" t="s">
        <v>11346</v>
      </c>
      <c r="Z5115" t="s">
        <v>11646</v>
      </c>
      <c r="AB5115" t="s">
        <v>18957</v>
      </c>
      <c r="AC5115">
        <v>0</v>
      </c>
      <c r="AD5115" t="s">
        <v>19569</v>
      </c>
      <c r="AE5115" t="s">
        <v>9144</v>
      </c>
      <c r="AF5115">
        <v>21</v>
      </c>
      <c r="AG5115">
        <v>2</v>
      </c>
      <c r="AH5115">
        <v>2</v>
      </c>
      <c r="AI5115">
        <v>219.12</v>
      </c>
      <c r="AL5115" t="s">
        <v>19614</v>
      </c>
      <c r="AM5115">
        <v>55000</v>
      </c>
      <c r="AS5115">
        <v>0.3</v>
      </c>
      <c r="AT5115" t="s">
        <v>275</v>
      </c>
      <c r="AU5115" t="s">
        <v>20642</v>
      </c>
    </row>
    <row r="5116" spans="1:48">
      <c r="A5116" s="1">
        <f>HYPERLINK("https://lsnyc.legalserver.org/matter/dynamic-profile/view/1885387","18-1885387")</f>
        <v>0</v>
      </c>
      <c r="B5116" t="s">
        <v>111</v>
      </c>
      <c r="C5116" t="s">
        <v>256</v>
      </c>
      <c r="D5116" t="s">
        <v>848</v>
      </c>
      <c r="F5116" t="s">
        <v>2182</v>
      </c>
      <c r="G5116" t="s">
        <v>3629</v>
      </c>
      <c r="H5116" t="s">
        <v>6370</v>
      </c>
      <c r="I5116" t="s">
        <v>8270</v>
      </c>
      <c r="J5116" t="s">
        <v>9065</v>
      </c>
      <c r="K5116">
        <v>10463</v>
      </c>
      <c r="L5116" t="s">
        <v>9094</v>
      </c>
      <c r="M5116" t="s">
        <v>9094</v>
      </c>
      <c r="N5116" t="s">
        <v>9673</v>
      </c>
      <c r="O5116" t="s">
        <v>11130</v>
      </c>
      <c r="P5116" t="s">
        <v>11165</v>
      </c>
      <c r="R5116" t="s">
        <v>11180</v>
      </c>
      <c r="S5116" t="s">
        <v>9094</v>
      </c>
      <c r="T5116" t="s">
        <v>11183</v>
      </c>
      <c r="V5116" t="s">
        <v>738</v>
      </c>
      <c r="W5116">
        <v>1000</v>
      </c>
      <c r="X5116" t="s">
        <v>11333</v>
      </c>
      <c r="Y5116" t="s">
        <v>11346</v>
      </c>
      <c r="Z5116" t="s">
        <v>14638</v>
      </c>
      <c r="AB5116" t="s">
        <v>18958</v>
      </c>
      <c r="AC5116">
        <v>55</v>
      </c>
      <c r="AD5116" t="s">
        <v>19566</v>
      </c>
      <c r="AE5116" t="s">
        <v>9144</v>
      </c>
      <c r="AF5116">
        <v>9</v>
      </c>
      <c r="AG5116">
        <v>3</v>
      </c>
      <c r="AH5116">
        <v>1</v>
      </c>
      <c r="AI5116">
        <v>219.12</v>
      </c>
      <c r="AL5116" t="s">
        <v>19615</v>
      </c>
      <c r="AM5116">
        <v>55000</v>
      </c>
      <c r="AS5116">
        <v>0</v>
      </c>
      <c r="AU5116" t="s">
        <v>20647</v>
      </c>
    </row>
    <row r="5117" spans="1:48">
      <c r="A5117" s="1">
        <f>HYPERLINK("https://lsnyc.legalserver.org/matter/dynamic-profile/view/1864002","18-1864002")</f>
        <v>0</v>
      </c>
      <c r="B5117" t="s">
        <v>78</v>
      </c>
      <c r="C5117" t="s">
        <v>256</v>
      </c>
      <c r="D5117" t="s">
        <v>809</v>
      </c>
      <c r="F5117" t="s">
        <v>1337</v>
      </c>
      <c r="G5117" t="s">
        <v>2008</v>
      </c>
      <c r="H5117" t="s">
        <v>6453</v>
      </c>
      <c r="I5117" t="s">
        <v>8156</v>
      </c>
      <c r="J5117" t="s">
        <v>9059</v>
      </c>
      <c r="K5117">
        <v>11206</v>
      </c>
      <c r="L5117" t="s">
        <v>9094</v>
      </c>
      <c r="M5117" t="s">
        <v>9094</v>
      </c>
      <c r="N5117" t="s">
        <v>9972</v>
      </c>
      <c r="O5117" t="s">
        <v>11134</v>
      </c>
      <c r="P5117" t="s">
        <v>11168</v>
      </c>
      <c r="R5117" t="s">
        <v>11180</v>
      </c>
      <c r="S5117" t="s">
        <v>9094</v>
      </c>
      <c r="T5117" t="s">
        <v>11183</v>
      </c>
      <c r="V5117" t="s">
        <v>713</v>
      </c>
      <c r="W5117">
        <v>850</v>
      </c>
      <c r="X5117" t="s">
        <v>11332</v>
      </c>
      <c r="Y5117" t="s">
        <v>11339</v>
      </c>
      <c r="Z5117" t="s">
        <v>14639</v>
      </c>
      <c r="AB5117" t="s">
        <v>18959</v>
      </c>
      <c r="AC5117">
        <v>11</v>
      </c>
      <c r="AD5117" t="s">
        <v>19566</v>
      </c>
      <c r="AE5117" t="s">
        <v>19580</v>
      </c>
      <c r="AF5117">
        <v>25</v>
      </c>
      <c r="AG5117">
        <v>1</v>
      </c>
      <c r="AH5117">
        <v>0</v>
      </c>
      <c r="AI5117">
        <v>219.44</v>
      </c>
      <c r="AK5117" t="s">
        <v>19612</v>
      </c>
      <c r="AL5117" t="s">
        <v>19615</v>
      </c>
      <c r="AM5117">
        <v>26640</v>
      </c>
      <c r="AN5117" t="s">
        <v>20085</v>
      </c>
      <c r="AS5117">
        <v>0</v>
      </c>
      <c r="AU5117" t="s">
        <v>95</v>
      </c>
    </row>
    <row r="5118" spans="1:48">
      <c r="A5118" s="1">
        <f>HYPERLINK("https://lsnyc.legalserver.org/matter/dynamic-profile/view/1865186","18-1865186")</f>
        <v>0</v>
      </c>
      <c r="B5118" t="s">
        <v>136</v>
      </c>
      <c r="C5118" t="s">
        <v>257</v>
      </c>
      <c r="D5118" t="s">
        <v>674</v>
      </c>
      <c r="E5118" t="s">
        <v>1130</v>
      </c>
      <c r="F5118" t="s">
        <v>1158</v>
      </c>
      <c r="G5118" t="s">
        <v>2371</v>
      </c>
      <c r="H5118" t="s">
        <v>7899</v>
      </c>
      <c r="I5118" t="s">
        <v>8467</v>
      </c>
      <c r="J5118" t="s">
        <v>9067</v>
      </c>
      <c r="K5118">
        <v>10002</v>
      </c>
      <c r="L5118" t="s">
        <v>9094</v>
      </c>
      <c r="M5118" t="s">
        <v>9095</v>
      </c>
      <c r="O5118" t="s">
        <v>9121</v>
      </c>
      <c r="P5118" t="s">
        <v>11167</v>
      </c>
      <c r="Q5118" t="s">
        <v>11176</v>
      </c>
      <c r="R5118" t="s">
        <v>11181</v>
      </c>
      <c r="S5118" t="s">
        <v>9096</v>
      </c>
      <c r="T5118" t="s">
        <v>11183</v>
      </c>
      <c r="V5118" t="s">
        <v>943</v>
      </c>
      <c r="W5118">
        <v>1254</v>
      </c>
      <c r="X5118" t="s">
        <v>11335</v>
      </c>
      <c r="Y5118" t="s">
        <v>11337</v>
      </c>
      <c r="Z5118" t="s">
        <v>14640</v>
      </c>
      <c r="AB5118" t="s">
        <v>18960</v>
      </c>
      <c r="AC5118">
        <v>200</v>
      </c>
      <c r="AD5118" t="s">
        <v>19574</v>
      </c>
      <c r="AE5118" t="s">
        <v>9144</v>
      </c>
      <c r="AF5118">
        <v>10</v>
      </c>
      <c r="AG5118">
        <v>2</v>
      </c>
      <c r="AH5118">
        <v>1</v>
      </c>
      <c r="AI5118">
        <v>219.44</v>
      </c>
      <c r="AJ5118" t="s">
        <v>19591</v>
      </c>
      <c r="AK5118" t="s">
        <v>19608</v>
      </c>
      <c r="AL5118" t="s">
        <v>19614</v>
      </c>
      <c r="AM5118">
        <v>45600</v>
      </c>
      <c r="AS5118">
        <v>20.35</v>
      </c>
      <c r="AT5118" t="s">
        <v>258</v>
      </c>
      <c r="AU5118" t="s">
        <v>20669</v>
      </c>
    </row>
    <row r="5119" spans="1:48">
      <c r="A5119" s="1">
        <f>HYPERLINK("https://lsnyc.legalserver.org/matter/dynamic-profile/view/1888048","19-1888048")</f>
        <v>0</v>
      </c>
      <c r="B5119" t="s">
        <v>118</v>
      </c>
      <c r="C5119" t="s">
        <v>256</v>
      </c>
      <c r="D5119" t="s">
        <v>756</v>
      </c>
      <c r="F5119" t="s">
        <v>3013</v>
      </c>
      <c r="G5119" t="s">
        <v>4659</v>
      </c>
      <c r="H5119" t="s">
        <v>6158</v>
      </c>
      <c r="I5119" t="s">
        <v>8153</v>
      </c>
      <c r="J5119" t="s">
        <v>9065</v>
      </c>
      <c r="K5119">
        <v>10452</v>
      </c>
      <c r="L5119" t="s">
        <v>9094</v>
      </c>
      <c r="M5119" t="s">
        <v>9094</v>
      </c>
      <c r="N5119" t="s">
        <v>9447</v>
      </c>
      <c r="O5119" t="s">
        <v>11132</v>
      </c>
      <c r="P5119" t="s">
        <v>11165</v>
      </c>
      <c r="R5119" t="s">
        <v>11180</v>
      </c>
      <c r="S5119" t="s">
        <v>9094</v>
      </c>
      <c r="T5119" t="s">
        <v>11183</v>
      </c>
      <c r="V5119" t="s">
        <v>11212</v>
      </c>
      <c r="W5119">
        <v>1042</v>
      </c>
      <c r="X5119" t="s">
        <v>11333</v>
      </c>
      <c r="Y5119" t="s">
        <v>11346</v>
      </c>
      <c r="Z5119" t="s">
        <v>14641</v>
      </c>
      <c r="AB5119" t="s">
        <v>18961</v>
      </c>
      <c r="AC5119">
        <v>0</v>
      </c>
      <c r="AD5119" t="s">
        <v>19566</v>
      </c>
      <c r="AE5119" t="s">
        <v>9144</v>
      </c>
      <c r="AF5119">
        <v>33</v>
      </c>
      <c r="AG5119">
        <v>1</v>
      </c>
      <c r="AH5119">
        <v>0</v>
      </c>
      <c r="AI5119">
        <v>219.93</v>
      </c>
      <c r="AM5119">
        <v>26700</v>
      </c>
      <c r="AS5119">
        <v>111.4</v>
      </c>
      <c r="AT5119" t="s">
        <v>487</v>
      </c>
      <c r="AU5119" t="s">
        <v>174</v>
      </c>
      <c r="AV5119" t="s">
        <v>20733</v>
      </c>
    </row>
    <row r="5120" spans="1:48">
      <c r="A5120" s="1">
        <f>HYPERLINK("https://lsnyc.legalserver.org/matter/dynamic-profile/view/1864241","18-1864241")</f>
        <v>0</v>
      </c>
      <c r="B5120" t="s">
        <v>118</v>
      </c>
      <c r="C5120" t="s">
        <v>257</v>
      </c>
      <c r="D5120" t="s">
        <v>989</v>
      </c>
      <c r="E5120" t="s">
        <v>367</v>
      </c>
      <c r="F5120" t="s">
        <v>3013</v>
      </c>
      <c r="G5120" t="s">
        <v>4659</v>
      </c>
      <c r="H5120" t="s">
        <v>6158</v>
      </c>
      <c r="I5120" t="s">
        <v>8153</v>
      </c>
      <c r="J5120" t="s">
        <v>9065</v>
      </c>
      <c r="K5120">
        <v>10452</v>
      </c>
      <c r="L5120" t="s">
        <v>9094</v>
      </c>
      <c r="M5120" t="s">
        <v>9095</v>
      </c>
      <c r="O5120" t="s">
        <v>11137</v>
      </c>
      <c r="P5120" t="s">
        <v>11166</v>
      </c>
      <c r="Q5120" t="s">
        <v>11173</v>
      </c>
      <c r="R5120" t="s">
        <v>11180</v>
      </c>
      <c r="S5120" t="s">
        <v>9094</v>
      </c>
      <c r="T5120" t="s">
        <v>11183</v>
      </c>
      <c r="V5120" t="s">
        <v>745</v>
      </c>
      <c r="W5120">
        <v>1042</v>
      </c>
      <c r="X5120" t="s">
        <v>11333</v>
      </c>
      <c r="Y5120" t="s">
        <v>11346</v>
      </c>
      <c r="Z5120" t="s">
        <v>14641</v>
      </c>
      <c r="AB5120" t="s">
        <v>18961</v>
      </c>
      <c r="AC5120">
        <v>0</v>
      </c>
      <c r="AD5120" t="s">
        <v>19566</v>
      </c>
      <c r="AE5120" t="s">
        <v>9144</v>
      </c>
      <c r="AF5120">
        <v>32</v>
      </c>
      <c r="AG5120">
        <v>1</v>
      </c>
      <c r="AH5120">
        <v>0</v>
      </c>
      <c r="AI5120">
        <v>219.93</v>
      </c>
      <c r="AM5120">
        <v>26700</v>
      </c>
      <c r="AS5120">
        <v>25</v>
      </c>
      <c r="AT5120" t="s">
        <v>367</v>
      </c>
      <c r="AU5120" t="s">
        <v>174</v>
      </c>
      <c r="AV5120" t="s">
        <v>20733</v>
      </c>
    </row>
    <row r="5121" spans="1:48">
      <c r="A5121" s="1">
        <f>HYPERLINK("https://lsnyc.legalserver.org/matter/dynamic-profile/view/1880365","18-1880365")</f>
        <v>0</v>
      </c>
      <c r="B5121" t="s">
        <v>65</v>
      </c>
      <c r="C5121" t="s">
        <v>256</v>
      </c>
      <c r="D5121" t="s">
        <v>458</v>
      </c>
      <c r="F5121" t="s">
        <v>2989</v>
      </c>
      <c r="G5121" t="s">
        <v>5267</v>
      </c>
      <c r="H5121" t="s">
        <v>7876</v>
      </c>
      <c r="I5121" t="s">
        <v>8214</v>
      </c>
      <c r="J5121" t="s">
        <v>9059</v>
      </c>
      <c r="K5121">
        <v>11238</v>
      </c>
      <c r="L5121" t="s">
        <v>9094</v>
      </c>
      <c r="M5121" t="s">
        <v>9094</v>
      </c>
      <c r="N5121" t="s">
        <v>10924</v>
      </c>
      <c r="O5121" t="s">
        <v>11129</v>
      </c>
      <c r="P5121" t="s">
        <v>11165</v>
      </c>
      <c r="R5121" t="s">
        <v>11180</v>
      </c>
      <c r="S5121" t="s">
        <v>9096</v>
      </c>
      <c r="T5121" t="s">
        <v>11183</v>
      </c>
      <c r="U5121" t="s">
        <v>11202</v>
      </c>
      <c r="V5121" t="s">
        <v>458</v>
      </c>
      <c r="W5121">
        <v>0</v>
      </c>
      <c r="X5121" t="s">
        <v>11332</v>
      </c>
      <c r="Y5121" t="s">
        <v>11345</v>
      </c>
      <c r="Z5121" t="s">
        <v>14593</v>
      </c>
      <c r="AB5121" t="s">
        <v>18913</v>
      </c>
      <c r="AC5121">
        <v>20</v>
      </c>
      <c r="AD5121" t="s">
        <v>19566</v>
      </c>
      <c r="AF5121">
        <v>34</v>
      </c>
      <c r="AG5121">
        <v>3</v>
      </c>
      <c r="AH5121">
        <v>0</v>
      </c>
      <c r="AI5121">
        <v>220.09</v>
      </c>
      <c r="AJ5121" t="s">
        <v>289</v>
      </c>
      <c r="AK5121" t="s">
        <v>19612</v>
      </c>
      <c r="AL5121" t="s">
        <v>19614</v>
      </c>
      <c r="AM5121">
        <v>45735</v>
      </c>
      <c r="AP5121" t="s">
        <v>20317</v>
      </c>
      <c r="AQ5121" t="s">
        <v>20369</v>
      </c>
      <c r="AS5121">
        <v>20.3</v>
      </c>
      <c r="AT5121" t="s">
        <v>488</v>
      </c>
      <c r="AU5121" t="s">
        <v>67</v>
      </c>
    </row>
    <row r="5122" spans="1:48">
      <c r="A5122" s="1">
        <f>HYPERLINK("https://lsnyc.legalserver.org/matter/dynamic-profile/view/0826082","17-0826082")</f>
        <v>0</v>
      </c>
      <c r="B5122" t="s">
        <v>101</v>
      </c>
      <c r="C5122" t="s">
        <v>256</v>
      </c>
      <c r="D5122" t="s">
        <v>420</v>
      </c>
      <c r="F5122" t="s">
        <v>3014</v>
      </c>
      <c r="G5122" t="s">
        <v>5299</v>
      </c>
      <c r="H5122" t="s">
        <v>5898</v>
      </c>
      <c r="I5122" t="s">
        <v>8878</v>
      </c>
      <c r="J5122" t="s">
        <v>9065</v>
      </c>
      <c r="K5122">
        <v>10452</v>
      </c>
      <c r="L5122" t="s">
        <v>9094</v>
      </c>
      <c r="M5122" t="s">
        <v>9095</v>
      </c>
      <c r="O5122" t="s">
        <v>11154</v>
      </c>
      <c r="P5122" t="s">
        <v>11169</v>
      </c>
      <c r="R5122" t="s">
        <v>11180</v>
      </c>
      <c r="S5122" t="s">
        <v>9094</v>
      </c>
      <c r="T5122" t="s">
        <v>11183</v>
      </c>
      <c r="V5122" t="s">
        <v>11233</v>
      </c>
      <c r="W5122">
        <v>0</v>
      </c>
      <c r="X5122" t="s">
        <v>11333</v>
      </c>
      <c r="Z5122" t="s">
        <v>14642</v>
      </c>
      <c r="AB5122" t="s">
        <v>18962</v>
      </c>
      <c r="AC5122">
        <v>130</v>
      </c>
      <c r="AD5122" t="s">
        <v>19566</v>
      </c>
      <c r="AE5122" t="s">
        <v>19580</v>
      </c>
      <c r="AF5122">
        <v>9</v>
      </c>
      <c r="AG5122">
        <v>1</v>
      </c>
      <c r="AH5122">
        <v>0</v>
      </c>
      <c r="AI5122">
        <v>220.13</v>
      </c>
      <c r="AL5122" t="s">
        <v>19614</v>
      </c>
      <c r="AM5122">
        <v>26152</v>
      </c>
      <c r="AS5122">
        <v>6.3</v>
      </c>
      <c r="AT5122" t="s">
        <v>694</v>
      </c>
      <c r="AU5122" t="s">
        <v>20643</v>
      </c>
    </row>
    <row r="5123" spans="1:48">
      <c r="A5123" s="1">
        <f>HYPERLINK("https://lsnyc.legalserver.org/matter/dynamic-profile/view/0826078","17-0826078")</f>
        <v>0</v>
      </c>
      <c r="B5123" t="s">
        <v>101</v>
      </c>
      <c r="C5123" t="s">
        <v>256</v>
      </c>
      <c r="D5123" t="s">
        <v>420</v>
      </c>
      <c r="F5123" t="s">
        <v>3014</v>
      </c>
      <c r="G5123" t="s">
        <v>5299</v>
      </c>
      <c r="H5123" t="s">
        <v>5898</v>
      </c>
      <c r="I5123" t="s">
        <v>8878</v>
      </c>
      <c r="J5123" t="s">
        <v>9065</v>
      </c>
      <c r="K5123">
        <v>10452</v>
      </c>
      <c r="L5123" t="s">
        <v>9094</v>
      </c>
      <c r="M5123" t="s">
        <v>9095</v>
      </c>
      <c r="P5123" t="s">
        <v>11166</v>
      </c>
      <c r="R5123" t="s">
        <v>11180</v>
      </c>
      <c r="S5123" t="s">
        <v>9094</v>
      </c>
      <c r="T5123" t="s">
        <v>11183</v>
      </c>
      <c r="V5123" t="s">
        <v>770</v>
      </c>
      <c r="W5123">
        <v>0</v>
      </c>
      <c r="X5123" t="s">
        <v>11333</v>
      </c>
      <c r="Y5123" t="s">
        <v>11346</v>
      </c>
      <c r="Z5123" t="s">
        <v>14642</v>
      </c>
      <c r="AB5123" t="s">
        <v>18962</v>
      </c>
      <c r="AC5123">
        <v>0</v>
      </c>
      <c r="AD5123" t="s">
        <v>19566</v>
      </c>
      <c r="AE5123" t="s">
        <v>19580</v>
      </c>
      <c r="AF5123">
        <v>9</v>
      </c>
      <c r="AG5123">
        <v>1</v>
      </c>
      <c r="AH5123">
        <v>0</v>
      </c>
      <c r="AI5123">
        <v>220.13</v>
      </c>
      <c r="AL5123" t="s">
        <v>19614</v>
      </c>
      <c r="AM5123">
        <v>26152</v>
      </c>
      <c r="AS5123">
        <v>1.5</v>
      </c>
      <c r="AT5123" t="s">
        <v>905</v>
      </c>
      <c r="AU5123" t="s">
        <v>20643</v>
      </c>
    </row>
    <row r="5124" spans="1:48">
      <c r="A5124" s="1">
        <f>HYPERLINK("https://lsnyc.legalserver.org/matter/dynamic-profile/view/1838959","17-1838959")</f>
        <v>0</v>
      </c>
      <c r="B5124" t="s">
        <v>103</v>
      </c>
      <c r="C5124" t="s">
        <v>256</v>
      </c>
      <c r="D5124" t="s">
        <v>796</v>
      </c>
      <c r="F5124" t="s">
        <v>1231</v>
      </c>
      <c r="G5124" t="s">
        <v>3383</v>
      </c>
      <c r="H5124" t="s">
        <v>6915</v>
      </c>
      <c r="I5124" t="s">
        <v>8278</v>
      </c>
      <c r="J5124" t="s">
        <v>9065</v>
      </c>
      <c r="K5124">
        <v>10473</v>
      </c>
      <c r="L5124" t="s">
        <v>9094</v>
      </c>
      <c r="M5124" t="s">
        <v>9095</v>
      </c>
      <c r="N5124" t="s">
        <v>10039</v>
      </c>
      <c r="O5124" t="s">
        <v>11135</v>
      </c>
      <c r="P5124" t="s">
        <v>11168</v>
      </c>
      <c r="R5124" t="s">
        <v>11180</v>
      </c>
      <c r="S5124" t="s">
        <v>9094</v>
      </c>
      <c r="T5124" t="s">
        <v>11183</v>
      </c>
      <c r="V5124" t="s">
        <v>11223</v>
      </c>
      <c r="W5124">
        <v>870</v>
      </c>
      <c r="X5124" t="s">
        <v>11333</v>
      </c>
      <c r="Y5124" t="s">
        <v>11351</v>
      </c>
      <c r="Z5124" t="s">
        <v>14643</v>
      </c>
      <c r="AB5124" t="s">
        <v>18963</v>
      </c>
      <c r="AC5124">
        <v>976</v>
      </c>
      <c r="AD5124" t="s">
        <v>19566</v>
      </c>
      <c r="AE5124" t="s">
        <v>9144</v>
      </c>
      <c r="AF5124">
        <v>25</v>
      </c>
      <c r="AG5124">
        <v>2</v>
      </c>
      <c r="AH5124">
        <v>1</v>
      </c>
      <c r="AI5124">
        <v>220.37</v>
      </c>
      <c r="AJ5124" t="s">
        <v>936</v>
      </c>
      <c r="AL5124" t="s">
        <v>19614</v>
      </c>
      <c r="AM5124">
        <v>45000</v>
      </c>
      <c r="AS5124">
        <v>0</v>
      </c>
      <c r="AU5124" t="s">
        <v>20643</v>
      </c>
    </row>
    <row r="5125" spans="1:48">
      <c r="A5125" s="1">
        <f>HYPERLINK("https://lsnyc.legalserver.org/matter/dynamic-profile/view/1892183","19-1892183")</f>
        <v>0</v>
      </c>
      <c r="B5125" t="s">
        <v>69</v>
      </c>
      <c r="C5125" t="s">
        <v>257</v>
      </c>
      <c r="D5125" t="s">
        <v>428</v>
      </c>
      <c r="E5125" t="s">
        <v>660</v>
      </c>
      <c r="F5125" t="s">
        <v>3015</v>
      </c>
      <c r="G5125" t="s">
        <v>5300</v>
      </c>
      <c r="H5125" t="s">
        <v>7900</v>
      </c>
      <c r="I5125">
        <v>414</v>
      </c>
      <c r="J5125" t="s">
        <v>9059</v>
      </c>
      <c r="K5125">
        <v>11207</v>
      </c>
      <c r="L5125" t="s">
        <v>9094</v>
      </c>
      <c r="M5125" t="s">
        <v>9094</v>
      </c>
      <c r="N5125" t="s">
        <v>10925</v>
      </c>
      <c r="O5125" t="s">
        <v>11129</v>
      </c>
      <c r="P5125" t="s">
        <v>11168</v>
      </c>
      <c r="Q5125" t="s">
        <v>11177</v>
      </c>
      <c r="R5125" t="s">
        <v>11180</v>
      </c>
      <c r="S5125" t="s">
        <v>9096</v>
      </c>
      <c r="T5125" t="s">
        <v>11184</v>
      </c>
      <c r="V5125" t="s">
        <v>650</v>
      </c>
      <c r="W5125">
        <v>1275</v>
      </c>
      <c r="X5125" t="s">
        <v>11332</v>
      </c>
      <c r="Z5125" t="s">
        <v>14644</v>
      </c>
      <c r="AB5125" t="s">
        <v>18964</v>
      </c>
      <c r="AC5125">
        <v>0</v>
      </c>
      <c r="AD5125" t="s">
        <v>19566</v>
      </c>
      <c r="AF5125">
        <v>1</v>
      </c>
      <c r="AG5125">
        <v>3</v>
      </c>
      <c r="AH5125">
        <v>1</v>
      </c>
      <c r="AI5125">
        <v>220.77</v>
      </c>
      <c r="AL5125" t="s">
        <v>19629</v>
      </c>
      <c r="AM5125">
        <v>56848</v>
      </c>
      <c r="AS5125">
        <v>10</v>
      </c>
      <c r="AT5125" t="s">
        <v>660</v>
      </c>
      <c r="AU5125" t="s">
        <v>79</v>
      </c>
    </row>
    <row r="5126" spans="1:48">
      <c r="A5126" s="1">
        <f>HYPERLINK("https://lsnyc.legalserver.org/matter/dynamic-profile/view/1896389","19-1896389")</f>
        <v>0</v>
      </c>
      <c r="B5126" t="s">
        <v>84</v>
      </c>
      <c r="C5126" t="s">
        <v>256</v>
      </c>
      <c r="D5126" t="s">
        <v>350</v>
      </c>
      <c r="F5126" t="s">
        <v>1416</v>
      </c>
      <c r="G5126" t="s">
        <v>5301</v>
      </c>
      <c r="H5126" t="s">
        <v>5775</v>
      </c>
      <c r="I5126">
        <v>12</v>
      </c>
      <c r="J5126" t="s">
        <v>9059</v>
      </c>
      <c r="K5126">
        <v>11226</v>
      </c>
      <c r="L5126" t="s">
        <v>9094</v>
      </c>
      <c r="M5126" t="s">
        <v>9096</v>
      </c>
      <c r="O5126" t="s">
        <v>11137</v>
      </c>
      <c r="P5126" t="s">
        <v>11167</v>
      </c>
      <c r="R5126" t="s">
        <v>11180</v>
      </c>
      <c r="T5126" t="s">
        <v>11183</v>
      </c>
      <c r="V5126" t="s">
        <v>350</v>
      </c>
      <c r="W5126">
        <v>0</v>
      </c>
      <c r="X5126" t="s">
        <v>11332</v>
      </c>
      <c r="Z5126" t="s">
        <v>13316</v>
      </c>
      <c r="AC5126">
        <v>0</v>
      </c>
      <c r="AF5126">
        <v>0</v>
      </c>
      <c r="AG5126">
        <v>2</v>
      </c>
      <c r="AH5126">
        <v>0</v>
      </c>
      <c r="AI5126">
        <v>220.78</v>
      </c>
      <c r="AL5126" t="s">
        <v>19620</v>
      </c>
      <c r="AM5126">
        <v>37333.92</v>
      </c>
      <c r="AS5126">
        <v>0.7</v>
      </c>
      <c r="AT5126" t="s">
        <v>268</v>
      </c>
      <c r="AU5126" t="s">
        <v>67</v>
      </c>
      <c r="AV5126" t="s">
        <v>20733</v>
      </c>
    </row>
    <row r="5127" spans="1:48">
      <c r="A5127" s="1">
        <f>HYPERLINK("https://lsnyc.legalserver.org/matter/dynamic-profile/view/1862829","18-1862829")</f>
        <v>0</v>
      </c>
      <c r="B5127" t="s">
        <v>103</v>
      </c>
      <c r="C5127" t="s">
        <v>256</v>
      </c>
      <c r="D5127" t="s">
        <v>439</v>
      </c>
      <c r="F5127" t="s">
        <v>3016</v>
      </c>
      <c r="G5127" t="s">
        <v>5302</v>
      </c>
      <c r="H5127" t="s">
        <v>5873</v>
      </c>
      <c r="I5127" t="s">
        <v>8149</v>
      </c>
      <c r="J5127" t="s">
        <v>9065</v>
      </c>
      <c r="K5127">
        <v>10457</v>
      </c>
      <c r="L5127" t="s">
        <v>9094</v>
      </c>
      <c r="M5127" t="s">
        <v>9095</v>
      </c>
      <c r="N5127" t="s">
        <v>9233</v>
      </c>
      <c r="O5127" t="s">
        <v>11135</v>
      </c>
      <c r="P5127" t="s">
        <v>11168</v>
      </c>
      <c r="R5127" t="s">
        <v>11180</v>
      </c>
      <c r="S5127" t="s">
        <v>9094</v>
      </c>
      <c r="T5127" t="s">
        <v>11183</v>
      </c>
      <c r="W5127">
        <v>1051</v>
      </c>
      <c r="X5127" t="s">
        <v>11333</v>
      </c>
      <c r="Y5127" t="s">
        <v>11346</v>
      </c>
      <c r="Z5127" t="s">
        <v>14645</v>
      </c>
      <c r="AB5127" t="s">
        <v>18965</v>
      </c>
      <c r="AC5127">
        <v>100</v>
      </c>
      <c r="AD5127" t="s">
        <v>19566</v>
      </c>
      <c r="AF5127">
        <v>36</v>
      </c>
      <c r="AG5127">
        <v>1</v>
      </c>
      <c r="AH5127">
        <v>0</v>
      </c>
      <c r="AI5127">
        <v>220.81</v>
      </c>
      <c r="AL5127" t="s">
        <v>19614</v>
      </c>
      <c r="AM5127">
        <v>26806</v>
      </c>
      <c r="AS5127">
        <v>0.4</v>
      </c>
      <c r="AT5127" t="s">
        <v>439</v>
      </c>
      <c r="AU5127" t="s">
        <v>20642</v>
      </c>
    </row>
    <row r="5128" spans="1:48">
      <c r="A5128" s="1">
        <f>HYPERLINK("https://lsnyc.legalserver.org/matter/dynamic-profile/view/1882378","18-1882378")</f>
        <v>0</v>
      </c>
      <c r="B5128" t="s">
        <v>113</v>
      </c>
      <c r="C5128" t="s">
        <v>256</v>
      </c>
      <c r="D5128" t="s">
        <v>697</v>
      </c>
      <c r="F5128" t="s">
        <v>2631</v>
      </c>
      <c r="G5128" t="s">
        <v>5303</v>
      </c>
      <c r="H5128" t="s">
        <v>5892</v>
      </c>
      <c r="I5128" t="s">
        <v>8920</v>
      </c>
      <c r="J5128" t="s">
        <v>9065</v>
      </c>
      <c r="K5128">
        <v>10453</v>
      </c>
      <c r="L5128" t="s">
        <v>9094</v>
      </c>
      <c r="M5128" t="s">
        <v>9094</v>
      </c>
      <c r="O5128" t="s">
        <v>9121</v>
      </c>
      <c r="P5128" t="s">
        <v>11167</v>
      </c>
      <c r="R5128" t="s">
        <v>11180</v>
      </c>
      <c r="T5128" t="s">
        <v>11183</v>
      </c>
      <c r="V5128" t="s">
        <v>11218</v>
      </c>
      <c r="W5128">
        <v>2100</v>
      </c>
      <c r="X5128" t="s">
        <v>11333</v>
      </c>
      <c r="Y5128" t="s">
        <v>11346</v>
      </c>
      <c r="Z5128" t="s">
        <v>12588</v>
      </c>
      <c r="AC5128">
        <v>99</v>
      </c>
      <c r="AD5128" t="s">
        <v>19566</v>
      </c>
      <c r="AE5128" t="s">
        <v>9144</v>
      </c>
      <c r="AF5128">
        <v>2</v>
      </c>
      <c r="AG5128">
        <v>4</v>
      </c>
      <c r="AH5128">
        <v>1</v>
      </c>
      <c r="AI5128">
        <v>220.94</v>
      </c>
      <c r="AL5128" t="s">
        <v>19614</v>
      </c>
      <c r="AM5128">
        <v>65000</v>
      </c>
      <c r="AN5128" t="s">
        <v>19802</v>
      </c>
      <c r="AS5128">
        <v>0</v>
      </c>
      <c r="AU5128" t="s">
        <v>163</v>
      </c>
    </row>
    <row r="5129" spans="1:48">
      <c r="A5129" s="1">
        <f>HYPERLINK("https://lsnyc.legalserver.org/matter/dynamic-profile/view/1887105","19-1887105")</f>
        <v>0</v>
      </c>
      <c r="B5129" t="s">
        <v>113</v>
      </c>
      <c r="C5129" t="s">
        <v>257</v>
      </c>
      <c r="D5129" t="s">
        <v>324</v>
      </c>
      <c r="E5129" t="s">
        <v>326</v>
      </c>
      <c r="F5129" t="s">
        <v>2631</v>
      </c>
      <c r="G5129" t="s">
        <v>5303</v>
      </c>
      <c r="H5129" t="s">
        <v>5892</v>
      </c>
      <c r="I5129" t="s">
        <v>8920</v>
      </c>
      <c r="J5129" t="s">
        <v>9065</v>
      </c>
      <c r="K5129">
        <v>10453</v>
      </c>
      <c r="L5129" t="s">
        <v>9094</v>
      </c>
      <c r="M5129" t="s">
        <v>9095</v>
      </c>
      <c r="O5129" t="s">
        <v>9121</v>
      </c>
      <c r="P5129" t="s">
        <v>11166</v>
      </c>
      <c r="Q5129" t="s">
        <v>11173</v>
      </c>
      <c r="R5129" t="s">
        <v>11180</v>
      </c>
      <c r="S5129" t="s">
        <v>9094</v>
      </c>
      <c r="T5129" t="s">
        <v>11183</v>
      </c>
      <c r="V5129" t="s">
        <v>441</v>
      </c>
      <c r="W5129">
        <v>2100</v>
      </c>
      <c r="X5129" t="s">
        <v>11333</v>
      </c>
      <c r="Y5129" t="s">
        <v>11346</v>
      </c>
      <c r="Z5129" t="s">
        <v>12588</v>
      </c>
      <c r="AC5129">
        <v>99</v>
      </c>
      <c r="AD5129" t="s">
        <v>19566</v>
      </c>
      <c r="AE5129" t="s">
        <v>9144</v>
      </c>
      <c r="AF5129">
        <v>2</v>
      </c>
      <c r="AG5129">
        <v>4</v>
      </c>
      <c r="AH5129">
        <v>1</v>
      </c>
      <c r="AI5129">
        <v>220.94</v>
      </c>
      <c r="AL5129" t="s">
        <v>19614</v>
      </c>
      <c r="AM5129">
        <v>65000</v>
      </c>
      <c r="AN5129" t="s">
        <v>20086</v>
      </c>
      <c r="AS5129">
        <v>0.5</v>
      </c>
      <c r="AT5129" t="s">
        <v>326</v>
      </c>
      <c r="AU5129" t="s">
        <v>20647</v>
      </c>
      <c r="AV5129" t="s">
        <v>20733</v>
      </c>
    </row>
    <row r="5130" spans="1:48">
      <c r="A5130" s="1">
        <f>HYPERLINK("https://lsnyc.legalserver.org/matter/dynamic-profile/view/1875098","18-1875098")</f>
        <v>0</v>
      </c>
      <c r="B5130" t="s">
        <v>92</v>
      </c>
      <c r="C5130" t="s">
        <v>257</v>
      </c>
      <c r="D5130" t="s">
        <v>419</v>
      </c>
      <c r="E5130" t="s">
        <v>414</v>
      </c>
      <c r="F5130" t="s">
        <v>3006</v>
      </c>
      <c r="G5130" t="s">
        <v>5289</v>
      </c>
      <c r="H5130" t="s">
        <v>6908</v>
      </c>
      <c r="J5130" t="s">
        <v>9059</v>
      </c>
      <c r="K5130">
        <v>11208</v>
      </c>
      <c r="L5130" t="s">
        <v>9094</v>
      </c>
      <c r="M5130" t="s">
        <v>9094</v>
      </c>
      <c r="N5130" t="s">
        <v>10926</v>
      </c>
      <c r="O5130" t="s">
        <v>11128</v>
      </c>
      <c r="P5130" t="s">
        <v>11165</v>
      </c>
      <c r="Q5130" t="s">
        <v>11174</v>
      </c>
      <c r="R5130" t="s">
        <v>11180</v>
      </c>
      <c r="S5130" t="s">
        <v>9094</v>
      </c>
      <c r="T5130" t="s">
        <v>11183</v>
      </c>
      <c r="V5130" t="s">
        <v>624</v>
      </c>
      <c r="W5130">
        <v>0</v>
      </c>
      <c r="X5130" t="s">
        <v>11332</v>
      </c>
      <c r="Z5130" t="s">
        <v>14626</v>
      </c>
      <c r="AB5130" t="s">
        <v>18942</v>
      </c>
      <c r="AC5130">
        <v>9</v>
      </c>
      <c r="AF5130">
        <v>0</v>
      </c>
      <c r="AG5130">
        <v>2</v>
      </c>
      <c r="AH5130">
        <v>0</v>
      </c>
      <c r="AI5130">
        <v>221.14</v>
      </c>
      <c r="AJ5130" t="s">
        <v>624</v>
      </c>
      <c r="AK5130" t="s">
        <v>19612</v>
      </c>
      <c r="AL5130" t="s">
        <v>19614</v>
      </c>
      <c r="AM5130">
        <v>36400</v>
      </c>
      <c r="AN5130" t="s">
        <v>20087</v>
      </c>
      <c r="AS5130">
        <v>5.3</v>
      </c>
      <c r="AT5130" t="s">
        <v>346</v>
      </c>
      <c r="AU5130" t="s">
        <v>92</v>
      </c>
    </row>
    <row r="5131" spans="1:48">
      <c r="A5131" s="1">
        <f>HYPERLINK("https://lsnyc.legalserver.org/matter/dynamic-profile/view/1896451","19-1896451")</f>
        <v>0</v>
      </c>
      <c r="B5131" t="s">
        <v>62</v>
      </c>
      <c r="C5131" t="s">
        <v>257</v>
      </c>
      <c r="D5131" t="s">
        <v>350</v>
      </c>
      <c r="E5131" t="s">
        <v>328</v>
      </c>
      <c r="F5131" t="s">
        <v>3017</v>
      </c>
      <c r="G5131" t="s">
        <v>4219</v>
      </c>
      <c r="H5131" t="s">
        <v>7901</v>
      </c>
      <c r="I5131">
        <v>3</v>
      </c>
      <c r="J5131" t="s">
        <v>9059</v>
      </c>
      <c r="K5131">
        <v>11208</v>
      </c>
      <c r="L5131" t="s">
        <v>9094</v>
      </c>
      <c r="M5131" t="s">
        <v>9096</v>
      </c>
      <c r="N5131" t="s">
        <v>10927</v>
      </c>
      <c r="O5131" t="s">
        <v>11128</v>
      </c>
      <c r="P5131" t="s">
        <v>11165</v>
      </c>
      <c r="Q5131" t="s">
        <v>11174</v>
      </c>
      <c r="R5131" t="s">
        <v>11180</v>
      </c>
      <c r="S5131" t="s">
        <v>9096</v>
      </c>
      <c r="T5131" t="s">
        <v>11183</v>
      </c>
      <c r="U5131" t="s">
        <v>11201</v>
      </c>
      <c r="V5131" t="s">
        <v>614</v>
      </c>
      <c r="W5131">
        <v>900</v>
      </c>
      <c r="X5131" t="s">
        <v>11332</v>
      </c>
      <c r="Y5131" t="s">
        <v>11341</v>
      </c>
      <c r="Z5131" t="s">
        <v>14646</v>
      </c>
      <c r="AB5131" t="s">
        <v>18966</v>
      </c>
      <c r="AC5131">
        <v>3</v>
      </c>
      <c r="AD5131" t="s">
        <v>19565</v>
      </c>
      <c r="AE5131" t="s">
        <v>9144</v>
      </c>
      <c r="AF5131">
        <v>0</v>
      </c>
      <c r="AG5131">
        <v>2</v>
      </c>
      <c r="AH5131">
        <v>1</v>
      </c>
      <c r="AI5131">
        <v>221.28</v>
      </c>
      <c r="AL5131" t="s">
        <v>19614</v>
      </c>
      <c r="AM5131">
        <v>47200</v>
      </c>
      <c r="AQ5131" t="s">
        <v>20368</v>
      </c>
      <c r="AR5131" t="s">
        <v>20530</v>
      </c>
      <c r="AS5131">
        <v>26.3</v>
      </c>
      <c r="AT5131" t="s">
        <v>663</v>
      </c>
      <c r="AU5131" t="s">
        <v>95</v>
      </c>
      <c r="AV5131" t="s">
        <v>20733</v>
      </c>
    </row>
    <row r="5132" spans="1:48">
      <c r="A5132" s="1">
        <f>HYPERLINK("https://lsnyc.legalserver.org/matter/dynamic-profile/view/1892387","19-1892387")</f>
        <v>0</v>
      </c>
      <c r="B5132" t="s">
        <v>72</v>
      </c>
      <c r="C5132" t="s">
        <v>256</v>
      </c>
      <c r="D5132" t="s">
        <v>635</v>
      </c>
      <c r="F5132" t="s">
        <v>3018</v>
      </c>
      <c r="G5132" t="s">
        <v>5304</v>
      </c>
      <c r="H5132" t="s">
        <v>7902</v>
      </c>
      <c r="I5132" t="s">
        <v>8178</v>
      </c>
      <c r="J5132" t="s">
        <v>9059</v>
      </c>
      <c r="K5132">
        <v>11233</v>
      </c>
      <c r="L5132" t="s">
        <v>9094</v>
      </c>
      <c r="M5132" t="s">
        <v>9096</v>
      </c>
      <c r="N5132" t="s">
        <v>10928</v>
      </c>
      <c r="O5132" t="s">
        <v>11129</v>
      </c>
      <c r="P5132" t="s">
        <v>11165</v>
      </c>
      <c r="R5132" t="s">
        <v>11180</v>
      </c>
      <c r="S5132" t="s">
        <v>9096</v>
      </c>
      <c r="T5132" t="s">
        <v>11183</v>
      </c>
      <c r="V5132" t="s">
        <v>791</v>
      </c>
      <c r="W5132">
        <v>1250</v>
      </c>
      <c r="X5132" t="s">
        <v>11332</v>
      </c>
      <c r="Z5132" t="s">
        <v>14647</v>
      </c>
      <c r="AB5132" t="s">
        <v>18967</v>
      </c>
      <c r="AC5132">
        <v>8</v>
      </c>
      <c r="AD5132" t="s">
        <v>19566</v>
      </c>
      <c r="AE5132" t="s">
        <v>19580</v>
      </c>
      <c r="AF5132">
        <v>15</v>
      </c>
      <c r="AG5132">
        <v>3</v>
      </c>
      <c r="AH5132">
        <v>1</v>
      </c>
      <c r="AI5132">
        <v>221.36</v>
      </c>
      <c r="AL5132" t="s">
        <v>19614</v>
      </c>
      <c r="AM5132">
        <v>57000</v>
      </c>
      <c r="AS5132">
        <v>41.75</v>
      </c>
      <c r="AT5132" t="s">
        <v>487</v>
      </c>
      <c r="AU5132" t="s">
        <v>79</v>
      </c>
      <c r="AV5132" t="s">
        <v>20733</v>
      </c>
    </row>
    <row r="5133" spans="1:48">
      <c r="A5133" s="1">
        <f>HYPERLINK("https://lsnyc.legalserver.org/matter/dynamic-profile/view/1857317","18-1857317")</f>
        <v>0</v>
      </c>
      <c r="B5133" t="s">
        <v>119</v>
      </c>
      <c r="C5133" t="s">
        <v>256</v>
      </c>
      <c r="D5133" t="s">
        <v>467</v>
      </c>
      <c r="F5133" t="s">
        <v>3019</v>
      </c>
      <c r="G5133" t="s">
        <v>5305</v>
      </c>
      <c r="H5133" t="s">
        <v>5897</v>
      </c>
      <c r="I5133" t="s">
        <v>8921</v>
      </c>
      <c r="J5133" t="s">
        <v>9065</v>
      </c>
      <c r="K5133">
        <v>10452</v>
      </c>
      <c r="L5133" t="s">
        <v>9094</v>
      </c>
      <c r="M5133" t="s">
        <v>9095</v>
      </c>
      <c r="N5133" t="s">
        <v>9253</v>
      </c>
      <c r="O5133" t="s">
        <v>11135</v>
      </c>
      <c r="P5133" t="s">
        <v>11168</v>
      </c>
      <c r="R5133" t="s">
        <v>11180</v>
      </c>
      <c r="S5133" t="s">
        <v>9094</v>
      </c>
      <c r="T5133" t="s">
        <v>11183</v>
      </c>
      <c r="W5133">
        <v>1038.43</v>
      </c>
      <c r="X5133" t="s">
        <v>11333</v>
      </c>
      <c r="Y5133" t="s">
        <v>11346</v>
      </c>
      <c r="Z5133" t="s">
        <v>14648</v>
      </c>
      <c r="AB5133" t="s">
        <v>18968</v>
      </c>
      <c r="AC5133">
        <v>122</v>
      </c>
      <c r="AD5133" t="s">
        <v>19566</v>
      </c>
      <c r="AF5133">
        <v>8</v>
      </c>
      <c r="AG5133">
        <v>2</v>
      </c>
      <c r="AH5133">
        <v>1</v>
      </c>
      <c r="AI5133">
        <v>221.36</v>
      </c>
      <c r="AL5133" t="s">
        <v>19614</v>
      </c>
      <c r="AM5133">
        <v>45202.56</v>
      </c>
      <c r="AS5133">
        <v>0</v>
      </c>
      <c r="AU5133" t="s">
        <v>20647</v>
      </c>
    </row>
    <row r="5134" spans="1:48">
      <c r="A5134" s="1">
        <f>HYPERLINK("https://lsnyc.legalserver.org/matter/dynamic-profile/view/1906747","19-1906747")</f>
        <v>0</v>
      </c>
      <c r="B5134" t="s">
        <v>139</v>
      </c>
      <c r="C5134" t="s">
        <v>257</v>
      </c>
      <c r="D5134" t="s">
        <v>474</v>
      </c>
      <c r="E5134" t="s">
        <v>474</v>
      </c>
      <c r="F5134" t="s">
        <v>1197</v>
      </c>
      <c r="G5134" t="s">
        <v>5306</v>
      </c>
      <c r="H5134" t="s">
        <v>7015</v>
      </c>
      <c r="I5134" t="s">
        <v>8690</v>
      </c>
      <c r="J5134" t="s">
        <v>9067</v>
      </c>
      <c r="K5134">
        <v>10034</v>
      </c>
      <c r="L5134" t="s">
        <v>9094</v>
      </c>
      <c r="M5134" t="s">
        <v>9095</v>
      </c>
      <c r="N5134" t="s">
        <v>10929</v>
      </c>
      <c r="O5134" t="s">
        <v>11128</v>
      </c>
      <c r="P5134" t="s">
        <v>11164</v>
      </c>
      <c r="Q5134" t="s">
        <v>11172</v>
      </c>
      <c r="R5134" t="s">
        <v>11180</v>
      </c>
      <c r="S5134" t="s">
        <v>9096</v>
      </c>
      <c r="T5134" t="s">
        <v>11183</v>
      </c>
      <c r="V5134" t="s">
        <v>474</v>
      </c>
      <c r="W5134">
        <v>965.02</v>
      </c>
      <c r="X5134" t="s">
        <v>11335</v>
      </c>
      <c r="Y5134" t="s">
        <v>11351</v>
      </c>
      <c r="Z5134" t="s">
        <v>14649</v>
      </c>
      <c r="AB5134" t="s">
        <v>18969</v>
      </c>
      <c r="AC5134">
        <v>61</v>
      </c>
      <c r="AD5134" t="s">
        <v>19566</v>
      </c>
      <c r="AE5134" t="s">
        <v>9144</v>
      </c>
      <c r="AF5134">
        <v>45</v>
      </c>
      <c r="AG5134">
        <v>2</v>
      </c>
      <c r="AH5134">
        <v>2</v>
      </c>
      <c r="AI5134">
        <v>221.36</v>
      </c>
      <c r="AL5134" t="s">
        <v>19614</v>
      </c>
      <c r="AM5134">
        <v>57000</v>
      </c>
      <c r="AS5134">
        <v>1.7</v>
      </c>
      <c r="AT5134" t="s">
        <v>992</v>
      </c>
      <c r="AU5134" t="s">
        <v>130</v>
      </c>
      <c r="AV5134" t="s">
        <v>20733</v>
      </c>
    </row>
    <row r="5135" spans="1:48">
      <c r="A5135" s="1">
        <f>HYPERLINK("https://lsnyc.legalserver.org/matter/dynamic-profile/view/1913118","19-1913118")</f>
        <v>0</v>
      </c>
      <c r="B5135" t="s">
        <v>147</v>
      </c>
      <c r="C5135" t="s">
        <v>256</v>
      </c>
      <c r="D5135" t="s">
        <v>556</v>
      </c>
      <c r="F5135" t="s">
        <v>2446</v>
      </c>
      <c r="G5135" t="s">
        <v>2968</v>
      </c>
      <c r="H5135" t="s">
        <v>6090</v>
      </c>
      <c r="I5135" t="s">
        <v>8922</v>
      </c>
      <c r="J5135" t="s">
        <v>9066</v>
      </c>
      <c r="K5135">
        <v>10304</v>
      </c>
      <c r="L5135" t="s">
        <v>9095</v>
      </c>
      <c r="M5135" t="s">
        <v>9095</v>
      </c>
      <c r="N5135" t="s">
        <v>9154</v>
      </c>
      <c r="O5135" t="s">
        <v>9121</v>
      </c>
      <c r="R5135" t="s">
        <v>11180</v>
      </c>
      <c r="S5135" t="s">
        <v>9094</v>
      </c>
      <c r="T5135" t="s">
        <v>11183</v>
      </c>
      <c r="W5135">
        <v>692</v>
      </c>
      <c r="X5135" t="s">
        <v>11334</v>
      </c>
      <c r="Y5135" t="s">
        <v>11348</v>
      </c>
      <c r="Z5135" t="s">
        <v>14650</v>
      </c>
      <c r="AB5135" t="s">
        <v>18970</v>
      </c>
      <c r="AC5135">
        <v>0</v>
      </c>
      <c r="AD5135" t="s">
        <v>19567</v>
      </c>
      <c r="AE5135" t="s">
        <v>9144</v>
      </c>
      <c r="AF5135">
        <v>14</v>
      </c>
      <c r="AG5135">
        <v>2</v>
      </c>
      <c r="AH5135">
        <v>0</v>
      </c>
      <c r="AI5135">
        <v>221.41</v>
      </c>
      <c r="AM5135">
        <v>37440</v>
      </c>
      <c r="AS5135">
        <v>5.3</v>
      </c>
      <c r="AT5135" t="s">
        <v>331</v>
      </c>
      <c r="AU5135" t="s">
        <v>20653</v>
      </c>
    </row>
    <row r="5136" spans="1:48">
      <c r="A5136" s="1">
        <f>HYPERLINK("https://lsnyc.legalserver.org/matter/dynamic-profile/view/0768714","14-0768714")</f>
        <v>0</v>
      </c>
      <c r="B5136" t="s">
        <v>236</v>
      </c>
      <c r="C5136" t="s">
        <v>256</v>
      </c>
      <c r="D5136" t="s">
        <v>1098</v>
      </c>
      <c r="F5136" t="s">
        <v>1601</v>
      </c>
      <c r="G5136" t="s">
        <v>3497</v>
      </c>
      <c r="H5136" t="s">
        <v>7903</v>
      </c>
      <c r="I5136" t="s">
        <v>8923</v>
      </c>
      <c r="J5136" t="s">
        <v>9059</v>
      </c>
      <c r="K5136">
        <v>11216</v>
      </c>
      <c r="L5136" t="s">
        <v>9094</v>
      </c>
      <c r="M5136" t="s">
        <v>9095</v>
      </c>
      <c r="N5136" t="s">
        <v>10930</v>
      </c>
      <c r="O5136" t="s">
        <v>11135</v>
      </c>
      <c r="P5136" t="s">
        <v>11168</v>
      </c>
      <c r="R5136" t="s">
        <v>11180</v>
      </c>
      <c r="T5136" t="s">
        <v>11183</v>
      </c>
      <c r="V5136" t="s">
        <v>11231</v>
      </c>
      <c r="W5136">
        <v>0</v>
      </c>
      <c r="X5136" t="s">
        <v>11332</v>
      </c>
      <c r="Z5136" t="s">
        <v>11532</v>
      </c>
      <c r="AC5136">
        <v>8</v>
      </c>
      <c r="AD5136" t="s">
        <v>19569</v>
      </c>
      <c r="AF5136">
        <v>49</v>
      </c>
      <c r="AG5136">
        <v>2</v>
      </c>
      <c r="AH5136">
        <v>1</v>
      </c>
      <c r="AI5136">
        <v>221.45</v>
      </c>
      <c r="AJ5136" t="s">
        <v>11246</v>
      </c>
      <c r="AM5136">
        <v>43824</v>
      </c>
      <c r="AS5136">
        <v>56.9</v>
      </c>
      <c r="AT5136" t="s">
        <v>328</v>
      </c>
      <c r="AU5136" t="s">
        <v>20726</v>
      </c>
    </row>
    <row r="5137" spans="1:48">
      <c r="A5137" s="1">
        <f>HYPERLINK("https://lsnyc.legalserver.org/matter/dynamic-profile/view/1859964","18-1859964")</f>
        <v>0</v>
      </c>
      <c r="B5137" t="s">
        <v>86</v>
      </c>
      <c r="C5137" t="s">
        <v>256</v>
      </c>
      <c r="D5137" t="s">
        <v>843</v>
      </c>
      <c r="F5137" t="s">
        <v>2206</v>
      </c>
      <c r="G5137" t="s">
        <v>5296</v>
      </c>
      <c r="H5137" t="s">
        <v>7040</v>
      </c>
      <c r="I5137" t="s">
        <v>8919</v>
      </c>
      <c r="J5137" t="s">
        <v>9059</v>
      </c>
      <c r="K5137">
        <v>11226</v>
      </c>
      <c r="L5137" t="s">
        <v>9094</v>
      </c>
      <c r="M5137" t="s">
        <v>9095</v>
      </c>
      <c r="N5137" t="s">
        <v>10148</v>
      </c>
      <c r="O5137" t="s">
        <v>11152</v>
      </c>
      <c r="P5137" t="s">
        <v>11165</v>
      </c>
      <c r="R5137" t="s">
        <v>11180</v>
      </c>
      <c r="S5137" t="s">
        <v>9094</v>
      </c>
      <c r="T5137" t="s">
        <v>11183</v>
      </c>
      <c r="V5137" t="s">
        <v>11249</v>
      </c>
      <c r="W5137">
        <v>0</v>
      </c>
      <c r="X5137" t="s">
        <v>11332</v>
      </c>
      <c r="Y5137" t="s">
        <v>11346</v>
      </c>
      <c r="Z5137" t="s">
        <v>14637</v>
      </c>
      <c r="AB5137" t="s">
        <v>18955</v>
      </c>
      <c r="AC5137">
        <v>61</v>
      </c>
      <c r="AD5137" t="s">
        <v>19569</v>
      </c>
      <c r="AE5137" t="s">
        <v>9144</v>
      </c>
      <c r="AF5137">
        <v>20</v>
      </c>
      <c r="AG5137">
        <v>2</v>
      </c>
      <c r="AH5137">
        <v>0</v>
      </c>
      <c r="AI5137">
        <v>221.67</v>
      </c>
      <c r="AJ5137" t="s">
        <v>11246</v>
      </c>
      <c r="AL5137" t="s">
        <v>19614</v>
      </c>
      <c r="AM5137">
        <v>36000</v>
      </c>
      <c r="AS5137">
        <v>4.3</v>
      </c>
      <c r="AT5137" t="s">
        <v>697</v>
      </c>
      <c r="AU5137" t="s">
        <v>20630</v>
      </c>
    </row>
    <row r="5138" spans="1:48">
      <c r="A5138" s="1">
        <f>HYPERLINK("https://lsnyc.legalserver.org/matter/dynamic-profile/view/1842824","17-1842824")</f>
        <v>0</v>
      </c>
      <c r="B5138" t="s">
        <v>122</v>
      </c>
      <c r="C5138" t="s">
        <v>257</v>
      </c>
      <c r="D5138" t="s">
        <v>480</v>
      </c>
      <c r="E5138" t="s">
        <v>414</v>
      </c>
      <c r="F5138" t="s">
        <v>1381</v>
      </c>
      <c r="G5138" t="s">
        <v>3739</v>
      </c>
      <c r="H5138" t="s">
        <v>5911</v>
      </c>
      <c r="I5138" t="s">
        <v>8880</v>
      </c>
      <c r="J5138" t="s">
        <v>9066</v>
      </c>
      <c r="K5138">
        <v>10314</v>
      </c>
      <c r="L5138" t="s">
        <v>9094</v>
      </c>
      <c r="M5138" t="s">
        <v>9095</v>
      </c>
      <c r="N5138" t="s">
        <v>9260</v>
      </c>
      <c r="O5138" t="s">
        <v>11135</v>
      </c>
      <c r="P5138" t="s">
        <v>11168</v>
      </c>
      <c r="Q5138" t="s">
        <v>11177</v>
      </c>
      <c r="R5138" t="s">
        <v>11180</v>
      </c>
      <c r="S5138" t="s">
        <v>9094</v>
      </c>
      <c r="T5138" t="s">
        <v>11183</v>
      </c>
      <c r="V5138" t="s">
        <v>712</v>
      </c>
      <c r="W5138">
        <v>1120</v>
      </c>
      <c r="X5138" t="s">
        <v>11334</v>
      </c>
      <c r="Y5138" t="s">
        <v>11340</v>
      </c>
      <c r="Z5138" t="s">
        <v>14408</v>
      </c>
      <c r="AB5138" t="s">
        <v>18730</v>
      </c>
      <c r="AC5138">
        <v>96</v>
      </c>
      <c r="AD5138" t="s">
        <v>19566</v>
      </c>
      <c r="AE5138" t="s">
        <v>9144</v>
      </c>
      <c r="AF5138">
        <v>8</v>
      </c>
      <c r="AG5138">
        <v>2</v>
      </c>
      <c r="AH5138">
        <v>0</v>
      </c>
      <c r="AI5138">
        <v>221.67</v>
      </c>
      <c r="AJ5138" t="s">
        <v>19594</v>
      </c>
      <c r="AL5138" t="s">
        <v>19614</v>
      </c>
      <c r="AM5138">
        <v>44365</v>
      </c>
      <c r="AS5138">
        <v>0.5</v>
      </c>
      <c r="AT5138" t="s">
        <v>11246</v>
      </c>
      <c r="AU5138" t="s">
        <v>20651</v>
      </c>
    </row>
    <row r="5139" spans="1:48">
      <c r="A5139" s="1">
        <f>HYPERLINK("https://lsnyc.legalserver.org/matter/dynamic-profile/view/1915255","19-1915255")</f>
        <v>0</v>
      </c>
      <c r="B5139" t="s">
        <v>64</v>
      </c>
      <c r="C5139" t="s">
        <v>256</v>
      </c>
      <c r="D5139" t="s">
        <v>321</v>
      </c>
      <c r="F5139" t="s">
        <v>1148</v>
      </c>
      <c r="G5139" t="s">
        <v>3740</v>
      </c>
      <c r="H5139" t="s">
        <v>7904</v>
      </c>
      <c r="I5139" t="s">
        <v>8161</v>
      </c>
      <c r="J5139" t="s">
        <v>9059</v>
      </c>
      <c r="K5139">
        <v>11233</v>
      </c>
      <c r="L5139" t="s">
        <v>9094</v>
      </c>
      <c r="M5139" t="s">
        <v>9095</v>
      </c>
      <c r="N5139" t="s">
        <v>10392</v>
      </c>
      <c r="O5139" t="s">
        <v>11130</v>
      </c>
      <c r="R5139" t="s">
        <v>11180</v>
      </c>
      <c r="S5139" t="s">
        <v>9096</v>
      </c>
      <c r="T5139" t="s">
        <v>11183</v>
      </c>
      <c r="U5139" t="s">
        <v>11201</v>
      </c>
      <c r="V5139" t="s">
        <v>321</v>
      </c>
      <c r="W5139">
        <v>1300</v>
      </c>
      <c r="X5139" t="s">
        <v>11332</v>
      </c>
      <c r="Y5139" t="s">
        <v>11341</v>
      </c>
      <c r="Z5139" t="s">
        <v>14651</v>
      </c>
      <c r="AA5139" t="s">
        <v>15334</v>
      </c>
      <c r="AB5139" t="s">
        <v>18971</v>
      </c>
      <c r="AC5139">
        <v>9</v>
      </c>
      <c r="AD5139" t="s">
        <v>19566</v>
      </c>
      <c r="AE5139" t="s">
        <v>9144</v>
      </c>
      <c r="AF5139">
        <v>7</v>
      </c>
      <c r="AG5139">
        <v>1</v>
      </c>
      <c r="AH5139">
        <v>1</v>
      </c>
      <c r="AI5139">
        <v>222.02</v>
      </c>
      <c r="AL5139" t="s">
        <v>19614</v>
      </c>
      <c r="AM5139">
        <v>37544</v>
      </c>
      <c r="AS5139">
        <v>0</v>
      </c>
      <c r="AU5139" t="s">
        <v>95</v>
      </c>
      <c r="AV5139" t="s">
        <v>20733</v>
      </c>
    </row>
    <row r="5140" spans="1:48">
      <c r="A5140" s="1">
        <f>HYPERLINK("https://lsnyc.legalserver.org/matter/dynamic-profile/view/1909471","19-1909471")</f>
        <v>0</v>
      </c>
      <c r="B5140" t="s">
        <v>73</v>
      </c>
      <c r="C5140" t="s">
        <v>256</v>
      </c>
      <c r="D5140" t="s">
        <v>273</v>
      </c>
      <c r="F5140" t="s">
        <v>1148</v>
      </c>
      <c r="G5140" t="s">
        <v>3740</v>
      </c>
      <c r="H5140" t="s">
        <v>7904</v>
      </c>
      <c r="I5140" t="s">
        <v>8161</v>
      </c>
      <c r="J5140" t="s">
        <v>9059</v>
      </c>
      <c r="K5140">
        <v>11233</v>
      </c>
      <c r="L5140" t="s">
        <v>9094</v>
      </c>
      <c r="M5140" t="s">
        <v>9095</v>
      </c>
      <c r="N5140" t="s">
        <v>10931</v>
      </c>
      <c r="O5140" t="s">
        <v>11129</v>
      </c>
      <c r="P5140" t="s">
        <v>11165</v>
      </c>
      <c r="R5140" t="s">
        <v>11180</v>
      </c>
      <c r="S5140" t="s">
        <v>9096</v>
      </c>
      <c r="T5140" t="s">
        <v>11183</v>
      </c>
      <c r="U5140" t="s">
        <v>11203</v>
      </c>
      <c r="V5140" t="s">
        <v>992</v>
      </c>
      <c r="W5140">
        <v>1300</v>
      </c>
      <c r="X5140" t="s">
        <v>11332</v>
      </c>
      <c r="Y5140" t="s">
        <v>11341</v>
      </c>
      <c r="Z5140" t="s">
        <v>14651</v>
      </c>
      <c r="AA5140" t="s">
        <v>15334</v>
      </c>
      <c r="AB5140" t="s">
        <v>18971</v>
      </c>
      <c r="AC5140">
        <v>9</v>
      </c>
      <c r="AD5140" t="s">
        <v>19566</v>
      </c>
      <c r="AE5140" t="s">
        <v>9144</v>
      </c>
      <c r="AF5140">
        <v>7</v>
      </c>
      <c r="AG5140">
        <v>1</v>
      </c>
      <c r="AH5140">
        <v>1</v>
      </c>
      <c r="AI5140">
        <v>222.02</v>
      </c>
      <c r="AJ5140" t="s">
        <v>476</v>
      </c>
      <c r="AK5140" t="s">
        <v>19612</v>
      </c>
      <c r="AL5140" t="s">
        <v>19614</v>
      </c>
      <c r="AM5140">
        <v>37544</v>
      </c>
      <c r="AN5140" t="s">
        <v>20088</v>
      </c>
      <c r="AS5140">
        <v>40.4</v>
      </c>
      <c r="AT5140" t="s">
        <v>632</v>
      </c>
      <c r="AU5140" t="s">
        <v>95</v>
      </c>
      <c r="AV5140" t="s">
        <v>20733</v>
      </c>
    </row>
    <row r="5141" spans="1:48">
      <c r="A5141" s="1">
        <f>HYPERLINK("https://lsnyc.legalserver.org/matter/dynamic-profile/view/1890561","19-1890561")</f>
        <v>0</v>
      </c>
      <c r="B5141" t="s">
        <v>70</v>
      </c>
      <c r="C5141" t="s">
        <v>256</v>
      </c>
      <c r="D5141" t="s">
        <v>695</v>
      </c>
      <c r="F5141" t="s">
        <v>1861</v>
      </c>
      <c r="G5141" t="s">
        <v>5307</v>
      </c>
      <c r="H5141" t="s">
        <v>5748</v>
      </c>
      <c r="I5141" t="s">
        <v>8924</v>
      </c>
      <c r="J5141" t="s">
        <v>9059</v>
      </c>
      <c r="K5141">
        <v>11233</v>
      </c>
      <c r="L5141" t="s">
        <v>9094</v>
      </c>
      <c r="M5141" t="s">
        <v>9096</v>
      </c>
      <c r="N5141" t="s">
        <v>9145</v>
      </c>
      <c r="O5141" t="s">
        <v>11134</v>
      </c>
      <c r="P5141" t="s">
        <v>11168</v>
      </c>
      <c r="R5141" t="s">
        <v>11180</v>
      </c>
      <c r="S5141" t="s">
        <v>9094</v>
      </c>
      <c r="T5141" t="s">
        <v>11183</v>
      </c>
      <c r="U5141" t="s">
        <v>11201</v>
      </c>
      <c r="V5141" t="s">
        <v>482</v>
      </c>
      <c r="W5141">
        <v>1031.53</v>
      </c>
      <c r="X5141" t="s">
        <v>11332</v>
      </c>
      <c r="Y5141" t="s">
        <v>11157</v>
      </c>
      <c r="Z5141" t="s">
        <v>14652</v>
      </c>
      <c r="AC5141">
        <v>359</v>
      </c>
      <c r="AD5141" t="s">
        <v>19566</v>
      </c>
      <c r="AE5141" t="s">
        <v>9144</v>
      </c>
      <c r="AF5141">
        <v>21</v>
      </c>
      <c r="AG5141">
        <v>2</v>
      </c>
      <c r="AH5141">
        <v>3</v>
      </c>
      <c r="AI5141">
        <v>222.07</v>
      </c>
      <c r="AL5141" t="s">
        <v>19614</v>
      </c>
      <c r="AM5141">
        <v>67000</v>
      </c>
      <c r="AN5141" t="s">
        <v>19642</v>
      </c>
      <c r="AS5141">
        <v>0</v>
      </c>
      <c r="AU5141" t="s">
        <v>79</v>
      </c>
    </row>
    <row r="5142" spans="1:48">
      <c r="A5142" s="1">
        <f>HYPERLINK("https://lsnyc.legalserver.org/matter/dynamic-profile/view/1891867","19-1891867")</f>
        <v>0</v>
      </c>
      <c r="B5142" t="s">
        <v>70</v>
      </c>
      <c r="C5142" t="s">
        <v>256</v>
      </c>
      <c r="D5142" t="s">
        <v>383</v>
      </c>
      <c r="F5142" t="s">
        <v>1861</v>
      </c>
      <c r="G5142" t="s">
        <v>5307</v>
      </c>
      <c r="H5142" t="s">
        <v>5748</v>
      </c>
      <c r="I5142" t="s">
        <v>8924</v>
      </c>
      <c r="J5142" t="s">
        <v>9059</v>
      </c>
      <c r="K5142">
        <v>11233</v>
      </c>
      <c r="L5142" t="s">
        <v>9094</v>
      </c>
      <c r="M5142" t="s">
        <v>9096</v>
      </c>
      <c r="O5142" t="s">
        <v>11137</v>
      </c>
      <c r="P5142" t="s">
        <v>11167</v>
      </c>
      <c r="R5142" t="s">
        <v>11180</v>
      </c>
      <c r="S5142" t="s">
        <v>9094</v>
      </c>
      <c r="T5142" t="s">
        <v>11183</v>
      </c>
      <c r="U5142" t="s">
        <v>11201</v>
      </c>
      <c r="V5142" t="s">
        <v>749</v>
      </c>
      <c r="W5142">
        <v>1031.53</v>
      </c>
      <c r="X5142" t="s">
        <v>11332</v>
      </c>
      <c r="Z5142" t="s">
        <v>14652</v>
      </c>
      <c r="AC5142">
        <v>359</v>
      </c>
      <c r="AD5142" t="s">
        <v>19566</v>
      </c>
      <c r="AE5142" t="s">
        <v>9144</v>
      </c>
      <c r="AF5142">
        <v>21</v>
      </c>
      <c r="AG5142">
        <v>2</v>
      </c>
      <c r="AH5142">
        <v>3</v>
      </c>
      <c r="AI5142">
        <v>222.07</v>
      </c>
      <c r="AL5142" t="s">
        <v>19614</v>
      </c>
      <c r="AM5142">
        <v>67000</v>
      </c>
      <c r="AN5142" t="s">
        <v>20089</v>
      </c>
      <c r="AS5142">
        <v>0</v>
      </c>
      <c r="AU5142" t="s">
        <v>95</v>
      </c>
    </row>
    <row r="5143" spans="1:48">
      <c r="A5143" s="1">
        <f>HYPERLINK("https://lsnyc.legalserver.org/matter/dynamic-profile/view/1912365","19-1912365")</f>
        <v>0</v>
      </c>
      <c r="B5143" t="s">
        <v>141</v>
      </c>
      <c r="C5143" t="s">
        <v>256</v>
      </c>
      <c r="D5143" t="s">
        <v>309</v>
      </c>
      <c r="F5143" t="s">
        <v>1374</v>
      </c>
      <c r="G5143" t="s">
        <v>2008</v>
      </c>
      <c r="H5143" t="s">
        <v>5999</v>
      </c>
      <c r="I5143" t="s">
        <v>8279</v>
      </c>
      <c r="J5143" t="s">
        <v>9067</v>
      </c>
      <c r="K5143">
        <v>10040</v>
      </c>
      <c r="L5143" t="s">
        <v>9094</v>
      </c>
      <c r="M5143" t="s">
        <v>9095</v>
      </c>
      <c r="O5143" t="s">
        <v>11134</v>
      </c>
      <c r="P5143" t="s">
        <v>11165</v>
      </c>
      <c r="R5143" t="s">
        <v>11180</v>
      </c>
      <c r="S5143" t="s">
        <v>9094</v>
      </c>
      <c r="T5143" t="s">
        <v>11183</v>
      </c>
      <c r="V5143" t="s">
        <v>309</v>
      </c>
      <c r="W5143">
        <v>1600</v>
      </c>
      <c r="X5143" t="s">
        <v>11335</v>
      </c>
      <c r="Y5143" t="s">
        <v>11340</v>
      </c>
      <c r="Z5143" t="s">
        <v>14487</v>
      </c>
      <c r="AB5143" t="s">
        <v>18811</v>
      </c>
      <c r="AC5143">
        <v>44</v>
      </c>
      <c r="AD5143" t="s">
        <v>19566</v>
      </c>
      <c r="AE5143" t="s">
        <v>9144</v>
      </c>
      <c r="AF5143">
        <v>39</v>
      </c>
      <c r="AG5143">
        <v>4</v>
      </c>
      <c r="AH5143">
        <v>1</v>
      </c>
      <c r="AI5143">
        <v>222.07</v>
      </c>
      <c r="AL5143" t="s">
        <v>19614</v>
      </c>
      <c r="AM5143">
        <v>67000</v>
      </c>
      <c r="AS5143">
        <v>0</v>
      </c>
      <c r="AU5143" t="s">
        <v>130</v>
      </c>
      <c r="AV5143" t="s">
        <v>20733</v>
      </c>
    </row>
    <row r="5144" spans="1:48">
      <c r="A5144" s="1">
        <f>HYPERLINK("https://lsnyc.legalserver.org/matter/dynamic-profile/view/1912932","19-1912932")</f>
        <v>0</v>
      </c>
      <c r="B5144" t="s">
        <v>141</v>
      </c>
      <c r="C5144" t="s">
        <v>257</v>
      </c>
      <c r="D5144" t="s">
        <v>294</v>
      </c>
      <c r="E5144" t="s">
        <v>594</v>
      </c>
      <c r="F5144" t="s">
        <v>1374</v>
      </c>
      <c r="G5144" t="s">
        <v>2008</v>
      </c>
      <c r="H5144" t="s">
        <v>5999</v>
      </c>
      <c r="I5144" t="s">
        <v>8279</v>
      </c>
      <c r="J5144" t="s">
        <v>9067</v>
      </c>
      <c r="K5144">
        <v>10040</v>
      </c>
      <c r="L5144" t="s">
        <v>9094</v>
      </c>
      <c r="M5144" t="s">
        <v>9095</v>
      </c>
      <c r="N5144" t="s">
        <v>9753</v>
      </c>
      <c r="O5144" t="s">
        <v>11134</v>
      </c>
      <c r="P5144" t="s">
        <v>11168</v>
      </c>
      <c r="Q5144" t="s">
        <v>11177</v>
      </c>
      <c r="R5144" t="s">
        <v>11180</v>
      </c>
      <c r="S5144" t="s">
        <v>9094</v>
      </c>
      <c r="T5144" t="s">
        <v>11183</v>
      </c>
      <c r="V5144" t="s">
        <v>294</v>
      </c>
      <c r="W5144">
        <v>1600</v>
      </c>
      <c r="X5144" t="s">
        <v>11335</v>
      </c>
      <c r="Y5144" t="s">
        <v>11340</v>
      </c>
      <c r="Z5144" t="s">
        <v>14487</v>
      </c>
      <c r="AB5144" t="s">
        <v>18811</v>
      </c>
      <c r="AC5144">
        <v>44</v>
      </c>
      <c r="AD5144" t="s">
        <v>19566</v>
      </c>
      <c r="AE5144" t="s">
        <v>9144</v>
      </c>
      <c r="AF5144">
        <v>39</v>
      </c>
      <c r="AG5144">
        <v>4</v>
      </c>
      <c r="AH5144">
        <v>1</v>
      </c>
      <c r="AI5144">
        <v>222.07</v>
      </c>
      <c r="AL5144" t="s">
        <v>19614</v>
      </c>
      <c r="AM5144">
        <v>67000</v>
      </c>
      <c r="AS5144">
        <v>0.1</v>
      </c>
      <c r="AT5144" t="s">
        <v>594</v>
      </c>
      <c r="AU5144" t="s">
        <v>130</v>
      </c>
      <c r="AV5144" t="s">
        <v>20733</v>
      </c>
    </row>
    <row r="5145" spans="1:48">
      <c r="A5145" s="1">
        <f>HYPERLINK("https://lsnyc.legalserver.org/matter/dynamic-profile/view/1906257","19-1906257")</f>
        <v>0</v>
      </c>
      <c r="B5145" t="s">
        <v>110</v>
      </c>
      <c r="C5145" t="s">
        <v>257</v>
      </c>
      <c r="D5145" t="s">
        <v>426</v>
      </c>
      <c r="E5145" t="s">
        <v>377</v>
      </c>
      <c r="F5145" t="s">
        <v>1969</v>
      </c>
      <c r="G5145" t="s">
        <v>5237</v>
      </c>
      <c r="H5145" t="s">
        <v>7835</v>
      </c>
      <c r="I5145" t="s">
        <v>8901</v>
      </c>
      <c r="J5145" t="s">
        <v>9065</v>
      </c>
      <c r="K5145">
        <v>10472</v>
      </c>
      <c r="L5145" t="s">
        <v>9094</v>
      </c>
      <c r="M5145" t="s">
        <v>9095</v>
      </c>
      <c r="O5145" t="s">
        <v>9121</v>
      </c>
      <c r="P5145" t="s">
        <v>11164</v>
      </c>
      <c r="Q5145" t="s">
        <v>11172</v>
      </c>
      <c r="R5145" t="s">
        <v>11180</v>
      </c>
      <c r="S5145" t="s">
        <v>9096</v>
      </c>
      <c r="T5145" t="s">
        <v>11183</v>
      </c>
      <c r="W5145">
        <v>1907</v>
      </c>
      <c r="X5145" t="s">
        <v>11333</v>
      </c>
      <c r="Y5145" t="s">
        <v>11346</v>
      </c>
      <c r="AB5145" t="s">
        <v>18852</v>
      </c>
      <c r="AC5145">
        <v>59</v>
      </c>
      <c r="AD5145" t="s">
        <v>19566</v>
      </c>
      <c r="AE5145" t="s">
        <v>9144</v>
      </c>
      <c r="AF5145">
        <v>7</v>
      </c>
      <c r="AG5145">
        <v>2</v>
      </c>
      <c r="AH5145">
        <v>2</v>
      </c>
      <c r="AI5145">
        <v>222.14</v>
      </c>
      <c r="AL5145" t="s">
        <v>19614</v>
      </c>
      <c r="AM5145">
        <v>57200</v>
      </c>
      <c r="AS5145">
        <v>1.8</v>
      </c>
      <c r="AT5145" t="s">
        <v>275</v>
      </c>
      <c r="AU5145" t="s">
        <v>110</v>
      </c>
      <c r="AV5145" t="s">
        <v>20733</v>
      </c>
    </row>
    <row r="5146" spans="1:48">
      <c r="A5146" s="1">
        <f>HYPERLINK("https://lsnyc.legalserver.org/matter/dynamic-profile/view/1912606","19-1912606")</f>
        <v>0</v>
      </c>
      <c r="B5146" t="s">
        <v>117</v>
      </c>
      <c r="C5146" t="s">
        <v>256</v>
      </c>
      <c r="D5146" t="s">
        <v>372</v>
      </c>
      <c r="F5146" t="s">
        <v>1358</v>
      </c>
      <c r="G5146" t="s">
        <v>4265</v>
      </c>
      <c r="H5146" t="s">
        <v>5899</v>
      </c>
      <c r="J5146" t="s">
        <v>9065</v>
      </c>
      <c r="K5146">
        <v>10452</v>
      </c>
      <c r="L5146" t="s">
        <v>9094</v>
      </c>
      <c r="M5146" t="s">
        <v>9095</v>
      </c>
      <c r="R5146" t="s">
        <v>11180</v>
      </c>
      <c r="T5146" t="s">
        <v>11183</v>
      </c>
      <c r="W5146">
        <v>1756.68</v>
      </c>
      <c r="X5146" t="s">
        <v>11333</v>
      </c>
      <c r="Y5146" t="s">
        <v>11346</v>
      </c>
      <c r="Z5146" t="s">
        <v>14653</v>
      </c>
      <c r="AC5146">
        <v>63</v>
      </c>
      <c r="AE5146" t="s">
        <v>9144</v>
      </c>
      <c r="AF5146">
        <v>22</v>
      </c>
      <c r="AG5146">
        <v>3</v>
      </c>
      <c r="AH5146">
        <v>1</v>
      </c>
      <c r="AI5146">
        <v>222.14</v>
      </c>
      <c r="AL5146" t="s">
        <v>19615</v>
      </c>
      <c r="AM5146">
        <v>57200</v>
      </c>
      <c r="AS5146">
        <v>0.1</v>
      </c>
      <c r="AT5146" t="s">
        <v>488</v>
      </c>
      <c r="AU5146" t="s">
        <v>163</v>
      </c>
      <c r="AV5146" t="s">
        <v>20733</v>
      </c>
    </row>
    <row r="5147" spans="1:48">
      <c r="A5147" s="1">
        <f>HYPERLINK("https://lsnyc.legalserver.org/matter/dynamic-profile/view/1914948","19-1914948")</f>
        <v>0</v>
      </c>
      <c r="B5147" t="s">
        <v>117</v>
      </c>
      <c r="C5147" t="s">
        <v>256</v>
      </c>
      <c r="D5147" t="s">
        <v>331</v>
      </c>
      <c r="F5147" t="s">
        <v>1358</v>
      </c>
      <c r="G5147" t="s">
        <v>4265</v>
      </c>
      <c r="H5147" t="s">
        <v>5899</v>
      </c>
      <c r="I5147" t="s">
        <v>8270</v>
      </c>
      <c r="J5147" t="s">
        <v>9065</v>
      </c>
      <c r="K5147">
        <v>10452</v>
      </c>
      <c r="L5147" t="s">
        <v>9095</v>
      </c>
      <c r="M5147" t="s">
        <v>9095</v>
      </c>
      <c r="R5147" t="s">
        <v>11180</v>
      </c>
      <c r="S5147" t="s">
        <v>9094</v>
      </c>
      <c r="T5147" t="s">
        <v>11183</v>
      </c>
      <c r="W5147">
        <v>1756.68</v>
      </c>
      <c r="X5147" t="s">
        <v>11333</v>
      </c>
      <c r="Y5147" t="s">
        <v>11346</v>
      </c>
      <c r="Z5147" t="s">
        <v>14653</v>
      </c>
      <c r="AC5147">
        <v>65</v>
      </c>
      <c r="AF5147">
        <v>22</v>
      </c>
      <c r="AG5147">
        <v>3</v>
      </c>
      <c r="AH5147">
        <v>1</v>
      </c>
      <c r="AI5147">
        <v>222.14</v>
      </c>
      <c r="AL5147" t="s">
        <v>19615</v>
      </c>
      <c r="AM5147">
        <v>57200</v>
      </c>
      <c r="AS5147">
        <v>0</v>
      </c>
      <c r="AU5147" t="s">
        <v>20647</v>
      </c>
    </row>
    <row r="5148" spans="1:48">
      <c r="A5148" s="1">
        <f>HYPERLINK("https://lsnyc.legalserver.org/matter/dynamic-profile/view/1882910","18-1882910")</f>
        <v>0</v>
      </c>
      <c r="B5148" t="s">
        <v>168</v>
      </c>
      <c r="C5148" t="s">
        <v>256</v>
      </c>
      <c r="D5148" t="s">
        <v>572</v>
      </c>
      <c r="F5148" t="s">
        <v>2896</v>
      </c>
      <c r="G5148" t="s">
        <v>5061</v>
      </c>
      <c r="H5148" t="s">
        <v>7905</v>
      </c>
      <c r="I5148">
        <v>1</v>
      </c>
      <c r="J5148" t="s">
        <v>9059</v>
      </c>
      <c r="K5148">
        <v>11233</v>
      </c>
      <c r="L5148" t="s">
        <v>9095</v>
      </c>
      <c r="M5148" t="s">
        <v>9095</v>
      </c>
      <c r="R5148" t="s">
        <v>11180</v>
      </c>
      <c r="T5148" t="s">
        <v>11183</v>
      </c>
      <c r="W5148">
        <v>0</v>
      </c>
      <c r="X5148" t="s">
        <v>11332</v>
      </c>
      <c r="Z5148" t="s">
        <v>14654</v>
      </c>
      <c r="AB5148" t="s">
        <v>18972</v>
      </c>
      <c r="AC5148">
        <v>0</v>
      </c>
      <c r="AF5148">
        <v>0</v>
      </c>
      <c r="AG5148">
        <v>1</v>
      </c>
      <c r="AH5148">
        <v>0</v>
      </c>
      <c r="AI5148">
        <v>222.41</v>
      </c>
      <c r="AL5148" t="s">
        <v>19614</v>
      </c>
      <c r="AM5148">
        <v>27000</v>
      </c>
      <c r="AS5148">
        <v>1.1</v>
      </c>
      <c r="AT5148" t="s">
        <v>685</v>
      </c>
      <c r="AU5148" t="s">
        <v>20678</v>
      </c>
    </row>
    <row r="5149" spans="1:48">
      <c r="A5149" s="1">
        <f>HYPERLINK("https://lsnyc.legalserver.org/matter/dynamic-profile/view/1862016","18-1862016")</f>
        <v>0</v>
      </c>
      <c r="B5149" t="s">
        <v>101</v>
      </c>
      <c r="C5149" t="s">
        <v>257</v>
      </c>
      <c r="D5149" t="s">
        <v>451</v>
      </c>
      <c r="E5149" t="s">
        <v>416</v>
      </c>
      <c r="F5149" t="s">
        <v>2267</v>
      </c>
      <c r="G5149" t="s">
        <v>4022</v>
      </c>
      <c r="H5149" t="s">
        <v>6262</v>
      </c>
      <c r="I5149" t="s">
        <v>8302</v>
      </c>
      <c r="J5149" t="s">
        <v>9065</v>
      </c>
      <c r="K5149">
        <v>10452</v>
      </c>
      <c r="L5149" t="s">
        <v>9094</v>
      </c>
      <c r="M5149" t="s">
        <v>9095</v>
      </c>
      <c r="N5149" t="s">
        <v>9537</v>
      </c>
      <c r="O5149" t="s">
        <v>11130</v>
      </c>
      <c r="P5149" t="s">
        <v>11165</v>
      </c>
      <c r="Q5149" t="s">
        <v>11174</v>
      </c>
      <c r="R5149" t="s">
        <v>11180</v>
      </c>
      <c r="S5149" t="s">
        <v>9094</v>
      </c>
      <c r="T5149" t="s">
        <v>11183</v>
      </c>
      <c r="V5149" t="s">
        <v>874</v>
      </c>
      <c r="W5149">
        <v>981</v>
      </c>
      <c r="X5149" t="s">
        <v>11333</v>
      </c>
      <c r="Y5149" t="s">
        <v>11346</v>
      </c>
      <c r="Z5149" t="s">
        <v>14655</v>
      </c>
      <c r="AC5149">
        <v>60</v>
      </c>
      <c r="AD5149" t="s">
        <v>15441</v>
      </c>
      <c r="AE5149" t="s">
        <v>9144</v>
      </c>
      <c r="AF5149">
        <v>43</v>
      </c>
      <c r="AG5149">
        <v>2</v>
      </c>
      <c r="AH5149">
        <v>0</v>
      </c>
      <c r="AI5149">
        <v>223.09</v>
      </c>
      <c r="AL5149" t="s">
        <v>19614</v>
      </c>
      <c r="AM5149">
        <v>36720</v>
      </c>
      <c r="AS5149">
        <v>0.3</v>
      </c>
      <c r="AT5149" t="s">
        <v>416</v>
      </c>
      <c r="AU5149" t="s">
        <v>20647</v>
      </c>
    </row>
    <row r="5150" spans="1:48">
      <c r="A5150" s="1">
        <f>HYPERLINK("https://lsnyc.legalserver.org/matter/dynamic-profile/view/1868731","18-1868731")</f>
        <v>0</v>
      </c>
      <c r="B5150" t="s">
        <v>101</v>
      </c>
      <c r="C5150" t="s">
        <v>257</v>
      </c>
      <c r="D5150" t="s">
        <v>678</v>
      </c>
      <c r="E5150" t="s">
        <v>275</v>
      </c>
      <c r="F5150" t="s">
        <v>2267</v>
      </c>
      <c r="G5150" t="s">
        <v>4022</v>
      </c>
      <c r="H5150" t="s">
        <v>6262</v>
      </c>
      <c r="I5150" t="s">
        <v>8302</v>
      </c>
      <c r="J5150" t="s">
        <v>9065</v>
      </c>
      <c r="K5150">
        <v>10452</v>
      </c>
      <c r="L5150" t="s">
        <v>9094</v>
      </c>
      <c r="M5150" t="s">
        <v>9095</v>
      </c>
      <c r="O5150" t="s">
        <v>9121</v>
      </c>
      <c r="P5150" t="s">
        <v>11166</v>
      </c>
      <c r="Q5150" t="s">
        <v>11178</v>
      </c>
      <c r="R5150" t="s">
        <v>11180</v>
      </c>
      <c r="S5150" t="s">
        <v>9094</v>
      </c>
      <c r="T5150" t="s">
        <v>11183</v>
      </c>
      <c r="V5150" t="s">
        <v>675</v>
      </c>
      <c r="W5150">
        <v>981</v>
      </c>
      <c r="X5150" t="s">
        <v>11333</v>
      </c>
      <c r="Y5150" t="s">
        <v>11347</v>
      </c>
      <c r="Z5150" t="s">
        <v>14655</v>
      </c>
      <c r="AC5150">
        <v>60</v>
      </c>
      <c r="AD5150" t="s">
        <v>19566</v>
      </c>
      <c r="AE5150" t="s">
        <v>9144</v>
      </c>
      <c r="AF5150">
        <v>43</v>
      </c>
      <c r="AG5150">
        <v>2</v>
      </c>
      <c r="AH5150">
        <v>0</v>
      </c>
      <c r="AI5150">
        <v>223.09</v>
      </c>
      <c r="AL5150" t="s">
        <v>19614</v>
      </c>
      <c r="AM5150">
        <v>36720</v>
      </c>
      <c r="AS5150">
        <v>0.4</v>
      </c>
      <c r="AT5150" t="s">
        <v>275</v>
      </c>
      <c r="AU5150" t="s">
        <v>20647</v>
      </c>
    </row>
    <row r="5151" spans="1:48">
      <c r="A5151" s="1">
        <f>HYPERLINK("https://lsnyc.legalserver.org/matter/dynamic-profile/view/1864117","18-1864117")</f>
        <v>0</v>
      </c>
      <c r="B5151" t="s">
        <v>140</v>
      </c>
      <c r="C5151" t="s">
        <v>256</v>
      </c>
      <c r="D5151" t="s">
        <v>505</v>
      </c>
      <c r="F5151" t="s">
        <v>2091</v>
      </c>
      <c r="G5151" t="s">
        <v>3636</v>
      </c>
      <c r="H5151" t="s">
        <v>7713</v>
      </c>
      <c r="I5151" t="s">
        <v>8218</v>
      </c>
      <c r="J5151" t="s">
        <v>9067</v>
      </c>
      <c r="K5151">
        <v>10040</v>
      </c>
      <c r="L5151" t="s">
        <v>9094</v>
      </c>
      <c r="M5151" t="s">
        <v>9095</v>
      </c>
      <c r="N5151" t="s">
        <v>9314</v>
      </c>
      <c r="O5151" t="s">
        <v>11130</v>
      </c>
      <c r="P5151" t="s">
        <v>11165</v>
      </c>
      <c r="R5151" t="s">
        <v>11180</v>
      </c>
      <c r="S5151" t="s">
        <v>9094</v>
      </c>
      <c r="T5151" t="s">
        <v>11183</v>
      </c>
      <c r="V5151" t="s">
        <v>505</v>
      </c>
      <c r="W5151">
        <v>1370.61</v>
      </c>
      <c r="X5151" t="s">
        <v>11335</v>
      </c>
      <c r="Y5151" t="s">
        <v>11340</v>
      </c>
      <c r="Z5151" t="s">
        <v>12526</v>
      </c>
      <c r="AB5151" t="s">
        <v>18606</v>
      </c>
      <c r="AC5151">
        <v>44</v>
      </c>
      <c r="AD5151" t="s">
        <v>19566</v>
      </c>
      <c r="AE5151" t="s">
        <v>9144</v>
      </c>
      <c r="AF5151">
        <v>11</v>
      </c>
      <c r="AG5151">
        <v>2</v>
      </c>
      <c r="AH5151">
        <v>2</v>
      </c>
      <c r="AI5151">
        <v>223.11</v>
      </c>
      <c r="AJ5151" t="s">
        <v>982</v>
      </c>
      <c r="AL5151" t="s">
        <v>19614</v>
      </c>
      <c r="AM5151">
        <v>71000</v>
      </c>
      <c r="AS5151">
        <v>6.11</v>
      </c>
      <c r="AT5151" t="s">
        <v>1135</v>
      </c>
      <c r="AU5151" t="s">
        <v>130</v>
      </c>
    </row>
    <row r="5152" spans="1:48">
      <c r="A5152" s="1">
        <f>HYPERLINK("https://lsnyc.legalserver.org/matter/dynamic-profile/view/0820651","16-0820651")</f>
        <v>0</v>
      </c>
      <c r="B5152" t="s">
        <v>101</v>
      </c>
      <c r="C5152" t="s">
        <v>256</v>
      </c>
      <c r="D5152" t="s">
        <v>461</v>
      </c>
      <c r="F5152" t="s">
        <v>3020</v>
      </c>
      <c r="G5152" t="s">
        <v>4133</v>
      </c>
      <c r="H5152" t="s">
        <v>5890</v>
      </c>
      <c r="I5152" t="s">
        <v>8193</v>
      </c>
      <c r="J5152" t="s">
        <v>9065</v>
      </c>
      <c r="K5152">
        <v>10453</v>
      </c>
      <c r="L5152" t="s">
        <v>9094</v>
      </c>
      <c r="M5152" t="s">
        <v>9095</v>
      </c>
      <c r="N5152" t="s">
        <v>9458</v>
      </c>
      <c r="O5152" t="s">
        <v>11132</v>
      </c>
      <c r="P5152" t="s">
        <v>11165</v>
      </c>
      <c r="R5152" t="s">
        <v>11180</v>
      </c>
      <c r="S5152" t="s">
        <v>9094</v>
      </c>
      <c r="T5152" t="s">
        <v>11183</v>
      </c>
      <c r="V5152" t="s">
        <v>11225</v>
      </c>
      <c r="W5152">
        <v>1122</v>
      </c>
      <c r="X5152" t="s">
        <v>11333</v>
      </c>
      <c r="Y5152" t="s">
        <v>11346</v>
      </c>
      <c r="Z5152" t="s">
        <v>11576</v>
      </c>
      <c r="AB5152" t="s">
        <v>18973</v>
      </c>
      <c r="AC5152">
        <v>46</v>
      </c>
      <c r="AD5152" t="s">
        <v>19566</v>
      </c>
      <c r="AE5152" t="s">
        <v>9144</v>
      </c>
      <c r="AF5152">
        <v>1</v>
      </c>
      <c r="AG5152">
        <v>2</v>
      </c>
      <c r="AH5152">
        <v>1</v>
      </c>
      <c r="AI5152">
        <v>223.21</v>
      </c>
      <c r="AL5152" t="s">
        <v>19615</v>
      </c>
      <c r="AM5152">
        <v>45000</v>
      </c>
      <c r="AS5152">
        <v>0.5</v>
      </c>
      <c r="AT5152" t="s">
        <v>461</v>
      </c>
      <c r="AU5152" t="s">
        <v>20643</v>
      </c>
    </row>
    <row r="5153" spans="1:48">
      <c r="A5153" s="1">
        <f>HYPERLINK("https://lsnyc.legalserver.org/matter/dynamic-profile/view/1892621","19-1892621")</f>
        <v>0</v>
      </c>
      <c r="B5153" t="s">
        <v>103</v>
      </c>
      <c r="C5153" t="s">
        <v>256</v>
      </c>
      <c r="D5153" t="s">
        <v>311</v>
      </c>
      <c r="F5153" t="s">
        <v>2364</v>
      </c>
      <c r="G5153" t="s">
        <v>5308</v>
      </c>
      <c r="H5153" t="s">
        <v>5887</v>
      </c>
      <c r="I5153" t="s">
        <v>8375</v>
      </c>
      <c r="J5153" t="s">
        <v>9065</v>
      </c>
      <c r="K5153">
        <v>10453</v>
      </c>
      <c r="L5153" t="s">
        <v>9094</v>
      </c>
      <c r="M5153" t="s">
        <v>9094</v>
      </c>
      <c r="O5153" t="s">
        <v>11134</v>
      </c>
      <c r="P5153" t="s">
        <v>11168</v>
      </c>
      <c r="R5153" t="s">
        <v>11180</v>
      </c>
      <c r="S5153" t="s">
        <v>9094</v>
      </c>
      <c r="T5153" t="s">
        <v>11183</v>
      </c>
      <c r="V5153" t="s">
        <v>993</v>
      </c>
      <c r="W5153">
        <v>1317</v>
      </c>
      <c r="X5153" t="s">
        <v>11333</v>
      </c>
      <c r="Y5153" t="s">
        <v>11346</v>
      </c>
      <c r="Z5153" t="s">
        <v>13876</v>
      </c>
      <c r="AC5153">
        <v>170</v>
      </c>
      <c r="AD5153" t="s">
        <v>19566</v>
      </c>
      <c r="AE5153" t="s">
        <v>9144</v>
      </c>
      <c r="AF5153">
        <v>3</v>
      </c>
      <c r="AG5153">
        <v>2</v>
      </c>
      <c r="AH5153">
        <v>0</v>
      </c>
      <c r="AI5153">
        <v>223.54</v>
      </c>
      <c r="AL5153" t="s">
        <v>19615</v>
      </c>
      <c r="AM5153">
        <v>37800</v>
      </c>
      <c r="AS5153">
        <v>0</v>
      </c>
      <c r="AU5153" t="s">
        <v>20647</v>
      </c>
      <c r="AV5153" t="s">
        <v>20733</v>
      </c>
    </row>
    <row r="5154" spans="1:48">
      <c r="A5154" s="1">
        <f>HYPERLINK("https://lsnyc.legalserver.org/matter/dynamic-profile/view/1905220","19-1905220")</f>
        <v>0</v>
      </c>
      <c r="B5154" t="s">
        <v>103</v>
      </c>
      <c r="C5154" t="s">
        <v>256</v>
      </c>
      <c r="D5154" t="s">
        <v>414</v>
      </c>
      <c r="F5154" t="s">
        <v>2364</v>
      </c>
      <c r="G5154" t="s">
        <v>5308</v>
      </c>
      <c r="H5154" t="s">
        <v>5887</v>
      </c>
      <c r="I5154" t="s">
        <v>8375</v>
      </c>
      <c r="J5154" t="s">
        <v>9065</v>
      </c>
      <c r="K5154">
        <v>10453</v>
      </c>
      <c r="L5154" t="s">
        <v>9094</v>
      </c>
      <c r="M5154" t="s">
        <v>9095</v>
      </c>
      <c r="N5154" t="s">
        <v>9240</v>
      </c>
      <c r="O5154" t="s">
        <v>11134</v>
      </c>
      <c r="P5154" t="s">
        <v>11168</v>
      </c>
      <c r="R5154" t="s">
        <v>11180</v>
      </c>
      <c r="S5154" t="s">
        <v>9094</v>
      </c>
      <c r="T5154" t="s">
        <v>11183</v>
      </c>
      <c r="V5154" t="s">
        <v>422</v>
      </c>
      <c r="W5154">
        <v>1317</v>
      </c>
      <c r="X5154" t="s">
        <v>11333</v>
      </c>
      <c r="Y5154" t="s">
        <v>11346</v>
      </c>
      <c r="Z5154" t="s">
        <v>13876</v>
      </c>
      <c r="AC5154">
        <v>170</v>
      </c>
      <c r="AD5154" t="s">
        <v>19566</v>
      </c>
      <c r="AE5154" t="s">
        <v>9144</v>
      </c>
      <c r="AF5154">
        <v>3</v>
      </c>
      <c r="AG5154">
        <v>2</v>
      </c>
      <c r="AH5154">
        <v>0</v>
      </c>
      <c r="AI5154">
        <v>223.54</v>
      </c>
      <c r="AL5154" t="s">
        <v>19615</v>
      </c>
      <c r="AM5154">
        <v>37800</v>
      </c>
      <c r="AS5154">
        <v>0</v>
      </c>
      <c r="AU5154" t="s">
        <v>163</v>
      </c>
      <c r="AV5154" t="s">
        <v>20733</v>
      </c>
    </row>
    <row r="5155" spans="1:48">
      <c r="A5155" s="1">
        <f>HYPERLINK("https://lsnyc.legalserver.org/matter/dynamic-profile/view/1905221","19-1905221")</f>
        <v>0</v>
      </c>
      <c r="B5155" t="s">
        <v>103</v>
      </c>
      <c r="C5155" t="s">
        <v>256</v>
      </c>
      <c r="D5155" t="s">
        <v>414</v>
      </c>
      <c r="F5155" t="s">
        <v>2364</v>
      </c>
      <c r="G5155" t="s">
        <v>5308</v>
      </c>
      <c r="H5155" t="s">
        <v>5887</v>
      </c>
      <c r="I5155" t="s">
        <v>8375</v>
      </c>
      <c r="J5155" t="s">
        <v>9065</v>
      </c>
      <c r="K5155">
        <v>10453</v>
      </c>
      <c r="L5155" t="s">
        <v>9094</v>
      </c>
      <c r="M5155" t="s">
        <v>9095</v>
      </c>
      <c r="N5155" t="s">
        <v>9239</v>
      </c>
      <c r="O5155" t="s">
        <v>11134</v>
      </c>
      <c r="P5155" t="s">
        <v>11168</v>
      </c>
      <c r="R5155" t="s">
        <v>11180</v>
      </c>
      <c r="S5155" t="s">
        <v>9094</v>
      </c>
      <c r="T5155" t="s">
        <v>11183</v>
      </c>
      <c r="V5155" t="s">
        <v>422</v>
      </c>
      <c r="W5155">
        <v>1317</v>
      </c>
      <c r="X5155" t="s">
        <v>11333</v>
      </c>
      <c r="Y5155" t="s">
        <v>11346</v>
      </c>
      <c r="Z5155" t="s">
        <v>13876</v>
      </c>
      <c r="AC5155">
        <v>170</v>
      </c>
      <c r="AE5155" t="s">
        <v>9144</v>
      </c>
      <c r="AF5155">
        <v>3</v>
      </c>
      <c r="AG5155">
        <v>2</v>
      </c>
      <c r="AH5155">
        <v>0</v>
      </c>
      <c r="AI5155">
        <v>223.54</v>
      </c>
      <c r="AL5155" t="s">
        <v>19615</v>
      </c>
      <c r="AM5155">
        <v>37800</v>
      </c>
      <c r="AS5155">
        <v>0</v>
      </c>
      <c r="AU5155" t="s">
        <v>163</v>
      </c>
      <c r="AV5155" t="s">
        <v>20733</v>
      </c>
    </row>
    <row r="5156" spans="1:48">
      <c r="A5156" s="1">
        <f>HYPERLINK("https://lsnyc.legalserver.org/matter/dynamic-profile/view/1892615","19-1892615")</f>
        <v>0</v>
      </c>
      <c r="B5156" t="s">
        <v>103</v>
      </c>
      <c r="C5156" t="s">
        <v>256</v>
      </c>
      <c r="D5156" t="s">
        <v>311</v>
      </c>
      <c r="F5156" t="s">
        <v>2364</v>
      </c>
      <c r="G5156" t="s">
        <v>5308</v>
      </c>
      <c r="H5156" t="s">
        <v>5887</v>
      </c>
      <c r="I5156" t="s">
        <v>8375</v>
      </c>
      <c r="J5156" t="s">
        <v>9065</v>
      </c>
      <c r="K5156">
        <v>10453</v>
      </c>
      <c r="L5156" t="s">
        <v>9094</v>
      </c>
      <c r="M5156" t="s">
        <v>9094</v>
      </c>
      <c r="N5156" t="s">
        <v>9352</v>
      </c>
      <c r="O5156" t="s">
        <v>11130</v>
      </c>
      <c r="P5156" t="s">
        <v>11165</v>
      </c>
      <c r="R5156" t="s">
        <v>11180</v>
      </c>
      <c r="S5156" t="s">
        <v>9094</v>
      </c>
      <c r="T5156" t="s">
        <v>11183</v>
      </c>
      <c r="V5156" t="s">
        <v>993</v>
      </c>
      <c r="W5156">
        <v>1317</v>
      </c>
      <c r="X5156" t="s">
        <v>11333</v>
      </c>
      <c r="Y5156" t="s">
        <v>11346</v>
      </c>
      <c r="Z5156" t="s">
        <v>13876</v>
      </c>
      <c r="AC5156">
        <v>170</v>
      </c>
      <c r="AD5156" t="s">
        <v>19566</v>
      </c>
      <c r="AE5156" t="s">
        <v>9144</v>
      </c>
      <c r="AF5156">
        <v>3</v>
      </c>
      <c r="AG5156">
        <v>2</v>
      </c>
      <c r="AH5156">
        <v>0</v>
      </c>
      <c r="AI5156">
        <v>223.54</v>
      </c>
      <c r="AL5156" t="s">
        <v>19615</v>
      </c>
      <c r="AM5156">
        <v>37800</v>
      </c>
      <c r="AS5156">
        <v>0</v>
      </c>
      <c r="AU5156" t="s">
        <v>20647</v>
      </c>
      <c r="AV5156" t="s">
        <v>20733</v>
      </c>
    </row>
    <row r="5157" spans="1:48">
      <c r="A5157" s="1">
        <f>HYPERLINK("https://lsnyc.legalserver.org/matter/dynamic-profile/view/1908982","19-1908982")</f>
        <v>0</v>
      </c>
      <c r="B5157" t="s">
        <v>99</v>
      </c>
      <c r="C5157" t="s">
        <v>257</v>
      </c>
      <c r="D5157" t="s">
        <v>806</v>
      </c>
      <c r="E5157" t="s">
        <v>362</v>
      </c>
      <c r="F5157" t="s">
        <v>2364</v>
      </c>
      <c r="G5157" t="s">
        <v>5308</v>
      </c>
      <c r="H5157" t="s">
        <v>5887</v>
      </c>
      <c r="I5157" t="s">
        <v>8375</v>
      </c>
      <c r="J5157" t="s">
        <v>9065</v>
      </c>
      <c r="K5157">
        <v>10453</v>
      </c>
      <c r="L5157" t="s">
        <v>9094</v>
      </c>
      <c r="M5157" t="s">
        <v>9095</v>
      </c>
      <c r="O5157" t="s">
        <v>9121</v>
      </c>
      <c r="P5157" t="s">
        <v>11164</v>
      </c>
      <c r="Q5157" t="s">
        <v>11172</v>
      </c>
      <c r="R5157" t="s">
        <v>11180</v>
      </c>
      <c r="S5157" t="s">
        <v>9096</v>
      </c>
      <c r="T5157" t="s">
        <v>11183</v>
      </c>
      <c r="V5157" t="s">
        <v>308</v>
      </c>
      <c r="W5157">
        <v>1336.76</v>
      </c>
      <c r="X5157" t="s">
        <v>11333</v>
      </c>
      <c r="Y5157" t="s">
        <v>11340</v>
      </c>
      <c r="Z5157" t="s">
        <v>13876</v>
      </c>
      <c r="AC5157">
        <v>170</v>
      </c>
      <c r="AD5157" t="s">
        <v>19566</v>
      </c>
      <c r="AE5157" t="s">
        <v>9144</v>
      </c>
      <c r="AF5157">
        <v>3</v>
      </c>
      <c r="AG5157">
        <v>2</v>
      </c>
      <c r="AH5157">
        <v>0</v>
      </c>
      <c r="AI5157">
        <v>223.54</v>
      </c>
      <c r="AL5157" t="s">
        <v>19615</v>
      </c>
      <c r="AM5157">
        <v>37800</v>
      </c>
      <c r="AS5157">
        <v>0.9</v>
      </c>
      <c r="AT5157" t="s">
        <v>362</v>
      </c>
      <c r="AU5157" t="s">
        <v>99</v>
      </c>
      <c r="AV5157" t="s">
        <v>20733</v>
      </c>
    </row>
    <row r="5158" spans="1:48">
      <c r="A5158" s="1">
        <f>HYPERLINK("https://lsnyc.legalserver.org/matter/dynamic-profile/view/1914733","19-1914733")</f>
        <v>0</v>
      </c>
      <c r="B5158" t="s">
        <v>106</v>
      </c>
      <c r="C5158" t="s">
        <v>256</v>
      </c>
      <c r="D5158" t="s">
        <v>632</v>
      </c>
      <c r="F5158" t="s">
        <v>2364</v>
      </c>
      <c r="G5158" t="s">
        <v>5308</v>
      </c>
      <c r="H5158" t="s">
        <v>5887</v>
      </c>
      <c r="I5158" t="s">
        <v>8375</v>
      </c>
      <c r="J5158" t="s">
        <v>9065</v>
      </c>
      <c r="K5158">
        <v>10453</v>
      </c>
      <c r="L5158" t="s">
        <v>9094</v>
      </c>
      <c r="M5158" t="s">
        <v>9095</v>
      </c>
      <c r="N5158" t="s">
        <v>10932</v>
      </c>
      <c r="O5158" t="s">
        <v>11129</v>
      </c>
      <c r="P5158" t="s">
        <v>11165</v>
      </c>
      <c r="R5158" t="s">
        <v>11180</v>
      </c>
      <c r="S5158" t="s">
        <v>9096</v>
      </c>
      <c r="T5158" t="s">
        <v>11183</v>
      </c>
      <c r="U5158" t="s">
        <v>11201</v>
      </c>
      <c r="W5158">
        <v>1317</v>
      </c>
      <c r="X5158" t="s">
        <v>11333</v>
      </c>
      <c r="Y5158" t="s">
        <v>11346</v>
      </c>
      <c r="Z5158" t="s">
        <v>13876</v>
      </c>
      <c r="AC5158">
        <v>170</v>
      </c>
      <c r="AD5158" t="s">
        <v>19566</v>
      </c>
      <c r="AE5158" t="s">
        <v>9144</v>
      </c>
      <c r="AF5158">
        <v>3</v>
      </c>
      <c r="AG5158">
        <v>2</v>
      </c>
      <c r="AH5158">
        <v>0</v>
      </c>
      <c r="AI5158">
        <v>223.54</v>
      </c>
      <c r="AL5158" t="s">
        <v>19615</v>
      </c>
      <c r="AM5158">
        <v>37800</v>
      </c>
      <c r="AS5158">
        <v>5.1</v>
      </c>
      <c r="AT5158" t="s">
        <v>594</v>
      </c>
      <c r="AU5158" t="s">
        <v>220</v>
      </c>
      <c r="AV5158" t="s">
        <v>20733</v>
      </c>
    </row>
    <row r="5159" spans="1:48">
      <c r="A5159" s="1">
        <f>HYPERLINK("https://lsnyc.legalserver.org/matter/dynamic-profile/view/1859333","18-1859333")</f>
        <v>0</v>
      </c>
      <c r="B5159" t="s">
        <v>86</v>
      </c>
      <c r="C5159" t="s">
        <v>256</v>
      </c>
      <c r="D5159" t="s">
        <v>607</v>
      </c>
      <c r="F5159" t="s">
        <v>3005</v>
      </c>
      <c r="G5159" t="s">
        <v>2348</v>
      </c>
      <c r="H5159" t="s">
        <v>5786</v>
      </c>
      <c r="I5159" t="s">
        <v>8916</v>
      </c>
      <c r="J5159" t="s">
        <v>9059</v>
      </c>
      <c r="K5159">
        <v>11225</v>
      </c>
      <c r="L5159" t="s">
        <v>9096</v>
      </c>
      <c r="M5159" t="s">
        <v>9095</v>
      </c>
      <c r="N5159" t="s">
        <v>10933</v>
      </c>
      <c r="O5159" t="s">
        <v>11130</v>
      </c>
      <c r="P5159" t="s">
        <v>11165</v>
      </c>
      <c r="R5159" t="s">
        <v>11180</v>
      </c>
      <c r="S5159" t="s">
        <v>9094</v>
      </c>
      <c r="T5159" t="s">
        <v>11183</v>
      </c>
      <c r="V5159" t="s">
        <v>285</v>
      </c>
      <c r="W5159">
        <v>1044.76</v>
      </c>
      <c r="X5159" t="s">
        <v>11332</v>
      </c>
      <c r="Y5159" t="s">
        <v>11346</v>
      </c>
      <c r="Z5159" t="s">
        <v>14625</v>
      </c>
      <c r="AC5159">
        <v>42</v>
      </c>
      <c r="AD5159" t="s">
        <v>19566</v>
      </c>
      <c r="AF5159">
        <v>19</v>
      </c>
      <c r="AG5159">
        <v>2</v>
      </c>
      <c r="AH5159">
        <v>0</v>
      </c>
      <c r="AI5159">
        <v>224.14</v>
      </c>
      <c r="AL5159" t="s">
        <v>19614</v>
      </c>
      <c r="AM5159">
        <v>36400</v>
      </c>
      <c r="AS5159">
        <v>20.5</v>
      </c>
      <c r="AT5159" t="s">
        <v>728</v>
      </c>
      <c r="AU5159" t="s">
        <v>20630</v>
      </c>
    </row>
    <row r="5160" spans="1:48">
      <c r="A5160" s="1">
        <f>HYPERLINK("https://lsnyc.legalserver.org/matter/dynamic-profile/view/1891447","19-1891447")</f>
        <v>0</v>
      </c>
      <c r="B5160" t="s">
        <v>70</v>
      </c>
      <c r="C5160" t="s">
        <v>256</v>
      </c>
      <c r="D5160" t="s">
        <v>316</v>
      </c>
      <c r="F5160" t="s">
        <v>3021</v>
      </c>
      <c r="G5160" t="s">
        <v>5232</v>
      </c>
      <c r="H5160" t="s">
        <v>5749</v>
      </c>
      <c r="I5160" t="s">
        <v>8925</v>
      </c>
      <c r="J5160" t="s">
        <v>9059</v>
      </c>
      <c r="K5160">
        <v>11233</v>
      </c>
      <c r="L5160" t="s">
        <v>9094</v>
      </c>
      <c r="M5160" t="s">
        <v>9094</v>
      </c>
      <c r="O5160" t="s">
        <v>11137</v>
      </c>
      <c r="P5160" t="s">
        <v>11167</v>
      </c>
      <c r="R5160" t="s">
        <v>11180</v>
      </c>
      <c r="S5160" t="s">
        <v>9094</v>
      </c>
      <c r="T5160" t="s">
        <v>11183</v>
      </c>
      <c r="U5160" t="s">
        <v>11201</v>
      </c>
      <c r="V5160" t="s">
        <v>749</v>
      </c>
      <c r="W5160">
        <v>1094</v>
      </c>
      <c r="X5160" t="s">
        <v>11332</v>
      </c>
      <c r="Y5160" t="s">
        <v>11339</v>
      </c>
      <c r="Z5160" t="s">
        <v>14656</v>
      </c>
      <c r="AC5160">
        <v>764</v>
      </c>
      <c r="AD5160" t="s">
        <v>19566</v>
      </c>
      <c r="AE5160" t="s">
        <v>9144</v>
      </c>
      <c r="AF5160">
        <v>40</v>
      </c>
      <c r="AG5160">
        <v>1</v>
      </c>
      <c r="AH5160">
        <v>0</v>
      </c>
      <c r="AI5160">
        <v>224.18</v>
      </c>
      <c r="AJ5160" t="s">
        <v>546</v>
      </c>
      <c r="AK5160" t="s">
        <v>19612</v>
      </c>
      <c r="AL5160" t="s">
        <v>19614</v>
      </c>
      <c r="AM5160">
        <v>28000</v>
      </c>
      <c r="AN5160" t="s">
        <v>20090</v>
      </c>
      <c r="AS5160">
        <v>0</v>
      </c>
      <c r="AU5160" t="s">
        <v>79</v>
      </c>
    </row>
    <row r="5161" spans="1:48">
      <c r="A5161" s="1">
        <f>HYPERLINK("https://lsnyc.legalserver.org/matter/dynamic-profile/view/1901332","19-1901332")</f>
        <v>0</v>
      </c>
      <c r="B5161" t="s">
        <v>64</v>
      </c>
      <c r="C5161" t="s">
        <v>257</v>
      </c>
      <c r="D5161" t="s">
        <v>471</v>
      </c>
      <c r="E5161" t="s">
        <v>549</v>
      </c>
      <c r="F5161" t="s">
        <v>1137</v>
      </c>
      <c r="G5161" t="s">
        <v>5309</v>
      </c>
      <c r="H5161" t="s">
        <v>7906</v>
      </c>
      <c r="I5161" t="s">
        <v>8141</v>
      </c>
      <c r="J5161" t="s">
        <v>9059</v>
      </c>
      <c r="K5161">
        <v>11207</v>
      </c>
      <c r="L5161" t="s">
        <v>9094</v>
      </c>
      <c r="M5161" t="s">
        <v>9095</v>
      </c>
      <c r="N5161" t="s">
        <v>9121</v>
      </c>
      <c r="O5161" t="s">
        <v>11130</v>
      </c>
      <c r="P5161" t="s">
        <v>11167</v>
      </c>
      <c r="Q5161" t="s">
        <v>11172</v>
      </c>
      <c r="R5161" t="s">
        <v>11180</v>
      </c>
      <c r="S5161" t="s">
        <v>9096</v>
      </c>
      <c r="T5161" t="s">
        <v>11183</v>
      </c>
      <c r="V5161" t="s">
        <v>471</v>
      </c>
      <c r="W5161">
        <v>850</v>
      </c>
      <c r="X5161" t="s">
        <v>11332</v>
      </c>
      <c r="Y5161" t="s">
        <v>11338</v>
      </c>
      <c r="Z5161" t="s">
        <v>14657</v>
      </c>
      <c r="AC5161">
        <v>8</v>
      </c>
      <c r="AD5161" t="s">
        <v>19566</v>
      </c>
      <c r="AE5161" t="s">
        <v>9144</v>
      </c>
      <c r="AF5161">
        <v>1</v>
      </c>
      <c r="AG5161">
        <v>1</v>
      </c>
      <c r="AH5161">
        <v>0</v>
      </c>
      <c r="AI5161">
        <v>224.18</v>
      </c>
      <c r="AL5161" t="s">
        <v>19614</v>
      </c>
      <c r="AM5161">
        <v>28000</v>
      </c>
      <c r="AS5161">
        <v>0.8</v>
      </c>
      <c r="AT5161" t="s">
        <v>559</v>
      </c>
      <c r="AU5161" t="s">
        <v>95</v>
      </c>
      <c r="AV5161" t="s">
        <v>20733</v>
      </c>
    </row>
    <row r="5162" spans="1:48">
      <c r="A5162" s="1">
        <f>HYPERLINK("https://lsnyc.legalserver.org/matter/dynamic-profile/view/1904757","19-1904757")</f>
        <v>0</v>
      </c>
      <c r="B5162" t="s">
        <v>119</v>
      </c>
      <c r="C5162" t="s">
        <v>256</v>
      </c>
      <c r="D5162" t="s">
        <v>497</v>
      </c>
      <c r="F5162" t="s">
        <v>3022</v>
      </c>
      <c r="G5162" t="s">
        <v>3762</v>
      </c>
      <c r="H5162" t="s">
        <v>5880</v>
      </c>
      <c r="I5162" t="s">
        <v>8187</v>
      </c>
      <c r="J5162" t="s">
        <v>9065</v>
      </c>
      <c r="K5162">
        <v>10456</v>
      </c>
      <c r="L5162" t="s">
        <v>9094</v>
      </c>
      <c r="M5162" t="s">
        <v>9095</v>
      </c>
      <c r="O5162" t="s">
        <v>11134</v>
      </c>
      <c r="P5162" t="s">
        <v>11168</v>
      </c>
      <c r="R5162" t="s">
        <v>11180</v>
      </c>
      <c r="S5162" t="s">
        <v>9094</v>
      </c>
      <c r="T5162" t="s">
        <v>11183</v>
      </c>
      <c r="V5162" t="s">
        <v>11218</v>
      </c>
      <c r="W5162">
        <v>972.76</v>
      </c>
      <c r="X5162" t="s">
        <v>11333</v>
      </c>
      <c r="Y5162" t="s">
        <v>11347</v>
      </c>
      <c r="Z5162" t="s">
        <v>14658</v>
      </c>
      <c r="AC5162">
        <v>17</v>
      </c>
      <c r="AD5162" t="s">
        <v>19566</v>
      </c>
      <c r="AE5162" t="s">
        <v>9144</v>
      </c>
      <c r="AF5162">
        <v>28</v>
      </c>
      <c r="AG5162">
        <v>1</v>
      </c>
      <c r="AH5162">
        <v>0</v>
      </c>
      <c r="AI5162">
        <v>224.18</v>
      </c>
      <c r="AL5162" t="s">
        <v>19614</v>
      </c>
      <c r="AM5162">
        <v>28000</v>
      </c>
      <c r="AS5162">
        <v>0.5</v>
      </c>
      <c r="AT5162" t="s">
        <v>497</v>
      </c>
      <c r="AU5162" t="s">
        <v>174</v>
      </c>
      <c r="AV5162" t="s">
        <v>20733</v>
      </c>
    </row>
    <row r="5163" spans="1:48">
      <c r="A5163" s="1">
        <f>HYPERLINK("https://lsnyc.legalserver.org/matter/dynamic-profile/view/1890736","19-1890736")</f>
        <v>0</v>
      </c>
      <c r="B5163" t="s">
        <v>119</v>
      </c>
      <c r="C5163" t="s">
        <v>256</v>
      </c>
      <c r="D5163" t="s">
        <v>381</v>
      </c>
      <c r="F5163" t="s">
        <v>3022</v>
      </c>
      <c r="G5163" t="s">
        <v>3762</v>
      </c>
      <c r="H5163" t="s">
        <v>5880</v>
      </c>
      <c r="I5163" t="s">
        <v>8187</v>
      </c>
      <c r="J5163" t="s">
        <v>9065</v>
      </c>
      <c r="K5163">
        <v>10456</v>
      </c>
      <c r="L5163" t="s">
        <v>9094</v>
      </c>
      <c r="M5163" t="s">
        <v>9094</v>
      </c>
      <c r="O5163" t="s">
        <v>9121</v>
      </c>
      <c r="P5163" t="s">
        <v>11164</v>
      </c>
      <c r="R5163" t="s">
        <v>11180</v>
      </c>
      <c r="S5163" t="s">
        <v>9094</v>
      </c>
      <c r="T5163" t="s">
        <v>11183</v>
      </c>
      <c r="V5163" t="s">
        <v>11218</v>
      </c>
      <c r="W5163">
        <v>972.76</v>
      </c>
      <c r="X5163" t="s">
        <v>11333</v>
      </c>
      <c r="Y5163" t="s">
        <v>11347</v>
      </c>
      <c r="Z5163" t="s">
        <v>14658</v>
      </c>
      <c r="AC5163">
        <v>0</v>
      </c>
      <c r="AD5163" t="s">
        <v>19566</v>
      </c>
      <c r="AE5163" t="s">
        <v>9144</v>
      </c>
      <c r="AF5163">
        <v>28</v>
      </c>
      <c r="AG5163">
        <v>1</v>
      </c>
      <c r="AH5163">
        <v>0</v>
      </c>
      <c r="AI5163">
        <v>224.18</v>
      </c>
      <c r="AL5163" t="s">
        <v>19614</v>
      </c>
      <c r="AM5163">
        <v>28000</v>
      </c>
      <c r="AS5163">
        <v>0</v>
      </c>
      <c r="AU5163" t="s">
        <v>174</v>
      </c>
      <c r="AV5163" t="s">
        <v>20733</v>
      </c>
    </row>
    <row r="5164" spans="1:48">
      <c r="A5164" s="1">
        <f>HYPERLINK("https://lsnyc.legalserver.org/matter/dynamic-profile/view/0823543","16-0823543")</f>
        <v>0</v>
      </c>
      <c r="B5164" t="s">
        <v>119</v>
      </c>
      <c r="C5164" t="s">
        <v>256</v>
      </c>
      <c r="D5164" t="s">
        <v>965</v>
      </c>
      <c r="F5164" t="s">
        <v>3019</v>
      </c>
      <c r="G5164" t="s">
        <v>5305</v>
      </c>
      <c r="H5164" t="s">
        <v>5897</v>
      </c>
      <c r="I5164" t="s">
        <v>8921</v>
      </c>
      <c r="J5164" t="s">
        <v>9065</v>
      </c>
      <c r="K5164">
        <v>10452</v>
      </c>
      <c r="L5164" t="s">
        <v>9094</v>
      </c>
      <c r="M5164" t="s">
        <v>9095</v>
      </c>
      <c r="N5164" t="s">
        <v>9252</v>
      </c>
      <c r="O5164" t="s">
        <v>11135</v>
      </c>
      <c r="P5164" t="s">
        <v>11168</v>
      </c>
      <c r="R5164" t="s">
        <v>11180</v>
      </c>
      <c r="S5164" t="s">
        <v>9094</v>
      </c>
      <c r="T5164" t="s">
        <v>11183</v>
      </c>
      <c r="V5164" t="s">
        <v>965</v>
      </c>
      <c r="W5164">
        <v>1038.43</v>
      </c>
      <c r="X5164" t="s">
        <v>11333</v>
      </c>
      <c r="Y5164" t="s">
        <v>11348</v>
      </c>
      <c r="Z5164" t="s">
        <v>14648</v>
      </c>
      <c r="AB5164" t="s">
        <v>18968</v>
      </c>
      <c r="AC5164">
        <v>122</v>
      </c>
      <c r="AD5164" t="s">
        <v>19566</v>
      </c>
      <c r="AF5164">
        <v>7</v>
      </c>
      <c r="AG5164">
        <v>2</v>
      </c>
      <c r="AH5164">
        <v>1</v>
      </c>
      <c r="AI5164">
        <v>224.22</v>
      </c>
      <c r="AL5164" t="s">
        <v>19614</v>
      </c>
      <c r="AM5164">
        <v>45202.56</v>
      </c>
      <c r="AS5164">
        <v>0</v>
      </c>
      <c r="AU5164" t="s">
        <v>20647</v>
      </c>
    </row>
    <row r="5165" spans="1:48">
      <c r="A5165" s="1">
        <f>HYPERLINK("https://lsnyc.legalserver.org/matter/dynamic-profile/view/1901811","19-1901811")</f>
        <v>0</v>
      </c>
      <c r="B5165" t="s">
        <v>115</v>
      </c>
      <c r="C5165" t="s">
        <v>257</v>
      </c>
      <c r="D5165" t="s">
        <v>472</v>
      </c>
      <c r="E5165" t="s">
        <v>472</v>
      </c>
      <c r="F5165" t="s">
        <v>2793</v>
      </c>
      <c r="G5165" t="s">
        <v>3736</v>
      </c>
      <c r="H5165" t="s">
        <v>7907</v>
      </c>
      <c r="I5165" t="s">
        <v>8235</v>
      </c>
      <c r="J5165" t="s">
        <v>9065</v>
      </c>
      <c r="K5165">
        <v>10452</v>
      </c>
      <c r="L5165" t="s">
        <v>9094</v>
      </c>
      <c r="M5165" t="s">
        <v>9095</v>
      </c>
      <c r="O5165" t="s">
        <v>11136</v>
      </c>
      <c r="P5165" t="s">
        <v>11164</v>
      </c>
      <c r="Q5165" t="s">
        <v>11172</v>
      </c>
      <c r="R5165" t="s">
        <v>11180</v>
      </c>
      <c r="T5165" t="s">
        <v>11183</v>
      </c>
      <c r="U5165" t="s">
        <v>11201</v>
      </c>
      <c r="W5165">
        <v>1100</v>
      </c>
      <c r="X5165" t="s">
        <v>11333</v>
      </c>
      <c r="Y5165" t="s">
        <v>11346</v>
      </c>
      <c r="Z5165" t="s">
        <v>14659</v>
      </c>
      <c r="AB5165" t="s">
        <v>18974</v>
      </c>
      <c r="AC5165">
        <v>0</v>
      </c>
      <c r="AD5165" t="s">
        <v>19566</v>
      </c>
      <c r="AE5165" t="s">
        <v>9144</v>
      </c>
      <c r="AF5165">
        <v>4</v>
      </c>
      <c r="AG5165">
        <v>2</v>
      </c>
      <c r="AH5165">
        <v>0</v>
      </c>
      <c r="AI5165">
        <v>224.25</v>
      </c>
      <c r="AL5165" t="s">
        <v>19615</v>
      </c>
      <c r="AM5165">
        <v>37920</v>
      </c>
      <c r="AS5165">
        <v>0.2</v>
      </c>
      <c r="AT5165" t="s">
        <v>472</v>
      </c>
      <c r="AU5165" t="s">
        <v>115</v>
      </c>
      <c r="AV5165" t="s">
        <v>20733</v>
      </c>
    </row>
    <row r="5166" spans="1:48">
      <c r="A5166" s="1">
        <f>HYPERLINK("https://lsnyc.legalserver.org/matter/dynamic-profile/view/1900793","19-1900793")</f>
        <v>0</v>
      </c>
      <c r="B5166" t="s">
        <v>76</v>
      </c>
      <c r="C5166" t="s">
        <v>256</v>
      </c>
      <c r="D5166" t="s">
        <v>315</v>
      </c>
      <c r="F5166" t="s">
        <v>3023</v>
      </c>
      <c r="G5166" t="s">
        <v>3398</v>
      </c>
      <c r="H5166" t="s">
        <v>7908</v>
      </c>
      <c r="I5166" t="s">
        <v>8212</v>
      </c>
      <c r="J5166" t="s">
        <v>9059</v>
      </c>
      <c r="K5166">
        <v>11213</v>
      </c>
      <c r="L5166" t="s">
        <v>9094</v>
      </c>
      <c r="M5166" t="s">
        <v>9095</v>
      </c>
      <c r="O5166" t="s">
        <v>9121</v>
      </c>
      <c r="P5166" t="s">
        <v>11166</v>
      </c>
      <c r="R5166" t="s">
        <v>11180</v>
      </c>
      <c r="S5166" t="s">
        <v>9094</v>
      </c>
      <c r="T5166" t="s">
        <v>11183</v>
      </c>
      <c r="U5166" t="s">
        <v>11201</v>
      </c>
      <c r="V5166" t="s">
        <v>291</v>
      </c>
      <c r="W5166">
        <v>652.36</v>
      </c>
      <c r="X5166" t="s">
        <v>11332</v>
      </c>
      <c r="Z5166" t="s">
        <v>12765</v>
      </c>
      <c r="AB5166" t="s">
        <v>18975</v>
      </c>
      <c r="AC5166">
        <v>6</v>
      </c>
      <c r="AD5166" t="s">
        <v>19566</v>
      </c>
      <c r="AE5166" t="s">
        <v>9144</v>
      </c>
      <c r="AF5166">
        <v>45</v>
      </c>
      <c r="AG5166">
        <v>2</v>
      </c>
      <c r="AH5166">
        <v>0</v>
      </c>
      <c r="AI5166">
        <v>224.33</v>
      </c>
      <c r="AL5166" t="s">
        <v>19614</v>
      </c>
      <c r="AM5166">
        <v>37934.16</v>
      </c>
      <c r="AN5166" t="s">
        <v>20091</v>
      </c>
      <c r="AS5166">
        <v>0</v>
      </c>
      <c r="AU5166" t="s">
        <v>95</v>
      </c>
      <c r="AV5166" t="s">
        <v>20733</v>
      </c>
    </row>
    <row r="5167" spans="1:48">
      <c r="A5167" s="1">
        <f>HYPERLINK("https://lsnyc.legalserver.org/matter/dynamic-profile/view/1875670","18-1875670")</f>
        <v>0</v>
      </c>
      <c r="B5167" t="s">
        <v>103</v>
      </c>
      <c r="C5167" t="s">
        <v>256</v>
      </c>
      <c r="D5167" t="s">
        <v>419</v>
      </c>
      <c r="F5167" t="s">
        <v>3024</v>
      </c>
      <c r="G5167" t="s">
        <v>3448</v>
      </c>
      <c r="H5167" t="s">
        <v>6577</v>
      </c>
      <c r="I5167" t="s">
        <v>8216</v>
      </c>
      <c r="J5167" t="s">
        <v>9065</v>
      </c>
      <c r="K5167">
        <v>10468</v>
      </c>
      <c r="L5167" t="s">
        <v>9094</v>
      </c>
      <c r="M5167" t="s">
        <v>9094</v>
      </c>
      <c r="O5167" t="s">
        <v>11134</v>
      </c>
      <c r="P5167" t="s">
        <v>11166</v>
      </c>
      <c r="R5167" t="s">
        <v>11180</v>
      </c>
      <c r="S5167" t="s">
        <v>9094</v>
      </c>
      <c r="T5167" t="s">
        <v>11183</v>
      </c>
      <c r="V5167" t="s">
        <v>738</v>
      </c>
      <c r="W5167">
        <v>2213</v>
      </c>
      <c r="X5167" t="s">
        <v>11333</v>
      </c>
      <c r="Y5167" t="s">
        <v>11346</v>
      </c>
      <c r="Z5167" t="s">
        <v>14660</v>
      </c>
      <c r="AC5167">
        <v>58</v>
      </c>
      <c r="AD5167" t="s">
        <v>19566</v>
      </c>
      <c r="AE5167" t="s">
        <v>9144</v>
      </c>
      <c r="AF5167">
        <v>1</v>
      </c>
      <c r="AG5167">
        <v>2</v>
      </c>
      <c r="AH5167">
        <v>1</v>
      </c>
      <c r="AI5167">
        <v>224.52</v>
      </c>
      <c r="AL5167" t="s">
        <v>19615</v>
      </c>
      <c r="AM5167">
        <v>46656</v>
      </c>
      <c r="AS5167">
        <v>0</v>
      </c>
      <c r="AU5167" t="s">
        <v>20642</v>
      </c>
    </row>
    <row r="5168" spans="1:48">
      <c r="A5168" s="1">
        <f>HYPERLINK("https://lsnyc.legalserver.org/matter/dynamic-profile/view/1897635","19-1897635")</f>
        <v>0</v>
      </c>
      <c r="B5168" t="s">
        <v>136</v>
      </c>
      <c r="C5168" t="s">
        <v>256</v>
      </c>
      <c r="D5168" t="s">
        <v>617</v>
      </c>
      <c r="F5168" t="s">
        <v>1397</v>
      </c>
      <c r="G5168" t="s">
        <v>5280</v>
      </c>
      <c r="H5168" t="s">
        <v>6596</v>
      </c>
      <c r="I5168" t="s">
        <v>8259</v>
      </c>
      <c r="J5168" t="s">
        <v>9067</v>
      </c>
      <c r="K5168">
        <v>10035</v>
      </c>
      <c r="L5168" t="s">
        <v>9094</v>
      </c>
      <c r="M5168" t="s">
        <v>9094</v>
      </c>
      <c r="O5168" t="s">
        <v>9121</v>
      </c>
      <c r="P5168" t="s">
        <v>11167</v>
      </c>
      <c r="R5168" t="s">
        <v>11180</v>
      </c>
      <c r="S5168" t="s">
        <v>9094</v>
      </c>
      <c r="T5168" t="s">
        <v>11183</v>
      </c>
      <c r="U5168" t="s">
        <v>11201</v>
      </c>
      <c r="V5168" t="s">
        <v>317</v>
      </c>
      <c r="W5168">
        <v>900</v>
      </c>
      <c r="X5168" t="s">
        <v>11335</v>
      </c>
      <c r="Y5168" t="s">
        <v>11339</v>
      </c>
      <c r="Z5168" t="s">
        <v>14613</v>
      </c>
      <c r="AC5168">
        <v>60</v>
      </c>
      <c r="AD5168" t="s">
        <v>19566</v>
      </c>
      <c r="AE5168" t="s">
        <v>9144</v>
      </c>
      <c r="AF5168">
        <v>15</v>
      </c>
      <c r="AG5168">
        <v>1</v>
      </c>
      <c r="AH5168">
        <v>1</v>
      </c>
      <c r="AI5168">
        <v>224.72</v>
      </c>
      <c r="AL5168" t="s">
        <v>19614</v>
      </c>
      <c r="AM5168">
        <v>38000</v>
      </c>
      <c r="AN5168" t="s">
        <v>19728</v>
      </c>
      <c r="AS5168">
        <v>0</v>
      </c>
      <c r="AU5168" t="s">
        <v>20657</v>
      </c>
      <c r="AV5168" t="s">
        <v>20733</v>
      </c>
    </row>
    <row r="5169" spans="1:48">
      <c r="A5169" s="1">
        <f>HYPERLINK("https://lsnyc.legalserver.org/matter/dynamic-profile/view/1897707","19-1897707")</f>
        <v>0</v>
      </c>
      <c r="B5169" t="s">
        <v>134</v>
      </c>
      <c r="C5169" t="s">
        <v>257</v>
      </c>
      <c r="D5169" t="s">
        <v>291</v>
      </c>
      <c r="E5169" t="s">
        <v>457</v>
      </c>
      <c r="F5169" t="s">
        <v>1211</v>
      </c>
      <c r="G5169" t="s">
        <v>4103</v>
      </c>
      <c r="H5169" t="s">
        <v>7909</v>
      </c>
      <c r="I5169">
        <v>54</v>
      </c>
      <c r="J5169" t="s">
        <v>9067</v>
      </c>
      <c r="K5169">
        <v>10034</v>
      </c>
      <c r="L5169" t="s">
        <v>9094</v>
      </c>
      <c r="M5169" t="s">
        <v>9094</v>
      </c>
      <c r="O5169" t="s">
        <v>11136</v>
      </c>
      <c r="P5169" t="s">
        <v>11167</v>
      </c>
      <c r="Q5169" t="s">
        <v>11173</v>
      </c>
      <c r="R5169" t="s">
        <v>11180</v>
      </c>
      <c r="S5169" t="s">
        <v>9096</v>
      </c>
      <c r="T5169" t="s">
        <v>11183</v>
      </c>
      <c r="V5169" t="s">
        <v>291</v>
      </c>
      <c r="W5169">
        <v>1785</v>
      </c>
      <c r="X5169" t="s">
        <v>11335</v>
      </c>
      <c r="Y5169" t="s">
        <v>11338</v>
      </c>
      <c r="Z5169" t="s">
        <v>14661</v>
      </c>
      <c r="AB5169" t="s">
        <v>18976</v>
      </c>
      <c r="AC5169">
        <v>42</v>
      </c>
      <c r="AD5169" t="s">
        <v>19566</v>
      </c>
      <c r="AE5169" t="s">
        <v>11157</v>
      </c>
      <c r="AF5169">
        <v>3</v>
      </c>
      <c r="AG5169">
        <v>2</v>
      </c>
      <c r="AH5169">
        <v>0</v>
      </c>
      <c r="AI5169">
        <v>224.72</v>
      </c>
      <c r="AL5169" t="s">
        <v>19614</v>
      </c>
      <c r="AM5169">
        <v>38000</v>
      </c>
      <c r="AS5169">
        <v>1.8</v>
      </c>
      <c r="AT5169" t="s">
        <v>610</v>
      </c>
      <c r="AU5169" t="s">
        <v>130</v>
      </c>
      <c r="AV5169" t="s">
        <v>20733</v>
      </c>
    </row>
    <row r="5170" spans="1:48">
      <c r="A5170" s="1">
        <f>HYPERLINK("https://lsnyc.legalserver.org/matter/dynamic-profile/view/1908556","19-1908556")</f>
        <v>0</v>
      </c>
      <c r="B5170" t="s">
        <v>134</v>
      </c>
      <c r="C5170" t="s">
        <v>257</v>
      </c>
      <c r="D5170" t="s">
        <v>410</v>
      </c>
      <c r="E5170" t="s">
        <v>292</v>
      </c>
      <c r="F5170" t="s">
        <v>1404</v>
      </c>
      <c r="G5170" t="s">
        <v>3344</v>
      </c>
      <c r="H5170" t="s">
        <v>6535</v>
      </c>
      <c r="J5170" t="s">
        <v>9067</v>
      </c>
      <c r="K5170">
        <v>10033</v>
      </c>
      <c r="L5170" t="s">
        <v>9094</v>
      </c>
      <c r="M5170" t="s">
        <v>9095</v>
      </c>
      <c r="O5170" t="s">
        <v>9121</v>
      </c>
      <c r="P5170" t="s">
        <v>11164</v>
      </c>
      <c r="Q5170" t="s">
        <v>11172</v>
      </c>
      <c r="R5170" t="s">
        <v>11180</v>
      </c>
      <c r="S5170" t="s">
        <v>9096</v>
      </c>
      <c r="T5170" t="s">
        <v>11183</v>
      </c>
      <c r="V5170" t="s">
        <v>410</v>
      </c>
      <c r="W5170">
        <v>1190</v>
      </c>
      <c r="X5170" t="s">
        <v>11335</v>
      </c>
      <c r="Y5170" t="s">
        <v>11339</v>
      </c>
      <c r="Z5170" t="s">
        <v>14662</v>
      </c>
      <c r="AB5170" t="s">
        <v>18977</v>
      </c>
      <c r="AC5170">
        <v>480</v>
      </c>
      <c r="AD5170" t="s">
        <v>19566</v>
      </c>
      <c r="AE5170" t="s">
        <v>19580</v>
      </c>
      <c r="AF5170">
        <v>9</v>
      </c>
      <c r="AG5170">
        <v>2</v>
      </c>
      <c r="AH5170">
        <v>0</v>
      </c>
      <c r="AI5170">
        <v>224.72</v>
      </c>
      <c r="AL5170" t="s">
        <v>19615</v>
      </c>
      <c r="AM5170">
        <v>38000</v>
      </c>
      <c r="AS5170">
        <v>2.7</v>
      </c>
      <c r="AT5170" t="s">
        <v>435</v>
      </c>
      <c r="AU5170" t="s">
        <v>20659</v>
      </c>
      <c r="AV5170" t="s">
        <v>20733</v>
      </c>
    </row>
    <row r="5171" spans="1:48">
      <c r="A5171" s="1">
        <f>HYPERLINK("https://lsnyc.legalserver.org/matter/dynamic-profile/view/1882833","18-1882833")</f>
        <v>0</v>
      </c>
      <c r="B5171" t="s">
        <v>106</v>
      </c>
      <c r="C5171" t="s">
        <v>257</v>
      </c>
      <c r="D5171" t="s">
        <v>831</v>
      </c>
      <c r="E5171" t="s">
        <v>429</v>
      </c>
      <c r="F5171" t="s">
        <v>2269</v>
      </c>
      <c r="G5171" t="s">
        <v>4492</v>
      </c>
      <c r="H5171" t="s">
        <v>6624</v>
      </c>
      <c r="I5171" t="s">
        <v>8628</v>
      </c>
      <c r="J5171" t="s">
        <v>9065</v>
      </c>
      <c r="K5171">
        <v>10458</v>
      </c>
      <c r="L5171" t="s">
        <v>9094</v>
      </c>
      <c r="M5171" t="s">
        <v>9094</v>
      </c>
      <c r="N5171" t="s">
        <v>9825</v>
      </c>
      <c r="O5171" t="s">
        <v>11130</v>
      </c>
      <c r="P5171" t="s">
        <v>11165</v>
      </c>
      <c r="Q5171" t="s">
        <v>11179</v>
      </c>
      <c r="R5171" t="s">
        <v>11180</v>
      </c>
      <c r="S5171" t="s">
        <v>9094</v>
      </c>
      <c r="T5171" t="s">
        <v>11183</v>
      </c>
      <c r="V5171" t="s">
        <v>11212</v>
      </c>
      <c r="W5171">
        <v>867</v>
      </c>
      <c r="X5171" t="s">
        <v>11333</v>
      </c>
      <c r="Y5171" t="s">
        <v>11346</v>
      </c>
      <c r="Z5171" t="s">
        <v>13124</v>
      </c>
      <c r="AA5171">
        <v>4690917</v>
      </c>
      <c r="AC5171">
        <v>0</v>
      </c>
      <c r="AD5171" t="s">
        <v>19566</v>
      </c>
      <c r="AE5171" t="s">
        <v>11157</v>
      </c>
      <c r="AF5171">
        <v>39</v>
      </c>
      <c r="AG5171">
        <v>2</v>
      </c>
      <c r="AH5171">
        <v>0</v>
      </c>
      <c r="AI5171">
        <v>224.79</v>
      </c>
      <c r="AL5171" t="s">
        <v>19614</v>
      </c>
      <c r="AM5171">
        <v>37000</v>
      </c>
      <c r="AS5171">
        <v>1.6</v>
      </c>
      <c r="AT5171" t="s">
        <v>275</v>
      </c>
      <c r="AU5171" t="s">
        <v>163</v>
      </c>
    </row>
    <row r="5172" spans="1:48">
      <c r="A5172" s="1">
        <f>HYPERLINK("https://lsnyc.legalserver.org/matter/dynamic-profile/view/0790741","15-0790741")</f>
        <v>0</v>
      </c>
      <c r="B5172" t="s">
        <v>119</v>
      </c>
      <c r="C5172" t="s">
        <v>256</v>
      </c>
      <c r="D5172" t="s">
        <v>811</v>
      </c>
      <c r="F5172" t="s">
        <v>3019</v>
      </c>
      <c r="G5172" t="s">
        <v>5305</v>
      </c>
      <c r="H5172" t="s">
        <v>5897</v>
      </c>
      <c r="I5172" t="s">
        <v>8921</v>
      </c>
      <c r="J5172" t="s">
        <v>9065</v>
      </c>
      <c r="K5172">
        <v>10452</v>
      </c>
      <c r="L5172" t="s">
        <v>9094</v>
      </c>
      <c r="M5172" t="s">
        <v>9095</v>
      </c>
      <c r="N5172" t="s">
        <v>9250</v>
      </c>
      <c r="O5172" t="s">
        <v>11132</v>
      </c>
      <c r="P5172" t="s">
        <v>11165</v>
      </c>
      <c r="R5172" t="s">
        <v>11180</v>
      </c>
      <c r="S5172" t="s">
        <v>9094</v>
      </c>
      <c r="T5172" t="s">
        <v>11183</v>
      </c>
      <c r="V5172" t="s">
        <v>11314</v>
      </c>
      <c r="W5172">
        <v>1038.43</v>
      </c>
      <c r="X5172" t="s">
        <v>11333</v>
      </c>
      <c r="Y5172" t="s">
        <v>11347</v>
      </c>
      <c r="Z5172" t="s">
        <v>14648</v>
      </c>
      <c r="AB5172" t="s">
        <v>18968</v>
      </c>
      <c r="AC5172">
        <v>122</v>
      </c>
      <c r="AD5172" t="s">
        <v>19566</v>
      </c>
      <c r="AF5172">
        <v>6</v>
      </c>
      <c r="AG5172">
        <v>2</v>
      </c>
      <c r="AH5172">
        <v>1</v>
      </c>
      <c r="AI5172">
        <v>225</v>
      </c>
      <c r="AL5172" t="s">
        <v>19614</v>
      </c>
      <c r="AM5172">
        <v>45202.56</v>
      </c>
      <c r="AS5172">
        <v>0.1</v>
      </c>
      <c r="AT5172" t="s">
        <v>965</v>
      </c>
      <c r="AU5172" t="s">
        <v>109</v>
      </c>
    </row>
    <row r="5173" spans="1:48">
      <c r="A5173" s="1">
        <f>HYPERLINK("https://lsnyc.legalserver.org/matter/dynamic-profile/view/1904052","19-1904052")</f>
        <v>0</v>
      </c>
      <c r="B5173" t="s">
        <v>65</v>
      </c>
      <c r="C5173" t="s">
        <v>256</v>
      </c>
      <c r="D5173" t="s">
        <v>271</v>
      </c>
      <c r="F5173" t="s">
        <v>1603</v>
      </c>
      <c r="G5173" t="s">
        <v>5310</v>
      </c>
      <c r="H5173" t="s">
        <v>7910</v>
      </c>
      <c r="I5173" t="s">
        <v>8137</v>
      </c>
      <c r="J5173" t="s">
        <v>9059</v>
      </c>
      <c r="K5173">
        <v>11203</v>
      </c>
      <c r="L5173" t="s">
        <v>9094</v>
      </c>
      <c r="M5173" t="s">
        <v>9095</v>
      </c>
      <c r="O5173" t="s">
        <v>11130</v>
      </c>
      <c r="P5173" t="s">
        <v>11165</v>
      </c>
      <c r="R5173" t="s">
        <v>11180</v>
      </c>
      <c r="S5173" t="s">
        <v>9096</v>
      </c>
      <c r="T5173" t="s">
        <v>11183</v>
      </c>
      <c r="U5173" t="s">
        <v>11201</v>
      </c>
      <c r="V5173" t="s">
        <v>271</v>
      </c>
      <c r="W5173">
        <v>0</v>
      </c>
      <c r="X5173" t="s">
        <v>11332</v>
      </c>
      <c r="Y5173" t="s">
        <v>11340</v>
      </c>
      <c r="Z5173" t="s">
        <v>13694</v>
      </c>
      <c r="AB5173" t="s">
        <v>18978</v>
      </c>
      <c r="AC5173">
        <v>42</v>
      </c>
      <c r="AD5173" t="s">
        <v>19566</v>
      </c>
      <c r="AF5173">
        <v>13</v>
      </c>
      <c r="AG5173">
        <v>2</v>
      </c>
      <c r="AH5173">
        <v>0</v>
      </c>
      <c r="AI5173">
        <v>225.03</v>
      </c>
      <c r="AJ5173" t="s">
        <v>265</v>
      </c>
      <c r="AK5173" t="s">
        <v>19612</v>
      </c>
      <c r="AL5173" t="s">
        <v>19614</v>
      </c>
      <c r="AM5173">
        <v>38052</v>
      </c>
      <c r="AO5173" t="s">
        <v>20293</v>
      </c>
      <c r="AS5173">
        <v>34.5</v>
      </c>
      <c r="AT5173" t="s">
        <v>612</v>
      </c>
      <c r="AU5173" t="s">
        <v>215</v>
      </c>
      <c r="AV5173" t="s">
        <v>20733</v>
      </c>
    </row>
    <row r="5174" spans="1:48">
      <c r="A5174" s="1">
        <f>HYPERLINK("https://lsnyc.legalserver.org/matter/dynamic-profile/view/1898102","19-1898102")</f>
        <v>0</v>
      </c>
      <c r="B5174" t="s">
        <v>132</v>
      </c>
      <c r="C5174" t="s">
        <v>257</v>
      </c>
      <c r="D5174" t="s">
        <v>470</v>
      </c>
      <c r="E5174" t="s">
        <v>442</v>
      </c>
      <c r="F5174" t="s">
        <v>1187</v>
      </c>
      <c r="G5174" t="s">
        <v>4152</v>
      </c>
      <c r="H5174" t="s">
        <v>7911</v>
      </c>
      <c r="I5174" t="s">
        <v>8171</v>
      </c>
      <c r="J5174" t="s">
        <v>9067</v>
      </c>
      <c r="K5174">
        <v>10033</v>
      </c>
      <c r="L5174" t="s">
        <v>9094</v>
      </c>
      <c r="M5174" t="s">
        <v>9094</v>
      </c>
      <c r="N5174" t="s">
        <v>10934</v>
      </c>
      <c r="O5174" t="s">
        <v>11128</v>
      </c>
      <c r="P5174" t="s">
        <v>11167</v>
      </c>
      <c r="Q5174" t="s">
        <v>11173</v>
      </c>
      <c r="R5174" t="s">
        <v>11180</v>
      </c>
      <c r="S5174" t="s">
        <v>9096</v>
      </c>
      <c r="T5174" t="s">
        <v>11183</v>
      </c>
      <c r="V5174" t="s">
        <v>470</v>
      </c>
      <c r="W5174">
        <v>960</v>
      </c>
      <c r="X5174" t="s">
        <v>11335</v>
      </c>
      <c r="Y5174" t="s">
        <v>11338</v>
      </c>
      <c r="Z5174" t="s">
        <v>14659</v>
      </c>
      <c r="AB5174" t="s">
        <v>18979</v>
      </c>
      <c r="AC5174">
        <v>20</v>
      </c>
      <c r="AD5174" t="s">
        <v>19566</v>
      </c>
      <c r="AE5174" t="s">
        <v>9144</v>
      </c>
      <c r="AF5174">
        <v>25</v>
      </c>
      <c r="AG5174">
        <v>2</v>
      </c>
      <c r="AH5174">
        <v>1</v>
      </c>
      <c r="AI5174">
        <v>225.04</v>
      </c>
      <c r="AL5174" t="s">
        <v>19614</v>
      </c>
      <c r="AM5174">
        <v>48000</v>
      </c>
      <c r="AS5174">
        <v>3.7</v>
      </c>
      <c r="AT5174" t="s">
        <v>261</v>
      </c>
      <c r="AU5174" t="s">
        <v>130</v>
      </c>
      <c r="AV5174" t="s">
        <v>20733</v>
      </c>
    </row>
    <row r="5175" spans="1:48">
      <c r="A5175" s="1">
        <f>HYPERLINK("https://lsnyc.legalserver.org/matter/dynamic-profile/view/1899149","19-1899149")</f>
        <v>0</v>
      </c>
      <c r="B5175" t="s">
        <v>98</v>
      </c>
      <c r="C5175" t="s">
        <v>257</v>
      </c>
      <c r="D5175" t="s">
        <v>492</v>
      </c>
      <c r="E5175" t="s">
        <v>574</v>
      </c>
      <c r="F5175" t="s">
        <v>2332</v>
      </c>
      <c r="G5175" t="s">
        <v>2008</v>
      </c>
      <c r="H5175" t="s">
        <v>6081</v>
      </c>
      <c r="I5175" t="s">
        <v>8170</v>
      </c>
      <c r="J5175" t="s">
        <v>9065</v>
      </c>
      <c r="K5175">
        <v>10452</v>
      </c>
      <c r="L5175" t="s">
        <v>9094</v>
      </c>
      <c r="M5175" t="s">
        <v>9095</v>
      </c>
      <c r="O5175" t="s">
        <v>11134</v>
      </c>
      <c r="P5175" t="s">
        <v>11167</v>
      </c>
      <c r="Q5175" t="s">
        <v>11173</v>
      </c>
      <c r="R5175" t="s">
        <v>11180</v>
      </c>
      <c r="S5175" t="s">
        <v>9094</v>
      </c>
      <c r="T5175" t="s">
        <v>11183</v>
      </c>
      <c r="V5175" t="s">
        <v>299</v>
      </c>
      <c r="W5175">
        <v>987</v>
      </c>
      <c r="X5175" t="s">
        <v>11333</v>
      </c>
      <c r="Y5175" t="s">
        <v>11346</v>
      </c>
      <c r="Z5175" t="s">
        <v>14663</v>
      </c>
      <c r="AB5175" t="s">
        <v>18980</v>
      </c>
      <c r="AC5175">
        <v>41</v>
      </c>
      <c r="AD5175" t="s">
        <v>15441</v>
      </c>
      <c r="AE5175" t="s">
        <v>19587</v>
      </c>
      <c r="AF5175">
        <v>32</v>
      </c>
      <c r="AG5175">
        <v>1</v>
      </c>
      <c r="AH5175">
        <v>0</v>
      </c>
      <c r="AI5175">
        <v>225.49</v>
      </c>
      <c r="AL5175" t="s">
        <v>19614</v>
      </c>
      <c r="AM5175">
        <v>28164</v>
      </c>
      <c r="AS5175">
        <v>1.25</v>
      </c>
      <c r="AT5175" t="s">
        <v>335</v>
      </c>
      <c r="AU5175" t="s">
        <v>20642</v>
      </c>
      <c r="AV5175" t="s">
        <v>20733</v>
      </c>
    </row>
    <row r="5176" spans="1:48">
      <c r="A5176" s="1">
        <f>HYPERLINK("https://lsnyc.legalserver.org/matter/dynamic-profile/view/1895472","19-1895472")</f>
        <v>0</v>
      </c>
      <c r="B5176" t="s">
        <v>98</v>
      </c>
      <c r="C5176" t="s">
        <v>257</v>
      </c>
      <c r="D5176" t="s">
        <v>512</v>
      </c>
      <c r="E5176" t="s">
        <v>664</v>
      </c>
      <c r="F5176" t="s">
        <v>2332</v>
      </c>
      <c r="G5176" t="s">
        <v>2008</v>
      </c>
      <c r="H5176" t="s">
        <v>6081</v>
      </c>
      <c r="I5176" t="s">
        <v>8170</v>
      </c>
      <c r="J5176" t="s">
        <v>9065</v>
      </c>
      <c r="K5176">
        <v>10452</v>
      </c>
      <c r="L5176" t="s">
        <v>9094</v>
      </c>
      <c r="M5176" t="s">
        <v>9094</v>
      </c>
      <c r="O5176" t="s">
        <v>11133</v>
      </c>
      <c r="P5176" t="s">
        <v>11167</v>
      </c>
      <c r="Q5176" t="s">
        <v>11173</v>
      </c>
      <c r="R5176" t="s">
        <v>11180</v>
      </c>
      <c r="S5176" t="s">
        <v>9096</v>
      </c>
      <c r="T5176" t="s">
        <v>11189</v>
      </c>
      <c r="V5176" t="s">
        <v>299</v>
      </c>
      <c r="W5176">
        <v>987</v>
      </c>
      <c r="X5176" t="s">
        <v>11333</v>
      </c>
      <c r="Y5176" t="s">
        <v>11339</v>
      </c>
      <c r="Z5176" t="s">
        <v>14663</v>
      </c>
      <c r="AB5176" t="s">
        <v>18980</v>
      </c>
      <c r="AC5176">
        <v>41</v>
      </c>
      <c r="AD5176" t="s">
        <v>19566</v>
      </c>
      <c r="AE5176" t="s">
        <v>19587</v>
      </c>
      <c r="AF5176">
        <v>32</v>
      </c>
      <c r="AG5176">
        <v>1</v>
      </c>
      <c r="AH5176">
        <v>0</v>
      </c>
      <c r="AI5176">
        <v>225.49</v>
      </c>
      <c r="AL5176" t="s">
        <v>19614</v>
      </c>
      <c r="AM5176">
        <v>28164</v>
      </c>
      <c r="AS5176">
        <v>5</v>
      </c>
      <c r="AT5176" t="s">
        <v>476</v>
      </c>
      <c r="AU5176" t="s">
        <v>20642</v>
      </c>
    </row>
    <row r="5177" spans="1:48">
      <c r="A5177" s="1">
        <f>HYPERLINK("https://lsnyc.legalserver.org/matter/dynamic-profile/view/1890447","19-1890447")</f>
        <v>0</v>
      </c>
      <c r="B5177" t="s">
        <v>83</v>
      </c>
      <c r="C5177" t="s">
        <v>256</v>
      </c>
      <c r="D5177" t="s">
        <v>695</v>
      </c>
      <c r="F5177" t="s">
        <v>3025</v>
      </c>
      <c r="G5177" t="s">
        <v>3911</v>
      </c>
      <c r="H5177" t="s">
        <v>6257</v>
      </c>
      <c r="I5177" t="s">
        <v>8229</v>
      </c>
      <c r="J5177" t="s">
        <v>9059</v>
      </c>
      <c r="K5177">
        <v>11225</v>
      </c>
      <c r="L5177" t="s">
        <v>9094</v>
      </c>
      <c r="M5177" t="s">
        <v>9094</v>
      </c>
      <c r="N5177" t="s">
        <v>10935</v>
      </c>
      <c r="O5177" t="s">
        <v>11132</v>
      </c>
      <c r="P5177" t="s">
        <v>11165</v>
      </c>
      <c r="R5177" t="s">
        <v>11180</v>
      </c>
      <c r="S5177" t="s">
        <v>9094</v>
      </c>
      <c r="T5177" t="s">
        <v>11183</v>
      </c>
      <c r="V5177" t="s">
        <v>391</v>
      </c>
      <c r="W5177">
        <v>838.9400000000001</v>
      </c>
      <c r="X5177" t="s">
        <v>11332</v>
      </c>
      <c r="Z5177" t="s">
        <v>11422</v>
      </c>
      <c r="AC5177">
        <v>0</v>
      </c>
      <c r="AD5177" t="s">
        <v>19566</v>
      </c>
      <c r="AF5177">
        <v>39</v>
      </c>
      <c r="AG5177">
        <v>2</v>
      </c>
      <c r="AH5177">
        <v>0</v>
      </c>
      <c r="AI5177">
        <v>225.59</v>
      </c>
      <c r="AJ5177" t="s">
        <v>636</v>
      </c>
      <c r="AK5177" t="s">
        <v>19612</v>
      </c>
      <c r="AL5177" t="s">
        <v>19614</v>
      </c>
      <c r="AM5177">
        <v>38148</v>
      </c>
      <c r="AS5177">
        <v>0.1</v>
      </c>
      <c r="AT5177" t="s">
        <v>288</v>
      </c>
      <c r="AU5177" t="s">
        <v>215</v>
      </c>
    </row>
    <row r="5178" spans="1:48">
      <c r="A5178" s="1">
        <f>HYPERLINK("https://lsnyc.legalserver.org/matter/dynamic-profile/view/1890592","19-1890592")</f>
        <v>0</v>
      </c>
      <c r="B5178" t="s">
        <v>83</v>
      </c>
      <c r="C5178" t="s">
        <v>256</v>
      </c>
      <c r="D5178" t="s">
        <v>695</v>
      </c>
      <c r="F5178" t="s">
        <v>3025</v>
      </c>
      <c r="G5178" t="s">
        <v>3911</v>
      </c>
      <c r="H5178" t="s">
        <v>6257</v>
      </c>
      <c r="I5178" t="s">
        <v>8229</v>
      </c>
      <c r="J5178" t="s">
        <v>9059</v>
      </c>
      <c r="K5178">
        <v>11225</v>
      </c>
      <c r="L5178" t="s">
        <v>9094</v>
      </c>
      <c r="M5178" t="s">
        <v>9094</v>
      </c>
      <c r="O5178" t="s">
        <v>11134</v>
      </c>
      <c r="P5178" t="s">
        <v>11168</v>
      </c>
      <c r="R5178" t="s">
        <v>11180</v>
      </c>
      <c r="S5178" t="s">
        <v>9094</v>
      </c>
      <c r="T5178" t="s">
        <v>11183</v>
      </c>
      <c r="V5178" t="s">
        <v>391</v>
      </c>
      <c r="W5178">
        <v>838.9400000000001</v>
      </c>
      <c r="X5178" t="s">
        <v>11332</v>
      </c>
      <c r="Z5178" t="s">
        <v>14664</v>
      </c>
      <c r="AC5178">
        <v>0</v>
      </c>
      <c r="AF5178">
        <v>39</v>
      </c>
      <c r="AG5178">
        <v>2</v>
      </c>
      <c r="AH5178">
        <v>0</v>
      </c>
      <c r="AI5178">
        <v>225.59</v>
      </c>
      <c r="AJ5178" t="s">
        <v>636</v>
      </c>
      <c r="AK5178" t="s">
        <v>19612</v>
      </c>
      <c r="AL5178" t="s">
        <v>19614</v>
      </c>
      <c r="AM5178">
        <v>38148</v>
      </c>
      <c r="AS5178">
        <v>0.1</v>
      </c>
      <c r="AT5178" t="s">
        <v>288</v>
      </c>
      <c r="AU5178" t="s">
        <v>215</v>
      </c>
    </row>
    <row r="5179" spans="1:48">
      <c r="A5179" s="1">
        <f>HYPERLINK("https://lsnyc.legalserver.org/matter/dynamic-profile/view/1892876","19-1892876")</f>
        <v>0</v>
      </c>
      <c r="B5179" t="s">
        <v>83</v>
      </c>
      <c r="C5179" t="s">
        <v>256</v>
      </c>
      <c r="D5179" t="s">
        <v>523</v>
      </c>
      <c r="F5179" t="s">
        <v>3025</v>
      </c>
      <c r="G5179" t="s">
        <v>3911</v>
      </c>
      <c r="H5179" t="s">
        <v>6257</v>
      </c>
      <c r="I5179" t="s">
        <v>8229</v>
      </c>
      <c r="J5179" t="s">
        <v>9059</v>
      </c>
      <c r="K5179">
        <v>11225</v>
      </c>
      <c r="L5179" t="s">
        <v>9094</v>
      </c>
      <c r="M5179" t="s">
        <v>9094</v>
      </c>
      <c r="O5179" t="s">
        <v>11134</v>
      </c>
      <c r="P5179" t="s">
        <v>11168</v>
      </c>
      <c r="R5179" t="s">
        <v>11180</v>
      </c>
      <c r="S5179" t="s">
        <v>9094</v>
      </c>
      <c r="T5179" t="s">
        <v>11183</v>
      </c>
      <c r="V5179" t="s">
        <v>577</v>
      </c>
      <c r="W5179">
        <v>1726.17</v>
      </c>
      <c r="X5179" t="s">
        <v>11332</v>
      </c>
      <c r="Z5179" t="s">
        <v>14664</v>
      </c>
      <c r="AC5179">
        <v>0</v>
      </c>
      <c r="AF5179">
        <v>14</v>
      </c>
      <c r="AG5179">
        <v>2</v>
      </c>
      <c r="AH5179">
        <v>0</v>
      </c>
      <c r="AI5179">
        <v>225.59</v>
      </c>
      <c r="AL5179" t="s">
        <v>19614</v>
      </c>
      <c r="AM5179">
        <v>38148</v>
      </c>
      <c r="AS5179">
        <v>0.1</v>
      </c>
      <c r="AT5179" t="s">
        <v>288</v>
      </c>
      <c r="AU5179" t="s">
        <v>215</v>
      </c>
    </row>
    <row r="5180" spans="1:48">
      <c r="A5180" s="1">
        <f>HYPERLINK("https://lsnyc.legalserver.org/matter/dynamic-profile/view/1910981","19-1910981")</f>
        <v>0</v>
      </c>
      <c r="B5180" t="s">
        <v>83</v>
      </c>
      <c r="C5180" t="s">
        <v>256</v>
      </c>
      <c r="D5180" t="s">
        <v>648</v>
      </c>
      <c r="F5180" t="s">
        <v>3025</v>
      </c>
      <c r="G5180" t="s">
        <v>3911</v>
      </c>
      <c r="H5180" t="s">
        <v>6257</v>
      </c>
      <c r="I5180" t="s">
        <v>8229</v>
      </c>
      <c r="J5180" t="s">
        <v>9059</v>
      </c>
      <c r="K5180">
        <v>11225</v>
      </c>
      <c r="L5180" t="s">
        <v>9094</v>
      </c>
      <c r="M5180" t="s">
        <v>9095</v>
      </c>
      <c r="P5180" t="s">
        <v>11168</v>
      </c>
      <c r="R5180" t="s">
        <v>11180</v>
      </c>
      <c r="S5180" t="s">
        <v>9094</v>
      </c>
      <c r="T5180" t="s">
        <v>11183</v>
      </c>
      <c r="V5180" t="s">
        <v>435</v>
      </c>
      <c r="W5180">
        <v>0</v>
      </c>
      <c r="X5180" t="s">
        <v>11332</v>
      </c>
      <c r="Z5180" t="s">
        <v>14664</v>
      </c>
      <c r="AC5180">
        <v>11</v>
      </c>
      <c r="AF5180">
        <v>0</v>
      </c>
      <c r="AG5180">
        <v>2</v>
      </c>
      <c r="AH5180">
        <v>0</v>
      </c>
      <c r="AI5180">
        <v>225.59</v>
      </c>
      <c r="AJ5180" t="s">
        <v>636</v>
      </c>
      <c r="AK5180" t="s">
        <v>19612</v>
      </c>
      <c r="AL5180" t="s">
        <v>19614</v>
      </c>
      <c r="AM5180">
        <v>38148</v>
      </c>
      <c r="AS5180">
        <v>0</v>
      </c>
      <c r="AU5180" t="s">
        <v>215</v>
      </c>
      <c r="AV5180" t="s">
        <v>20733</v>
      </c>
    </row>
    <row r="5181" spans="1:48">
      <c r="A5181" s="1">
        <f>HYPERLINK("https://lsnyc.legalserver.org/matter/dynamic-profile/view/0800087","16-0800087")</f>
        <v>0</v>
      </c>
      <c r="B5181" t="s">
        <v>103</v>
      </c>
      <c r="C5181" t="s">
        <v>256</v>
      </c>
      <c r="D5181" t="s">
        <v>430</v>
      </c>
      <c r="F5181" t="s">
        <v>3016</v>
      </c>
      <c r="G5181" t="s">
        <v>5302</v>
      </c>
      <c r="H5181" t="s">
        <v>5873</v>
      </c>
      <c r="I5181" t="s">
        <v>8149</v>
      </c>
      <c r="J5181" t="s">
        <v>9065</v>
      </c>
      <c r="K5181">
        <v>10457</v>
      </c>
      <c r="L5181" t="s">
        <v>9094</v>
      </c>
      <c r="M5181" t="s">
        <v>9095</v>
      </c>
      <c r="O5181" t="s">
        <v>11135</v>
      </c>
      <c r="P5181" t="s">
        <v>11168</v>
      </c>
      <c r="R5181" t="s">
        <v>11180</v>
      </c>
      <c r="S5181" t="s">
        <v>9094</v>
      </c>
      <c r="T5181" t="s">
        <v>11183</v>
      </c>
      <c r="V5181" t="s">
        <v>431</v>
      </c>
      <c r="W5181">
        <v>1051</v>
      </c>
      <c r="X5181" t="s">
        <v>11333</v>
      </c>
      <c r="Y5181" t="s">
        <v>11338</v>
      </c>
      <c r="Z5181" t="s">
        <v>14645</v>
      </c>
      <c r="AB5181" t="s">
        <v>18965</v>
      </c>
      <c r="AC5181">
        <v>0</v>
      </c>
      <c r="AD5181" t="s">
        <v>19566</v>
      </c>
      <c r="AE5181" t="s">
        <v>9144</v>
      </c>
      <c r="AF5181">
        <v>36</v>
      </c>
      <c r="AG5181">
        <v>1</v>
      </c>
      <c r="AH5181">
        <v>0</v>
      </c>
      <c r="AI5181">
        <v>225.64</v>
      </c>
      <c r="AJ5181" t="s">
        <v>11262</v>
      </c>
      <c r="AL5181" t="s">
        <v>19614</v>
      </c>
      <c r="AM5181">
        <v>26806</v>
      </c>
      <c r="AS5181">
        <v>0</v>
      </c>
      <c r="AU5181" t="s">
        <v>109</v>
      </c>
    </row>
    <row r="5182" spans="1:48">
      <c r="A5182" s="1">
        <f>HYPERLINK("https://lsnyc.legalserver.org/matter/dynamic-profile/view/0816934","16-0816934")</f>
        <v>0</v>
      </c>
      <c r="B5182" t="s">
        <v>103</v>
      </c>
      <c r="C5182" t="s">
        <v>256</v>
      </c>
      <c r="D5182" t="s">
        <v>437</v>
      </c>
      <c r="F5182" t="s">
        <v>3016</v>
      </c>
      <c r="G5182" t="s">
        <v>5302</v>
      </c>
      <c r="H5182" t="s">
        <v>5873</v>
      </c>
      <c r="I5182" t="s">
        <v>8149</v>
      </c>
      <c r="J5182" t="s">
        <v>9065</v>
      </c>
      <c r="K5182">
        <v>10457</v>
      </c>
      <c r="L5182" t="s">
        <v>9094</v>
      </c>
      <c r="M5182" t="s">
        <v>9095</v>
      </c>
      <c r="N5182" t="s">
        <v>9229</v>
      </c>
      <c r="O5182" t="s">
        <v>11135</v>
      </c>
      <c r="P5182" t="s">
        <v>11168</v>
      </c>
      <c r="R5182" t="s">
        <v>11180</v>
      </c>
      <c r="S5182" t="s">
        <v>9094</v>
      </c>
      <c r="T5182" t="s">
        <v>11183</v>
      </c>
      <c r="V5182" t="s">
        <v>1024</v>
      </c>
      <c r="W5182">
        <v>1051</v>
      </c>
      <c r="X5182" t="s">
        <v>11333</v>
      </c>
      <c r="Y5182" t="s">
        <v>11338</v>
      </c>
      <c r="Z5182" t="s">
        <v>14645</v>
      </c>
      <c r="AB5182" t="s">
        <v>18965</v>
      </c>
      <c r="AC5182">
        <v>100</v>
      </c>
      <c r="AD5182" t="s">
        <v>19566</v>
      </c>
      <c r="AE5182" t="s">
        <v>9144</v>
      </c>
      <c r="AF5182">
        <v>36</v>
      </c>
      <c r="AG5182">
        <v>1</v>
      </c>
      <c r="AH5182">
        <v>0</v>
      </c>
      <c r="AI5182">
        <v>225.64</v>
      </c>
      <c r="AJ5182" t="s">
        <v>11262</v>
      </c>
      <c r="AL5182" t="s">
        <v>19614</v>
      </c>
      <c r="AM5182">
        <v>26806</v>
      </c>
      <c r="AS5182">
        <v>0.5</v>
      </c>
      <c r="AT5182" t="s">
        <v>437</v>
      </c>
      <c r="AU5182" t="s">
        <v>20643</v>
      </c>
    </row>
    <row r="5183" spans="1:48">
      <c r="A5183" s="1">
        <f>HYPERLINK("https://lsnyc.legalserver.org/matter/dynamic-profile/view/0800084","16-0800084")</f>
        <v>0</v>
      </c>
      <c r="B5183" t="s">
        <v>103</v>
      </c>
      <c r="C5183" t="s">
        <v>256</v>
      </c>
      <c r="D5183" t="s">
        <v>430</v>
      </c>
      <c r="F5183" t="s">
        <v>3016</v>
      </c>
      <c r="G5183" t="s">
        <v>5302</v>
      </c>
      <c r="H5183" t="s">
        <v>5873</v>
      </c>
      <c r="I5183" t="s">
        <v>8149</v>
      </c>
      <c r="J5183" t="s">
        <v>9065</v>
      </c>
      <c r="K5183">
        <v>10457</v>
      </c>
      <c r="L5183" t="s">
        <v>9094</v>
      </c>
      <c r="M5183" t="s">
        <v>9095</v>
      </c>
      <c r="N5183" t="s">
        <v>9228</v>
      </c>
      <c r="O5183" t="s">
        <v>11147</v>
      </c>
      <c r="P5183" t="s">
        <v>11165</v>
      </c>
      <c r="R5183" t="s">
        <v>11180</v>
      </c>
      <c r="S5183" t="s">
        <v>9094</v>
      </c>
      <c r="T5183" t="s">
        <v>11183</v>
      </c>
      <c r="V5183" t="s">
        <v>431</v>
      </c>
      <c r="W5183">
        <v>1051</v>
      </c>
      <c r="X5183" t="s">
        <v>11333</v>
      </c>
      <c r="Y5183" t="s">
        <v>11338</v>
      </c>
      <c r="Z5183" t="s">
        <v>14645</v>
      </c>
      <c r="AB5183" t="s">
        <v>18965</v>
      </c>
      <c r="AC5183">
        <v>0</v>
      </c>
      <c r="AD5183" t="s">
        <v>19566</v>
      </c>
      <c r="AE5183" t="s">
        <v>9144</v>
      </c>
      <c r="AF5183">
        <v>36</v>
      </c>
      <c r="AG5183">
        <v>1</v>
      </c>
      <c r="AH5183">
        <v>0</v>
      </c>
      <c r="AI5183">
        <v>225.64</v>
      </c>
      <c r="AJ5183" t="s">
        <v>11262</v>
      </c>
      <c r="AL5183" t="s">
        <v>19614</v>
      </c>
      <c r="AM5183">
        <v>26806</v>
      </c>
      <c r="AS5183">
        <v>1.5</v>
      </c>
      <c r="AT5183" t="s">
        <v>679</v>
      </c>
      <c r="AU5183" t="s">
        <v>109</v>
      </c>
    </row>
    <row r="5184" spans="1:48">
      <c r="A5184" s="1">
        <f>HYPERLINK("https://lsnyc.legalserver.org/matter/dynamic-profile/view/1888512","19-1888512")</f>
        <v>0</v>
      </c>
      <c r="B5184" t="s">
        <v>103</v>
      </c>
      <c r="C5184" t="s">
        <v>257</v>
      </c>
      <c r="D5184" t="s">
        <v>354</v>
      </c>
      <c r="E5184" t="s">
        <v>334</v>
      </c>
      <c r="F5184" t="s">
        <v>1991</v>
      </c>
      <c r="G5184" t="s">
        <v>4138</v>
      </c>
      <c r="H5184" t="s">
        <v>6577</v>
      </c>
      <c r="I5184" t="s">
        <v>8171</v>
      </c>
      <c r="J5184" t="s">
        <v>9065</v>
      </c>
      <c r="K5184">
        <v>10468</v>
      </c>
      <c r="L5184" t="s">
        <v>9094</v>
      </c>
      <c r="M5184" t="s">
        <v>9094</v>
      </c>
      <c r="N5184" t="s">
        <v>9219</v>
      </c>
      <c r="O5184" t="s">
        <v>11130</v>
      </c>
      <c r="P5184" t="s">
        <v>11165</v>
      </c>
      <c r="Q5184" t="s">
        <v>11174</v>
      </c>
      <c r="R5184" t="s">
        <v>11180</v>
      </c>
      <c r="S5184" t="s">
        <v>9094</v>
      </c>
      <c r="T5184" t="s">
        <v>11183</v>
      </c>
      <c r="V5184" t="s">
        <v>11218</v>
      </c>
      <c r="W5184">
        <v>782.76</v>
      </c>
      <c r="X5184" t="s">
        <v>11333</v>
      </c>
      <c r="Y5184" t="s">
        <v>11346</v>
      </c>
      <c r="Z5184" t="s">
        <v>14609</v>
      </c>
      <c r="AB5184" t="s">
        <v>18981</v>
      </c>
      <c r="AC5184">
        <v>20</v>
      </c>
      <c r="AD5184" t="s">
        <v>19566</v>
      </c>
      <c r="AE5184" t="s">
        <v>9144</v>
      </c>
      <c r="AF5184">
        <v>30</v>
      </c>
      <c r="AG5184">
        <v>2</v>
      </c>
      <c r="AH5184">
        <v>0</v>
      </c>
      <c r="AI5184">
        <v>226</v>
      </c>
      <c r="AL5184" t="s">
        <v>19614</v>
      </c>
      <c r="AM5184">
        <v>37200</v>
      </c>
      <c r="AS5184">
        <v>0.3</v>
      </c>
      <c r="AT5184" t="s">
        <v>334</v>
      </c>
      <c r="AU5184" t="s">
        <v>20647</v>
      </c>
      <c r="AV5184" t="s">
        <v>20733</v>
      </c>
    </row>
    <row r="5185" spans="1:48">
      <c r="A5185" s="1">
        <f>HYPERLINK("https://lsnyc.legalserver.org/matter/dynamic-profile/view/1891141","19-1891141")</f>
        <v>0</v>
      </c>
      <c r="B5185" t="s">
        <v>215</v>
      </c>
      <c r="C5185" t="s">
        <v>256</v>
      </c>
      <c r="D5185" t="s">
        <v>1099</v>
      </c>
      <c r="F5185" t="s">
        <v>3026</v>
      </c>
      <c r="G5185" t="s">
        <v>4681</v>
      </c>
      <c r="H5185" t="s">
        <v>6835</v>
      </c>
      <c r="I5185" t="s">
        <v>8823</v>
      </c>
      <c r="J5185" t="s">
        <v>9059</v>
      </c>
      <c r="K5185">
        <v>11226</v>
      </c>
      <c r="L5185" t="s">
        <v>9094</v>
      </c>
      <c r="M5185" t="s">
        <v>9094</v>
      </c>
      <c r="P5185" t="s">
        <v>11167</v>
      </c>
      <c r="R5185" t="s">
        <v>11180</v>
      </c>
      <c r="T5185" t="s">
        <v>11183</v>
      </c>
      <c r="V5185" t="s">
        <v>536</v>
      </c>
      <c r="W5185">
        <v>968</v>
      </c>
      <c r="X5185" t="s">
        <v>11332</v>
      </c>
      <c r="Z5185" t="s">
        <v>14665</v>
      </c>
      <c r="AB5185" t="s">
        <v>18982</v>
      </c>
      <c r="AC5185">
        <v>0</v>
      </c>
      <c r="AF5185">
        <v>31</v>
      </c>
      <c r="AG5185">
        <v>3</v>
      </c>
      <c r="AH5185">
        <v>0</v>
      </c>
      <c r="AI5185">
        <v>226.43</v>
      </c>
      <c r="AM5185">
        <v>48298</v>
      </c>
      <c r="AS5185">
        <v>0.2</v>
      </c>
      <c r="AT5185" t="s">
        <v>559</v>
      </c>
      <c r="AU5185" t="s">
        <v>215</v>
      </c>
    </row>
    <row r="5186" spans="1:48">
      <c r="A5186" s="1">
        <f>HYPERLINK("https://lsnyc.legalserver.org/matter/dynamic-profile/view/1911559","19-1911559")</f>
        <v>0</v>
      </c>
      <c r="B5186" t="s">
        <v>141</v>
      </c>
      <c r="C5186" t="s">
        <v>256</v>
      </c>
      <c r="D5186" t="s">
        <v>362</v>
      </c>
      <c r="F5186" t="s">
        <v>1928</v>
      </c>
      <c r="G5186" t="s">
        <v>3545</v>
      </c>
      <c r="H5186" t="s">
        <v>5999</v>
      </c>
      <c r="I5186" t="s">
        <v>8302</v>
      </c>
      <c r="J5186" t="s">
        <v>9067</v>
      </c>
      <c r="K5186">
        <v>10040</v>
      </c>
      <c r="L5186" t="s">
        <v>9094</v>
      </c>
      <c r="M5186" t="s">
        <v>9095</v>
      </c>
      <c r="O5186" t="s">
        <v>11132</v>
      </c>
      <c r="P5186" t="s">
        <v>11165</v>
      </c>
      <c r="R5186" t="s">
        <v>11180</v>
      </c>
      <c r="S5186" t="s">
        <v>9094</v>
      </c>
      <c r="T5186" t="s">
        <v>11183</v>
      </c>
      <c r="V5186" t="s">
        <v>362</v>
      </c>
      <c r="W5186">
        <v>1231.45</v>
      </c>
      <c r="X5186" t="s">
        <v>11335</v>
      </c>
      <c r="Y5186" t="s">
        <v>11340</v>
      </c>
      <c r="Z5186" t="s">
        <v>13432</v>
      </c>
      <c r="AB5186" t="s">
        <v>17768</v>
      </c>
      <c r="AC5186">
        <v>44</v>
      </c>
      <c r="AD5186" t="s">
        <v>19566</v>
      </c>
      <c r="AE5186" t="s">
        <v>9144</v>
      </c>
      <c r="AF5186">
        <v>13</v>
      </c>
      <c r="AG5186">
        <v>2</v>
      </c>
      <c r="AH5186">
        <v>0</v>
      </c>
      <c r="AI5186">
        <v>226.64</v>
      </c>
      <c r="AL5186" t="s">
        <v>19615</v>
      </c>
      <c r="AM5186">
        <v>38324</v>
      </c>
      <c r="AS5186">
        <v>0.1</v>
      </c>
      <c r="AT5186" t="s">
        <v>292</v>
      </c>
      <c r="AU5186" t="s">
        <v>130</v>
      </c>
      <c r="AV5186" t="s">
        <v>20733</v>
      </c>
    </row>
    <row r="5187" spans="1:48">
      <c r="A5187" s="1">
        <f>HYPERLINK("https://lsnyc.legalserver.org/matter/dynamic-profile/view/1911604","19-1911604")</f>
        <v>0</v>
      </c>
      <c r="B5187" t="s">
        <v>141</v>
      </c>
      <c r="C5187" t="s">
        <v>256</v>
      </c>
      <c r="D5187" t="s">
        <v>728</v>
      </c>
      <c r="F5187" t="s">
        <v>1928</v>
      </c>
      <c r="G5187" t="s">
        <v>3545</v>
      </c>
      <c r="H5187" t="s">
        <v>5999</v>
      </c>
      <c r="I5187" t="s">
        <v>8302</v>
      </c>
      <c r="J5187" t="s">
        <v>9067</v>
      </c>
      <c r="K5187">
        <v>10040</v>
      </c>
      <c r="L5187" t="s">
        <v>9094</v>
      </c>
      <c r="M5187" t="s">
        <v>9095</v>
      </c>
      <c r="O5187" t="s">
        <v>11134</v>
      </c>
      <c r="P5187" t="s">
        <v>11165</v>
      </c>
      <c r="R5187" t="s">
        <v>11180</v>
      </c>
      <c r="S5187" t="s">
        <v>9094</v>
      </c>
      <c r="T5187" t="s">
        <v>11183</v>
      </c>
      <c r="V5187" t="s">
        <v>728</v>
      </c>
      <c r="W5187">
        <v>1231.45</v>
      </c>
      <c r="X5187" t="s">
        <v>11335</v>
      </c>
      <c r="Y5187" t="s">
        <v>11340</v>
      </c>
      <c r="Z5187" t="s">
        <v>13432</v>
      </c>
      <c r="AB5187" t="s">
        <v>17768</v>
      </c>
      <c r="AC5187">
        <v>44</v>
      </c>
      <c r="AD5187" t="s">
        <v>19566</v>
      </c>
      <c r="AE5187" t="s">
        <v>9144</v>
      </c>
      <c r="AF5187">
        <v>13</v>
      </c>
      <c r="AG5187">
        <v>2</v>
      </c>
      <c r="AH5187">
        <v>0</v>
      </c>
      <c r="AI5187">
        <v>226.64</v>
      </c>
      <c r="AL5187" t="s">
        <v>19615</v>
      </c>
      <c r="AM5187">
        <v>38324</v>
      </c>
      <c r="AS5187">
        <v>0</v>
      </c>
      <c r="AU5187" t="s">
        <v>130</v>
      </c>
      <c r="AV5187" t="s">
        <v>20733</v>
      </c>
    </row>
    <row r="5188" spans="1:48">
      <c r="A5188" s="1">
        <f>HYPERLINK("https://lsnyc.legalserver.org/matter/dynamic-profile/view/1898991","19-1898991")</f>
        <v>0</v>
      </c>
      <c r="B5188" t="s">
        <v>140</v>
      </c>
      <c r="C5188" t="s">
        <v>256</v>
      </c>
      <c r="D5188" t="s">
        <v>310</v>
      </c>
      <c r="F5188" t="s">
        <v>1928</v>
      </c>
      <c r="G5188" t="s">
        <v>3545</v>
      </c>
      <c r="H5188" t="s">
        <v>5999</v>
      </c>
      <c r="I5188" t="s">
        <v>8302</v>
      </c>
      <c r="J5188" t="s">
        <v>9067</v>
      </c>
      <c r="K5188">
        <v>10040</v>
      </c>
      <c r="L5188" t="s">
        <v>9094</v>
      </c>
      <c r="M5188" t="s">
        <v>9095</v>
      </c>
      <c r="O5188" t="s">
        <v>11129</v>
      </c>
      <c r="P5188" t="s">
        <v>11165</v>
      </c>
      <c r="R5188" t="s">
        <v>11180</v>
      </c>
      <c r="S5188" t="s">
        <v>9094</v>
      </c>
      <c r="T5188" t="s">
        <v>11183</v>
      </c>
      <c r="V5188" t="s">
        <v>310</v>
      </c>
      <c r="W5188">
        <v>1231.45</v>
      </c>
      <c r="X5188" t="s">
        <v>11335</v>
      </c>
      <c r="Y5188" t="s">
        <v>11340</v>
      </c>
      <c r="Z5188" t="s">
        <v>13432</v>
      </c>
      <c r="AB5188" t="s">
        <v>17768</v>
      </c>
      <c r="AC5188">
        <v>44</v>
      </c>
      <c r="AD5188" t="s">
        <v>19566</v>
      </c>
      <c r="AE5188" t="s">
        <v>9144</v>
      </c>
      <c r="AF5188">
        <v>13</v>
      </c>
      <c r="AG5188">
        <v>2</v>
      </c>
      <c r="AH5188">
        <v>0</v>
      </c>
      <c r="AI5188">
        <v>226.64</v>
      </c>
      <c r="AJ5188" t="s">
        <v>265</v>
      </c>
      <c r="AK5188" t="s">
        <v>19612</v>
      </c>
      <c r="AL5188" t="s">
        <v>19615</v>
      </c>
      <c r="AM5188">
        <v>38324</v>
      </c>
      <c r="AS5188">
        <v>25.7</v>
      </c>
      <c r="AT5188" t="s">
        <v>632</v>
      </c>
      <c r="AU5188" t="s">
        <v>130</v>
      </c>
      <c r="AV5188" t="s">
        <v>20733</v>
      </c>
    </row>
    <row r="5189" spans="1:48">
      <c r="A5189" s="1">
        <f>HYPERLINK("https://lsnyc.legalserver.org/matter/dynamic-profile/view/0806867","16-0806867")</f>
        <v>0</v>
      </c>
      <c r="B5189" t="s">
        <v>141</v>
      </c>
      <c r="C5189" t="s">
        <v>256</v>
      </c>
      <c r="D5189" t="s">
        <v>590</v>
      </c>
      <c r="F5189" t="s">
        <v>1187</v>
      </c>
      <c r="G5189" t="s">
        <v>5311</v>
      </c>
      <c r="H5189" t="s">
        <v>6382</v>
      </c>
      <c r="I5189" t="s">
        <v>8212</v>
      </c>
      <c r="J5189" t="s">
        <v>9067</v>
      </c>
      <c r="K5189">
        <v>10034</v>
      </c>
      <c r="L5189" t="s">
        <v>9096</v>
      </c>
      <c r="M5189" t="s">
        <v>9095</v>
      </c>
      <c r="N5189" t="s">
        <v>10936</v>
      </c>
      <c r="O5189" t="s">
        <v>11130</v>
      </c>
      <c r="P5189" t="s">
        <v>11165</v>
      </c>
      <c r="R5189" t="s">
        <v>11180</v>
      </c>
      <c r="S5189" t="s">
        <v>9094</v>
      </c>
      <c r="T5189" t="s">
        <v>11183</v>
      </c>
      <c r="V5189" t="s">
        <v>11234</v>
      </c>
      <c r="W5189">
        <v>921.61</v>
      </c>
      <c r="X5189" t="s">
        <v>11335</v>
      </c>
      <c r="Y5189" t="s">
        <v>11346</v>
      </c>
      <c r="Z5189" t="s">
        <v>14666</v>
      </c>
      <c r="AB5189" t="s">
        <v>18983</v>
      </c>
      <c r="AC5189">
        <v>44</v>
      </c>
      <c r="AD5189" t="s">
        <v>19566</v>
      </c>
      <c r="AE5189" t="s">
        <v>9144</v>
      </c>
      <c r="AF5189">
        <v>19</v>
      </c>
      <c r="AG5189">
        <v>2</v>
      </c>
      <c r="AH5189">
        <v>1</v>
      </c>
      <c r="AI5189">
        <v>226.88</v>
      </c>
      <c r="AL5189" t="s">
        <v>19614</v>
      </c>
      <c r="AM5189">
        <v>45738</v>
      </c>
      <c r="AS5189">
        <v>50.44</v>
      </c>
      <c r="AT5189" t="s">
        <v>491</v>
      </c>
      <c r="AU5189" t="s">
        <v>20657</v>
      </c>
    </row>
    <row r="5190" spans="1:48">
      <c r="A5190" s="1">
        <f>HYPERLINK("https://lsnyc.legalserver.org/matter/dynamic-profile/view/1887275","19-1887275")</f>
        <v>0</v>
      </c>
      <c r="B5190" t="s">
        <v>113</v>
      </c>
      <c r="C5190" t="s">
        <v>257</v>
      </c>
      <c r="D5190" t="s">
        <v>344</v>
      </c>
      <c r="E5190" t="s">
        <v>326</v>
      </c>
      <c r="F5190" t="s">
        <v>1407</v>
      </c>
      <c r="G5190" t="s">
        <v>3220</v>
      </c>
      <c r="H5190" t="s">
        <v>5892</v>
      </c>
      <c r="I5190" t="s">
        <v>8134</v>
      </c>
      <c r="J5190" t="s">
        <v>9065</v>
      </c>
      <c r="K5190">
        <v>10453</v>
      </c>
      <c r="L5190" t="s">
        <v>9094</v>
      </c>
      <c r="M5190" t="s">
        <v>9095</v>
      </c>
      <c r="O5190" t="s">
        <v>9121</v>
      </c>
      <c r="P5190" t="s">
        <v>11166</v>
      </c>
      <c r="Q5190" t="s">
        <v>11173</v>
      </c>
      <c r="R5190" t="s">
        <v>11180</v>
      </c>
      <c r="S5190" t="s">
        <v>9094</v>
      </c>
      <c r="T5190" t="s">
        <v>11183</v>
      </c>
      <c r="V5190" t="s">
        <v>441</v>
      </c>
      <c r="W5190">
        <v>718.12</v>
      </c>
      <c r="X5190" t="s">
        <v>11333</v>
      </c>
      <c r="Y5190" t="s">
        <v>11346</v>
      </c>
      <c r="Z5190" t="s">
        <v>13156</v>
      </c>
      <c r="AB5190" t="s">
        <v>18910</v>
      </c>
      <c r="AC5190">
        <v>99</v>
      </c>
      <c r="AD5190" t="s">
        <v>19566</v>
      </c>
      <c r="AE5190" t="s">
        <v>19580</v>
      </c>
      <c r="AF5190">
        <v>9</v>
      </c>
      <c r="AG5190">
        <v>1</v>
      </c>
      <c r="AH5190">
        <v>0</v>
      </c>
      <c r="AI5190">
        <v>227.02</v>
      </c>
      <c r="AL5190" t="s">
        <v>19615</v>
      </c>
      <c r="AM5190">
        <v>27560</v>
      </c>
      <c r="AN5190" t="s">
        <v>20092</v>
      </c>
      <c r="AS5190">
        <v>0.5</v>
      </c>
      <c r="AT5190" t="s">
        <v>326</v>
      </c>
      <c r="AU5190" t="s">
        <v>20647</v>
      </c>
      <c r="AV5190" t="s">
        <v>20733</v>
      </c>
    </row>
    <row r="5191" spans="1:48">
      <c r="A5191" s="1">
        <f>HYPERLINK("https://lsnyc.legalserver.org/matter/dynamic-profile/view/0799515","16-0799515")</f>
        <v>0</v>
      </c>
      <c r="B5191" t="s">
        <v>89</v>
      </c>
      <c r="C5191" t="s">
        <v>256</v>
      </c>
      <c r="D5191" t="s">
        <v>915</v>
      </c>
      <c r="F5191" t="s">
        <v>3027</v>
      </c>
      <c r="G5191" t="s">
        <v>4061</v>
      </c>
      <c r="H5191" t="s">
        <v>6898</v>
      </c>
      <c r="I5191" t="s">
        <v>8273</v>
      </c>
      <c r="J5191" t="s">
        <v>9059</v>
      </c>
      <c r="K5191">
        <v>11233</v>
      </c>
      <c r="L5191" t="s">
        <v>9094</v>
      </c>
      <c r="M5191" t="s">
        <v>9095</v>
      </c>
      <c r="O5191" t="s">
        <v>11159</v>
      </c>
      <c r="P5191" t="s">
        <v>11165</v>
      </c>
      <c r="R5191" t="s">
        <v>11180</v>
      </c>
      <c r="T5191" t="s">
        <v>11183</v>
      </c>
      <c r="V5191" t="s">
        <v>364</v>
      </c>
      <c r="W5191">
        <v>950</v>
      </c>
      <c r="X5191" t="s">
        <v>11332</v>
      </c>
      <c r="Y5191" t="s">
        <v>11340</v>
      </c>
      <c r="Z5191" t="s">
        <v>14667</v>
      </c>
      <c r="AB5191" t="s">
        <v>18984</v>
      </c>
      <c r="AC5191">
        <v>8</v>
      </c>
      <c r="AD5191" t="s">
        <v>19566</v>
      </c>
      <c r="AF5191">
        <v>6</v>
      </c>
      <c r="AG5191">
        <v>1</v>
      </c>
      <c r="AH5191">
        <v>1</v>
      </c>
      <c r="AI5191">
        <v>227.22</v>
      </c>
      <c r="AJ5191" t="s">
        <v>11246</v>
      </c>
      <c r="AL5191" t="s">
        <v>19614</v>
      </c>
      <c r="AM5191">
        <v>36400</v>
      </c>
      <c r="AS5191">
        <v>65.09999999999999</v>
      </c>
      <c r="AT5191" t="s">
        <v>703</v>
      </c>
      <c r="AU5191" t="s">
        <v>76</v>
      </c>
    </row>
    <row r="5192" spans="1:48">
      <c r="A5192" s="1">
        <f>HYPERLINK("https://lsnyc.legalserver.org/matter/dynamic-profile/view/0821575","16-0821575")</f>
        <v>0</v>
      </c>
      <c r="B5192" t="s">
        <v>103</v>
      </c>
      <c r="C5192" t="s">
        <v>256</v>
      </c>
      <c r="D5192" t="s">
        <v>758</v>
      </c>
      <c r="F5192" t="s">
        <v>1781</v>
      </c>
      <c r="G5192" t="s">
        <v>5312</v>
      </c>
      <c r="H5192" t="s">
        <v>5899</v>
      </c>
      <c r="I5192" t="s">
        <v>8507</v>
      </c>
      <c r="J5192" t="s">
        <v>9065</v>
      </c>
      <c r="K5192">
        <v>10452</v>
      </c>
      <c r="L5192" t="s">
        <v>9094</v>
      </c>
      <c r="M5192" t="s">
        <v>9095</v>
      </c>
      <c r="O5192" t="s">
        <v>11135</v>
      </c>
      <c r="P5192" t="s">
        <v>11168</v>
      </c>
      <c r="R5192" t="s">
        <v>11180</v>
      </c>
      <c r="S5192" t="s">
        <v>9094</v>
      </c>
      <c r="T5192" t="s">
        <v>11183</v>
      </c>
      <c r="V5192" t="s">
        <v>758</v>
      </c>
      <c r="W5192">
        <v>839.1</v>
      </c>
      <c r="X5192" t="s">
        <v>11333</v>
      </c>
      <c r="Y5192" t="s">
        <v>11346</v>
      </c>
      <c r="Z5192" t="s">
        <v>14668</v>
      </c>
      <c r="AB5192" t="s">
        <v>18985</v>
      </c>
      <c r="AC5192">
        <v>63</v>
      </c>
      <c r="AD5192" t="s">
        <v>19566</v>
      </c>
      <c r="AE5192" t="s">
        <v>9144</v>
      </c>
      <c r="AF5192">
        <v>28</v>
      </c>
      <c r="AG5192">
        <v>2</v>
      </c>
      <c r="AH5192">
        <v>0</v>
      </c>
      <c r="AI5192">
        <v>227.22</v>
      </c>
      <c r="AL5192" t="s">
        <v>19614</v>
      </c>
      <c r="AM5192">
        <v>36400</v>
      </c>
      <c r="AS5192">
        <v>0</v>
      </c>
      <c r="AU5192" t="s">
        <v>20643</v>
      </c>
    </row>
    <row r="5193" spans="1:48">
      <c r="A5193" s="1">
        <f>HYPERLINK("https://lsnyc.legalserver.org/matter/dynamic-profile/view/0821577","16-0821577")</f>
        <v>0</v>
      </c>
      <c r="B5193" t="s">
        <v>103</v>
      </c>
      <c r="C5193" t="s">
        <v>256</v>
      </c>
      <c r="D5193" t="s">
        <v>519</v>
      </c>
      <c r="F5193" t="s">
        <v>1781</v>
      </c>
      <c r="G5193" t="s">
        <v>5312</v>
      </c>
      <c r="H5193" t="s">
        <v>5899</v>
      </c>
      <c r="I5193" t="s">
        <v>8507</v>
      </c>
      <c r="J5193" t="s">
        <v>9065</v>
      </c>
      <c r="K5193">
        <v>10452</v>
      </c>
      <c r="L5193" t="s">
        <v>9094</v>
      </c>
      <c r="M5193" t="s">
        <v>9095</v>
      </c>
      <c r="O5193" t="s">
        <v>11135</v>
      </c>
      <c r="P5193" t="s">
        <v>11168</v>
      </c>
      <c r="R5193" t="s">
        <v>11180</v>
      </c>
      <c r="S5193" t="s">
        <v>9094</v>
      </c>
      <c r="T5193" t="s">
        <v>11183</v>
      </c>
      <c r="V5193" t="s">
        <v>519</v>
      </c>
      <c r="W5193">
        <v>839.1</v>
      </c>
      <c r="X5193" t="s">
        <v>11333</v>
      </c>
      <c r="Y5193" t="s">
        <v>11346</v>
      </c>
      <c r="Z5193" t="s">
        <v>14668</v>
      </c>
      <c r="AB5193" t="s">
        <v>18985</v>
      </c>
      <c r="AC5193">
        <v>63</v>
      </c>
      <c r="AD5193" t="s">
        <v>19566</v>
      </c>
      <c r="AE5193" t="s">
        <v>9144</v>
      </c>
      <c r="AF5193">
        <v>28</v>
      </c>
      <c r="AG5193">
        <v>2</v>
      </c>
      <c r="AH5193">
        <v>0</v>
      </c>
      <c r="AI5193">
        <v>227.22</v>
      </c>
      <c r="AL5193" t="s">
        <v>19614</v>
      </c>
      <c r="AM5193">
        <v>62400</v>
      </c>
      <c r="AS5193">
        <v>0</v>
      </c>
      <c r="AU5193" t="s">
        <v>20643</v>
      </c>
    </row>
    <row r="5194" spans="1:48">
      <c r="A5194" s="1">
        <f>HYPERLINK("https://lsnyc.legalserver.org/matter/dynamic-profile/view/1899803","19-1899803")</f>
        <v>0</v>
      </c>
      <c r="B5194" t="s">
        <v>74</v>
      </c>
      <c r="C5194" t="s">
        <v>256</v>
      </c>
      <c r="D5194" t="s">
        <v>411</v>
      </c>
      <c r="F5194" t="s">
        <v>3028</v>
      </c>
      <c r="G5194" t="s">
        <v>3872</v>
      </c>
      <c r="H5194" t="s">
        <v>7912</v>
      </c>
      <c r="I5194" t="s">
        <v>8218</v>
      </c>
      <c r="J5194" t="s">
        <v>9059</v>
      </c>
      <c r="K5194">
        <v>11212</v>
      </c>
      <c r="L5194" t="s">
        <v>9094</v>
      </c>
      <c r="M5194" t="s">
        <v>9095</v>
      </c>
      <c r="N5194" t="s">
        <v>10937</v>
      </c>
      <c r="O5194" t="s">
        <v>11128</v>
      </c>
      <c r="P5194" t="s">
        <v>11165</v>
      </c>
      <c r="R5194" t="s">
        <v>11180</v>
      </c>
      <c r="S5194" t="s">
        <v>9096</v>
      </c>
      <c r="T5194" t="s">
        <v>11183</v>
      </c>
      <c r="U5194" t="s">
        <v>11201</v>
      </c>
      <c r="V5194" t="s">
        <v>706</v>
      </c>
      <c r="W5194">
        <v>2200</v>
      </c>
      <c r="X5194" t="s">
        <v>11332</v>
      </c>
      <c r="Z5194" t="s">
        <v>14669</v>
      </c>
      <c r="AB5194" t="s">
        <v>18986</v>
      </c>
      <c r="AC5194">
        <v>5</v>
      </c>
      <c r="AD5194" t="s">
        <v>19565</v>
      </c>
      <c r="AE5194" t="s">
        <v>9144</v>
      </c>
      <c r="AF5194">
        <v>1</v>
      </c>
      <c r="AG5194">
        <v>3</v>
      </c>
      <c r="AH5194">
        <v>1</v>
      </c>
      <c r="AI5194">
        <v>227.55</v>
      </c>
      <c r="AJ5194" t="s">
        <v>472</v>
      </c>
      <c r="AK5194" t="s">
        <v>19612</v>
      </c>
      <c r="AL5194" t="s">
        <v>19614</v>
      </c>
      <c r="AM5194">
        <v>58595</v>
      </c>
      <c r="AS5194">
        <v>42</v>
      </c>
      <c r="AT5194" t="s">
        <v>290</v>
      </c>
      <c r="AU5194" t="s">
        <v>20632</v>
      </c>
      <c r="AV5194" t="s">
        <v>20733</v>
      </c>
    </row>
    <row r="5195" spans="1:48">
      <c r="A5195" s="1">
        <f>HYPERLINK("https://lsnyc.legalserver.org/matter/dynamic-profile/view/1910450","19-1910450")</f>
        <v>0</v>
      </c>
      <c r="B5195" t="s">
        <v>69</v>
      </c>
      <c r="C5195" t="s">
        <v>256</v>
      </c>
      <c r="D5195" t="s">
        <v>341</v>
      </c>
      <c r="F5195" t="s">
        <v>3028</v>
      </c>
      <c r="G5195" t="s">
        <v>3872</v>
      </c>
      <c r="H5195" t="s">
        <v>7912</v>
      </c>
      <c r="I5195" t="s">
        <v>8218</v>
      </c>
      <c r="J5195" t="s">
        <v>9059</v>
      </c>
      <c r="K5195">
        <v>11212</v>
      </c>
      <c r="L5195" t="s">
        <v>9094</v>
      </c>
      <c r="M5195" t="s">
        <v>9095</v>
      </c>
      <c r="N5195" t="s">
        <v>10937</v>
      </c>
      <c r="O5195" t="s">
        <v>11146</v>
      </c>
      <c r="R5195" t="s">
        <v>11180</v>
      </c>
      <c r="S5195" t="s">
        <v>9096</v>
      </c>
      <c r="T5195" t="s">
        <v>11184</v>
      </c>
      <c r="W5195">
        <v>2200</v>
      </c>
      <c r="X5195" t="s">
        <v>11332</v>
      </c>
      <c r="Y5195" t="s">
        <v>11340</v>
      </c>
      <c r="Z5195" t="s">
        <v>14669</v>
      </c>
      <c r="AA5195" t="s">
        <v>15334</v>
      </c>
      <c r="AB5195" t="s">
        <v>18986</v>
      </c>
      <c r="AC5195">
        <v>5</v>
      </c>
      <c r="AD5195" t="s">
        <v>19565</v>
      </c>
      <c r="AE5195" t="s">
        <v>9144</v>
      </c>
      <c r="AF5195">
        <v>1</v>
      </c>
      <c r="AG5195">
        <v>3</v>
      </c>
      <c r="AH5195">
        <v>1</v>
      </c>
      <c r="AI5195">
        <v>227.55</v>
      </c>
      <c r="AL5195" t="s">
        <v>19614</v>
      </c>
      <c r="AM5195">
        <v>58595</v>
      </c>
      <c r="AN5195" t="s">
        <v>20093</v>
      </c>
      <c r="AS5195">
        <v>5</v>
      </c>
      <c r="AT5195" t="s">
        <v>484</v>
      </c>
      <c r="AU5195" t="s">
        <v>95</v>
      </c>
      <c r="AV5195" t="s">
        <v>20733</v>
      </c>
    </row>
    <row r="5196" spans="1:48">
      <c r="A5196" s="1">
        <f>HYPERLINK("https://lsnyc.legalserver.org/matter/dynamic-profile/view/1905677","19-1905677")</f>
        <v>0</v>
      </c>
      <c r="B5196" t="s">
        <v>71</v>
      </c>
      <c r="C5196" t="s">
        <v>256</v>
      </c>
      <c r="D5196" t="s">
        <v>328</v>
      </c>
      <c r="F5196" t="s">
        <v>3029</v>
      </c>
      <c r="G5196" t="s">
        <v>3338</v>
      </c>
      <c r="H5196" t="s">
        <v>7913</v>
      </c>
      <c r="I5196" t="s">
        <v>8218</v>
      </c>
      <c r="J5196" t="s">
        <v>9059</v>
      </c>
      <c r="K5196">
        <v>11212</v>
      </c>
      <c r="L5196" t="s">
        <v>9094</v>
      </c>
      <c r="M5196" t="s">
        <v>9095</v>
      </c>
      <c r="N5196" t="s">
        <v>10938</v>
      </c>
      <c r="O5196" t="s">
        <v>11128</v>
      </c>
      <c r="P5196" t="s">
        <v>11164</v>
      </c>
      <c r="R5196" t="s">
        <v>11180</v>
      </c>
      <c r="S5196" t="s">
        <v>9096</v>
      </c>
      <c r="T5196" t="s">
        <v>11183</v>
      </c>
      <c r="U5196" t="s">
        <v>11201</v>
      </c>
      <c r="V5196" t="s">
        <v>563</v>
      </c>
      <c r="W5196">
        <v>1100</v>
      </c>
      <c r="X5196" t="s">
        <v>11332</v>
      </c>
      <c r="Y5196" t="s">
        <v>11342</v>
      </c>
      <c r="Z5196" t="s">
        <v>14670</v>
      </c>
      <c r="AA5196" t="s">
        <v>9171</v>
      </c>
      <c r="AB5196" t="s">
        <v>18987</v>
      </c>
      <c r="AC5196">
        <v>4</v>
      </c>
      <c r="AD5196" t="s">
        <v>19565</v>
      </c>
      <c r="AE5196" t="s">
        <v>9144</v>
      </c>
      <c r="AF5196">
        <v>13</v>
      </c>
      <c r="AG5196">
        <v>2</v>
      </c>
      <c r="AH5196">
        <v>1</v>
      </c>
      <c r="AI5196">
        <v>227.61</v>
      </c>
      <c r="AL5196" t="s">
        <v>19614</v>
      </c>
      <c r="AM5196">
        <v>48550</v>
      </c>
      <c r="AN5196" t="s">
        <v>20094</v>
      </c>
      <c r="AS5196">
        <v>2.75</v>
      </c>
      <c r="AT5196" t="s">
        <v>563</v>
      </c>
      <c r="AU5196" t="s">
        <v>20672</v>
      </c>
      <c r="AV5196" t="s">
        <v>20733</v>
      </c>
    </row>
    <row r="5197" spans="1:48">
      <c r="A5197" s="1">
        <f>HYPERLINK("https://lsnyc.legalserver.org/matter/dynamic-profile/view/1851882","17-1851882")</f>
        <v>0</v>
      </c>
      <c r="B5197" t="s">
        <v>113</v>
      </c>
      <c r="C5197" t="s">
        <v>257</v>
      </c>
      <c r="D5197" t="s">
        <v>761</v>
      </c>
      <c r="E5197" t="s">
        <v>333</v>
      </c>
      <c r="F5197" t="s">
        <v>2434</v>
      </c>
      <c r="G5197" t="s">
        <v>5313</v>
      </c>
      <c r="H5197" t="s">
        <v>6721</v>
      </c>
      <c r="I5197" t="s">
        <v>8209</v>
      </c>
      <c r="J5197" t="s">
        <v>9065</v>
      </c>
      <c r="K5197">
        <v>10453</v>
      </c>
      <c r="L5197" t="s">
        <v>9094</v>
      </c>
      <c r="M5197" t="s">
        <v>9095</v>
      </c>
      <c r="N5197" t="s">
        <v>9898</v>
      </c>
      <c r="O5197" t="s">
        <v>11130</v>
      </c>
      <c r="P5197" t="s">
        <v>11165</v>
      </c>
      <c r="Q5197" t="s">
        <v>11174</v>
      </c>
      <c r="R5197" t="s">
        <v>11180</v>
      </c>
      <c r="S5197" t="s">
        <v>9094</v>
      </c>
      <c r="T5197" t="s">
        <v>11183</v>
      </c>
      <c r="V5197" t="s">
        <v>11223</v>
      </c>
      <c r="W5197">
        <v>591</v>
      </c>
      <c r="X5197" t="s">
        <v>11333</v>
      </c>
      <c r="Y5197" t="s">
        <v>11346</v>
      </c>
      <c r="Z5197" t="s">
        <v>14671</v>
      </c>
      <c r="AB5197" t="s">
        <v>18988</v>
      </c>
      <c r="AC5197">
        <v>43</v>
      </c>
      <c r="AD5197" t="s">
        <v>19566</v>
      </c>
      <c r="AE5197" t="s">
        <v>11157</v>
      </c>
      <c r="AF5197">
        <v>33</v>
      </c>
      <c r="AG5197">
        <v>2</v>
      </c>
      <c r="AH5197">
        <v>0</v>
      </c>
      <c r="AI5197">
        <v>227.72</v>
      </c>
      <c r="AL5197" t="s">
        <v>19614</v>
      </c>
      <c r="AM5197">
        <v>36981.6</v>
      </c>
      <c r="AS5197">
        <v>45.75</v>
      </c>
      <c r="AT5197" t="s">
        <v>433</v>
      </c>
      <c r="AU5197" t="s">
        <v>99</v>
      </c>
      <c r="AV5197" t="s">
        <v>20733</v>
      </c>
    </row>
    <row r="5198" spans="1:48">
      <c r="A5198" s="1">
        <f>HYPERLINK("https://lsnyc.legalserver.org/matter/dynamic-profile/view/1902040","19-1902040")</f>
        <v>0</v>
      </c>
      <c r="B5198" t="s">
        <v>139</v>
      </c>
      <c r="C5198" t="s">
        <v>257</v>
      </c>
      <c r="D5198" t="s">
        <v>319</v>
      </c>
      <c r="E5198" t="s">
        <v>703</v>
      </c>
      <c r="F5198" t="s">
        <v>1146</v>
      </c>
      <c r="G5198" t="s">
        <v>4691</v>
      </c>
      <c r="H5198" t="s">
        <v>7227</v>
      </c>
      <c r="I5198" t="s">
        <v>8229</v>
      </c>
      <c r="J5198" t="s">
        <v>9067</v>
      </c>
      <c r="K5198">
        <v>10034</v>
      </c>
      <c r="L5198" t="s">
        <v>9094</v>
      </c>
      <c r="M5198" t="s">
        <v>9095</v>
      </c>
      <c r="O5198" t="s">
        <v>11129</v>
      </c>
      <c r="P5198" t="s">
        <v>11165</v>
      </c>
      <c r="Q5198" t="s">
        <v>11174</v>
      </c>
      <c r="R5198" t="s">
        <v>11180</v>
      </c>
      <c r="S5198" t="s">
        <v>9096</v>
      </c>
      <c r="T5198" t="s">
        <v>11183</v>
      </c>
      <c r="V5198" t="s">
        <v>319</v>
      </c>
      <c r="W5198">
        <v>2084</v>
      </c>
      <c r="X5198" t="s">
        <v>11335</v>
      </c>
      <c r="Y5198" t="s">
        <v>11338</v>
      </c>
      <c r="Z5198" t="s">
        <v>14672</v>
      </c>
      <c r="AB5198" t="s">
        <v>18989</v>
      </c>
      <c r="AC5198">
        <v>126</v>
      </c>
      <c r="AD5198" t="s">
        <v>19566</v>
      </c>
      <c r="AE5198" t="s">
        <v>19580</v>
      </c>
      <c r="AF5198">
        <v>38</v>
      </c>
      <c r="AG5198">
        <v>2</v>
      </c>
      <c r="AH5198">
        <v>1</v>
      </c>
      <c r="AI5198">
        <v>227.85</v>
      </c>
      <c r="AL5198" t="s">
        <v>19615</v>
      </c>
      <c r="AM5198">
        <v>48600</v>
      </c>
      <c r="AS5198">
        <v>8.85</v>
      </c>
      <c r="AT5198" t="s">
        <v>497</v>
      </c>
      <c r="AU5198" t="s">
        <v>130</v>
      </c>
      <c r="AV5198" t="s">
        <v>20733</v>
      </c>
    </row>
    <row r="5199" spans="1:48">
      <c r="A5199" s="1">
        <f>HYPERLINK("https://lsnyc.legalserver.org/matter/dynamic-profile/view/1896914","19-1896914")</f>
        <v>0</v>
      </c>
      <c r="B5199" t="s">
        <v>240</v>
      </c>
      <c r="C5199" t="s">
        <v>256</v>
      </c>
      <c r="D5199" t="s">
        <v>777</v>
      </c>
      <c r="F5199" t="s">
        <v>2932</v>
      </c>
      <c r="G5199" t="s">
        <v>1404</v>
      </c>
      <c r="H5199" t="s">
        <v>7806</v>
      </c>
      <c r="I5199" t="s">
        <v>8197</v>
      </c>
      <c r="J5199" t="s">
        <v>9067</v>
      </c>
      <c r="K5199">
        <v>10029</v>
      </c>
      <c r="L5199" t="s">
        <v>9094</v>
      </c>
      <c r="M5199" t="s">
        <v>9094</v>
      </c>
      <c r="O5199" t="s">
        <v>11131</v>
      </c>
      <c r="P5199" t="s">
        <v>11166</v>
      </c>
      <c r="R5199" t="s">
        <v>11180</v>
      </c>
      <c r="S5199" t="s">
        <v>9096</v>
      </c>
      <c r="T5199" t="s">
        <v>11191</v>
      </c>
      <c r="U5199" t="s">
        <v>11201</v>
      </c>
      <c r="V5199" t="s">
        <v>777</v>
      </c>
      <c r="W5199">
        <v>650</v>
      </c>
      <c r="X5199" t="s">
        <v>11335</v>
      </c>
      <c r="Y5199" t="s">
        <v>11347</v>
      </c>
      <c r="Z5199" t="s">
        <v>14477</v>
      </c>
      <c r="AB5199" t="s">
        <v>18990</v>
      </c>
      <c r="AC5199">
        <v>33</v>
      </c>
      <c r="AD5199" t="s">
        <v>19570</v>
      </c>
      <c r="AE5199" t="s">
        <v>9144</v>
      </c>
      <c r="AF5199">
        <v>31</v>
      </c>
      <c r="AG5199">
        <v>1</v>
      </c>
      <c r="AH5199">
        <v>0</v>
      </c>
      <c r="AI5199">
        <v>228.15</v>
      </c>
      <c r="AL5199" t="s">
        <v>19614</v>
      </c>
      <c r="AM5199">
        <v>28496</v>
      </c>
      <c r="AS5199">
        <v>6</v>
      </c>
      <c r="AT5199" t="s">
        <v>785</v>
      </c>
      <c r="AU5199" t="s">
        <v>20657</v>
      </c>
      <c r="AV5199" t="s">
        <v>20733</v>
      </c>
    </row>
    <row r="5200" spans="1:48">
      <c r="A5200" s="1">
        <f>HYPERLINK("https://lsnyc.legalserver.org/matter/dynamic-profile/view/1907240","19-1907240")</f>
        <v>0</v>
      </c>
      <c r="B5200" t="s">
        <v>93</v>
      </c>
      <c r="C5200" t="s">
        <v>256</v>
      </c>
      <c r="D5200" t="s">
        <v>415</v>
      </c>
      <c r="F5200" t="s">
        <v>3030</v>
      </c>
      <c r="G5200" t="s">
        <v>4038</v>
      </c>
      <c r="H5200" t="s">
        <v>7914</v>
      </c>
      <c r="I5200" t="s">
        <v>8926</v>
      </c>
      <c r="J5200" t="s">
        <v>9059</v>
      </c>
      <c r="K5200">
        <v>11233</v>
      </c>
      <c r="L5200" t="s">
        <v>9094</v>
      </c>
      <c r="M5200" t="s">
        <v>9095</v>
      </c>
      <c r="N5200" t="s">
        <v>10939</v>
      </c>
      <c r="O5200" t="s">
        <v>11128</v>
      </c>
      <c r="P5200" t="s">
        <v>11167</v>
      </c>
      <c r="R5200" t="s">
        <v>11180</v>
      </c>
      <c r="S5200" t="s">
        <v>9096</v>
      </c>
      <c r="T5200" t="s">
        <v>11183</v>
      </c>
      <c r="U5200" t="s">
        <v>11201</v>
      </c>
      <c r="V5200" t="s">
        <v>259</v>
      </c>
      <c r="W5200">
        <v>1660</v>
      </c>
      <c r="X5200" t="s">
        <v>11332</v>
      </c>
      <c r="Y5200" t="s">
        <v>11348</v>
      </c>
      <c r="Z5200" t="s">
        <v>14673</v>
      </c>
      <c r="AB5200" t="s">
        <v>18991</v>
      </c>
      <c r="AC5200">
        <v>3</v>
      </c>
      <c r="AD5200" t="s">
        <v>19565</v>
      </c>
      <c r="AE5200" t="s">
        <v>19580</v>
      </c>
      <c r="AF5200">
        <v>9</v>
      </c>
      <c r="AG5200">
        <v>2</v>
      </c>
      <c r="AH5200">
        <v>2</v>
      </c>
      <c r="AI5200">
        <v>228.19</v>
      </c>
      <c r="AL5200" t="s">
        <v>19614</v>
      </c>
      <c r="AM5200">
        <v>58760</v>
      </c>
      <c r="AS5200">
        <v>2</v>
      </c>
      <c r="AT5200" t="s">
        <v>259</v>
      </c>
      <c r="AU5200" t="s">
        <v>20631</v>
      </c>
      <c r="AV5200" t="s">
        <v>20733</v>
      </c>
    </row>
    <row r="5201" spans="1:48">
      <c r="A5201" s="1">
        <f>HYPERLINK("https://lsnyc.legalserver.org/matter/dynamic-profile/view/1836796","17-1836796")</f>
        <v>0</v>
      </c>
      <c r="B5201" t="s">
        <v>88</v>
      </c>
      <c r="C5201" t="s">
        <v>257</v>
      </c>
      <c r="D5201" t="s">
        <v>740</v>
      </c>
      <c r="E5201" t="s">
        <v>648</v>
      </c>
      <c r="F5201" t="s">
        <v>1193</v>
      </c>
      <c r="G5201" t="s">
        <v>4417</v>
      </c>
      <c r="H5201" t="s">
        <v>7915</v>
      </c>
      <c r="I5201" t="s">
        <v>8142</v>
      </c>
      <c r="J5201" t="s">
        <v>9059</v>
      </c>
      <c r="K5201">
        <v>11233</v>
      </c>
      <c r="L5201" t="s">
        <v>9094</v>
      </c>
      <c r="M5201" t="s">
        <v>9095</v>
      </c>
      <c r="O5201" t="s">
        <v>11163</v>
      </c>
      <c r="P5201" t="s">
        <v>11165</v>
      </c>
      <c r="Q5201" t="s">
        <v>11175</v>
      </c>
      <c r="R5201" t="s">
        <v>11180</v>
      </c>
      <c r="T5201" t="s">
        <v>11183</v>
      </c>
      <c r="V5201" t="s">
        <v>11231</v>
      </c>
      <c r="W5201">
        <v>0</v>
      </c>
      <c r="X5201" t="s">
        <v>11332</v>
      </c>
      <c r="Z5201" t="s">
        <v>13979</v>
      </c>
      <c r="AB5201" t="s">
        <v>18992</v>
      </c>
      <c r="AC5201">
        <v>8</v>
      </c>
      <c r="AF5201">
        <v>0</v>
      </c>
      <c r="AG5201">
        <v>1</v>
      </c>
      <c r="AH5201">
        <v>0</v>
      </c>
      <c r="AI5201">
        <v>228.52</v>
      </c>
      <c r="AJ5201" t="s">
        <v>11246</v>
      </c>
      <c r="AL5201" t="s">
        <v>19614</v>
      </c>
      <c r="AM5201">
        <v>27560.04</v>
      </c>
      <c r="AO5201" t="s">
        <v>20306</v>
      </c>
      <c r="AP5201" t="s">
        <v>20335</v>
      </c>
      <c r="AR5201" t="s">
        <v>20507</v>
      </c>
      <c r="AS5201">
        <v>71.5</v>
      </c>
      <c r="AT5201" t="s">
        <v>648</v>
      </c>
      <c r="AU5201" t="s">
        <v>88</v>
      </c>
    </row>
    <row r="5202" spans="1:48">
      <c r="A5202" s="1">
        <f>HYPERLINK("https://lsnyc.legalserver.org/matter/dynamic-profile/view/1833741","17-1833741")</f>
        <v>0</v>
      </c>
      <c r="B5202" t="s">
        <v>123</v>
      </c>
      <c r="C5202" t="s">
        <v>256</v>
      </c>
      <c r="D5202" t="s">
        <v>982</v>
      </c>
      <c r="F5202" t="s">
        <v>2936</v>
      </c>
      <c r="G5202" t="s">
        <v>4065</v>
      </c>
      <c r="H5202" t="s">
        <v>7916</v>
      </c>
      <c r="J5202" t="s">
        <v>9066</v>
      </c>
      <c r="K5202">
        <v>10303</v>
      </c>
      <c r="L5202" t="s">
        <v>9095</v>
      </c>
      <c r="M5202" t="s">
        <v>9095</v>
      </c>
      <c r="N5202" t="s">
        <v>10940</v>
      </c>
      <c r="O5202" t="s">
        <v>11132</v>
      </c>
      <c r="P5202" t="s">
        <v>11165</v>
      </c>
      <c r="R5202" t="s">
        <v>11181</v>
      </c>
      <c r="S5202" t="s">
        <v>9094</v>
      </c>
      <c r="T5202" t="s">
        <v>11197</v>
      </c>
      <c r="V5202" t="s">
        <v>982</v>
      </c>
      <c r="W5202">
        <v>0</v>
      </c>
      <c r="X5202" t="s">
        <v>11334</v>
      </c>
      <c r="Y5202" t="s">
        <v>11337</v>
      </c>
      <c r="Z5202" t="s">
        <v>12692</v>
      </c>
      <c r="AB5202" t="s">
        <v>18993</v>
      </c>
      <c r="AC5202">
        <v>3</v>
      </c>
      <c r="AD5202" t="s">
        <v>19565</v>
      </c>
      <c r="AF5202">
        <v>18</v>
      </c>
      <c r="AG5202">
        <v>2</v>
      </c>
      <c r="AH5202">
        <v>2</v>
      </c>
      <c r="AI5202">
        <v>228.78</v>
      </c>
      <c r="AJ5202" t="s">
        <v>19591</v>
      </c>
      <c r="AK5202" t="s">
        <v>19608</v>
      </c>
      <c r="AL5202" t="s">
        <v>19614</v>
      </c>
      <c r="AM5202">
        <v>56280</v>
      </c>
      <c r="AS5202">
        <v>151.56</v>
      </c>
      <c r="AT5202" t="s">
        <v>663</v>
      </c>
      <c r="AU5202" t="s">
        <v>20652</v>
      </c>
    </row>
    <row r="5203" spans="1:48">
      <c r="A5203" s="1">
        <f>HYPERLINK("https://lsnyc.legalserver.org/matter/dynamic-profile/view/1855010","18-1855010")</f>
        <v>0</v>
      </c>
      <c r="B5203" t="s">
        <v>78</v>
      </c>
      <c r="C5203" t="s">
        <v>256</v>
      </c>
      <c r="D5203" t="s">
        <v>792</v>
      </c>
      <c r="F5203" t="s">
        <v>1550</v>
      </c>
      <c r="G5203" t="s">
        <v>5091</v>
      </c>
      <c r="H5203" t="s">
        <v>6277</v>
      </c>
      <c r="I5203" t="s">
        <v>8847</v>
      </c>
      <c r="J5203" t="s">
        <v>9059</v>
      </c>
      <c r="K5203">
        <v>11206</v>
      </c>
      <c r="L5203" t="s">
        <v>9094</v>
      </c>
      <c r="M5203" t="s">
        <v>9095</v>
      </c>
      <c r="O5203" t="s">
        <v>11130</v>
      </c>
      <c r="P5203" t="s">
        <v>11165</v>
      </c>
      <c r="R5203" t="s">
        <v>11180</v>
      </c>
      <c r="T5203" t="s">
        <v>11183</v>
      </c>
      <c r="V5203" t="s">
        <v>673</v>
      </c>
      <c r="W5203">
        <v>572.7</v>
      </c>
      <c r="X5203" t="s">
        <v>11332</v>
      </c>
      <c r="Y5203" t="s">
        <v>11346</v>
      </c>
      <c r="Z5203" t="s">
        <v>14244</v>
      </c>
      <c r="AB5203" t="s">
        <v>18568</v>
      </c>
      <c r="AC5203">
        <v>11</v>
      </c>
      <c r="AD5203" t="s">
        <v>19566</v>
      </c>
      <c r="AE5203" t="s">
        <v>9144</v>
      </c>
      <c r="AF5203">
        <v>26</v>
      </c>
      <c r="AG5203">
        <v>1</v>
      </c>
      <c r="AH5203">
        <v>0</v>
      </c>
      <c r="AI5203">
        <v>228.86</v>
      </c>
      <c r="AL5203" t="s">
        <v>19614</v>
      </c>
      <c r="AM5203">
        <v>27600</v>
      </c>
      <c r="AS5203">
        <v>0.5</v>
      </c>
      <c r="AT5203" t="s">
        <v>518</v>
      </c>
      <c r="AU5203" t="s">
        <v>95</v>
      </c>
    </row>
    <row r="5204" spans="1:48">
      <c r="A5204" s="1">
        <f>HYPERLINK("https://lsnyc.legalserver.org/matter/dynamic-profile/view/1845394","17-1845394")</f>
        <v>0</v>
      </c>
      <c r="B5204" t="s">
        <v>111</v>
      </c>
      <c r="C5204" t="s">
        <v>256</v>
      </c>
      <c r="D5204" t="s">
        <v>548</v>
      </c>
      <c r="F5204" t="s">
        <v>2376</v>
      </c>
      <c r="G5204" t="s">
        <v>5314</v>
      </c>
      <c r="H5204" t="s">
        <v>7917</v>
      </c>
      <c r="I5204" t="s">
        <v>8134</v>
      </c>
      <c r="J5204" t="s">
        <v>9065</v>
      </c>
      <c r="K5204">
        <v>10453</v>
      </c>
      <c r="L5204" t="s">
        <v>9094</v>
      </c>
      <c r="M5204" t="s">
        <v>9095</v>
      </c>
      <c r="O5204" t="s">
        <v>9121</v>
      </c>
      <c r="P5204" t="s">
        <v>11167</v>
      </c>
      <c r="R5204" t="s">
        <v>11180</v>
      </c>
      <c r="S5204" t="s">
        <v>9094</v>
      </c>
      <c r="T5204" t="s">
        <v>11183</v>
      </c>
      <c r="V5204" t="s">
        <v>468</v>
      </c>
      <c r="W5204">
        <v>478.96</v>
      </c>
      <c r="X5204" t="s">
        <v>11333</v>
      </c>
      <c r="Y5204" t="s">
        <v>11346</v>
      </c>
      <c r="Z5204" t="s">
        <v>14674</v>
      </c>
      <c r="AB5204" t="s">
        <v>18994</v>
      </c>
      <c r="AC5204">
        <v>57</v>
      </c>
      <c r="AD5204" t="s">
        <v>15441</v>
      </c>
      <c r="AE5204" t="s">
        <v>9144</v>
      </c>
      <c r="AF5204">
        <v>31</v>
      </c>
      <c r="AG5204">
        <v>1</v>
      </c>
      <c r="AH5204">
        <v>0</v>
      </c>
      <c r="AI5204">
        <v>229.04</v>
      </c>
      <c r="AJ5204" t="s">
        <v>11246</v>
      </c>
      <c r="AL5204" t="s">
        <v>19615</v>
      </c>
      <c r="AM5204">
        <v>27622</v>
      </c>
      <c r="AS5204">
        <v>1.5</v>
      </c>
      <c r="AT5204" t="s">
        <v>898</v>
      </c>
      <c r="AU5204" t="s">
        <v>20647</v>
      </c>
    </row>
    <row r="5205" spans="1:48">
      <c r="A5205" s="1">
        <f>HYPERLINK("https://lsnyc.legalserver.org/matter/dynamic-profile/view/1905764","19-1905764")</f>
        <v>0</v>
      </c>
      <c r="B5205" t="s">
        <v>78</v>
      </c>
      <c r="C5205" t="s">
        <v>256</v>
      </c>
      <c r="D5205" t="s">
        <v>328</v>
      </c>
      <c r="F5205" t="s">
        <v>2087</v>
      </c>
      <c r="G5205" t="s">
        <v>3411</v>
      </c>
      <c r="H5205" t="s">
        <v>7918</v>
      </c>
      <c r="I5205" t="s">
        <v>8151</v>
      </c>
      <c r="J5205" t="s">
        <v>9059</v>
      </c>
      <c r="K5205">
        <v>11221</v>
      </c>
      <c r="L5205" t="s">
        <v>9094</v>
      </c>
      <c r="M5205" t="s">
        <v>9095</v>
      </c>
      <c r="N5205" t="s">
        <v>9121</v>
      </c>
      <c r="O5205" t="s">
        <v>9121</v>
      </c>
      <c r="P5205" t="s">
        <v>11167</v>
      </c>
      <c r="R5205" t="s">
        <v>11180</v>
      </c>
      <c r="S5205" t="s">
        <v>9094</v>
      </c>
      <c r="T5205" t="s">
        <v>11183</v>
      </c>
      <c r="U5205" t="s">
        <v>11201</v>
      </c>
      <c r="V5205" t="s">
        <v>512</v>
      </c>
      <c r="W5205">
        <v>757</v>
      </c>
      <c r="X5205" t="s">
        <v>11332</v>
      </c>
      <c r="Y5205" t="s">
        <v>11157</v>
      </c>
      <c r="Z5205" t="s">
        <v>12434</v>
      </c>
      <c r="AA5205" t="s">
        <v>9144</v>
      </c>
      <c r="AB5205" t="s">
        <v>18995</v>
      </c>
      <c r="AC5205">
        <v>16</v>
      </c>
      <c r="AD5205" t="s">
        <v>19566</v>
      </c>
      <c r="AE5205" t="s">
        <v>9144</v>
      </c>
      <c r="AF5205">
        <v>27</v>
      </c>
      <c r="AG5205">
        <v>3</v>
      </c>
      <c r="AH5205">
        <v>2</v>
      </c>
      <c r="AI5205">
        <v>229.11</v>
      </c>
      <c r="AL5205" t="s">
        <v>19614</v>
      </c>
      <c r="AM5205">
        <v>69122</v>
      </c>
      <c r="AN5205" t="s">
        <v>20095</v>
      </c>
      <c r="AS5205">
        <v>0</v>
      </c>
      <c r="AU5205" t="s">
        <v>79</v>
      </c>
      <c r="AV5205" t="s">
        <v>20733</v>
      </c>
    </row>
    <row r="5206" spans="1:48">
      <c r="A5206" s="1">
        <f>HYPERLINK("https://lsnyc.legalserver.org/matter/dynamic-profile/view/1903935","19-1903935")</f>
        <v>0</v>
      </c>
      <c r="B5206" t="s">
        <v>91</v>
      </c>
      <c r="C5206" t="s">
        <v>256</v>
      </c>
      <c r="D5206" t="s">
        <v>597</v>
      </c>
      <c r="F5206" t="s">
        <v>2087</v>
      </c>
      <c r="G5206" t="s">
        <v>3411</v>
      </c>
      <c r="H5206" t="s">
        <v>7918</v>
      </c>
      <c r="I5206" t="s">
        <v>8151</v>
      </c>
      <c r="J5206" t="s">
        <v>9059</v>
      </c>
      <c r="K5206">
        <v>11221</v>
      </c>
      <c r="L5206" t="s">
        <v>9094</v>
      </c>
      <c r="M5206" t="s">
        <v>9095</v>
      </c>
      <c r="N5206" t="s">
        <v>9144</v>
      </c>
      <c r="O5206" t="s">
        <v>11137</v>
      </c>
      <c r="P5206" t="s">
        <v>11167</v>
      </c>
      <c r="R5206" t="s">
        <v>11180</v>
      </c>
      <c r="S5206" t="s">
        <v>9094</v>
      </c>
      <c r="T5206" t="s">
        <v>11186</v>
      </c>
      <c r="U5206" t="s">
        <v>11201</v>
      </c>
      <c r="V5206" t="s">
        <v>635</v>
      </c>
      <c r="W5206">
        <v>757</v>
      </c>
      <c r="X5206" t="s">
        <v>11332</v>
      </c>
      <c r="Y5206" t="s">
        <v>11157</v>
      </c>
      <c r="Z5206" t="s">
        <v>12434</v>
      </c>
      <c r="AB5206" t="s">
        <v>18995</v>
      </c>
      <c r="AC5206">
        <v>16</v>
      </c>
      <c r="AD5206" t="s">
        <v>19566</v>
      </c>
      <c r="AF5206">
        <v>27</v>
      </c>
      <c r="AG5206">
        <v>3</v>
      </c>
      <c r="AH5206">
        <v>2</v>
      </c>
      <c r="AI5206">
        <v>229.11</v>
      </c>
      <c r="AL5206" t="s">
        <v>19614</v>
      </c>
      <c r="AM5206">
        <v>69122</v>
      </c>
      <c r="AN5206" t="s">
        <v>20096</v>
      </c>
      <c r="AS5206">
        <v>2</v>
      </c>
      <c r="AT5206" t="s">
        <v>472</v>
      </c>
      <c r="AU5206" t="s">
        <v>79</v>
      </c>
      <c r="AV5206" t="s">
        <v>20733</v>
      </c>
    </row>
    <row r="5207" spans="1:48">
      <c r="A5207" s="1">
        <f>HYPERLINK("https://lsnyc.legalserver.org/matter/dynamic-profile/view/1903926","19-1903926")</f>
        <v>0</v>
      </c>
      <c r="B5207" t="s">
        <v>91</v>
      </c>
      <c r="C5207" t="s">
        <v>256</v>
      </c>
      <c r="D5207" t="s">
        <v>597</v>
      </c>
      <c r="F5207" t="s">
        <v>2087</v>
      </c>
      <c r="G5207" t="s">
        <v>3411</v>
      </c>
      <c r="H5207" t="s">
        <v>7918</v>
      </c>
      <c r="I5207" t="s">
        <v>8151</v>
      </c>
      <c r="J5207" t="s">
        <v>9059</v>
      </c>
      <c r="K5207">
        <v>11221</v>
      </c>
      <c r="L5207" t="s">
        <v>9094</v>
      </c>
      <c r="M5207" t="s">
        <v>9095</v>
      </c>
      <c r="N5207" t="s">
        <v>9144</v>
      </c>
      <c r="O5207" t="s">
        <v>11141</v>
      </c>
      <c r="P5207" t="s">
        <v>11170</v>
      </c>
      <c r="R5207" t="s">
        <v>11180</v>
      </c>
      <c r="S5207" t="s">
        <v>9094</v>
      </c>
      <c r="T5207" t="s">
        <v>11185</v>
      </c>
      <c r="U5207" t="s">
        <v>11201</v>
      </c>
      <c r="V5207" t="s">
        <v>11315</v>
      </c>
      <c r="W5207">
        <v>757</v>
      </c>
      <c r="X5207" t="s">
        <v>11332</v>
      </c>
      <c r="Y5207" t="s">
        <v>11157</v>
      </c>
      <c r="Z5207" t="s">
        <v>12434</v>
      </c>
      <c r="AB5207" t="s">
        <v>18995</v>
      </c>
      <c r="AC5207">
        <v>16</v>
      </c>
      <c r="AD5207" t="s">
        <v>19566</v>
      </c>
      <c r="AF5207">
        <v>27</v>
      </c>
      <c r="AG5207">
        <v>3</v>
      </c>
      <c r="AH5207">
        <v>2</v>
      </c>
      <c r="AI5207">
        <v>229.11</v>
      </c>
      <c r="AL5207" t="s">
        <v>19614</v>
      </c>
      <c r="AM5207">
        <v>69122</v>
      </c>
      <c r="AS5207">
        <v>26</v>
      </c>
      <c r="AT5207" t="s">
        <v>521</v>
      </c>
      <c r="AU5207" t="s">
        <v>79</v>
      </c>
      <c r="AV5207" t="s">
        <v>20733</v>
      </c>
    </row>
    <row r="5208" spans="1:48">
      <c r="A5208" s="1">
        <f>HYPERLINK("https://lsnyc.legalserver.org/matter/dynamic-profile/view/1909123","19-1909123")</f>
        <v>0</v>
      </c>
      <c r="B5208" t="s">
        <v>142</v>
      </c>
      <c r="C5208" t="s">
        <v>256</v>
      </c>
      <c r="D5208" t="s">
        <v>472</v>
      </c>
      <c r="F5208" t="s">
        <v>3031</v>
      </c>
      <c r="G5208" t="s">
        <v>5315</v>
      </c>
      <c r="H5208" t="s">
        <v>6326</v>
      </c>
      <c r="I5208" t="s">
        <v>8212</v>
      </c>
      <c r="J5208" t="s">
        <v>9067</v>
      </c>
      <c r="K5208">
        <v>10035</v>
      </c>
      <c r="L5208" t="s">
        <v>9094</v>
      </c>
      <c r="M5208" t="s">
        <v>9095</v>
      </c>
      <c r="O5208" t="s">
        <v>9121</v>
      </c>
      <c r="P5208" t="s">
        <v>11167</v>
      </c>
      <c r="R5208" t="s">
        <v>11180</v>
      </c>
      <c r="S5208" t="s">
        <v>9094</v>
      </c>
      <c r="T5208" t="s">
        <v>11183</v>
      </c>
      <c r="U5208" t="s">
        <v>11205</v>
      </c>
      <c r="V5208" t="s">
        <v>676</v>
      </c>
      <c r="W5208">
        <v>1893</v>
      </c>
      <c r="X5208" t="s">
        <v>11335</v>
      </c>
      <c r="Y5208" t="s">
        <v>11350</v>
      </c>
      <c r="Z5208" t="s">
        <v>14675</v>
      </c>
      <c r="AB5208" t="s">
        <v>18996</v>
      </c>
      <c r="AC5208">
        <v>72</v>
      </c>
      <c r="AD5208" t="s">
        <v>19566</v>
      </c>
      <c r="AE5208" t="s">
        <v>19580</v>
      </c>
      <c r="AF5208">
        <v>33</v>
      </c>
      <c r="AG5208">
        <v>3</v>
      </c>
      <c r="AH5208">
        <v>1</v>
      </c>
      <c r="AI5208">
        <v>229.13</v>
      </c>
      <c r="AL5208" t="s">
        <v>19614</v>
      </c>
      <c r="AM5208">
        <v>59000</v>
      </c>
      <c r="AS5208">
        <v>11.5</v>
      </c>
      <c r="AT5208" t="s">
        <v>484</v>
      </c>
      <c r="AU5208" t="s">
        <v>20657</v>
      </c>
      <c r="AV5208" t="s">
        <v>20733</v>
      </c>
    </row>
    <row r="5209" spans="1:48">
      <c r="A5209" s="1">
        <f>HYPERLINK("https://lsnyc.legalserver.org/matter/dynamic-profile/view/1903871","19-1903871")</f>
        <v>0</v>
      </c>
      <c r="B5209" t="s">
        <v>69</v>
      </c>
      <c r="C5209" t="s">
        <v>257</v>
      </c>
      <c r="D5209" t="s">
        <v>597</v>
      </c>
      <c r="E5209" t="s">
        <v>415</v>
      </c>
      <c r="F5209" t="s">
        <v>2373</v>
      </c>
      <c r="G5209" t="s">
        <v>4061</v>
      </c>
      <c r="H5209" t="s">
        <v>7919</v>
      </c>
      <c r="I5209" t="s">
        <v>8927</v>
      </c>
      <c r="J5209" t="s">
        <v>9059</v>
      </c>
      <c r="K5209">
        <v>11212</v>
      </c>
      <c r="L5209" t="s">
        <v>9094</v>
      </c>
      <c r="M5209" t="s">
        <v>9095</v>
      </c>
      <c r="N5209" t="s">
        <v>9144</v>
      </c>
      <c r="O5209" t="s">
        <v>9121</v>
      </c>
      <c r="P5209" t="s">
        <v>11164</v>
      </c>
      <c r="Q5209" t="s">
        <v>11172</v>
      </c>
      <c r="R5209" t="s">
        <v>11180</v>
      </c>
      <c r="S5209" t="s">
        <v>9096</v>
      </c>
      <c r="T5209" t="s">
        <v>11183</v>
      </c>
      <c r="U5209" t="s">
        <v>11201</v>
      </c>
      <c r="V5209" t="s">
        <v>493</v>
      </c>
      <c r="W5209">
        <v>1600</v>
      </c>
      <c r="X5209" t="s">
        <v>11332</v>
      </c>
      <c r="Z5209" t="s">
        <v>14676</v>
      </c>
      <c r="AA5209" t="s">
        <v>9144</v>
      </c>
      <c r="AB5209" t="s">
        <v>18997</v>
      </c>
      <c r="AC5209">
        <v>6</v>
      </c>
      <c r="AD5209" t="s">
        <v>19566</v>
      </c>
      <c r="AE5209" t="s">
        <v>9144</v>
      </c>
      <c r="AF5209">
        <v>0</v>
      </c>
      <c r="AG5209">
        <v>1</v>
      </c>
      <c r="AH5209">
        <v>0</v>
      </c>
      <c r="AI5209">
        <v>229.43</v>
      </c>
      <c r="AL5209" t="s">
        <v>19614</v>
      </c>
      <c r="AM5209">
        <v>28656</v>
      </c>
      <c r="AS5209">
        <v>4.25</v>
      </c>
      <c r="AT5209" t="s">
        <v>372</v>
      </c>
      <c r="AU5209" t="s">
        <v>20635</v>
      </c>
      <c r="AV5209" t="s">
        <v>20733</v>
      </c>
    </row>
    <row r="5210" spans="1:48">
      <c r="A5210" s="1">
        <f>HYPERLINK("https://lsnyc.legalserver.org/matter/dynamic-profile/view/1900018","19-1900018")</f>
        <v>0</v>
      </c>
      <c r="B5210" t="s">
        <v>217</v>
      </c>
      <c r="C5210" t="s">
        <v>257</v>
      </c>
      <c r="D5210" t="s">
        <v>293</v>
      </c>
      <c r="E5210" t="s">
        <v>425</v>
      </c>
      <c r="F5210" t="s">
        <v>3032</v>
      </c>
      <c r="G5210" t="s">
        <v>5153</v>
      </c>
      <c r="H5210" t="s">
        <v>7920</v>
      </c>
      <c r="I5210" t="s">
        <v>8193</v>
      </c>
      <c r="J5210" t="s">
        <v>9067</v>
      </c>
      <c r="K5210">
        <v>10002</v>
      </c>
      <c r="L5210" t="s">
        <v>9094</v>
      </c>
      <c r="M5210" t="s">
        <v>9095</v>
      </c>
      <c r="N5210" t="s">
        <v>10941</v>
      </c>
      <c r="O5210" t="s">
        <v>11128</v>
      </c>
      <c r="P5210" t="s">
        <v>11165</v>
      </c>
      <c r="Q5210" t="s">
        <v>11174</v>
      </c>
      <c r="R5210" t="s">
        <v>11180</v>
      </c>
      <c r="S5210" t="s">
        <v>9096</v>
      </c>
      <c r="T5210" t="s">
        <v>11183</v>
      </c>
      <c r="U5210" t="s">
        <v>11201</v>
      </c>
      <c r="V5210" t="s">
        <v>293</v>
      </c>
      <c r="W5210">
        <v>927.62</v>
      </c>
      <c r="X5210" t="s">
        <v>11335</v>
      </c>
      <c r="Y5210" t="s">
        <v>11346</v>
      </c>
      <c r="Z5210" t="s">
        <v>14677</v>
      </c>
      <c r="AB5210" t="s">
        <v>18998</v>
      </c>
      <c r="AC5210">
        <v>0</v>
      </c>
      <c r="AD5210" t="s">
        <v>19566</v>
      </c>
      <c r="AE5210" t="s">
        <v>9144</v>
      </c>
      <c r="AF5210">
        <v>15</v>
      </c>
      <c r="AG5210">
        <v>2</v>
      </c>
      <c r="AH5210">
        <v>1</v>
      </c>
      <c r="AI5210">
        <v>229.72</v>
      </c>
      <c r="AL5210" t="s">
        <v>19622</v>
      </c>
      <c r="AM5210">
        <v>49000</v>
      </c>
      <c r="AO5210" t="s">
        <v>20292</v>
      </c>
      <c r="AP5210" t="s">
        <v>20309</v>
      </c>
      <c r="AQ5210" t="s">
        <v>20369</v>
      </c>
      <c r="AR5210" t="s">
        <v>20567</v>
      </c>
      <c r="AS5210">
        <v>47.75</v>
      </c>
      <c r="AT5210" t="s">
        <v>410</v>
      </c>
      <c r="AU5210" t="s">
        <v>20655</v>
      </c>
      <c r="AV5210" t="s">
        <v>20733</v>
      </c>
    </row>
    <row r="5211" spans="1:48">
      <c r="A5211" s="1">
        <f>HYPERLINK("https://lsnyc.legalserver.org/matter/dynamic-profile/view/1902651","19-1902651")</f>
        <v>0</v>
      </c>
      <c r="B5211" t="s">
        <v>141</v>
      </c>
      <c r="C5211" t="s">
        <v>256</v>
      </c>
      <c r="D5211" t="s">
        <v>327</v>
      </c>
      <c r="F5211" t="s">
        <v>1457</v>
      </c>
      <c r="G5211" t="s">
        <v>3536</v>
      </c>
      <c r="H5211" t="s">
        <v>7507</v>
      </c>
      <c r="I5211" t="s">
        <v>8170</v>
      </c>
      <c r="J5211" t="s">
        <v>9067</v>
      </c>
      <c r="K5211">
        <v>10040</v>
      </c>
      <c r="L5211" t="s">
        <v>9094</v>
      </c>
      <c r="M5211" t="s">
        <v>9095</v>
      </c>
      <c r="N5211" t="s">
        <v>10942</v>
      </c>
      <c r="O5211" t="s">
        <v>11129</v>
      </c>
      <c r="P5211" t="s">
        <v>11165</v>
      </c>
      <c r="R5211" t="s">
        <v>11180</v>
      </c>
      <c r="S5211" t="s">
        <v>9094</v>
      </c>
      <c r="T5211" t="s">
        <v>11183</v>
      </c>
      <c r="U5211" t="s">
        <v>11201</v>
      </c>
      <c r="V5211" t="s">
        <v>327</v>
      </c>
      <c r="W5211">
        <v>1353.32</v>
      </c>
      <c r="X5211" t="s">
        <v>11335</v>
      </c>
      <c r="Y5211" t="s">
        <v>11340</v>
      </c>
      <c r="Z5211" t="s">
        <v>13966</v>
      </c>
      <c r="AB5211" t="s">
        <v>18296</v>
      </c>
      <c r="AC5211">
        <v>45</v>
      </c>
      <c r="AD5211" t="s">
        <v>19566</v>
      </c>
      <c r="AE5211" t="s">
        <v>9144</v>
      </c>
      <c r="AF5211">
        <v>28</v>
      </c>
      <c r="AG5211">
        <v>4</v>
      </c>
      <c r="AH5211">
        <v>0</v>
      </c>
      <c r="AI5211">
        <v>229.9</v>
      </c>
      <c r="AK5211" t="s">
        <v>19613</v>
      </c>
      <c r="AL5211" t="s">
        <v>19615</v>
      </c>
      <c r="AM5211">
        <v>59200</v>
      </c>
      <c r="AS5211">
        <v>53.7</v>
      </c>
      <c r="AT5211" t="s">
        <v>632</v>
      </c>
      <c r="AU5211" t="s">
        <v>141</v>
      </c>
      <c r="AV5211" t="s">
        <v>20733</v>
      </c>
    </row>
    <row r="5212" spans="1:48">
      <c r="A5212" s="1">
        <f>HYPERLINK("https://lsnyc.legalserver.org/matter/dynamic-profile/view/1879248","18-1879248")</f>
        <v>0</v>
      </c>
      <c r="B5212" t="s">
        <v>76</v>
      </c>
      <c r="C5212" t="s">
        <v>256</v>
      </c>
      <c r="D5212" t="s">
        <v>572</v>
      </c>
      <c r="F5212" t="s">
        <v>3023</v>
      </c>
      <c r="G5212" t="s">
        <v>3398</v>
      </c>
      <c r="H5212" t="s">
        <v>7908</v>
      </c>
      <c r="I5212" t="s">
        <v>8212</v>
      </c>
      <c r="J5212" t="s">
        <v>9059</v>
      </c>
      <c r="K5212">
        <v>11213</v>
      </c>
      <c r="L5212" t="s">
        <v>9094</v>
      </c>
      <c r="M5212" t="s">
        <v>9094</v>
      </c>
      <c r="N5212" t="s">
        <v>9179</v>
      </c>
      <c r="O5212" t="s">
        <v>11130</v>
      </c>
      <c r="P5212" t="s">
        <v>11165</v>
      </c>
      <c r="R5212" t="s">
        <v>11180</v>
      </c>
      <c r="S5212" t="s">
        <v>9094</v>
      </c>
      <c r="T5212" t="s">
        <v>11183</v>
      </c>
      <c r="V5212" t="s">
        <v>304</v>
      </c>
      <c r="W5212">
        <v>652.36</v>
      </c>
      <c r="X5212" t="s">
        <v>11332</v>
      </c>
      <c r="Z5212" t="s">
        <v>12765</v>
      </c>
      <c r="AB5212" t="s">
        <v>18975</v>
      </c>
      <c r="AC5212">
        <v>6</v>
      </c>
      <c r="AD5212" t="s">
        <v>19566</v>
      </c>
      <c r="AE5212" t="s">
        <v>9144</v>
      </c>
      <c r="AF5212">
        <v>45</v>
      </c>
      <c r="AG5212">
        <v>2</v>
      </c>
      <c r="AH5212">
        <v>0</v>
      </c>
      <c r="AI5212">
        <v>230.46</v>
      </c>
      <c r="AL5212" t="s">
        <v>19614</v>
      </c>
      <c r="AM5212">
        <v>37934.16</v>
      </c>
      <c r="AS5212">
        <v>0.2</v>
      </c>
      <c r="AT5212" t="s">
        <v>426</v>
      </c>
      <c r="AU5212" t="s">
        <v>95</v>
      </c>
    </row>
    <row r="5213" spans="1:48">
      <c r="A5213" s="1">
        <f>HYPERLINK("https://lsnyc.legalserver.org/matter/dynamic-profile/view/1848461","17-1848461")</f>
        <v>0</v>
      </c>
      <c r="B5213" t="s">
        <v>139</v>
      </c>
      <c r="C5213" t="s">
        <v>257</v>
      </c>
      <c r="D5213" t="s">
        <v>1100</v>
      </c>
      <c r="E5213" t="s">
        <v>703</v>
      </c>
      <c r="F5213" t="s">
        <v>3033</v>
      </c>
      <c r="G5213" t="s">
        <v>4113</v>
      </c>
      <c r="H5213" t="s">
        <v>5948</v>
      </c>
      <c r="I5213" t="s">
        <v>8143</v>
      </c>
      <c r="J5213" t="s">
        <v>9067</v>
      </c>
      <c r="K5213">
        <v>10034</v>
      </c>
      <c r="L5213" t="s">
        <v>9094</v>
      </c>
      <c r="M5213" t="s">
        <v>9095</v>
      </c>
      <c r="O5213" t="s">
        <v>11130</v>
      </c>
      <c r="P5213" t="s">
        <v>11165</v>
      </c>
      <c r="Q5213" t="s">
        <v>11178</v>
      </c>
      <c r="R5213" t="s">
        <v>11180</v>
      </c>
      <c r="S5213" t="s">
        <v>9094</v>
      </c>
      <c r="T5213" t="s">
        <v>11183</v>
      </c>
      <c r="V5213" t="s">
        <v>1100</v>
      </c>
      <c r="W5213">
        <v>689.36</v>
      </c>
      <c r="X5213" t="s">
        <v>11335</v>
      </c>
      <c r="Y5213" t="s">
        <v>11338</v>
      </c>
      <c r="Z5213" t="s">
        <v>14678</v>
      </c>
      <c r="AB5213" t="s">
        <v>18999</v>
      </c>
      <c r="AC5213">
        <v>49</v>
      </c>
      <c r="AD5213" t="s">
        <v>19566</v>
      </c>
      <c r="AE5213" t="s">
        <v>9144</v>
      </c>
      <c r="AF5213">
        <v>12</v>
      </c>
      <c r="AG5213">
        <v>2</v>
      </c>
      <c r="AH5213">
        <v>0</v>
      </c>
      <c r="AI5213">
        <v>230.54</v>
      </c>
      <c r="AL5213" t="s">
        <v>19615</v>
      </c>
      <c r="AM5213">
        <v>37440</v>
      </c>
      <c r="AS5213">
        <v>0.35</v>
      </c>
      <c r="AT5213" t="s">
        <v>746</v>
      </c>
      <c r="AU5213" t="s">
        <v>130</v>
      </c>
    </row>
    <row r="5214" spans="1:48">
      <c r="A5214" s="1">
        <f>HYPERLINK("https://lsnyc.legalserver.org/matter/dynamic-profile/view/1914809","19-1914809")</f>
        <v>0</v>
      </c>
      <c r="B5214" t="s">
        <v>202</v>
      </c>
      <c r="C5214" t="s">
        <v>256</v>
      </c>
      <c r="D5214" t="s">
        <v>632</v>
      </c>
      <c r="F5214" t="s">
        <v>1939</v>
      </c>
      <c r="G5214" t="s">
        <v>1145</v>
      </c>
      <c r="H5214" t="s">
        <v>6621</v>
      </c>
      <c r="I5214">
        <v>25</v>
      </c>
      <c r="J5214" t="s">
        <v>9059</v>
      </c>
      <c r="K5214">
        <v>11213</v>
      </c>
      <c r="L5214" t="s">
        <v>9094</v>
      </c>
      <c r="M5214" t="s">
        <v>9095</v>
      </c>
      <c r="N5214" t="s">
        <v>10263</v>
      </c>
      <c r="O5214" t="s">
        <v>11132</v>
      </c>
      <c r="P5214" t="s">
        <v>11165</v>
      </c>
      <c r="R5214" t="s">
        <v>11180</v>
      </c>
      <c r="S5214" t="s">
        <v>9094</v>
      </c>
      <c r="T5214" t="s">
        <v>11183</v>
      </c>
      <c r="U5214" t="s">
        <v>11201</v>
      </c>
      <c r="V5214" t="s">
        <v>11243</v>
      </c>
      <c r="W5214">
        <v>1103.14</v>
      </c>
      <c r="X5214" t="s">
        <v>11332</v>
      </c>
      <c r="Y5214" t="s">
        <v>11339</v>
      </c>
      <c r="Z5214" t="s">
        <v>14679</v>
      </c>
      <c r="AA5214" t="s">
        <v>9171</v>
      </c>
      <c r="AB5214" t="s">
        <v>19000</v>
      </c>
      <c r="AC5214">
        <v>0</v>
      </c>
      <c r="AD5214" t="s">
        <v>19566</v>
      </c>
      <c r="AE5214" t="s">
        <v>9144</v>
      </c>
      <c r="AF5214">
        <v>26</v>
      </c>
      <c r="AG5214">
        <v>1</v>
      </c>
      <c r="AH5214">
        <v>0</v>
      </c>
      <c r="AI5214">
        <v>230.58</v>
      </c>
      <c r="AK5214" t="s">
        <v>19612</v>
      </c>
      <c r="AL5214" t="s">
        <v>19614</v>
      </c>
      <c r="AM5214">
        <v>28800</v>
      </c>
      <c r="AN5214" t="s">
        <v>20097</v>
      </c>
      <c r="AS5214">
        <v>0</v>
      </c>
      <c r="AU5214" t="s">
        <v>95</v>
      </c>
      <c r="AV5214" t="s">
        <v>20733</v>
      </c>
    </row>
    <row r="5215" spans="1:48">
      <c r="A5215" s="1">
        <f>HYPERLINK("https://lsnyc.legalserver.org/matter/dynamic-profile/view/1913900","19-1913900")</f>
        <v>0</v>
      </c>
      <c r="B5215" t="s">
        <v>202</v>
      </c>
      <c r="C5215" t="s">
        <v>256</v>
      </c>
      <c r="D5215" t="s">
        <v>301</v>
      </c>
      <c r="F5215" t="s">
        <v>1939</v>
      </c>
      <c r="G5215" t="s">
        <v>1145</v>
      </c>
      <c r="H5215" t="s">
        <v>6621</v>
      </c>
      <c r="I5215">
        <v>25</v>
      </c>
      <c r="J5215" t="s">
        <v>9059</v>
      </c>
      <c r="K5215">
        <v>11213</v>
      </c>
      <c r="L5215" t="s">
        <v>9094</v>
      </c>
      <c r="M5215" t="s">
        <v>9095</v>
      </c>
      <c r="N5215" t="s">
        <v>9121</v>
      </c>
      <c r="O5215" t="s">
        <v>9121</v>
      </c>
      <c r="P5215" t="s">
        <v>11167</v>
      </c>
      <c r="R5215" t="s">
        <v>11180</v>
      </c>
      <c r="S5215" t="s">
        <v>9094</v>
      </c>
      <c r="T5215" t="s">
        <v>11183</v>
      </c>
      <c r="U5215" t="s">
        <v>11201</v>
      </c>
      <c r="V5215" t="s">
        <v>301</v>
      </c>
      <c r="W5215">
        <v>1103.14</v>
      </c>
      <c r="X5215" t="s">
        <v>11332</v>
      </c>
      <c r="Y5215" t="s">
        <v>11339</v>
      </c>
      <c r="Z5215" t="s">
        <v>14679</v>
      </c>
      <c r="AB5215" t="s">
        <v>19000</v>
      </c>
      <c r="AC5215">
        <v>31</v>
      </c>
      <c r="AD5215" t="s">
        <v>19566</v>
      </c>
      <c r="AE5215" t="s">
        <v>9144</v>
      </c>
      <c r="AF5215">
        <v>26</v>
      </c>
      <c r="AG5215">
        <v>1</v>
      </c>
      <c r="AH5215">
        <v>0</v>
      </c>
      <c r="AI5215">
        <v>230.58</v>
      </c>
      <c r="AL5215" t="s">
        <v>19614</v>
      </c>
      <c r="AM5215">
        <v>28800</v>
      </c>
      <c r="AS5215">
        <v>1.5</v>
      </c>
      <c r="AT5215" t="s">
        <v>301</v>
      </c>
      <c r="AU5215" t="s">
        <v>202</v>
      </c>
      <c r="AV5215" t="s">
        <v>20733</v>
      </c>
    </row>
    <row r="5216" spans="1:48">
      <c r="A5216" s="1">
        <f>HYPERLINK("https://lsnyc.legalserver.org/matter/dynamic-profile/view/1905315","19-1905315")</f>
        <v>0</v>
      </c>
      <c r="B5216" t="s">
        <v>71</v>
      </c>
      <c r="C5216" t="s">
        <v>256</v>
      </c>
      <c r="D5216" t="s">
        <v>414</v>
      </c>
      <c r="F5216" t="s">
        <v>2209</v>
      </c>
      <c r="G5216" t="s">
        <v>5316</v>
      </c>
      <c r="H5216" t="s">
        <v>6491</v>
      </c>
      <c r="I5216" t="s">
        <v>8928</v>
      </c>
      <c r="J5216" t="s">
        <v>9059</v>
      </c>
      <c r="K5216">
        <v>11208</v>
      </c>
      <c r="L5216" t="s">
        <v>9094</v>
      </c>
      <c r="M5216" t="s">
        <v>9095</v>
      </c>
      <c r="N5216" t="s">
        <v>10943</v>
      </c>
      <c r="O5216" t="s">
        <v>11129</v>
      </c>
      <c r="P5216" t="s">
        <v>11167</v>
      </c>
      <c r="R5216" t="s">
        <v>11180</v>
      </c>
      <c r="S5216" t="s">
        <v>9096</v>
      </c>
      <c r="T5216" t="s">
        <v>11183</v>
      </c>
      <c r="U5216" t="s">
        <v>11199</v>
      </c>
      <c r="V5216" t="s">
        <v>414</v>
      </c>
      <c r="W5216">
        <v>1146</v>
      </c>
      <c r="X5216" t="s">
        <v>11332</v>
      </c>
      <c r="Y5216" t="s">
        <v>11347</v>
      </c>
      <c r="Z5216" t="s">
        <v>14680</v>
      </c>
      <c r="AB5216" t="s">
        <v>19001</v>
      </c>
      <c r="AC5216">
        <v>294</v>
      </c>
      <c r="AD5216" t="s">
        <v>19566</v>
      </c>
      <c r="AE5216" t="s">
        <v>19580</v>
      </c>
      <c r="AF5216">
        <v>4</v>
      </c>
      <c r="AG5216">
        <v>1</v>
      </c>
      <c r="AH5216">
        <v>0</v>
      </c>
      <c r="AI5216">
        <v>230.58</v>
      </c>
      <c r="AL5216" t="s">
        <v>19614</v>
      </c>
      <c r="AM5216">
        <v>28800</v>
      </c>
      <c r="AS5216">
        <v>3.6</v>
      </c>
      <c r="AT5216" t="s">
        <v>395</v>
      </c>
      <c r="AU5216" t="s">
        <v>20626</v>
      </c>
      <c r="AV5216" t="s">
        <v>20733</v>
      </c>
    </row>
    <row r="5217" spans="1:48">
      <c r="A5217" s="1">
        <f>HYPERLINK("https://lsnyc.legalserver.org/matter/dynamic-profile/view/1909792","19-1909792")</f>
        <v>0</v>
      </c>
      <c r="B5217" t="s">
        <v>113</v>
      </c>
      <c r="C5217" t="s">
        <v>257</v>
      </c>
      <c r="D5217" t="s">
        <v>425</v>
      </c>
      <c r="E5217" t="s">
        <v>594</v>
      </c>
      <c r="F5217" t="s">
        <v>2223</v>
      </c>
      <c r="G5217" t="s">
        <v>5317</v>
      </c>
      <c r="J5217" t="s">
        <v>9065</v>
      </c>
      <c r="K5217">
        <v>10456</v>
      </c>
      <c r="L5217" t="s">
        <v>9094</v>
      </c>
      <c r="M5217" t="s">
        <v>9095</v>
      </c>
      <c r="O5217" t="s">
        <v>9121</v>
      </c>
      <c r="P5217" t="s">
        <v>11164</v>
      </c>
      <c r="Q5217" t="s">
        <v>11172</v>
      </c>
      <c r="R5217" t="s">
        <v>11180</v>
      </c>
      <c r="T5217" t="s">
        <v>11183</v>
      </c>
      <c r="W5217">
        <v>900</v>
      </c>
      <c r="X5217" t="s">
        <v>11333</v>
      </c>
      <c r="Y5217" t="s">
        <v>11346</v>
      </c>
      <c r="Z5217" t="s">
        <v>14681</v>
      </c>
      <c r="AB5217" t="s">
        <v>19002</v>
      </c>
      <c r="AC5217">
        <v>30</v>
      </c>
      <c r="AD5217" t="s">
        <v>19566</v>
      </c>
      <c r="AF5217">
        <v>0</v>
      </c>
      <c r="AG5217">
        <v>1</v>
      </c>
      <c r="AH5217">
        <v>0</v>
      </c>
      <c r="AI5217">
        <v>230.58</v>
      </c>
      <c r="AM5217">
        <v>28800</v>
      </c>
      <c r="AS5217">
        <v>1</v>
      </c>
      <c r="AT5217" t="s">
        <v>594</v>
      </c>
      <c r="AU5217" t="s">
        <v>113</v>
      </c>
      <c r="AV5217" t="s">
        <v>20733</v>
      </c>
    </row>
    <row r="5218" spans="1:48">
      <c r="A5218" s="1">
        <f>HYPERLINK("https://lsnyc.legalserver.org/matter/dynamic-profile/view/1912618","19-1912618")</f>
        <v>0</v>
      </c>
      <c r="B5218" t="s">
        <v>228</v>
      </c>
      <c r="C5218" t="s">
        <v>257</v>
      </c>
      <c r="D5218" t="s">
        <v>290</v>
      </c>
      <c r="E5218" t="s">
        <v>286</v>
      </c>
      <c r="F5218" t="s">
        <v>1227</v>
      </c>
      <c r="G5218" t="s">
        <v>5240</v>
      </c>
      <c r="H5218" t="s">
        <v>7841</v>
      </c>
      <c r="J5218" t="s">
        <v>9065</v>
      </c>
      <c r="K5218">
        <v>10456</v>
      </c>
      <c r="L5218" t="s">
        <v>9094</v>
      </c>
      <c r="M5218" t="s">
        <v>9095</v>
      </c>
      <c r="N5218" t="s">
        <v>9171</v>
      </c>
      <c r="O5218" t="s">
        <v>9121</v>
      </c>
      <c r="P5218" t="s">
        <v>11164</v>
      </c>
      <c r="Q5218" t="s">
        <v>11172</v>
      </c>
      <c r="R5218" t="s">
        <v>11180</v>
      </c>
      <c r="S5218" t="s">
        <v>9096</v>
      </c>
      <c r="T5218" t="s">
        <v>11183</v>
      </c>
      <c r="V5218" t="s">
        <v>833</v>
      </c>
      <c r="W5218">
        <v>0</v>
      </c>
      <c r="X5218" t="s">
        <v>11333</v>
      </c>
      <c r="Y5218" t="s">
        <v>11346</v>
      </c>
      <c r="Z5218" t="s">
        <v>14536</v>
      </c>
      <c r="AB5218" t="s">
        <v>18860</v>
      </c>
      <c r="AC5218">
        <v>2</v>
      </c>
      <c r="AE5218" t="s">
        <v>9144</v>
      </c>
      <c r="AF5218">
        <v>1</v>
      </c>
      <c r="AG5218">
        <v>1</v>
      </c>
      <c r="AH5218">
        <v>0</v>
      </c>
      <c r="AI5218">
        <v>230.58</v>
      </c>
      <c r="AL5218" t="s">
        <v>19614</v>
      </c>
      <c r="AM5218">
        <v>28800</v>
      </c>
      <c r="AS5218">
        <v>0.75</v>
      </c>
      <c r="AT5218" t="s">
        <v>286</v>
      </c>
      <c r="AU5218" t="s">
        <v>163</v>
      </c>
      <c r="AV5218" t="s">
        <v>20733</v>
      </c>
    </row>
    <row r="5219" spans="1:48">
      <c r="A5219" s="1">
        <f>HYPERLINK("https://lsnyc.legalserver.org/matter/dynamic-profile/view/1897679","19-1897679")</f>
        <v>0</v>
      </c>
      <c r="B5219" t="s">
        <v>147</v>
      </c>
      <c r="C5219" t="s">
        <v>256</v>
      </c>
      <c r="D5219" t="s">
        <v>261</v>
      </c>
      <c r="F5219" t="s">
        <v>2751</v>
      </c>
      <c r="G5219" t="s">
        <v>5318</v>
      </c>
      <c r="H5219" t="s">
        <v>7921</v>
      </c>
      <c r="I5219" t="s">
        <v>8929</v>
      </c>
      <c r="J5219" t="s">
        <v>9066</v>
      </c>
      <c r="K5219">
        <v>10308</v>
      </c>
      <c r="L5219" t="s">
        <v>9094</v>
      </c>
      <c r="M5219" t="s">
        <v>9095</v>
      </c>
      <c r="N5219" t="s">
        <v>9121</v>
      </c>
      <c r="O5219" t="s">
        <v>9121</v>
      </c>
      <c r="P5219" t="s">
        <v>11166</v>
      </c>
      <c r="R5219" t="s">
        <v>11180</v>
      </c>
      <c r="S5219" t="s">
        <v>9096</v>
      </c>
      <c r="T5219" t="s">
        <v>11183</v>
      </c>
      <c r="V5219" t="s">
        <v>261</v>
      </c>
      <c r="W5219">
        <v>888</v>
      </c>
      <c r="X5219" t="s">
        <v>11334</v>
      </c>
      <c r="Y5219" t="s">
        <v>11338</v>
      </c>
      <c r="Z5219" t="s">
        <v>14682</v>
      </c>
      <c r="AB5219" t="s">
        <v>15274</v>
      </c>
      <c r="AC5219">
        <v>0</v>
      </c>
      <c r="AD5219" t="s">
        <v>15441</v>
      </c>
      <c r="AE5219" t="s">
        <v>9144</v>
      </c>
      <c r="AF5219">
        <v>46</v>
      </c>
      <c r="AG5219">
        <v>1</v>
      </c>
      <c r="AH5219">
        <v>0</v>
      </c>
      <c r="AI5219">
        <v>230.58</v>
      </c>
      <c r="AJ5219" t="s">
        <v>289</v>
      </c>
      <c r="AK5219" t="s">
        <v>19612</v>
      </c>
      <c r="AL5219" t="s">
        <v>19614</v>
      </c>
      <c r="AM5219">
        <v>28800</v>
      </c>
      <c r="AS5219">
        <v>7.4</v>
      </c>
      <c r="AT5219" t="s">
        <v>594</v>
      </c>
      <c r="AU5219" t="s">
        <v>20653</v>
      </c>
      <c r="AV5219" t="s">
        <v>20733</v>
      </c>
    </row>
    <row r="5220" spans="1:48">
      <c r="A5220" s="1">
        <f>HYPERLINK("https://lsnyc.legalserver.org/matter/dynamic-profile/view/1886113","18-1886113")</f>
        <v>0</v>
      </c>
      <c r="B5220" t="s">
        <v>70</v>
      </c>
      <c r="C5220" t="s">
        <v>256</v>
      </c>
      <c r="D5220" t="s">
        <v>397</v>
      </c>
      <c r="F5220" t="s">
        <v>3021</v>
      </c>
      <c r="G5220" t="s">
        <v>5232</v>
      </c>
      <c r="H5220" t="s">
        <v>5749</v>
      </c>
      <c r="I5220" t="s">
        <v>8925</v>
      </c>
      <c r="J5220" t="s">
        <v>9059</v>
      </c>
      <c r="K5220">
        <v>11233</v>
      </c>
      <c r="L5220" t="s">
        <v>9094</v>
      </c>
      <c r="M5220" t="s">
        <v>9094</v>
      </c>
      <c r="N5220" t="s">
        <v>9146</v>
      </c>
      <c r="O5220" t="s">
        <v>11134</v>
      </c>
      <c r="P5220" t="s">
        <v>11168</v>
      </c>
      <c r="R5220" t="s">
        <v>11180</v>
      </c>
      <c r="S5220" t="s">
        <v>9094</v>
      </c>
      <c r="T5220" t="s">
        <v>11183</v>
      </c>
      <c r="U5220" t="s">
        <v>11201</v>
      </c>
      <c r="V5220" t="s">
        <v>746</v>
      </c>
      <c r="W5220">
        <v>1094</v>
      </c>
      <c r="X5220" t="s">
        <v>11332</v>
      </c>
      <c r="Y5220" t="s">
        <v>11339</v>
      </c>
      <c r="Z5220" t="s">
        <v>14656</v>
      </c>
      <c r="AA5220" t="s">
        <v>9144</v>
      </c>
      <c r="AC5220">
        <v>764</v>
      </c>
      <c r="AD5220" t="s">
        <v>19566</v>
      </c>
      <c r="AE5220" t="s">
        <v>9144</v>
      </c>
      <c r="AF5220">
        <v>40</v>
      </c>
      <c r="AG5220">
        <v>1</v>
      </c>
      <c r="AH5220">
        <v>0</v>
      </c>
      <c r="AI5220">
        <v>230.64</v>
      </c>
      <c r="AJ5220" t="s">
        <v>546</v>
      </c>
      <c r="AK5220" t="s">
        <v>19612</v>
      </c>
      <c r="AL5220" t="s">
        <v>19614</v>
      </c>
      <c r="AM5220">
        <v>28000</v>
      </c>
      <c r="AS5220">
        <v>0</v>
      </c>
      <c r="AU5220" t="s">
        <v>95</v>
      </c>
    </row>
    <row r="5221" spans="1:48">
      <c r="A5221" s="1">
        <f>HYPERLINK("https://lsnyc.legalserver.org/matter/dynamic-profile/view/1862232","18-1862232")</f>
        <v>0</v>
      </c>
      <c r="B5221" t="s">
        <v>136</v>
      </c>
      <c r="C5221" t="s">
        <v>256</v>
      </c>
      <c r="D5221" t="s">
        <v>662</v>
      </c>
      <c r="F5221" t="s">
        <v>3034</v>
      </c>
      <c r="G5221" t="s">
        <v>4517</v>
      </c>
      <c r="H5221" t="s">
        <v>5942</v>
      </c>
      <c r="I5221" t="s">
        <v>8270</v>
      </c>
      <c r="J5221" t="s">
        <v>9067</v>
      </c>
      <c r="K5221">
        <v>10034</v>
      </c>
      <c r="L5221" t="s">
        <v>9094</v>
      </c>
      <c r="M5221" t="s">
        <v>9095</v>
      </c>
      <c r="N5221" t="s">
        <v>9862</v>
      </c>
      <c r="O5221" t="s">
        <v>11130</v>
      </c>
      <c r="P5221" t="s">
        <v>11165</v>
      </c>
      <c r="R5221" t="s">
        <v>11180</v>
      </c>
      <c r="S5221" t="s">
        <v>9094</v>
      </c>
      <c r="T5221" t="s">
        <v>11183</v>
      </c>
      <c r="V5221" t="s">
        <v>662</v>
      </c>
      <c r="W5221">
        <v>932</v>
      </c>
      <c r="X5221" t="s">
        <v>11335</v>
      </c>
      <c r="Y5221" t="s">
        <v>11338</v>
      </c>
      <c r="Z5221" t="s">
        <v>11581</v>
      </c>
      <c r="AB5221" t="s">
        <v>19003</v>
      </c>
      <c r="AC5221">
        <v>60</v>
      </c>
      <c r="AD5221" t="s">
        <v>19566</v>
      </c>
      <c r="AE5221" t="s">
        <v>9144</v>
      </c>
      <c r="AF5221">
        <v>22</v>
      </c>
      <c r="AG5221">
        <v>5</v>
      </c>
      <c r="AH5221">
        <v>0</v>
      </c>
      <c r="AI5221">
        <v>231.19</v>
      </c>
      <c r="AL5221" t="s">
        <v>19615</v>
      </c>
      <c r="AM5221">
        <v>68016</v>
      </c>
      <c r="AS5221">
        <v>0</v>
      </c>
      <c r="AU5221" t="s">
        <v>130</v>
      </c>
    </row>
    <row r="5222" spans="1:48">
      <c r="A5222" s="1">
        <f>HYPERLINK("https://lsnyc.legalserver.org/matter/dynamic-profile/view/1910096","19-1910096")</f>
        <v>0</v>
      </c>
      <c r="B5222" t="s">
        <v>99</v>
      </c>
      <c r="C5222" t="s">
        <v>256</v>
      </c>
      <c r="D5222" t="s">
        <v>435</v>
      </c>
      <c r="F5222" t="s">
        <v>1146</v>
      </c>
      <c r="G5222" t="s">
        <v>3924</v>
      </c>
      <c r="H5222" t="s">
        <v>7922</v>
      </c>
      <c r="I5222" t="s">
        <v>8149</v>
      </c>
      <c r="J5222" t="s">
        <v>9065</v>
      </c>
      <c r="K5222">
        <v>10453</v>
      </c>
      <c r="L5222" t="s">
        <v>9094</v>
      </c>
      <c r="M5222" t="s">
        <v>9095</v>
      </c>
      <c r="O5222" t="s">
        <v>9121</v>
      </c>
      <c r="P5222" t="s">
        <v>11164</v>
      </c>
      <c r="R5222" t="s">
        <v>11180</v>
      </c>
      <c r="S5222" t="s">
        <v>9096</v>
      </c>
      <c r="T5222" t="s">
        <v>11183</v>
      </c>
      <c r="W5222">
        <v>668.79</v>
      </c>
      <c r="X5222" t="s">
        <v>11333</v>
      </c>
      <c r="Y5222" t="s">
        <v>11346</v>
      </c>
      <c r="Z5222" t="s">
        <v>14683</v>
      </c>
      <c r="AB5222" t="s">
        <v>19004</v>
      </c>
      <c r="AC5222">
        <v>58</v>
      </c>
      <c r="AD5222" t="s">
        <v>19570</v>
      </c>
      <c r="AE5222" t="s">
        <v>19580</v>
      </c>
      <c r="AF5222">
        <v>35</v>
      </c>
      <c r="AG5222">
        <v>1</v>
      </c>
      <c r="AH5222">
        <v>0</v>
      </c>
      <c r="AI5222">
        <v>231.48</v>
      </c>
      <c r="AL5222" t="s">
        <v>19614</v>
      </c>
      <c r="AM5222">
        <v>28912</v>
      </c>
      <c r="AS5222">
        <v>1.6</v>
      </c>
      <c r="AT5222" t="s">
        <v>307</v>
      </c>
      <c r="AU5222" t="s">
        <v>99</v>
      </c>
      <c r="AV5222" t="s">
        <v>20733</v>
      </c>
    </row>
    <row r="5223" spans="1:48">
      <c r="A5223" s="1">
        <f>HYPERLINK("https://lsnyc.legalserver.org/matter/dynamic-profile/view/1901220","19-1901220")</f>
        <v>0</v>
      </c>
      <c r="B5223" t="s">
        <v>145</v>
      </c>
      <c r="C5223" t="s">
        <v>257</v>
      </c>
      <c r="D5223" t="s">
        <v>422</v>
      </c>
      <c r="E5223" t="s">
        <v>1063</v>
      </c>
      <c r="F5223" t="s">
        <v>1362</v>
      </c>
      <c r="G5223" t="s">
        <v>5319</v>
      </c>
      <c r="H5223" t="s">
        <v>7923</v>
      </c>
      <c r="I5223" t="s">
        <v>8192</v>
      </c>
      <c r="J5223" t="s">
        <v>9067</v>
      </c>
      <c r="K5223">
        <v>10011</v>
      </c>
      <c r="L5223" t="s">
        <v>9094</v>
      </c>
      <c r="M5223" t="s">
        <v>9095</v>
      </c>
      <c r="N5223" t="s">
        <v>10944</v>
      </c>
      <c r="O5223" t="s">
        <v>11129</v>
      </c>
      <c r="P5223" t="s">
        <v>11164</v>
      </c>
      <c r="Q5223" t="s">
        <v>11172</v>
      </c>
      <c r="R5223" t="s">
        <v>11180</v>
      </c>
      <c r="S5223" t="s">
        <v>9096</v>
      </c>
      <c r="T5223" t="s">
        <v>11183</v>
      </c>
      <c r="V5223" t="s">
        <v>422</v>
      </c>
      <c r="W5223">
        <v>881.61</v>
      </c>
      <c r="X5223" t="s">
        <v>11335</v>
      </c>
      <c r="Y5223" t="s">
        <v>11345</v>
      </c>
      <c r="Z5223" t="s">
        <v>14684</v>
      </c>
      <c r="AB5223" t="s">
        <v>19005</v>
      </c>
      <c r="AC5223">
        <v>32</v>
      </c>
      <c r="AD5223" t="s">
        <v>19566</v>
      </c>
      <c r="AE5223" t="s">
        <v>9144</v>
      </c>
      <c r="AF5223">
        <v>41</v>
      </c>
      <c r="AG5223">
        <v>2</v>
      </c>
      <c r="AH5223">
        <v>0</v>
      </c>
      <c r="AI5223">
        <v>231.48</v>
      </c>
      <c r="AL5223" t="s">
        <v>19618</v>
      </c>
      <c r="AM5223">
        <v>39144</v>
      </c>
      <c r="AS5223">
        <v>0.1</v>
      </c>
      <c r="AT5223" t="s">
        <v>1063</v>
      </c>
      <c r="AU5223" t="s">
        <v>20659</v>
      </c>
      <c r="AV5223" t="s">
        <v>20733</v>
      </c>
    </row>
    <row r="5224" spans="1:48">
      <c r="A5224" s="1">
        <f>HYPERLINK("https://lsnyc.legalserver.org/matter/dynamic-profile/view/0824108","17-0824108")</f>
        <v>0</v>
      </c>
      <c r="B5224" t="s">
        <v>88</v>
      </c>
      <c r="C5224" t="s">
        <v>257</v>
      </c>
      <c r="D5224" t="s">
        <v>1065</v>
      </c>
      <c r="E5224" t="s">
        <v>648</v>
      </c>
      <c r="F5224" t="s">
        <v>1193</v>
      </c>
      <c r="G5224" t="s">
        <v>4417</v>
      </c>
      <c r="H5224" t="s">
        <v>7915</v>
      </c>
      <c r="I5224" t="s">
        <v>8142</v>
      </c>
      <c r="J5224" t="s">
        <v>9059</v>
      </c>
      <c r="K5224">
        <v>11233</v>
      </c>
      <c r="L5224" t="s">
        <v>9094</v>
      </c>
      <c r="M5224" t="s">
        <v>9095</v>
      </c>
      <c r="O5224" t="s">
        <v>11129</v>
      </c>
      <c r="P5224" t="s">
        <v>11165</v>
      </c>
      <c r="Q5224" t="s">
        <v>11174</v>
      </c>
      <c r="R5224" t="s">
        <v>11180</v>
      </c>
      <c r="T5224" t="s">
        <v>11183</v>
      </c>
      <c r="V5224" t="s">
        <v>11231</v>
      </c>
      <c r="W5224">
        <v>0</v>
      </c>
      <c r="X5224" t="s">
        <v>11332</v>
      </c>
      <c r="Z5224" t="s">
        <v>13979</v>
      </c>
      <c r="AB5224" t="s">
        <v>18992</v>
      </c>
      <c r="AC5224">
        <v>8</v>
      </c>
      <c r="AF5224">
        <v>0</v>
      </c>
      <c r="AG5224">
        <v>1</v>
      </c>
      <c r="AH5224">
        <v>0</v>
      </c>
      <c r="AI5224">
        <v>231.99</v>
      </c>
      <c r="AJ5224" t="s">
        <v>11246</v>
      </c>
      <c r="AL5224" t="s">
        <v>19614</v>
      </c>
      <c r="AM5224">
        <v>27560</v>
      </c>
      <c r="AO5224" t="s">
        <v>20291</v>
      </c>
      <c r="AP5224" t="s">
        <v>20335</v>
      </c>
      <c r="AQ5224" t="s">
        <v>20369</v>
      </c>
      <c r="AR5224" t="s">
        <v>20533</v>
      </c>
      <c r="AS5224">
        <v>102.45</v>
      </c>
      <c r="AT5224" t="s">
        <v>563</v>
      </c>
      <c r="AU5224" t="s">
        <v>20673</v>
      </c>
    </row>
    <row r="5225" spans="1:48">
      <c r="A5225" s="1">
        <f>HYPERLINK("https://lsnyc.legalserver.org/matter/dynamic-profile/view/1883435","18-1883435")</f>
        <v>0</v>
      </c>
      <c r="B5225" t="s">
        <v>98</v>
      </c>
      <c r="C5225" t="s">
        <v>257</v>
      </c>
      <c r="D5225" t="s">
        <v>583</v>
      </c>
      <c r="E5225" t="s">
        <v>574</v>
      </c>
      <c r="F5225" t="s">
        <v>2332</v>
      </c>
      <c r="G5225" t="s">
        <v>2008</v>
      </c>
      <c r="H5225" t="s">
        <v>6081</v>
      </c>
      <c r="I5225" t="s">
        <v>8170</v>
      </c>
      <c r="J5225" t="s">
        <v>9065</v>
      </c>
      <c r="K5225">
        <v>10452</v>
      </c>
      <c r="L5225" t="s">
        <v>9094</v>
      </c>
      <c r="M5225" t="s">
        <v>9094</v>
      </c>
      <c r="N5225" t="s">
        <v>9397</v>
      </c>
      <c r="O5225" t="s">
        <v>11130</v>
      </c>
      <c r="P5225" t="s">
        <v>11165</v>
      </c>
      <c r="Q5225" t="s">
        <v>11174</v>
      </c>
      <c r="R5225" t="s">
        <v>11180</v>
      </c>
      <c r="S5225" t="s">
        <v>9094</v>
      </c>
      <c r="T5225" t="s">
        <v>11183</v>
      </c>
      <c r="V5225" t="s">
        <v>738</v>
      </c>
      <c r="W5225">
        <v>987</v>
      </c>
      <c r="X5225" t="s">
        <v>11333</v>
      </c>
      <c r="Y5225" t="s">
        <v>11339</v>
      </c>
      <c r="Z5225" t="s">
        <v>14663</v>
      </c>
      <c r="AB5225" t="s">
        <v>18980</v>
      </c>
      <c r="AC5225">
        <v>41</v>
      </c>
      <c r="AD5225" t="s">
        <v>15441</v>
      </c>
      <c r="AE5225" t="s">
        <v>19587</v>
      </c>
      <c r="AF5225">
        <v>32</v>
      </c>
      <c r="AG5225">
        <v>1</v>
      </c>
      <c r="AH5225">
        <v>0</v>
      </c>
      <c r="AI5225">
        <v>231.99</v>
      </c>
      <c r="AL5225" t="s">
        <v>19614</v>
      </c>
      <c r="AM5225">
        <v>28164</v>
      </c>
      <c r="AS5225">
        <v>0.15</v>
      </c>
      <c r="AT5225" t="s">
        <v>335</v>
      </c>
      <c r="AU5225" t="s">
        <v>20642</v>
      </c>
    </row>
    <row r="5226" spans="1:48">
      <c r="A5226" s="1">
        <f>HYPERLINK("https://lsnyc.legalserver.org/matter/dynamic-profile/view/0812526","16-0812526")</f>
        <v>0</v>
      </c>
      <c r="B5226" t="s">
        <v>108</v>
      </c>
      <c r="C5226" t="s">
        <v>256</v>
      </c>
      <c r="D5226" t="s">
        <v>460</v>
      </c>
      <c r="F5226" t="s">
        <v>2113</v>
      </c>
      <c r="G5226" t="s">
        <v>4293</v>
      </c>
      <c r="H5226" t="s">
        <v>6526</v>
      </c>
      <c r="I5226" t="s">
        <v>8160</v>
      </c>
      <c r="J5226" t="s">
        <v>9065</v>
      </c>
      <c r="K5226">
        <v>10452</v>
      </c>
      <c r="L5226" t="s">
        <v>9094</v>
      </c>
      <c r="M5226" t="s">
        <v>9095</v>
      </c>
      <c r="N5226" t="s">
        <v>9749</v>
      </c>
      <c r="O5226" t="s">
        <v>11135</v>
      </c>
      <c r="P5226" t="s">
        <v>11168</v>
      </c>
      <c r="R5226" t="s">
        <v>11180</v>
      </c>
      <c r="S5226" t="s">
        <v>9094</v>
      </c>
      <c r="T5226" t="s">
        <v>11183</v>
      </c>
      <c r="V5226" t="s">
        <v>11234</v>
      </c>
      <c r="W5226">
        <v>877.1</v>
      </c>
      <c r="X5226" t="s">
        <v>11333</v>
      </c>
      <c r="Y5226" t="s">
        <v>11346</v>
      </c>
      <c r="Z5226" t="s">
        <v>11948</v>
      </c>
      <c r="AB5226" t="s">
        <v>19006</v>
      </c>
      <c r="AC5226">
        <v>63</v>
      </c>
      <c r="AD5226" t="s">
        <v>19566</v>
      </c>
      <c r="AE5226" t="s">
        <v>9144</v>
      </c>
      <c r="AF5226">
        <v>23</v>
      </c>
      <c r="AG5226">
        <v>3</v>
      </c>
      <c r="AH5226">
        <v>0</v>
      </c>
      <c r="AI5226">
        <v>232.14</v>
      </c>
      <c r="AL5226" t="s">
        <v>19615</v>
      </c>
      <c r="AM5226">
        <v>46800</v>
      </c>
      <c r="AS5226">
        <v>0.2</v>
      </c>
      <c r="AT5226" t="s">
        <v>1122</v>
      </c>
      <c r="AU5226" t="s">
        <v>20647</v>
      </c>
    </row>
    <row r="5227" spans="1:48">
      <c r="A5227" s="1">
        <f>HYPERLINK("https://lsnyc.legalserver.org/matter/dynamic-profile/view/1841218","17-1841218")</f>
        <v>0</v>
      </c>
      <c r="B5227" t="s">
        <v>101</v>
      </c>
      <c r="C5227" t="s">
        <v>256</v>
      </c>
      <c r="D5227" t="s">
        <v>770</v>
      </c>
      <c r="F5227" t="s">
        <v>2995</v>
      </c>
      <c r="G5227" t="s">
        <v>3630</v>
      </c>
      <c r="H5227" t="s">
        <v>6041</v>
      </c>
      <c r="I5227" t="s">
        <v>8453</v>
      </c>
      <c r="J5227" t="s">
        <v>9065</v>
      </c>
      <c r="K5227">
        <v>10452</v>
      </c>
      <c r="L5227" t="s">
        <v>9094</v>
      </c>
      <c r="M5227" t="s">
        <v>9095</v>
      </c>
      <c r="N5227" t="s">
        <v>9356</v>
      </c>
      <c r="O5227" t="s">
        <v>11135</v>
      </c>
      <c r="P5227" t="s">
        <v>11168</v>
      </c>
      <c r="R5227" t="s">
        <v>11180</v>
      </c>
      <c r="S5227" t="s">
        <v>9094</v>
      </c>
      <c r="T5227" t="s">
        <v>11183</v>
      </c>
      <c r="V5227" t="s">
        <v>770</v>
      </c>
      <c r="W5227">
        <v>709.39</v>
      </c>
      <c r="X5227" t="s">
        <v>11333</v>
      </c>
      <c r="Y5227" t="s">
        <v>11346</v>
      </c>
      <c r="Z5227" t="s">
        <v>14603</v>
      </c>
      <c r="AB5227" t="s">
        <v>18924</v>
      </c>
      <c r="AC5227">
        <v>62</v>
      </c>
      <c r="AD5227" t="s">
        <v>19566</v>
      </c>
      <c r="AF5227">
        <v>42</v>
      </c>
      <c r="AG5227">
        <v>1</v>
      </c>
      <c r="AH5227">
        <v>0</v>
      </c>
      <c r="AI5227">
        <v>232.17</v>
      </c>
      <c r="AL5227" t="s">
        <v>19614</v>
      </c>
      <c r="AM5227">
        <v>28000</v>
      </c>
      <c r="AS5227">
        <v>0.2</v>
      </c>
      <c r="AT5227" t="s">
        <v>873</v>
      </c>
      <c r="AU5227" t="s">
        <v>20647</v>
      </c>
    </row>
    <row r="5228" spans="1:48">
      <c r="A5228" s="1">
        <f>HYPERLINK("https://lsnyc.legalserver.org/matter/dynamic-profile/view/1841513","17-1841513")</f>
        <v>0</v>
      </c>
      <c r="B5228" t="s">
        <v>140</v>
      </c>
      <c r="C5228" t="s">
        <v>256</v>
      </c>
      <c r="D5228" t="s">
        <v>613</v>
      </c>
      <c r="F5228" t="s">
        <v>2751</v>
      </c>
      <c r="G5228" t="s">
        <v>5320</v>
      </c>
      <c r="H5228" t="s">
        <v>7163</v>
      </c>
      <c r="I5228" t="s">
        <v>8229</v>
      </c>
      <c r="J5228" t="s">
        <v>9067</v>
      </c>
      <c r="K5228">
        <v>10034</v>
      </c>
      <c r="L5228" t="s">
        <v>9094</v>
      </c>
      <c r="M5228" t="s">
        <v>9095</v>
      </c>
      <c r="N5228" t="s">
        <v>10945</v>
      </c>
      <c r="O5228" t="s">
        <v>11130</v>
      </c>
      <c r="P5228" t="s">
        <v>11168</v>
      </c>
      <c r="R5228" t="s">
        <v>11180</v>
      </c>
      <c r="S5228" t="s">
        <v>9094</v>
      </c>
      <c r="T5228" t="s">
        <v>11183</v>
      </c>
      <c r="V5228" t="s">
        <v>837</v>
      </c>
      <c r="W5228">
        <v>1738.72</v>
      </c>
      <c r="X5228" t="s">
        <v>11335</v>
      </c>
      <c r="Y5228" t="s">
        <v>11350</v>
      </c>
      <c r="Z5228" t="s">
        <v>14685</v>
      </c>
      <c r="AB5228" t="s">
        <v>19007</v>
      </c>
      <c r="AC5228">
        <v>48</v>
      </c>
      <c r="AD5228" t="s">
        <v>19566</v>
      </c>
      <c r="AE5228" t="s">
        <v>9144</v>
      </c>
      <c r="AF5228">
        <v>1</v>
      </c>
      <c r="AG5228">
        <v>1</v>
      </c>
      <c r="AH5228">
        <v>0</v>
      </c>
      <c r="AI5228">
        <v>232.17</v>
      </c>
      <c r="AJ5228" t="s">
        <v>11246</v>
      </c>
      <c r="AL5228" t="s">
        <v>19614</v>
      </c>
      <c r="AM5228">
        <v>28000</v>
      </c>
      <c r="AS5228">
        <v>69.16</v>
      </c>
      <c r="AT5228" t="s">
        <v>669</v>
      </c>
      <c r="AU5228" t="s">
        <v>130</v>
      </c>
    </row>
    <row r="5229" spans="1:48">
      <c r="A5229" s="1">
        <f>HYPERLINK("https://lsnyc.legalserver.org/matter/dynamic-profile/view/1847622","17-1847622")</f>
        <v>0</v>
      </c>
      <c r="B5229" t="s">
        <v>139</v>
      </c>
      <c r="C5229" t="s">
        <v>256</v>
      </c>
      <c r="D5229" t="s">
        <v>587</v>
      </c>
      <c r="F5229" t="s">
        <v>3035</v>
      </c>
      <c r="G5229" t="s">
        <v>3818</v>
      </c>
      <c r="H5229" t="s">
        <v>6364</v>
      </c>
      <c r="I5229" t="s">
        <v>8206</v>
      </c>
      <c r="J5229" t="s">
        <v>9067</v>
      </c>
      <c r="K5229">
        <v>10034</v>
      </c>
      <c r="L5229" t="s">
        <v>9094</v>
      </c>
      <c r="M5229" t="s">
        <v>9095</v>
      </c>
      <c r="O5229" t="s">
        <v>11130</v>
      </c>
      <c r="P5229" t="s">
        <v>11165</v>
      </c>
      <c r="R5229" t="s">
        <v>11180</v>
      </c>
      <c r="S5229" t="s">
        <v>9094</v>
      </c>
      <c r="T5229" t="s">
        <v>11183</v>
      </c>
      <c r="V5229" t="s">
        <v>1057</v>
      </c>
      <c r="W5229">
        <v>752.46</v>
      </c>
      <c r="X5229" t="s">
        <v>11335</v>
      </c>
      <c r="Y5229" t="s">
        <v>11338</v>
      </c>
      <c r="Z5229" t="s">
        <v>14686</v>
      </c>
      <c r="AB5229" t="s">
        <v>19008</v>
      </c>
      <c r="AC5229">
        <v>50</v>
      </c>
      <c r="AD5229" t="s">
        <v>19566</v>
      </c>
      <c r="AE5229" t="s">
        <v>9144</v>
      </c>
      <c r="AF5229">
        <v>42</v>
      </c>
      <c r="AG5229">
        <v>1</v>
      </c>
      <c r="AH5229">
        <v>0</v>
      </c>
      <c r="AI5229">
        <v>232.17</v>
      </c>
      <c r="AJ5229" t="s">
        <v>11246</v>
      </c>
      <c r="AL5229" t="s">
        <v>19615</v>
      </c>
      <c r="AM5229">
        <v>28000</v>
      </c>
      <c r="AS5229">
        <v>2.25</v>
      </c>
      <c r="AT5229" t="s">
        <v>20613</v>
      </c>
      <c r="AU5229" t="s">
        <v>130</v>
      </c>
    </row>
    <row r="5230" spans="1:48">
      <c r="A5230" s="1">
        <f>HYPERLINK("https://lsnyc.legalserver.org/matter/dynamic-profile/view/1892720","19-1892720")</f>
        <v>0</v>
      </c>
      <c r="B5230" t="s">
        <v>135</v>
      </c>
      <c r="C5230" t="s">
        <v>257</v>
      </c>
      <c r="D5230" t="s">
        <v>553</v>
      </c>
      <c r="E5230" t="s">
        <v>334</v>
      </c>
      <c r="F5230" t="s">
        <v>1992</v>
      </c>
      <c r="G5230" t="s">
        <v>3811</v>
      </c>
      <c r="H5230" t="s">
        <v>6806</v>
      </c>
      <c r="I5230" t="s">
        <v>8151</v>
      </c>
      <c r="J5230" t="s">
        <v>9067</v>
      </c>
      <c r="K5230">
        <v>10029</v>
      </c>
      <c r="L5230" t="s">
        <v>9094</v>
      </c>
      <c r="M5230" t="s">
        <v>9094</v>
      </c>
      <c r="N5230" t="s">
        <v>10946</v>
      </c>
      <c r="O5230" t="s">
        <v>11129</v>
      </c>
      <c r="P5230" t="s">
        <v>11167</v>
      </c>
      <c r="Q5230" t="s">
        <v>11174</v>
      </c>
      <c r="R5230" t="s">
        <v>11180</v>
      </c>
      <c r="S5230" t="s">
        <v>9096</v>
      </c>
      <c r="T5230" t="s">
        <v>11190</v>
      </c>
      <c r="U5230" t="s">
        <v>11201</v>
      </c>
      <c r="V5230" t="s">
        <v>526</v>
      </c>
      <c r="W5230">
        <v>676</v>
      </c>
      <c r="X5230" t="s">
        <v>11335</v>
      </c>
      <c r="Y5230" t="s">
        <v>11351</v>
      </c>
      <c r="Z5230" t="s">
        <v>13537</v>
      </c>
      <c r="AB5230" t="s">
        <v>19009</v>
      </c>
      <c r="AC5230">
        <v>40</v>
      </c>
      <c r="AD5230" t="s">
        <v>19567</v>
      </c>
      <c r="AE5230" t="s">
        <v>19580</v>
      </c>
      <c r="AF5230">
        <v>5</v>
      </c>
      <c r="AG5230">
        <v>1</v>
      </c>
      <c r="AH5230">
        <v>0</v>
      </c>
      <c r="AI5230">
        <v>232.19</v>
      </c>
      <c r="AL5230" t="s">
        <v>19614</v>
      </c>
      <c r="AM5230">
        <v>29000</v>
      </c>
      <c r="AO5230" t="s">
        <v>20292</v>
      </c>
      <c r="AP5230" t="s">
        <v>20362</v>
      </c>
      <c r="AQ5230" t="s">
        <v>20369</v>
      </c>
      <c r="AR5230" t="s">
        <v>20428</v>
      </c>
      <c r="AS5230">
        <v>60</v>
      </c>
      <c r="AT5230" t="s">
        <v>334</v>
      </c>
      <c r="AU5230" t="s">
        <v>135</v>
      </c>
      <c r="AV5230" t="s">
        <v>20733</v>
      </c>
    </row>
    <row r="5231" spans="1:48">
      <c r="A5231" s="1">
        <f>HYPERLINK("https://lsnyc.legalserver.org/matter/dynamic-profile/view/1894498","19-1894498")</f>
        <v>0</v>
      </c>
      <c r="B5231" t="s">
        <v>103</v>
      </c>
      <c r="C5231" t="s">
        <v>256</v>
      </c>
      <c r="D5231" t="s">
        <v>421</v>
      </c>
      <c r="F5231" t="s">
        <v>3036</v>
      </c>
      <c r="G5231" t="s">
        <v>3405</v>
      </c>
      <c r="H5231" t="s">
        <v>5887</v>
      </c>
      <c r="I5231" t="s">
        <v>8930</v>
      </c>
      <c r="J5231" t="s">
        <v>9065</v>
      </c>
      <c r="K5231">
        <v>10453</v>
      </c>
      <c r="L5231" t="s">
        <v>9094</v>
      </c>
      <c r="M5231" t="s">
        <v>9094</v>
      </c>
      <c r="O5231" t="s">
        <v>11134</v>
      </c>
      <c r="P5231" t="s">
        <v>11168</v>
      </c>
      <c r="R5231" t="s">
        <v>11180</v>
      </c>
      <c r="S5231" t="s">
        <v>9094</v>
      </c>
      <c r="T5231" t="s">
        <v>11183</v>
      </c>
      <c r="V5231" t="s">
        <v>512</v>
      </c>
      <c r="W5231">
        <v>938.89</v>
      </c>
      <c r="X5231" t="s">
        <v>11333</v>
      </c>
      <c r="Y5231" t="s">
        <v>11339</v>
      </c>
      <c r="Z5231" t="s">
        <v>14687</v>
      </c>
      <c r="AC5231">
        <v>170</v>
      </c>
      <c r="AD5231" t="s">
        <v>19566</v>
      </c>
      <c r="AE5231" t="s">
        <v>9144</v>
      </c>
      <c r="AF5231">
        <v>41</v>
      </c>
      <c r="AG5231">
        <v>4</v>
      </c>
      <c r="AH5231">
        <v>0</v>
      </c>
      <c r="AI5231">
        <v>232.23</v>
      </c>
      <c r="AL5231" t="s">
        <v>19615</v>
      </c>
      <c r="AM5231">
        <v>59800</v>
      </c>
      <c r="AS5231">
        <v>0</v>
      </c>
      <c r="AU5231" t="s">
        <v>220</v>
      </c>
    </row>
    <row r="5232" spans="1:48">
      <c r="A5232" s="1">
        <f>HYPERLINK("https://lsnyc.legalserver.org/matter/dynamic-profile/view/1904911","19-1904911")</f>
        <v>0</v>
      </c>
      <c r="B5232" t="s">
        <v>103</v>
      </c>
      <c r="C5232" t="s">
        <v>256</v>
      </c>
      <c r="D5232" t="s">
        <v>660</v>
      </c>
      <c r="F5232" t="s">
        <v>3036</v>
      </c>
      <c r="G5232" t="s">
        <v>3405</v>
      </c>
      <c r="H5232" t="s">
        <v>5887</v>
      </c>
      <c r="I5232" t="s">
        <v>8930</v>
      </c>
      <c r="J5232" t="s">
        <v>9065</v>
      </c>
      <c r="K5232">
        <v>10453</v>
      </c>
      <c r="L5232" t="s">
        <v>9094</v>
      </c>
      <c r="M5232" t="s">
        <v>9095</v>
      </c>
      <c r="N5232" t="s">
        <v>9239</v>
      </c>
      <c r="O5232" t="s">
        <v>11134</v>
      </c>
      <c r="P5232" t="s">
        <v>11170</v>
      </c>
      <c r="R5232" t="s">
        <v>11180</v>
      </c>
      <c r="S5232" t="s">
        <v>9094</v>
      </c>
      <c r="T5232" t="s">
        <v>11183</v>
      </c>
      <c r="V5232" t="s">
        <v>1061</v>
      </c>
      <c r="W5232">
        <v>938.89</v>
      </c>
      <c r="X5232" t="s">
        <v>11333</v>
      </c>
      <c r="Y5232" t="s">
        <v>11346</v>
      </c>
      <c r="Z5232" t="s">
        <v>14687</v>
      </c>
      <c r="AC5232">
        <v>170</v>
      </c>
      <c r="AD5232" t="s">
        <v>19566</v>
      </c>
      <c r="AE5232" t="s">
        <v>9144</v>
      </c>
      <c r="AF5232">
        <v>41</v>
      </c>
      <c r="AG5232">
        <v>4</v>
      </c>
      <c r="AH5232">
        <v>0</v>
      </c>
      <c r="AI5232">
        <v>232.23</v>
      </c>
      <c r="AL5232" t="s">
        <v>19615</v>
      </c>
      <c r="AM5232">
        <v>59800</v>
      </c>
      <c r="AS5232">
        <v>0</v>
      </c>
      <c r="AU5232" t="s">
        <v>220</v>
      </c>
      <c r="AV5232" t="s">
        <v>20733</v>
      </c>
    </row>
    <row r="5233" spans="1:48">
      <c r="A5233" s="1">
        <f>HYPERLINK("https://lsnyc.legalserver.org/matter/dynamic-profile/view/1904915","19-1904915")</f>
        <v>0</v>
      </c>
      <c r="B5233" t="s">
        <v>103</v>
      </c>
      <c r="C5233" t="s">
        <v>256</v>
      </c>
      <c r="D5233" t="s">
        <v>660</v>
      </c>
      <c r="F5233" t="s">
        <v>3036</v>
      </c>
      <c r="G5233" t="s">
        <v>3405</v>
      </c>
      <c r="H5233" t="s">
        <v>5887</v>
      </c>
      <c r="I5233" t="s">
        <v>8930</v>
      </c>
      <c r="J5233" t="s">
        <v>9065</v>
      </c>
      <c r="K5233">
        <v>10453</v>
      </c>
      <c r="L5233" t="s">
        <v>9094</v>
      </c>
      <c r="M5233" t="s">
        <v>9095</v>
      </c>
      <c r="N5233" t="s">
        <v>9240</v>
      </c>
      <c r="O5233" t="s">
        <v>11134</v>
      </c>
      <c r="P5233" t="s">
        <v>11168</v>
      </c>
      <c r="R5233" t="s">
        <v>11180</v>
      </c>
      <c r="S5233" t="s">
        <v>9094</v>
      </c>
      <c r="T5233" t="s">
        <v>11183</v>
      </c>
      <c r="V5233" t="s">
        <v>422</v>
      </c>
      <c r="W5233">
        <v>938.89</v>
      </c>
      <c r="X5233" t="s">
        <v>11333</v>
      </c>
      <c r="Y5233" t="s">
        <v>11346</v>
      </c>
      <c r="Z5233" t="s">
        <v>14687</v>
      </c>
      <c r="AC5233">
        <v>170</v>
      </c>
      <c r="AD5233" t="s">
        <v>19566</v>
      </c>
      <c r="AE5233" t="s">
        <v>9144</v>
      </c>
      <c r="AF5233">
        <v>41</v>
      </c>
      <c r="AG5233">
        <v>4</v>
      </c>
      <c r="AH5233">
        <v>0</v>
      </c>
      <c r="AI5233">
        <v>232.23</v>
      </c>
      <c r="AL5233" t="s">
        <v>19615</v>
      </c>
      <c r="AM5233">
        <v>59800</v>
      </c>
      <c r="AS5233">
        <v>0.5</v>
      </c>
      <c r="AT5233" t="s">
        <v>377</v>
      </c>
      <c r="AU5233" t="s">
        <v>220</v>
      </c>
      <c r="AV5233" t="s">
        <v>20733</v>
      </c>
    </row>
    <row r="5234" spans="1:48">
      <c r="A5234" s="1">
        <f>HYPERLINK("https://lsnyc.legalserver.org/matter/dynamic-profile/view/1894488","19-1894488")</f>
        <v>0</v>
      </c>
      <c r="B5234" t="s">
        <v>103</v>
      </c>
      <c r="C5234" t="s">
        <v>256</v>
      </c>
      <c r="D5234" t="s">
        <v>421</v>
      </c>
      <c r="F5234" t="s">
        <v>3036</v>
      </c>
      <c r="G5234" t="s">
        <v>3405</v>
      </c>
      <c r="H5234" t="s">
        <v>5887</v>
      </c>
      <c r="I5234" t="s">
        <v>8930</v>
      </c>
      <c r="J5234" t="s">
        <v>9065</v>
      </c>
      <c r="K5234">
        <v>10453</v>
      </c>
      <c r="L5234" t="s">
        <v>9094</v>
      </c>
      <c r="M5234" t="s">
        <v>9094</v>
      </c>
      <c r="N5234" t="s">
        <v>9352</v>
      </c>
      <c r="O5234" t="s">
        <v>11130</v>
      </c>
      <c r="P5234" t="s">
        <v>11165</v>
      </c>
      <c r="R5234" t="s">
        <v>11180</v>
      </c>
      <c r="S5234" t="s">
        <v>9094</v>
      </c>
      <c r="T5234" t="s">
        <v>11183</v>
      </c>
      <c r="V5234" t="s">
        <v>512</v>
      </c>
      <c r="W5234">
        <v>938.89</v>
      </c>
      <c r="X5234" t="s">
        <v>11333</v>
      </c>
      <c r="Y5234" t="s">
        <v>11339</v>
      </c>
      <c r="Z5234" t="s">
        <v>14687</v>
      </c>
      <c r="AC5234">
        <v>170</v>
      </c>
      <c r="AD5234" t="s">
        <v>19566</v>
      </c>
      <c r="AE5234" t="s">
        <v>9144</v>
      </c>
      <c r="AF5234">
        <v>41</v>
      </c>
      <c r="AG5234">
        <v>4</v>
      </c>
      <c r="AH5234">
        <v>0</v>
      </c>
      <c r="AI5234">
        <v>232.23</v>
      </c>
      <c r="AL5234" t="s">
        <v>19615</v>
      </c>
      <c r="AM5234">
        <v>59800</v>
      </c>
      <c r="AS5234">
        <v>0</v>
      </c>
      <c r="AU5234" t="s">
        <v>220</v>
      </c>
    </row>
    <row r="5235" spans="1:48">
      <c r="A5235" s="1">
        <f>HYPERLINK("https://lsnyc.legalserver.org/matter/dynamic-profile/view/1900478","19-1900478")</f>
        <v>0</v>
      </c>
      <c r="B5235" t="s">
        <v>138</v>
      </c>
      <c r="C5235" t="s">
        <v>256</v>
      </c>
      <c r="D5235" t="s">
        <v>262</v>
      </c>
      <c r="F5235" t="s">
        <v>2106</v>
      </c>
      <c r="G5235" t="s">
        <v>4305</v>
      </c>
      <c r="H5235" t="s">
        <v>7924</v>
      </c>
      <c r="I5235" t="s">
        <v>8329</v>
      </c>
      <c r="J5235" t="s">
        <v>9067</v>
      </c>
      <c r="K5235">
        <v>10040</v>
      </c>
      <c r="L5235" t="s">
        <v>9094</v>
      </c>
      <c r="M5235" t="s">
        <v>9095</v>
      </c>
      <c r="P5235" t="s">
        <v>11164</v>
      </c>
      <c r="R5235" t="s">
        <v>11180</v>
      </c>
      <c r="S5235" t="s">
        <v>9096</v>
      </c>
      <c r="T5235" t="s">
        <v>11183</v>
      </c>
      <c r="V5235" t="s">
        <v>262</v>
      </c>
      <c r="W5235">
        <v>1491.4</v>
      </c>
      <c r="X5235" t="s">
        <v>11335</v>
      </c>
      <c r="Z5235" t="s">
        <v>11560</v>
      </c>
      <c r="AB5235" t="s">
        <v>19010</v>
      </c>
      <c r="AC5235">
        <v>80</v>
      </c>
      <c r="AD5235" t="s">
        <v>19566</v>
      </c>
      <c r="AE5235" t="s">
        <v>9144</v>
      </c>
      <c r="AF5235">
        <v>24</v>
      </c>
      <c r="AG5235">
        <v>3</v>
      </c>
      <c r="AH5235">
        <v>1</v>
      </c>
      <c r="AI5235">
        <v>232.25</v>
      </c>
      <c r="AL5235" t="s">
        <v>19615</v>
      </c>
      <c r="AM5235">
        <v>59804</v>
      </c>
      <c r="AS5235">
        <v>1.3</v>
      </c>
      <c r="AT5235" t="s">
        <v>854</v>
      </c>
      <c r="AU5235" t="s">
        <v>130</v>
      </c>
      <c r="AV5235" t="s">
        <v>20733</v>
      </c>
    </row>
    <row r="5236" spans="1:48">
      <c r="A5236" s="1">
        <f>HYPERLINK("https://lsnyc.legalserver.org/matter/dynamic-profile/view/1864101","18-1864101")</f>
        <v>0</v>
      </c>
      <c r="B5236" t="s">
        <v>140</v>
      </c>
      <c r="C5236" t="s">
        <v>256</v>
      </c>
      <c r="D5236" t="s">
        <v>505</v>
      </c>
      <c r="F5236" t="s">
        <v>1928</v>
      </c>
      <c r="G5236" t="s">
        <v>3545</v>
      </c>
      <c r="H5236" t="s">
        <v>5999</v>
      </c>
      <c r="I5236" t="s">
        <v>8302</v>
      </c>
      <c r="J5236" t="s">
        <v>9067</v>
      </c>
      <c r="K5236">
        <v>10040</v>
      </c>
      <c r="L5236" t="s">
        <v>9094</v>
      </c>
      <c r="M5236" t="s">
        <v>9095</v>
      </c>
      <c r="N5236" t="s">
        <v>9314</v>
      </c>
      <c r="O5236" t="s">
        <v>11130</v>
      </c>
      <c r="P5236" t="s">
        <v>11165</v>
      </c>
      <c r="R5236" t="s">
        <v>11180</v>
      </c>
      <c r="S5236" t="s">
        <v>9094</v>
      </c>
      <c r="T5236" t="s">
        <v>11183</v>
      </c>
      <c r="V5236" t="s">
        <v>505</v>
      </c>
      <c r="W5236">
        <v>1231.45</v>
      </c>
      <c r="X5236" t="s">
        <v>11335</v>
      </c>
      <c r="Y5236" t="s">
        <v>11340</v>
      </c>
      <c r="Z5236" t="s">
        <v>13432</v>
      </c>
      <c r="AB5236" t="s">
        <v>17768</v>
      </c>
      <c r="AC5236">
        <v>44</v>
      </c>
      <c r="AD5236" t="s">
        <v>19566</v>
      </c>
      <c r="AE5236" t="s">
        <v>9144</v>
      </c>
      <c r="AF5236">
        <v>13</v>
      </c>
      <c r="AG5236">
        <v>2</v>
      </c>
      <c r="AH5236">
        <v>0</v>
      </c>
      <c r="AI5236">
        <v>232.83</v>
      </c>
      <c r="AJ5236" t="s">
        <v>982</v>
      </c>
      <c r="AL5236" t="s">
        <v>19615</v>
      </c>
      <c r="AM5236">
        <v>55848</v>
      </c>
      <c r="AQ5236" t="s">
        <v>20369</v>
      </c>
      <c r="AS5236">
        <v>1.1</v>
      </c>
      <c r="AT5236" t="s">
        <v>1135</v>
      </c>
      <c r="AU5236" t="s">
        <v>130</v>
      </c>
      <c r="AV5236" t="s">
        <v>20733</v>
      </c>
    </row>
    <row r="5237" spans="1:48">
      <c r="A5237" s="1">
        <f>HYPERLINK("https://lsnyc.legalserver.org/matter/dynamic-profile/view/1899056","19-1899056")</f>
        <v>0</v>
      </c>
      <c r="B5237" t="s">
        <v>111</v>
      </c>
      <c r="C5237" t="s">
        <v>257</v>
      </c>
      <c r="D5237" t="s">
        <v>492</v>
      </c>
      <c r="E5237" t="s">
        <v>290</v>
      </c>
      <c r="F5237" t="s">
        <v>3037</v>
      </c>
      <c r="G5237" t="s">
        <v>3448</v>
      </c>
      <c r="H5237" t="s">
        <v>7071</v>
      </c>
      <c r="I5237">
        <v>2</v>
      </c>
      <c r="J5237" t="s">
        <v>9065</v>
      </c>
      <c r="K5237">
        <v>10456</v>
      </c>
      <c r="L5237" t="s">
        <v>9094</v>
      </c>
      <c r="M5237" t="s">
        <v>9095</v>
      </c>
      <c r="O5237" t="s">
        <v>11128</v>
      </c>
      <c r="P5237" t="s">
        <v>11164</v>
      </c>
      <c r="Q5237" t="s">
        <v>11172</v>
      </c>
      <c r="R5237" t="s">
        <v>11180</v>
      </c>
      <c r="S5237" t="s">
        <v>9096</v>
      </c>
      <c r="T5237" t="s">
        <v>11183</v>
      </c>
      <c r="U5237" t="s">
        <v>11201</v>
      </c>
      <c r="V5237" t="s">
        <v>11218</v>
      </c>
      <c r="W5237">
        <v>0</v>
      </c>
      <c r="X5237" t="s">
        <v>11333</v>
      </c>
      <c r="Y5237" t="s">
        <v>11346</v>
      </c>
      <c r="Z5237" t="s">
        <v>13147</v>
      </c>
      <c r="AB5237" t="s">
        <v>19011</v>
      </c>
      <c r="AC5237">
        <v>2</v>
      </c>
      <c r="AD5237" t="s">
        <v>15441</v>
      </c>
      <c r="AE5237" t="s">
        <v>19582</v>
      </c>
      <c r="AF5237">
        <v>7</v>
      </c>
      <c r="AG5237">
        <v>3</v>
      </c>
      <c r="AH5237">
        <v>1</v>
      </c>
      <c r="AI5237">
        <v>232.96</v>
      </c>
      <c r="AL5237" t="s">
        <v>19614</v>
      </c>
      <c r="AM5237">
        <v>59988</v>
      </c>
      <c r="AS5237">
        <v>0.1</v>
      </c>
      <c r="AT5237" t="s">
        <v>492</v>
      </c>
      <c r="AU5237" t="s">
        <v>20642</v>
      </c>
      <c r="AV5237" t="s">
        <v>20733</v>
      </c>
    </row>
    <row r="5238" spans="1:48">
      <c r="A5238" s="1">
        <f>HYPERLINK("https://lsnyc.legalserver.org/matter/dynamic-profile/view/1907712","19-1907712")</f>
        <v>0</v>
      </c>
      <c r="B5238" t="s">
        <v>55</v>
      </c>
      <c r="C5238" t="s">
        <v>256</v>
      </c>
      <c r="D5238" t="s">
        <v>429</v>
      </c>
      <c r="F5238" t="s">
        <v>1450</v>
      </c>
      <c r="G5238" t="s">
        <v>5321</v>
      </c>
      <c r="H5238" t="s">
        <v>7925</v>
      </c>
      <c r="I5238" t="s">
        <v>8225</v>
      </c>
      <c r="J5238" t="s">
        <v>9050</v>
      </c>
      <c r="K5238">
        <v>11377</v>
      </c>
      <c r="L5238" t="s">
        <v>9094</v>
      </c>
      <c r="M5238" t="s">
        <v>9095</v>
      </c>
      <c r="N5238" t="s">
        <v>10947</v>
      </c>
      <c r="O5238" t="s">
        <v>11134</v>
      </c>
      <c r="P5238" t="s">
        <v>11168</v>
      </c>
      <c r="R5238" t="s">
        <v>11180</v>
      </c>
      <c r="S5238" t="s">
        <v>9094</v>
      </c>
      <c r="T5238" t="s">
        <v>11183</v>
      </c>
      <c r="U5238" t="s">
        <v>11201</v>
      </c>
      <c r="V5238" t="s">
        <v>429</v>
      </c>
      <c r="W5238">
        <v>0</v>
      </c>
      <c r="X5238" t="s">
        <v>11331</v>
      </c>
      <c r="Y5238" t="s">
        <v>11346</v>
      </c>
      <c r="Z5238" t="s">
        <v>14688</v>
      </c>
      <c r="AB5238" t="s">
        <v>19012</v>
      </c>
      <c r="AC5238">
        <v>390</v>
      </c>
      <c r="AD5238" t="s">
        <v>19566</v>
      </c>
      <c r="AE5238" t="s">
        <v>9144</v>
      </c>
      <c r="AF5238">
        <v>32</v>
      </c>
      <c r="AG5238">
        <v>4</v>
      </c>
      <c r="AH5238">
        <v>0</v>
      </c>
      <c r="AI5238">
        <v>233.01</v>
      </c>
      <c r="AJ5238" t="s">
        <v>476</v>
      </c>
      <c r="AK5238" t="s">
        <v>19612</v>
      </c>
      <c r="AL5238" t="s">
        <v>19615</v>
      </c>
      <c r="AM5238">
        <v>60000</v>
      </c>
      <c r="AP5238" t="s">
        <v>11157</v>
      </c>
      <c r="AS5238">
        <v>0.45</v>
      </c>
      <c r="AT5238" t="s">
        <v>297</v>
      </c>
      <c r="AU5238" t="s">
        <v>20620</v>
      </c>
      <c r="AV5238" t="s">
        <v>20733</v>
      </c>
    </row>
    <row r="5239" spans="1:48">
      <c r="A5239" s="1">
        <f>HYPERLINK("https://lsnyc.legalserver.org/matter/dynamic-profile/view/1911939","19-1911939")</f>
        <v>0</v>
      </c>
      <c r="B5239" t="s">
        <v>142</v>
      </c>
      <c r="C5239" t="s">
        <v>256</v>
      </c>
      <c r="D5239" t="s">
        <v>292</v>
      </c>
      <c r="F5239" t="s">
        <v>1147</v>
      </c>
      <c r="G5239" t="s">
        <v>3858</v>
      </c>
      <c r="H5239" t="s">
        <v>6596</v>
      </c>
      <c r="I5239" t="s">
        <v>8329</v>
      </c>
      <c r="J5239" t="s">
        <v>9067</v>
      </c>
      <c r="K5239">
        <v>10035</v>
      </c>
      <c r="L5239" t="s">
        <v>9094</v>
      </c>
      <c r="M5239" t="s">
        <v>9095</v>
      </c>
      <c r="N5239" t="s">
        <v>10948</v>
      </c>
      <c r="O5239" t="s">
        <v>11134</v>
      </c>
      <c r="P5239" t="s">
        <v>11168</v>
      </c>
      <c r="R5239" t="s">
        <v>11180</v>
      </c>
      <c r="S5239" t="s">
        <v>9094</v>
      </c>
      <c r="T5239" t="s">
        <v>11183</v>
      </c>
      <c r="U5239" t="s">
        <v>11201</v>
      </c>
      <c r="V5239" t="s">
        <v>292</v>
      </c>
      <c r="W5239">
        <v>1116</v>
      </c>
      <c r="X5239" t="s">
        <v>11335</v>
      </c>
      <c r="Y5239" t="s">
        <v>11339</v>
      </c>
      <c r="Z5239" t="s">
        <v>14689</v>
      </c>
      <c r="AC5239">
        <v>60</v>
      </c>
      <c r="AD5239" t="s">
        <v>19566</v>
      </c>
      <c r="AE5239" t="s">
        <v>9144</v>
      </c>
      <c r="AF5239">
        <v>18</v>
      </c>
      <c r="AG5239">
        <v>2</v>
      </c>
      <c r="AH5239">
        <v>2</v>
      </c>
      <c r="AI5239">
        <v>233.01</v>
      </c>
      <c r="AL5239" t="s">
        <v>19614</v>
      </c>
      <c r="AM5239">
        <v>60000</v>
      </c>
      <c r="AS5239">
        <v>0</v>
      </c>
      <c r="AU5239" t="s">
        <v>20657</v>
      </c>
      <c r="AV5239" t="s">
        <v>20733</v>
      </c>
    </row>
    <row r="5240" spans="1:48">
      <c r="A5240" s="1">
        <f>HYPERLINK("https://lsnyc.legalserver.org/matter/dynamic-profile/view/1914283","19-1914283")</f>
        <v>0</v>
      </c>
      <c r="B5240" t="s">
        <v>142</v>
      </c>
      <c r="C5240" t="s">
        <v>256</v>
      </c>
      <c r="D5240" t="s">
        <v>496</v>
      </c>
      <c r="F5240" t="s">
        <v>1147</v>
      </c>
      <c r="G5240" t="s">
        <v>3858</v>
      </c>
      <c r="H5240" t="s">
        <v>6596</v>
      </c>
      <c r="I5240" t="s">
        <v>8329</v>
      </c>
      <c r="J5240" t="s">
        <v>9067</v>
      </c>
      <c r="K5240">
        <v>10035</v>
      </c>
      <c r="L5240" t="s">
        <v>9094</v>
      </c>
      <c r="M5240" t="s">
        <v>9095</v>
      </c>
      <c r="N5240" t="s">
        <v>10949</v>
      </c>
      <c r="O5240" t="s">
        <v>11130</v>
      </c>
      <c r="P5240" t="s">
        <v>11165</v>
      </c>
      <c r="R5240" t="s">
        <v>11180</v>
      </c>
      <c r="S5240" t="s">
        <v>9094</v>
      </c>
      <c r="T5240" t="s">
        <v>11183</v>
      </c>
      <c r="U5240" t="s">
        <v>11201</v>
      </c>
      <c r="V5240" t="s">
        <v>496</v>
      </c>
      <c r="W5240">
        <v>1116</v>
      </c>
      <c r="X5240" t="s">
        <v>11335</v>
      </c>
      <c r="Y5240" t="s">
        <v>11339</v>
      </c>
      <c r="Z5240" t="s">
        <v>14689</v>
      </c>
      <c r="AC5240">
        <v>60</v>
      </c>
      <c r="AD5240" t="s">
        <v>19566</v>
      </c>
      <c r="AE5240" t="s">
        <v>9144</v>
      </c>
      <c r="AF5240">
        <v>18</v>
      </c>
      <c r="AG5240">
        <v>2</v>
      </c>
      <c r="AH5240">
        <v>2</v>
      </c>
      <c r="AI5240">
        <v>233.01</v>
      </c>
      <c r="AL5240" t="s">
        <v>19614</v>
      </c>
      <c r="AM5240">
        <v>60000</v>
      </c>
      <c r="AS5240">
        <v>0</v>
      </c>
      <c r="AU5240" t="s">
        <v>20657</v>
      </c>
      <c r="AV5240" t="s">
        <v>20733</v>
      </c>
    </row>
    <row r="5241" spans="1:48">
      <c r="A5241" s="1">
        <f>HYPERLINK("https://lsnyc.legalserver.org/matter/dynamic-profile/view/1864035","18-1864035")</f>
        <v>0</v>
      </c>
      <c r="B5241" t="s">
        <v>136</v>
      </c>
      <c r="C5241" t="s">
        <v>256</v>
      </c>
      <c r="D5241" t="s">
        <v>505</v>
      </c>
      <c r="F5241" t="s">
        <v>2876</v>
      </c>
      <c r="G5241" t="s">
        <v>5322</v>
      </c>
      <c r="H5241" t="s">
        <v>5961</v>
      </c>
      <c r="I5241">
        <v>402</v>
      </c>
      <c r="J5241" t="s">
        <v>9067</v>
      </c>
      <c r="K5241">
        <v>10029</v>
      </c>
      <c r="L5241" t="s">
        <v>9094</v>
      </c>
      <c r="M5241" t="s">
        <v>9094</v>
      </c>
      <c r="N5241" t="s">
        <v>9287</v>
      </c>
      <c r="O5241" t="s">
        <v>11130</v>
      </c>
      <c r="P5241" t="s">
        <v>11165</v>
      </c>
      <c r="R5241" t="s">
        <v>11180</v>
      </c>
      <c r="S5241" t="s">
        <v>9094</v>
      </c>
      <c r="T5241" t="s">
        <v>11183</v>
      </c>
      <c r="U5241" t="s">
        <v>11201</v>
      </c>
      <c r="V5241" t="s">
        <v>505</v>
      </c>
      <c r="W5241">
        <v>0</v>
      </c>
      <c r="X5241" t="s">
        <v>11335</v>
      </c>
      <c r="Y5241" t="s">
        <v>11339</v>
      </c>
      <c r="Z5241" t="s">
        <v>14690</v>
      </c>
      <c r="AC5241">
        <v>108</v>
      </c>
      <c r="AD5241" t="s">
        <v>19567</v>
      </c>
      <c r="AE5241" t="s">
        <v>19580</v>
      </c>
      <c r="AF5241">
        <v>4</v>
      </c>
      <c r="AG5241">
        <v>1</v>
      </c>
      <c r="AH5241">
        <v>1</v>
      </c>
      <c r="AI5241">
        <v>233.29</v>
      </c>
      <c r="AL5241" t="s">
        <v>19614</v>
      </c>
      <c r="AM5241">
        <v>38400</v>
      </c>
      <c r="AS5241">
        <v>3.1</v>
      </c>
      <c r="AT5241" t="s">
        <v>435</v>
      </c>
      <c r="AU5241" t="s">
        <v>20657</v>
      </c>
    </row>
    <row r="5242" spans="1:48">
      <c r="A5242" s="1">
        <f>HYPERLINK("https://lsnyc.legalserver.org/matter/dynamic-profile/view/1873600","18-1873600")</f>
        <v>0</v>
      </c>
      <c r="B5242" t="s">
        <v>144</v>
      </c>
      <c r="C5242" t="s">
        <v>256</v>
      </c>
      <c r="D5242" t="s">
        <v>808</v>
      </c>
      <c r="F5242" t="s">
        <v>2876</v>
      </c>
      <c r="G5242" t="s">
        <v>5322</v>
      </c>
      <c r="H5242" t="s">
        <v>5961</v>
      </c>
      <c r="I5242">
        <v>402</v>
      </c>
      <c r="J5242" t="s">
        <v>9067</v>
      </c>
      <c r="K5242">
        <v>10029</v>
      </c>
      <c r="L5242" t="s">
        <v>9094</v>
      </c>
      <c r="M5242" t="s">
        <v>9094</v>
      </c>
      <c r="N5242" t="s">
        <v>10950</v>
      </c>
      <c r="O5242" t="s">
        <v>11129</v>
      </c>
      <c r="P5242" t="s">
        <v>11165</v>
      </c>
      <c r="R5242" t="s">
        <v>11180</v>
      </c>
      <c r="S5242" t="s">
        <v>9096</v>
      </c>
      <c r="T5242" t="s">
        <v>11183</v>
      </c>
      <c r="V5242" t="s">
        <v>808</v>
      </c>
      <c r="W5242">
        <v>0</v>
      </c>
      <c r="X5242" t="s">
        <v>11335</v>
      </c>
      <c r="Y5242" t="s">
        <v>11339</v>
      </c>
      <c r="Z5242" t="s">
        <v>14690</v>
      </c>
      <c r="AC5242">
        <v>108</v>
      </c>
      <c r="AD5242" t="s">
        <v>19567</v>
      </c>
      <c r="AE5242" t="s">
        <v>19580</v>
      </c>
      <c r="AF5242">
        <v>4</v>
      </c>
      <c r="AG5242">
        <v>1</v>
      </c>
      <c r="AH5242">
        <v>1</v>
      </c>
      <c r="AI5242">
        <v>233.29</v>
      </c>
      <c r="AJ5242" t="s">
        <v>458</v>
      </c>
      <c r="AK5242" t="s">
        <v>19612</v>
      </c>
      <c r="AL5242" t="s">
        <v>19614</v>
      </c>
      <c r="AM5242">
        <v>38400</v>
      </c>
      <c r="AS5242">
        <v>6.55</v>
      </c>
      <c r="AT5242" t="s">
        <v>728</v>
      </c>
      <c r="AU5242" t="s">
        <v>20657</v>
      </c>
    </row>
    <row r="5243" spans="1:48">
      <c r="A5243" s="1">
        <f>HYPERLINK("https://lsnyc.legalserver.org/matter/dynamic-profile/view/1843868","17-1843868")</f>
        <v>0</v>
      </c>
      <c r="B5243" t="s">
        <v>221</v>
      </c>
      <c r="C5243" t="s">
        <v>257</v>
      </c>
      <c r="D5243" t="s">
        <v>1085</v>
      </c>
      <c r="E5243" t="s">
        <v>396</v>
      </c>
      <c r="F5243" t="s">
        <v>1314</v>
      </c>
      <c r="G5243" t="s">
        <v>4928</v>
      </c>
      <c r="H5243" t="s">
        <v>6943</v>
      </c>
      <c r="I5243" t="s">
        <v>8931</v>
      </c>
      <c r="J5243" t="s">
        <v>9067</v>
      </c>
      <c r="K5243">
        <v>10040</v>
      </c>
      <c r="L5243" t="s">
        <v>9094</v>
      </c>
      <c r="M5243" t="s">
        <v>9095</v>
      </c>
      <c r="N5243" t="s">
        <v>10951</v>
      </c>
      <c r="O5243" t="s">
        <v>11128</v>
      </c>
      <c r="P5243" t="s">
        <v>11165</v>
      </c>
      <c r="Q5243" t="s">
        <v>11174</v>
      </c>
      <c r="R5243" t="s">
        <v>11180</v>
      </c>
      <c r="S5243" t="s">
        <v>9096</v>
      </c>
      <c r="T5243" t="s">
        <v>11183</v>
      </c>
      <c r="U5243" t="s">
        <v>11201</v>
      </c>
      <c r="V5243" t="s">
        <v>856</v>
      </c>
      <c r="W5243">
        <v>1100</v>
      </c>
      <c r="X5243" t="s">
        <v>11335</v>
      </c>
      <c r="Y5243" t="s">
        <v>11338</v>
      </c>
      <c r="Z5243" t="s">
        <v>14691</v>
      </c>
      <c r="AB5243" t="s">
        <v>19013</v>
      </c>
      <c r="AC5243">
        <v>185</v>
      </c>
      <c r="AD5243" t="s">
        <v>19566</v>
      </c>
      <c r="AE5243" t="s">
        <v>9144</v>
      </c>
      <c r="AF5243">
        <v>20</v>
      </c>
      <c r="AG5243">
        <v>2</v>
      </c>
      <c r="AH5243">
        <v>0</v>
      </c>
      <c r="AI5243">
        <v>233.99</v>
      </c>
      <c r="AJ5243" t="s">
        <v>11246</v>
      </c>
      <c r="AL5243" t="s">
        <v>19614</v>
      </c>
      <c r="AM5243">
        <v>38000</v>
      </c>
      <c r="AO5243" t="s">
        <v>20290</v>
      </c>
      <c r="AP5243" t="s">
        <v>20346</v>
      </c>
      <c r="AR5243" t="s">
        <v>20568</v>
      </c>
      <c r="AS5243">
        <v>58.3</v>
      </c>
      <c r="AT5243" t="s">
        <v>676</v>
      </c>
      <c r="AU5243" t="s">
        <v>20655</v>
      </c>
    </row>
    <row r="5244" spans="1:48">
      <c r="A5244" s="1">
        <f>HYPERLINK("https://lsnyc.legalserver.org/matter/dynamic-profile/view/1836934","17-1836934")</f>
        <v>0</v>
      </c>
      <c r="B5244" t="s">
        <v>138</v>
      </c>
      <c r="C5244" t="s">
        <v>256</v>
      </c>
      <c r="D5244" t="s">
        <v>1101</v>
      </c>
      <c r="F5244" t="s">
        <v>2373</v>
      </c>
      <c r="G5244" t="s">
        <v>5323</v>
      </c>
      <c r="H5244" t="s">
        <v>7926</v>
      </c>
      <c r="I5244" t="s">
        <v>8265</v>
      </c>
      <c r="J5244" t="s">
        <v>9067</v>
      </c>
      <c r="K5244">
        <v>10034</v>
      </c>
      <c r="L5244" t="s">
        <v>9094</v>
      </c>
      <c r="M5244" t="s">
        <v>9095</v>
      </c>
      <c r="O5244" t="s">
        <v>11135</v>
      </c>
      <c r="P5244" t="s">
        <v>11168</v>
      </c>
      <c r="R5244" t="s">
        <v>11180</v>
      </c>
      <c r="S5244" t="s">
        <v>9096</v>
      </c>
      <c r="T5244" t="s">
        <v>11183</v>
      </c>
      <c r="V5244" t="s">
        <v>837</v>
      </c>
      <c r="W5244">
        <v>1714</v>
      </c>
      <c r="X5244" t="s">
        <v>11335</v>
      </c>
      <c r="Y5244" t="s">
        <v>11342</v>
      </c>
      <c r="Z5244" t="s">
        <v>14692</v>
      </c>
      <c r="AB5244" t="s">
        <v>19014</v>
      </c>
      <c r="AC5244">
        <v>110</v>
      </c>
      <c r="AD5244" t="s">
        <v>19566</v>
      </c>
      <c r="AE5244" t="s">
        <v>9144</v>
      </c>
      <c r="AF5244">
        <v>21</v>
      </c>
      <c r="AG5244">
        <v>1</v>
      </c>
      <c r="AH5244">
        <v>1</v>
      </c>
      <c r="AI5244">
        <v>233.99</v>
      </c>
      <c r="AJ5244" t="s">
        <v>595</v>
      </c>
      <c r="AL5244" t="s">
        <v>19614</v>
      </c>
      <c r="AM5244">
        <v>38000</v>
      </c>
      <c r="AS5244">
        <v>56.9</v>
      </c>
      <c r="AT5244" t="s">
        <v>906</v>
      </c>
      <c r="AU5244" t="s">
        <v>20635</v>
      </c>
    </row>
    <row r="5245" spans="1:48">
      <c r="A5245" s="1">
        <f>HYPERLINK("https://lsnyc.legalserver.org/matter/dynamic-profile/view/1837984","17-1837984")</f>
        <v>0</v>
      </c>
      <c r="B5245" t="s">
        <v>138</v>
      </c>
      <c r="C5245" t="s">
        <v>256</v>
      </c>
      <c r="D5245" t="s">
        <v>789</v>
      </c>
      <c r="F5245" t="s">
        <v>2373</v>
      </c>
      <c r="G5245" t="s">
        <v>5323</v>
      </c>
      <c r="H5245" t="s">
        <v>7926</v>
      </c>
      <c r="I5245" t="s">
        <v>8265</v>
      </c>
      <c r="J5245" t="s">
        <v>9067</v>
      </c>
      <c r="K5245">
        <v>10034</v>
      </c>
      <c r="L5245" t="s">
        <v>9094</v>
      </c>
      <c r="M5245" t="s">
        <v>9095</v>
      </c>
      <c r="N5245" t="s">
        <v>10952</v>
      </c>
      <c r="O5245" t="s">
        <v>11128</v>
      </c>
      <c r="P5245" t="s">
        <v>11165</v>
      </c>
      <c r="R5245" t="s">
        <v>11180</v>
      </c>
      <c r="S5245" t="s">
        <v>9096</v>
      </c>
      <c r="T5245" t="s">
        <v>11183</v>
      </c>
      <c r="V5245" t="s">
        <v>11285</v>
      </c>
      <c r="W5245">
        <v>1714</v>
      </c>
      <c r="X5245" t="s">
        <v>11335</v>
      </c>
      <c r="Y5245" t="s">
        <v>11340</v>
      </c>
      <c r="Z5245" t="s">
        <v>14692</v>
      </c>
      <c r="AB5245" t="s">
        <v>19014</v>
      </c>
      <c r="AC5245">
        <v>110</v>
      </c>
      <c r="AD5245" t="s">
        <v>19566</v>
      </c>
      <c r="AE5245" t="s">
        <v>9144</v>
      </c>
      <c r="AF5245">
        <v>21</v>
      </c>
      <c r="AG5245">
        <v>1</v>
      </c>
      <c r="AH5245">
        <v>1</v>
      </c>
      <c r="AI5245">
        <v>233.99</v>
      </c>
      <c r="AJ5245" t="s">
        <v>595</v>
      </c>
      <c r="AL5245" t="s">
        <v>19614</v>
      </c>
      <c r="AM5245">
        <v>38000</v>
      </c>
      <c r="AS5245">
        <v>126.95</v>
      </c>
      <c r="AT5245" t="s">
        <v>728</v>
      </c>
      <c r="AU5245" t="s">
        <v>20657</v>
      </c>
    </row>
    <row r="5246" spans="1:48">
      <c r="A5246" s="1">
        <f>HYPERLINK("https://lsnyc.legalserver.org/matter/dynamic-profile/view/1875383","18-1875383")</f>
        <v>0</v>
      </c>
      <c r="B5246" t="s">
        <v>92</v>
      </c>
      <c r="C5246" t="s">
        <v>257</v>
      </c>
      <c r="D5246" t="s">
        <v>565</v>
      </c>
      <c r="E5246" t="s">
        <v>270</v>
      </c>
      <c r="F5246" t="s">
        <v>3038</v>
      </c>
      <c r="G5246" t="s">
        <v>5119</v>
      </c>
      <c r="H5246" t="s">
        <v>6919</v>
      </c>
      <c r="I5246" t="s">
        <v>8161</v>
      </c>
      <c r="J5246" t="s">
        <v>9059</v>
      </c>
      <c r="K5246">
        <v>11233</v>
      </c>
      <c r="L5246" t="s">
        <v>9094</v>
      </c>
      <c r="M5246" t="s">
        <v>9094</v>
      </c>
      <c r="N5246" t="s">
        <v>10953</v>
      </c>
      <c r="O5246" t="s">
        <v>11128</v>
      </c>
      <c r="P5246" t="s">
        <v>11165</v>
      </c>
      <c r="Q5246" t="s">
        <v>11174</v>
      </c>
      <c r="R5246" t="s">
        <v>11180</v>
      </c>
      <c r="S5246" t="s">
        <v>9094</v>
      </c>
      <c r="T5246" t="s">
        <v>11183</v>
      </c>
      <c r="U5246" t="s">
        <v>11201</v>
      </c>
      <c r="V5246" t="s">
        <v>269</v>
      </c>
      <c r="W5246">
        <v>1328</v>
      </c>
      <c r="X5246" t="s">
        <v>11332</v>
      </c>
      <c r="Y5246" t="s">
        <v>11345</v>
      </c>
      <c r="Z5246" t="s">
        <v>14693</v>
      </c>
      <c r="AB5246" t="s">
        <v>19015</v>
      </c>
      <c r="AC5246">
        <v>6</v>
      </c>
      <c r="AD5246" t="s">
        <v>19566</v>
      </c>
      <c r="AE5246" t="s">
        <v>9144</v>
      </c>
      <c r="AF5246">
        <v>5</v>
      </c>
      <c r="AG5246">
        <v>1</v>
      </c>
      <c r="AH5246">
        <v>0</v>
      </c>
      <c r="AI5246">
        <v>234.3</v>
      </c>
      <c r="AL5246" t="s">
        <v>19614</v>
      </c>
      <c r="AM5246">
        <v>28444</v>
      </c>
      <c r="AS5246">
        <v>7.3</v>
      </c>
      <c r="AT5246" t="s">
        <v>427</v>
      </c>
      <c r="AU5246" t="s">
        <v>95</v>
      </c>
      <c r="AV5246" t="s">
        <v>20733</v>
      </c>
    </row>
    <row r="5247" spans="1:48">
      <c r="A5247" s="1">
        <f>HYPERLINK("https://lsnyc.legalserver.org/matter/dynamic-profile/view/1882211","18-1882211")</f>
        <v>0</v>
      </c>
      <c r="B5247" t="s">
        <v>92</v>
      </c>
      <c r="C5247" t="s">
        <v>256</v>
      </c>
      <c r="D5247" t="s">
        <v>697</v>
      </c>
      <c r="F5247" t="s">
        <v>3038</v>
      </c>
      <c r="G5247" t="s">
        <v>5119</v>
      </c>
      <c r="H5247" t="s">
        <v>6919</v>
      </c>
      <c r="I5247" t="s">
        <v>8161</v>
      </c>
      <c r="J5247" t="s">
        <v>9059</v>
      </c>
      <c r="K5247">
        <v>11233</v>
      </c>
      <c r="L5247" t="s">
        <v>9094</v>
      </c>
      <c r="M5247" t="s">
        <v>9094</v>
      </c>
      <c r="O5247" t="s">
        <v>11137</v>
      </c>
      <c r="P5247" t="s">
        <v>11167</v>
      </c>
      <c r="R5247" t="s">
        <v>11180</v>
      </c>
      <c r="S5247" t="s">
        <v>9094</v>
      </c>
      <c r="T5247" t="s">
        <v>11183</v>
      </c>
      <c r="U5247" t="s">
        <v>11201</v>
      </c>
      <c r="V5247" t="s">
        <v>11316</v>
      </c>
      <c r="W5247">
        <v>1328</v>
      </c>
      <c r="X5247" t="s">
        <v>11332</v>
      </c>
      <c r="Y5247" t="s">
        <v>11340</v>
      </c>
      <c r="Z5247" t="s">
        <v>14693</v>
      </c>
      <c r="AA5247" t="s">
        <v>9144</v>
      </c>
      <c r="AB5247" t="s">
        <v>19015</v>
      </c>
      <c r="AC5247">
        <v>6</v>
      </c>
      <c r="AD5247" t="s">
        <v>19566</v>
      </c>
      <c r="AE5247" t="s">
        <v>9144</v>
      </c>
      <c r="AF5247">
        <v>5</v>
      </c>
      <c r="AG5247">
        <v>1</v>
      </c>
      <c r="AH5247">
        <v>0</v>
      </c>
      <c r="AI5247">
        <v>234.3</v>
      </c>
      <c r="AL5247" t="s">
        <v>19614</v>
      </c>
      <c r="AM5247">
        <v>28444</v>
      </c>
      <c r="AN5247" t="s">
        <v>20098</v>
      </c>
      <c r="AS5247">
        <v>0</v>
      </c>
      <c r="AU5247" t="s">
        <v>95</v>
      </c>
    </row>
    <row r="5248" spans="1:48">
      <c r="A5248" s="1">
        <f>HYPERLINK("https://lsnyc.legalserver.org/matter/dynamic-profile/view/1912664","19-1912664")</f>
        <v>0</v>
      </c>
      <c r="B5248" t="s">
        <v>173</v>
      </c>
      <c r="C5248" t="s">
        <v>256</v>
      </c>
      <c r="D5248" t="s">
        <v>488</v>
      </c>
      <c r="F5248" t="s">
        <v>1365</v>
      </c>
      <c r="G5248" t="s">
        <v>4892</v>
      </c>
      <c r="H5248" t="s">
        <v>5725</v>
      </c>
      <c r="I5248" t="s">
        <v>8142</v>
      </c>
      <c r="J5248" t="s">
        <v>9054</v>
      </c>
      <c r="K5248">
        <v>11368</v>
      </c>
      <c r="L5248" t="s">
        <v>9096</v>
      </c>
      <c r="M5248" t="s">
        <v>9095</v>
      </c>
      <c r="N5248" t="s">
        <v>10954</v>
      </c>
      <c r="O5248" t="s">
        <v>11129</v>
      </c>
      <c r="P5248" t="s">
        <v>11165</v>
      </c>
      <c r="R5248" t="s">
        <v>11180</v>
      </c>
      <c r="S5248" t="s">
        <v>9096</v>
      </c>
      <c r="T5248" t="s">
        <v>11183</v>
      </c>
      <c r="U5248" t="s">
        <v>11201</v>
      </c>
      <c r="V5248" t="s">
        <v>488</v>
      </c>
      <c r="W5248">
        <v>1694.28</v>
      </c>
      <c r="X5248" t="s">
        <v>11331</v>
      </c>
      <c r="Y5248" t="s">
        <v>11339</v>
      </c>
      <c r="Z5248" t="s">
        <v>14694</v>
      </c>
      <c r="AB5248" t="s">
        <v>19016</v>
      </c>
      <c r="AC5248">
        <v>237</v>
      </c>
      <c r="AD5248" t="s">
        <v>19566</v>
      </c>
      <c r="AF5248">
        <v>19</v>
      </c>
      <c r="AG5248">
        <v>3</v>
      </c>
      <c r="AH5248">
        <v>0</v>
      </c>
      <c r="AI5248">
        <v>234.41</v>
      </c>
      <c r="AL5248" t="s">
        <v>19614</v>
      </c>
      <c r="AM5248">
        <v>50000</v>
      </c>
      <c r="AS5248">
        <v>3.2</v>
      </c>
      <c r="AT5248" t="s">
        <v>487</v>
      </c>
      <c r="AU5248" t="s">
        <v>173</v>
      </c>
      <c r="AV5248" t="s">
        <v>20733</v>
      </c>
    </row>
    <row r="5249" spans="1:48">
      <c r="A5249" s="1">
        <f>HYPERLINK("https://lsnyc.legalserver.org/matter/dynamic-profile/view/1905705","19-1905705")</f>
        <v>0</v>
      </c>
      <c r="B5249" t="s">
        <v>78</v>
      </c>
      <c r="C5249" t="s">
        <v>256</v>
      </c>
      <c r="D5249" t="s">
        <v>328</v>
      </c>
      <c r="F5249" t="s">
        <v>1287</v>
      </c>
      <c r="G5249" t="s">
        <v>5324</v>
      </c>
      <c r="H5249" t="s">
        <v>5805</v>
      </c>
      <c r="I5249" t="s">
        <v>8266</v>
      </c>
      <c r="J5249" t="s">
        <v>9059</v>
      </c>
      <c r="K5249">
        <v>11213</v>
      </c>
      <c r="L5249" t="s">
        <v>9094</v>
      </c>
      <c r="M5249" t="s">
        <v>9095</v>
      </c>
      <c r="N5249" t="s">
        <v>9184</v>
      </c>
      <c r="O5249" t="s">
        <v>11132</v>
      </c>
      <c r="P5249" t="s">
        <v>11167</v>
      </c>
      <c r="R5249" t="s">
        <v>11180</v>
      </c>
      <c r="S5249" t="s">
        <v>9094</v>
      </c>
      <c r="T5249" t="s">
        <v>11186</v>
      </c>
      <c r="U5249" t="s">
        <v>11201</v>
      </c>
      <c r="V5249" t="s">
        <v>512</v>
      </c>
      <c r="W5249">
        <v>693</v>
      </c>
      <c r="X5249" t="s">
        <v>11332</v>
      </c>
      <c r="Y5249" t="s">
        <v>11348</v>
      </c>
      <c r="Z5249" t="s">
        <v>14695</v>
      </c>
      <c r="AA5249" t="s">
        <v>9144</v>
      </c>
      <c r="AB5249" t="s">
        <v>19017</v>
      </c>
      <c r="AC5249">
        <v>19</v>
      </c>
      <c r="AD5249" t="s">
        <v>19566</v>
      </c>
      <c r="AE5249" t="s">
        <v>9144</v>
      </c>
      <c r="AF5249">
        <v>20</v>
      </c>
      <c r="AG5249">
        <v>2</v>
      </c>
      <c r="AH5249">
        <v>1</v>
      </c>
      <c r="AI5249">
        <v>234.41</v>
      </c>
      <c r="AL5249" t="s">
        <v>19614</v>
      </c>
      <c r="AM5249">
        <v>50000</v>
      </c>
      <c r="AN5249" t="s">
        <v>20099</v>
      </c>
      <c r="AS5249">
        <v>0</v>
      </c>
      <c r="AU5249" t="s">
        <v>79</v>
      </c>
      <c r="AV5249" t="s">
        <v>20733</v>
      </c>
    </row>
    <row r="5250" spans="1:48">
      <c r="A5250" s="1">
        <f>HYPERLINK("https://lsnyc.legalserver.org/matter/dynamic-profile/view/1900658","19-1900658")</f>
        <v>0</v>
      </c>
      <c r="B5250" t="s">
        <v>151</v>
      </c>
      <c r="C5250" t="s">
        <v>256</v>
      </c>
      <c r="D5250" t="s">
        <v>283</v>
      </c>
      <c r="F5250" t="s">
        <v>1287</v>
      </c>
      <c r="G5250" t="s">
        <v>5324</v>
      </c>
      <c r="H5250" t="s">
        <v>5805</v>
      </c>
      <c r="I5250" t="s">
        <v>8266</v>
      </c>
      <c r="J5250" t="s">
        <v>9059</v>
      </c>
      <c r="K5250">
        <v>11213</v>
      </c>
      <c r="L5250" t="s">
        <v>9094</v>
      </c>
      <c r="M5250" t="s">
        <v>9095</v>
      </c>
      <c r="N5250" t="s">
        <v>9669</v>
      </c>
      <c r="O5250" t="s">
        <v>11129</v>
      </c>
      <c r="P5250" t="s">
        <v>11165</v>
      </c>
      <c r="R5250" t="s">
        <v>11180</v>
      </c>
      <c r="T5250" t="s">
        <v>11183</v>
      </c>
      <c r="U5250" t="s">
        <v>11201</v>
      </c>
      <c r="V5250" t="s">
        <v>614</v>
      </c>
      <c r="W5250">
        <v>693</v>
      </c>
      <c r="X5250" t="s">
        <v>11332</v>
      </c>
      <c r="Y5250" t="s">
        <v>11348</v>
      </c>
      <c r="Z5250" t="s">
        <v>14695</v>
      </c>
      <c r="AB5250" t="s">
        <v>19017</v>
      </c>
      <c r="AC5250">
        <v>19</v>
      </c>
      <c r="AD5250" t="s">
        <v>19566</v>
      </c>
      <c r="AE5250" t="s">
        <v>9144</v>
      </c>
      <c r="AF5250">
        <v>20</v>
      </c>
      <c r="AG5250">
        <v>2</v>
      </c>
      <c r="AH5250">
        <v>1</v>
      </c>
      <c r="AI5250">
        <v>234.41</v>
      </c>
      <c r="AJ5250" t="s">
        <v>265</v>
      </c>
      <c r="AK5250" t="s">
        <v>19612</v>
      </c>
      <c r="AL5250" t="s">
        <v>19614</v>
      </c>
      <c r="AM5250">
        <v>50000</v>
      </c>
      <c r="AN5250" t="s">
        <v>20100</v>
      </c>
      <c r="AS5250">
        <v>27.45</v>
      </c>
      <c r="AT5250" t="s">
        <v>339</v>
      </c>
      <c r="AU5250" t="s">
        <v>95</v>
      </c>
      <c r="AV5250" t="s">
        <v>20733</v>
      </c>
    </row>
    <row r="5251" spans="1:48">
      <c r="A5251" s="1">
        <f>HYPERLINK("https://lsnyc.legalserver.org/matter/dynamic-profile/view/1895319","19-1895319")</f>
        <v>0</v>
      </c>
      <c r="B5251" t="s">
        <v>102</v>
      </c>
      <c r="C5251" t="s">
        <v>256</v>
      </c>
      <c r="D5251" t="s">
        <v>264</v>
      </c>
      <c r="F5251" t="s">
        <v>1287</v>
      </c>
      <c r="G5251" t="s">
        <v>5324</v>
      </c>
      <c r="H5251" t="s">
        <v>5805</v>
      </c>
      <c r="I5251" t="s">
        <v>8266</v>
      </c>
      <c r="J5251" t="s">
        <v>9059</v>
      </c>
      <c r="K5251">
        <v>11213</v>
      </c>
      <c r="L5251" t="s">
        <v>9094</v>
      </c>
      <c r="M5251" t="s">
        <v>9094</v>
      </c>
      <c r="N5251" t="s">
        <v>10955</v>
      </c>
      <c r="O5251" t="s">
        <v>11141</v>
      </c>
      <c r="P5251" t="s">
        <v>11170</v>
      </c>
      <c r="R5251" t="s">
        <v>11180</v>
      </c>
      <c r="S5251" t="s">
        <v>9094</v>
      </c>
      <c r="T5251" t="s">
        <v>11185</v>
      </c>
      <c r="U5251" t="s">
        <v>11201</v>
      </c>
      <c r="V5251" t="s">
        <v>264</v>
      </c>
      <c r="W5251">
        <v>693</v>
      </c>
      <c r="X5251" t="s">
        <v>11332</v>
      </c>
      <c r="Y5251" t="s">
        <v>11348</v>
      </c>
      <c r="Z5251" t="s">
        <v>14695</v>
      </c>
      <c r="AB5251" t="s">
        <v>19017</v>
      </c>
      <c r="AC5251">
        <v>19</v>
      </c>
      <c r="AD5251" t="s">
        <v>19566</v>
      </c>
      <c r="AE5251" t="s">
        <v>9144</v>
      </c>
      <c r="AF5251">
        <v>20</v>
      </c>
      <c r="AG5251">
        <v>2</v>
      </c>
      <c r="AH5251">
        <v>1</v>
      </c>
      <c r="AI5251">
        <v>234.41</v>
      </c>
      <c r="AL5251" t="s">
        <v>19614</v>
      </c>
      <c r="AM5251">
        <v>50000</v>
      </c>
      <c r="AN5251" t="s">
        <v>20099</v>
      </c>
      <c r="AS5251">
        <v>1.8</v>
      </c>
      <c r="AT5251" t="s">
        <v>854</v>
      </c>
      <c r="AU5251" t="s">
        <v>79</v>
      </c>
    </row>
    <row r="5252" spans="1:48">
      <c r="A5252" s="1">
        <f>HYPERLINK("https://lsnyc.legalserver.org/matter/dynamic-profile/view/1898207","19-1898207")</f>
        <v>0</v>
      </c>
      <c r="B5252" t="s">
        <v>157</v>
      </c>
      <c r="C5252" t="s">
        <v>257</v>
      </c>
      <c r="D5252" t="s">
        <v>596</v>
      </c>
      <c r="E5252" t="s">
        <v>549</v>
      </c>
      <c r="F5252" t="s">
        <v>3039</v>
      </c>
      <c r="G5252" t="s">
        <v>5325</v>
      </c>
      <c r="H5252" t="s">
        <v>7927</v>
      </c>
      <c r="I5252" t="s">
        <v>8193</v>
      </c>
      <c r="J5252" t="s">
        <v>9059</v>
      </c>
      <c r="K5252">
        <v>11207</v>
      </c>
      <c r="L5252" t="s">
        <v>9094</v>
      </c>
      <c r="M5252" t="s">
        <v>9095</v>
      </c>
      <c r="O5252" t="s">
        <v>9121</v>
      </c>
      <c r="P5252" t="s">
        <v>11164</v>
      </c>
      <c r="Q5252" t="s">
        <v>11172</v>
      </c>
      <c r="R5252" t="s">
        <v>11180</v>
      </c>
      <c r="T5252" t="s">
        <v>11193</v>
      </c>
      <c r="V5252" t="s">
        <v>283</v>
      </c>
      <c r="W5252">
        <v>1475</v>
      </c>
      <c r="X5252" t="s">
        <v>11332</v>
      </c>
      <c r="Z5252" t="s">
        <v>14696</v>
      </c>
      <c r="AC5252">
        <v>0</v>
      </c>
      <c r="AD5252" t="s">
        <v>19566</v>
      </c>
      <c r="AF5252">
        <v>0</v>
      </c>
      <c r="AG5252">
        <v>1</v>
      </c>
      <c r="AH5252">
        <v>2</v>
      </c>
      <c r="AI5252">
        <v>234.41</v>
      </c>
      <c r="AL5252" t="s">
        <v>19614</v>
      </c>
      <c r="AM5252">
        <v>50000</v>
      </c>
      <c r="AS5252">
        <v>1.5</v>
      </c>
      <c r="AT5252" t="s">
        <v>283</v>
      </c>
      <c r="AU5252" t="s">
        <v>20635</v>
      </c>
      <c r="AV5252" t="s">
        <v>20733</v>
      </c>
    </row>
    <row r="5253" spans="1:48">
      <c r="A5253" s="1">
        <f>HYPERLINK("https://lsnyc.legalserver.org/matter/dynamic-profile/view/1911895","19-1911895")</f>
        <v>0</v>
      </c>
      <c r="B5253" t="s">
        <v>115</v>
      </c>
      <c r="C5253" t="s">
        <v>256</v>
      </c>
      <c r="D5253" t="s">
        <v>284</v>
      </c>
      <c r="F5253" t="s">
        <v>1177</v>
      </c>
      <c r="G5253" t="s">
        <v>5326</v>
      </c>
      <c r="H5253" t="s">
        <v>6051</v>
      </c>
      <c r="I5253" t="s">
        <v>8308</v>
      </c>
      <c r="J5253" t="s">
        <v>9065</v>
      </c>
      <c r="K5253">
        <v>10452</v>
      </c>
      <c r="L5253" t="s">
        <v>9094</v>
      </c>
      <c r="M5253" t="s">
        <v>9095</v>
      </c>
      <c r="O5253" t="s">
        <v>11134</v>
      </c>
      <c r="P5253" t="s">
        <v>11168</v>
      </c>
      <c r="R5253" t="s">
        <v>11180</v>
      </c>
      <c r="S5253" t="s">
        <v>9094</v>
      </c>
      <c r="T5253" t="s">
        <v>11183</v>
      </c>
      <c r="W5253">
        <v>1584.95</v>
      </c>
      <c r="X5253" t="s">
        <v>11333</v>
      </c>
      <c r="Y5253" t="s">
        <v>11346</v>
      </c>
      <c r="Z5253" t="s">
        <v>14697</v>
      </c>
      <c r="AB5253" t="s">
        <v>19018</v>
      </c>
      <c r="AC5253">
        <v>52</v>
      </c>
      <c r="AD5253" t="s">
        <v>19566</v>
      </c>
      <c r="AE5253" t="s">
        <v>9144</v>
      </c>
      <c r="AF5253">
        <v>10</v>
      </c>
      <c r="AG5253">
        <v>1</v>
      </c>
      <c r="AH5253">
        <v>2</v>
      </c>
      <c r="AI5253">
        <v>234.41</v>
      </c>
      <c r="AL5253" t="s">
        <v>19614</v>
      </c>
      <c r="AM5253">
        <v>50000</v>
      </c>
      <c r="AS5253">
        <v>0.4</v>
      </c>
      <c r="AT5253" t="s">
        <v>284</v>
      </c>
      <c r="AU5253" t="s">
        <v>174</v>
      </c>
      <c r="AV5253" t="s">
        <v>20733</v>
      </c>
    </row>
    <row r="5254" spans="1:48">
      <c r="A5254" s="1">
        <f>HYPERLINK("https://lsnyc.legalserver.org/matter/dynamic-profile/view/1911898","19-1911898")</f>
        <v>0</v>
      </c>
      <c r="B5254" t="s">
        <v>115</v>
      </c>
      <c r="C5254" t="s">
        <v>256</v>
      </c>
      <c r="D5254" t="s">
        <v>284</v>
      </c>
      <c r="F5254" t="s">
        <v>1177</v>
      </c>
      <c r="G5254" t="s">
        <v>5326</v>
      </c>
      <c r="H5254" t="s">
        <v>6051</v>
      </c>
      <c r="I5254" t="s">
        <v>8308</v>
      </c>
      <c r="J5254" t="s">
        <v>9065</v>
      </c>
      <c r="K5254">
        <v>10452</v>
      </c>
      <c r="L5254" t="s">
        <v>9094</v>
      </c>
      <c r="M5254" t="s">
        <v>9095</v>
      </c>
      <c r="O5254" t="s">
        <v>11134</v>
      </c>
      <c r="P5254" t="s">
        <v>11168</v>
      </c>
      <c r="R5254" t="s">
        <v>11180</v>
      </c>
      <c r="S5254" t="s">
        <v>9094</v>
      </c>
      <c r="T5254" t="s">
        <v>11183</v>
      </c>
      <c r="W5254">
        <v>1584.95</v>
      </c>
      <c r="X5254" t="s">
        <v>11333</v>
      </c>
      <c r="Y5254" t="s">
        <v>11346</v>
      </c>
      <c r="Z5254" t="s">
        <v>14697</v>
      </c>
      <c r="AB5254" t="s">
        <v>19018</v>
      </c>
      <c r="AC5254">
        <v>52</v>
      </c>
      <c r="AD5254" t="s">
        <v>19566</v>
      </c>
      <c r="AE5254" t="s">
        <v>9144</v>
      </c>
      <c r="AF5254">
        <v>10</v>
      </c>
      <c r="AG5254">
        <v>1</v>
      </c>
      <c r="AH5254">
        <v>2</v>
      </c>
      <c r="AI5254">
        <v>234.41</v>
      </c>
      <c r="AL5254" t="s">
        <v>19614</v>
      </c>
      <c r="AM5254">
        <v>50000</v>
      </c>
      <c r="AS5254">
        <v>0.4</v>
      </c>
      <c r="AT5254" t="s">
        <v>284</v>
      </c>
      <c r="AU5254" t="s">
        <v>174</v>
      </c>
      <c r="AV5254" t="s">
        <v>20733</v>
      </c>
    </row>
    <row r="5255" spans="1:48">
      <c r="A5255" s="1">
        <f>HYPERLINK("https://lsnyc.legalserver.org/matter/dynamic-profile/view/1904698","19-1904698")</f>
        <v>0</v>
      </c>
      <c r="B5255" t="s">
        <v>119</v>
      </c>
      <c r="C5255" t="s">
        <v>256</v>
      </c>
      <c r="D5255" t="s">
        <v>497</v>
      </c>
      <c r="F5255" t="s">
        <v>3040</v>
      </c>
      <c r="G5255" t="s">
        <v>5327</v>
      </c>
      <c r="H5255" t="s">
        <v>6797</v>
      </c>
      <c r="I5255">
        <v>12</v>
      </c>
      <c r="J5255" t="s">
        <v>9065</v>
      </c>
      <c r="K5255">
        <v>10451</v>
      </c>
      <c r="L5255" t="s">
        <v>9094</v>
      </c>
      <c r="M5255" t="s">
        <v>9095</v>
      </c>
      <c r="O5255" t="s">
        <v>11132</v>
      </c>
      <c r="P5255" t="s">
        <v>11169</v>
      </c>
      <c r="R5255" t="s">
        <v>11180</v>
      </c>
      <c r="S5255" t="s">
        <v>9094</v>
      </c>
      <c r="T5255" t="s">
        <v>11183</v>
      </c>
      <c r="W5255">
        <v>0</v>
      </c>
      <c r="X5255" t="s">
        <v>11333</v>
      </c>
      <c r="Y5255" t="s">
        <v>11338</v>
      </c>
      <c r="Z5255" t="s">
        <v>14698</v>
      </c>
      <c r="AB5255" t="s">
        <v>19019</v>
      </c>
      <c r="AC5255">
        <v>13</v>
      </c>
      <c r="AD5255" t="s">
        <v>19566</v>
      </c>
      <c r="AE5255" t="s">
        <v>9144</v>
      </c>
      <c r="AF5255">
        <v>5</v>
      </c>
      <c r="AG5255">
        <v>3</v>
      </c>
      <c r="AH5255">
        <v>0</v>
      </c>
      <c r="AI5255">
        <v>234.41</v>
      </c>
      <c r="AL5255" t="s">
        <v>19614</v>
      </c>
      <c r="AM5255">
        <v>50000</v>
      </c>
      <c r="AS5255">
        <v>38.7</v>
      </c>
      <c r="AT5255" t="s">
        <v>270</v>
      </c>
      <c r="AU5255" t="s">
        <v>110</v>
      </c>
      <c r="AV5255" t="s">
        <v>20733</v>
      </c>
    </row>
    <row r="5256" spans="1:48">
      <c r="A5256" s="1">
        <f>HYPERLINK("https://lsnyc.legalserver.org/matter/dynamic-profile/view/1912056","19-1912056")</f>
        <v>0</v>
      </c>
      <c r="B5256" t="s">
        <v>142</v>
      </c>
      <c r="C5256" t="s">
        <v>256</v>
      </c>
      <c r="D5256" t="s">
        <v>404</v>
      </c>
      <c r="F5256" t="s">
        <v>1553</v>
      </c>
      <c r="G5256" t="s">
        <v>5328</v>
      </c>
      <c r="H5256" t="s">
        <v>6326</v>
      </c>
      <c r="I5256" t="s">
        <v>8192</v>
      </c>
      <c r="J5256" t="s">
        <v>9067</v>
      </c>
      <c r="K5256">
        <v>10035</v>
      </c>
      <c r="L5256" t="s">
        <v>9094</v>
      </c>
      <c r="M5256" t="s">
        <v>9095</v>
      </c>
      <c r="O5256" t="s">
        <v>11130</v>
      </c>
      <c r="P5256" t="s">
        <v>11165</v>
      </c>
      <c r="R5256" t="s">
        <v>11180</v>
      </c>
      <c r="S5256" t="s">
        <v>9094</v>
      </c>
      <c r="T5256" t="s">
        <v>11183</v>
      </c>
      <c r="U5256" t="s">
        <v>11201</v>
      </c>
      <c r="V5256" t="s">
        <v>292</v>
      </c>
      <c r="W5256">
        <v>2575</v>
      </c>
      <c r="X5256" t="s">
        <v>11335</v>
      </c>
      <c r="Y5256" t="s">
        <v>11339</v>
      </c>
      <c r="Z5256" t="s">
        <v>14699</v>
      </c>
      <c r="AB5256" t="s">
        <v>19020</v>
      </c>
      <c r="AC5256">
        <v>72</v>
      </c>
      <c r="AD5256" t="s">
        <v>19565</v>
      </c>
      <c r="AE5256" t="s">
        <v>9144</v>
      </c>
      <c r="AF5256">
        <v>1</v>
      </c>
      <c r="AG5256">
        <v>3</v>
      </c>
      <c r="AH5256">
        <v>0</v>
      </c>
      <c r="AI5256">
        <v>234.41</v>
      </c>
      <c r="AL5256" t="s">
        <v>19614</v>
      </c>
      <c r="AM5256">
        <v>50000</v>
      </c>
      <c r="AN5256" t="s">
        <v>20101</v>
      </c>
      <c r="AS5256">
        <v>4.5</v>
      </c>
      <c r="AT5256" t="s">
        <v>487</v>
      </c>
      <c r="AU5256" t="s">
        <v>20657</v>
      </c>
      <c r="AV5256" t="s">
        <v>20733</v>
      </c>
    </row>
    <row r="5257" spans="1:48">
      <c r="A5257" s="1">
        <f>HYPERLINK("https://lsnyc.legalserver.org/matter/dynamic-profile/view/1908391","19-1908391")</f>
        <v>0</v>
      </c>
      <c r="B5257" t="s">
        <v>84</v>
      </c>
      <c r="C5257" t="s">
        <v>256</v>
      </c>
      <c r="D5257" t="s">
        <v>314</v>
      </c>
      <c r="F5257" t="s">
        <v>3041</v>
      </c>
      <c r="G5257" t="s">
        <v>5329</v>
      </c>
      <c r="H5257" t="s">
        <v>7590</v>
      </c>
      <c r="I5257" t="s">
        <v>8583</v>
      </c>
      <c r="J5257" t="s">
        <v>9059</v>
      </c>
      <c r="K5257">
        <v>11219</v>
      </c>
      <c r="L5257" t="s">
        <v>9094</v>
      </c>
      <c r="M5257" t="s">
        <v>9095</v>
      </c>
      <c r="O5257" t="s">
        <v>11137</v>
      </c>
      <c r="P5257" t="s">
        <v>11166</v>
      </c>
      <c r="R5257" t="s">
        <v>11180</v>
      </c>
      <c r="S5257" t="s">
        <v>9094</v>
      </c>
      <c r="T5257" t="s">
        <v>11183</v>
      </c>
      <c r="V5257" t="s">
        <v>314</v>
      </c>
      <c r="W5257">
        <v>0</v>
      </c>
      <c r="X5257" t="s">
        <v>11332</v>
      </c>
      <c r="Z5257" t="s">
        <v>11690</v>
      </c>
      <c r="AB5257" t="s">
        <v>19021</v>
      </c>
      <c r="AC5257">
        <v>20</v>
      </c>
      <c r="AF5257">
        <v>0</v>
      </c>
      <c r="AG5257">
        <v>3</v>
      </c>
      <c r="AH5257">
        <v>0</v>
      </c>
      <c r="AI5257">
        <v>234.6</v>
      </c>
      <c r="AL5257" t="s">
        <v>19635</v>
      </c>
      <c r="AM5257">
        <v>50040</v>
      </c>
      <c r="AS5257">
        <v>10.4</v>
      </c>
      <c r="AT5257" t="s">
        <v>314</v>
      </c>
      <c r="AU5257" t="s">
        <v>67</v>
      </c>
    </row>
    <row r="5258" spans="1:48">
      <c r="A5258" s="1">
        <f>HYPERLINK("https://lsnyc.legalserver.org/matter/dynamic-profile/view/1846894","17-1846894")</f>
        <v>0</v>
      </c>
      <c r="B5258" t="s">
        <v>136</v>
      </c>
      <c r="C5258" t="s">
        <v>257</v>
      </c>
      <c r="D5258" t="s">
        <v>1102</v>
      </c>
      <c r="E5258" t="s">
        <v>594</v>
      </c>
      <c r="F5258" t="s">
        <v>1358</v>
      </c>
      <c r="G5258" t="s">
        <v>4539</v>
      </c>
      <c r="H5258" t="s">
        <v>6681</v>
      </c>
      <c r="I5258" t="s">
        <v>8119</v>
      </c>
      <c r="J5258" t="s">
        <v>9067</v>
      </c>
      <c r="K5258">
        <v>10040</v>
      </c>
      <c r="L5258" t="s">
        <v>9094</v>
      </c>
      <c r="M5258" t="s">
        <v>9095</v>
      </c>
      <c r="N5258" t="s">
        <v>10956</v>
      </c>
      <c r="O5258" t="s">
        <v>11135</v>
      </c>
      <c r="P5258" t="s">
        <v>11166</v>
      </c>
      <c r="Q5258" t="s">
        <v>11177</v>
      </c>
      <c r="R5258" t="s">
        <v>11180</v>
      </c>
      <c r="S5258" t="s">
        <v>9096</v>
      </c>
      <c r="T5258" t="s">
        <v>11183</v>
      </c>
      <c r="V5258" t="s">
        <v>1102</v>
      </c>
      <c r="W5258">
        <v>981.58</v>
      </c>
      <c r="X5258" t="s">
        <v>11335</v>
      </c>
      <c r="Y5258" t="s">
        <v>11338</v>
      </c>
      <c r="Z5258" t="s">
        <v>14700</v>
      </c>
      <c r="AB5258" t="s">
        <v>19022</v>
      </c>
      <c r="AC5258">
        <v>43</v>
      </c>
      <c r="AD5258" t="s">
        <v>19566</v>
      </c>
      <c r="AE5258" t="s">
        <v>9144</v>
      </c>
      <c r="AF5258">
        <v>0</v>
      </c>
      <c r="AG5258">
        <v>2</v>
      </c>
      <c r="AH5258">
        <v>0</v>
      </c>
      <c r="AI5258">
        <v>234.68</v>
      </c>
      <c r="AJ5258" t="s">
        <v>19599</v>
      </c>
      <c r="AL5258" t="s">
        <v>19615</v>
      </c>
      <c r="AM5258">
        <v>76222.64</v>
      </c>
      <c r="AS5258">
        <v>3.26</v>
      </c>
      <c r="AT5258" t="s">
        <v>380</v>
      </c>
      <c r="AU5258" t="s">
        <v>130</v>
      </c>
    </row>
    <row r="5259" spans="1:48">
      <c r="A5259" s="1">
        <f>HYPERLINK("https://lsnyc.legalserver.org/matter/dynamic-profile/view/1904640","19-1904640")</f>
        <v>0</v>
      </c>
      <c r="B5259" t="s">
        <v>79</v>
      </c>
      <c r="C5259" t="s">
        <v>257</v>
      </c>
      <c r="D5259" t="s">
        <v>497</v>
      </c>
      <c r="E5259" t="s">
        <v>370</v>
      </c>
      <c r="F5259" t="s">
        <v>3042</v>
      </c>
      <c r="G5259" t="s">
        <v>5330</v>
      </c>
      <c r="H5259" t="s">
        <v>7928</v>
      </c>
      <c r="I5259" t="s">
        <v>8597</v>
      </c>
      <c r="J5259" t="s">
        <v>9059</v>
      </c>
      <c r="K5259">
        <v>11212</v>
      </c>
      <c r="L5259" t="s">
        <v>9096</v>
      </c>
      <c r="M5259" t="s">
        <v>9095</v>
      </c>
      <c r="N5259" t="s">
        <v>9144</v>
      </c>
      <c r="O5259" t="s">
        <v>9121</v>
      </c>
      <c r="P5259" t="s">
        <v>11164</v>
      </c>
      <c r="Q5259" t="s">
        <v>11172</v>
      </c>
      <c r="R5259" t="s">
        <v>11180</v>
      </c>
      <c r="S5259" t="s">
        <v>9096</v>
      </c>
      <c r="T5259" t="s">
        <v>11183</v>
      </c>
      <c r="W5259">
        <v>557</v>
      </c>
      <c r="X5259" t="s">
        <v>11332</v>
      </c>
      <c r="Z5259" t="s">
        <v>14701</v>
      </c>
      <c r="AB5259" t="s">
        <v>19023</v>
      </c>
      <c r="AC5259">
        <v>0</v>
      </c>
      <c r="AD5259" t="s">
        <v>19574</v>
      </c>
      <c r="AE5259" t="s">
        <v>9144</v>
      </c>
      <c r="AF5259">
        <v>3</v>
      </c>
      <c r="AG5259">
        <v>1</v>
      </c>
      <c r="AH5259">
        <v>0</v>
      </c>
      <c r="AI5259">
        <v>234.81</v>
      </c>
      <c r="AL5259" t="s">
        <v>19614</v>
      </c>
      <c r="AM5259">
        <v>29328</v>
      </c>
      <c r="AN5259" t="s">
        <v>19656</v>
      </c>
      <c r="AS5259">
        <v>1</v>
      </c>
      <c r="AT5259" t="s">
        <v>497</v>
      </c>
      <c r="AU5259" t="s">
        <v>20660</v>
      </c>
      <c r="AV5259" t="s">
        <v>9144</v>
      </c>
    </row>
    <row r="5260" spans="1:48">
      <c r="A5260" s="1">
        <f>HYPERLINK("https://lsnyc.legalserver.org/matter/dynamic-profile/view/1836062","17-1836062")</f>
        <v>0</v>
      </c>
      <c r="B5260" t="s">
        <v>93</v>
      </c>
      <c r="C5260" t="s">
        <v>256</v>
      </c>
      <c r="D5260" t="s">
        <v>1088</v>
      </c>
      <c r="F5260" t="s">
        <v>1238</v>
      </c>
      <c r="G5260" t="s">
        <v>4709</v>
      </c>
      <c r="H5260" t="s">
        <v>5809</v>
      </c>
      <c r="I5260" t="s">
        <v>8390</v>
      </c>
      <c r="J5260" t="s">
        <v>9059</v>
      </c>
      <c r="K5260">
        <v>11212</v>
      </c>
      <c r="L5260" t="s">
        <v>9094</v>
      </c>
      <c r="M5260" t="s">
        <v>9094</v>
      </c>
      <c r="O5260" t="s">
        <v>11135</v>
      </c>
      <c r="P5260" t="s">
        <v>11168</v>
      </c>
      <c r="R5260" t="s">
        <v>11180</v>
      </c>
      <c r="S5260" t="s">
        <v>9094</v>
      </c>
      <c r="T5260" t="s">
        <v>11183</v>
      </c>
      <c r="V5260" t="s">
        <v>1088</v>
      </c>
      <c r="W5260">
        <v>893.61</v>
      </c>
      <c r="X5260" t="s">
        <v>11332</v>
      </c>
      <c r="Y5260" t="s">
        <v>11340</v>
      </c>
      <c r="Z5260" t="s">
        <v>13547</v>
      </c>
      <c r="AB5260" t="s">
        <v>17883</v>
      </c>
      <c r="AC5260">
        <v>31</v>
      </c>
      <c r="AD5260" t="s">
        <v>19566</v>
      </c>
      <c r="AF5260">
        <v>8</v>
      </c>
      <c r="AG5260">
        <v>3</v>
      </c>
      <c r="AH5260">
        <v>0</v>
      </c>
      <c r="AI5260">
        <v>235.55</v>
      </c>
      <c r="AL5260" t="s">
        <v>19614</v>
      </c>
      <c r="AM5260">
        <v>48100</v>
      </c>
      <c r="AN5260" t="s">
        <v>20102</v>
      </c>
      <c r="AS5260">
        <v>0.1</v>
      </c>
      <c r="AT5260" t="s">
        <v>1088</v>
      </c>
      <c r="AU5260" t="s">
        <v>59</v>
      </c>
    </row>
    <row r="5261" spans="1:48">
      <c r="A5261" s="1">
        <f>HYPERLINK("https://lsnyc.legalserver.org/matter/dynamic-profile/view/1885272","18-1885272")</f>
        <v>0</v>
      </c>
      <c r="B5261" t="s">
        <v>136</v>
      </c>
      <c r="C5261" t="s">
        <v>256</v>
      </c>
      <c r="D5261" t="s">
        <v>448</v>
      </c>
      <c r="F5261" t="s">
        <v>3043</v>
      </c>
      <c r="G5261" t="s">
        <v>5322</v>
      </c>
      <c r="H5261" t="s">
        <v>6670</v>
      </c>
      <c r="I5261">
        <v>62</v>
      </c>
      <c r="J5261" t="s">
        <v>9067</v>
      </c>
      <c r="K5261">
        <v>10039</v>
      </c>
      <c r="L5261" t="s">
        <v>9094</v>
      </c>
      <c r="M5261" t="s">
        <v>9094</v>
      </c>
      <c r="N5261" t="s">
        <v>9851</v>
      </c>
      <c r="O5261" t="s">
        <v>11130</v>
      </c>
      <c r="P5261" t="s">
        <v>11165</v>
      </c>
      <c r="R5261" t="s">
        <v>11180</v>
      </c>
      <c r="S5261" t="s">
        <v>9094</v>
      </c>
      <c r="T5261" t="s">
        <v>11183</v>
      </c>
      <c r="U5261" t="s">
        <v>11201</v>
      </c>
      <c r="V5261" t="s">
        <v>448</v>
      </c>
      <c r="W5261">
        <v>235</v>
      </c>
      <c r="X5261" t="s">
        <v>11335</v>
      </c>
      <c r="Y5261" t="s">
        <v>11339</v>
      </c>
      <c r="Z5261" t="s">
        <v>14702</v>
      </c>
      <c r="AB5261" t="s">
        <v>19024</v>
      </c>
      <c r="AC5261">
        <v>24</v>
      </c>
      <c r="AD5261" t="s">
        <v>19569</v>
      </c>
      <c r="AE5261" t="s">
        <v>9144</v>
      </c>
      <c r="AF5261">
        <v>49</v>
      </c>
      <c r="AG5261">
        <v>1</v>
      </c>
      <c r="AH5261">
        <v>0</v>
      </c>
      <c r="AI5261">
        <v>235.58</v>
      </c>
      <c r="AL5261" t="s">
        <v>19614</v>
      </c>
      <c r="AM5261">
        <v>28600</v>
      </c>
      <c r="AO5261" t="s">
        <v>20293</v>
      </c>
      <c r="AP5261" t="s">
        <v>20323</v>
      </c>
      <c r="AQ5261" t="s">
        <v>20369</v>
      </c>
      <c r="AR5261" t="s">
        <v>20457</v>
      </c>
      <c r="AS5261">
        <v>0</v>
      </c>
      <c r="AU5261" t="s">
        <v>20657</v>
      </c>
    </row>
    <row r="5262" spans="1:48">
      <c r="A5262" s="1">
        <f>HYPERLINK("https://lsnyc.legalserver.org/matter/dynamic-profile/view/1873364","18-1873364")</f>
        <v>0</v>
      </c>
      <c r="B5262" t="s">
        <v>72</v>
      </c>
      <c r="C5262" t="s">
        <v>256</v>
      </c>
      <c r="D5262" t="s">
        <v>258</v>
      </c>
      <c r="F5262" t="s">
        <v>3044</v>
      </c>
      <c r="G5262" t="s">
        <v>3383</v>
      </c>
      <c r="H5262" t="s">
        <v>7929</v>
      </c>
      <c r="I5262" t="s">
        <v>8932</v>
      </c>
      <c r="J5262" t="s">
        <v>9059</v>
      </c>
      <c r="K5262">
        <v>11208</v>
      </c>
      <c r="L5262" t="s">
        <v>9094</v>
      </c>
      <c r="M5262" t="s">
        <v>9094</v>
      </c>
      <c r="N5262" t="s">
        <v>10957</v>
      </c>
      <c r="O5262" t="s">
        <v>11129</v>
      </c>
      <c r="P5262" t="s">
        <v>11165</v>
      </c>
      <c r="R5262" t="s">
        <v>11180</v>
      </c>
      <c r="S5262" t="s">
        <v>9096</v>
      </c>
      <c r="T5262" t="s">
        <v>11183</v>
      </c>
      <c r="V5262" t="s">
        <v>258</v>
      </c>
      <c r="W5262">
        <v>1600</v>
      </c>
      <c r="X5262" t="s">
        <v>11332</v>
      </c>
      <c r="Y5262" t="s">
        <v>11157</v>
      </c>
      <c r="Z5262" t="s">
        <v>11873</v>
      </c>
      <c r="AB5262" t="s">
        <v>19025</v>
      </c>
      <c r="AC5262">
        <v>7</v>
      </c>
      <c r="AD5262" t="s">
        <v>19566</v>
      </c>
      <c r="AE5262" t="s">
        <v>19580</v>
      </c>
      <c r="AF5262">
        <v>15</v>
      </c>
      <c r="AG5262">
        <v>2</v>
      </c>
      <c r="AH5262">
        <v>1</v>
      </c>
      <c r="AI5262">
        <v>235.8</v>
      </c>
      <c r="AJ5262" t="s">
        <v>868</v>
      </c>
      <c r="AK5262" t="s">
        <v>19612</v>
      </c>
      <c r="AL5262" t="s">
        <v>19614</v>
      </c>
      <c r="AM5262">
        <v>49000</v>
      </c>
      <c r="AS5262">
        <v>66.65000000000001</v>
      </c>
      <c r="AT5262" t="s">
        <v>487</v>
      </c>
      <c r="AU5262" t="s">
        <v>20638</v>
      </c>
    </row>
    <row r="5263" spans="1:48">
      <c r="A5263" s="1">
        <f>HYPERLINK("https://lsnyc.legalserver.org/matter/dynamic-profile/view/1876998","18-1876998")</f>
        <v>0</v>
      </c>
      <c r="B5263" t="s">
        <v>83</v>
      </c>
      <c r="C5263" t="s">
        <v>256</v>
      </c>
      <c r="D5263" t="s">
        <v>803</v>
      </c>
      <c r="F5263" t="s">
        <v>3045</v>
      </c>
      <c r="G5263" t="s">
        <v>3430</v>
      </c>
      <c r="H5263" t="s">
        <v>7930</v>
      </c>
      <c r="I5263" t="s">
        <v>8475</v>
      </c>
      <c r="J5263" t="s">
        <v>9059</v>
      </c>
      <c r="K5263">
        <v>11226</v>
      </c>
      <c r="L5263" t="s">
        <v>9094</v>
      </c>
      <c r="M5263" t="s">
        <v>9094</v>
      </c>
      <c r="N5263" t="s">
        <v>10958</v>
      </c>
      <c r="O5263" t="s">
        <v>11129</v>
      </c>
      <c r="P5263" t="s">
        <v>11165</v>
      </c>
      <c r="R5263" t="s">
        <v>11180</v>
      </c>
      <c r="T5263" t="s">
        <v>11183</v>
      </c>
      <c r="V5263" t="s">
        <v>697</v>
      </c>
      <c r="W5263">
        <v>0</v>
      </c>
      <c r="X5263" t="s">
        <v>11332</v>
      </c>
      <c r="Z5263" t="s">
        <v>14703</v>
      </c>
      <c r="AB5263" t="s">
        <v>19026</v>
      </c>
      <c r="AC5263">
        <v>61</v>
      </c>
      <c r="AF5263">
        <v>0</v>
      </c>
      <c r="AG5263">
        <v>1</v>
      </c>
      <c r="AH5263">
        <v>0</v>
      </c>
      <c r="AI5263">
        <v>235.95</v>
      </c>
      <c r="AJ5263" t="s">
        <v>650</v>
      </c>
      <c r="AK5263" t="s">
        <v>19612</v>
      </c>
      <c r="AL5263" t="s">
        <v>19614</v>
      </c>
      <c r="AM5263">
        <v>28644</v>
      </c>
      <c r="AS5263">
        <v>64.75</v>
      </c>
      <c r="AT5263" t="s">
        <v>616</v>
      </c>
      <c r="AU5263" t="s">
        <v>67</v>
      </c>
    </row>
    <row r="5264" spans="1:48">
      <c r="A5264" s="1">
        <f>HYPERLINK("https://lsnyc.legalserver.org/matter/dynamic-profile/view/1836130","17-1836130")</f>
        <v>0</v>
      </c>
      <c r="B5264" t="s">
        <v>140</v>
      </c>
      <c r="C5264" t="s">
        <v>256</v>
      </c>
      <c r="D5264" t="s">
        <v>973</v>
      </c>
      <c r="F5264" t="s">
        <v>1928</v>
      </c>
      <c r="G5264" t="s">
        <v>3545</v>
      </c>
      <c r="H5264" t="s">
        <v>5999</v>
      </c>
      <c r="I5264" t="s">
        <v>8302</v>
      </c>
      <c r="J5264" t="s">
        <v>9067</v>
      </c>
      <c r="K5264">
        <v>10040</v>
      </c>
      <c r="L5264" t="s">
        <v>9094</v>
      </c>
      <c r="M5264" t="s">
        <v>9095</v>
      </c>
      <c r="N5264" t="s">
        <v>9314</v>
      </c>
      <c r="O5264" t="s">
        <v>11134</v>
      </c>
      <c r="P5264" t="s">
        <v>11168</v>
      </c>
      <c r="R5264" t="s">
        <v>11180</v>
      </c>
      <c r="S5264" t="s">
        <v>9094</v>
      </c>
      <c r="T5264" t="s">
        <v>11183</v>
      </c>
      <c r="V5264" t="s">
        <v>11249</v>
      </c>
      <c r="W5264">
        <v>1231.45</v>
      </c>
      <c r="X5264" t="s">
        <v>11335</v>
      </c>
      <c r="Y5264" t="s">
        <v>11339</v>
      </c>
      <c r="Z5264" t="s">
        <v>13432</v>
      </c>
      <c r="AB5264" t="s">
        <v>17768</v>
      </c>
      <c r="AC5264">
        <v>45</v>
      </c>
      <c r="AD5264" t="s">
        <v>19566</v>
      </c>
      <c r="AE5264" t="s">
        <v>9144</v>
      </c>
      <c r="AF5264">
        <v>13</v>
      </c>
      <c r="AG5264">
        <v>2</v>
      </c>
      <c r="AH5264">
        <v>0</v>
      </c>
      <c r="AI5264">
        <v>235.99</v>
      </c>
      <c r="AJ5264" t="s">
        <v>982</v>
      </c>
      <c r="AL5264" t="s">
        <v>19615</v>
      </c>
      <c r="AM5264">
        <v>38324</v>
      </c>
      <c r="AS5264">
        <v>1.2</v>
      </c>
      <c r="AT5264" t="s">
        <v>296</v>
      </c>
      <c r="AU5264" t="s">
        <v>20657</v>
      </c>
    </row>
    <row r="5265" spans="1:48">
      <c r="A5265" s="1">
        <f>HYPERLINK("https://lsnyc.legalserver.org/matter/dynamic-profile/view/1897522","19-1897522")</f>
        <v>0</v>
      </c>
      <c r="B5265" t="s">
        <v>70</v>
      </c>
      <c r="C5265" t="s">
        <v>256</v>
      </c>
      <c r="D5265" t="s">
        <v>318</v>
      </c>
      <c r="F5265" t="s">
        <v>1266</v>
      </c>
      <c r="G5265" t="s">
        <v>1346</v>
      </c>
      <c r="H5265" t="s">
        <v>5749</v>
      </c>
      <c r="I5265" t="s">
        <v>8845</v>
      </c>
      <c r="J5265" t="s">
        <v>9059</v>
      </c>
      <c r="K5265">
        <v>11233</v>
      </c>
      <c r="L5265" t="s">
        <v>9094</v>
      </c>
      <c r="M5265" t="s">
        <v>9096</v>
      </c>
      <c r="N5265" t="s">
        <v>9146</v>
      </c>
      <c r="O5265" t="s">
        <v>11134</v>
      </c>
      <c r="P5265" t="s">
        <v>11168</v>
      </c>
      <c r="R5265" t="s">
        <v>11180</v>
      </c>
      <c r="S5265" t="s">
        <v>9094</v>
      </c>
      <c r="T5265" t="s">
        <v>11183</v>
      </c>
      <c r="U5265" t="s">
        <v>11201</v>
      </c>
      <c r="V5265" t="s">
        <v>482</v>
      </c>
      <c r="W5265">
        <v>1225.26</v>
      </c>
      <c r="X5265" t="s">
        <v>11332</v>
      </c>
      <c r="Y5265" t="s">
        <v>11342</v>
      </c>
      <c r="Z5265" t="s">
        <v>14704</v>
      </c>
      <c r="AA5265" t="s">
        <v>9144</v>
      </c>
      <c r="AC5265">
        <v>359</v>
      </c>
      <c r="AD5265" t="s">
        <v>19566</v>
      </c>
      <c r="AE5265" t="s">
        <v>9144</v>
      </c>
      <c r="AF5265">
        <v>0</v>
      </c>
      <c r="AG5265">
        <v>1</v>
      </c>
      <c r="AH5265">
        <v>0</v>
      </c>
      <c r="AI5265">
        <v>236.19</v>
      </c>
      <c r="AL5265" t="s">
        <v>19614</v>
      </c>
      <c r="AM5265">
        <v>29500</v>
      </c>
      <c r="AN5265" t="s">
        <v>19644</v>
      </c>
      <c r="AS5265">
        <v>0</v>
      </c>
      <c r="AU5265" t="s">
        <v>95</v>
      </c>
    </row>
    <row r="5266" spans="1:48">
      <c r="A5266" s="1">
        <f>HYPERLINK("https://lsnyc.legalserver.org/matter/dynamic-profile/view/1897526","19-1897526")</f>
        <v>0</v>
      </c>
      <c r="B5266" t="s">
        <v>70</v>
      </c>
      <c r="C5266" t="s">
        <v>256</v>
      </c>
      <c r="D5266" t="s">
        <v>318</v>
      </c>
      <c r="F5266" t="s">
        <v>1266</v>
      </c>
      <c r="G5266" t="s">
        <v>1346</v>
      </c>
      <c r="H5266" t="s">
        <v>5749</v>
      </c>
      <c r="I5266" t="s">
        <v>8845</v>
      </c>
      <c r="J5266" t="s">
        <v>9059</v>
      </c>
      <c r="K5266">
        <v>11233</v>
      </c>
      <c r="L5266" t="s">
        <v>9094</v>
      </c>
      <c r="M5266" t="s">
        <v>9096</v>
      </c>
      <c r="N5266" t="s">
        <v>9144</v>
      </c>
      <c r="O5266" t="s">
        <v>11137</v>
      </c>
      <c r="P5266" t="s">
        <v>11167</v>
      </c>
      <c r="R5266" t="s">
        <v>11180</v>
      </c>
      <c r="S5266" t="s">
        <v>9094</v>
      </c>
      <c r="T5266" t="s">
        <v>11183</v>
      </c>
      <c r="U5266" t="s">
        <v>11201</v>
      </c>
      <c r="V5266" t="s">
        <v>749</v>
      </c>
      <c r="W5266">
        <v>1225.26</v>
      </c>
      <c r="X5266" t="s">
        <v>11332</v>
      </c>
      <c r="Y5266" t="s">
        <v>11342</v>
      </c>
      <c r="Z5266" t="s">
        <v>14704</v>
      </c>
      <c r="AA5266" t="s">
        <v>9144</v>
      </c>
      <c r="AC5266">
        <v>359</v>
      </c>
      <c r="AD5266" t="s">
        <v>19566</v>
      </c>
      <c r="AE5266" t="s">
        <v>9144</v>
      </c>
      <c r="AF5266">
        <v>0</v>
      </c>
      <c r="AG5266">
        <v>1</v>
      </c>
      <c r="AH5266">
        <v>0</v>
      </c>
      <c r="AI5266">
        <v>236.19</v>
      </c>
      <c r="AL5266" t="s">
        <v>19614</v>
      </c>
      <c r="AM5266">
        <v>29500</v>
      </c>
      <c r="AN5266" t="s">
        <v>20103</v>
      </c>
      <c r="AS5266">
        <v>0</v>
      </c>
      <c r="AU5266" t="s">
        <v>95</v>
      </c>
    </row>
    <row r="5267" spans="1:48">
      <c r="A5267" s="1">
        <f>HYPERLINK("https://lsnyc.legalserver.org/matter/dynamic-profile/view/1897399","19-1897399")</f>
        <v>0</v>
      </c>
      <c r="B5267" t="s">
        <v>70</v>
      </c>
      <c r="C5267" t="s">
        <v>256</v>
      </c>
      <c r="D5267" t="s">
        <v>434</v>
      </c>
      <c r="F5267" t="s">
        <v>3046</v>
      </c>
      <c r="G5267" t="s">
        <v>5331</v>
      </c>
      <c r="H5267" t="s">
        <v>5748</v>
      </c>
      <c r="I5267" t="s">
        <v>8933</v>
      </c>
      <c r="J5267" t="s">
        <v>9059</v>
      </c>
      <c r="K5267">
        <v>11233</v>
      </c>
      <c r="L5267" t="s">
        <v>9094</v>
      </c>
      <c r="M5267" t="s">
        <v>9096</v>
      </c>
      <c r="N5267" t="s">
        <v>9145</v>
      </c>
      <c r="O5267" t="s">
        <v>11134</v>
      </c>
      <c r="P5267" t="s">
        <v>11168</v>
      </c>
      <c r="R5267" t="s">
        <v>11180</v>
      </c>
      <c r="S5267" t="s">
        <v>9094</v>
      </c>
      <c r="T5267" t="s">
        <v>11183</v>
      </c>
      <c r="U5267" t="s">
        <v>11201</v>
      </c>
      <c r="V5267" t="s">
        <v>482</v>
      </c>
      <c r="W5267">
        <v>924.1799999999999</v>
      </c>
      <c r="X5267" t="s">
        <v>11332</v>
      </c>
      <c r="Y5267" t="s">
        <v>11342</v>
      </c>
      <c r="Z5267" t="s">
        <v>14705</v>
      </c>
      <c r="AC5267">
        <v>359</v>
      </c>
      <c r="AD5267" t="s">
        <v>19566</v>
      </c>
      <c r="AF5267">
        <v>3</v>
      </c>
      <c r="AG5267">
        <v>2</v>
      </c>
      <c r="AH5267">
        <v>0</v>
      </c>
      <c r="AI5267">
        <v>236.55</v>
      </c>
      <c r="AL5267" t="s">
        <v>19614</v>
      </c>
      <c r="AM5267">
        <v>40000</v>
      </c>
      <c r="AN5267" t="s">
        <v>20104</v>
      </c>
      <c r="AS5267">
        <v>0</v>
      </c>
      <c r="AU5267" t="s">
        <v>95</v>
      </c>
    </row>
    <row r="5268" spans="1:48">
      <c r="A5268" s="1">
        <f>HYPERLINK("https://lsnyc.legalserver.org/matter/dynamic-profile/view/1898976","19-1898976")</f>
        <v>0</v>
      </c>
      <c r="B5268" t="s">
        <v>70</v>
      </c>
      <c r="C5268" t="s">
        <v>256</v>
      </c>
      <c r="D5268" t="s">
        <v>310</v>
      </c>
      <c r="F5268" t="s">
        <v>2334</v>
      </c>
      <c r="G5268" t="s">
        <v>5332</v>
      </c>
      <c r="H5268" t="s">
        <v>5750</v>
      </c>
      <c r="I5268" t="s">
        <v>8732</v>
      </c>
      <c r="J5268" t="s">
        <v>9059</v>
      </c>
      <c r="K5268">
        <v>11233</v>
      </c>
      <c r="L5268" t="s">
        <v>9094</v>
      </c>
      <c r="M5268" t="s">
        <v>9095</v>
      </c>
      <c r="N5268" t="s">
        <v>9145</v>
      </c>
      <c r="O5268" t="s">
        <v>11134</v>
      </c>
      <c r="P5268" t="s">
        <v>11168</v>
      </c>
      <c r="R5268" t="s">
        <v>11180</v>
      </c>
      <c r="S5268" t="s">
        <v>9094</v>
      </c>
      <c r="T5268" t="s">
        <v>11183</v>
      </c>
      <c r="U5268" t="s">
        <v>11201</v>
      </c>
      <c r="V5268" t="s">
        <v>482</v>
      </c>
      <c r="W5268">
        <v>1400</v>
      </c>
      <c r="X5268" t="s">
        <v>11332</v>
      </c>
      <c r="Y5268" t="s">
        <v>11157</v>
      </c>
      <c r="Z5268" t="s">
        <v>14706</v>
      </c>
      <c r="AC5268">
        <v>359</v>
      </c>
      <c r="AD5268" t="s">
        <v>19566</v>
      </c>
      <c r="AF5268">
        <v>0</v>
      </c>
      <c r="AG5268">
        <v>2</v>
      </c>
      <c r="AH5268">
        <v>0</v>
      </c>
      <c r="AI5268">
        <v>236.55</v>
      </c>
      <c r="AL5268" t="s">
        <v>19614</v>
      </c>
      <c r="AM5268">
        <v>40000</v>
      </c>
      <c r="AN5268" t="s">
        <v>19951</v>
      </c>
      <c r="AS5268">
        <v>0</v>
      </c>
      <c r="AU5268" t="s">
        <v>79</v>
      </c>
      <c r="AV5268" t="s">
        <v>9144</v>
      </c>
    </row>
    <row r="5269" spans="1:48">
      <c r="A5269" s="1">
        <f>HYPERLINK("https://lsnyc.legalserver.org/matter/dynamic-profile/view/1897400","19-1897400")</f>
        <v>0</v>
      </c>
      <c r="B5269" t="s">
        <v>70</v>
      </c>
      <c r="C5269" t="s">
        <v>256</v>
      </c>
      <c r="D5269" t="s">
        <v>434</v>
      </c>
      <c r="F5269" t="s">
        <v>3046</v>
      </c>
      <c r="G5269" t="s">
        <v>5331</v>
      </c>
      <c r="H5269" t="s">
        <v>5748</v>
      </c>
      <c r="I5269" t="s">
        <v>8933</v>
      </c>
      <c r="J5269" t="s">
        <v>9059</v>
      </c>
      <c r="K5269">
        <v>11233</v>
      </c>
      <c r="L5269" t="s">
        <v>9094</v>
      </c>
      <c r="M5269" t="s">
        <v>9096</v>
      </c>
      <c r="O5269" t="s">
        <v>11137</v>
      </c>
      <c r="P5269" t="s">
        <v>11167</v>
      </c>
      <c r="R5269" t="s">
        <v>11180</v>
      </c>
      <c r="S5269" t="s">
        <v>9094</v>
      </c>
      <c r="T5269" t="s">
        <v>11183</v>
      </c>
      <c r="U5269" t="s">
        <v>11201</v>
      </c>
      <c r="V5269" t="s">
        <v>749</v>
      </c>
      <c r="W5269">
        <v>924.1799999999999</v>
      </c>
      <c r="X5269" t="s">
        <v>11332</v>
      </c>
      <c r="Y5269" t="s">
        <v>11342</v>
      </c>
      <c r="Z5269" t="s">
        <v>14705</v>
      </c>
      <c r="AC5269">
        <v>359</v>
      </c>
      <c r="AD5269" t="s">
        <v>19566</v>
      </c>
      <c r="AF5269">
        <v>3</v>
      </c>
      <c r="AG5269">
        <v>2</v>
      </c>
      <c r="AH5269">
        <v>0</v>
      </c>
      <c r="AI5269">
        <v>236.55</v>
      </c>
      <c r="AL5269" t="s">
        <v>19614</v>
      </c>
      <c r="AM5269">
        <v>40000</v>
      </c>
      <c r="AN5269" t="s">
        <v>19644</v>
      </c>
      <c r="AS5269">
        <v>0</v>
      </c>
      <c r="AU5269" t="s">
        <v>95</v>
      </c>
    </row>
    <row r="5270" spans="1:48">
      <c r="A5270" s="1">
        <f>HYPERLINK("https://lsnyc.legalserver.org/matter/dynamic-profile/view/1898979","19-1898979")</f>
        <v>0</v>
      </c>
      <c r="B5270" t="s">
        <v>70</v>
      </c>
      <c r="C5270" t="s">
        <v>256</v>
      </c>
      <c r="D5270" t="s">
        <v>310</v>
      </c>
      <c r="F5270" t="s">
        <v>2334</v>
      </c>
      <c r="G5270" t="s">
        <v>5332</v>
      </c>
      <c r="H5270" t="s">
        <v>5750</v>
      </c>
      <c r="I5270" t="s">
        <v>8732</v>
      </c>
      <c r="J5270" t="s">
        <v>9059</v>
      </c>
      <c r="K5270">
        <v>11233</v>
      </c>
      <c r="L5270" t="s">
        <v>9094</v>
      </c>
      <c r="M5270" t="s">
        <v>9095</v>
      </c>
      <c r="O5270" t="s">
        <v>11137</v>
      </c>
      <c r="P5270" t="s">
        <v>11167</v>
      </c>
      <c r="R5270" t="s">
        <v>11180</v>
      </c>
      <c r="S5270" t="s">
        <v>9094</v>
      </c>
      <c r="T5270" t="s">
        <v>11183</v>
      </c>
      <c r="U5270" t="s">
        <v>11201</v>
      </c>
      <c r="V5270" t="s">
        <v>749</v>
      </c>
      <c r="W5270">
        <v>1400</v>
      </c>
      <c r="X5270" t="s">
        <v>11332</v>
      </c>
      <c r="Y5270" t="s">
        <v>11157</v>
      </c>
      <c r="Z5270" t="s">
        <v>14706</v>
      </c>
      <c r="AC5270">
        <v>359</v>
      </c>
      <c r="AD5270" t="s">
        <v>19566</v>
      </c>
      <c r="AF5270">
        <v>0</v>
      </c>
      <c r="AG5270">
        <v>2</v>
      </c>
      <c r="AH5270">
        <v>0</v>
      </c>
      <c r="AI5270">
        <v>236.55</v>
      </c>
      <c r="AL5270" t="s">
        <v>19614</v>
      </c>
      <c r="AM5270">
        <v>40000</v>
      </c>
      <c r="AN5270" t="s">
        <v>20105</v>
      </c>
      <c r="AS5270">
        <v>0</v>
      </c>
      <c r="AU5270" t="s">
        <v>79</v>
      </c>
      <c r="AV5270" t="s">
        <v>9144</v>
      </c>
    </row>
    <row r="5271" spans="1:48">
      <c r="A5271" s="1">
        <f>HYPERLINK("https://lsnyc.legalserver.org/matter/dynamic-profile/view/1897366","19-1897366")</f>
        <v>0</v>
      </c>
      <c r="B5271" t="s">
        <v>84</v>
      </c>
      <c r="C5271" t="s">
        <v>256</v>
      </c>
      <c r="D5271" t="s">
        <v>434</v>
      </c>
      <c r="F5271" t="s">
        <v>1150</v>
      </c>
      <c r="G5271" t="s">
        <v>5333</v>
      </c>
      <c r="H5271" t="s">
        <v>7931</v>
      </c>
      <c r="I5271" t="s">
        <v>8132</v>
      </c>
      <c r="J5271" t="s">
        <v>9059</v>
      </c>
      <c r="K5271">
        <v>11226</v>
      </c>
      <c r="L5271" t="s">
        <v>9094</v>
      </c>
      <c r="M5271" t="s">
        <v>9094</v>
      </c>
      <c r="O5271" t="s">
        <v>11137</v>
      </c>
      <c r="P5271" t="s">
        <v>11166</v>
      </c>
      <c r="R5271" t="s">
        <v>11180</v>
      </c>
      <c r="S5271" t="s">
        <v>9094</v>
      </c>
      <c r="T5271" t="s">
        <v>11183</v>
      </c>
      <c r="V5271" t="s">
        <v>317</v>
      </c>
      <c r="W5271">
        <v>916</v>
      </c>
      <c r="X5271" t="s">
        <v>11332</v>
      </c>
      <c r="Z5271" t="s">
        <v>14707</v>
      </c>
      <c r="AC5271">
        <v>0</v>
      </c>
      <c r="AF5271">
        <v>20</v>
      </c>
      <c r="AG5271">
        <v>2</v>
      </c>
      <c r="AH5271">
        <v>0</v>
      </c>
      <c r="AI5271">
        <v>236.55</v>
      </c>
      <c r="AL5271" t="s">
        <v>19614</v>
      </c>
      <c r="AM5271">
        <v>40000</v>
      </c>
      <c r="AS5271">
        <v>35.7</v>
      </c>
      <c r="AT5271" t="s">
        <v>993</v>
      </c>
      <c r="AU5271" t="s">
        <v>215</v>
      </c>
    </row>
    <row r="5272" spans="1:48">
      <c r="A5272" s="1">
        <f>HYPERLINK("https://lsnyc.legalserver.org/matter/dynamic-profile/view/1900745","19-1900745")</f>
        <v>0</v>
      </c>
      <c r="B5272" t="s">
        <v>84</v>
      </c>
      <c r="C5272" t="s">
        <v>256</v>
      </c>
      <c r="D5272" t="s">
        <v>338</v>
      </c>
      <c r="F5272" t="s">
        <v>1150</v>
      </c>
      <c r="G5272" t="s">
        <v>5333</v>
      </c>
      <c r="H5272" t="s">
        <v>7931</v>
      </c>
      <c r="I5272" t="s">
        <v>8132</v>
      </c>
      <c r="J5272" t="s">
        <v>9059</v>
      </c>
      <c r="K5272">
        <v>11226</v>
      </c>
      <c r="L5272" t="s">
        <v>9094</v>
      </c>
      <c r="M5272" t="s">
        <v>9095</v>
      </c>
      <c r="P5272" t="s">
        <v>11165</v>
      </c>
      <c r="R5272" t="s">
        <v>11180</v>
      </c>
      <c r="S5272" t="s">
        <v>9094</v>
      </c>
      <c r="T5272" t="s">
        <v>11183</v>
      </c>
      <c r="V5272" t="s">
        <v>338</v>
      </c>
      <c r="W5272">
        <v>0</v>
      </c>
      <c r="X5272" t="s">
        <v>11332</v>
      </c>
      <c r="Z5272" t="s">
        <v>14707</v>
      </c>
      <c r="AC5272">
        <v>0</v>
      </c>
      <c r="AF5272">
        <v>0</v>
      </c>
      <c r="AG5272">
        <v>2</v>
      </c>
      <c r="AH5272">
        <v>0</v>
      </c>
      <c r="AI5272">
        <v>236.55</v>
      </c>
      <c r="AL5272" t="s">
        <v>19614</v>
      </c>
      <c r="AM5272">
        <v>40000</v>
      </c>
      <c r="AS5272">
        <v>24.4</v>
      </c>
      <c r="AT5272" t="s">
        <v>760</v>
      </c>
      <c r="AU5272" t="s">
        <v>215</v>
      </c>
      <c r="AV5272" t="s">
        <v>20733</v>
      </c>
    </row>
    <row r="5273" spans="1:48">
      <c r="A5273" s="1">
        <f>HYPERLINK("https://lsnyc.legalserver.org/matter/dynamic-profile/view/1901259","19-1901259")</f>
        <v>0</v>
      </c>
      <c r="B5273" t="s">
        <v>84</v>
      </c>
      <c r="C5273" t="s">
        <v>256</v>
      </c>
      <c r="D5273" t="s">
        <v>422</v>
      </c>
      <c r="F5273" t="s">
        <v>1150</v>
      </c>
      <c r="G5273" t="s">
        <v>5333</v>
      </c>
      <c r="H5273" t="s">
        <v>7931</v>
      </c>
      <c r="I5273" t="s">
        <v>8132</v>
      </c>
      <c r="J5273" t="s">
        <v>9059</v>
      </c>
      <c r="K5273">
        <v>11226</v>
      </c>
      <c r="L5273" t="s">
        <v>9094</v>
      </c>
      <c r="M5273" t="s">
        <v>9095</v>
      </c>
      <c r="P5273" t="s">
        <v>11166</v>
      </c>
      <c r="R5273" t="s">
        <v>11180</v>
      </c>
      <c r="S5273" t="s">
        <v>9094</v>
      </c>
      <c r="T5273" t="s">
        <v>11183</v>
      </c>
      <c r="V5273" t="s">
        <v>422</v>
      </c>
      <c r="W5273">
        <v>916</v>
      </c>
      <c r="X5273" t="s">
        <v>11332</v>
      </c>
      <c r="Z5273" t="s">
        <v>14707</v>
      </c>
      <c r="AC5273">
        <v>0</v>
      </c>
      <c r="AF5273">
        <v>0</v>
      </c>
      <c r="AG5273">
        <v>2</v>
      </c>
      <c r="AH5273">
        <v>0</v>
      </c>
      <c r="AI5273">
        <v>236.55</v>
      </c>
      <c r="AL5273" t="s">
        <v>19614</v>
      </c>
      <c r="AM5273">
        <v>40000</v>
      </c>
      <c r="AS5273">
        <v>4.9</v>
      </c>
      <c r="AT5273" t="s">
        <v>410</v>
      </c>
      <c r="AU5273" t="s">
        <v>215</v>
      </c>
      <c r="AV5273" t="s">
        <v>20733</v>
      </c>
    </row>
    <row r="5274" spans="1:48">
      <c r="A5274" s="1">
        <f>HYPERLINK("https://lsnyc.legalserver.org/matter/dynamic-profile/view/1904240","19-1904240")</f>
        <v>0</v>
      </c>
      <c r="B5274" t="s">
        <v>78</v>
      </c>
      <c r="C5274" t="s">
        <v>256</v>
      </c>
      <c r="D5274" t="s">
        <v>312</v>
      </c>
      <c r="F5274" t="s">
        <v>1213</v>
      </c>
      <c r="G5274" t="s">
        <v>2303</v>
      </c>
      <c r="H5274" t="s">
        <v>6712</v>
      </c>
      <c r="I5274" t="s">
        <v>8119</v>
      </c>
      <c r="J5274" t="s">
        <v>9059</v>
      </c>
      <c r="K5274">
        <v>11221</v>
      </c>
      <c r="L5274" t="s">
        <v>9094</v>
      </c>
      <c r="M5274" t="s">
        <v>9095</v>
      </c>
      <c r="N5274" t="s">
        <v>9144</v>
      </c>
      <c r="O5274" t="s">
        <v>11137</v>
      </c>
      <c r="P5274" t="s">
        <v>11167</v>
      </c>
      <c r="R5274" t="s">
        <v>11180</v>
      </c>
      <c r="S5274" t="s">
        <v>9094</v>
      </c>
      <c r="T5274" t="s">
        <v>11186</v>
      </c>
      <c r="U5274" t="s">
        <v>11201</v>
      </c>
      <c r="V5274" t="s">
        <v>635</v>
      </c>
      <c r="W5274">
        <v>880.65</v>
      </c>
      <c r="X5274" t="s">
        <v>11332</v>
      </c>
      <c r="Y5274" t="s">
        <v>11346</v>
      </c>
      <c r="Z5274" t="s">
        <v>14708</v>
      </c>
      <c r="AA5274" t="s">
        <v>9144</v>
      </c>
      <c r="AB5274" t="s">
        <v>19027</v>
      </c>
      <c r="AC5274">
        <v>12</v>
      </c>
      <c r="AD5274" t="s">
        <v>19566</v>
      </c>
      <c r="AE5274" t="s">
        <v>9144</v>
      </c>
      <c r="AF5274">
        <v>17</v>
      </c>
      <c r="AG5274">
        <v>1</v>
      </c>
      <c r="AH5274">
        <v>1</v>
      </c>
      <c r="AI5274">
        <v>236.55</v>
      </c>
      <c r="AL5274" t="s">
        <v>19614</v>
      </c>
      <c r="AM5274">
        <v>40000</v>
      </c>
      <c r="AN5274" t="s">
        <v>20106</v>
      </c>
      <c r="AS5274">
        <v>0</v>
      </c>
      <c r="AU5274" t="s">
        <v>95</v>
      </c>
      <c r="AV5274" t="s">
        <v>20733</v>
      </c>
    </row>
    <row r="5275" spans="1:48">
      <c r="A5275" s="1">
        <f>HYPERLINK("https://lsnyc.legalserver.org/matter/dynamic-profile/view/1904227","19-1904227")</f>
        <v>0</v>
      </c>
      <c r="B5275" t="s">
        <v>74</v>
      </c>
      <c r="C5275" t="s">
        <v>256</v>
      </c>
      <c r="D5275" t="s">
        <v>312</v>
      </c>
      <c r="F5275" t="s">
        <v>1213</v>
      </c>
      <c r="G5275" t="s">
        <v>2303</v>
      </c>
      <c r="H5275" t="s">
        <v>6712</v>
      </c>
      <c r="I5275" t="s">
        <v>8119</v>
      </c>
      <c r="J5275" t="s">
        <v>9059</v>
      </c>
      <c r="K5275">
        <v>11221</v>
      </c>
      <c r="L5275" t="s">
        <v>9094</v>
      </c>
      <c r="M5275" t="s">
        <v>9095</v>
      </c>
      <c r="N5275" t="s">
        <v>10959</v>
      </c>
      <c r="O5275" t="s">
        <v>11129</v>
      </c>
      <c r="P5275" t="s">
        <v>11165</v>
      </c>
      <c r="R5275" t="s">
        <v>11180</v>
      </c>
      <c r="S5275" t="s">
        <v>9096</v>
      </c>
      <c r="T5275" t="s">
        <v>11183</v>
      </c>
      <c r="U5275" t="s">
        <v>11201</v>
      </c>
      <c r="V5275" t="s">
        <v>635</v>
      </c>
      <c r="W5275">
        <v>880.65</v>
      </c>
      <c r="X5275" t="s">
        <v>11332</v>
      </c>
      <c r="Y5275" t="s">
        <v>11346</v>
      </c>
      <c r="Z5275" t="s">
        <v>14708</v>
      </c>
      <c r="AA5275" t="s">
        <v>9144</v>
      </c>
      <c r="AB5275" t="s">
        <v>19027</v>
      </c>
      <c r="AC5275">
        <v>12</v>
      </c>
      <c r="AD5275" t="s">
        <v>19566</v>
      </c>
      <c r="AE5275" t="s">
        <v>9144</v>
      </c>
      <c r="AF5275">
        <v>17</v>
      </c>
      <c r="AG5275">
        <v>1</v>
      </c>
      <c r="AH5275">
        <v>1</v>
      </c>
      <c r="AI5275">
        <v>236.55</v>
      </c>
      <c r="AL5275" t="s">
        <v>19614</v>
      </c>
      <c r="AM5275">
        <v>40000</v>
      </c>
      <c r="AN5275" t="s">
        <v>20107</v>
      </c>
      <c r="AS5275">
        <v>0</v>
      </c>
      <c r="AU5275" t="s">
        <v>95</v>
      </c>
      <c r="AV5275" t="s">
        <v>20733</v>
      </c>
    </row>
    <row r="5276" spans="1:48">
      <c r="A5276" s="1">
        <f>HYPERLINK("https://lsnyc.legalserver.org/matter/dynamic-profile/view/1895371","19-1895371")</f>
        <v>0</v>
      </c>
      <c r="B5276" t="s">
        <v>74</v>
      </c>
      <c r="C5276" t="s">
        <v>256</v>
      </c>
      <c r="D5276" t="s">
        <v>264</v>
      </c>
      <c r="F5276" t="s">
        <v>1213</v>
      </c>
      <c r="G5276" t="s">
        <v>2303</v>
      </c>
      <c r="H5276" t="s">
        <v>6712</v>
      </c>
      <c r="I5276" t="s">
        <v>8119</v>
      </c>
      <c r="J5276" t="s">
        <v>9059</v>
      </c>
      <c r="K5276">
        <v>11221</v>
      </c>
      <c r="L5276" t="s">
        <v>9094</v>
      </c>
      <c r="M5276" t="s">
        <v>9096</v>
      </c>
      <c r="N5276" t="s">
        <v>10700</v>
      </c>
      <c r="O5276" t="s">
        <v>11141</v>
      </c>
      <c r="P5276" t="s">
        <v>11170</v>
      </c>
      <c r="R5276" t="s">
        <v>11180</v>
      </c>
      <c r="S5276" t="s">
        <v>9094</v>
      </c>
      <c r="T5276" t="s">
        <v>11185</v>
      </c>
      <c r="V5276" t="s">
        <v>264</v>
      </c>
      <c r="W5276">
        <v>880.65</v>
      </c>
      <c r="X5276" t="s">
        <v>11332</v>
      </c>
      <c r="Y5276" t="s">
        <v>11346</v>
      </c>
      <c r="Z5276" t="s">
        <v>14708</v>
      </c>
      <c r="AA5276" t="s">
        <v>9144</v>
      </c>
      <c r="AB5276" t="s">
        <v>19027</v>
      </c>
      <c r="AC5276">
        <v>12</v>
      </c>
      <c r="AD5276" t="s">
        <v>19566</v>
      </c>
      <c r="AE5276" t="s">
        <v>9144</v>
      </c>
      <c r="AF5276">
        <v>17</v>
      </c>
      <c r="AG5276">
        <v>1</v>
      </c>
      <c r="AH5276">
        <v>1</v>
      </c>
      <c r="AI5276">
        <v>236.55</v>
      </c>
      <c r="AL5276" t="s">
        <v>19614</v>
      </c>
      <c r="AM5276">
        <v>40000</v>
      </c>
      <c r="AN5276" t="s">
        <v>20107</v>
      </c>
      <c r="AS5276">
        <v>0</v>
      </c>
      <c r="AU5276" t="s">
        <v>95</v>
      </c>
      <c r="AV5276" t="s">
        <v>20733</v>
      </c>
    </row>
    <row r="5277" spans="1:48">
      <c r="A5277" s="1">
        <f>HYPERLINK("https://lsnyc.legalserver.org/matter/dynamic-profile/view/1906136","19-1906136")</f>
        <v>0</v>
      </c>
      <c r="B5277" t="s">
        <v>165</v>
      </c>
      <c r="C5277" t="s">
        <v>256</v>
      </c>
      <c r="D5277" t="s">
        <v>330</v>
      </c>
      <c r="F5277" t="s">
        <v>2802</v>
      </c>
      <c r="G5277" t="s">
        <v>5334</v>
      </c>
      <c r="H5277" t="s">
        <v>6934</v>
      </c>
      <c r="I5277" t="s">
        <v>8115</v>
      </c>
      <c r="J5277" t="s">
        <v>9059</v>
      </c>
      <c r="K5277">
        <v>11216</v>
      </c>
      <c r="L5277" t="s">
        <v>9094</v>
      </c>
      <c r="M5277" t="s">
        <v>9095</v>
      </c>
      <c r="N5277" t="s">
        <v>10050</v>
      </c>
      <c r="O5277" t="s">
        <v>11132</v>
      </c>
      <c r="P5277" t="s">
        <v>11165</v>
      </c>
      <c r="R5277" t="s">
        <v>11180</v>
      </c>
      <c r="S5277" t="s">
        <v>9094</v>
      </c>
      <c r="T5277" t="s">
        <v>11183</v>
      </c>
      <c r="U5277" t="s">
        <v>11201</v>
      </c>
      <c r="V5277" t="s">
        <v>330</v>
      </c>
      <c r="W5277">
        <v>1550</v>
      </c>
      <c r="X5277" t="s">
        <v>11332</v>
      </c>
      <c r="Y5277" t="s">
        <v>11339</v>
      </c>
      <c r="Z5277" t="s">
        <v>14709</v>
      </c>
      <c r="AA5277" t="s">
        <v>9144</v>
      </c>
      <c r="AB5277" t="s">
        <v>19028</v>
      </c>
      <c r="AC5277">
        <v>82</v>
      </c>
      <c r="AD5277" t="s">
        <v>19566</v>
      </c>
      <c r="AE5277" t="s">
        <v>9144</v>
      </c>
      <c r="AF5277">
        <v>1</v>
      </c>
      <c r="AG5277">
        <v>2</v>
      </c>
      <c r="AH5277">
        <v>0</v>
      </c>
      <c r="AI5277">
        <v>236.55</v>
      </c>
      <c r="AJ5277" t="s">
        <v>476</v>
      </c>
      <c r="AK5277" t="s">
        <v>19612</v>
      </c>
      <c r="AL5277" t="s">
        <v>19614</v>
      </c>
      <c r="AM5277">
        <v>40000</v>
      </c>
      <c r="AS5277">
        <v>0</v>
      </c>
      <c r="AU5277" t="s">
        <v>95</v>
      </c>
      <c r="AV5277" t="s">
        <v>20733</v>
      </c>
    </row>
    <row r="5278" spans="1:48">
      <c r="A5278" s="1">
        <f>HYPERLINK("https://lsnyc.legalserver.org/matter/dynamic-profile/view/1906138","19-1906138")</f>
        <v>0</v>
      </c>
      <c r="B5278" t="s">
        <v>165</v>
      </c>
      <c r="C5278" t="s">
        <v>256</v>
      </c>
      <c r="D5278" t="s">
        <v>330</v>
      </c>
      <c r="F5278" t="s">
        <v>2802</v>
      </c>
      <c r="G5278" t="s">
        <v>5334</v>
      </c>
      <c r="H5278" t="s">
        <v>6934</v>
      </c>
      <c r="I5278" t="s">
        <v>8115</v>
      </c>
      <c r="J5278" t="s">
        <v>9059</v>
      </c>
      <c r="K5278">
        <v>11216</v>
      </c>
      <c r="L5278" t="s">
        <v>9094</v>
      </c>
      <c r="M5278" t="s">
        <v>9095</v>
      </c>
      <c r="N5278" t="s">
        <v>9121</v>
      </c>
      <c r="O5278" t="s">
        <v>9121</v>
      </c>
      <c r="P5278" t="s">
        <v>11167</v>
      </c>
      <c r="R5278" t="s">
        <v>11180</v>
      </c>
      <c r="S5278" t="s">
        <v>9094</v>
      </c>
      <c r="T5278" t="s">
        <v>11183</v>
      </c>
      <c r="U5278" t="s">
        <v>11201</v>
      </c>
      <c r="V5278" t="s">
        <v>330</v>
      </c>
      <c r="W5278">
        <v>0</v>
      </c>
      <c r="X5278" t="s">
        <v>11332</v>
      </c>
      <c r="Y5278" t="s">
        <v>11339</v>
      </c>
      <c r="Z5278" t="s">
        <v>14709</v>
      </c>
      <c r="AA5278" t="s">
        <v>9171</v>
      </c>
      <c r="AB5278" t="s">
        <v>19028</v>
      </c>
      <c r="AC5278">
        <v>82</v>
      </c>
      <c r="AD5278" t="s">
        <v>19566</v>
      </c>
      <c r="AE5278" t="s">
        <v>9144</v>
      </c>
      <c r="AF5278">
        <v>1</v>
      </c>
      <c r="AG5278">
        <v>2</v>
      </c>
      <c r="AH5278">
        <v>0</v>
      </c>
      <c r="AI5278">
        <v>236.55</v>
      </c>
      <c r="AK5278" t="s">
        <v>19612</v>
      </c>
      <c r="AL5278" t="s">
        <v>19614</v>
      </c>
      <c r="AM5278">
        <v>40000</v>
      </c>
      <c r="AS5278">
        <v>0</v>
      </c>
      <c r="AU5278" t="s">
        <v>95</v>
      </c>
      <c r="AV5278" t="s">
        <v>20733</v>
      </c>
    </row>
    <row r="5279" spans="1:48">
      <c r="A5279" s="1">
        <f>HYPERLINK("https://lsnyc.legalserver.org/matter/dynamic-profile/view/1894949","19-1894949")</f>
        <v>0</v>
      </c>
      <c r="B5279" t="s">
        <v>75</v>
      </c>
      <c r="C5279" t="s">
        <v>257</v>
      </c>
      <c r="D5279" t="s">
        <v>718</v>
      </c>
      <c r="E5279" t="s">
        <v>867</v>
      </c>
      <c r="F5279" t="s">
        <v>3047</v>
      </c>
      <c r="G5279" t="s">
        <v>4864</v>
      </c>
      <c r="H5279" t="s">
        <v>5830</v>
      </c>
      <c r="I5279" t="s">
        <v>8934</v>
      </c>
      <c r="J5279" t="s">
        <v>9059</v>
      </c>
      <c r="K5279">
        <v>11207</v>
      </c>
      <c r="L5279" t="s">
        <v>9094</v>
      </c>
      <c r="M5279" t="s">
        <v>9094</v>
      </c>
      <c r="N5279" t="s">
        <v>9201</v>
      </c>
      <c r="O5279" t="s">
        <v>11128</v>
      </c>
      <c r="P5279" t="s">
        <v>11165</v>
      </c>
      <c r="Q5279" t="s">
        <v>11174</v>
      </c>
      <c r="R5279" t="s">
        <v>11180</v>
      </c>
      <c r="S5279" t="s">
        <v>9094</v>
      </c>
      <c r="T5279" t="s">
        <v>11183</v>
      </c>
      <c r="U5279" t="s">
        <v>11201</v>
      </c>
      <c r="V5279" t="s">
        <v>706</v>
      </c>
      <c r="W5279">
        <v>0</v>
      </c>
      <c r="X5279" t="s">
        <v>11332</v>
      </c>
      <c r="Z5279" t="s">
        <v>14710</v>
      </c>
      <c r="AC5279">
        <v>2</v>
      </c>
      <c r="AE5279" t="s">
        <v>11157</v>
      </c>
      <c r="AF5279">
        <v>1</v>
      </c>
      <c r="AG5279">
        <v>2</v>
      </c>
      <c r="AH5279">
        <v>0</v>
      </c>
      <c r="AI5279">
        <v>236.55</v>
      </c>
      <c r="AM5279">
        <v>40000</v>
      </c>
      <c r="AN5279" t="s">
        <v>20108</v>
      </c>
      <c r="AS5279">
        <v>0.5</v>
      </c>
      <c r="AT5279" t="s">
        <v>867</v>
      </c>
      <c r="AU5279" t="s">
        <v>95</v>
      </c>
      <c r="AV5279" t="s">
        <v>20733</v>
      </c>
    </row>
    <row r="5280" spans="1:48">
      <c r="A5280" s="1">
        <f>HYPERLINK("https://lsnyc.legalserver.org/matter/dynamic-profile/view/1905408","19-1905408")</f>
        <v>0</v>
      </c>
      <c r="B5280" t="s">
        <v>98</v>
      </c>
      <c r="C5280" t="s">
        <v>257</v>
      </c>
      <c r="D5280" t="s">
        <v>408</v>
      </c>
      <c r="E5280" t="s">
        <v>372</v>
      </c>
      <c r="F5280" t="s">
        <v>1147</v>
      </c>
      <c r="G5280" t="s">
        <v>3551</v>
      </c>
      <c r="H5280" t="s">
        <v>7932</v>
      </c>
      <c r="I5280" t="s">
        <v>8745</v>
      </c>
      <c r="J5280" t="s">
        <v>9065</v>
      </c>
      <c r="K5280">
        <v>10468</v>
      </c>
      <c r="L5280" t="s">
        <v>9094</v>
      </c>
      <c r="M5280" t="s">
        <v>9095</v>
      </c>
      <c r="N5280" t="s">
        <v>10960</v>
      </c>
      <c r="O5280" t="s">
        <v>11129</v>
      </c>
      <c r="P5280" t="s">
        <v>11164</v>
      </c>
      <c r="Q5280" t="s">
        <v>11172</v>
      </c>
      <c r="R5280" t="s">
        <v>11180</v>
      </c>
      <c r="S5280" t="s">
        <v>9096</v>
      </c>
      <c r="T5280" t="s">
        <v>11183</v>
      </c>
      <c r="U5280" t="s">
        <v>11200</v>
      </c>
      <c r="V5280" t="s">
        <v>493</v>
      </c>
      <c r="W5280">
        <v>795.78</v>
      </c>
      <c r="X5280" t="s">
        <v>11333</v>
      </c>
      <c r="Y5280" t="s">
        <v>11346</v>
      </c>
      <c r="Z5280" t="s">
        <v>14711</v>
      </c>
      <c r="AB5280" t="s">
        <v>19029</v>
      </c>
      <c r="AC5280">
        <v>83</v>
      </c>
      <c r="AD5280" t="s">
        <v>19566</v>
      </c>
      <c r="AE5280" t="s">
        <v>9144</v>
      </c>
      <c r="AF5280">
        <v>33</v>
      </c>
      <c r="AG5280">
        <v>2</v>
      </c>
      <c r="AH5280">
        <v>0</v>
      </c>
      <c r="AI5280">
        <v>236.55</v>
      </c>
      <c r="AL5280" t="s">
        <v>19614</v>
      </c>
      <c r="AM5280">
        <v>40000</v>
      </c>
      <c r="AS5280">
        <v>1</v>
      </c>
      <c r="AT5280" t="s">
        <v>329</v>
      </c>
      <c r="AU5280" t="s">
        <v>20642</v>
      </c>
      <c r="AV5280" t="s">
        <v>20733</v>
      </c>
    </row>
    <row r="5281" spans="1:48">
      <c r="A5281" s="1">
        <f>HYPERLINK("https://lsnyc.legalserver.org/matter/dynamic-profile/view/1864017","18-1864017")</f>
        <v>0</v>
      </c>
      <c r="B5281" t="s">
        <v>148</v>
      </c>
      <c r="C5281" t="s">
        <v>257</v>
      </c>
      <c r="D5281" t="s">
        <v>809</v>
      </c>
      <c r="E5281" t="s">
        <v>1130</v>
      </c>
      <c r="F5281" t="s">
        <v>3048</v>
      </c>
      <c r="G5281" t="s">
        <v>5335</v>
      </c>
      <c r="H5281" t="s">
        <v>5961</v>
      </c>
      <c r="I5281">
        <v>311</v>
      </c>
      <c r="J5281" t="s">
        <v>9067</v>
      </c>
      <c r="K5281">
        <v>10029</v>
      </c>
      <c r="L5281" t="s">
        <v>9094</v>
      </c>
      <c r="M5281" t="s">
        <v>9094</v>
      </c>
      <c r="N5281" t="s">
        <v>9287</v>
      </c>
      <c r="O5281" t="s">
        <v>11130</v>
      </c>
      <c r="P5281" t="s">
        <v>11165</v>
      </c>
      <c r="Q5281" t="s">
        <v>11172</v>
      </c>
      <c r="R5281" t="s">
        <v>11180</v>
      </c>
      <c r="S5281" t="s">
        <v>9094</v>
      </c>
      <c r="T5281" t="s">
        <v>11183</v>
      </c>
      <c r="U5281" t="s">
        <v>11201</v>
      </c>
      <c r="V5281" t="s">
        <v>809</v>
      </c>
      <c r="W5281">
        <v>0</v>
      </c>
      <c r="X5281" t="s">
        <v>11335</v>
      </c>
      <c r="Y5281" t="s">
        <v>11339</v>
      </c>
      <c r="Z5281" t="s">
        <v>14712</v>
      </c>
      <c r="AC5281">
        <v>108</v>
      </c>
      <c r="AD5281" t="s">
        <v>19567</v>
      </c>
      <c r="AE5281" t="s">
        <v>19580</v>
      </c>
      <c r="AF5281">
        <v>8</v>
      </c>
      <c r="AG5281">
        <v>1</v>
      </c>
      <c r="AH5281">
        <v>2</v>
      </c>
      <c r="AI5281">
        <v>236.7</v>
      </c>
      <c r="AL5281" t="s">
        <v>19614</v>
      </c>
      <c r="AM5281">
        <v>49187</v>
      </c>
      <c r="AS5281">
        <v>0.2</v>
      </c>
      <c r="AT5281" t="s">
        <v>1096</v>
      </c>
      <c r="AU5281" t="s">
        <v>20657</v>
      </c>
    </row>
    <row r="5282" spans="1:48">
      <c r="A5282" s="1">
        <f>HYPERLINK("https://lsnyc.legalserver.org/matter/dynamic-profile/view/1903672","19-1903672")</f>
        <v>0</v>
      </c>
      <c r="B5282" t="s">
        <v>122</v>
      </c>
      <c r="C5282" t="s">
        <v>256</v>
      </c>
      <c r="D5282" t="s">
        <v>700</v>
      </c>
      <c r="F5282" t="s">
        <v>1143</v>
      </c>
      <c r="G5282" t="s">
        <v>5336</v>
      </c>
      <c r="H5282" t="s">
        <v>5911</v>
      </c>
      <c r="I5282" t="s">
        <v>8935</v>
      </c>
      <c r="J5282" t="s">
        <v>9066</v>
      </c>
      <c r="K5282">
        <v>10314</v>
      </c>
      <c r="L5282" t="s">
        <v>9094</v>
      </c>
      <c r="M5282" t="s">
        <v>9095</v>
      </c>
      <c r="O5282" t="s">
        <v>11134</v>
      </c>
      <c r="R5282" t="s">
        <v>11180</v>
      </c>
      <c r="S5282" t="s">
        <v>9094</v>
      </c>
      <c r="T5282" t="s">
        <v>11183</v>
      </c>
      <c r="W5282">
        <v>967</v>
      </c>
      <c r="X5282" t="s">
        <v>11334</v>
      </c>
      <c r="Y5282" t="s">
        <v>11340</v>
      </c>
      <c r="Z5282" t="s">
        <v>14713</v>
      </c>
      <c r="AB5282" t="s">
        <v>19030</v>
      </c>
      <c r="AC5282">
        <v>96</v>
      </c>
      <c r="AE5282" t="s">
        <v>19587</v>
      </c>
      <c r="AF5282">
        <v>8</v>
      </c>
      <c r="AG5282">
        <v>1</v>
      </c>
      <c r="AH5282">
        <v>0</v>
      </c>
      <c r="AI5282">
        <v>236.89</v>
      </c>
      <c r="AL5282" t="s">
        <v>19614</v>
      </c>
      <c r="AM5282">
        <v>29587.92</v>
      </c>
      <c r="AS5282">
        <v>2.4</v>
      </c>
      <c r="AT5282" t="s">
        <v>1130</v>
      </c>
      <c r="AU5282" t="s">
        <v>20653</v>
      </c>
      <c r="AV5282" t="s">
        <v>20733</v>
      </c>
    </row>
    <row r="5283" spans="1:48">
      <c r="A5283" s="1">
        <f>HYPERLINK("https://lsnyc.legalserver.org/matter/dynamic-profile/view/1904238","19-1904238")</f>
        <v>0</v>
      </c>
      <c r="B5283" t="s">
        <v>205</v>
      </c>
      <c r="C5283" t="s">
        <v>256</v>
      </c>
      <c r="D5283" t="s">
        <v>660</v>
      </c>
      <c r="F5283" t="s">
        <v>1143</v>
      </c>
      <c r="G5283" t="s">
        <v>5336</v>
      </c>
      <c r="H5283" t="s">
        <v>5911</v>
      </c>
      <c r="I5283" t="s">
        <v>8935</v>
      </c>
      <c r="J5283" t="s">
        <v>9066</v>
      </c>
      <c r="K5283">
        <v>10314</v>
      </c>
      <c r="L5283" t="s">
        <v>9094</v>
      </c>
      <c r="M5283" t="s">
        <v>9095</v>
      </c>
      <c r="N5283" t="s">
        <v>9154</v>
      </c>
      <c r="O5283" t="s">
        <v>11137</v>
      </c>
      <c r="P5283" t="s">
        <v>11166</v>
      </c>
      <c r="R5283" t="s">
        <v>11180</v>
      </c>
      <c r="S5283" t="s">
        <v>9096</v>
      </c>
      <c r="T5283" t="s">
        <v>11183</v>
      </c>
      <c r="U5283" t="s">
        <v>11201</v>
      </c>
      <c r="V5283" t="s">
        <v>367</v>
      </c>
      <c r="W5283">
        <v>967</v>
      </c>
      <c r="X5283" t="s">
        <v>11334</v>
      </c>
      <c r="Y5283" t="s">
        <v>11340</v>
      </c>
      <c r="Z5283" t="s">
        <v>14713</v>
      </c>
      <c r="AB5283" t="s">
        <v>19030</v>
      </c>
      <c r="AC5283">
        <v>96</v>
      </c>
      <c r="AD5283" t="s">
        <v>19566</v>
      </c>
      <c r="AE5283" t="s">
        <v>19587</v>
      </c>
      <c r="AF5283">
        <v>8</v>
      </c>
      <c r="AG5283">
        <v>1</v>
      </c>
      <c r="AH5283">
        <v>0</v>
      </c>
      <c r="AI5283">
        <v>236.89</v>
      </c>
      <c r="AJ5283" t="s">
        <v>367</v>
      </c>
      <c r="AK5283" t="s">
        <v>19612</v>
      </c>
      <c r="AL5283" t="s">
        <v>19614</v>
      </c>
      <c r="AM5283">
        <v>29587.92</v>
      </c>
      <c r="AS5283">
        <v>2.9</v>
      </c>
      <c r="AT5283" t="s">
        <v>425</v>
      </c>
      <c r="AU5283" t="s">
        <v>20653</v>
      </c>
      <c r="AV5283" t="s">
        <v>20733</v>
      </c>
    </row>
    <row r="5284" spans="1:48">
      <c r="A5284" s="1">
        <f>HYPERLINK("https://lsnyc.legalserver.org/matter/dynamic-profile/view/1883160","18-1883160")</f>
        <v>0</v>
      </c>
      <c r="B5284" t="s">
        <v>65</v>
      </c>
      <c r="C5284" t="s">
        <v>256</v>
      </c>
      <c r="D5284" t="s">
        <v>407</v>
      </c>
      <c r="F5284" t="s">
        <v>2541</v>
      </c>
      <c r="G5284" t="s">
        <v>4625</v>
      </c>
      <c r="H5284" t="s">
        <v>5744</v>
      </c>
      <c r="I5284">
        <v>10</v>
      </c>
      <c r="J5284" t="s">
        <v>9059</v>
      </c>
      <c r="K5284">
        <v>11238</v>
      </c>
      <c r="L5284" t="s">
        <v>9094</v>
      </c>
      <c r="M5284" t="s">
        <v>9095</v>
      </c>
      <c r="O5284" t="s">
        <v>11129</v>
      </c>
      <c r="P5284" t="s">
        <v>11165</v>
      </c>
      <c r="R5284" t="s">
        <v>11180</v>
      </c>
      <c r="T5284" t="s">
        <v>11183</v>
      </c>
      <c r="V5284" t="s">
        <v>407</v>
      </c>
      <c r="W5284">
        <v>0</v>
      </c>
      <c r="X5284" t="s">
        <v>11332</v>
      </c>
      <c r="Z5284" t="s">
        <v>12141</v>
      </c>
      <c r="AB5284" t="s">
        <v>19031</v>
      </c>
      <c r="AC5284">
        <v>0</v>
      </c>
      <c r="AF5284">
        <v>0</v>
      </c>
      <c r="AG5284">
        <v>2</v>
      </c>
      <c r="AH5284">
        <v>0</v>
      </c>
      <c r="AI5284">
        <v>236.94</v>
      </c>
      <c r="AL5284" t="s">
        <v>19614</v>
      </c>
      <c r="AM5284">
        <v>39000</v>
      </c>
      <c r="AS5284">
        <v>4.6</v>
      </c>
      <c r="AT5284" t="s">
        <v>426</v>
      </c>
      <c r="AU5284" t="s">
        <v>65</v>
      </c>
      <c r="AV5284" t="s">
        <v>20733</v>
      </c>
    </row>
    <row r="5285" spans="1:48">
      <c r="A5285" s="1">
        <f>HYPERLINK("https://lsnyc.legalserver.org/matter/dynamic-profile/view/1868594","18-1868594")</f>
        <v>0</v>
      </c>
      <c r="B5285" t="s">
        <v>101</v>
      </c>
      <c r="C5285" t="s">
        <v>257</v>
      </c>
      <c r="D5285" t="s">
        <v>456</v>
      </c>
      <c r="E5285" t="s">
        <v>275</v>
      </c>
      <c r="F5285" t="s">
        <v>1402</v>
      </c>
      <c r="G5285" t="s">
        <v>3499</v>
      </c>
      <c r="H5285" t="s">
        <v>6262</v>
      </c>
      <c r="I5285" t="s">
        <v>8178</v>
      </c>
      <c r="J5285" t="s">
        <v>9065</v>
      </c>
      <c r="K5285">
        <v>10452</v>
      </c>
      <c r="L5285" t="s">
        <v>9094</v>
      </c>
      <c r="M5285" t="s">
        <v>9095</v>
      </c>
      <c r="O5285" t="s">
        <v>9121</v>
      </c>
      <c r="P5285" t="s">
        <v>11166</v>
      </c>
      <c r="Q5285" t="s">
        <v>11178</v>
      </c>
      <c r="R5285" t="s">
        <v>11180</v>
      </c>
      <c r="S5285" t="s">
        <v>9094</v>
      </c>
      <c r="T5285" t="s">
        <v>11183</v>
      </c>
      <c r="V5285" t="s">
        <v>675</v>
      </c>
      <c r="W5285">
        <v>980</v>
      </c>
      <c r="X5285" t="s">
        <v>11333</v>
      </c>
      <c r="Y5285" t="s">
        <v>11347</v>
      </c>
      <c r="Z5285" t="s">
        <v>14602</v>
      </c>
      <c r="AB5285" t="s">
        <v>18923</v>
      </c>
      <c r="AC5285">
        <v>60</v>
      </c>
      <c r="AD5285" t="s">
        <v>19566</v>
      </c>
      <c r="AE5285" t="s">
        <v>9144</v>
      </c>
      <c r="AF5285">
        <v>29</v>
      </c>
      <c r="AG5285">
        <v>5</v>
      </c>
      <c r="AH5285">
        <v>0</v>
      </c>
      <c r="AI5285">
        <v>237.25</v>
      </c>
      <c r="AL5285" t="s">
        <v>19615</v>
      </c>
      <c r="AM5285">
        <v>69800</v>
      </c>
      <c r="AS5285">
        <v>0.4</v>
      </c>
      <c r="AT5285" t="s">
        <v>275</v>
      </c>
      <c r="AU5285" t="s">
        <v>20647</v>
      </c>
    </row>
    <row r="5286" spans="1:48">
      <c r="A5286" s="1">
        <f>HYPERLINK("https://lsnyc.legalserver.org/matter/dynamic-profile/view/1889002","19-1889002")</f>
        <v>0</v>
      </c>
      <c r="B5286" t="s">
        <v>137</v>
      </c>
      <c r="C5286" t="s">
        <v>256</v>
      </c>
      <c r="D5286" t="s">
        <v>503</v>
      </c>
      <c r="F5286" t="s">
        <v>1294</v>
      </c>
      <c r="G5286" t="s">
        <v>5337</v>
      </c>
      <c r="H5286" t="s">
        <v>5938</v>
      </c>
      <c r="I5286" t="s">
        <v>8192</v>
      </c>
      <c r="J5286" t="s">
        <v>9067</v>
      </c>
      <c r="K5286">
        <v>10040</v>
      </c>
      <c r="L5286" t="s">
        <v>9094</v>
      </c>
      <c r="M5286" t="s">
        <v>9094</v>
      </c>
      <c r="O5286" t="s">
        <v>11128</v>
      </c>
      <c r="P5286" t="s">
        <v>11165</v>
      </c>
      <c r="R5286" t="s">
        <v>11180</v>
      </c>
      <c r="S5286" t="s">
        <v>9096</v>
      </c>
      <c r="T5286" t="s">
        <v>11183</v>
      </c>
      <c r="V5286" t="s">
        <v>503</v>
      </c>
      <c r="W5286">
        <v>887.22</v>
      </c>
      <c r="X5286" t="s">
        <v>11335</v>
      </c>
      <c r="Y5286" t="s">
        <v>11338</v>
      </c>
      <c r="Z5286" t="s">
        <v>14714</v>
      </c>
      <c r="AB5286" t="s">
        <v>19032</v>
      </c>
      <c r="AC5286">
        <v>150</v>
      </c>
      <c r="AD5286" t="s">
        <v>19566</v>
      </c>
      <c r="AE5286" t="s">
        <v>9144</v>
      </c>
      <c r="AF5286">
        <v>22</v>
      </c>
      <c r="AG5286">
        <v>4</v>
      </c>
      <c r="AH5286">
        <v>0</v>
      </c>
      <c r="AI5286">
        <v>237.67</v>
      </c>
      <c r="AL5286" t="s">
        <v>19615</v>
      </c>
      <c r="AM5286">
        <v>61200</v>
      </c>
      <c r="AS5286">
        <v>90.84999999999999</v>
      </c>
      <c r="AT5286" t="s">
        <v>744</v>
      </c>
      <c r="AU5286" t="s">
        <v>130</v>
      </c>
      <c r="AV5286" t="s">
        <v>20733</v>
      </c>
    </row>
    <row r="5287" spans="1:48">
      <c r="A5287" s="1">
        <f>HYPERLINK("https://lsnyc.legalserver.org/matter/dynamic-profile/view/0804114","16-0804114")</f>
        <v>0</v>
      </c>
      <c r="B5287" t="s">
        <v>58</v>
      </c>
      <c r="C5287" t="s">
        <v>256</v>
      </c>
      <c r="D5287" t="s">
        <v>979</v>
      </c>
      <c r="F5287" t="s">
        <v>1213</v>
      </c>
      <c r="G5287" t="s">
        <v>4356</v>
      </c>
      <c r="H5287" t="s">
        <v>7158</v>
      </c>
      <c r="I5287" t="s">
        <v>8639</v>
      </c>
      <c r="J5287" t="s">
        <v>9059</v>
      </c>
      <c r="K5287">
        <v>11225</v>
      </c>
      <c r="L5287" t="s">
        <v>9094</v>
      </c>
      <c r="M5287" t="s">
        <v>9095</v>
      </c>
      <c r="N5287" t="s">
        <v>9493</v>
      </c>
      <c r="O5287" t="s">
        <v>11132</v>
      </c>
      <c r="P5287" t="s">
        <v>11165</v>
      </c>
      <c r="R5287" t="s">
        <v>11180</v>
      </c>
      <c r="S5287" t="s">
        <v>9094</v>
      </c>
      <c r="T5287" t="s">
        <v>11183</v>
      </c>
      <c r="V5287" t="s">
        <v>11215</v>
      </c>
      <c r="W5287">
        <v>2180</v>
      </c>
      <c r="X5287" t="s">
        <v>11332</v>
      </c>
      <c r="Y5287" t="s">
        <v>11346</v>
      </c>
      <c r="Z5287" t="s">
        <v>14715</v>
      </c>
      <c r="AB5287" t="s">
        <v>19033</v>
      </c>
      <c r="AC5287">
        <v>8</v>
      </c>
      <c r="AD5287" t="s">
        <v>19566</v>
      </c>
      <c r="AF5287">
        <v>25</v>
      </c>
      <c r="AG5287">
        <v>3</v>
      </c>
      <c r="AH5287">
        <v>0</v>
      </c>
      <c r="AI5287">
        <v>238.1</v>
      </c>
      <c r="AL5287" t="s">
        <v>19614</v>
      </c>
      <c r="AM5287">
        <v>48000</v>
      </c>
      <c r="AS5287">
        <v>4.1</v>
      </c>
      <c r="AT5287" t="s">
        <v>281</v>
      </c>
      <c r="AU5287" t="s">
        <v>20626</v>
      </c>
    </row>
    <row r="5288" spans="1:48">
      <c r="A5288" s="1">
        <f>HYPERLINK("https://lsnyc.legalserver.org/matter/dynamic-profile/view/0823664","17-0823664")</f>
        <v>0</v>
      </c>
      <c r="B5288" t="s">
        <v>155</v>
      </c>
      <c r="C5288" t="s">
        <v>256</v>
      </c>
      <c r="D5288" t="s">
        <v>464</v>
      </c>
      <c r="F5288" t="s">
        <v>1213</v>
      </c>
      <c r="G5288" t="s">
        <v>4356</v>
      </c>
      <c r="H5288" t="s">
        <v>7158</v>
      </c>
      <c r="I5288" t="s">
        <v>8639</v>
      </c>
      <c r="J5288" t="s">
        <v>9059</v>
      </c>
      <c r="K5288">
        <v>11225</v>
      </c>
      <c r="L5288" t="s">
        <v>9095</v>
      </c>
      <c r="M5288" t="s">
        <v>9095</v>
      </c>
      <c r="O5288" t="s">
        <v>11137</v>
      </c>
      <c r="P5288" t="s">
        <v>11167</v>
      </c>
      <c r="R5288" t="s">
        <v>11180</v>
      </c>
      <c r="S5288" t="s">
        <v>9094</v>
      </c>
      <c r="T5288" t="s">
        <v>11183</v>
      </c>
      <c r="V5288" t="s">
        <v>986</v>
      </c>
      <c r="W5288">
        <v>2180</v>
      </c>
      <c r="X5288" t="s">
        <v>11332</v>
      </c>
      <c r="Y5288" t="s">
        <v>11346</v>
      </c>
      <c r="Z5288" t="s">
        <v>14715</v>
      </c>
      <c r="AB5288" t="s">
        <v>19033</v>
      </c>
      <c r="AC5288">
        <v>8</v>
      </c>
      <c r="AD5288" t="s">
        <v>19566</v>
      </c>
      <c r="AF5288">
        <v>25</v>
      </c>
      <c r="AG5288">
        <v>3</v>
      </c>
      <c r="AH5288">
        <v>0</v>
      </c>
      <c r="AI5288">
        <v>238.1</v>
      </c>
      <c r="AL5288" t="s">
        <v>19614</v>
      </c>
      <c r="AM5288">
        <v>48000</v>
      </c>
      <c r="AS5288">
        <v>0</v>
      </c>
      <c r="AU5288" t="s">
        <v>20636</v>
      </c>
    </row>
    <row r="5289" spans="1:48">
      <c r="A5289" s="1">
        <f>HYPERLINK("https://lsnyc.legalserver.org/matter/dynamic-profile/view/1856034","18-1856034")</f>
        <v>0</v>
      </c>
      <c r="B5289" t="s">
        <v>140</v>
      </c>
      <c r="C5289" t="s">
        <v>256</v>
      </c>
      <c r="D5289" t="s">
        <v>898</v>
      </c>
      <c r="F5289" t="s">
        <v>1374</v>
      </c>
      <c r="G5289" t="s">
        <v>2008</v>
      </c>
      <c r="H5289" t="s">
        <v>5999</v>
      </c>
      <c r="I5289" t="s">
        <v>8279</v>
      </c>
      <c r="J5289" t="s">
        <v>9067</v>
      </c>
      <c r="K5289">
        <v>10040</v>
      </c>
      <c r="L5289" t="s">
        <v>9094</v>
      </c>
      <c r="M5289" t="s">
        <v>9095</v>
      </c>
      <c r="N5289" t="s">
        <v>9314</v>
      </c>
      <c r="O5289" t="s">
        <v>11130</v>
      </c>
      <c r="P5289" t="s">
        <v>11165</v>
      </c>
      <c r="R5289" t="s">
        <v>11180</v>
      </c>
      <c r="S5289" t="s">
        <v>9094</v>
      </c>
      <c r="T5289" t="s">
        <v>11183</v>
      </c>
      <c r="V5289" t="s">
        <v>898</v>
      </c>
      <c r="W5289">
        <v>1413</v>
      </c>
      <c r="X5289" t="s">
        <v>11335</v>
      </c>
      <c r="Y5289" t="s">
        <v>11339</v>
      </c>
      <c r="Z5289" t="s">
        <v>14487</v>
      </c>
      <c r="AB5289" t="s">
        <v>18811</v>
      </c>
      <c r="AC5289">
        <v>44</v>
      </c>
      <c r="AD5289" t="s">
        <v>19566</v>
      </c>
      <c r="AE5289" t="s">
        <v>9144</v>
      </c>
      <c r="AF5289">
        <v>35</v>
      </c>
      <c r="AG5289">
        <v>4</v>
      </c>
      <c r="AH5289">
        <v>2</v>
      </c>
      <c r="AI5289">
        <v>238.23</v>
      </c>
      <c r="AJ5289" t="s">
        <v>982</v>
      </c>
      <c r="AL5289" t="s">
        <v>19614</v>
      </c>
      <c r="AM5289">
        <v>78520</v>
      </c>
      <c r="AS5289">
        <v>3.61</v>
      </c>
      <c r="AT5289" t="s">
        <v>1135</v>
      </c>
      <c r="AU5289" t="s">
        <v>130</v>
      </c>
    </row>
    <row r="5290" spans="1:48">
      <c r="A5290" s="1">
        <f>HYPERLINK("https://lsnyc.legalserver.org/matter/dynamic-profile/view/1906007","19-1906007")</f>
        <v>0</v>
      </c>
      <c r="B5290" t="s">
        <v>76</v>
      </c>
      <c r="C5290" t="s">
        <v>256</v>
      </c>
      <c r="D5290" t="s">
        <v>329</v>
      </c>
      <c r="F5290" t="s">
        <v>1184</v>
      </c>
      <c r="G5290" t="s">
        <v>3910</v>
      </c>
      <c r="H5290" t="s">
        <v>5748</v>
      </c>
      <c r="I5290" t="s">
        <v>8930</v>
      </c>
      <c r="J5290" t="s">
        <v>9059</v>
      </c>
      <c r="K5290">
        <v>11233</v>
      </c>
      <c r="L5290" t="s">
        <v>9096</v>
      </c>
      <c r="M5290" t="s">
        <v>9095</v>
      </c>
      <c r="N5290" t="s">
        <v>9102</v>
      </c>
      <c r="O5290" t="s">
        <v>11137</v>
      </c>
      <c r="R5290" t="s">
        <v>11180</v>
      </c>
      <c r="S5290" t="s">
        <v>9096</v>
      </c>
      <c r="T5290" t="s">
        <v>11183</v>
      </c>
      <c r="U5290" t="s">
        <v>11201</v>
      </c>
      <c r="V5290" t="s">
        <v>503</v>
      </c>
      <c r="W5290">
        <v>925</v>
      </c>
      <c r="X5290" t="s">
        <v>11332</v>
      </c>
      <c r="Y5290" t="s">
        <v>11157</v>
      </c>
      <c r="Z5290" t="s">
        <v>14716</v>
      </c>
      <c r="AA5290" t="s">
        <v>9171</v>
      </c>
      <c r="AB5290" t="s">
        <v>19034</v>
      </c>
      <c r="AC5290">
        <v>1117</v>
      </c>
      <c r="AD5290" t="s">
        <v>19566</v>
      </c>
      <c r="AE5290" t="s">
        <v>9144</v>
      </c>
      <c r="AF5290">
        <v>16</v>
      </c>
      <c r="AG5290">
        <v>1</v>
      </c>
      <c r="AH5290">
        <v>0</v>
      </c>
      <c r="AI5290">
        <v>238.46</v>
      </c>
      <c r="AL5290" t="s">
        <v>19614</v>
      </c>
      <c r="AM5290">
        <v>29784</v>
      </c>
      <c r="AS5290">
        <v>0</v>
      </c>
      <c r="AU5290" t="s">
        <v>95</v>
      </c>
      <c r="AV5290" t="s">
        <v>9144</v>
      </c>
    </row>
    <row r="5291" spans="1:48">
      <c r="A5291" s="1">
        <f>HYPERLINK("https://lsnyc.legalserver.org/matter/dynamic-profile/view/1839710","17-1839710")</f>
        <v>0</v>
      </c>
      <c r="B5291" t="s">
        <v>129</v>
      </c>
      <c r="C5291" t="s">
        <v>256</v>
      </c>
      <c r="D5291" t="s">
        <v>925</v>
      </c>
      <c r="F5291" t="s">
        <v>3049</v>
      </c>
      <c r="G5291" t="s">
        <v>5338</v>
      </c>
      <c r="H5291" t="s">
        <v>7395</v>
      </c>
      <c r="I5291" t="s">
        <v>8936</v>
      </c>
      <c r="J5291" t="s">
        <v>9066</v>
      </c>
      <c r="K5291">
        <v>10301</v>
      </c>
      <c r="L5291" t="s">
        <v>9094</v>
      </c>
      <c r="M5291" t="s">
        <v>9094</v>
      </c>
      <c r="N5291" t="s">
        <v>9102</v>
      </c>
      <c r="O5291" t="s">
        <v>11128</v>
      </c>
      <c r="P5291" t="s">
        <v>11166</v>
      </c>
      <c r="R5291" t="s">
        <v>11180</v>
      </c>
      <c r="S5291" t="s">
        <v>9096</v>
      </c>
      <c r="T5291" t="s">
        <v>11183</v>
      </c>
      <c r="U5291" t="s">
        <v>11201</v>
      </c>
      <c r="V5291" t="s">
        <v>489</v>
      </c>
      <c r="W5291">
        <v>1532</v>
      </c>
      <c r="X5291" t="s">
        <v>11334</v>
      </c>
      <c r="Y5291" t="s">
        <v>11345</v>
      </c>
      <c r="Z5291" t="s">
        <v>14717</v>
      </c>
      <c r="AA5291" t="s">
        <v>9171</v>
      </c>
      <c r="AB5291" t="s">
        <v>19035</v>
      </c>
      <c r="AC5291">
        <v>200</v>
      </c>
      <c r="AD5291" t="s">
        <v>19566</v>
      </c>
      <c r="AE5291" t="s">
        <v>9144</v>
      </c>
      <c r="AF5291">
        <v>22</v>
      </c>
      <c r="AG5291">
        <v>2</v>
      </c>
      <c r="AH5291">
        <v>0</v>
      </c>
      <c r="AI5291">
        <v>238.52</v>
      </c>
      <c r="AJ5291" t="s">
        <v>1021</v>
      </c>
      <c r="AK5291" t="s">
        <v>19612</v>
      </c>
      <c r="AL5291" t="s">
        <v>19614</v>
      </c>
      <c r="AM5291">
        <v>53988</v>
      </c>
      <c r="AN5291" t="s">
        <v>20109</v>
      </c>
      <c r="AP5291" t="s">
        <v>20326</v>
      </c>
      <c r="AQ5291" t="s">
        <v>20369</v>
      </c>
      <c r="AR5291" t="s">
        <v>20569</v>
      </c>
      <c r="AS5291">
        <v>2.6</v>
      </c>
      <c r="AT5291" t="s">
        <v>335</v>
      </c>
      <c r="AU5291" t="s">
        <v>20652</v>
      </c>
    </row>
    <row r="5292" spans="1:48">
      <c r="A5292" s="1">
        <f>HYPERLINK("https://lsnyc.legalserver.org/matter/dynamic-profile/view/1895618","19-1895618")</f>
        <v>0</v>
      </c>
      <c r="B5292" t="s">
        <v>70</v>
      </c>
      <c r="C5292" t="s">
        <v>256</v>
      </c>
      <c r="D5292" t="s">
        <v>360</v>
      </c>
      <c r="F5292" t="s">
        <v>1324</v>
      </c>
      <c r="G5292" t="s">
        <v>4098</v>
      </c>
      <c r="H5292" t="s">
        <v>6621</v>
      </c>
      <c r="I5292">
        <v>23</v>
      </c>
      <c r="J5292" t="s">
        <v>9059</v>
      </c>
      <c r="K5292">
        <v>11213</v>
      </c>
      <c r="L5292" t="s">
        <v>9094</v>
      </c>
      <c r="M5292" t="s">
        <v>9094</v>
      </c>
      <c r="N5292" t="s">
        <v>10961</v>
      </c>
      <c r="O5292" t="s">
        <v>11129</v>
      </c>
      <c r="P5292" t="s">
        <v>11165</v>
      </c>
      <c r="R5292" t="s">
        <v>11180</v>
      </c>
      <c r="S5292" t="s">
        <v>9096</v>
      </c>
      <c r="T5292" t="s">
        <v>11183</v>
      </c>
      <c r="V5292" t="s">
        <v>278</v>
      </c>
      <c r="W5292">
        <v>1513.39</v>
      </c>
      <c r="X5292" t="s">
        <v>11332</v>
      </c>
      <c r="Y5292" t="s">
        <v>11339</v>
      </c>
      <c r="Z5292" t="s">
        <v>14718</v>
      </c>
      <c r="AC5292">
        <v>31</v>
      </c>
      <c r="AD5292" t="s">
        <v>19566</v>
      </c>
      <c r="AE5292" t="s">
        <v>9144</v>
      </c>
      <c r="AF5292">
        <v>9</v>
      </c>
      <c r="AG5292">
        <v>2</v>
      </c>
      <c r="AH5292">
        <v>0</v>
      </c>
      <c r="AI5292">
        <v>238.79</v>
      </c>
      <c r="AJ5292" t="s">
        <v>289</v>
      </c>
      <c r="AK5292" t="s">
        <v>19612</v>
      </c>
      <c r="AL5292" t="s">
        <v>19614</v>
      </c>
      <c r="AM5292">
        <v>40380</v>
      </c>
      <c r="AS5292">
        <v>55</v>
      </c>
      <c r="AT5292" t="s">
        <v>632</v>
      </c>
      <c r="AU5292" t="s">
        <v>79</v>
      </c>
    </row>
    <row r="5293" spans="1:48">
      <c r="A5293" s="1">
        <f>HYPERLINK("https://lsnyc.legalserver.org/matter/dynamic-profile/view/1903243","19-1903243")</f>
        <v>0</v>
      </c>
      <c r="B5293" t="s">
        <v>123</v>
      </c>
      <c r="C5293" t="s">
        <v>256</v>
      </c>
      <c r="D5293" t="s">
        <v>497</v>
      </c>
      <c r="F5293" t="s">
        <v>1550</v>
      </c>
      <c r="G5293" t="s">
        <v>4690</v>
      </c>
      <c r="H5293" t="s">
        <v>7933</v>
      </c>
      <c r="J5293" t="s">
        <v>9066</v>
      </c>
      <c r="K5293">
        <v>10301</v>
      </c>
      <c r="L5293" t="s">
        <v>9094</v>
      </c>
      <c r="M5293" t="s">
        <v>9095</v>
      </c>
      <c r="N5293" t="s">
        <v>10962</v>
      </c>
      <c r="O5293" t="s">
        <v>11128</v>
      </c>
      <c r="P5293" t="s">
        <v>11165</v>
      </c>
      <c r="R5293" t="s">
        <v>11180</v>
      </c>
      <c r="S5293" t="s">
        <v>9096</v>
      </c>
      <c r="T5293" t="s">
        <v>11183</v>
      </c>
      <c r="U5293" t="s">
        <v>11200</v>
      </c>
      <c r="W5293">
        <v>1490</v>
      </c>
      <c r="X5293" t="s">
        <v>11334</v>
      </c>
      <c r="Y5293" t="s">
        <v>11345</v>
      </c>
      <c r="Z5293" t="s">
        <v>13928</v>
      </c>
      <c r="AB5293" t="s">
        <v>19036</v>
      </c>
      <c r="AC5293">
        <v>4</v>
      </c>
      <c r="AD5293" t="s">
        <v>19566</v>
      </c>
      <c r="AE5293" t="s">
        <v>9144</v>
      </c>
      <c r="AF5293">
        <v>20</v>
      </c>
      <c r="AG5293">
        <v>2</v>
      </c>
      <c r="AH5293">
        <v>0</v>
      </c>
      <c r="AI5293">
        <v>238.82</v>
      </c>
      <c r="AJ5293" t="s">
        <v>265</v>
      </c>
      <c r="AK5293" t="s">
        <v>19612</v>
      </c>
      <c r="AL5293" t="s">
        <v>19614</v>
      </c>
      <c r="AM5293">
        <v>40384</v>
      </c>
      <c r="AO5293" t="s">
        <v>20296</v>
      </c>
      <c r="AP5293" t="s">
        <v>20363</v>
      </c>
      <c r="AQ5293" t="s">
        <v>20369</v>
      </c>
      <c r="AR5293" t="s">
        <v>20458</v>
      </c>
      <c r="AS5293">
        <v>39.4</v>
      </c>
      <c r="AT5293" t="s">
        <v>1135</v>
      </c>
      <c r="AU5293" t="s">
        <v>20653</v>
      </c>
      <c r="AV5293" t="s">
        <v>20733</v>
      </c>
    </row>
    <row r="5294" spans="1:48">
      <c r="A5294" s="1">
        <f>HYPERLINK("https://lsnyc.legalserver.org/matter/dynamic-profile/view/1901929","19-1901929")</f>
        <v>0</v>
      </c>
      <c r="B5294" t="s">
        <v>73</v>
      </c>
      <c r="C5294" t="s">
        <v>256</v>
      </c>
      <c r="D5294" t="s">
        <v>298</v>
      </c>
      <c r="F5294" t="s">
        <v>1249</v>
      </c>
      <c r="G5294" t="s">
        <v>5019</v>
      </c>
      <c r="H5294" t="s">
        <v>7600</v>
      </c>
      <c r="I5294" t="s">
        <v>8112</v>
      </c>
      <c r="J5294" t="s">
        <v>9059</v>
      </c>
      <c r="K5294">
        <v>11233</v>
      </c>
      <c r="L5294" t="s">
        <v>9094</v>
      </c>
      <c r="M5294" t="s">
        <v>9095</v>
      </c>
      <c r="N5294" t="s">
        <v>10638</v>
      </c>
      <c r="O5294" t="s">
        <v>11129</v>
      </c>
      <c r="P5294" t="s">
        <v>11165</v>
      </c>
      <c r="R5294" t="s">
        <v>11180</v>
      </c>
      <c r="S5294" t="s">
        <v>9096</v>
      </c>
      <c r="T5294" t="s">
        <v>11183</v>
      </c>
      <c r="U5294" t="s">
        <v>11201</v>
      </c>
      <c r="V5294" t="s">
        <v>706</v>
      </c>
      <c r="W5294">
        <v>1052</v>
      </c>
      <c r="X5294" t="s">
        <v>11332</v>
      </c>
      <c r="Y5294" t="s">
        <v>11340</v>
      </c>
      <c r="Z5294" t="s">
        <v>14102</v>
      </c>
      <c r="AA5294" t="s">
        <v>9144</v>
      </c>
      <c r="AB5294" t="s">
        <v>18425</v>
      </c>
      <c r="AC5294">
        <v>12</v>
      </c>
      <c r="AD5294" t="s">
        <v>19566</v>
      </c>
      <c r="AE5294" t="s">
        <v>9144</v>
      </c>
      <c r="AF5294">
        <v>8</v>
      </c>
      <c r="AG5294">
        <v>2</v>
      </c>
      <c r="AH5294">
        <v>0</v>
      </c>
      <c r="AI5294">
        <v>239.06</v>
      </c>
      <c r="AL5294" t="s">
        <v>19614</v>
      </c>
      <c r="AM5294">
        <v>40425</v>
      </c>
      <c r="AS5294">
        <v>47.3</v>
      </c>
      <c r="AT5294" t="s">
        <v>484</v>
      </c>
      <c r="AU5294" t="s">
        <v>95</v>
      </c>
      <c r="AV5294" t="s">
        <v>20733</v>
      </c>
    </row>
    <row r="5295" spans="1:48">
      <c r="A5295" s="1">
        <f>HYPERLINK("https://lsnyc.legalserver.org/matter/dynamic-profile/view/1907121","19-1907121")</f>
        <v>0</v>
      </c>
      <c r="B5295" t="s">
        <v>50</v>
      </c>
      <c r="C5295" t="s">
        <v>256</v>
      </c>
      <c r="D5295" t="s">
        <v>1016</v>
      </c>
      <c r="F5295" t="s">
        <v>1141</v>
      </c>
      <c r="G5295" t="s">
        <v>5339</v>
      </c>
      <c r="H5295" t="s">
        <v>7934</v>
      </c>
      <c r="I5295" t="s">
        <v>8937</v>
      </c>
      <c r="J5295" t="s">
        <v>9054</v>
      </c>
      <c r="K5295">
        <v>11368</v>
      </c>
      <c r="L5295" t="s">
        <v>9094</v>
      </c>
      <c r="M5295" t="s">
        <v>9095</v>
      </c>
      <c r="N5295" t="s">
        <v>10963</v>
      </c>
      <c r="O5295" t="s">
        <v>11134</v>
      </c>
      <c r="P5295" t="s">
        <v>11168</v>
      </c>
      <c r="R5295" t="s">
        <v>11180</v>
      </c>
      <c r="S5295" t="s">
        <v>9094</v>
      </c>
      <c r="T5295" t="s">
        <v>11183</v>
      </c>
      <c r="U5295" t="s">
        <v>11201</v>
      </c>
      <c r="W5295">
        <v>932</v>
      </c>
      <c r="X5295" t="s">
        <v>11331</v>
      </c>
      <c r="Y5295" t="s">
        <v>11339</v>
      </c>
      <c r="Z5295" t="s">
        <v>14719</v>
      </c>
      <c r="AB5295" t="s">
        <v>19037</v>
      </c>
      <c r="AC5295">
        <v>30</v>
      </c>
      <c r="AD5295" t="s">
        <v>19566</v>
      </c>
      <c r="AE5295" t="s">
        <v>19587</v>
      </c>
      <c r="AF5295">
        <v>42</v>
      </c>
      <c r="AG5295">
        <v>1</v>
      </c>
      <c r="AH5295">
        <v>0</v>
      </c>
      <c r="AI5295">
        <v>240.19</v>
      </c>
      <c r="AL5295" t="s">
        <v>19614</v>
      </c>
      <c r="AM5295">
        <v>30000</v>
      </c>
      <c r="AS5295">
        <v>1.05</v>
      </c>
      <c r="AT5295" t="s">
        <v>429</v>
      </c>
      <c r="AU5295" t="s">
        <v>50</v>
      </c>
      <c r="AV5295" t="s">
        <v>20733</v>
      </c>
    </row>
    <row r="5296" spans="1:48">
      <c r="A5296" s="1">
        <f>HYPERLINK("https://lsnyc.legalserver.org/matter/dynamic-profile/view/1907120","19-1907120")</f>
        <v>0</v>
      </c>
      <c r="B5296" t="s">
        <v>62</v>
      </c>
      <c r="C5296" t="s">
        <v>256</v>
      </c>
      <c r="D5296" t="s">
        <v>1016</v>
      </c>
      <c r="F5296" t="s">
        <v>1141</v>
      </c>
      <c r="G5296" t="s">
        <v>5339</v>
      </c>
      <c r="H5296" t="s">
        <v>7934</v>
      </c>
      <c r="I5296" t="s">
        <v>8937</v>
      </c>
      <c r="J5296" t="s">
        <v>9054</v>
      </c>
      <c r="K5296">
        <v>11368</v>
      </c>
      <c r="L5296" t="s">
        <v>9094</v>
      </c>
      <c r="M5296" t="s">
        <v>9095</v>
      </c>
      <c r="N5296" t="s">
        <v>10964</v>
      </c>
      <c r="O5296" t="s">
        <v>11129</v>
      </c>
      <c r="P5296" t="s">
        <v>11165</v>
      </c>
      <c r="R5296" t="s">
        <v>11180</v>
      </c>
      <c r="S5296" t="s">
        <v>9096</v>
      </c>
      <c r="T5296" t="s">
        <v>11183</v>
      </c>
      <c r="U5296" t="s">
        <v>11201</v>
      </c>
      <c r="W5296">
        <v>932</v>
      </c>
      <c r="X5296" t="s">
        <v>11331</v>
      </c>
      <c r="Z5296" t="s">
        <v>14719</v>
      </c>
      <c r="AB5296" t="s">
        <v>19037</v>
      </c>
      <c r="AC5296">
        <v>30</v>
      </c>
      <c r="AD5296" t="s">
        <v>19566</v>
      </c>
      <c r="AE5296" t="s">
        <v>19587</v>
      </c>
      <c r="AF5296">
        <v>42</v>
      </c>
      <c r="AG5296">
        <v>1</v>
      </c>
      <c r="AH5296">
        <v>0</v>
      </c>
      <c r="AI5296">
        <v>240.19</v>
      </c>
      <c r="AL5296" t="s">
        <v>19614</v>
      </c>
      <c r="AM5296">
        <v>30000</v>
      </c>
      <c r="AS5296">
        <v>20.85</v>
      </c>
      <c r="AT5296" t="s">
        <v>521</v>
      </c>
      <c r="AU5296" t="s">
        <v>50</v>
      </c>
      <c r="AV5296" t="s">
        <v>20733</v>
      </c>
    </row>
    <row r="5297" spans="1:48">
      <c r="A5297" s="1">
        <f>HYPERLINK("https://lsnyc.legalserver.org/matter/dynamic-profile/view/1903821","19-1903821")</f>
        <v>0</v>
      </c>
      <c r="B5297" t="s">
        <v>86</v>
      </c>
      <c r="C5297" t="s">
        <v>256</v>
      </c>
      <c r="D5297" t="s">
        <v>597</v>
      </c>
      <c r="F5297" t="s">
        <v>3050</v>
      </c>
      <c r="G5297" t="s">
        <v>4523</v>
      </c>
      <c r="H5297" t="s">
        <v>7032</v>
      </c>
      <c r="I5297" t="s">
        <v>8279</v>
      </c>
      <c r="J5297" t="s">
        <v>9059</v>
      </c>
      <c r="K5297">
        <v>11220</v>
      </c>
      <c r="L5297" t="s">
        <v>9094</v>
      </c>
      <c r="M5297" t="s">
        <v>9095</v>
      </c>
      <c r="O5297" t="s">
        <v>11130</v>
      </c>
      <c r="P5297" t="s">
        <v>11165</v>
      </c>
      <c r="R5297" t="s">
        <v>11180</v>
      </c>
      <c r="S5297" t="s">
        <v>9094</v>
      </c>
      <c r="T5297" t="s">
        <v>11183</v>
      </c>
      <c r="V5297" t="s">
        <v>785</v>
      </c>
      <c r="W5297">
        <v>0</v>
      </c>
      <c r="X5297" t="s">
        <v>11332</v>
      </c>
      <c r="Z5297" t="s">
        <v>14720</v>
      </c>
      <c r="AB5297" t="s">
        <v>19038</v>
      </c>
      <c r="AC5297">
        <v>0</v>
      </c>
      <c r="AF5297">
        <v>0</v>
      </c>
      <c r="AG5297">
        <v>1</v>
      </c>
      <c r="AH5297">
        <v>0</v>
      </c>
      <c r="AI5297">
        <v>240.19</v>
      </c>
      <c r="AL5297" t="s">
        <v>19614</v>
      </c>
      <c r="AM5297">
        <v>30000</v>
      </c>
      <c r="AS5297">
        <v>0.3</v>
      </c>
      <c r="AT5297" t="s">
        <v>597</v>
      </c>
      <c r="AU5297" t="s">
        <v>67</v>
      </c>
      <c r="AV5297" t="s">
        <v>20733</v>
      </c>
    </row>
    <row r="5298" spans="1:48">
      <c r="A5298" s="1">
        <f>HYPERLINK("https://lsnyc.legalserver.org/matter/dynamic-profile/view/1903822","19-1903822")</f>
        <v>0</v>
      </c>
      <c r="B5298" t="s">
        <v>86</v>
      </c>
      <c r="C5298" t="s">
        <v>256</v>
      </c>
      <c r="D5298" t="s">
        <v>597</v>
      </c>
      <c r="F5298" t="s">
        <v>2071</v>
      </c>
      <c r="G5298" t="s">
        <v>3418</v>
      </c>
      <c r="H5298" t="s">
        <v>7032</v>
      </c>
      <c r="I5298" t="s">
        <v>8266</v>
      </c>
      <c r="J5298" t="s">
        <v>9059</v>
      </c>
      <c r="K5298">
        <v>11220</v>
      </c>
      <c r="L5298" t="s">
        <v>9094</v>
      </c>
      <c r="M5298" t="s">
        <v>9095</v>
      </c>
      <c r="O5298" t="s">
        <v>11130</v>
      </c>
      <c r="P5298" t="s">
        <v>11165</v>
      </c>
      <c r="R5298" t="s">
        <v>11180</v>
      </c>
      <c r="S5298" t="s">
        <v>9094</v>
      </c>
      <c r="T5298" t="s">
        <v>11183</v>
      </c>
      <c r="V5298" t="s">
        <v>785</v>
      </c>
      <c r="W5298">
        <v>0</v>
      </c>
      <c r="X5298" t="s">
        <v>11332</v>
      </c>
      <c r="Z5298" t="s">
        <v>11422</v>
      </c>
      <c r="AC5298">
        <v>0</v>
      </c>
      <c r="AF5298">
        <v>0</v>
      </c>
      <c r="AG5298">
        <v>1</v>
      </c>
      <c r="AH5298">
        <v>0</v>
      </c>
      <c r="AI5298">
        <v>240.19</v>
      </c>
      <c r="AL5298" t="s">
        <v>19615</v>
      </c>
      <c r="AM5298">
        <v>30000</v>
      </c>
      <c r="AS5298">
        <v>0.3</v>
      </c>
      <c r="AT5298" t="s">
        <v>597</v>
      </c>
      <c r="AU5298" t="s">
        <v>67</v>
      </c>
      <c r="AV5298" t="s">
        <v>20733</v>
      </c>
    </row>
    <row r="5299" spans="1:48">
      <c r="A5299" s="1">
        <f>HYPERLINK("https://lsnyc.legalserver.org/matter/dynamic-profile/view/1906026","19-1906026")</f>
        <v>0</v>
      </c>
      <c r="B5299" t="s">
        <v>83</v>
      </c>
      <c r="C5299" t="s">
        <v>256</v>
      </c>
      <c r="D5299" t="s">
        <v>329</v>
      </c>
      <c r="F5299" t="s">
        <v>2033</v>
      </c>
      <c r="G5299" t="s">
        <v>5340</v>
      </c>
      <c r="H5299" t="s">
        <v>7935</v>
      </c>
      <c r="I5299">
        <v>8</v>
      </c>
      <c r="J5299" t="s">
        <v>9059</v>
      </c>
      <c r="K5299">
        <v>11218</v>
      </c>
      <c r="L5299" t="s">
        <v>9094</v>
      </c>
      <c r="M5299" t="s">
        <v>9095</v>
      </c>
      <c r="O5299" t="s">
        <v>11128</v>
      </c>
      <c r="P5299" t="s">
        <v>11165</v>
      </c>
      <c r="R5299" t="s">
        <v>11180</v>
      </c>
      <c r="S5299" t="s">
        <v>9096</v>
      </c>
      <c r="T5299" t="s">
        <v>11183</v>
      </c>
      <c r="V5299" t="s">
        <v>457</v>
      </c>
      <c r="W5299">
        <v>1615</v>
      </c>
      <c r="X5299" t="s">
        <v>11332</v>
      </c>
      <c r="Y5299" t="s">
        <v>11336</v>
      </c>
      <c r="Z5299" t="s">
        <v>14309</v>
      </c>
      <c r="AB5299" t="s">
        <v>19039</v>
      </c>
      <c r="AC5299">
        <v>42</v>
      </c>
      <c r="AD5299" t="s">
        <v>19566</v>
      </c>
      <c r="AF5299">
        <v>3</v>
      </c>
      <c r="AG5299">
        <v>1</v>
      </c>
      <c r="AH5299">
        <v>0</v>
      </c>
      <c r="AI5299">
        <v>240.19</v>
      </c>
      <c r="AJ5299" t="s">
        <v>621</v>
      </c>
      <c r="AK5299" t="s">
        <v>19612</v>
      </c>
      <c r="AL5299" t="s">
        <v>19614</v>
      </c>
      <c r="AM5299">
        <v>30000</v>
      </c>
      <c r="AS5299">
        <v>87.59999999999999</v>
      </c>
      <c r="AT5299" t="s">
        <v>1135</v>
      </c>
      <c r="AU5299" t="s">
        <v>215</v>
      </c>
      <c r="AV5299" t="s">
        <v>20733</v>
      </c>
    </row>
    <row r="5300" spans="1:48">
      <c r="A5300" s="1">
        <f>HYPERLINK("https://lsnyc.legalserver.org/matter/dynamic-profile/view/1906090","19-1906090")</f>
        <v>0</v>
      </c>
      <c r="B5300" t="s">
        <v>83</v>
      </c>
      <c r="C5300" t="s">
        <v>256</v>
      </c>
      <c r="D5300" t="s">
        <v>330</v>
      </c>
      <c r="F5300" t="s">
        <v>2033</v>
      </c>
      <c r="G5300" t="s">
        <v>5340</v>
      </c>
      <c r="H5300" t="s">
        <v>7936</v>
      </c>
      <c r="I5300">
        <v>8</v>
      </c>
      <c r="J5300" t="s">
        <v>9059</v>
      </c>
      <c r="K5300">
        <v>11218</v>
      </c>
      <c r="L5300" t="s">
        <v>9094</v>
      </c>
      <c r="M5300" t="s">
        <v>9095</v>
      </c>
      <c r="P5300" t="s">
        <v>11165</v>
      </c>
      <c r="R5300" t="s">
        <v>11180</v>
      </c>
      <c r="S5300" t="s">
        <v>9096</v>
      </c>
      <c r="T5300" t="s">
        <v>11183</v>
      </c>
      <c r="V5300" t="s">
        <v>330</v>
      </c>
      <c r="W5300">
        <v>1615</v>
      </c>
      <c r="X5300" t="s">
        <v>11332</v>
      </c>
      <c r="Y5300" t="s">
        <v>11336</v>
      </c>
      <c r="Z5300" t="s">
        <v>14309</v>
      </c>
      <c r="AB5300" t="s">
        <v>19040</v>
      </c>
      <c r="AC5300">
        <v>42</v>
      </c>
      <c r="AD5300" t="s">
        <v>19566</v>
      </c>
      <c r="AF5300">
        <v>3</v>
      </c>
      <c r="AG5300">
        <v>1</v>
      </c>
      <c r="AH5300">
        <v>0</v>
      </c>
      <c r="AI5300">
        <v>240.19</v>
      </c>
      <c r="AJ5300" t="s">
        <v>621</v>
      </c>
      <c r="AK5300" t="s">
        <v>19612</v>
      </c>
      <c r="AL5300" t="s">
        <v>19614</v>
      </c>
      <c r="AM5300">
        <v>30000</v>
      </c>
      <c r="AS5300">
        <v>3.1</v>
      </c>
      <c r="AT5300" t="s">
        <v>395</v>
      </c>
      <c r="AU5300" t="s">
        <v>215</v>
      </c>
      <c r="AV5300" t="s">
        <v>20733</v>
      </c>
    </row>
    <row r="5301" spans="1:48">
      <c r="A5301" s="1">
        <f>HYPERLINK("https://lsnyc.legalserver.org/matter/dynamic-profile/view/1892453","19-1892453")</f>
        <v>0</v>
      </c>
      <c r="B5301" t="s">
        <v>103</v>
      </c>
      <c r="C5301" t="s">
        <v>256</v>
      </c>
      <c r="D5301" t="s">
        <v>635</v>
      </c>
      <c r="F5301" t="s">
        <v>3051</v>
      </c>
      <c r="G5301" t="s">
        <v>5341</v>
      </c>
      <c r="H5301" t="s">
        <v>6785</v>
      </c>
      <c r="I5301" t="s">
        <v>8938</v>
      </c>
      <c r="J5301" t="s">
        <v>9065</v>
      </c>
      <c r="K5301">
        <v>10453</v>
      </c>
      <c r="L5301" t="s">
        <v>9094</v>
      </c>
      <c r="M5301" t="s">
        <v>9094</v>
      </c>
      <c r="O5301" t="s">
        <v>11134</v>
      </c>
      <c r="P5301" t="s">
        <v>11168</v>
      </c>
      <c r="R5301" t="s">
        <v>11180</v>
      </c>
      <c r="S5301" t="s">
        <v>9094</v>
      </c>
      <c r="T5301" t="s">
        <v>11183</v>
      </c>
      <c r="V5301" t="s">
        <v>512</v>
      </c>
      <c r="W5301">
        <v>688.0599999999999</v>
      </c>
      <c r="X5301" t="s">
        <v>11333</v>
      </c>
      <c r="Y5301" t="s">
        <v>11339</v>
      </c>
      <c r="Z5301" t="s">
        <v>13151</v>
      </c>
      <c r="AB5301" t="s">
        <v>19041</v>
      </c>
      <c r="AC5301">
        <v>170</v>
      </c>
      <c r="AD5301" t="s">
        <v>19566</v>
      </c>
      <c r="AE5301" t="s">
        <v>9144</v>
      </c>
      <c r="AF5301">
        <v>25</v>
      </c>
      <c r="AG5301">
        <v>1</v>
      </c>
      <c r="AH5301">
        <v>0</v>
      </c>
      <c r="AI5301">
        <v>240.19</v>
      </c>
      <c r="AL5301" t="s">
        <v>19614</v>
      </c>
      <c r="AM5301">
        <v>30000</v>
      </c>
      <c r="AS5301">
        <v>0</v>
      </c>
      <c r="AU5301" t="s">
        <v>220</v>
      </c>
    </row>
    <row r="5302" spans="1:48">
      <c r="A5302" s="1">
        <f>HYPERLINK("https://lsnyc.legalserver.org/matter/dynamic-profile/view/1894102","19-1894102")</f>
        <v>0</v>
      </c>
      <c r="B5302" t="s">
        <v>103</v>
      </c>
      <c r="C5302" t="s">
        <v>256</v>
      </c>
      <c r="D5302" t="s">
        <v>791</v>
      </c>
      <c r="F5302" t="s">
        <v>1556</v>
      </c>
      <c r="G5302" t="s">
        <v>1404</v>
      </c>
      <c r="H5302" t="s">
        <v>5887</v>
      </c>
      <c r="I5302" t="s">
        <v>8466</v>
      </c>
      <c r="J5302" t="s">
        <v>9065</v>
      </c>
      <c r="K5302">
        <v>10453</v>
      </c>
      <c r="L5302" t="s">
        <v>9094</v>
      </c>
      <c r="M5302" t="s">
        <v>9094</v>
      </c>
      <c r="O5302" t="s">
        <v>11134</v>
      </c>
      <c r="P5302" t="s">
        <v>11168</v>
      </c>
      <c r="R5302" t="s">
        <v>11180</v>
      </c>
      <c r="S5302" t="s">
        <v>9094</v>
      </c>
      <c r="T5302" t="s">
        <v>11183</v>
      </c>
      <c r="V5302" t="s">
        <v>512</v>
      </c>
      <c r="W5302">
        <v>956</v>
      </c>
      <c r="X5302" t="s">
        <v>11333</v>
      </c>
      <c r="Y5302" t="s">
        <v>11346</v>
      </c>
      <c r="Z5302" t="s">
        <v>14721</v>
      </c>
      <c r="AB5302" t="s">
        <v>19042</v>
      </c>
      <c r="AC5302">
        <v>167</v>
      </c>
      <c r="AD5302" t="s">
        <v>19566</v>
      </c>
      <c r="AE5302" t="s">
        <v>9144</v>
      </c>
      <c r="AF5302">
        <v>20</v>
      </c>
      <c r="AG5302">
        <v>1</v>
      </c>
      <c r="AH5302">
        <v>0</v>
      </c>
      <c r="AI5302">
        <v>240.19</v>
      </c>
      <c r="AL5302" t="s">
        <v>19614</v>
      </c>
      <c r="AM5302">
        <v>30000</v>
      </c>
      <c r="AS5302">
        <v>0</v>
      </c>
      <c r="AU5302" t="s">
        <v>20642</v>
      </c>
    </row>
    <row r="5303" spans="1:48">
      <c r="A5303" s="1">
        <f>HYPERLINK("https://lsnyc.legalserver.org/matter/dynamic-profile/view/1905082","19-1905082")</f>
        <v>0</v>
      </c>
      <c r="B5303" t="s">
        <v>103</v>
      </c>
      <c r="C5303" t="s">
        <v>256</v>
      </c>
      <c r="D5303" t="s">
        <v>367</v>
      </c>
      <c r="F5303" t="s">
        <v>3051</v>
      </c>
      <c r="G5303" t="s">
        <v>5341</v>
      </c>
      <c r="H5303" t="s">
        <v>6785</v>
      </c>
      <c r="I5303" t="s">
        <v>8938</v>
      </c>
      <c r="J5303" t="s">
        <v>9065</v>
      </c>
      <c r="K5303">
        <v>10453</v>
      </c>
      <c r="L5303" t="s">
        <v>9094</v>
      </c>
      <c r="M5303" t="s">
        <v>9095</v>
      </c>
      <c r="N5303" t="s">
        <v>9239</v>
      </c>
      <c r="O5303" t="s">
        <v>11134</v>
      </c>
      <c r="P5303" t="s">
        <v>11168</v>
      </c>
      <c r="R5303" t="s">
        <v>11180</v>
      </c>
      <c r="S5303" t="s">
        <v>9094</v>
      </c>
      <c r="T5303" t="s">
        <v>11183</v>
      </c>
      <c r="V5303" t="s">
        <v>1061</v>
      </c>
      <c r="W5303">
        <v>688.0599999999999</v>
      </c>
      <c r="X5303" t="s">
        <v>11333</v>
      </c>
      <c r="Y5303" t="s">
        <v>11354</v>
      </c>
      <c r="Z5303" t="s">
        <v>13151</v>
      </c>
      <c r="AB5303" t="s">
        <v>19041</v>
      </c>
      <c r="AC5303">
        <v>170</v>
      </c>
      <c r="AD5303" t="s">
        <v>19566</v>
      </c>
      <c r="AE5303" t="s">
        <v>9144</v>
      </c>
      <c r="AF5303">
        <v>25</v>
      </c>
      <c r="AG5303">
        <v>1</v>
      </c>
      <c r="AH5303">
        <v>0</v>
      </c>
      <c r="AI5303">
        <v>240.19</v>
      </c>
      <c r="AL5303" t="s">
        <v>19614</v>
      </c>
      <c r="AM5303">
        <v>30000</v>
      </c>
      <c r="AS5303">
        <v>0</v>
      </c>
      <c r="AU5303" t="s">
        <v>220</v>
      </c>
      <c r="AV5303" t="s">
        <v>20733</v>
      </c>
    </row>
    <row r="5304" spans="1:48">
      <c r="A5304" s="1">
        <f>HYPERLINK("https://lsnyc.legalserver.org/matter/dynamic-profile/view/1905085","19-1905085")</f>
        <v>0</v>
      </c>
      <c r="B5304" t="s">
        <v>103</v>
      </c>
      <c r="C5304" t="s">
        <v>256</v>
      </c>
      <c r="D5304" t="s">
        <v>367</v>
      </c>
      <c r="F5304" t="s">
        <v>3051</v>
      </c>
      <c r="G5304" t="s">
        <v>5341</v>
      </c>
      <c r="H5304" t="s">
        <v>6785</v>
      </c>
      <c r="I5304" t="s">
        <v>8938</v>
      </c>
      <c r="J5304" t="s">
        <v>9065</v>
      </c>
      <c r="K5304">
        <v>10453</v>
      </c>
      <c r="L5304" t="s">
        <v>9094</v>
      </c>
      <c r="M5304" t="s">
        <v>9095</v>
      </c>
      <c r="N5304" t="s">
        <v>9240</v>
      </c>
      <c r="O5304" t="s">
        <v>11134</v>
      </c>
      <c r="P5304" t="s">
        <v>11168</v>
      </c>
      <c r="R5304" t="s">
        <v>11180</v>
      </c>
      <c r="S5304" t="s">
        <v>9094</v>
      </c>
      <c r="T5304" t="s">
        <v>11183</v>
      </c>
      <c r="V5304" t="s">
        <v>422</v>
      </c>
      <c r="W5304">
        <v>688.0599999999999</v>
      </c>
      <c r="X5304" t="s">
        <v>11333</v>
      </c>
      <c r="Y5304" t="s">
        <v>11346</v>
      </c>
      <c r="Z5304" t="s">
        <v>13151</v>
      </c>
      <c r="AB5304" t="s">
        <v>19041</v>
      </c>
      <c r="AC5304">
        <v>170</v>
      </c>
      <c r="AD5304" t="s">
        <v>19566</v>
      </c>
      <c r="AE5304" t="s">
        <v>9144</v>
      </c>
      <c r="AF5304">
        <v>25</v>
      </c>
      <c r="AG5304">
        <v>1</v>
      </c>
      <c r="AH5304">
        <v>0</v>
      </c>
      <c r="AI5304">
        <v>240.19</v>
      </c>
      <c r="AL5304" t="s">
        <v>19614</v>
      </c>
      <c r="AM5304">
        <v>30000</v>
      </c>
      <c r="AS5304">
        <v>0</v>
      </c>
      <c r="AU5304" t="s">
        <v>220</v>
      </c>
      <c r="AV5304" t="s">
        <v>20733</v>
      </c>
    </row>
    <row r="5305" spans="1:48">
      <c r="A5305" s="1">
        <f>HYPERLINK("https://lsnyc.legalserver.org/matter/dynamic-profile/view/1905225","19-1905225")</f>
        <v>0</v>
      </c>
      <c r="B5305" t="s">
        <v>103</v>
      </c>
      <c r="C5305" t="s">
        <v>256</v>
      </c>
      <c r="D5305" t="s">
        <v>414</v>
      </c>
      <c r="F5305" t="s">
        <v>1556</v>
      </c>
      <c r="G5305" t="s">
        <v>1404</v>
      </c>
      <c r="H5305" t="s">
        <v>5887</v>
      </c>
      <c r="I5305" t="s">
        <v>8466</v>
      </c>
      <c r="J5305" t="s">
        <v>9065</v>
      </c>
      <c r="K5305">
        <v>10453</v>
      </c>
      <c r="L5305" t="s">
        <v>9094</v>
      </c>
      <c r="M5305" t="s">
        <v>9095</v>
      </c>
      <c r="N5305" t="s">
        <v>9239</v>
      </c>
      <c r="O5305" t="s">
        <v>11134</v>
      </c>
      <c r="P5305" t="s">
        <v>11168</v>
      </c>
      <c r="R5305" t="s">
        <v>11180</v>
      </c>
      <c r="S5305" t="s">
        <v>9094</v>
      </c>
      <c r="T5305" t="s">
        <v>11183</v>
      </c>
      <c r="V5305" t="s">
        <v>422</v>
      </c>
      <c r="W5305">
        <v>956</v>
      </c>
      <c r="X5305" t="s">
        <v>11333</v>
      </c>
      <c r="Y5305" t="s">
        <v>11346</v>
      </c>
      <c r="Z5305" t="s">
        <v>14721</v>
      </c>
      <c r="AB5305" t="s">
        <v>19042</v>
      </c>
      <c r="AC5305">
        <v>170</v>
      </c>
      <c r="AD5305" t="s">
        <v>19566</v>
      </c>
      <c r="AE5305" t="s">
        <v>9144</v>
      </c>
      <c r="AF5305">
        <v>20</v>
      </c>
      <c r="AG5305">
        <v>1</v>
      </c>
      <c r="AH5305">
        <v>0</v>
      </c>
      <c r="AI5305">
        <v>240.19</v>
      </c>
      <c r="AL5305" t="s">
        <v>19614</v>
      </c>
      <c r="AM5305">
        <v>30000</v>
      </c>
      <c r="AS5305">
        <v>0</v>
      </c>
      <c r="AU5305" t="s">
        <v>163</v>
      </c>
      <c r="AV5305" t="s">
        <v>20733</v>
      </c>
    </row>
    <row r="5306" spans="1:48">
      <c r="A5306" s="1">
        <f>HYPERLINK("https://lsnyc.legalserver.org/matter/dynamic-profile/view/1905226","19-1905226")</f>
        <v>0</v>
      </c>
      <c r="B5306" t="s">
        <v>103</v>
      </c>
      <c r="C5306" t="s">
        <v>256</v>
      </c>
      <c r="D5306" t="s">
        <v>414</v>
      </c>
      <c r="F5306" t="s">
        <v>1556</v>
      </c>
      <c r="G5306" t="s">
        <v>1404</v>
      </c>
      <c r="H5306" t="s">
        <v>5887</v>
      </c>
      <c r="I5306" t="s">
        <v>8466</v>
      </c>
      <c r="J5306" t="s">
        <v>9065</v>
      </c>
      <c r="K5306">
        <v>10453</v>
      </c>
      <c r="L5306" t="s">
        <v>9094</v>
      </c>
      <c r="M5306" t="s">
        <v>9095</v>
      </c>
      <c r="N5306" t="s">
        <v>9240</v>
      </c>
      <c r="O5306" t="s">
        <v>11134</v>
      </c>
      <c r="P5306" t="s">
        <v>11168</v>
      </c>
      <c r="R5306" t="s">
        <v>11180</v>
      </c>
      <c r="S5306" t="s">
        <v>9094</v>
      </c>
      <c r="T5306" t="s">
        <v>11183</v>
      </c>
      <c r="V5306" t="s">
        <v>422</v>
      </c>
      <c r="W5306">
        <v>956</v>
      </c>
      <c r="X5306" t="s">
        <v>11333</v>
      </c>
      <c r="Y5306" t="s">
        <v>11346</v>
      </c>
      <c r="Z5306" t="s">
        <v>14721</v>
      </c>
      <c r="AB5306" t="s">
        <v>19042</v>
      </c>
      <c r="AC5306">
        <v>170</v>
      </c>
      <c r="AD5306" t="s">
        <v>19566</v>
      </c>
      <c r="AE5306" t="s">
        <v>9144</v>
      </c>
      <c r="AF5306">
        <v>20</v>
      </c>
      <c r="AG5306">
        <v>1</v>
      </c>
      <c r="AH5306">
        <v>0</v>
      </c>
      <c r="AI5306">
        <v>240.19</v>
      </c>
      <c r="AL5306" t="s">
        <v>19614</v>
      </c>
      <c r="AM5306">
        <v>30000</v>
      </c>
      <c r="AS5306">
        <v>0</v>
      </c>
      <c r="AU5306" t="s">
        <v>163</v>
      </c>
      <c r="AV5306" t="s">
        <v>20733</v>
      </c>
    </row>
    <row r="5307" spans="1:48">
      <c r="A5307" s="1">
        <f>HYPERLINK("https://lsnyc.legalserver.org/matter/dynamic-profile/view/1892162","19-1892162")</f>
        <v>0</v>
      </c>
      <c r="B5307" t="s">
        <v>103</v>
      </c>
      <c r="C5307" t="s">
        <v>256</v>
      </c>
      <c r="D5307" t="s">
        <v>428</v>
      </c>
      <c r="F5307" t="s">
        <v>3051</v>
      </c>
      <c r="G5307" t="s">
        <v>5341</v>
      </c>
      <c r="H5307" t="s">
        <v>6785</v>
      </c>
      <c r="I5307" t="s">
        <v>8938</v>
      </c>
      <c r="J5307" t="s">
        <v>9065</v>
      </c>
      <c r="K5307">
        <v>10453</v>
      </c>
      <c r="L5307" t="s">
        <v>9094</v>
      </c>
      <c r="M5307" t="s">
        <v>9094</v>
      </c>
      <c r="N5307" t="s">
        <v>9352</v>
      </c>
      <c r="O5307" t="s">
        <v>11130</v>
      </c>
      <c r="P5307" t="s">
        <v>11165</v>
      </c>
      <c r="R5307" t="s">
        <v>11180</v>
      </c>
      <c r="S5307" t="s">
        <v>9094</v>
      </c>
      <c r="T5307" t="s">
        <v>11183</v>
      </c>
      <c r="V5307" t="s">
        <v>512</v>
      </c>
      <c r="W5307">
        <v>688.0599999999999</v>
      </c>
      <c r="X5307" t="s">
        <v>11333</v>
      </c>
      <c r="Y5307" t="s">
        <v>11339</v>
      </c>
      <c r="Z5307" t="s">
        <v>13151</v>
      </c>
      <c r="AB5307" t="s">
        <v>19041</v>
      </c>
      <c r="AC5307">
        <v>170</v>
      </c>
      <c r="AD5307" t="s">
        <v>19566</v>
      </c>
      <c r="AE5307" t="s">
        <v>9144</v>
      </c>
      <c r="AF5307">
        <v>25</v>
      </c>
      <c r="AG5307">
        <v>1</v>
      </c>
      <c r="AH5307">
        <v>0</v>
      </c>
      <c r="AI5307">
        <v>240.19</v>
      </c>
      <c r="AL5307" t="s">
        <v>19614</v>
      </c>
      <c r="AM5307">
        <v>30000</v>
      </c>
      <c r="AS5307">
        <v>0</v>
      </c>
      <c r="AU5307" t="s">
        <v>220</v>
      </c>
    </row>
    <row r="5308" spans="1:48">
      <c r="A5308" s="1">
        <f>HYPERLINK("https://lsnyc.legalserver.org/matter/dynamic-profile/view/1894099","19-1894099")</f>
        <v>0</v>
      </c>
      <c r="B5308" t="s">
        <v>103</v>
      </c>
      <c r="C5308" t="s">
        <v>256</v>
      </c>
      <c r="D5308" t="s">
        <v>791</v>
      </c>
      <c r="F5308" t="s">
        <v>1556</v>
      </c>
      <c r="G5308" t="s">
        <v>1404</v>
      </c>
      <c r="H5308" t="s">
        <v>5887</v>
      </c>
      <c r="I5308" t="s">
        <v>8466</v>
      </c>
      <c r="J5308" t="s">
        <v>9065</v>
      </c>
      <c r="K5308">
        <v>10453</v>
      </c>
      <c r="L5308" t="s">
        <v>9094</v>
      </c>
      <c r="M5308" t="s">
        <v>9094</v>
      </c>
      <c r="N5308" t="s">
        <v>9352</v>
      </c>
      <c r="O5308" t="s">
        <v>11130</v>
      </c>
      <c r="P5308" t="s">
        <v>11165</v>
      </c>
      <c r="R5308" t="s">
        <v>11180</v>
      </c>
      <c r="S5308" t="s">
        <v>9094</v>
      </c>
      <c r="T5308" t="s">
        <v>11183</v>
      </c>
      <c r="V5308" t="s">
        <v>512</v>
      </c>
      <c r="W5308">
        <v>956</v>
      </c>
      <c r="X5308" t="s">
        <v>11333</v>
      </c>
      <c r="Y5308" t="s">
        <v>11346</v>
      </c>
      <c r="Z5308" t="s">
        <v>14721</v>
      </c>
      <c r="AB5308" t="s">
        <v>19042</v>
      </c>
      <c r="AC5308">
        <v>167</v>
      </c>
      <c r="AD5308" t="s">
        <v>19566</v>
      </c>
      <c r="AE5308" t="s">
        <v>9144</v>
      </c>
      <c r="AF5308">
        <v>20</v>
      </c>
      <c r="AG5308">
        <v>1</v>
      </c>
      <c r="AH5308">
        <v>0</v>
      </c>
      <c r="AI5308">
        <v>240.19</v>
      </c>
      <c r="AL5308" t="s">
        <v>19614</v>
      </c>
      <c r="AM5308">
        <v>30000</v>
      </c>
      <c r="AS5308">
        <v>0</v>
      </c>
      <c r="AU5308" t="s">
        <v>20642</v>
      </c>
    </row>
    <row r="5309" spans="1:48">
      <c r="A5309" s="1">
        <f>HYPERLINK("https://lsnyc.legalserver.org/matter/dynamic-profile/view/1901251","19-1901251")</f>
        <v>0</v>
      </c>
      <c r="B5309" t="s">
        <v>145</v>
      </c>
      <c r="C5309" t="s">
        <v>257</v>
      </c>
      <c r="D5309" t="s">
        <v>422</v>
      </c>
      <c r="E5309" t="s">
        <v>1063</v>
      </c>
      <c r="F5309" t="s">
        <v>2776</v>
      </c>
      <c r="G5309" t="s">
        <v>5342</v>
      </c>
      <c r="H5309" t="s">
        <v>7937</v>
      </c>
      <c r="I5309" t="s">
        <v>8352</v>
      </c>
      <c r="J5309" t="s">
        <v>9067</v>
      </c>
      <c r="K5309">
        <v>10035</v>
      </c>
      <c r="L5309" t="s">
        <v>9094</v>
      </c>
      <c r="M5309" t="s">
        <v>9095</v>
      </c>
      <c r="N5309" t="s">
        <v>10965</v>
      </c>
      <c r="O5309" t="s">
        <v>11129</v>
      </c>
      <c r="P5309" t="s">
        <v>11164</v>
      </c>
      <c r="Q5309" t="s">
        <v>11172</v>
      </c>
      <c r="R5309" t="s">
        <v>11180</v>
      </c>
      <c r="S5309" t="s">
        <v>9096</v>
      </c>
      <c r="T5309" t="s">
        <v>11183</v>
      </c>
      <c r="U5309" t="s">
        <v>11201</v>
      </c>
      <c r="V5309" t="s">
        <v>422</v>
      </c>
      <c r="W5309">
        <v>2900</v>
      </c>
      <c r="X5309" t="s">
        <v>11335</v>
      </c>
      <c r="Y5309" t="s">
        <v>11350</v>
      </c>
      <c r="Z5309" t="s">
        <v>13937</v>
      </c>
      <c r="AB5309" t="s">
        <v>19043</v>
      </c>
      <c r="AC5309">
        <v>45</v>
      </c>
      <c r="AD5309" t="s">
        <v>15441</v>
      </c>
      <c r="AE5309" t="s">
        <v>9144</v>
      </c>
      <c r="AF5309">
        <v>10</v>
      </c>
      <c r="AG5309">
        <v>1</v>
      </c>
      <c r="AH5309">
        <v>0</v>
      </c>
      <c r="AI5309">
        <v>240.19</v>
      </c>
      <c r="AL5309" t="s">
        <v>19614</v>
      </c>
      <c r="AM5309">
        <v>30000</v>
      </c>
      <c r="AS5309">
        <v>2.9</v>
      </c>
      <c r="AT5309" t="s">
        <v>493</v>
      </c>
      <c r="AU5309" t="s">
        <v>20657</v>
      </c>
      <c r="AV5309" t="s">
        <v>20733</v>
      </c>
    </row>
    <row r="5310" spans="1:48">
      <c r="A5310" s="1">
        <f>HYPERLINK("https://lsnyc.legalserver.org/matter/dynamic-profile/view/1896378","19-1896378")</f>
        <v>0</v>
      </c>
      <c r="B5310" t="s">
        <v>137</v>
      </c>
      <c r="C5310" t="s">
        <v>256</v>
      </c>
      <c r="D5310" t="s">
        <v>350</v>
      </c>
      <c r="F5310" t="s">
        <v>2300</v>
      </c>
      <c r="G5310" t="s">
        <v>3448</v>
      </c>
      <c r="H5310" t="s">
        <v>7524</v>
      </c>
      <c r="I5310">
        <v>42</v>
      </c>
      <c r="J5310" t="s">
        <v>9067</v>
      </c>
      <c r="K5310">
        <v>10034</v>
      </c>
      <c r="L5310" t="s">
        <v>9095</v>
      </c>
      <c r="M5310" t="s">
        <v>9095</v>
      </c>
      <c r="O5310" t="s">
        <v>9121</v>
      </c>
      <c r="R5310" t="s">
        <v>11180</v>
      </c>
      <c r="T5310" t="s">
        <v>11183</v>
      </c>
      <c r="W5310">
        <v>937</v>
      </c>
      <c r="X5310" t="s">
        <v>11335</v>
      </c>
      <c r="Z5310" t="s">
        <v>12959</v>
      </c>
      <c r="AB5310" t="s">
        <v>19044</v>
      </c>
      <c r="AC5310">
        <v>0</v>
      </c>
      <c r="AF5310">
        <v>45</v>
      </c>
      <c r="AG5310">
        <v>1</v>
      </c>
      <c r="AH5310">
        <v>0</v>
      </c>
      <c r="AI5310">
        <v>240.19</v>
      </c>
      <c r="AL5310" t="s">
        <v>19614</v>
      </c>
      <c r="AM5310">
        <v>30000</v>
      </c>
      <c r="AS5310">
        <v>20.65</v>
      </c>
      <c r="AT5310" t="s">
        <v>484</v>
      </c>
      <c r="AU5310" t="s">
        <v>20658</v>
      </c>
    </row>
    <row r="5311" spans="1:48">
      <c r="A5311" s="1">
        <f>HYPERLINK("https://lsnyc.legalserver.org/matter/dynamic-profile/view/1907450","19-1907450")</f>
        <v>0</v>
      </c>
      <c r="B5311" t="s">
        <v>136</v>
      </c>
      <c r="C5311" t="s">
        <v>256</v>
      </c>
      <c r="D5311" t="s">
        <v>275</v>
      </c>
      <c r="F5311" t="s">
        <v>1264</v>
      </c>
      <c r="G5311" t="s">
        <v>5343</v>
      </c>
      <c r="H5311" t="s">
        <v>6524</v>
      </c>
      <c r="I5311" t="s">
        <v>8302</v>
      </c>
      <c r="J5311" t="s">
        <v>9067</v>
      </c>
      <c r="K5311">
        <v>10034</v>
      </c>
      <c r="L5311" t="s">
        <v>9094</v>
      </c>
      <c r="M5311" t="s">
        <v>9095</v>
      </c>
      <c r="O5311" t="s">
        <v>9121</v>
      </c>
      <c r="P5311" t="s">
        <v>11167</v>
      </c>
      <c r="R5311" t="s">
        <v>11180</v>
      </c>
      <c r="S5311" t="s">
        <v>9096</v>
      </c>
      <c r="T5311" t="s">
        <v>11183</v>
      </c>
      <c r="U5311" t="s">
        <v>11201</v>
      </c>
      <c r="V5311" t="s">
        <v>334</v>
      </c>
      <c r="W5311">
        <v>1448.89</v>
      </c>
      <c r="X5311" t="s">
        <v>11335</v>
      </c>
      <c r="Y5311" t="s">
        <v>11338</v>
      </c>
      <c r="Z5311" t="s">
        <v>14722</v>
      </c>
      <c r="AB5311" t="s">
        <v>19045</v>
      </c>
      <c r="AC5311">
        <v>32</v>
      </c>
      <c r="AD5311" t="s">
        <v>19566</v>
      </c>
      <c r="AE5311" t="s">
        <v>9144</v>
      </c>
      <c r="AF5311">
        <v>18</v>
      </c>
      <c r="AG5311">
        <v>1</v>
      </c>
      <c r="AH5311">
        <v>0</v>
      </c>
      <c r="AI5311">
        <v>240.19</v>
      </c>
      <c r="AL5311" t="s">
        <v>19614</v>
      </c>
      <c r="AM5311">
        <v>30000</v>
      </c>
      <c r="AS5311">
        <v>23.85</v>
      </c>
      <c r="AT5311" t="s">
        <v>1130</v>
      </c>
      <c r="AU5311" t="s">
        <v>20657</v>
      </c>
      <c r="AV5311" t="s">
        <v>20733</v>
      </c>
    </row>
    <row r="5312" spans="1:48">
      <c r="A5312" s="1">
        <f>HYPERLINK("https://lsnyc.legalserver.org/matter/dynamic-profile/view/1893591","19-1893591")</f>
        <v>0</v>
      </c>
      <c r="B5312" t="s">
        <v>134</v>
      </c>
      <c r="C5312" t="s">
        <v>257</v>
      </c>
      <c r="D5312" t="s">
        <v>739</v>
      </c>
      <c r="E5312" t="s">
        <v>457</v>
      </c>
      <c r="F5312" t="s">
        <v>2107</v>
      </c>
      <c r="G5312" t="s">
        <v>5344</v>
      </c>
      <c r="H5312" t="s">
        <v>7938</v>
      </c>
      <c r="I5312" t="s">
        <v>8939</v>
      </c>
      <c r="J5312" t="s">
        <v>9067</v>
      </c>
      <c r="K5312">
        <v>10033</v>
      </c>
      <c r="L5312" t="s">
        <v>9096</v>
      </c>
      <c r="M5312" t="s">
        <v>9094</v>
      </c>
      <c r="O5312" t="s">
        <v>9121</v>
      </c>
      <c r="P5312" t="s">
        <v>11164</v>
      </c>
      <c r="Q5312" t="s">
        <v>11172</v>
      </c>
      <c r="R5312" t="s">
        <v>11180</v>
      </c>
      <c r="S5312" t="s">
        <v>9096</v>
      </c>
      <c r="T5312" t="s">
        <v>11183</v>
      </c>
      <c r="V5312" t="s">
        <v>739</v>
      </c>
      <c r="W5312">
        <v>1895</v>
      </c>
      <c r="X5312" t="s">
        <v>11335</v>
      </c>
      <c r="Y5312" t="s">
        <v>11338</v>
      </c>
      <c r="Z5312" t="s">
        <v>14723</v>
      </c>
      <c r="AC5312">
        <v>91</v>
      </c>
      <c r="AD5312" t="s">
        <v>19566</v>
      </c>
      <c r="AE5312" t="s">
        <v>9144</v>
      </c>
      <c r="AF5312">
        <v>17</v>
      </c>
      <c r="AG5312">
        <v>1</v>
      </c>
      <c r="AH5312">
        <v>0</v>
      </c>
      <c r="AI5312">
        <v>240.19</v>
      </c>
      <c r="AL5312" t="s">
        <v>19614</v>
      </c>
      <c r="AM5312">
        <v>30000</v>
      </c>
      <c r="AS5312">
        <v>2.1</v>
      </c>
      <c r="AT5312" t="s">
        <v>414</v>
      </c>
      <c r="AU5312" t="s">
        <v>130</v>
      </c>
      <c r="AV5312" t="s">
        <v>20733</v>
      </c>
    </row>
    <row r="5313" spans="1:48">
      <c r="A5313" s="1">
        <f>HYPERLINK("https://lsnyc.legalserver.org/matter/dynamic-profile/view/1901322","19-1901322")</f>
        <v>0</v>
      </c>
      <c r="B5313" t="s">
        <v>134</v>
      </c>
      <c r="C5313" t="s">
        <v>256</v>
      </c>
      <c r="D5313" t="s">
        <v>559</v>
      </c>
      <c r="F5313" t="s">
        <v>1152</v>
      </c>
      <c r="G5313" t="s">
        <v>4174</v>
      </c>
      <c r="H5313" t="s">
        <v>7939</v>
      </c>
      <c r="I5313">
        <v>53</v>
      </c>
      <c r="J5313" t="s">
        <v>9067</v>
      </c>
      <c r="K5313">
        <v>10033</v>
      </c>
      <c r="L5313" t="s">
        <v>9094</v>
      </c>
      <c r="M5313" t="s">
        <v>9095</v>
      </c>
      <c r="O5313" t="s">
        <v>11136</v>
      </c>
      <c r="P5313" t="s">
        <v>11167</v>
      </c>
      <c r="R5313" t="s">
        <v>11180</v>
      </c>
      <c r="S5313" t="s">
        <v>9096</v>
      </c>
      <c r="T5313" t="s">
        <v>11183</v>
      </c>
      <c r="V5313" t="s">
        <v>559</v>
      </c>
      <c r="W5313">
        <v>2050</v>
      </c>
      <c r="X5313" t="s">
        <v>11335</v>
      </c>
      <c r="Y5313" t="s">
        <v>11338</v>
      </c>
      <c r="Z5313" t="s">
        <v>14724</v>
      </c>
      <c r="AB5313" t="s">
        <v>19046</v>
      </c>
      <c r="AC5313">
        <v>58</v>
      </c>
      <c r="AD5313" t="s">
        <v>19566</v>
      </c>
      <c r="AE5313" t="s">
        <v>9144</v>
      </c>
      <c r="AF5313">
        <v>8</v>
      </c>
      <c r="AG5313">
        <v>1</v>
      </c>
      <c r="AH5313">
        <v>0</v>
      </c>
      <c r="AI5313">
        <v>240.19</v>
      </c>
      <c r="AL5313" t="s">
        <v>19614</v>
      </c>
      <c r="AM5313">
        <v>30000</v>
      </c>
      <c r="AS5313">
        <v>2.75</v>
      </c>
      <c r="AT5313" t="s">
        <v>496</v>
      </c>
      <c r="AU5313" t="s">
        <v>130</v>
      </c>
      <c r="AV5313" t="s">
        <v>20733</v>
      </c>
    </row>
    <row r="5314" spans="1:48">
      <c r="A5314" s="1">
        <f>HYPERLINK("https://lsnyc.legalserver.org/matter/dynamic-profile/view/1904638","19-1904638")</f>
        <v>0</v>
      </c>
      <c r="B5314" t="s">
        <v>221</v>
      </c>
      <c r="C5314" t="s">
        <v>257</v>
      </c>
      <c r="D5314" t="s">
        <v>497</v>
      </c>
      <c r="E5314" t="s">
        <v>669</v>
      </c>
      <c r="F5314" t="s">
        <v>3052</v>
      </c>
      <c r="G5314" t="s">
        <v>3349</v>
      </c>
      <c r="H5314" t="s">
        <v>7940</v>
      </c>
      <c r="I5314" t="s">
        <v>8112</v>
      </c>
      <c r="J5314" t="s">
        <v>9067</v>
      </c>
      <c r="K5314">
        <v>10010</v>
      </c>
      <c r="L5314" t="s">
        <v>9094</v>
      </c>
      <c r="M5314" t="s">
        <v>9095</v>
      </c>
      <c r="N5314" t="s">
        <v>10966</v>
      </c>
      <c r="O5314" t="s">
        <v>11129</v>
      </c>
      <c r="P5314" t="s">
        <v>11164</v>
      </c>
      <c r="Q5314" t="s">
        <v>11172</v>
      </c>
      <c r="R5314" t="s">
        <v>11180</v>
      </c>
      <c r="S5314" t="s">
        <v>9096</v>
      </c>
      <c r="T5314" t="s">
        <v>11183</v>
      </c>
      <c r="U5314" t="s">
        <v>11201</v>
      </c>
      <c r="V5314" t="s">
        <v>497</v>
      </c>
      <c r="W5314">
        <v>1567.75</v>
      </c>
      <c r="X5314" t="s">
        <v>11335</v>
      </c>
      <c r="Y5314" t="s">
        <v>11346</v>
      </c>
      <c r="Z5314" t="s">
        <v>14725</v>
      </c>
      <c r="AB5314" t="s">
        <v>19047</v>
      </c>
      <c r="AC5314">
        <v>16</v>
      </c>
      <c r="AD5314" t="s">
        <v>19566</v>
      </c>
      <c r="AE5314" t="s">
        <v>9144</v>
      </c>
      <c r="AF5314">
        <v>26</v>
      </c>
      <c r="AG5314">
        <v>1</v>
      </c>
      <c r="AH5314">
        <v>0</v>
      </c>
      <c r="AI5314">
        <v>240.19</v>
      </c>
      <c r="AL5314" t="s">
        <v>19614</v>
      </c>
      <c r="AM5314">
        <v>30000</v>
      </c>
      <c r="AS5314">
        <v>1.25</v>
      </c>
      <c r="AT5314" t="s">
        <v>326</v>
      </c>
      <c r="AU5314" t="s">
        <v>20657</v>
      </c>
      <c r="AV5314" t="s">
        <v>20733</v>
      </c>
    </row>
    <row r="5315" spans="1:48">
      <c r="A5315" s="1">
        <f>HYPERLINK("https://lsnyc.legalserver.org/matter/dynamic-profile/view/1901107","19-1901107")</f>
        <v>0</v>
      </c>
      <c r="B5315" t="s">
        <v>120</v>
      </c>
      <c r="C5315" t="s">
        <v>256</v>
      </c>
      <c r="D5315" t="s">
        <v>394</v>
      </c>
      <c r="F5315" t="s">
        <v>1220</v>
      </c>
      <c r="G5315" t="s">
        <v>4309</v>
      </c>
      <c r="H5315" t="s">
        <v>6800</v>
      </c>
      <c r="I5315" t="s">
        <v>8620</v>
      </c>
      <c r="J5315" t="s">
        <v>9065</v>
      </c>
      <c r="K5315">
        <v>10452</v>
      </c>
      <c r="L5315" t="s">
        <v>9094</v>
      </c>
      <c r="M5315" t="s">
        <v>9095</v>
      </c>
      <c r="N5315" t="s">
        <v>10967</v>
      </c>
      <c r="O5315" t="s">
        <v>11128</v>
      </c>
      <c r="P5315" t="s">
        <v>11165</v>
      </c>
      <c r="R5315" t="s">
        <v>11180</v>
      </c>
      <c r="S5315" t="s">
        <v>9096</v>
      </c>
      <c r="T5315" t="s">
        <v>11183</v>
      </c>
      <c r="U5315" t="s">
        <v>11201</v>
      </c>
      <c r="V5315" t="s">
        <v>394</v>
      </c>
      <c r="W5315">
        <v>278</v>
      </c>
      <c r="X5315" t="s">
        <v>11333</v>
      </c>
      <c r="Y5315" t="s">
        <v>11340</v>
      </c>
      <c r="Z5315" t="s">
        <v>14726</v>
      </c>
      <c r="AB5315" t="s">
        <v>19048</v>
      </c>
      <c r="AC5315">
        <v>42</v>
      </c>
      <c r="AD5315" t="s">
        <v>19566</v>
      </c>
      <c r="AE5315" t="s">
        <v>9144</v>
      </c>
      <c r="AF5315">
        <v>15</v>
      </c>
      <c r="AG5315">
        <v>1</v>
      </c>
      <c r="AH5315">
        <v>0</v>
      </c>
      <c r="AI5315">
        <v>240.38</v>
      </c>
      <c r="AJ5315" t="s">
        <v>400</v>
      </c>
      <c r="AK5315" t="s">
        <v>19612</v>
      </c>
      <c r="AL5315" t="s">
        <v>19614</v>
      </c>
      <c r="AM5315">
        <v>30024</v>
      </c>
      <c r="AN5315" t="s">
        <v>19725</v>
      </c>
      <c r="AS5315">
        <v>22</v>
      </c>
      <c r="AT5315" t="s">
        <v>1135</v>
      </c>
      <c r="AU5315" t="s">
        <v>163</v>
      </c>
      <c r="AV5315" t="s">
        <v>20733</v>
      </c>
    </row>
    <row r="5316" spans="1:48">
      <c r="A5316" s="1">
        <f>HYPERLINK("https://lsnyc.legalserver.org/matter/dynamic-profile/view/1885019","18-1885019")</f>
        <v>0</v>
      </c>
      <c r="B5316" t="s">
        <v>78</v>
      </c>
      <c r="C5316" t="s">
        <v>256</v>
      </c>
      <c r="D5316" t="s">
        <v>359</v>
      </c>
      <c r="F5316" t="s">
        <v>1287</v>
      </c>
      <c r="G5316" t="s">
        <v>5324</v>
      </c>
      <c r="H5316" t="s">
        <v>5805</v>
      </c>
      <c r="I5316" t="s">
        <v>8266</v>
      </c>
      <c r="J5316" t="s">
        <v>9059</v>
      </c>
      <c r="K5316">
        <v>11213</v>
      </c>
      <c r="L5316" t="s">
        <v>9094</v>
      </c>
      <c r="M5316" t="s">
        <v>9094</v>
      </c>
      <c r="O5316" t="s">
        <v>11134</v>
      </c>
      <c r="P5316" t="s">
        <v>11168</v>
      </c>
      <c r="R5316" t="s">
        <v>11180</v>
      </c>
      <c r="S5316" t="s">
        <v>9094</v>
      </c>
      <c r="T5316" t="s">
        <v>11183</v>
      </c>
      <c r="V5316" t="s">
        <v>611</v>
      </c>
      <c r="W5316">
        <v>693</v>
      </c>
      <c r="X5316" t="s">
        <v>11332</v>
      </c>
      <c r="Y5316" t="s">
        <v>11348</v>
      </c>
      <c r="Z5316" t="s">
        <v>14695</v>
      </c>
      <c r="AB5316" t="s">
        <v>19017</v>
      </c>
      <c r="AC5316">
        <v>19</v>
      </c>
      <c r="AD5316" t="s">
        <v>19566</v>
      </c>
      <c r="AE5316" t="s">
        <v>9144</v>
      </c>
      <c r="AF5316">
        <v>20</v>
      </c>
      <c r="AG5316">
        <v>2</v>
      </c>
      <c r="AH5316">
        <v>1</v>
      </c>
      <c r="AI5316">
        <v>240.62</v>
      </c>
      <c r="AJ5316" t="s">
        <v>621</v>
      </c>
      <c r="AK5316" t="s">
        <v>19612</v>
      </c>
      <c r="AL5316" t="s">
        <v>19614</v>
      </c>
      <c r="AM5316">
        <v>50000</v>
      </c>
      <c r="AS5316">
        <v>0</v>
      </c>
      <c r="AU5316" t="s">
        <v>79</v>
      </c>
    </row>
    <row r="5317" spans="1:48">
      <c r="A5317" s="1">
        <f>HYPERLINK("https://lsnyc.legalserver.org/matter/dynamic-profile/view/1876080","18-1876080")</f>
        <v>0</v>
      </c>
      <c r="B5317" t="s">
        <v>78</v>
      </c>
      <c r="C5317" t="s">
        <v>256</v>
      </c>
      <c r="D5317" t="s">
        <v>958</v>
      </c>
      <c r="F5317" t="s">
        <v>1287</v>
      </c>
      <c r="G5317" t="s">
        <v>5324</v>
      </c>
      <c r="H5317" t="s">
        <v>5805</v>
      </c>
      <c r="I5317" t="s">
        <v>8266</v>
      </c>
      <c r="J5317" t="s">
        <v>9059</v>
      </c>
      <c r="K5317">
        <v>11213</v>
      </c>
      <c r="L5317" t="s">
        <v>9094</v>
      </c>
      <c r="M5317" t="s">
        <v>9094</v>
      </c>
      <c r="N5317" t="s">
        <v>9575</v>
      </c>
      <c r="O5317" t="s">
        <v>11130</v>
      </c>
      <c r="P5317" t="s">
        <v>11165</v>
      </c>
      <c r="R5317" t="s">
        <v>11180</v>
      </c>
      <c r="S5317" t="s">
        <v>9094</v>
      </c>
      <c r="T5317" t="s">
        <v>11183</v>
      </c>
      <c r="V5317" t="s">
        <v>366</v>
      </c>
      <c r="W5317">
        <v>693</v>
      </c>
      <c r="X5317" t="s">
        <v>11332</v>
      </c>
      <c r="Y5317" t="s">
        <v>11348</v>
      </c>
      <c r="Z5317" t="s">
        <v>14695</v>
      </c>
      <c r="AB5317" t="s">
        <v>19017</v>
      </c>
      <c r="AC5317">
        <v>19</v>
      </c>
      <c r="AD5317" t="s">
        <v>19566</v>
      </c>
      <c r="AE5317" t="s">
        <v>9144</v>
      </c>
      <c r="AF5317">
        <v>20</v>
      </c>
      <c r="AG5317">
        <v>2</v>
      </c>
      <c r="AH5317">
        <v>1</v>
      </c>
      <c r="AI5317">
        <v>240.62</v>
      </c>
      <c r="AJ5317" t="s">
        <v>265</v>
      </c>
      <c r="AK5317" t="s">
        <v>19612</v>
      </c>
      <c r="AL5317" t="s">
        <v>19614</v>
      </c>
      <c r="AM5317">
        <v>50000</v>
      </c>
      <c r="AS5317">
        <v>0</v>
      </c>
      <c r="AU5317" t="s">
        <v>151</v>
      </c>
    </row>
    <row r="5318" spans="1:48">
      <c r="A5318" s="1">
        <f>HYPERLINK("https://lsnyc.legalserver.org/matter/dynamic-profile/view/1857551","18-1857551")</f>
        <v>0</v>
      </c>
      <c r="B5318" t="s">
        <v>119</v>
      </c>
      <c r="C5318" t="s">
        <v>256</v>
      </c>
      <c r="D5318" t="s">
        <v>468</v>
      </c>
      <c r="F5318" t="s">
        <v>1552</v>
      </c>
      <c r="G5318" t="s">
        <v>5345</v>
      </c>
      <c r="H5318" t="s">
        <v>5897</v>
      </c>
      <c r="I5318" t="s">
        <v>8940</v>
      </c>
      <c r="J5318" t="s">
        <v>9065</v>
      </c>
      <c r="K5318">
        <v>10452</v>
      </c>
      <c r="L5318" t="s">
        <v>9094</v>
      </c>
      <c r="M5318" t="s">
        <v>9095</v>
      </c>
      <c r="N5318" t="s">
        <v>9253</v>
      </c>
      <c r="O5318" t="s">
        <v>11135</v>
      </c>
      <c r="P5318" t="s">
        <v>11168</v>
      </c>
      <c r="R5318" t="s">
        <v>11180</v>
      </c>
      <c r="S5318" t="s">
        <v>9094</v>
      </c>
      <c r="T5318" t="s">
        <v>11183</v>
      </c>
      <c r="V5318" t="s">
        <v>675</v>
      </c>
      <c r="W5318">
        <v>818.46</v>
      </c>
      <c r="X5318" t="s">
        <v>11333</v>
      </c>
      <c r="Y5318" t="s">
        <v>11346</v>
      </c>
      <c r="Z5318" t="s">
        <v>12165</v>
      </c>
      <c r="AB5318" t="s">
        <v>19049</v>
      </c>
      <c r="AC5318">
        <v>122</v>
      </c>
      <c r="AD5318" t="s">
        <v>19566</v>
      </c>
      <c r="AE5318" t="s">
        <v>9144</v>
      </c>
      <c r="AF5318">
        <v>25</v>
      </c>
      <c r="AG5318">
        <v>3</v>
      </c>
      <c r="AH5318">
        <v>0</v>
      </c>
      <c r="AI5318">
        <v>240.62</v>
      </c>
      <c r="AL5318" t="s">
        <v>19614</v>
      </c>
      <c r="AM5318">
        <v>50000</v>
      </c>
      <c r="AN5318" t="s">
        <v>19693</v>
      </c>
      <c r="AS5318">
        <v>0.1</v>
      </c>
      <c r="AT5318" t="s">
        <v>507</v>
      </c>
      <c r="AU5318" t="s">
        <v>20647</v>
      </c>
    </row>
    <row r="5319" spans="1:48">
      <c r="A5319" s="1">
        <f>HYPERLINK("https://lsnyc.legalserver.org/matter/dynamic-profile/view/1872188","18-1872188")</f>
        <v>0</v>
      </c>
      <c r="B5319" t="s">
        <v>111</v>
      </c>
      <c r="C5319" t="s">
        <v>256</v>
      </c>
      <c r="D5319" t="s">
        <v>675</v>
      </c>
      <c r="F5319" t="s">
        <v>1457</v>
      </c>
      <c r="G5319" t="s">
        <v>3419</v>
      </c>
      <c r="H5319" t="s">
        <v>6260</v>
      </c>
      <c r="I5319" t="s">
        <v>8941</v>
      </c>
      <c r="J5319" t="s">
        <v>9065</v>
      </c>
      <c r="K5319">
        <v>10452</v>
      </c>
      <c r="L5319" t="s">
        <v>9094</v>
      </c>
      <c r="M5319" t="s">
        <v>9095</v>
      </c>
      <c r="O5319" t="s">
        <v>11135</v>
      </c>
      <c r="P5319" t="s">
        <v>11168</v>
      </c>
      <c r="R5319" t="s">
        <v>11180</v>
      </c>
      <c r="S5319" t="s">
        <v>9094</v>
      </c>
      <c r="T5319" t="s">
        <v>11183</v>
      </c>
      <c r="V5319" t="s">
        <v>675</v>
      </c>
      <c r="W5319">
        <v>843</v>
      </c>
      <c r="X5319" t="s">
        <v>11333</v>
      </c>
      <c r="Y5319" t="s">
        <v>11346</v>
      </c>
      <c r="Z5319" t="s">
        <v>14727</v>
      </c>
      <c r="AB5319" t="s">
        <v>19050</v>
      </c>
      <c r="AC5319">
        <v>0</v>
      </c>
      <c r="AD5319" t="s">
        <v>19566</v>
      </c>
      <c r="AE5319" t="s">
        <v>9144</v>
      </c>
      <c r="AF5319">
        <v>24</v>
      </c>
      <c r="AG5319">
        <v>3</v>
      </c>
      <c r="AH5319">
        <v>0</v>
      </c>
      <c r="AI5319">
        <v>240.62</v>
      </c>
      <c r="AL5319" t="s">
        <v>19615</v>
      </c>
      <c r="AM5319">
        <v>50000</v>
      </c>
      <c r="AS5319">
        <v>0</v>
      </c>
      <c r="AU5319" t="s">
        <v>20642</v>
      </c>
    </row>
    <row r="5320" spans="1:48">
      <c r="A5320" s="1">
        <f>HYPERLINK("https://lsnyc.legalserver.org/matter/dynamic-profile/view/1888002","19-1888002")</f>
        <v>0</v>
      </c>
      <c r="B5320" t="s">
        <v>138</v>
      </c>
      <c r="C5320" t="s">
        <v>256</v>
      </c>
      <c r="D5320" t="s">
        <v>443</v>
      </c>
      <c r="F5320" t="s">
        <v>1882</v>
      </c>
      <c r="G5320" t="s">
        <v>1492</v>
      </c>
      <c r="H5320" t="s">
        <v>6093</v>
      </c>
      <c r="I5320">
        <v>1</v>
      </c>
      <c r="J5320" t="s">
        <v>9067</v>
      </c>
      <c r="K5320">
        <v>10034</v>
      </c>
      <c r="L5320" t="s">
        <v>9094</v>
      </c>
      <c r="M5320" t="s">
        <v>9094</v>
      </c>
      <c r="N5320" t="s">
        <v>9999</v>
      </c>
      <c r="O5320" t="s">
        <v>11130</v>
      </c>
      <c r="P5320" t="s">
        <v>11165</v>
      </c>
      <c r="R5320" t="s">
        <v>11180</v>
      </c>
      <c r="S5320" t="s">
        <v>9094</v>
      </c>
      <c r="T5320" t="s">
        <v>11183</v>
      </c>
      <c r="V5320" t="s">
        <v>443</v>
      </c>
      <c r="W5320">
        <v>1679</v>
      </c>
      <c r="X5320" t="s">
        <v>11335</v>
      </c>
      <c r="Y5320" t="s">
        <v>11338</v>
      </c>
      <c r="Z5320" t="s">
        <v>14728</v>
      </c>
      <c r="AB5320" t="s">
        <v>19051</v>
      </c>
      <c r="AC5320">
        <v>25</v>
      </c>
      <c r="AD5320" t="s">
        <v>19566</v>
      </c>
      <c r="AE5320" t="s">
        <v>9144</v>
      </c>
      <c r="AF5320">
        <v>9</v>
      </c>
      <c r="AG5320">
        <v>2</v>
      </c>
      <c r="AH5320">
        <v>1</v>
      </c>
      <c r="AI5320">
        <v>240.62</v>
      </c>
      <c r="AL5320" t="s">
        <v>19614</v>
      </c>
      <c r="AM5320">
        <v>50000</v>
      </c>
      <c r="AS5320">
        <v>0.9</v>
      </c>
      <c r="AT5320" t="s">
        <v>1135</v>
      </c>
      <c r="AU5320" t="s">
        <v>130</v>
      </c>
    </row>
    <row r="5321" spans="1:48">
      <c r="A5321" s="1">
        <f>HYPERLINK("https://lsnyc.legalserver.org/matter/dynamic-profile/view/1873837","18-1873837")</f>
        <v>0</v>
      </c>
      <c r="B5321" t="s">
        <v>132</v>
      </c>
      <c r="C5321" t="s">
        <v>257</v>
      </c>
      <c r="D5321" t="s">
        <v>555</v>
      </c>
      <c r="E5321" t="s">
        <v>331</v>
      </c>
      <c r="F5321" t="s">
        <v>1292</v>
      </c>
      <c r="G5321" t="s">
        <v>3499</v>
      </c>
      <c r="H5321" t="s">
        <v>5953</v>
      </c>
      <c r="I5321" t="s">
        <v>8942</v>
      </c>
      <c r="J5321" t="s">
        <v>9067</v>
      </c>
      <c r="K5321">
        <v>10033</v>
      </c>
      <c r="L5321" t="s">
        <v>9094</v>
      </c>
      <c r="M5321" t="s">
        <v>9094</v>
      </c>
      <c r="O5321" t="s">
        <v>11130</v>
      </c>
      <c r="P5321" t="s">
        <v>11165</v>
      </c>
      <c r="Q5321" t="s">
        <v>11178</v>
      </c>
      <c r="R5321" t="s">
        <v>11180</v>
      </c>
      <c r="S5321" t="s">
        <v>9094</v>
      </c>
      <c r="T5321" t="s">
        <v>11183</v>
      </c>
      <c r="V5321" t="s">
        <v>555</v>
      </c>
      <c r="W5321">
        <v>1431.7</v>
      </c>
      <c r="X5321" t="s">
        <v>11335</v>
      </c>
      <c r="Y5321" t="s">
        <v>11339</v>
      </c>
      <c r="Z5321" t="s">
        <v>14729</v>
      </c>
      <c r="AB5321" t="s">
        <v>19052</v>
      </c>
      <c r="AC5321">
        <v>232</v>
      </c>
      <c r="AD5321" t="s">
        <v>19566</v>
      </c>
      <c r="AE5321" t="s">
        <v>9144</v>
      </c>
      <c r="AF5321">
        <v>24</v>
      </c>
      <c r="AG5321">
        <v>3</v>
      </c>
      <c r="AH5321">
        <v>0</v>
      </c>
      <c r="AI5321">
        <v>241.1</v>
      </c>
      <c r="AL5321" t="s">
        <v>19614</v>
      </c>
      <c r="AM5321">
        <v>50100</v>
      </c>
      <c r="AS5321">
        <v>41.9</v>
      </c>
      <c r="AT5321" t="s">
        <v>521</v>
      </c>
      <c r="AU5321" t="s">
        <v>130</v>
      </c>
      <c r="AV5321" t="s">
        <v>20733</v>
      </c>
    </row>
    <row r="5322" spans="1:48">
      <c r="A5322" s="1">
        <f>HYPERLINK("https://lsnyc.legalserver.org/matter/dynamic-profile/view/1895168","19-1895168")</f>
        <v>0</v>
      </c>
      <c r="B5322" t="s">
        <v>69</v>
      </c>
      <c r="C5322" t="s">
        <v>257</v>
      </c>
      <c r="D5322" t="s">
        <v>278</v>
      </c>
      <c r="E5322" t="s">
        <v>395</v>
      </c>
      <c r="F5322" t="s">
        <v>1273</v>
      </c>
      <c r="G5322" t="s">
        <v>4033</v>
      </c>
      <c r="H5322" t="s">
        <v>7353</v>
      </c>
      <c r="I5322">
        <v>615</v>
      </c>
      <c r="J5322" t="s">
        <v>9059</v>
      </c>
      <c r="K5322">
        <v>11239</v>
      </c>
      <c r="L5322" t="s">
        <v>9094</v>
      </c>
      <c r="M5322" t="s">
        <v>9094</v>
      </c>
      <c r="N5322" t="s">
        <v>10968</v>
      </c>
      <c r="O5322" t="s">
        <v>11129</v>
      </c>
      <c r="P5322" t="s">
        <v>11168</v>
      </c>
      <c r="Q5322" t="s">
        <v>11173</v>
      </c>
      <c r="R5322" t="s">
        <v>11180</v>
      </c>
      <c r="S5322" t="s">
        <v>9096</v>
      </c>
      <c r="T5322" t="s">
        <v>11184</v>
      </c>
      <c r="V5322" t="s">
        <v>278</v>
      </c>
      <c r="W5322">
        <v>1205</v>
      </c>
      <c r="X5322" t="s">
        <v>11332</v>
      </c>
      <c r="Y5322" t="s">
        <v>11338</v>
      </c>
      <c r="Z5322" t="s">
        <v>14730</v>
      </c>
      <c r="AA5322" t="s">
        <v>15897</v>
      </c>
      <c r="AB5322" t="s">
        <v>19053</v>
      </c>
      <c r="AC5322">
        <v>137</v>
      </c>
      <c r="AD5322" t="s">
        <v>19566</v>
      </c>
      <c r="AE5322" t="s">
        <v>19580</v>
      </c>
      <c r="AF5322">
        <v>1</v>
      </c>
      <c r="AG5322">
        <v>2</v>
      </c>
      <c r="AH5322">
        <v>1</v>
      </c>
      <c r="AI5322">
        <v>241.76</v>
      </c>
      <c r="AL5322" t="s">
        <v>19614</v>
      </c>
      <c r="AM5322">
        <v>51568</v>
      </c>
      <c r="AS5322">
        <v>11.5</v>
      </c>
      <c r="AT5322" t="s">
        <v>395</v>
      </c>
      <c r="AU5322" t="s">
        <v>79</v>
      </c>
      <c r="AV5322" t="s">
        <v>20733</v>
      </c>
    </row>
    <row r="5323" spans="1:48">
      <c r="A5323" s="1">
        <f>HYPERLINK("https://lsnyc.legalserver.org/matter/dynamic-profile/view/1882200","18-1882200")</f>
        <v>0</v>
      </c>
      <c r="B5323" t="s">
        <v>92</v>
      </c>
      <c r="C5323" t="s">
        <v>256</v>
      </c>
      <c r="D5323" t="s">
        <v>697</v>
      </c>
      <c r="F5323" t="s">
        <v>3053</v>
      </c>
      <c r="G5323" t="s">
        <v>5293</v>
      </c>
      <c r="H5323" t="s">
        <v>6919</v>
      </c>
      <c r="I5323" t="s">
        <v>8943</v>
      </c>
      <c r="J5323" t="s">
        <v>9059</v>
      </c>
      <c r="K5323">
        <v>11233</v>
      </c>
      <c r="L5323" t="s">
        <v>9094</v>
      </c>
      <c r="M5323" t="s">
        <v>9094</v>
      </c>
      <c r="N5323" t="s">
        <v>9121</v>
      </c>
      <c r="O5323" t="s">
        <v>11137</v>
      </c>
      <c r="P5323" t="s">
        <v>11167</v>
      </c>
      <c r="R5323" t="s">
        <v>11180</v>
      </c>
      <c r="S5323" t="s">
        <v>9094</v>
      </c>
      <c r="T5323" t="s">
        <v>11183</v>
      </c>
      <c r="U5323" t="s">
        <v>11201</v>
      </c>
      <c r="V5323" t="s">
        <v>11317</v>
      </c>
      <c r="W5323">
        <v>594.33</v>
      </c>
      <c r="X5323" t="s">
        <v>11332</v>
      </c>
      <c r="Y5323" t="s">
        <v>11340</v>
      </c>
      <c r="Z5323" t="s">
        <v>14731</v>
      </c>
      <c r="AB5323" t="s">
        <v>19054</v>
      </c>
      <c r="AC5323">
        <v>6</v>
      </c>
      <c r="AD5323" t="s">
        <v>19566</v>
      </c>
      <c r="AE5323" t="s">
        <v>9144</v>
      </c>
      <c r="AF5323">
        <v>42</v>
      </c>
      <c r="AG5323">
        <v>2</v>
      </c>
      <c r="AH5323">
        <v>1</v>
      </c>
      <c r="AI5323">
        <v>241.83</v>
      </c>
      <c r="AK5323" t="s">
        <v>19612</v>
      </c>
      <c r="AL5323" t="s">
        <v>19614</v>
      </c>
      <c r="AM5323">
        <v>50252.28</v>
      </c>
      <c r="AN5323" t="s">
        <v>20110</v>
      </c>
      <c r="AS5323">
        <v>1</v>
      </c>
      <c r="AT5323" t="s">
        <v>270</v>
      </c>
      <c r="AU5323" t="s">
        <v>95</v>
      </c>
    </row>
    <row r="5324" spans="1:48">
      <c r="A5324" s="1">
        <f>HYPERLINK("https://lsnyc.legalserver.org/matter/dynamic-profile/view/0813915","16-0813915")</f>
        <v>0</v>
      </c>
      <c r="B5324" t="s">
        <v>108</v>
      </c>
      <c r="C5324" t="s">
        <v>256</v>
      </c>
      <c r="D5324" t="s">
        <v>827</v>
      </c>
      <c r="F5324" t="s">
        <v>3054</v>
      </c>
      <c r="G5324" t="s">
        <v>3652</v>
      </c>
      <c r="H5324" t="s">
        <v>6526</v>
      </c>
      <c r="I5324" t="s">
        <v>8168</v>
      </c>
      <c r="J5324" t="s">
        <v>9065</v>
      </c>
      <c r="K5324">
        <v>10452</v>
      </c>
      <c r="L5324" t="s">
        <v>9094</v>
      </c>
      <c r="M5324" t="s">
        <v>9095</v>
      </c>
      <c r="N5324" t="s">
        <v>9749</v>
      </c>
      <c r="O5324" t="s">
        <v>11135</v>
      </c>
      <c r="P5324" t="s">
        <v>11168</v>
      </c>
      <c r="R5324" t="s">
        <v>11180</v>
      </c>
      <c r="S5324" t="s">
        <v>9094</v>
      </c>
      <c r="T5324" t="s">
        <v>11183</v>
      </c>
      <c r="V5324" t="s">
        <v>517</v>
      </c>
      <c r="W5324">
        <v>594.98</v>
      </c>
      <c r="X5324" t="s">
        <v>11333</v>
      </c>
      <c r="Y5324" t="s">
        <v>11346</v>
      </c>
      <c r="Z5324" t="s">
        <v>14732</v>
      </c>
      <c r="AB5324" t="s">
        <v>19055</v>
      </c>
      <c r="AC5324">
        <v>63</v>
      </c>
      <c r="AD5324" t="s">
        <v>19566</v>
      </c>
      <c r="AE5324" t="s">
        <v>9144</v>
      </c>
      <c r="AF5324">
        <v>35</v>
      </c>
      <c r="AG5324">
        <v>1</v>
      </c>
      <c r="AH5324">
        <v>0</v>
      </c>
      <c r="AI5324">
        <v>241.84</v>
      </c>
      <c r="AL5324" t="s">
        <v>19615</v>
      </c>
      <c r="AM5324">
        <v>28730</v>
      </c>
      <c r="AS5324">
        <v>0.6</v>
      </c>
      <c r="AT5324" t="s">
        <v>1122</v>
      </c>
      <c r="AU5324" t="s">
        <v>20643</v>
      </c>
    </row>
    <row r="5325" spans="1:48">
      <c r="A5325" s="1">
        <f>HYPERLINK("https://lsnyc.legalserver.org/matter/dynamic-profile/view/1886105","18-1886105")</f>
        <v>0</v>
      </c>
      <c r="B5325" t="s">
        <v>136</v>
      </c>
      <c r="C5325" t="s">
        <v>256</v>
      </c>
      <c r="D5325" t="s">
        <v>397</v>
      </c>
      <c r="F5325" t="s">
        <v>1256</v>
      </c>
      <c r="G5325" t="s">
        <v>4152</v>
      </c>
      <c r="H5325" t="s">
        <v>7475</v>
      </c>
      <c r="I5325">
        <v>4</v>
      </c>
      <c r="J5325" t="s">
        <v>9067</v>
      </c>
      <c r="K5325">
        <v>10029</v>
      </c>
      <c r="L5325" t="s">
        <v>9094</v>
      </c>
      <c r="M5325" t="s">
        <v>9094</v>
      </c>
      <c r="N5325" t="s">
        <v>10538</v>
      </c>
      <c r="O5325" t="s">
        <v>11130</v>
      </c>
      <c r="P5325" t="s">
        <v>11165</v>
      </c>
      <c r="R5325" t="s">
        <v>11180</v>
      </c>
      <c r="S5325" t="s">
        <v>9094</v>
      </c>
      <c r="T5325" t="s">
        <v>11183</v>
      </c>
      <c r="U5325" t="s">
        <v>11201</v>
      </c>
      <c r="V5325" t="s">
        <v>397</v>
      </c>
      <c r="W5325">
        <v>1081</v>
      </c>
      <c r="X5325" t="s">
        <v>11335</v>
      </c>
      <c r="Y5325" t="s">
        <v>11339</v>
      </c>
      <c r="Z5325" t="s">
        <v>14733</v>
      </c>
      <c r="AB5325" t="s">
        <v>19056</v>
      </c>
      <c r="AC5325">
        <v>6</v>
      </c>
      <c r="AD5325" t="s">
        <v>19566</v>
      </c>
      <c r="AE5325" t="s">
        <v>9144</v>
      </c>
      <c r="AF5325">
        <v>21</v>
      </c>
      <c r="AG5325">
        <v>2</v>
      </c>
      <c r="AH5325">
        <v>2</v>
      </c>
      <c r="AI5325">
        <v>242.07</v>
      </c>
      <c r="AL5325" t="s">
        <v>19614</v>
      </c>
      <c r="AM5325">
        <v>60760</v>
      </c>
      <c r="AS5325">
        <v>1.55</v>
      </c>
      <c r="AT5325" t="s">
        <v>297</v>
      </c>
      <c r="AU5325" t="s">
        <v>20657</v>
      </c>
    </row>
    <row r="5326" spans="1:48">
      <c r="A5326" s="1">
        <f>HYPERLINK("https://lsnyc.legalserver.org/matter/dynamic-profile/view/1903648","19-1903648")</f>
        <v>0</v>
      </c>
      <c r="B5326" t="s">
        <v>122</v>
      </c>
      <c r="C5326" t="s">
        <v>256</v>
      </c>
      <c r="D5326" t="s">
        <v>700</v>
      </c>
      <c r="F5326" t="s">
        <v>1164</v>
      </c>
      <c r="G5326" t="s">
        <v>5346</v>
      </c>
      <c r="H5326" t="s">
        <v>7941</v>
      </c>
      <c r="I5326" t="s">
        <v>8944</v>
      </c>
      <c r="J5326" t="s">
        <v>9066</v>
      </c>
      <c r="K5326">
        <v>10314</v>
      </c>
      <c r="L5326" t="s">
        <v>9094</v>
      </c>
      <c r="M5326" t="s">
        <v>9095</v>
      </c>
      <c r="N5326" t="s">
        <v>9580</v>
      </c>
      <c r="O5326" t="s">
        <v>11134</v>
      </c>
      <c r="P5326" t="s">
        <v>11168</v>
      </c>
      <c r="R5326" t="s">
        <v>11180</v>
      </c>
      <c r="S5326" t="s">
        <v>9094</v>
      </c>
      <c r="T5326" t="s">
        <v>11183</v>
      </c>
      <c r="U5326" t="s">
        <v>11201</v>
      </c>
      <c r="V5326" t="s">
        <v>610</v>
      </c>
      <c r="W5326">
        <v>907</v>
      </c>
      <c r="X5326" t="s">
        <v>11334</v>
      </c>
      <c r="Y5326" t="s">
        <v>11340</v>
      </c>
      <c r="Z5326" t="s">
        <v>14734</v>
      </c>
      <c r="AB5326" t="s">
        <v>19057</v>
      </c>
      <c r="AC5326">
        <v>96</v>
      </c>
      <c r="AD5326" t="s">
        <v>19566</v>
      </c>
      <c r="AE5326" t="s">
        <v>9144</v>
      </c>
      <c r="AF5326">
        <v>4</v>
      </c>
      <c r="AG5326">
        <v>1</v>
      </c>
      <c r="AH5326">
        <v>0</v>
      </c>
      <c r="AI5326">
        <v>242.21</v>
      </c>
      <c r="AL5326" t="s">
        <v>19614</v>
      </c>
      <c r="AM5326">
        <v>30252</v>
      </c>
      <c r="AO5326" t="s">
        <v>20293</v>
      </c>
      <c r="AP5326" t="s">
        <v>20316</v>
      </c>
      <c r="AQ5326" t="s">
        <v>20369</v>
      </c>
      <c r="AR5326" t="s">
        <v>20372</v>
      </c>
      <c r="AS5326">
        <v>0.6</v>
      </c>
      <c r="AT5326" t="s">
        <v>270</v>
      </c>
      <c r="AU5326" t="s">
        <v>20653</v>
      </c>
      <c r="AV5326" t="s">
        <v>20733</v>
      </c>
    </row>
    <row r="5327" spans="1:48">
      <c r="A5327" s="1">
        <f>HYPERLINK("https://lsnyc.legalserver.org/matter/dynamic-profile/view/1891677","19-1891677")</f>
        <v>0</v>
      </c>
      <c r="B5327" t="s">
        <v>103</v>
      </c>
      <c r="C5327" t="s">
        <v>256</v>
      </c>
      <c r="D5327" t="s">
        <v>788</v>
      </c>
      <c r="F5327" t="s">
        <v>1290</v>
      </c>
      <c r="G5327" t="s">
        <v>3644</v>
      </c>
      <c r="H5327" t="s">
        <v>5887</v>
      </c>
      <c r="I5327" t="s">
        <v>8682</v>
      </c>
      <c r="J5327" t="s">
        <v>9065</v>
      </c>
      <c r="K5327">
        <v>10453</v>
      </c>
      <c r="L5327" t="s">
        <v>9094</v>
      </c>
      <c r="M5327" t="s">
        <v>9094</v>
      </c>
      <c r="N5327" t="s">
        <v>9352</v>
      </c>
      <c r="O5327" t="s">
        <v>11130</v>
      </c>
      <c r="P5327" t="s">
        <v>11165</v>
      </c>
      <c r="R5327" t="s">
        <v>11180</v>
      </c>
      <c r="S5327" t="s">
        <v>9094</v>
      </c>
      <c r="T5327" t="s">
        <v>11183</v>
      </c>
      <c r="V5327" t="s">
        <v>512</v>
      </c>
      <c r="W5327">
        <v>1233</v>
      </c>
      <c r="X5327" t="s">
        <v>11333</v>
      </c>
      <c r="Y5327" t="s">
        <v>11339</v>
      </c>
      <c r="Z5327" t="s">
        <v>13367</v>
      </c>
      <c r="AB5327" t="s">
        <v>17707</v>
      </c>
      <c r="AC5327">
        <v>172</v>
      </c>
      <c r="AD5327" t="s">
        <v>19566</v>
      </c>
      <c r="AE5327" t="s">
        <v>9144</v>
      </c>
      <c r="AF5327">
        <v>4</v>
      </c>
      <c r="AG5327">
        <v>4</v>
      </c>
      <c r="AH5327">
        <v>0</v>
      </c>
      <c r="AI5327">
        <v>242.33</v>
      </c>
      <c r="AL5327" t="s">
        <v>19615</v>
      </c>
      <c r="AM5327">
        <v>62400</v>
      </c>
      <c r="AS5327">
        <v>0</v>
      </c>
      <c r="AU5327" t="s">
        <v>220</v>
      </c>
    </row>
    <row r="5328" spans="1:48">
      <c r="A5328" s="1">
        <f>HYPERLINK("https://lsnyc.legalserver.org/matter/dynamic-profile/view/0813882","16-0813882")</f>
        <v>0</v>
      </c>
      <c r="B5328" t="s">
        <v>93</v>
      </c>
      <c r="C5328" t="s">
        <v>256</v>
      </c>
      <c r="D5328" t="s">
        <v>827</v>
      </c>
      <c r="F5328" t="s">
        <v>1300</v>
      </c>
      <c r="G5328" t="s">
        <v>3473</v>
      </c>
      <c r="H5328" t="s">
        <v>7942</v>
      </c>
      <c r="I5328" t="s">
        <v>8128</v>
      </c>
      <c r="J5328" t="s">
        <v>9059</v>
      </c>
      <c r="K5328">
        <v>11213</v>
      </c>
      <c r="L5328" t="s">
        <v>9094</v>
      </c>
      <c r="M5328" t="s">
        <v>9095</v>
      </c>
      <c r="N5328" t="s">
        <v>10969</v>
      </c>
      <c r="O5328" t="s">
        <v>11129</v>
      </c>
      <c r="P5328" t="s">
        <v>11165</v>
      </c>
      <c r="R5328" t="s">
        <v>11180</v>
      </c>
      <c r="S5328" t="s">
        <v>9094</v>
      </c>
      <c r="T5328" t="s">
        <v>11183</v>
      </c>
      <c r="V5328" t="s">
        <v>827</v>
      </c>
      <c r="W5328">
        <v>1125</v>
      </c>
      <c r="X5328" t="s">
        <v>11332</v>
      </c>
      <c r="Y5328" t="s">
        <v>11339</v>
      </c>
      <c r="Z5328" t="s">
        <v>14398</v>
      </c>
      <c r="AB5328" t="s">
        <v>19058</v>
      </c>
      <c r="AC5328">
        <v>5</v>
      </c>
      <c r="AD5328" t="s">
        <v>19565</v>
      </c>
      <c r="AE5328" t="s">
        <v>9144</v>
      </c>
      <c r="AF5328">
        <v>5</v>
      </c>
      <c r="AG5328">
        <v>1</v>
      </c>
      <c r="AH5328">
        <v>0</v>
      </c>
      <c r="AI5328">
        <v>242.42</v>
      </c>
      <c r="AJ5328" t="s">
        <v>11307</v>
      </c>
      <c r="AL5328" t="s">
        <v>19614</v>
      </c>
      <c r="AM5328">
        <v>28800</v>
      </c>
      <c r="AN5328" t="s">
        <v>20111</v>
      </c>
      <c r="AS5328">
        <v>16.65</v>
      </c>
      <c r="AT5328" t="s">
        <v>314</v>
      </c>
      <c r="AU5328" t="s">
        <v>150</v>
      </c>
    </row>
    <row r="5329" spans="1:48">
      <c r="A5329" s="1">
        <f>HYPERLINK("https://lsnyc.legalserver.org/matter/dynamic-profile/view/1873125","18-1873125")</f>
        <v>0</v>
      </c>
      <c r="B5329" t="s">
        <v>73</v>
      </c>
      <c r="C5329" t="s">
        <v>256</v>
      </c>
      <c r="D5329" t="s">
        <v>930</v>
      </c>
      <c r="F5329" t="s">
        <v>3055</v>
      </c>
      <c r="G5329" t="s">
        <v>1193</v>
      </c>
      <c r="H5329" t="s">
        <v>7943</v>
      </c>
      <c r="I5329" t="s">
        <v>8507</v>
      </c>
      <c r="J5329" t="s">
        <v>9059</v>
      </c>
      <c r="K5329">
        <v>11233</v>
      </c>
      <c r="L5329" t="s">
        <v>9094</v>
      </c>
      <c r="M5329" t="s">
        <v>9094</v>
      </c>
      <c r="N5329" t="s">
        <v>10970</v>
      </c>
      <c r="O5329" t="s">
        <v>11128</v>
      </c>
      <c r="P5329" t="s">
        <v>11165</v>
      </c>
      <c r="R5329" t="s">
        <v>11180</v>
      </c>
      <c r="S5329" t="s">
        <v>9096</v>
      </c>
      <c r="T5329" t="s">
        <v>11183</v>
      </c>
      <c r="V5329" t="s">
        <v>870</v>
      </c>
      <c r="W5329">
        <v>1029.2</v>
      </c>
      <c r="X5329" t="s">
        <v>11332</v>
      </c>
      <c r="Y5329" t="s">
        <v>11338</v>
      </c>
      <c r="Z5329" t="s">
        <v>14735</v>
      </c>
      <c r="AB5329" t="s">
        <v>19059</v>
      </c>
      <c r="AC5329">
        <v>151</v>
      </c>
      <c r="AD5329" t="s">
        <v>19566</v>
      </c>
      <c r="AE5329" t="s">
        <v>9144</v>
      </c>
      <c r="AF5329">
        <v>10</v>
      </c>
      <c r="AG5329">
        <v>1</v>
      </c>
      <c r="AH5329">
        <v>1</v>
      </c>
      <c r="AI5329">
        <v>243.01</v>
      </c>
      <c r="AJ5329" t="s">
        <v>650</v>
      </c>
      <c r="AK5329" t="s">
        <v>19612</v>
      </c>
      <c r="AL5329" t="s">
        <v>19614</v>
      </c>
      <c r="AM5329">
        <v>40000</v>
      </c>
      <c r="AS5329">
        <v>50.8</v>
      </c>
      <c r="AT5329" t="s">
        <v>275</v>
      </c>
      <c r="AU5329" t="s">
        <v>95</v>
      </c>
    </row>
    <row r="5330" spans="1:48">
      <c r="A5330" s="1">
        <f>HYPERLINK("https://lsnyc.legalserver.org/matter/dynamic-profile/view/1878601","18-1878601")</f>
        <v>0</v>
      </c>
      <c r="B5330" t="s">
        <v>78</v>
      </c>
      <c r="C5330" t="s">
        <v>256</v>
      </c>
      <c r="D5330" t="s">
        <v>346</v>
      </c>
      <c r="F5330" t="s">
        <v>1213</v>
      </c>
      <c r="G5330" t="s">
        <v>2303</v>
      </c>
      <c r="H5330" t="s">
        <v>6712</v>
      </c>
      <c r="I5330" t="s">
        <v>8119</v>
      </c>
      <c r="J5330" t="s">
        <v>9059</v>
      </c>
      <c r="K5330">
        <v>11221</v>
      </c>
      <c r="L5330" t="s">
        <v>9094</v>
      </c>
      <c r="M5330" t="s">
        <v>9094</v>
      </c>
      <c r="O5330" t="s">
        <v>11134</v>
      </c>
      <c r="P5330" t="s">
        <v>11168</v>
      </c>
      <c r="R5330" t="s">
        <v>11180</v>
      </c>
      <c r="S5330" t="s">
        <v>9094</v>
      </c>
      <c r="T5330" t="s">
        <v>11183</v>
      </c>
      <c r="V5330" t="s">
        <v>516</v>
      </c>
      <c r="W5330">
        <v>880.65</v>
      </c>
      <c r="X5330" t="s">
        <v>11332</v>
      </c>
      <c r="Y5330" t="s">
        <v>11346</v>
      </c>
      <c r="Z5330" t="s">
        <v>14708</v>
      </c>
      <c r="AB5330" t="s">
        <v>19027</v>
      </c>
      <c r="AC5330">
        <v>12</v>
      </c>
      <c r="AD5330" t="s">
        <v>19566</v>
      </c>
      <c r="AE5330" t="s">
        <v>9144</v>
      </c>
      <c r="AF5330">
        <v>17</v>
      </c>
      <c r="AG5330">
        <v>1</v>
      </c>
      <c r="AH5330">
        <v>1</v>
      </c>
      <c r="AI5330">
        <v>243.01</v>
      </c>
      <c r="AL5330" t="s">
        <v>19614</v>
      </c>
      <c r="AM5330">
        <v>40000</v>
      </c>
      <c r="AN5330" t="s">
        <v>20112</v>
      </c>
      <c r="AS5330">
        <v>6.5</v>
      </c>
      <c r="AT5330" t="s">
        <v>711</v>
      </c>
      <c r="AU5330" t="s">
        <v>95</v>
      </c>
    </row>
    <row r="5331" spans="1:48">
      <c r="A5331" s="1">
        <f>HYPERLINK("https://lsnyc.legalserver.org/matter/dynamic-profile/view/1878609","18-1878609")</f>
        <v>0</v>
      </c>
      <c r="B5331" t="s">
        <v>78</v>
      </c>
      <c r="C5331" t="s">
        <v>256</v>
      </c>
      <c r="D5331" t="s">
        <v>346</v>
      </c>
      <c r="F5331" t="s">
        <v>1213</v>
      </c>
      <c r="G5331" t="s">
        <v>2303</v>
      </c>
      <c r="H5331" t="s">
        <v>6712</v>
      </c>
      <c r="I5331" t="s">
        <v>8119</v>
      </c>
      <c r="J5331" t="s">
        <v>9059</v>
      </c>
      <c r="K5331">
        <v>11221</v>
      </c>
      <c r="L5331" t="s">
        <v>9094</v>
      </c>
      <c r="M5331" t="s">
        <v>9094</v>
      </c>
      <c r="N5331" t="s">
        <v>10105</v>
      </c>
      <c r="O5331" t="s">
        <v>11130</v>
      </c>
      <c r="P5331" t="s">
        <v>11165</v>
      </c>
      <c r="R5331" t="s">
        <v>11180</v>
      </c>
      <c r="S5331" t="s">
        <v>9094</v>
      </c>
      <c r="T5331" t="s">
        <v>11183</v>
      </c>
      <c r="V5331" t="s">
        <v>688</v>
      </c>
      <c r="W5331">
        <v>880.65</v>
      </c>
      <c r="X5331" t="s">
        <v>11332</v>
      </c>
      <c r="Y5331" t="s">
        <v>11346</v>
      </c>
      <c r="Z5331" t="s">
        <v>14708</v>
      </c>
      <c r="AB5331" t="s">
        <v>19027</v>
      </c>
      <c r="AC5331">
        <v>12</v>
      </c>
      <c r="AD5331" t="s">
        <v>19566</v>
      </c>
      <c r="AE5331" t="s">
        <v>9144</v>
      </c>
      <c r="AF5331">
        <v>17</v>
      </c>
      <c r="AG5331">
        <v>1</v>
      </c>
      <c r="AH5331">
        <v>1</v>
      </c>
      <c r="AI5331">
        <v>243.01</v>
      </c>
      <c r="AL5331" t="s">
        <v>19614</v>
      </c>
      <c r="AM5331">
        <v>40000</v>
      </c>
      <c r="AN5331" t="s">
        <v>20112</v>
      </c>
      <c r="AS5331">
        <v>12.08</v>
      </c>
      <c r="AT5331" t="s">
        <v>373</v>
      </c>
      <c r="AU5331" t="s">
        <v>95</v>
      </c>
    </row>
    <row r="5332" spans="1:48">
      <c r="A5332" s="1">
        <f>HYPERLINK("https://lsnyc.legalserver.org/matter/dynamic-profile/view/1876634","18-1876634")</f>
        <v>0</v>
      </c>
      <c r="B5332" t="s">
        <v>119</v>
      </c>
      <c r="C5332" t="s">
        <v>256</v>
      </c>
      <c r="D5332" t="s">
        <v>593</v>
      </c>
      <c r="F5332" t="s">
        <v>3056</v>
      </c>
      <c r="G5332" t="s">
        <v>3765</v>
      </c>
      <c r="H5332" t="s">
        <v>6095</v>
      </c>
      <c r="I5332" t="s">
        <v>8288</v>
      </c>
      <c r="J5332" t="s">
        <v>9065</v>
      </c>
      <c r="K5332">
        <v>10456</v>
      </c>
      <c r="L5332" t="s">
        <v>9094</v>
      </c>
      <c r="M5332" t="s">
        <v>9094</v>
      </c>
      <c r="N5332" t="s">
        <v>9403</v>
      </c>
      <c r="O5332" t="s">
        <v>11130</v>
      </c>
      <c r="P5332" t="s">
        <v>11165</v>
      </c>
      <c r="R5332" t="s">
        <v>11180</v>
      </c>
      <c r="S5332" t="s">
        <v>9094</v>
      </c>
      <c r="T5332" t="s">
        <v>11183</v>
      </c>
      <c r="V5332" t="s">
        <v>593</v>
      </c>
      <c r="W5332">
        <v>980</v>
      </c>
      <c r="X5332" t="s">
        <v>11333</v>
      </c>
      <c r="Y5332" t="s">
        <v>11346</v>
      </c>
      <c r="Z5332" t="s">
        <v>14736</v>
      </c>
      <c r="AB5332" t="s">
        <v>19060</v>
      </c>
      <c r="AC5332">
        <v>131</v>
      </c>
      <c r="AD5332" t="s">
        <v>19566</v>
      </c>
      <c r="AE5332" t="s">
        <v>9144</v>
      </c>
      <c r="AF5332">
        <v>4</v>
      </c>
      <c r="AG5332">
        <v>2</v>
      </c>
      <c r="AH5332">
        <v>0</v>
      </c>
      <c r="AI5332">
        <v>243.01</v>
      </c>
      <c r="AL5332" t="s">
        <v>19614</v>
      </c>
      <c r="AM5332">
        <v>40000</v>
      </c>
      <c r="AS5332">
        <v>0</v>
      </c>
      <c r="AU5332" t="s">
        <v>163</v>
      </c>
    </row>
    <row r="5333" spans="1:48">
      <c r="A5333" s="1">
        <f>HYPERLINK("https://lsnyc.legalserver.org/matter/dynamic-profile/view/1869879","18-1869879")</f>
        <v>0</v>
      </c>
      <c r="B5333" t="s">
        <v>140</v>
      </c>
      <c r="C5333" t="s">
        <v>256</v>
      </c>
      <c r="D5333" t="s">
        <v>743</v>
      </c>
      <c r="F5333" t="s">
        <v>3057</v>
      </c>
      <c r="G5333" t="s">
        <v>3503</v>
      </c>
      <c r="H5333" t="s">
        <v>5946</v>
      </c>
      <c r="I5333" t="s">
        <v>8165</v>
      </c>
      <c r="J5333" t="s">
        <v>9067</v>
      </c>
      <c r="K5333">
        <v>10034</v>
      </c>
      <c r="L5333" t="s">
        <v>9094</v>
      </c>
      <c r="M5333" t="s">
        <v>9095</v>
      </c>
      <c r="O5333" t="s">
        <v>11134</v>
      </c>
      <c r="P5333" t="s">
        <v>11165</v>
      </c>
      <c r="R5333" t="s">
        <v>11180</v>
      </c>
      <c r="S5333" t="s">
        <v>9094</v>
      </c>
      <c r="T5333" t="s">
        <v>11183</v>
      </c>
      <c r="V5333" t="s">
        <v>743</v>
      </c>
      <c r="W5333">
        <v>1700</v>
      </c>
      <c r="X5333" t="s">
        <v>11335</v>
      </c>
      <c r="Y5333" t="s">
        <v>11338</v>
      </c>
      <c r="Z5333" t="s">
        <v>14737</v>
      </c>
      <c r="AB5333" t="s">
        <v>19061</v>
      </c>
      <c r="AC5333">
        <v>228</v>
      </c>
      <c r="AD5333" t="s">
        <v>19566</v>
      </c>
      <c r="AE5333" t="s">
        <v>9144</v>
      </c>
      <c r="AF5333">
        <v>4</v>
      </c>
      <c r="AG5333">
        <v>1</v>
      </c>
      <c r="AH5333">
        <v>1</v>
      </c>
      <c r="AI5333">
        <v>243.01</v>
      </c>
      <c r="AL5333" t="s">
        <v>19614</v>
      </c>
      <c r="AM5333">
        <v>40000</v>
      </c>
      <c r="AS5333">
        <v>3.86</v>
      </c>
      <c r="AT5333" t="s">
        <v>899</v>
      </c>
      <c r="AU5333" t="s">
        <v>130</v>
      </c>
    </row>
    <row r="5334" spans="1:48">
      <c r="A5334" s="1">
        <f>HYPERLINK("https://lsnyc.legalserver.org/matter/dynamic-profile/view/1887945","19-1887945")</f>
        <v>0</v>
      </c>
      <c r="B5334" t="s">
        <v>138</v>
      </c>
      <c r="C5334" t="s">
        <v>256</v>
      </c>
      <c r="D5334" t="s">
        <v>443</v>
      </c>
      <c r="F5334" t="s">
        <v>3058</v>
      </c>
      <c r="G5334" t="s">
        <v>4143</v>
      </c>
      <c r="H5334" t="s">
        <v>6093</v>
      </c>
      <c r="I5334">
        <v>3</v>
      </c>
      <c r="J5334" t="s">
        <v>9067</v>
      </c>
      <c r="K5334">
        <v>10034</v>
      </c>
      <c r="L5334" t="s">
        <v>9094</v>
      </c>
      <c r="M5334" t="s">
        <v>9094</v>
      </c>
      <c r="N5334" t="s">
        <v>9999</v>
      </c>
      <c r="O5334" t="s">
        <v>11130</v>
      </c>
      <c r="P5334" t="s">
        <v>11165</v>
      </c>
      <c r="R5334" t="s">
        <v>11180</v>
      </c>
      <c r="S5334" t="s">
        <v>9094</v>
      </c>
      <c r="T5334" t="s">
        <v>11183</v>
      </c>
      <c r="V5334" t="s">
        <v>443</v>
      </c>
      <c r="W5334">
        <v>1217</v>
      </c>
      <c r="X5334" t="s">
        <v>11335</v>
      </c>
      <c r="Y5334" t="s">
        <v>11338</v>
      </c>
      <c r="Z5334" t="s">
        <v>14738</v>
      </c>
      <c r="AB5334" t="s">
        <v>19062</v>
      </c>
      <c r="AC5334">
        <v>25</v>
      </c>
      <c r="AD5334" t="s">
        <v>19566</v>
      </c>
      <c r="AE5334" t="s">
        <v>9144</v>
      </c>
      <c r="AF5334">
        <v>17</v>
      </c>
      <c r="AG5334">
        <v>2</v>
      </c>
      <c r="AH5334">
        <v>0</v>
      </c>
      <c r="AI5334">
        <v>243.01</v>
      </c>
      <c r="AL5334" t="s">
        <v>19615</v>
      </c>
      <c r="AM5334">
        <v>40000</v>
      </c>
      <c r="AS5334">
        <v>0.2</v>
      </c>
      <c r="AT5334" t="s">
        <v>1135</v>
      </c>
      <c r="AU5334" t="s">
        <v>130</v>
      </c>
      <c r="AV5334" t="s">
        <v>20733</v>
      </c>
    </row>
    <row r="5335" spans="1:48">
      <c r="A5335" s="1">
        <f>HYPERLINK("https://lsnyc.legalserver.org/matter/dynamic-profile/view/1876353","18-1876353")</f>
        <v>0</v>
      </c>
      <c r="B5335" t="s">
        <v>132</v>
      </c>
      <c r="C5335" t="s">
        <v>257</v>
      </c>
      <c r="D5335" t="s">
        <v>479</v>
      </c>
      <c r="E5335" t="s">
        <v>331</v>
      </c>
      <c r="F5335" t="s">
        <v>3059</v>
      </c>
      <c r="G5335" t="s">
        <v>5347</v>
      </c>
      <c r="H5335" t="s">
        <v>5953</v>
      </c>
      <c r="I5335" t="s">
        <v>8531</v>
      </c>
      <c r="J5335" t="s">
        <v>9067</v>
      </c>
      <c r="K5335">
        <v>10033</v>
      </c>
      <c r="L5335" t="s">
        <v>9094</v>
      </c>
      <c r="M5335" t="s">
        <v>9094</v>
      </c>
      <c r="O5335" t="s">
        <v>11130</v>
      </c>
      <c r="P5335" t="s">
        <v>11165</v>
      </c>
      <c r="Q5335" t="s">
        <v>11178</v>
      </c>
      <c r="R5335" t="s">
        <v>11180</v>
      </c>
      <c r="S5335" t="s">
        <v>9094</v>
      </c>
      <c r="T5335" t="s">
        <v>11183</v>
      </c>
      <c r="V5335" t="s">
        <v>479</v>
      </c>
      <c r="W5335">
        <v>1540</v>
      </c>
      <c r="X5335" t="s">
        <v>11335</v>
      </c>
      <c r="Y5335" t="s">
        <v>11338</v>
      </c>
      <c r="Z5335" t="s">
        <v>14739</v>
      </c>
      <c r="AB5335" t="s">
        <v>19063</v>
      </c>
      <c r="AC5335">
        <v>232</v>
      </c>
      <c r="AD5335" t="s">
        <v>19566</v>
      </c>
      <c r="AE5335" t="s">
        <v>9144</v>
      </c>
      <c r="AF5335">
        <v>41</v>
      </c>
      <c r="AG5335">
        <v>2</v>
      </c>
      <c r="AH5335">
        <v>0</v>
      </c>
      <c r="AI5335">
        <v>243.01</v>
      </c>
      <c r="AL5335" t="s">
        <v>19614</v>
      </c>
      <c r="AM5335">
        <v>40000</v>
      </c>
      <c r="AS5335">
        <v>1.3</v>
      </c>
      <c r="AT5335" t="s">
        <v>521</v>
      </c>
      <c r="AU5335" t="s">
        <v>130</v>
      </c>
      <c r="AV5335" t="s">
        <v>20733</v>
      </c>
    </row>
    <row r="5336" spans="1:48">
      <c r="A5336" s="1">
        <f>HYPERLINK("https://lsnyc.legalserver.org/matter/dynamic-profile/view/0816170","16-0816170")</f>
        <v>0</v>
      </c>
      <c r="B5336" t="s">
        <v>203</v>
      </c>
      <c r="C5336" t="s">
        <v>256</v>
      </c>
      <c r="D5336" t="s">
        <v>1079</v>
      </c>
      <c r="F5336" t="s">
        <v>1293</v>
      </c>
      <c r="G5336" t="s">
        <v>4515</v>
      </c>
      <c r="H5336" t="s">
        <v>7944</v>
      </c>
      <c r="I5336" t="s">
        <v>8169</v>
      </c>
      <c r="J5336" t="s">
        <v>9059</v>
      </c>
      <c r="K5336">
        <v>11238</v>
      </c>
      <c r="L5336" t="s">
        <v>9094</v>
      </c>
      <c r="M5336" t="s">
        <v>9095</v>
      </c>
      <c r="N5336" t="s">
        <v>10971</v>
      </c>
      <c r="O5336" t="s">
        <v>11129</v>
      </c>
      <c r="P5336" t="s">
        <v>11165</v>
      </c>
      <c r="R5336" t="s">
        <v>11180</v>
      </c>
      <c r="T5336" t="s">
        <v>11183</v>
      </c>
      <c r="V5336" t="s">
        <v>11318</v>
      </c>
      <c r="W5336">
        <v>896.88</v>
      </c>
      <c r="X5336" t="s">
        <v>11332</v>
      </c>
      <c r="Y5336" t="s">
        <v>11347</v>
      </c>
      <c r="Z5336" t="s">
        <v>14573</v>
      </c>
      <c r="AB5336" t="s">
        <v>19064</v>
      </c>
      <c r="AC5336">
        <v>0</v>
      </c>
      <c r="AD5336" t="s">
        <v>19566</v>
      </c>
      <c r="AF5336">
        <v>0</v>
      </c>
      <c r="AG5336">
        <v>2</v>
      </c>
      <c r="AH5336">
        <v>0</v>
      </c>
      <c r="AI5336">
        <v>243.45</v>
      </c>
      <c r="AL5336" t="s">
        <v>19614</v>
      </c>
      <c r="AM5336">
        <v>39000</v>
      </c>
      <c r="AS5336">
        <v>92.05</v>
      </c>
      <c r="AT5336" t="s">
        <v>500</v>
      </c>
      <c r="AU5336" t="s">
        <v>203</v>
      </c>
    </row>
    <row r="5337" spans="1:48">
      <c r="A5337" s="1">
        <f>HYPERLINK("https://lsnyc.legalserver.org/matter/dynamic-profile/view/1899630","19-1899630")</f>
        <v>0</v>
      </c>
      <c r="B5337" t="s">
        <v>102</v>
      </c>
      <c r="C5337" t="s">
        <v>256</v>
      </c>
      <c r="D5337" t="s">
        <v>418</v>
      </c>
      <c r="F5337" t="s">
        <v>1201</v>
      </c>
      <c r="G5337" t="s">
        <v>3790</v>
      </c>
      <c r="H5337" t="s">
        <v>7945</v>
      </c>
      <c r="I5337" t="s">
        <v>8945</v>
      </c>
      <c r="J5337" t="s">
        <v>9065</v>
      </c>
      <c r="K5337">
        <v>10455</v>
      </c>
      <c r="L5337" t="s">
        <v>9094</v>
      </c>
      <c r="M5337" t="s">
        <v>9095</v>
      </c>
      <c r="O5337" t="s">
        <v>11158</v>
      </c>
      <c r="P5337" t="s">
        <v>11164</v>
      </c>
      <c r="R5337" t="s">
        <v>11180</v>
      </c>
      <c r="S5337" t="s">
        <v>9096</v>
      </c>
      <c r="T5337" t="s">
        <v>11183</v>
      </c>
      <c r="V5337" t="s">
        <v>11218</v>
      </c>
      <c r="W5337">
        <v>1008</v>
      </c>
      <c r="X5337" t="s">
        <v>11333</v>
      </c>
      <c r="Y5337" t="s">
        <v>11345</v>
      </c>
      <c r="Z5337" t="s">
        <v>14740</v>
      </c>
      <c r="AB5337" t="s">
        <v>19065</v>
      </c>
      <c r="AC5337">
        <v>143</v>
      </c>
      <c r="AD5337" t="s">
        <v>19573</v>
      </c>
      <c r="AE5337" t="s">
        <v>9144</v>
      </c>
      <c r="AF5337">
        <v>5</v>
      </c>
      <c r="AG5337">
        <v>1</v>
      </c>
      <c r="AH5337">
        <v>0</v>
      </c>
      <c r="AI5337">
        <v>243.49</v>
      </c>
      <c r="AL5337" t="s">
        <v>19614</v>
      </c>
      <c r="AM5337">
        <v>30411.84</v>
      </c>
      <c r="AS5337">
        <v>0</v>
      </c>
      <c r="AU5337" t="s">
        <v>20642</v>
      </c>
      <c r="AV5337" t="s">
        <v>20733</v>
      </c>
    </row>
    <row r="5338" spans="1:48">
      <c r="A5338" s="1">
        <f>HYPERLINK("https://lsnyc.legalserver.org/matter/dynamic-profile/view/1910115","19-1910115")</f>
        <v>0</v>
      </c>
      <c r="B5338" t="s">
        <v>138</v>
      </c>
      <c r="C5338" t="s">
        <v>257</v>
      </c>
      <c r="D5338" t="s">
        <v>435</v>
      </c>
      <c r="E5338" t="s">
        <v>435</v>
      </c>
      <c r="F5338" t="s">
        <v>2530</v>
      </c>
      <c r="G5338" t="s">
        <v>5348</v>
      </c>
      <c r="H5338" t="s">
        <v>6292</v>
      </c>
      <c r="J5338" t="s">
        <v>9067</v>
      </c>
      <c r="K5338">
        <v>10033</v>
      </c>
      <c r="L5338" t="s">
        <v>9094</v>
      </c>
      <c r="M5338" t="s">
        <v>9095</v>
      </c>
      <c r="O5338" t="s">
        <v>11130</v>
      </c>
      <c r="P5338" t="s">
        <v>11167</v>
      </c>
      <c r="Q5338" t="s">
        <v>11173</v>
      </c>
      <c r="R5338" t="s">
        <v>11180</v>
      </c>
      <c r="S5338" t="s">
        <v>9096</v>
      </c>
      <c r="T5338" t="s">
        <v>11183</v>
      </c>
      <c r="W5338">
        <v>1135</v>
      </c>
      <c r="X5338" t="s">
        <v>11335</v>
      </c>
      <c r="Y5338" t="s">
        <v>11338</v>
      </c>
      <c r="Z5338" t="s">
        <v>14741</v>
      </c>
      <c r="AB5338" t="s">
        <v>19066</v>
      </c>
      <c r="AC5338">
        <v>12</v>
      </c>
      <c r="AD5338" t="s">
        <v>19566</v>
      </c>
      <c r="AE5338" t="s">
        <v>9144</v>
      </c>
      <c r="AF5338">
        <v>39</v>
      </c>
      <c r="AG5338">
        <v>2</v>
      </c>
      <c r="AH5338">
        <v>1</v>
      </c>
      <c r="AI5338">
        <v>243.79</v>
      </c>
      <c r="AM5338">
        <v>52000</v>
      </c>
      <c r="AS5338">
        <v>0.7</v>
      </c>
      <c r="AT5338" t="s">
        <v>435</v>
      </c>
      <c r="AU5338" t="s">
        <v>130</v>
      </c>
      <c r="AV5338" t="s">
        <v>20733</v>
      </c>
    </row>
    <row r="5339" spans="1:48">
      <c r="A5339" s="1">
        <f>HYPERLINK("https://lsnyc.legalserver.org/matter/dynamic-profile/view/1883152","18-1883152")</f>
        <v>0</v>
      </c>
      <c r="B5339" t="s">
        <v>65</v>
      </c>
      <c r="C5339" t="s">
        <v>256</v>
      </c>
      <c r="D5339" t="s">
        <v>407</v>
      </c>
      <c r="F5339" t="s">
        <v>1143</v>
      </c>
      <c r="G5339" t="s">
        <v>3336</v>
      </c>
      <c r="H5339" t="s">
        <v>7946</v>
      </c>
      <c r="I5339" t="s">
        <v>8946</v>
      </c>
      <c r="J5339" t="s">
        <v>9059</v>
      </c>
      <c r="K5339">
        <v>11203</v>
      </c>
      <c r="L5339" t="s">
        <v>9094</v>
      </c>
      <c r="M5339" t="s">
        <v>9094</v>
      </c>
      <c r="N5339" t="s">
        <v>10972</v>
      </c>
      <c r="O5339" t="s">
        <v>11128</v>
      </c>
      <c r="P5339" t="s">
        <v>11165</v>
      </c>
      <c r="R5339" t="s">
        <v>11180</v>
      </c>
      <c r="S5339" t="s">
        <v>9096</v>
      </c>
      <c r="T5339" t="s">
        <v>11183</v>
      </c>
      <c r="U5339" t="s">
        <v>11202</v>
      </c>
      <c r="V5339" t="s">
        <v>407</v>
      </c>
      <c r="W5339">
        <v>1290.27</v>
      </c>
      <c r="X5339" t="s">
        <v>11332</v>
      </c>
      <c r="Y5339" t="s">
        <v>11345</v>
      </c>
      <c r="Z5339" t="s">
        <v>14742</v>
      </c>
      <c r="AB5339" t="s">
        <v>19067</v>
      </c>
      <c r="AC5339">
        <v>103</v>
      </c>
      <c r="AD5339" t="s">
        <v>19566</v>
      </c>
      <c r="AE5339" t="s">
        <v>9144</v>
      </c>
      <c r="AF5339">
        <v>7</v>
      </c>
      <c r="AG5339">
        <v>1</v>
      </c>
      <c r="AH5339">
        <v>1</v>
      </c>
      <c r="AI5339">
        <v>244.45</v>
      </c>
      <c r="AJ5339" t="s">
        <v>650</v>
      </c>
      <c r="AK5339" t="s">
        <v>19612</v>
      </c>
      <c r="AL5339" t="s">
        <v>19614</v>
      </c>
      <c r="AM5339">
        <v>40236</v>
      </c>
      <c r="AO5339" t="s">
        <v>20292</v>
      </c>
      <c r="AS5339">
        <v>88</v>
      </c>
      <c r="AT5339" t="s">
        <v>785</v>
      </c>
      <c r="AU5339" t="s">
        <v>67</v>
      </c>
      <c r="AV5339" t="s">
        <v>20733</v>
      </c>
    </row>
    <row r="5340" spans="1:48">
      <c r="A5340" s="1">
        <f>HYPERLINK("https://lsnyc.legalserver.org/matter/dynamic-profile/view/1867367","18-1867367")</f>
        <v>0</v>
      </c>
      <c r="B5340" t="s">
        <v>101</v>
      </c>
      <c r="C5340" t="s">
        <v>257</v>
      </c>
      <c r="D5340" t="s">
        <v>456</v>
      </c>
      <c r="E5340" t="s">
        <v>416</v>
      </c>
      <c r="F5340" t="s">
        <v>2760</v>
      </c>
      <c r="G5340" t="s">
        <v>3896</v>
      </c>
      <c r="H5340" t="s">
        <v>6262</v>
      </c>
      <c r="I5340" t="s">
        <v>8212</v>
      </c>
      <c r="J5340" t="s">
        <v>9065</v>
      </c>
      <c r="K5340">
        <v>10452</v>
      </c>
      <c r="L5340" t="s">
        <v>9094</v>
      </c>
      <c r="M5340" t="s">
        <v>9095</v>
      </c>
      <c r="O5340" t="s">
        <v>9121</v>
      </c>
      <c r="P5340" t="s">
        <v>11166</v>
      </c>
      <c r="Q5340" t="s">
        <v>11178</v>
      </c>
      <c r="R5340" t="s">
        <v>11180</v>
      </c>
      <c r="S5340" t="s">
        <v>9094</v>
      </c>
      <c r="T5340" t="s">
        <v>11183</v>
      </c>
      <c r="V5340" t="s">
        <v>588</v>
      </c>
      <c r="W5340">
        <v>1079</v>
      </c>
      <c r="X5340" t="s">
        <v>11333</v>
      </c>
      <c r="Y5340" t="s">
        <v>11347</v>
      </c>
      <c r="Z5340" t="s">
        <v>14743</v>
      </c>
      <c r="AA5340" t="s">
        <v>15898</v>
      </c>
      <c r="AB5340" t="s">
        <v>19068</v>
      </c>
      <c r="AC5340">
        <v>60</v>
      </c>
      <c r="AD5340" t="s">
        <v>19566</v>
      </c>
      <c r="AE5340" t="s">
        <v>19580</v>
      </c>
      <c r="AF5340">
        <v>29</v>
      </c>
      <c r="AG5340">
        <v>2</v>
      </c>
      <c r="AH5340">
        <v>0</v>
      </c>
      <c r="AI5340">
        <v>244.84</v>
      </c>
      <c r="AL5340" t="s">
        <v>19615</v>
      </c>
      <c r="AM5340">
        <v>40300</v>
      </c>
      <c r="AS5340">
        <v>63.95</v>
      </c>
      <c r="AT5340" t="s">
        <v>416</v>
      </c>
      <c r="AU5340" t="s">
        <v>163</v>
      </c>
    </row>
    <row r="5341" spans="1:48">
      <c r="A5341" s="1">
        <f>HYPERLINK("https://lsnyc.legalserver.org/matter/dynamic-profile/view/1854899","17-1854899")</f>
        <v>0</v>
      </c>
      <c r="B5341" t="s">
        <v>101</v>
      </c>
      <c r="C5341" t="s">
        <v>256</v>
      </c>
      <c r="D5341" t="s">
        <v>558</v>
      </c>
      <c r="F5341" t="s">
        <v>1471</v>
      </c>
      <c r="G5341" t="s">
        <v>5349</v>
      </c>
      <c r="H5341" t="s">
        <v>6041</v>
      </c>
      <c r="I5341" t="s">
        <v>8112</v>
      </c>
      <c r="J5341" t="s">
        <v>9065</v>
      </c>
      <c r="K5341">
        <v>10452</v>
      </c>
      <c r="L5341" t="s">
        <v>9094</v>
      </c>
      <c r="M5341" t="s">
        <v>9095</v>
      </c>
      <c r="N5341" t="s">
        <v>9356</v>
      </c>
      <c r="O5341" t="s">
        <v>11135</v>
      </c>
      <c r="P5341" t="s">
        <v>11168</v>
      </c>
      <c r="R5341" t="s">
        <v>11180</v>
      </c>
      <c r="S5341" t="s">
        <v>9094</v>
      </c>
      <c r="T5341" t="s">
        <v>11183</v>
      </c>
      <c r="V5341" t="s">
        <v>1122</v>
      </c>
      <c r="W5341">
        <v>814.37</v>
      </c>
      <c r="X5341" t="s">
        <v>11333</v>
      </c>
      <c r="Y5341" t="s">
        <v>11346</v>
      </c>
      <c r="Z5341" t="s">
        <v>14744</v>
      </c>
      <c r="AB5341" t="s">
        <v>19069</v>
      </c>
      <c r="AC5341">
        <v>62</v>
      </c>
      <c r="AD5341" t="s">
        <v>19566</v>
      </c>
      <c r="AE5341" t="s">
        <v>9144</v>
      </c>
      <c r="AF5341">
        <v>42</v>
      </c>
      <c r="AG5341">
        <v>3</v>
      </c>
      <c r="AH5341">
        <v>0</v>
      </c>
      <c r="AI5341">
        <v>244.86</v>
      </c>
      <c r="AL5341" t="s">
        <v>19614</v>
      </c>
      <c r="AM5341">
        <v>75000</v>
      </c>
      <c r="AS5341">
        <v>0.4</v>
      </c>
      <c r="AT5341" t="s">
        <v>558</v>
      </c>
      <c r="AU5341" t="s">
        <v>174</v>
      </c>
    </row>
    <row r="5342" spans="1:48">
      <c r="A5342" s="1">
        <f>HYPERLINK("https://lsnyc.legalserver.org/matter/dynamic-profile/view/1855293","18-1855293")</f>
        <v>0</v>
      </c>
      <c r="B5342" t="s">
        <v>101</v>
      </c>
      <c r="C5342" t="s">
        <v>256</v>
      </c>
      <c r="D5342" t="s">
        <v>654</v>
      </c>
      <c r="F5342" t="s">
        <v>1471</v>
      </c>
      <c r="G5342" t="s">
        <v>5349</v>
      </c>
      <c r="H5342" t="s">
        <v>6041</v>
      </c>
      <c r="I5342" t="s">
        <v>8112</v>
      </c>
      <c r="J5342" t="s">
        <v>9065</v>
      </c>
      <c r="K5342">
        <v>10452</v>
      </c>
      <c r="L5342" t="s">
        <v>9094</v>
      </c>
      <c r="M5342" t="s">
        <v>9095</v>
      </c>
      <c r="N5342" t="s">
        <v>9496</v>
      </c>
      <c r="O5342" t="s">
        <v>11135</v>
      </c>
      <c r="P5342" t="s">
        <v>11168</v>
      </c>
      <c r="R5342" t="s">
        <v>11180</v>
      </c>
      <c r="S5342" t="s">
        <v>9094</v>
      </c>
      <c r="T5342" t="s">
        <v>11183</v>
      </c>
      <c r="V5342" t="s">
        <v>1122</v>
      </c>
      <c r="W5342">
        <v>814.37</v>
      </c>
      <c r="X5342" t="s">
        <v>11333</v>
      </c>
      <c r="Y5342" t="s">
        <v>11346</v>
      </c>
      <c r="Z5342" t="s">
        <v>14744</v>
      </c>
      <c r="AB5342" t="s">
        <v>19069</v>
      </c>
      <c r="AC5342">
        <v>62</v>
      </c>
      <c r="AD5342" t="s">
        <v>19566</v>
      </c>
      <c r="AE5342" t="s">
        <v>9144</v>
      </c>
      <c r="AF5342">
        <v>42</v>
      </c>
      <c r="AG5342">
        <v>3</v>
      </c>
      <c r="AH5342">
        <v>0</v>
      </c>
      <c r="AI5342">
        <v>244.86</v>
      </c>
      <c r="AL5342" t="s">
        <v>19614</v>
      </c>
      <c r="AM5342">
        <v>75000</v>
      </c>
      <c r="AS5342">
        <v>0</v>
      </c>
      <c r="AU5342" t="s">
        <v>20643</v>
      </c>
    </row>
    <row r="5343" spans="1:48">
      <c r="A5343" s="1">
        <f>HYPERLINK("https://lsnyc.legalserver.org/matter/dynamic-profile/view/1857079","18-1857079")</f>
        <v>0</v>
      </c>
      <c r="B5343" t="s">
        <v>108</v>
      </c>
      <c r="C5343" t="s">
        <v>256</v>
      </c>
      <c r="D5343" t="s">
        <v>751</v>
      </c>
      <c r="F5343" t="s">
        <v>1552</v>
      </c>
      <c r="G5343" t="s">
        <v>5345</v>
      </c>
      <c r="H5343" t="s">
        <v>5897</v>
      </c>
      <c r="I5343" t="s">
        <v>8940</v>
      </c>
      <c r="J5343" t="s">
        <v>9065</v>
      </c>
      <c r="K5343">
        <v>10452</v>
      </c>
      <c r="L5343" t="s">
        <v>9094</v>
      </c>
      <c r="M5343" t="s">
        <v>9095</v>
      </c>
      <c r="N5343" t="s">
        <v>9252</v>
      </c>
      <c r="O5343" t="s">
        <v>11135</v>
      </c>
      <c r="P5343" t="s">
        <v>11168</v>
      </c>
      <c r="R5343" t="s">
        <v>11180</v>
      </c>
      <c r="S5343" t="s">
        <v>9094</v>
      </c>
      <c r="T5343" t="s">
        <v>11183</v>
      </c>
      <c r="V5343" t="s">
        <v>440</v>
      </c>
      <c r="W5343">
        <v>818.46</v>
      </c>
      <c r="X5343" t="s">
        <v>11333</v>
      </c>
      <c r="Y5343" t="s">
        <v>11346</v>
      </c>
      <c r="Z5343" t="s">
        <v>12165</v>
      </c>
      <c r="AB5343" t="s">
        <v>19049</v>
      </c>
      <c r="AC5343">
        <v>122</v>
      </c>
      <c r="AD5343" t="s">
        <v>19566</v>
      </c>
      <c r="AE5343" t="s">
        <v>9144</v>
      </c>
      <c r="AF5343">
        <v>25</v>
      </c>
      <c r="AG5343">
        <v>3</v>
      </c>
      <c r="AH5343">
        <v>0</v>
      </c>
      <c r="AI5343">
        <v>244.86</v>
      </c>
      <c r="AL5343" t="s">
        <v>19614</v>
      </c>
      <c r="AM5343">
        <v>100000</v>
      </c>
      <c r="AN5343" t="s">
        <v>19808</v>
      </c>
      <c r="AS5343">
        <v>0</v>
      </c>
      <c r="AU5343" t="s">
        <v>20647</v>
      </c>
    </row>
    <row r="5344" spans="1:48">
      <c r="A5344" s="1">
        <f>HYPERLINK("https://lsnyc.legalserver.org/matter/dynamic-profile/view/1856356","18-1856356")</f>
        <v>0</v>
      </c>
      <c r="B5344" t="s">
        <v>101</v>
      </c>
      <c r="C5344" t="s">
        <v>257</v>
      </c>
      <c r="D5344" t="s">
        <v>1103</v>
      </c>
      <c r="E5344" t="s">
        <v>416</v>
      </c>
      <c r="F5344" t="s">
        <v>2760</v>
      </c>
      <c r="G5344" t="s">
        <v>3896</v>
      </c>
      <c r="H5344" t="s">
        <v>6262</v>
      </c>
      <c r="I5344" t="s">
        <v>8212</v>
      </c>
      <c r="J5344" t="s">
        <v>9065</v>
      </c>
      <c r="K5344">
        <v>10452</v>
      </c>
      <c r="L5344" t="s">
        <v>9094</v>
      </c>
      <c r="M5344" t="s">
        <v>9095</v>
      </c>
      <c r="N5344" t="s">
        <v>9537</v>
      </c>
      <c r="O5344" t="s">
        <v>11130</v>
      </c>
      <c r="P5344" t="s">
        <v>11165</v>
      </c>
      <c r="Q5344" t="s">
        <v>11174</v>
      </c>
      <c r="R5344" t="s">
        <v>11180</v>
      </c>
      <c r="S5344" t="s">
        <v>9094</v>
      </c>
      <c r="T5344" t="s">
        <v>11183</v>
      </c>
      <c r="V5344" t="s">
        <v>874</v>
      </c>
      <c r="W5344">
        <v>1079</v>
      </c>
      <c r="X5344" t="s">
        <v>11333</v>
      </c>
      <c r="Y5344" t="s">
        <v>11346</v>
      </c>
      <c r="Z5344" t="s">
        <v>14743</v>
      </c>
      <c r="AA5344" t="s">
        <v>15898</v>
      </c>
      <c r="AB5344" t="s">
        <v>19068</v>
      </c>
      <c r="AC5344">
        <v>60</v>
      </c>
      <c r="AD5344" t="s">
        <v>19566</v>
      </c>
      <c r="AE5344" t="s">
        <v>19580</v>
      </c>
      <c r="AF5344">
        <v>29</v>
      </c>
      <c r="AG5344">
        <v>2</v>
      </c>
      <c r="AH5344">
        <v>0</v>
      </c>
      <c r="AI5344">
        <v>245.07</v>
      </c>
      <c r="AL5344" t="s">
        <v>19615</v>
      </c>
      <c r="AM5344">
        <v>39800</v>
      </c>
      <c r="AS5344">
        <v>0.75</v>
      </c>
      <c r="AT5344" t="s">
        <v>416</v>
      </c>
      <c r="AU5344" t="s">
        <v>163</v>
      </c>
    </row>
    <row r="5345" spans="1:48">
      <c r="A5345" s="1">
        <f>HYPERLINK("https://lsnyc.legalserver.org/matter/dynamic-profile/view/1868952","18-1868952")</f>
        <v>0</v>
      </c>
      <c r="B5345" t="s">
        <v>197</v>
      </c>
      <c r="C5345" t="s">
        <v>256</v>
      </c>
      <c r="D5345" t="s">
        <v>281</v>
      </c>
      <c r="F5345" t="s">
        <v>1144</v>
      </c>
      <c r="G5345" t="s">
        <v>5350</v>
      </c>
      <c r="H5345" t="s">
        <v>7627</v>
      </c>
      <c r="I5345" t="s">
        <v>8209</v>
      </c>
      <c r="J5345" t="s">
        <v>9067</v>
      </c>
      <c r="K5345">
        <v>10034</v>
      </c>
      <c r="L5345" t="s">
        <v>9094</v>
      </c>
      <c r="M5345" t="s">
        <v>9095</v>
      </c>
      <c r="N5345" t="s">
        <v>10661</v>
      </c>
      <c r="O5345" t="s">
        <v>11135</v>
      </c>
      <c r="P5345" t="s">
        <v>11168</v>
      </c>
      <c r="R5345" t="s">
        <v>11180</v>
      </c>
      <c r="S5345" t="s">
        <v>9094</v>
      </c>
      <c r="T5345" t="s">
        <v>11183</v>
      </c>
      <c r="V5345" t="s">
        <v>281</v>
      </c>
      <c r="W5345">
        <v>2025</v>
      </c>
      <c r="X5345" t="s">
        <v>11335</v>
      </c>
      <c r="Y5345" t="s">
        <v>11338</v>
      </c>
      <c r="Z5345" t="s">
        <v>14745</v>
      </c>
      <c r="AB5345" t="s">
        <v>19070</v>
      </c>
      <c r="AC5345">
        <v>72</v>
      </c>
      <c r="AD5345" t="s">
        <v>19566</v>
      </c>
      <c r="AE5345" t="s">
        <v>9144</v>
      </c>
      <c r="AF5345">
        <v>8</v>
      </c>
      <c r="AG5345">
        <v>1</v>
      </c>
      <c r="AH5345">
        <v>2</v>
      </c>
      <c r="AI5345">
        <v>245.43</v>
      </c>
      <c r="AL5345" t="s">
        <v>19614</v>
      </c>
      <c r="AM5345">
        <v>51000</v>
      </c>
      <c r="AS5345">
        <v>0</v>
      </c>
      <c r="AU5345" t="s">
        <v>130</v>
      </c>
    </row>
    <row r="5346" spans="1:48">
      <c r="A5346" s="1">
        <f>HYPERLINK("https://lsnyc.legalserver.org/matter/dynamic-profile/view/1868956","18-1868956")</f>
        <v>0</v>
      </c>
      <c r="B5346" t="s">
        <v>197</v>
      </c>
      <c r="C5346" t="s">
        <v>256</v>
      </c>
      <c r="D5346" t="s">
        <v>281</v>
      </c>
      <c r="F5346" t="s">
        <v>1144</v>
      </c>
      <c r="G5346" t="s">
        <v>5350</v>
      </c>
      <c r="H5346" t="s">
        <v>7627</v>
      </c>
      <c r="I5346" t="s">
        <v>8209</v>
      </c>
      <c r="J5346" t="s">
        <v>9067</v>
      </c>
      <c r="K5346">
        <v>10034</v>
      </c>
      <c r="L5346" t="s">
        <v>9094</v>
      </c>
      <c r="M5346" t="s">
        <v>9095</v>
      </c>
      <c r="N5346" t="s">
        <v>10662</v>
      </c>
      <c r="O5346" t="s">
        <v>11135</v>
      </c>
      <c r="P5346" t="s">
        <v>11168</v>
      </c>
      <c r="R5346" t="s">
        <v>11180</v>
      </c>
      <c r="S5346" t="s">
        <v>9094</v>
      </c>
      <c r="T5346" t="s">
        <v>11183</v>
      </c>
      <c r="V5346" t="s">
        <v>281</v>
      </c>
      <c r="W5346">
        <v>2025</v>
      </c>
      <c r="X5346" t="s">
        <v>11335</v>
      </c>
      <c r="Y5346" t="s">
        <v>11338</v>
      </c>
      <c r="Z5346" t="s">
        <v>14745</v>
      </c>
      <c r="AB5346" t="s">
        <v>19070</v>
      </c>
      <c r="AC5346">
        <v>72</v>
      </c>
      <c r="AD5346" t="s">
        <v>19566</v>
      </c>
      <c r="AE5346" t="s">
        <v>9144</v>
      </c>
      <c r="AF5346">
        <v>8</v>
      </c>
      <c r="AG5346">
        <v>1</v>
      </c>
      <c r="AH5346">
        <v>2</v>
      </c>
      <c r="AI5346">
        <v>245.43</v>
      </c>
      <c r="AL5346" t="s">
        <v>19614</v>
      </c>
      <c r="AM5346">
        <v>51000</v>
      </c>
      <c r="AS5346">
        <v>0</v>
      </c>
      <c r="AU5346" t="s">
        <v>130</v>
      </c>
    </row>
    <row r="5347" spans="1:48">
      <c r="A5347" s="1">
        <f>HYPERLINK("https://lsnyc.legalserver.org/matter/dynamic-profile/view/1848543","17-1848543")</f>
        <v>0</v>
      </c>
      <c r="B5347" t="s">
        <v>188</v>
      </c>
      <c r="C5347" t="s">
        <v>256</v>
      </c>
      <c r="D5347" t="s">
        <v>994</v>
      </c>
      <c r="F5347" t="s">
        <v>1769</v>
      </c>
      <c r="G5347" t="s">
        <v>5351</v>
      </c>
      <c r="H5347" t="s">
        <v>7947</v>
      </c>
      <c r="I5347" t="s">
        <v>8662</v>
      </c>
      <c r="J5347" t="s">
        <v>9067</v>
      </c>
      <c r="K5347">
        <v>10040</v>
      </c>
      <c r="L5347" t="s">
        <v>9094</v>
      </c>
      <c r="M5347" t="s">
        <v>9095</v>
      </c>
      <c r="N5347" t="s">
        <v>10973</v>
      </c>
      <c r="O5347" t="s">
        <v>11129</v>
      </c>
      <c r="P5347" t="s">
        <v>11165</v>
      </c>
      <c r="R5347" t="s">
        <v>11180</v>
      </c>
      <c r="T5347" t="s">
        <v>11183</v>
      </c>
      <c r="V5347" t="s">
        <v>856</v>
      </c>
      <c r="W5347">
        <v>1800</v>
      </c>
      <c r="X5347" t="s">
        <v>11335</v>
      </c>
      <c r="Y5347" t="s">
        <v>11356</v>
      </c>
      <c r="Z5347" t="s">
        <v>14746</v>
      </c>
      <c r="AB5347" t="s">
        <v>19071</v>
      </c>
      <c r="AC5347">
        <v>61</v>
      </c>
      <c r="AD5347" t="s">
        <v>19566</v>
      </c>
      <c r="AE5347" t="s">
        <v>9144</v>
      </c>
      <c r="AF5347">
        <v>1</v>
      </c>
      <c r="AG5347">
        <v>1</v>
      </c>
      <c r="AH5347">
        <v>0</v>
      </c>
      <c r="AI5347">
        <v>245.44</v>
      </c>
      <c r="AJ5347" t="s">
        <v>11246</v>
      </c>
      <c r="AL5347" t="s">
        <v>19614</v>
      </c>
      <c r="AM5347">
        <v>29600</v>
      </c>
      <c r="AS5347">
        <v>43.05</v>
      </c>
      <c r="AT5347" t="s">
        <v>286</v>
      </c>
      <c r="AU5347" t="s">
        <v>20655</v>
      </c>
    </row>
    <row r="5348" spans="1:48">
      <c r="A5348" s="1">
        <f>HYPERLINK("https://lsnyc.legalserver.org/matter/dynamic-profile/view/1913899","19-1913899")</f>
        <v>0</v>
      </c>
      <c r="B5348" t="s">
        <v>59</v>
      </c>
      <c r="C5348" t="s">
        <v>256</v>
      </c>
      <c r="D5348" t="s">
        <v>301</v>
      </c>
      <c r="F5348" t="s">
        <v>1915</v>
      </c>
      <c r="G5348" t="s">
        <v>3419</v>
      </c>
      <c r="H5348" t="s">
        <v>7948</v>
      </c>
      <c r="I5348" t="s">
        <v>8947</v>
      </c>
      <c r="J5348" t="s">
        <v>9061</v>
      </c>
      <c r="K5348">
        <v>11102</v>
      </c>
      <c r="L5348" t="s">
        <v>9094</v>
      </c>
      <c r="M5348" t="s">
        <v>9095</v>
      </c>
      <c r="N5348" t="s">
        <v>10974</v>
      </c>
      <c r="O5348" t="s">
        <v>11129</v>
      </c>
      <c r="P5348" t="s">
        <v>11165</v>
      </c>
      <c r="R5348" t="s">
        <v>11180</v>
      </c>
      <c r="S5348" t="s">
        <v>9096</v>
      </c>
      <c r="T5348" t="s">
        <v>11183</v>
      </c>
      <c r="U5348" t="s">
        <v>11201</v>
      </c>
      <c r="V5348" t="s">
        <v>556</v>
      </c>
      <c r="W5348">
        <v>1600</v>
      </c>
      <c r="X5348" t="s">
        <v>11331</v>
      </c>
      <c r="Y5348" t="s">
        <v>11347</v>
      </c>
      <c r="Z5348" t="s">
        <v>12242</v>
      </c>
      <c r="AB5348" t="s">
        <v>19072</v>
      </c>
      <c r="AC5348">
        <v>4</v>
      </c>
      <c r="AD5348" t="s">
        <v>19565</v>
      </c>
      <c r="AE5348" t="s">
        <v>9144</v>
      </c>
      <c r="AF5348">
        <v>8</v>
      </c>
      <c r="AG5348">
        <v>2</v>
      </c>
      <c r="AH5348">
        <v>0</v>
      </c>
      <c r="AI5348">
        <v>246.01</v>
      </c>
      <c r="AK5348" t="s">
        <v>19612</v>
      </c>
      <c r="AL5348" t="s">
        <v>19615</v>
      </c>
      <c r="AM5348">
        <v>41600</v>
      </c>
      <c r="AS5348">
        <v>1.65</v>
      </c>
      <c r="AT5348" t="s">
        <v>487</v>
      </c>
      <c r="AU5348" t="s">
        <v>59</v>
      </c>
      <c r="AV5348" t="s">
        <v>20733</v>
      </c>
    </row>
    <row r="5349" spans="1:48">
      <c r="A5349" s="1">
        <f>HYPERLINK("https://lsnyc.legalserver.org/matter/dynamic-profile/view/1845650","17-1845650")</f>
        <v>0</v>
      </c>
      <c r="B5349" t="s">
        <v>114</v>
      </c>
      <c r="C5349" t="s">
        <v>256</v>
      </c>
      <c r="D5349" t="s">
        <v>842</v>
      </c>
      <c r="F5349" t="s">
        <v>3060</v>
      </c>
      <c r="G5349" t="s">
        <v>5352</v>
      </c>
      <c r="H5349" t="s">
        <v>7949</v>
      </c>
      <c r="I5349" t="s">
        <v>8362</v>
      </c>
      <c r="J5349" t="s">
        <v>9065</v>
      </c>
      <c r="K5349">
        <v>10452</v>
      </c>
      <c r="L5349" t="s">
        <v>9094</v>
      </c>
      <c r="M5349" t="s">
        <v>9095</v>
      </c>
      <c r="N5349" t="s">
        <v>10975</v>
      </c>
      <c r="O5349" t="s">
        <v>11128</v>
      </c>
      <c r="P5349" t="s">
        <v>11165</v>
      </c>
      <c r="R5349" t="s">
        <v>11180</v>
      </c>
      <c r="S5349" t="s">
        <v>9096</v>
      </c>
      <c r="T5349" t="s">
        <v>11183</v>
      </c>
      <c r="V5349" t="s">
        <v>11223</v>
      </c>
      <c r="W5349">
        <v>775</v>
      </c>
      <c r="X5349" t="s">
        <v>11333</v>
      </c>
      <c r="Y5349" t="s">
        <v>11346</v>
      </c>
      <c r="Z5349" t="s">
        <v>14747</v>
      </c>
      <c r="AB5349" t="s">
        <v>19073</v>
      </c>
      <c r="AC5349">
        <v>49</v>
      </c>
      <c r="AD5349" t="s">
        <v>19566</v>
      </c>
      <c r="AE5349" t="s">
        <v>9144</v>
      </c>
      <c r="AF5349">
        <v>4</v>
      </c>
      <c r="AG5349">
        <v>2</v>
      </c>
      <c r="AH5349">
        <v>0</v>
      </c>
      <c r="AI5349">
        <v>246.31</v>
      </c>
      <c r="AJ5349" t="s">
        <v>11246</v>
      </c>
      <c r="AL5349" t="s">
        <v>19614</v>
      </c>
      <c r="AM5349">
        <v>40000</v>
      </c>
      <c r="AN5349" t="s">
        <v>20113</v>
      </c>
      <c r="AS5349">
        <v>53.53</v>
      </c>
      <c r="AT5349" t="s">
        <v>803</v>
      </c>
      <c r="AU5349" t="s">
        <v>20647</v>
      </c>
    </row>
    <row r="5350" spans="1:48">
      <c r="A5350" s="1">
        <f>HYPERLINK("https://lsnyc.legalserver.org/matter/dynamic-profile/view/1858154","18-1858154")</f>
        <v>0</v>
      </c>
      <c r="B5350" t="s">
        <v>76</v>
      </c>
      <c r="C5350" t="s">
        <v>256</v>
      </c>
      <c r="D5350" t="s">
        <v>626</v>
      </c>
      <c r="F5350" t="s">
        <v>3061</v>
      </c>
      <c r="G5350" t="s">
        <v>5353</v>
      </c>
      <c r="H5350" t="s">
        <v>6176</v>
      </c>
      <c r="I5350" t="s">
        <v>8141</v>
      </c>
      <c r="J5350" t="s">
        <v>9059</v>
      </c>
      <c r="K5350">
        <v>11237</v>
      </c>
      <c r="L5350" t="s">
        <v>9094</v>
      </c>
      <c r="M5350" t="s">
        <v>9095</v>
      </c>
      <c r="P5350" t="s">
        <v>11169</v>
      </c>
      <c r="R5350" t="s">
        <v>11180</v>
      </c>
      <c r="S5350" t="s">
        <v>9094</v>
      </c>
      <c r="T5350" t="s">
        <v>11183</v>
      </c>
      <c r="V5350" t="s">
        <v>856</v>
      </c>
      <c r="W5350">
        <v>1570</v>
      </c>
      <c r="X5350" t="s">
        <v>11332</v>
      </c>
      <c r="Z5350" t="s">
        <v>14748</v>
      </c>
      <c r="AB5350" t="s">
        <v>19074</v>
      </c>
      <c r="AC5350">
        <v>8</v>
      </c>
      <c r="AD5350" t="s">
        <v>19566</v>
      </c>
      <c r="AF5350">
        <v>8</v>
      </c>
      <c r="AG5350">
        <v>1</v>
      </c>
      <c r="AH5350">
        <v>0</v>
      </c>
      <c r="AI5350">
        <v>247.12</v>
      </c>
      <c r="AJ5350" t="s">
        <v>11246</v>
      </c>
      <c r="AL5350" t="s">
        <v>19614</v>
      </c>
      <c r="AM5350">
        <v>30000</v>
      </c>
      <c r="AS5350">
        <v>0</v>
      </c>
      <c r="AU5350" t="s">
        <v>20636</v>
      </c>
    </row>
    <row r="5351" spans="1:48">
      <c r="A5351" s="1">
        <f>HYPERLINK("https://lsnyc.legalserver.org/matter/dynamic-profile/view/1865688","18-1865688")</f>
        <v>0</v>
      </c>
      <c r="B5351" t="s">
        <v>82</v>
      </c>
      <c r="C5351" t="s">
        <v>256</v>
      </c>
      <c r="D5351" t="s">
        <v>1056</v>
      </c>
      <c r="F5351" t="s">
        <v>1601</v>
      </c>
      <c r="G5351" t="s">
        <v>5354</v>
      </c>
      <c r="H5351" t="s">
        <v>5772</v>
      </c>
      <c r="I5351" t="s">
        <v>8727</v>
      </c>
      <c r="J5351" t="s">
        <v>9059</v>
      </c>
      <c r="K5351">
        <v>11230</v>
      </c>
      <c r="L5351" t="s">
        <v>9094</v>
      </c>
      <c r="M5351" t="s">
        <v>9094</v>
      </c>
      <c r="O5351" t="s">
        <v>9121</v>
      </c>
      <c r="P5351" t="s">
        <v>11166</v>
      </c>
      <c r="R5351" t="s">
        <v>11180</v>
      </c>
      <c r="S5351" t="s">
        <v>9094</v>
      </c>
      <c r="T5351" t="s">
        <v>11183</v>
      </c>
      <c r="U5351" t="s">
        <v>11201</v>
      </c>
      <c r="V5351" t="s">
        <v>313</v>
      </c>
      <c r="W5351">
        <v>436.26</v>
      </c>
      <c r="X5351" t="s">
        <v>11332</v>
      </c>
      <c r="Y5351" t="s">
        <v>11346</v>
      </c>
      <c r="Z5351" t="s">
        <v>14749</v>
      </c>
      <c r="AC5351">
        <v>51</v>
      </c>
      <c r="AD5351" t="s">
        <v>19566</v>
      </c>
      <c r="AE5351" t="s">
        <v>9144</v>
      </c>
      <c r="AF5351">
        <v>40</v>
      </c>
      <c r="AG5351">
        <v>1</v>
      </c>
      <c r="AH5351">
        <v>0</v>
      </c>
      <c r="AI5351">
        <v>247.12</v>
      </c>
      <c r="AJ5351" t="s">
        <v>843</v>
      </c>
      <c r="AK5351" t="s">
        <v>19612</v>
      </c>
      <c r="AL5351" t="s">
        <v>19614</v>
      </c>
      <c r="AM5351">
        <v>30000</v>
      </c>
      <c r="AS5351">
        <v>14.5</v>
      </c>
      <c r="AT5351" t="s">
        <v>540</v>
      </c>
      <c r="AU5351" t="s">
        <v>20630</v>
      </c>
    </row>
    <row r="5352" spans="1:48">
      <c r="A5352" s="1">
        <f>HYPERLINK("https://lsnyc.legalserver.org/matter/dynamic-profile/view/1887835","19-1887835")</f>
        <v>0</v>
      </c>
      <c r="B5352" t="s">
        <v>78</v>
      </c>
      <c r="C5352" t="s">
        <v>256</v>
      </c>
      <c r="D5352" t="s">
        <v>363</v>
      </c>
      <c r="F5352" t="s">
        <v>3062</v>
      </c>
      <c r="G5352" t="s">
        <v>5355</v>
      </c>
      <c r="H5352" t="s">
        <v>5785</v>
      </c>
      <c r="I5352" t="s">
        <v>8948</v>
      </c>
      <c r="J5352" t="s">
        <v>9059</v>
      </c>
      <c r="K5352">
        <v>11225</v>
      </c>
      <c r="L5352" t="s">
        <v>9094</v>
      </c>
      <c r="M5352" t="s">
        <v>9095</v>
      </c>
      <c r="O5352" t="s">
        <v>11134</v>
      </c>
      <c r="P5352" t="s">
        <v>11168</v>
      </c>
      <c r="R5352" t="s">
        <v>11180</v>
      </c>
      <c r="S5352" t="s">
        <v>9094</v>
      </c>
      <c r="T5352" t="s">
        <v>11183</v>
      </c>
      <c r="V5352" t="s">
        <v>412</v>
      </c>
      <c r="W5352">
        <v>1895</v>
      </c>
      <c r="X5352" t="s">
        <v>11332</v>
      </c>
      <c r="Y5352" t="s">
        <v>11339</v>
      </c>
      <c r="Z5352" t="s">
        <v>14750</v>
      </c>
      <c r="AB5352" t="s">
        <v>19075</v>
      </c>
      <c r="AC5352">
        <v>0</v>
      </c>
      <c r="AD5352" t="s">
        <v>19566</v>
      </c>
      <c r="AE5352" t="s">
        <v>9144</v>
      </c>
      <c r="AF5352">
        <v>1</v>
      </c>
      <c r="AG5352">
        <v>1</v>
      </c>
      <c r="AH5352">
        <v>0</v>
      </c>
      <c r="AI5352">
        <v>247.12</v>
      </c>
      <c r="AL5352" t="s">
        <v>19614</v>
      </c>
      <c r="AM5352">
        <v>30000</v>
      </c>
      <c r="AS5352">
        <v>0</v>
      </c>
      <c r="AU5352" t="s">
        <v>79</v>
      </c>
    </row>
    <row r="5353" spans="1:48">
      <c r="A5353" s="1">
        <f>HYPERLINK("https://lsnyc.legalserver.org/matter/dynamic-profile/view/1885876","18-1885876")</f>
        <v>0</v>
      </c>
      <c r="B5353" t="s">
        <v>184</v>
      </c>
      <c r="C5353" t="s">
        <v>257</v>
      </c>
      <c r="D5353" t="s">
        <v>629</v>
      </c>
      <c r="E5353" t="s">
        <v>367</v>
      </c>
      <c r="F5353" t="s">
        <v>3063</v>
      </c>
      <c r="G5353" t="s">
        <v>5356</v>
      </c>
      <c r="H5353" t="s">
        <v>7594</v>
      </c>
      <c r="I5353" t="s">
        <v>8329</v>
      </c>
      <c r="J5353" t="s">
        <v>9065</v>
      </c>
      <c r="K5353">
        <v>10453</v>
      </c>
      <c r="L5353" t="s">
        <v>9094</v>
      </c>
      <c r="M5353" t="s">
        <v>9094</v>
      </c>
      <c r="N5353" t="s">
        <v>10976</v>
      </c>
      <c r="O5353" t="s">
        <v>11128</v>
      </c>
      <c r="P5353" t="s">
        <v>11165</v>
      </c>
      <c r="Q5353" t="s">
        <v>11174</v>
      </c>
      <c r="R5353" t="s">
        <v>11180</v>
      </c>
      <c r="S5353" t="s">
        <v>9096</v>
      </c>
      <c r="T5353" t="s">
        <v>11183</v>
      </c>
      <c r="U5353" t="s">
        <v>11201</v>
      </c>
      <c r="V5353" t="s">
        <v>629</v>
      </c>
      <c r="W5353">
        <v>863</v>
      </c>
      <c r="X5353" t="s">
        <v>11333</v>
      </c>
      <c r="Y5353" t="s">
        <v>11336</v>
      </c>
      <c r="Z5353" t="s">
        <v>14751</v>
      </c>
      <c r="AB5353" t="s">
        <v>19076</v>
      </c>
      <c r="AC5353">
        <v>0</v>
      </c>
      <c r="AD5353" t="s">
        <v>19566</v>
      </c>
      <c r="AE5353" t="s">
        <v>9144</v>
      </c>
      <c r="AF5353">
        <v>38</v>
      </c>
      <c r="AG5353">
        <v>1</v>
      </c>
      <c r="AH5353">
        <v>0</v>
      </c>
      <c r="AI5353">
        <v>247.12</v>
      </c>
      <c r="AJ5353" t="s">
        <v>868</v>
      </c>
      <c r="AK5353" t="s">
        <v>19612</v>
      </c>
      <c r="AL5353" t="s">
        <v>19614</v>
      </c>
      <c r="AM5353">
        <v>30000</v>
      </c>
      <c r="AN5353" t="s">
        <v>20114</v>
      </c>
      <c r="AO5353" t="s">
        <v>20307</v>
      </c>
      <c r="AP5353" t="s">
        <v>20364</v>
      </c>
      <c r="AQ5353" t="s">
        <v>20369</v>
      </c>
      <c r="AR5353" t="s">
        <v>20411</v>
      </c>
      <c r="AS5353">
        <v>33.35</v>
      </c>
      <c r="AT5353" t="s">
        <v>736</v>
      </c>
      <c r="AU5353" t="s">
        <v>20644</v>
      </c>
    </row>
    <row r="5354" spans="1:48">
      <c r="A5354" s="1">
        <f>HYPERLINK("https://lsnyc.legalserver.org/matter/dynamic-profile/view/1897191","19-1897191")</f>
        <v>0</v>
      </c>
      <c r="B5354" t="s">
        <v>139</v>
      </c>
      <c r="C5354" t="s">
        <v>256</v>
      </c>
      <c r="D5354" t="s">
        <v>317</v>
      </c>
      <c r="F5354" t="s">
        <v>1234</v>
      </c>
      <c r="G5354" t="s">
        <v>5357</v>
      </c>
      <c r="H5354" t="s">
        <v>7950</v>
      </c>
      <c r="I5354" t="s">
        <v>8745</v>
      </c>
      <c r="J5354" t="s">
        <v>9067</v>
      </c>
      <c r="K5354">
        <v>10034</v>
      </c>
      <c r="L5354" t="s">
        <v>9094</v>
      </c>
      <c r="M5354" t="s">
        <v>9094</v>
      </c>
      <c r="N5354" t="s">
        <v>9709</v>
      </c>
      <c r="O5354" t="s">
        <v>11130</v>
      </c>
      <c r="P5354" t="s">
        <v>11165</v>
      </c>
      <c r="R5354" t="s">
        <v>11180</v>
      </c>
      <c r="S5354" t="s">
        <v>9094</v>
      </c>
      <c r="T5354" t="s">
        <v>11183</v>
      </c>
      <c r="V5354" t="s">
        <v>317</v>
      </c>
      <c r="W5354">
        <v>333.34</v>
      </c>
      <c r="X5354" t="s">
        <v>11335</v>
      </c>
      <c r="Y5354" t="s">
        <v>11338</v>
      </c>
      <c r="Z5354" t="s">
        <v>14752</v>
      </c>
      <c r="AC5354">
        <v>20</v>
      </c>
      <c r="AD5354" t="s">
        <v>19566</v>
      </c>
      <c r="AE5354" t="s">
        <v>9144</v>
      </c>
      <c r="AF5354">
        <v>68</v>
      </c>
      <c r="AG5354">
        <v>1</v>
      </c>
      <c r="AH5354">
        <v>0</v>
      </c>
      <c r="AI5354">
        <v>247.22</v>
      </c>
      <c r="AL5354" t="s">
        <v>19614</v>
      </c>
      <c r="AM5354">
        <v>30878</v>
      </c>
      <c r="AS5354">
        <v>3</v>
      </c>
      <c r="AT5354" t="s">
        <v>308</v>
      </c>
      <c r="AU5354" t="s">
        <v>130</v>
      </c>
      <c r="AV5354" t="s">
        <v>20733</v>
      </c>
    </row>
    <row r="5355" spans="1:48">
      <c r="A5355" s="1">
        <f>HYPERLINK("https://lsnyc.legalserver.org/matter/dynamic-profile/view/1868260","18-1868260")</f>
        <v>0</v>
      </c>
      <c r="B5355" t="s">
        <v>120</v>
      </c>
      <c r="C5355" t="s">
        <v>257</v>
      </c>
      <c r="D5355" t="s">
        <v>380</v>
      </c>
      <c r="E5355" t="s">
        <v>321</v>
      </c>
      <c r="F5355" t="s">
        <v>1220</v>
      </c>
      <c r="G5355" t="s">
        <v>4309</v>
      </c>
      <c r="H5355" t="s">
        <v>6800</v>
      </c>
      <c r="I5355" t="s">
        <v>8620</v>
      </c>
      <c r="J5355" t="s">
        <v>9065</v>
      </c>
      <c r="K5355">
        <v>10452</v>
      </c>
      <c r="L5355" t="s">
        <v>9094</v>
      </c>
      <c r="M5355" t="s">
        <v>9095</v>
      </c>
      <c r="N5355" t="s">
        <v>10977</v>
      </c>
      <c r="O5355" t="s">
        <v>11129</v>
      </c>
      <c r="P5355" t="s">
        <v>11165</v>
      </c>
      <c r="Q5355" t="s">
        <v>11174</v>
      </c>
      <c r="R5355" t="s">
        <v>11180</v>
      </c>
      <c r="T5355" t="s">
        <v>11183</v>
      </c>
      <c r="U5355" t="s">
        <v>11201</v>
      </c>
      <c r="V5355" t="s">
        <v>675</v>
      </c>
      <c r="W5355">
        <v>278</v>
      </c>
      <c r="X5355" t="s">
        <v>11333</v>
      </c>
      <c r="Y5355" t="s">
        <v>11352</v>
      </c>
      <c r="Z5355" t="s">
        <v>14726</v>
      </c>
      <c r="AB5355" t="s">
        <v>19048</v>
      </c>
      <c r="AC5355">
        <v>42</v>
      </c>
      <c r="AD5355" t="s">
        <v>19566</v>
      </c>
      <c r="AF5355">
        <v>14</v>
      </c>
      <c r="AG5355">
        <v>1</v>
      </c>
      <c r="AH5355">
        <v>0</v>
      </c>
      <c r="AI5355">
        <v>247.31</v>
      </c>
      <c r="AJ5355" t="s">
        <v>11246</v>
      </c>
      <c r="AL5355" t="s">
        <v>19614</v>
      </c>
      <c r="AM5355">
        <v>30024</v>
      </c>
      <c r="AO5355" t="s">
        <v>20292</v>
      </c>
      <c r="AP5355" t="s">
        <v>20313</v>
      </c>
      <c r="AQ5355" t="s">
        <v>20369</v>
      </c>
      <c r="AR5355" t="s">
        <v>20472</v>
      </c>
      <c r="AS5355">
        <v>53.65</v>
      </c>
      <c r="AT5355" t="s">
        <v>328</v>
      </c>
      <c r="AU5355" t="s">
        <v>163</v>
      </c>
      <c r="AV5355" t="s">
        <v>20733</v>
      </c>
    </row>
    <row r="5356" spans="1:48">
      <c r="A5356" s="1">
        <f>HYPERLINK("https://lsnyc.legalserver.org/matter/dynamic-profile/view/1905159","19-1905159")</f>
        <v>0</v>
      </c>
      <c r="B5356" t="s">
        <v>129</v>
      </c>
      <c r="C5356" t="s">
        <v>256</v>
      </c>
      <c r="D5356" t="s">
        <v>864</v>
      </c>
      <c r="F5356" t="s">
        <v>3064</v>
      </c>
      <c r="G5356" t="s">
        <v>5358</v>
      </c>
      <c r="H5356" t="s">
        <v>7951</v>
      </c>
      <c r="I5356" t="s">
        <v>8949</v>
      </c>
      <c r="J5356" t="s">
        <v>9066</v>
      </c>
      <c r="K5356">
        <v>10303</v>
      </c>
      <c r="L5356" t="s">
        <v>9094</v>
      </c>
      <c r="M5356" t="s">
        <v>9095</v>
      </c>
      <c r="N5356" t="s">
        <v>10978</v>
      </c>
      <c r="O5356" t="s">
        <v>11162</v>
      </c>
      <c r="P5356" t="s">
        <v>11165</v>
      </c>
      <c r="R5356" t="s">
        <v>11181</v>
      </c>
      <c r="S5356" t="s">
        <v>9096</v>
      </c>
      <c r="T5356" t="s">
        <v>11189</v>
      </c>
      <c r="U5356" t="s">
        <v>11201</v>
      </c>
      <c r="V5356" t="s">
        <v>328</v>
      </c>
      <c r="W5356">
        <v>0</v>
      </c>
      <c r="X5356" t="s">
        <v>11334</v>
      </c>
      <c r="Y5356" t="s">
        <v>11337</v>
      </c>
      <c r="Z5356" t="s">
        <v>14753</v>
      </c>
      <c r="AB5356" t="s">
        <v>19077</v>
      </c>
      <c r="AC5356">
        <v>6</v>
      </c>
      <c r="AD5356" t="s">
        <v>19565</v>
      </c>
      <c r="AE5356" t="s">
        <v>9144</v>
      </c>
      <c r="AF5356">
        <v>3</v>
      </c>
      <c r="AG5356">
        <v>1</v>
      </c>
      <c r="AH5356">
        <v>2</v>
      </c>
      <c r="AI5356">
        <v>247.54</v>
      </c>
      <c r="AJ5356" t="s">
        <v>19591</v>
      </c>
      <c r="AK5356" t="s">
        <v>19608</v>
      </c>
      <c r="AL5356" t="s">
        <v>19614</v>
      </c>
      <c r="AM5356">
        <v>52800</v>
      </c>
      <c r="AS5356">
        <v>8.15</v>
      </c>
      <c r="AT5356" t="s">
        <v>321</v>
      </c>
      <c r="AU5356" t="s">
        <v>128</v>
      </c>
      <c r="AV5356" t="s">
        <v>20733</v>
      </c>
    </row>
    <row r="5357" spans="1:48">
      <c r="A5357" s="1">
        <f>HYPERLINK("https://lsnyc.legalserver.org/matter/dynamic-profile/view/0800603","16-0800603")</f>
        <v>0</v>
      </c>
      <c r="B5357" t="s">
        <v>101</v>
      </c>
      <c r="C5357" t="s">
        <v>256</v>
      </c>
      <c r="D5357" t="s">
        <v>656</v>
      </c>
      <c r="F5357" t="s">
        <v>1471</v>
      </c>
      <c r="G5357" t="s">
        <v>5349</v>
      </c>
      <c r="H5357" t="s">
        <v>6041</v>
      </c>
      <c r="I5357" t="s">
        <v>8112</v>
      </c>
      <c r="J5357" t="s">
        <v>9065</v>
      </c>
      <c r="K5357">
        <v>10452</v>
      </c>
      <c r="L5357" t="s">
        <v>9094</v>
      </c>
      <c r="M5357" t="s">
        <v>9095</v>
      </c>
      <c r="N5357" t="s">
        <v>9499</v>
      </c>
      <c r="O5357" t="s">
        <v>11135</v>
      </c>
      <c r="P5357" t="s">
        <v>11168</v>
      </c>
      <c r="R5357" t="s">
        <v>11180</v>
      </c>
      <c r="S5357" t="s">
        <v>9094</v>
      </c>
      <c r="T5357" t="s">
        <v>11183</v>
      </c>
      <c r="V5357" t="s">
        <v>1094</v>
      </c>
      <c r="W5357">
        <v>814.37</v>
      </c>
      <c r="X5357" t="s">
        <v>11333</v>
      </c>
      <c r="Y5357" t="s">
        <v>11346</v>
      </c>
      <c r="Z5357" t="s">
        <v>14744</v>
      </c>
      <c r="AB5357" t="s">
        <v>19069</v>
      </c>
      <c r="AC5357">
        <v>61</v>
      </c>
      <c r="AD5357" t="s">
        <v>19566</v>
      </c>
      <c r="AE5357" t="s">
        <v>9144</v>
      </c>
      <c r="AF5357">
        <v>40</v>
      </c>
      <c r="AG5357">
        <v>3</v>
      </c>
      <c r="AH5357">
        <v>0</v>
      </c>
      <c r="AI5357">
        <v>248.02</v>
      </c>
      <c r="AL5357" t="s">
        <v>19614</v>
      </c>
      <c r="AM5357">
        <v>50000</v>
      </c>
      <c r="AS5357">
        <v>0.65</v>
      </c>
      <c r="AT5357" t="s">
        <v>873</v>
      </c>
      <c r="AU5357" t="s">
        <v>109</v>
      </c>
    </row>
    <row r="5358" spans="1:48">
      <c r="A5358" s="1">
        <f>HYPERLINK("https://lsnyc.legalserver.org/matter/dynamic-profile/view/0817080","16-0817080")</f>
        <v>0</v>
      </c>
      <c r="B5358" t="s">
        <v>101</v>
      </c>
      <c r="C5358" t="s">
        <v>256</v>
      </c>
      <c r="D5358" t="s">
        <v>813</v>
      </c>
      <c r="F5358" t="s">
        <v>1471</v>
      </c>
      <c r="G5358" t="s">
        <v>5349</v>
      </c>
      <c r="H5358" t="s">
        <v>6041</v>
      </c>
      <c r="I5358" t="s">
        <v>8112</v>
      </c>
      <c r="J5358" t="s">
        <v>9065</v>
      </c>
      <c r="K5358">
        <v>10452</v>
      </c>
      <c r="L5358" t="s">
        <v>9094</v>
      </c>
      <c r="M5358" t="s">
        <v>9095</v>
      </c>
      <c r="N5358" t="s">
        <v>9500</v>
      </c>
      <c r="O5358" t="s">
        <v>11135</v>
      </c>
      <c r="P5358" t="s">
        <v>11168</v>
      </c>
      <c r="R5358" t="s">
        <v>11180</v>
      </c>
      <c r="S5358" t="s">
        <v>9094</v>
      </c>
      <c r="T5358" t="s">
        <v>11183</v>
      </c>
      <c r="V5358" t="s">
        <v>1024</v>
      </c>
      <c r="W5358">
        <v>814.37</v>
      </c>
      <c r="X5358" t="s">
        <v>11333</v>
      </c>
      <c r="Y5358" t="s">
        <v>11346</v>
      </c>
      <c r="Z5358" t="s">
        <v>14744</v>
      </c>
      <c r="AB5358" t="s">
        <v>19069</v>
      </c>
      <c r="AC5358">
        <v>62</v>
      </c>
      <c r="AD5358" t="s">
        <v>19566</v>
      </c>
      <c r="AE5358" t="s">
        <v>9144</v>
      </c>
      <c r="AF5358">
        <v>40</v>
      </c>
      <c r="AG5358">
        <v>3</v>
      </c>
      <c r="AH5358">
        <v>0</v>
      </c>
      <c r="AI5358">
        <v>248.02</v>
      </c>
      <c r="AL5358" t="s">
        <v>19614</v>
      </c>
      <c r="AM5358">
        <v>75000</v>
      </c>
      <c r="AS5358">
        <v>0.8</v>
      </c>
      <c r="AT5358" t="s">
        <v>873</v>
      </c>
      <c r="AU5358" t="s">
        <v>20643</v>
      </c>
    </row>
    <row r="5359" spans="1:48">
      <c r="A5359" s="1">
        <f>HYPERLINK("https://lsnyc.legalserver.org/matter/dynamic-profile/view/0822594","16-0822594")</f>
        <v>0</v>
      </c>
      <c r="B5359" t="s">
        <v>101</v>
      </c>
      <c r="C5359" t="s">
        <v>256</v>
      </c>
      <c r="D5359" t="s">
        <v>657</v>
      </c>
      <c r="F5359" t="s">
        <v>1471</v>
      </c>
      <c r="G5359" t="s">
        <v>5349</v>
      </c>
      <c r="H5359" t="s">
        <v>6041</v>
      </c>
      <c r="I5359" t="s">
        <v>8112</v>
      </c>
      <c r="J5359" t="s">
        <v>9065</v>
      </c>
      <c r="K5359">
        <v>10452</v>
      </c>
      <c r="L5359" t="s">
        <v>9094</v>
      </c>
      <c r="M5359" t="s">
        <v>9095</v>
      </c>
      <c r="N5359" t="s">
        <v>9501</v>
      </c>
      <c r="O5359" t="s">
        <v>11135</v>
      </c>
      <c r="P5359" t="s">
        <v>11168</v>
      </c>
      <c r="R5359" t="s">
        <v>11180</v>
      </c>
      <c r="S5359" t="s">
        <v>9094</v>
      </c>
      <c r="T5359" t="s">
        <v>11183</v>
      </c>
      <c r="V5359" t="s">
        <v>657</v>
      </c>
      <c r="W5359">
        <v>814.37</v>
      </c>
      <c r="X5359" t="s">
        <v>11333</v>
      </c>
      <c r="Y5359" t="s">
        <v>11346</v>
      </c>
      <c r="Z5359" t="s">
        <v>14744</v>
      </c>
      <c r="AB5359" t="s">
        <v>19069</v>
      </c>
      <c r="AC5359">
        <v>62</v>
      </c>
      <c r="AD5359" t="s">
        <v>19566</v>
      </c>
      <c r="AE5359" t="s">
        <v>9144</v>
      </c>
      <c r="AF5359">
        <v>40</v>
      </c>
      <c r="AG5359">
        <v>3</v>
      </c>
      <c r="AH5359">
        <v>0</v>
      </c>
      <c r="AI5359">
        <v>248.02</v>
      </c>
      <c r="AL5359" t="s">
        <v>19614</v>
      </c>
      <c r="AM5359">
        <v>75000</v>
      </c>
      <c r="AS5359">
        <v>0.3</v>
      </c>
      <c r="AT5359" t="s">
        <v>873</v>
      </c>
      <c r="AU5359" t="s">
        <v>20643</v>
      </c>
    </row>
    <row r="5360" spans="1:48">
      <c r="A5360" s="1">
        <f>HYPERLINK("https://lsnyc.legalserver.org/matter/dynamic-profile/view/0803299","16-0803299")</f>
        <v>0</v>
      </c>
      <c r="B5360" t="s">
        <v>111</v>
      </c>
      <c r="C5360" t="s">
        <v>256</v>
      </c>
      <c r="D5360" t="s">
        <v>1104</v>
      </c>
      <c r="F5360" t="s">
        <v>1457</v>
      </c>
      <c r="G5360" t="s">
        <v>3419</v>
      </c>
      <c r="H5360" t="s">
        <v>6260</v>
      </c>
      <c r="I5360" t="s">
        <v>8941</v>
      </c>
      <c r="J5360" t="s">
        <v>9065</v>
      </c>
      <c r="K5360">
        <v>10452</v>
      </c>
      <c r="L5360" t="s">
        <v>9094</v>
      </c>
      <c r="M5360" t="s">
        <v>9095</v>
      </c>
      <c r="O5360" t="s">
        <v>11147</v>
      </c>
      <c r="P5360" t="s">
        <v>11165</v>
      </c>
      <c r="R5360" t="s">
        <v>11180</v>
      </c>
      <c r="S5360" t="s">
        <v>9094</v>
      </c>
      <c r="T5360" t="s">
        <v>11183</v>
      </c>
      <c r="V5360" t="s">
        <v>1005</v>
      </c>
      <c r="W5360">
        <v>843</v>
      </c>
      <c r="X5360" t="s">
        <v>11333</v>
      </c>
      <c r="Y5360" t="s">
        <v>11346</v>
      </c>
      <c r="Z5360" t="s">
        <v>14727</v>
      </c>
      <c r="AB5360" t="s">
        <v>19050</v>
      </c>
      <c r="AC5360">
        <v>0</v>
      </c>
      <c r="AD5360" t="s">
        <v>19566</v>
      </c>
      <c r="AF5360">
        <v>24</v>
      </c>
      <c r="AG5360">
        <v>3</v>
      </c>
      <c r="AH5360">
        <v>0</v>
      </c>
      <c r="AI5360">
        <v>248.02</v>
      </c>
      <c r="AL5360" t="s">
        <v>19615</v>
      </c>
      <c r="AM5360">
        <v>50000</v>
      </c>
      <c r="AS5360">
        <v>1.5</v>
      </c>
      <c r="AT5360" t="s">
        <v>260</v>
      </c>
      <c r="AU5360" t="s">
        <v>109</v>
      </c>
    </row>
    <row r="5361" spans="1:48">
      <c r="A5361" s="1">
        <f>HYPERLINK("https://lsnyc.legalserver.org/matter/dynamic-profile/view/1907064","19-1907064")</f>
        <v>0</v>
      </c>
      <c r="B5361" t="s">
        <v>98</v>
      </c>
      <c r="C5361" t="s">
        <v>257</v>
      </c>
      <c r="D5361" t="s">
        <v>498</v>
      </c>
      <c r="E5361" t="s">
        <v>574</v>
      </c>
      <c r="F5361" t="s">
        <v>3065</v>
      </c>
      <c r="G5361" t="s">
        <v>3648</v>
      </c>
      <c r="H5361" t="s">
        <v>7952</v>
      </c>
      <c r="J5361" t="s">
        <v>9065</v>
      </c>
      <c r="K5361">
        <v>10472</v>
      </c>
      <c r="L5361" t="s">
        <v>9094</v>
      </c>
      <c r="M5361" t="s">
        <v>9095</v>
      </c>
      <c r="O5361" t="s">
        <v>9121</v>
      </c>
      <c r="P5361" t="s">
        <v>11164</v>
      </c>
      <c r="Q5361" t="s">
        <v>11172</v>
      </c>
      <c r="R5361" t="s">
        <v>11180</v>
      </c>
      <c r="S5361" t="s">
        <v>9096</v>
      </c>
      <c r="T5361" t="s">
        <v>11183</v>
      </c>
      <c r="W5361">
        <v>702</v>
      </c>
      <c r="X5361" t="s">
        <v>11333</v>
      </c>
      <c r="Y5361" t="s">
        <v>11346</v>
      </c>
      <c r="Z5361" t="s">
        <v>14754</v>
      </c>
      <c r="AB5361" t="s">
        <v>19078</v>
      </c>
      <c r="AC5361">
        <v>4</v>
      </c>
      <c r="AD5361" t="s">
        <v>19565</v>
      </c>
      <c r="AE5361" t="s">
        <v>19580</v>
      </c>
      <c r="AF5361">
        <v>16</v>
      </c>
      <c r="AG5361">
        <v>1</v>
      </c>
      <c r="AH5361">
        <v>0</v>
      </c>
      <c r="AI5361">
        <v>248.2</v>
      </c>
      <c r="AL5361" t="s">
        <v>19614</v>
      </c>
      <c r="AM5361">
        <v>31000</v>
      </c>
      <c r="AS5361">
        <v>1</v>
      </c>
      <c r="AT5361" t="s">
        <v>574</v>
      </c>
      <c r="AU5361" t="s">
        <v>220</v>
      </c>
      <c r="AV5361" t="s">
        <v>20733</v>
      </c>
    </row>
    <row r="5362" spans="1:48">
      <c r="A5362" s="1">
        <f>HYPERLINK("https://lsnyc.legalserver.org/matter/dynamic-profile/view/1880467","18-1880467")</f>
        <v>0</v>
      </c>
      <c r="B5362" t="s">
        <v>101</v>
      </c>
      <c r="C5362" t="s">
        <v>256</v>
      </c>
      <c r="D5362" t="s">
        <v>355</v>
      </c>
      <c r="F5362" t="s">
        <v>3066</v>
      </c>
      <c r="G5362" t="s">
        <v>3448</v>
      </c>
      <c r="H5362" t="s">
        <v>6100</v>
      </c>
      <c r="I5362" t="s">
        <v>8229</v>
      </c>
      <c r="J5362" t="s">
        <v>9065</v>
      </c>
      <c r="K5362">
        <v>10452</v>
      </c>
      <c r="L5362" t="s">
        <v>9094</v>
      </c>
      <c r="M5362" t="s">
        <v>9094</v>
      </c>
      <c r="N5362" t="s">
        <v>9574</v>
      </c>
      <c r="O5362" t="s">
        <v>11134</v>
      </c>
      <c r="P5362" t="s">
        <v>11168</v>
      </c>
      <c r="R5362" t="s">
        <v>11180</v>
      </c>
      <c r="S5362" t="s">
        <v>9094</v>
      </c>
      <c r="T5362" t="s">
        <v>11183</v>
      </c>
      <c r="V5362" t="s">
        <v>738</v>
      </c>
      <c r="W5362">
        <v>1299.48</v>
      </c>
      <c r="X5362" t="s">
        <v>11333</v>
      </c>
      <c r="Y5362" t="s">
        <v>11346</v>
      </c>
      <c r="Z5362" t="s">
        <v>14063</v>
      </c>
      <c r="AA5362" t="s">
        <v>15899</v>
      </c>
      <c r="AB5362" t="s">
        <v>19079</v>
      </c>
      <c r="AC5362">
        <v>53</v>
      </c>
      <c r="AD5362" t="s">
        <v>19566</v>
      </c>
      <c r="AE5362" t="s">
        <v>19585</v>
      </c>
      <c r="AF5362">
        <v>1</v>
      </c>
      <c r="AG5362">
        <v>1</v>
      </c>
      <c r="AH5362">
        <v>0</v>
      </c>
      <c r="AI5362">
        <v>248.26</v>
      </c>
      <c r="AL5362" t="s">
        <v>19614</v>
      </c>
      <c r="AM5362">
        <v>30139.2</v>
      </c>
      <c r="AS5362">
        <v>0.1</v>
      </c>
      <c r="AT5362" t="s">
        <v>411</v>
      </c>
      <c r="AU5362" t="s">
        <v>20647</v>
      </c>
    </row>
    <row r="5363" spans="1:48">
      <c r="A5363" s="1">
        <f>HYPERLINK("https://lsnyc.legalserver.org/matter/dynamic-profile/view/1912981","19-1912981")</f>
        <v>0</v>
      </c>
      <c r="B5363" t="s">
        <v>74</v>
      </c>
      <c r="C5363" t="s">
        <v>256</v>
      </c>
      <c r="D5363" t="s">
        <v>294</v>
      </c>
      <c r="F5363" t="s">
        <v>1404</v>
      </c>
      <c r="G5363" t="s">
        <v>3630</v>
      </c>
      <c r="H5363" t="s">
        <v>7953</v>
      </c>
      <c r="I5363" t="s">
        <v>8950</v>
      </c>
      <c r="J5363" t="s">
        <v>9059</v>
      </c>
      <c r="K5363">
        <v>11212</v>
      </c>
      <c r="L5363" t="s">
        <v>9094</v>
      </c>
      <c r="M5363" t="s">
        <v>9095</v>
      </c>
      <c r="N5363" t="s">
        <v>10979</v>
      </c>
      <c r="O5363" t="s">
        <v>11129</v>
      </c>
      <c r="R5363" t="s">
        <v>11180</v>
      </c>
      <c r="S5363" t="s">
        <v>9096</v>
      </c>
      <c r="T5363" t="s">
        <v>11183</v>
      </c>
      <c r="U5363" t="s">
        <v>11201</v>
      </c>
      <c r="V5363" t="s">
        <v>263</v>
      </c>
      <c r="W5363">
        <v>1331</v>
      </c>
      <c r="X5363" t="s">
        <v>11332</v>
      </c>
      <c r="Y5363" t="s">
        <v>11350</v>
      </c>
      <c r="Z5363" t="s">
        <v>14755</v>
      </c>
      <c r="AA5363" t="s">
        <v>9171</v>
      </c>
      <c r="AB5363" t="s">
        <v>19080</v>
      </c>
      <c r="AC5363">
        <v>0</v>
      </c>
      <c r="AD5363" t="s">
        <v>19566</v>
      </c>
      <c r="AE5363" t="s">
        <v>9144</v>
      </c>
      <c r="AF5363">
        <v>21</v>
      </c>
      <c r="AG5363">
        <v>1</v>
      </c>
      <c r="AH5363">
        <v>1</v>
      </c>
      <c r="AI5363">
        <v>248.37</v>
      </c>
      <c r="AL5363" t="s">
        <v>19614</v>
      </c>
      <c r="AM5363">
        <v>42000</v>
      </c>
      <c r="AN5363" t="s">
        <v>20088</v>
      </c>
      <c r="AS5363">
        <v>0</v>
      </c>
      <c r="AU5363" t="s">
        <v>95</v>
      </c>
      <c r="AV5363" t="s">
        <v>20733</v>
      </c>
    </row>
    <row r="5364" spans="1:48">
      <c r="A5364" s="1">
        <f>HYPERLINK("https://lsnyc.legalserver.org/matter/dynamic-profile/view/1902692","19-1902692")</f>
        <v>0</v>
      </c>
      <c r="B5364" t="s">
        <v>82</v>
      </c>
      <c r="C5364" t="s">
        <v>256</v>
      </c>
      <c r="D5364" t="s">
        <v>327</v>
      </c>
      <c r="F5364" t="s">
        <v>3067</v>
      </c>
      <c r="G5364" t="s">
        <v>5359</v>
      </c>
      <c r="H5364" t="s">
        <v>7954</v>
      </c>
      <c r="I5364" t="s">
        <v>8279</v>
      </c>
      <c r="J5364" t="s">
        <v>9059</v>
      </c>
      <c r="K5364">
        <v>11203</v>
      </c>
      <c r="L5364" t="s">
        <v>9094</v>
      </c>
      <c r="M5364" t="s">
        <v>9095</v>
      </c>
      <c r="N5364" t="s">
        <v>10980</v>
      </c>
      <c r="O5364" t="s">
        <v>11128</v>
      </c>
      <c r="P5364" t="s">
        <v>11165</v>
      </c>
      <c r="R5364" t="s">
        <v>11180</v>
      </c>
      <c r="S5364" t="s">
        <v>9096</v>
      </c>
      <c r="T5364" t="s">
        <v>11183</v>
      </c>
      <c r="V5364" t="s">
        <v>327</v>
      </c>
      <c r="W5364">
        <v>800</v>
      </c>
      <c r="X5364" t="s">
        <v>11332</v>
      </c>
      <c r="Y5364" t="s">
        <v>11342</v>
      </c>
      <c r="Z5364" t="s">
        <v>14756</v>
      </c>
      <c r="AB5364" t="s">
        <v>19081</v>
      </c>
      <c r="AC5364">
        <v>36</v>
      </c>
      <c r="AD5364" t="s">
        <v>19566</v>
      </c>
      <c r="AE5364" t="s">
        <v>9144</v>
      </c>
      <c r="AF5364">
        <v>8</v>
      </c>
      <c r="AG5364">
        <v>2</v>
      </c>
      <c r="AH5364">
        <v>0</v>
      </c>
      <c r="AI5364">
        <v>248.37</v>
      </c>
      <c r="AL5364" t="s">
        <v>19614</v>
      </c>
      <c r="AM5364">
        <v>42000</v>
      </c>
      <c r="AS5364">
        <v>7.9</v>
      </c>
      <c r="AT5364" t="s">
        <v>1130</v>
      </c>
      <c r="AU5364" t="s">
        <v>20639</v>
      </c>
      <c r="AV5364" t="s">
        <v>20733</v>
      </c>
    </row>
    <row r="5365" spans="1:48">
      <c r="A5365" s="1">
        <f>HYPERLINK("https://lsnyc.legalserver.org/matter/dynamic-profile/view/1902989","19-1902989")</f>
        <v>0</v>
      </c>
      <c r="B5365" t="s">
        <v>110</v>
      </c>
      <c r="C5365" t="s">
        <v>257</v>
      </c>
      <c r="D5365" t="s">
        <v>403</v>
      </c>
      <c r="E5365" t="s">
        <v>328</v>
      </c>
      <c r="F5365" t="s">
        <v>3068</v>
      </c>
      <c r="G5365" t="s">
        <v>5360</v>
      </c>
      <c r="H5365" t="s">
        <v>7955</v>
      </c>
      <c r="I5365" t="s">
        <v>8694</v>
      </c>
      <c r="J5365" t="s">
        <v>9065</v>
      </c>
      <c r="K5365">
        <v>10458</v>
      </c>
      <c r="L5365" t="s">
        <v>9094</v>
      </c>
      <c r="M5365" t="s">
        <v>9095</v>
      </c>
      <c r="O5365" t="s">
        <v>9121</v>
      </c>
      <c r="P5365" t="s">
        <v>11167</v>
      </c>
      <c r="Q5365" t="s">
        <v>11172</v>
      </c>
      <c r="R5365" t="s">
        <v>11180</v>
      </c>
      <c r="S5365" t="s">
        <v>9096</v>
      </c>
      <c r="T5365" t="s">
        <v>11183</v>
      </c>
      <c r="V5365" t="s">
        <v>11218</v>
      </c>
      <c r="W5365">
        <v>1950</v>
      </c>
      <c r="X5365" t="s">
        <v>11333</v>
      </c>
      <c r="Y5365" t="s">
        <v>11346</v>
      </c>
      <c r="Z5365" t="s">
        <v>14757</v>
      </c>
      <c r="AC5365">
        <v>0</v>
      </c>
      <c r="AD5365" t="s">
        <v>19566</v>
      </c>
      <c r="AE5365" t="s">
        <v>9144</v>
      </c>
      <c r="AF5365">
        <v>1</v>
      </c>
      <c r="AG5365">
        <v>1</v>
      </c>
      <c r="AH5365">
        <v>1</v>
      </c>
      <c r="AI5365">
        <v>248.37</v>
      </c>
      <c r="AL5365" t="s">
        <v>19614</v>
      </c>
      <c r="AM5365">
        <v>42000</v>
      </c>
      <c r="AS5365">
        <v>1.5</v>
      </c>
      <c r="AT5365" t="s">
        <v>760</v>
      </c>
      <c r="AU5365" t="s">
        <v>110</v>
      </c>
      <c r="AV5365" t="s">
        <v>20733</v>
      </c>
    </row>
    <row r="5366" spans="1:48">
      <c r="A5366" s="1">
        <f>HYPERLINK("https://lsnyc.legalserver.org/matter/dynamic-profile/view/1904648","19-1904648")</f>
        <v>0</v>
      </c>
      <c r="B5366" t="s">
        <v>119</v>
      </c>
      <c r="C5366" t="s">
        <v>256</v>
      </c>
      <c r="D5366" t="s">
        <v>497</v>
      </c>
      <c r="F5366" t="s">
        <v>3069</v>
      </c>
      <c r="G5366" t="s">
        <v>1665</v>
      </c>
      <c r="H5366" t="s">
        <v>6095</v>
      </c>
      <c r="I5366" t="s">
        <v>8170</v>
      </c>
      <c r="J5366" t="s">
        <v>9065</v>
      </c>
      <c r="K5366">
        <v>10456</v>
      </c>
      <c r="L5366" t="s">
        <v>9094</v>
      </c>
      <c r="M5366" t="s">
        <v>9095</v>
      </c>
      <c r="N5366" t="s">
        <v>9401</v>
      </c>
      <c r="O5366" t="s">
        <v>11134</v>
      </c>
      <c r="P5366" t="s">
        <v>11168</v>
      </c>
      <c r="R5366" t="s">
        <v>11180</v>
      </c>
      <c r="S5366" t="s">
        <v>9094</v>
      </c>
      <c r="T5366" t="s">
        <v>11183</v>
      </c>
      <c r="V5366" t="s">
        <v>11218</v>
      </c>
      <c r="W5366">
        <v>886</v>
      </c>
      <c r="X5366" t="s">
        <v>11333</v>
      </c>
      <c r="Y5366" t="s">
        <v>11346</v>
      </c>
      <c r="Z5366" t="s">
        <v>14758</v>
      </c>
      <c r="AB5366" t="s">
        <v>19082</v>
      </c>
      <c r="AC5366">
        <v>131</v>
      </c>
      <c r="AD5366" t="s">
        <v>19566</v>
      </c>
      <c r="AE5366" t="s">
        <v>9144</v>
      </c>
      <c r="AF5366">
        <v>28</v>
      </c>
      <c r="AG5366">
        <v>2</v>
      </c>
      <c r="AH5366">
        <v>0</v>
      </c>
      <c r="AI5366">
        <v>248.37</v>
      </c>
      <c r="AL5366" t="s">
        <v>19614</v>
      </c>
      <c r="AM5366">
        <v>42000</v>
      </c>
      <c r="AS5366">
        <v>0</v>
      </c>
      <c r="AU5366" t="s">
        <v>163</v>
      </c>
      <c r="AV5366" t="s">
        <v>20733</v>
      </c>
    </row>
    <row r="5367" spans="1:48">
      <c r="A5367" s="1">
        <f>HYPERLINK("https://lsnyc.legalserver.org/matter/dynamic-profile/view/1915358","19-1915358")</f>
        <v>0</v>
      </c>
      <c r="B5367" t="s">
        <v>119</v>
      </c>
      <c r="C5367" t="s">
        <v>256</v>
      </c>
      <c r="D5367" t="s">
        <v>487</v>
      </c>
      <c r="F5367" t="s">
        <v>3069</v>
      </c>
      <c r="G5367" t="s">
        <v>1665</v>
      </c>
      <c r="H5367" t="s">
        <v>6095</v>
      </c>
      <c r="I5367" t="s">
        <v>8170</v>
      </c>
      <c r="J5367" t="s">
        <v>9065</v>
      </c>
      <c r="K5367">
        <v>10456</v>
      </c>
      <c r="L5367" t="s">
        <v>9094</v>
      </c>
      <c r="M5367" t="s">
        <v>9095</v>
      </c>
      <c r="O5367" t="s">
        <v>11134</v>
      </c>
      <c r="P5367" t="s">
        <v>11166</v>
      </c>
      <c r="R5367" t="s">
        <v>11180</v>
      </c>
      <c r="S5367" t="s">
        <v>9094</v>
      </c>
      <c r="T5367" t="s">
        <v>11183</v>
      </c>
      <c r="W5367">
        <v>886</v>
      </c>
      <c r="X5367" t="s">
        <v>11333</v>
      </c>
      <c r="Y5367" t="s">
        <v>11346</v>
      </c>
      <c r="Z5367" t="s">
        <v>14758</v>
      </c>
      <c r="AB5367" t="s">
        <v>19082</v>
      </c>
      <c r="AC5367">
        <v>131</v>
      </c>
      <c r="AD5367" t="s">
        <v>19566</v>
      </c>
      <c r="AE5367" t="s">
        <v>9144</v>
      </c>
      <c r="AF5367">
        <v>28</v>
      </c>
      <c r="AG5367">
        <v>2</v>
      </c>
      <c r="AH5367">
        <v>0</v>
      </c>
      <c r="AI5367">
        <v>248.37</v>
      </c>
      <c r="AL5367" t="s">
        <v>19614</v>
      </c>
      <c r="AM5367">
        <v>42000</v>
      </c>
      <c r="AS5367">
        <v>0.75</v>
      </c>
      <c r="AT5367" t="s">
        <v>594</v>
      </c>
      <c r="AU5367" t="s">
        <v>163</v>
      </c>
    </row>
    <row r="5368" spans="1:48">
      <c r="A5368" s="1">
        <f>HYPERLINK("https://lsnyc.legalserver.org/matter/dynamic-profile/view/1912173","19-1912173")</f>
        <v>0</v>
      </c>
      <c r="B5368" t="s">
        <v>125</v>
      </c>
      <c r="C5368" t="s">
        <v>256</v>
      </c>
      <c r="D5368" t="s">
        <v>286</v>
      </c>
      <c r="F5368" t="s">
        <v>3070</v>
      </c>
      <c r="G5368" t="s">
        <v>5361</v>
      </c>
      <c r="H5368" t="s">
        <v>7956</v>
      </c>
      <c r="J5368" t="s">
        <v>9066</v>
      </c>
      <c r="K5368">
        <v>10304</v>
      </c>
      <c r="L5368" t="s">
        <v>9095</v>
      </c>
      <c r="M5368" t="s">
        <v>9095</v>
      </c>
      <c r="N5368" t="s">
        <v>9154</v>
      </c>
      <c r="O5368" t="s">
        <v>9121</v>
      </c>
      <c r="R5368" t="s">
        <v>11180</v>
      </c>
      <c r="S5368" t="s">
        <v>9096</v>
      </c>
      <c r="T5368" t="s">
        <v>11183</v>
      </c>
      <c r="W5368">
        <v>0</v>
      </c>
      <c r="X5368" t="s">
        <v>11334</v>
      </c>
      <c r="Z5368" t="s">
        <v>14759</v>
      </c>
      <c r="AB5368" t="s">
        <v>19083</v>
      </c>
      <c r="AC5368">
        <v>0</v>
      </c>
      <c r="AE5368" t="s">
        <v>9144</v>
      </c>
      <c r="AF5368">
        <v>15</v>
      </c>
      <c r="AG5368">
        <v>1</v>
      </c>
      <c r="AH5368">
        <v>1</v>
      </c>
      <c r="AI5368">
        <v>248.37</v>
      </c>
      <c r="AJ5368" t="s">
        <v>833</v>
      </c>
      <c r="AK5368" t="s">
        <v>19612</v>
      </c>
      <c r="AL5368" t="s">
        <v>19614</v>
      </c>
      <c r="AM5368">
        <v>42000</v>
      </c>
      <c r="AS5368">
        <v>1.4</v>
      </c>
      <c r="AT5368" t="s">
        <v>301</v>
      </c>
      <c r="AU5368" t="s">
        <v>20652</v>
      </c>
    </row>
    <row r="5369" spans="1:48">
      <c r="A5369" s="1">
        <f>HYPERLINK("https://lsnyc.legalserver.org/matter/dynamic-profile/view/1905778","19-1905778")</f>
        <v>0</v>
      </c>
      <c r="B5369" t="s">
        <v>92</v>
      </c>
      <c r="C5369" t="s">
        <v>256</v>
      </c>
      <c r="D5369" t="s">
        <v>328</v>
      </c>
      <c r="F5369" t="s">
        <v>1484</v>
      </c>
      <c r="G5369" t="s">
        <v>3650</v>
      </c>
      <c r="H5369" t="s">
        <v>5808</v>
      </c>
      <c r="I5369" t="s">
        <v>8160</v>
      </c>
      <c r="J5369" t="s">
        <v>9059</v>
      </c>
      <c r="K5369">
        <v>11212</v>
      </c>
      <c r="L5369" t="s">
        <v>9094</v>
      </c>
      <c r="M5369" t="s">
        <v>9095</v>
      </c>
      <c r="N5369" t="s">
        <v>9184</v>
      </c>
      <c r="O5369" t="s">
        <v>11132</v>
      </c>
      <c r="P5369" t="s">
        <v>11167</v>
      </c>
      <c r="R5369" t="s">
        <v>11180</v>
      </c>
      <c r="S5369" t="s">
        <v>9094</v>
      </c>
      <c r="T5369" t="s">
        <v>11186</v>
      </c>
      <c r="U5369" t="s">
        <v>11201</v>
      </c>
      <c r="V5369" t="s">
        <v>512</v>
      </c>
      <c r="W5369">
        <v>839.77</v>
      </c>
      <c r="X5369" t="s">
        <v>11332</v>
      </c>
      <c r="Y5369" t="s">
        <v>11340</v>
      </c>
      <c r="Z5369" t="s">
        <v>13484</v>
      </c>
      <c r="AA5369" t="s">
        <v>9171</v>
      </c>
      <c r="AB5369" t="s">
        <v>19084</v>
      </c>
      <c r="AC5369">
        <v>8</v>
      </c>
      <c r="AD5369" t="s">
        <v>19566</v>
      </c>
      <c r="AE5369" t="s">
        <v>9144</v>
      </c>
      <c r="AF5369">
        <v>24</v>
      </c>
      <c r="AG5369">
        <v>1</v>
      </c>
      <c r="AH5369">
        <v>0</v>
      </c>
      <c r="AI5369">
        <v>248.47</v>
      </c>
      <c r="AL5369" t="s">
        <v>19614</v>
      </c>
      <c r="AM5369">
        <v>31033.6</v>
      </c>
      <c r="AN5369" t="s">
        <v>20115</v>
      </c>
      <c r="AS5369">
        <v>0</v>
      </c>
      <c r="AU5369" t="s">
        <v>95</v>
      </c>
      <c r="AV5369" t="s">
        <v>20733</v>
      </c>
    </row>
    <row r="5370" spans="1:48">
      <c r="A5370" s="1">
        <f>HYPERLINK("https://lsnyc.legalserver.org/matter/dynamic-profile/view/1905780","19-1905780")</f>
        <v>0</v>
      </c>
      <c r="B5370" t="s">
        <v>93</v>
      </c>
      <c r="C5370" t="s">
        <v>256</v>
      </c>
      <c r="D5370" t="s">
        <v>328</v>
      </c>
      <c r="F5370" t="s">
        <v>1484</v>
      </c>
      <c r="G5370" t="s">
        <v>3650</v>
      </c>
      <c r="H5370" t="s">
        <v>5808</v>
      </c>
      <c r="I5370" t="s">
        <v>8160</v>
      </c>
      <c r="J5370" t="s">
        <v>9059</v>
      </c>
      <c r="K5370">
        <v>11212</v>
      </c>
      <c r="L5370" t="s">
        <v>9094</v>
      </c>
      <c r="M5370" t="s">
        <v>9095</v>
      </c>
      <c r="N5370" t="s">
        <v>9171</v>
      </c>
      <c r="O5370" t="s">
        <v>9121</v>
      </c>
      <c r="P5370" t="s">
        <v>11167</v>
      </c>
      <c r="R5370" t="s">
        <v>11180</v>
      </c>
      <c r="S5370" t="s">
        <v>9094</v>
      </c>
      <c r="T5370" t="s">
        <v>11183</v>
      </c>
      <c r="U5370" t="s">
        <v>11201</v>
      </c>
      <c r="V5370" t="s">
        <v>512</v>
      </c>
      <c r="W5370">
        <v>839.77</v>
      </c>
      <c r="X5370" t="s">
        <v>11332</v>
      </c>
      <c r="Y5370" t="s">
        <v>11340</v>
      </c>
      <c r="Z5370" t="s">
        <v>13484</v>
      </c>
      <c r="AA5370" t="s">
        <v>9171</v>
      </c>
      <c r="AB5370" t="s">
        <v>19084</v>
      </c>
      <c r="AC5370">
        <v>8</v>
      </c>
      <c r="AD5370" t="s">
        <v>19566</v>
      </c>
      <c r="AE5370" t="s">
        <v>9144</v>
      </c>
      <c r="AF5370">
        <v>24</v>
      </c>
      <c r="AG5370">
        <v>1</v>
      </c>
      <c r="AH5370">
        <v>0</v>
      </c>
      <c r="AI5370">
        <v>248.47</v>
      </c>
      <c r="AL5370" t="s">
        <v>19614</v>
      </c>
      <c r="AM5370">
        <v>31033.6</v>
      </c>
      <c r="AN5370" t="s">
        <v>20115</v>
      </c>
      <c r="AS5370">
        <v>0</v>
      </c>
      <c r="AU5370" t="s">
        <v>95</v>
      </c>
      <c r="AV5370" t="s">
        <v>20733</v>
      </c>
    </row>
    <row r="5371" spans="1:48">
      <c r="A5371" s="1">
        <f>HYPERLINK("https://lsnyc.legalserver.org/matter/dynamic-profile/view/1895306","19-1895306")</f>
        <v>0</v>
      </c>
      <c r="B5371" t="s">
        <v>92</v>
      </c>
      <c r="C5371" t="s">
        <v>256</v>
      </c>
      <c r="D5371" t="s">
        <v>264</v>
      </c>
      <c r="F5371" t="s">
        <v>1484</v>
      </c>
      <c r="G5371" t="s">
        <v>3650</v>
      </c>
      <c r="H5371" t="s">
        <v>5808</v>
      </c>
      <c r="I5371" t="s">
        <v>8160</v>
      </c>
      <c r="J5371" t="s">
        <v>9059</v>
      </c>
      <c r="K5371">
        <v>11212</v>
      </c>
      <c r="L5371" t="s">
        <v>9094</v>
      </c>
      <c r="M5371" t="s">
        <v>9094</v>
      </c>
      <c r="N5371" t="s">
        <v>9182</v>
      </c>
      <c r="O5371" t="s">
        <v>11141</v>
      </c>
      <c r="P5371" t="s">
        <v>11170</v>
      </c>
      <c r="R5371" t="s">
        <v>11180</v>
      </c>
      <c r="S5371" t="s">
        <v>9094</v>
      </c>
      <c r="T5371" t="s">
        <v>11183</v>
      </c>
      <c r="V5371" t="s">
        <v>264</v>
      </c>
      <c r="W5371">
        <v>839.77</v>
      </c>
      <c r="X5371" t="s">
        <v>11332</v>
      </c>
      <c r="Y5371" t="s">
        <v>11339</v>
      </c>
      <c r="Z5371" t="s">
        <v>13484</v>
      </c>
      <c r="AA5371" t="s">
        <v>9171</v>
      </c>
      <c r="AB5371" t="s">
        <v>19084</v>
      </c>
      <c r="AC5371">
        <v>8</v>
      </c>
      <c r="AD5371" t="s">
        <v>19566</v>
      </c>
      <c r="AE5371" t="s">
        <v>9144</v>
      </c>
      <c r="AF5371">
        <v>24</v>
      </c>
      <c r="AG5371">
        <v>1</v>
      </c>
      <c r="AH5371">
        <v>0</v>
      </c>
      <c r="AI5371">
        <v>248.47</v>
      </c>
      <c r="AL5371" t="s">
        <v>19614</v>
      </c>
      <c r="AM5371">
        <v>31033.6</v>
      </c>
      <c r="AS5371">
        <v>0</v>
      </c>
      <c r="AU5371" t="s">
        <v>95</v>
      </c>
      <c r="AV5371" t="s">
        <v>20733</v>
      </c>
    </row>
    <row r="5372" spans="1:48">
      <c r="A5372" s="1">
        <f>HYPERLINK("https://lsnyc.legalserver.org/matter/dynamic-profile/view/1898323","19-1898323")</f>
        <v>0</v>
      </c>
      <c r="B5372" t="s">
        <v>84</v>
      </c>
      <c r="C5372" t="s">
        <v>256</v>
      </c>
      <c r="D5372" t="s">
        <v>596</v>
      </c>
      <c r="F5372" t="s">
        <v>3071</v>
      </c>
      <c r="G5372" t="s">
        <v>5362</v>
      </c>
      <c r="H5372" t="s">
        <v>7931</v>
      </c>
      <c r="I5372" t="s">
        <v>8229</v>
      </c>
      <c r="J5372" t="s">
        <v>9059</v>
      </c>
      <c r="K5372">
        <v>11226</v>
      </c>
      <c r="L5372" t="s">
        <v>9094</v>
      </c>
      <c r="M5372" t="s">
        <v>9094</v>
      </c>
      <c r="O5372" t="s">
        <v>11137</v>
      </c>
      <c r="P5372" t="s">
        <v>11166</v>
      </c>
      <c r="R5372" t="s">
        <v>11180</v>
      </c>
      <c r="S5372" t="s">
        <v>9094</v>
      </c>
      <c r="T5372" t="s">
        <v>11183</v>
      </c>
      <c r="V5372" t="s">
        <v>777</v>
      </c>
      <c r="W5372">
        <v>988.01</v>
      </c>
      <c r="X5372" t="s">
        <v>11332</v>
      </c>
      <c r="Z5372" t="s">
        <v>14760</v>
      </c>
      <c r="AC5372">
        <v>0</v>
      </c>
      <c r="AF5372">
        <v>30</v>
      </c>
      <c r="AG5372">
        <v>4</v>
      </c>
      <c r="AH5372">
        <v>0</v>
      </c>
      <c r="AI5372">
        <v>248.54</v>
      </c>
      <c r="AL5372" t="s">
        <v>19614</v>
      </c>
      <c r="AM5372">
        <v>64000</v>
      </c>
      <c r="AS5372">
        <v>1.5</v>
      </c>
      <c r="AT5372" t="s">
        <v>299</v>
      </c>
      <c r="AU5372" t="s">
        <v>215</v>
      </c>
      <c r="AV5372" t="s">
        <v>20733</v>
      </c>
    </row>
    <row r="5373" spans="1:48">
      <c r="A5373" s="1">
        <f>HYPERLINK("https://lsnyc.legalserver.org/matter/dynamic-profile/view/1901285","19-1901285")</f>
        <v>0</v>
      </c>
      <c r="B5373" t="s">
        <v>84</v>
      </c>
      <c r="C5373" t="s">
        <v>256</v>
      </c>
      <c r="D5373" t="s">
        <v>319</v>
      </c>
      <c r="F5373" t="s">
        <v>3071</v>
      </c>
      <c r="G5373" t="s">
        <v>5362</v>
      </c>
      <c r="H5373" t="s">
        <v>7931</v>
      </c>
      <c r="I5373" t="s">
        <v>8229</v>
      </c>
      <c r="J5373" t="s">
        <v>9059</v>
      </c>
      <c r="K5373">
        <v>11226</v>
      </c>
      <c r="L5373" t="s">
        <v>9094</v>
      </c>
      <c r="M5373" t="s">
        <v>9095</v>
      </c>
      <c r="P5373" t="s">
        <v>11165</v>
      </c>
      <c r="R5373" t="s">
        <v>11180</v>
      </c>
      <c r="S5373" t="s">
        <v>9094</v>
      </c>
      <c r="T5373" t="s">
        <v>11183</v>
      </c>
      <c r="V5373" t="s">
        <v>319</v>
      </c>
      <c r="W5373">
        <v>988.01</v>
      </c>
      <c r="X5373" t="s">
        <v>11332</v>
      </c>
      <c r="Z5373" t="s">
        <v>14760</v>
      </c>
      <c r="AC5373">
        <v>0</v>
      </c>
      <c r="AF5373">
        <v>30</v>
      </c>
      <c r="AG5373">
        <v>4</v>
      </c>
      <c r="AH5373">
        <v>0</v>
      </c>
      <c r="AI5373">
        <v>248.54</v>
      </c>
      <c r="AL5373" t="s">
        <v>19614</v>
      </c>
      <c r="AM5373">
        <v>64000</v>
      </c>
      <c r="AS5373">
        <v>0</v>
      </c>
      <c r="AU5373" t="s">
        <v>215</v>
      </c>
      <c r="AV5373" t="s">
        <v>20733</v>
      </c>
    </row>
    <row r="5374" spans="1:48">
      <c r="A5374" s="1">
        <f>HYPERLINK("https://lsnyc.legalserver.org/matter/dynamic-profile/view/1901330","19-1901330")</f>
        <v>0</v>
      </c>
      <c r="B5374" t="s">
        <v>84</v>
      </c>
      <c r="C5374" t="s">
        <v>256</v>
      </c>
      <c r="D5374" t="s">
        <v>471</v>
      </c>
      <c r="F5374" t="s">
        <v>3071</v>
      </c>
      <c r="G5374" t="s">
        <v>5362</v>
      </c>
      <c r="H5374" t="s">
        <v>7931</v>
      </c>
      <c r="I5374" t="s">
        <v>8229</v>
      </c>
      <c r="J5374" t="s">
        <v>9059</v>
      </c>
      <c r="K5374">
        <v>11226</v>
      </c>
      <c r="L5374" t="s">
        <v>9094</v>
      </c>
      <c r="M5374" t="s">
        <v>9095</v>
      </c>
      <c r="P5374" t="s">
        <v>11165</v>
      </c>
      <c r="R5374" t="s">
        <v>11180</v>
      </c>
      <c r="S5374" t="s">
        <v>9094</v>
      </c>
      <c r="T5374" t="s">
        <v>11183</v>
      </c>
      <c r="V5374" t="s">
        <v>471</v>
      </c>
      <c r="W5374">
        <v>988.01</v>
      </c>
      <c r="X5374" t="s">
        <v>11332</v>
      </c>
      <c r="Z5374" t="s">
        <v>14760</v>
      </c>
      <c r="AC5374">
        <v>0</v>
      </c>
      <c r="AF5374">
        <v>30</v>
      </c>
      <c r="AG5374">
        <v>4</v>
      </c>
      <c r="AH5374">
        <v>0</v>
      </c>
      <c r="AI5374">
        <v>248.54</v>
      </c>
      <c r="AL5374" t="s">
        <v>19614</v>
      </c>
      <c r="AM5374">
        <v>64000</v>
      </c>
      <c r="AS5374">
        <v>0.1</v>
      </c>
      <c r="AT5374" t="s">
        <v>268</v>
      </c>
      <c r="AU5374" t="s">
        <v>215</v>
      </c>
      <c r="AV5374" t="s">
        <v>20733</v>
      </c>
    </row>
    <row r="5375" spans="1:48">
      <c r="A5375" s="1">
        <f>HYPERLINK("https://lsnyc.legalserver.org/matter/dynamic-profile/view/1865480","18-1865480")</f>
        <v>0</v>
      </c>
      <c r="B5375" t="s">
        <v>132</v>
      </c>
      <c r="C5375" t="s">
        <v>257</v>
      </c>
      <c r="D5375" t="s">
        <v>1032</v>
      </c>
      <c r="E5375" t="s">
        <v>1135</v>
      </c>
      <c r="F5375" t="s">
        <v>2493</v>
      </c>
      <c r="G5375" t="s">
        <v>3398</v>
      </c>
      <c r="H5375" t="s">
        <v>7533</v>
      </c>
      <c r="I5375">
        <v>15</v>
      </c>
      <c r="J5375" t="s">
        <v>9067</v>
      </c>
      <c r="K5375">
        <v>10034</v>
      </c>
      <c r="L5375" t="s">
        <v>9094</v>
      </c>
      <c r="M5375" t="s">
        <v>9095</v>
      </c>
      <c r="N5375" t="s">
        <v>10981</v>
      </c>
      <c r="O5375" t="s">
        <v>11129</v>
      </c>
      <c r="P5375" t="s">
        <v>11165</v>
      </c>
      <c r="Q5375" t="s">
        <v>11174</v>
      </c>
      <c r="R5375" t="s">
        <v>11180</v>
      </c>
      <c r="S5375" t="s">
        <v>9096</v>
      </c>
      <c r="T5375" t="s">
        <v>11183</v>
      </c>
      <c r="V5375" t="s">
        <v>1032</v>
      </c>
      <c r="W5375">
        <v>1570</v>
      </c>
      <c r="X5375" t="s">
        <v>11335</v>
      </c>
      <c r="Y5375" t="s">
        <v>11338</v>
      </c>
      <c r="Z5375" t="s">
        <v>14761</v>
      </c>
      <c r="AB5375" t="s">
        <v>19085</v>
      </c>
      <c r="AC5375">
        <v>22</v>
      </c>
      <c r="AD5375" t="s">
        <v>19566</v>
      </c>
      <c r="AE5375" t="s">
        <v>9144</v>
      </c>
      <c r="AF5375">
        <v>3</v>
      </c>
      <c r="AG5375">
        <v>2</v>
      </c>
      <c r="AH5375">
        <v>2</v>
      </c>
      <c r="AI5375">
        <v>248.61</v>
      </c>
      <c r="AJ5375" t="s">
        <v>11246</v>
      </c>
      <c r="AL5375" t="s">
        <v>19614</v>
      </c>
      <c r="AM5375">
        <v>62400</v>
      </c>
      <c r="AS5375">
        <v>262.15</v>
      </c>
      <c r="AT5375" t="s">
        <v>1135</v>
      </c>
      <c r="AU5375" t="s">
        <v>130</v>
      </c>
      <c r="AV5375" t="s">
        <v>20733</v>
      </c>
    </row>
    <row r="5376" spans="1:48">
      <c r="A5376" s="1">
        <f>HYPERLINK("https://lsnyc.legalserver.org/matter/dynamic-profile/view/1842902","17-1842902")</f>
        <v>0</v>
      </c>
      <c r="B5376" t="s">
        <v>122</v>
      </c>
      <c r="C5376" t="s">
        <v>257</v>
      </c>
      <c r="D5376" t="s">
        <v>480</v>
      </c>
      <c r="E5376" t="s">
        <v>414</v>
      </c>
      <c r="F5376" t="s">
        <v>1969</v>
      </c>
      <c r="G5376" t="s">
        <v>5363</v>
      </c>
      <c r="H5376" t="s">
        <v>5911</v>
      </c>
      <c r="I5376" t="s">
        <v>8951</v>
      </c>
      <c r="J5376" t="s">
        <v>9066</v>
      </c>
      <c r="K5376">
        <v>10314</v>
      </c>
      <c r="L5376" t="s">
        <v>9094</v>
      </c>
      <c r="M5376" t="s">
        <v>9095</v>
      </c>
      <c r="N5376" t="s">
        <v>9260</v>
      </c>
      <c r="O5376" t="s">
        <v>11135</v>
      </c>
      <c r="P5376" t="s">
        <v>11168</v>
      </c>
      <c r="Q5376" t="s">
        <v>11177</v>
      </c>
      <c r="R5376" t="s">
        <v>11180</v>
      </c>
      <c r="S5376" t="s">
        <v>9094</v>
      </c>
      <c r="T5376" t="s">
        <v>11183</v>
      </c>
      <c r="U5376" t="s">
        <v>11201</v>
      </c>
      <c r="V5376" t="s">
        <v>712</v>
      </c>
      <c r="W5376">
        <v>1439</v>
      </c>
      <c r="X5376" t="s">
        <v>11334</v>
      </c>
      <c r="Y5376" t="s">
        <v>11339</v>
      </c>
      <c r="Z5376" t="s">
        <v>14762</v>
      </c>
      <c r="AB5376" t="s">
        <v>19086</v>
      </c>
      <c r="AC5376">
        <v>96</v>
      </c>
      <c r="AD5376" t="s">
        <v>19566</v>
      </c>
      <c r="AE5376" t="s">
        <v>19587</v>
      </c>
      <c r="AF5376">
        <v>7</v>
      </c>
      <c r="AG5376">
        <v>1</v>
      </c>
      <c r="AH5376">
        <v>0</v>
      </c>
      <c r="AI5376">
        <v>248.76</v>
      </c>
      <c r="AJ5376" t="s">
        <v>19594</v>
      </c>
      <c r="AL5376" t="s">
        <v>19614</v>
      </c>
      <c r="AM5376">
        <v>30000</v>
      </c>
      <c r="AO5376" t="s">
        <v>20293</v>
      </c>
      <c r="AP5376" t="s">
        <v>20316</v>
      </c>
      <c r="AQ5376" t="s">
        <v>20369</v>
      </c>
      <c r="AR5376" t="s">
        <v>20385</v>
      </c>
      <c r="AS5376">
        <v>0.8</v>
      </c>
      <c r="AT5376" t="s">
        <v>414</v>
      </c>
      <c r="AU5376" t="s">
        <v>128</v>
      </c>
      <c r="AV5376" t="s">
        <v>20733</v>
      </c>
    </row>
    <row r="5377" spans="1:48">
      <c r="A5377" s="1">
        <f>HYPERLINK("https://lsnyc.legalserver.org/matter/dynamic-profile/view/1837167","17-1837167")</f>
        <v>0</v>
      </c>
      <c r="B5377" t="s">
        <v>136</v>
      </c>
      <c r="C5377" t="s">
        <v>256</v>
      </c>
      <c r="D5377" t="s">
        <v>557</v>
      </c>
      <c r="F5377" t="s">
        <v>3072</v>
      </c>
      <c r="G5377" t="s">
        <v>5364</v>
      </c>
      <c r="H5377" t="s">
        <v>7957</v>
      </c>
      <c r="I5377" t="s">
        <v>8170</v>
      </c>
      <c r="J5377" t="s">
        <v>9067</v>
      </c>
      <c r="K5377">
        <v>10029</v>
      </c>
      <c r="L5377" t="s">
        <v>9094</v>
      </c>
      <c r="M5377" t="s">
        <v>9094</v>
      </c>
      <c r="N5377" t="s">
        <v>10982</v>
      </c>
      <c r="O5377" t="s">
        <v>11132</v>
      </c>
      <c r="P5377" t="s">
        <v>11165</v>
      </c>
      <c r="R5377" t="s">
        <v>11180</v>
      </c>
      <c r="S5377" t="s">
        <v>9096</v>
      </c>
      <c r="T5377" t="s">
        <v>11183</v>
      </c>
      <c r="U5377" t="s">
        <v>11201</v>
      </c>
      <c r="V5377" t="s">
        <v>948</v>
      </c>
      <c r="W5377">
        <v>1550</v>
      </c>
      <c r="X5377" t="s">
        <v>11335</v>
      </c>
      <c r="Y5377" t="s">
        <v>11340</v>
      </c>
      <c r="Z5377" t="s">
        <v>14763</v>
      </c>
      <c r="AB5377" t="s">
        <v>19087</v>
      </c>
      <c r="AC5377">
        <v>9</v>
      </c>
      <c r="AD5377" t="s">
        <v>19566</v>
      </c>
      <c r="AE5377" t="s">
        <v>9144</v>
      </c>
      <c r="AF5377">
        <v>7</v>
      </c>
      <c r="AG5377">
        <v>1</v>
      </c>
      <c r="AH5377">
        <v>0</v>
      </c>
      <c r="AI5377">
        <v>248.76</v>
      </c>
      <c r="AJ5377" t="s">
        <v>11246</v>
      </c>
      <c r="AL5377" t="s">
        <v>19614</v>
      </c>
      <c r="AM5377">
        <v>30000</v>
      </c>
      <c r="AS5377">
        <v>54.45</v>
      </c>
      <c r="AT5377" t="s">
        <v>577</v>
      </c>
      <c r="AU5377" t="s">
        <v>20657</v>
      </c>
      <c r="AV5377" t="s">
        <v>20733</v>
      </c>
    </row>
    <row r="5378" spans="1:48">
      <c r="A5378" s="1">
        <f>HYPERLINK("https://lsnyc.legalserver.org/matter/dynamic-profile/view/1833233","17-1833233")</f>
        <v>0</v>
      </c>
      <c r="B5378" t="s">
        <v>136</v>
      </c>
      <c r="C5378" t="s">
        <v>256</v>
      </c>
      <c r="D5378" t="s">
        <v>1105</v>
      </c>
      <c r="F5378" t="s">
        <v>3072</v>
      </c>
      <c r="G5378" t="s">
        <v>5364</v>
      </c>
      <c r="H5378" t="s">
        <v>7957</v>
      </c>
      <c r="I5378" t="s">
        <v>8170</v>
      </c>
      <c r="J5378" t="s">
        <v>9067</v>
      </c>
      <c r="K5378">
        <v>10029</v>
      </c>
      <c r="L5378" t="s">
        <v>9094</v>
      </c>
      <c r="M5378" t="s">
        <v>9094</v>
      </c>
      <c r="N5378" t="s">
        <v>10983</v>
      </c>
      <c r="O5378" t="s">
        <v>11129</v>
      </c>
      <c r="P5378" t="s">
        <v>11165</v>
      </c>
      <c r="R5378" t="s">
        <v>11180</v>
      </c>
      <c r="S5378" t="s">
        <v>9096</v>
      </c>
      <c r="T5378" t="s">
        <v>11183</v>
      </c>
      <c r="U5378" t="s">
        <v>11201</v>
      </c>
      <c r="V5378" t="s">
        <v>345</v>
      </c>
      <c r="W5378">
        <v>1550</v>
      </c>
      <c r="X5378" t="s">
        <v>11335</v>
      </c>
      <c r="Y5378" t="s">
        <v>11356</v>
      </c>
      <c r="Z5378" t="s">
        <v>14763</v>
      </c>
      <c r="AB5378" t="s">
        <v>19087</v>
      </c>
      <c r="AC5378">
        <v>9</v>
      </c>
      <c r="AD5378" t="s">
        <v>19566</v>
      </c>
      <c r="AE5378" t="s">
        <v>9144</v>
      </c>
      <c r="AF5378">
        <v>7</v>
      </c>
      <c r="AG5378">
        <v>1</v>
      </c>
      <c r="AH5378">
        <v>0</v>
      </c>
      <c r="AI5378">
        <v>248.76</v>
      </c>
      <c r="AJ5378" t="s">
        <v>11246</v>
      </c>
      <c r="AL5378" t="s">
        <v>19614</v>
      </c>
      <c r="AM5378">
        <v>30000</v>
      </c>
      <c r="AS5378">
        <v>21.25</v>
      </c>
      <c r="AT5378" t="s">
        <v>516</v>
      </c>
      <c r="AU5378" t="s">
        <v>20657</v>
      </c>
      <c r="AV5378" t="s">
        <v>20733</v>
      </c>
    </row>
    <row r="5379" spans="1:48">
      <c r="A5379" s="1">
        <f>HYPERLINK("https://lsnyc.legalserver.org/matter/dynamic-profile/view/1898239","19-1898239")</f>
        <v>0</v>
      </c>
      <c r="B5379" t="s">
        <v>108</v>
      </c>
      <c r="C5379" t="s">
        <v>256</v>
      </c>
      <c r="D5379" t="s">
        <v>596</v>
      </c>
      <c r="F5379" t="s">
        <v>1687</v>
      </c>
      <c r="G5379" t="s">
        <v>4245</v>
      </c>
      <c r="H5379" t="s">
        <v>7958</v>
      </c>
      <c r="I5379" t="s">
        <v>8329</v>
      </c>
      <c r="J5379" t="s">
        <v>9065</v>
      </c>
      <c r="K5379">
        <v>10453</v>
      </c>
      <c r="L5379" t="s">
        <v>9094</v>
      </c>
      <c r="M5379" t="s">
        <v>9094</v>
      </c>
      <c r="P5379" t="s">
        <v>11167</v>
      </c>
      <c r="R5379" t="s">
        <v>11180</v>
      </c>
      <c r="S5379" t="s">
        <v>9096</v>
      </c>
      <c r="T5379" t="s">
        <v>11183</v>
      </c>
      <c r="V5379" t="s">
        <v>11218</v>
      </c>
      <c r="W5379">
        <v>1138.7</v>
      </c>
      <c r="X5379" t="s">
        <v>11333</v>
      </c>
      <c r="Y5379" t="s">
        <v>11338</v>
      </c>
      <c r="Z5379" t="s">
        <v>14764</v>
      </c>
      <c r="AB5379" t="s">
        <v>19088</v>
      </c>
      <c r="AC5379">
        <v>0</v>
      </c>
      <c r="AD5379" t="s">
        <v>19566</v>
      </c>
      <c r="AE5379" t="s">
        <v>19587</v>
      </c>
      <c r="AF5379">
        <v>2</v>
      </c>
      <c r="AG5379">
        <v>1</v>
      </c>
      <c r="AH5379">
        <v>0</v>
      </c>
      <c r="AI5379">
        <v>248.77</v>
      </c>
      <c r="AL5379" t="s">
        <v>19614</v>
      </c>
      <c r="AM5379">
        <v>31071</v>
      </c>
      <c r="AS5379">
        <v>1.1</v>
      </c>
      <c r="AT5379" t="s">
        <v>496</v>
      </c>
      <c r="AU5379" t="s">
        <v>108</v>
      </c>
      <c r="AV5379" t="s">
        <v>20733</v>
      </c>
    </row>
    <row r="5380" spans="1:48">
      <c r="A5380" s="1">
        <f>HYPERLINK("https://lsnyc.legalserver.org/matter/dynamic-profile/view/1915169","19-1915169")</f>
        <v>0</v>
      </c>
      <c r="B5380" t="s">
        <v>73</v>
      </c>
      <c r="C5380" t="s">
        <v>256</v>
      </c>
      <c r="D5380" t="s">
        <v>270</v>
      </c>
      <c r="F5380" t="s">
        <v>3073</v>
      </c>
      <c r="G5380" t="s">
        <v>5365</v>
      </c>
      <c r="H5380" t="s">
        <v>7959</v>
      </c>
      <c r="I5380" t="s">
        <v>8141</v>
      </c>
      <c r="J5380" t="s">
        <v>9059</v>
      </c>
      <c r="K5380">
        <v>11233</v>
      </c>
      <c r="L5380" t="s">
        <v>9096</v>
      </c>
      <c r="M5380" t="s">
        <v>9095</v>
      </c>
      <c r="N5380" t="s">
        <v>10984</v>
      </c>
      <c r="O5380" t="s">
        <v>11129</v>
      </c>
      <c r="R5380" t="s">
        <v>11180</v>
      </c>
      <c r="S5380" t="s">
        <v>9096</v>
      </c>
      <c r="T5380" t="s">
        <v>11183</v>
      </c>
      <c r="U5380" t="s">
        <v>11201</v>
      </c>
      <c r="W5380">
        <v>996</v>
      </c>
      <c r="X5380" t="s">
        <v>11332</v>
      </c>
      <c r="Y5380" t="s">
        <v>11353</v>
      </c>
      <c r="Z5380" t="s">
        <v>14765</v>
      </c>
      <c r="AA5380" t="s">
        <v>9171</v>
      </c>
      <c r="AB5380" t="s">
        <v>19089</v>
      </c>
      <c r="AC5380">
        <v>6</v>
      </c>
      <c r="AD5380" t="s">
        <v>19566</v>
      </c>
      <c r="AE5380" t="s">
        <v>9144</v>
      </c>
      <c r="AF5380">
        <v>14</v>
      </c>
      <c r="AG5380">
        <v>4</v>
      </c>
      <c r="AH5380">
        <v>1</v>
      </c>
      <c r="AI5380">
        <v>248.88</v>
      </c>
      <c r="AL5380" t="s">
        <v>19614</v>
      </c>
      <c r="AM5380">
        <v>75088</v>
      </c>
      <c r="AN5380" t="s">
        <v>20116</v>
      </c>
      <c r="AS5380">
        <v>0</v>
      </c>
      <c r="AU5380" t="s">
        <v>95</v>
      </c>
      <c r="AV5380" t="s">
        <v>9144</v>
      </c>
    </row>
    <row r="5381" spans="1:48">
      <c r="A5381" s="1">
        <f>HYPERLINK("https://lsnyc.legalserver.org/matter/dynamic-profile/view/0795363","16-0795363")</f>
        <v>0</v>
      </c>
      <c r="B5381" t="s">
        <v>108</v>
      </c>
      <c r="C5381" t="s">
        <v>256</v>
      </c>
      <c r="D5381" t="s">
        <v>811</v>
      </c>
      <c r="F5381" t="s">
        <v>1552</v>
      </c>
      <c r="G5381" t="s">
        <v>5345</v>
      </c>
      <c r="H5381" t="s">
        <v>5897</v>
      </c>
      <c r="I5381" t="s">
        <v>8940</v>
      </c>
      <c r="J5381" t="s">
        <v>9065</v>
      </c>
      <c r="K5381">
        <v>10452</v>
      </c>
      <c r="L5381" t="s">
        <v>9094</v>
      </c>
      <c r="M5381" t="s">
        <v>9095</v>
      </c>
      <c r="N5381" t="s">
        <v>9250</v>
      </c>
      <c r="O5381" t="s">
        <v>11132</v>
      </c>
      <c r="P5381" t="s">
        <v>11165</v>
      </c>
      <c r="R5381" t="s">
        <v>11180</v>
      </c>
      <c r="S5381" t="s">
        <v>9094</v>
      </c>
      <c r="T5381" t="s">
        <v>11183</v>
      </c>
      <c r="V5381" t="s">
        <v>675</v>
      </c>
      <c r="W5381">
        <v>818.46</v>
      </c>
      <c r="X5381" t="s">
        <v>11333</v>
      </c>
      <c r="Y5381" t="s">
        <v>11347</v>
      </c>
      <c r="Z5381" t="s">
        <v>12165</v>
      </c>
      <c r="AB5381" t="s">
        <v>19049</v>
      </c>
      <c r="AC5381">
        <v>0</v>
      </c>
      <c r="AF5381">
        <v>24</v>
      </c>
      <c r="AG5381">
        <v>3</v>
      </c>
      <c r="AH5381">
        <v>0</v>
      </c>
      <c r="AI5381">
        <v>248.88</v>
      </c>
      <c r="AL5381" t="s">
        <v>19614</v>
      </c>
      <c r="AM5381">
        <v>50000</v>
      </c>
      <c r="AN5381" t="s">
        <v>20117</v>
      </c>
      <c r="AS5381">
        <v>0.25</v>
      </c>
      <c r="AT5381" t="s">
        <v>20614</v>
      </c>
      <c r="AU5381" t="s">
        <v>109</v>
      </c>
    </row>
    <row r="5382" spans="1:48">
      <c r="A5382" s="1">
        <f>HYPERLINK("https://lsnyc.legalserver.org/matter/dynamic-profile/view/1836666","17-1836666")</f>
        <v>0</v>
      </c>
      <c r="B5382" t="s">
        <v>64</v>
      </c>
      <c r="C5382" t="s">
        <v>257</v>
      </c>
      <c r="D5382" t="s">
        <v>771</v>
      </c>
      <c r="E5382" t="s">
        <v>483</v>
      </c>
      <c r="F5382" t="s">
        <v>3074</v>
      </c>
      <c r="G5382" t="s">
        <v>5366</v>
      </c>
      <c r="H5382" t="s">
        <v>7233</v>
      </c>
      <c r="I5382" t="s">
        <v>8707</v>
      </c>
      <c r="J5382" t="s">
        <v>9059</v>
      </c>
      <c r="K5382">
        <v>11249</v>
      </c>
      <c r="L5382" t="s">
        <v>9094</v>
      </c>
      <c r="M5382" t="s">
        <v>9095</v>
      </c>
      <c r="N5382" t="s">
        <v>10985</v>
      </c>
      <c r="O5382" t="s">
        <v>11129</v>
      </c>
      <c r="P5382" t="s">
        <v>11165</v>
      </c>
      <c r="Q5382" t="s">
        <v>11175</v>
      </c>
      <c r="R5382" t="s">
        <v>11180</v>
      </c>
      <c r="S5382" t="s">
        <v>9094</v>
      </c>
      <c r="T5382" t="s">
        <v>11183</v>
      </c>
      <c r="V5382" t="s">
        <v>878</v>
      </c>
      <c r="W5382">
        <v>2500</v>
      </c>
      <c r="X5382" t="s">
        <v>11332</v>
      </c>
      <c r="Z5382" t="s">
        <v>14766</v>
      </c>
      <c r="AB5382" t="s">
        <v>19090</v>
      </c>
      <c r="AC5382">
        <v>36</v>
      </c>
      <c r="AD5382" t="s">
        <v>19566</v>
      </c>
      <c r="AF5382">
        <v>2</v>
      </c>
      <c r="AG5382">
        <v>2</v>
      </c>
      <c r="AH5382">
        <v>0</v>
      </c>
      <c r="AI5382">
        <v>249.26</v>
      </c>
      <c r="AL5382" t="s">
        <v>19614</v>
      </c>
      <c r="AM5382">
        <v>40480</v>
      </c>
      <c r="AS5382">
        <v>219.18</v>
      </c>
      <c r="AT5382" t="s">
        <v>1063</v>
      </c>
      <c r="AU5382" t="s">
        <v>20636</v>
      </c>
    </row>
    <row r="5383" spans="1:48">
      <c r="A5383" s="1">
        <f>HYPERLINK("https://lsnyc.legalserver.org/matter/dynamic-profile/view/1882922","18-1882922")</f>
        <v>0</v>
      </c>
      <c r="B5383" t="s">
        <v>138</v>
      </c>
      <c r="C5383" t="s">
        <v>256</v>
      </c>
      <c r="D5383" t="s">
        <v>589</v>
      </c>
      <c r="F5383" t="s">
        <v>3075</v>
      </c>
      <c r="G5383" t="s">
        <v>3728</v>
      </c>
      <c r="H5383" t="s">
        <v>6718</v>
      </c>
      <c r="I5383">
        <v>34</v>
      </c>
      <c r="J5383" t="s">
        <v>9067</v>
      </c>
      <c r="K5383">
        <v>10034</v>
      </c>
      <c r="L5383" t="s">
        <v>9094</v>
      </c>
      <c r="M5383" t="s">
        <v>9094</v>
      </c>
      <c r="O5383" t="s">
        <v>11137</v>
      </c>
      <c r="P5383" t="s">
        <v>11166</v>
      </c>
      <c r="R5383" t="s">
        <v>11180</v>
      </c>
      <c r="S5383" t="s">
        <v>9096</v>
      </c>
      <c r="T5383" t="s">
        <v>11183</v>
      </c>
      <c r="V5383" t="s">
        <v>512</v>
      </c>
      <c r="W5383">
        <v>810.26</v>
      </c>
      <c r="X5383" t="s">
        <v>11335</v>
      </c>
      <c r="Y5383" t="s">
        <v>11338</v>
      </c>
      <c r="Z5383" t="s">
        <v>14767</v>
      </c>
      <c r="AB5383" t="s">
        <v>19091</v>
      </c>
      <c r="AC5383">
        <v>25</v>
      </c>
      <c r="AD5383" t="s">
        <v>19566</v>
      </c>
      <c r="AE5383" t="s">
        <v>9144</v>
      </c>
      <c r="AF5383">
        <v>52</v>
      </c>
      <c r="AG5383">
        <v>1</v>
      </c>
      <c r="AH5383">
        <v>0</v>
      </c>
      <c r="AI5383">
        <v>249.59</v>
      </c>
      <c r="AJ5383" t="s">
        <v>868</v>
      </c>
      <c r="AK5383" t="s">
        <v>19612</v>
      </c>
      <c r="AL5383" t="s">
        <v>19615</v>
      </c>
      <c r="AM5383">
        <v>30300</v>
      </c>
      <c r="AS5383">
        <v>10.2</v>
      </c>
      <c r="AT5383" t="s">
        <v>596</v>
      </c>
      <c r="AU5383" t="s">
        <v>130</v>
      </c>
      <c r="AV5383" t="s">
        <v>20733</v>
      </c>
    </row>
    <row r="5384" spans="1:48">
      <c r="A5384" s="1">
        <f>HYPERLINK("https://lsnyc.legalserver.org/matter/dynamic-profile/view/1900023","19-1900023")</f>
        <v>0</v>
      </c>
      <c r="B5384" t="s">
        <v>113</v>
      </c>
      <c r="C5384" t="s">
        <v>256</v>
      </c>
      <c r="D5384" t="s">
        <v>293</v>
      </c>
      <c r="F5384" t="s">
        <v>1628</v>
      </c>
      <c r="G5384" t="s">
        <v>5367</v>
      </c>
      <c r="H5384" t="s">
        <v>5864</v>
      </c>
      <c r="I5384" t="s">
        <v>8952</v>
      </c>
      <c r="J5384" t="s">
        <v>9065</v>
      </c>
      <c r="K5384">
        <v>10460</v>
      </c>
      <c r="L5384" t="s">
        <v>9094</v>
      </c>
      <c r="M5384" t="s">
        <v>9095</v>
      </c>
      <c r="O5384" t="s">
        <v>9121</v>
      </c>
      <c r="P5384" t="s">
        <v>11166</v>
      </c>
      <c r="R5384" t="s">
        <v>11180</v>
      </c>
      <c r="S5384" t="s">
        <v>9094</v>
      </c>
      <c r="T5384" t="s">
        <v>11183</v>
      </c>
      <c r="V5384" t="s">
        <v>11218</v>
      </c>
      <c r="W5384">
        <v>955</v>
      </c>
      <c r="X5384" t="s">
        <v>11333</v>
      </c>
      <c r="Y5384" t="s">
        <v>11346</v>
      </c>
      <c r="Z5384" t="s">
        <v>14768</v>
      </c>
      <c r="AB5384" t="s">
        <v>19092</v>
      </c>
      <c r="AC5384">
        <v>168</v>
      </c>
      <c r="AD5384" t="s">
        <v>19566</v>
      </c>
      <c r="AE5384" t="s">
        <v>19580</v>
      </c>
      <c r="AF5384">
        <v>34</v>
      </c>
      <c r="AG5384">
        <v>1</v>
      </c>
      <c r="AH5384">
        <v>0</v>
      </c>
      <c r="AI5384">
        <v>249.8</v>
      </c>
      <c r="AL5384" t="s">
        <v>19614</v>
      </c>
      <c r="AM5384">
        <v>31200</v>
      </c>
      <c r="AS5384">
        <v>0</v>
      </c>
      <c r="AU5384" t="s">
        <v>220</v>
      </c>
      <c r="AV5384" t="s">
        <v>20733</v>
      </c>
    </row>
    <row r="5385" spans="1:48">
      <c r="A5385" s="1">
        <f>HYPERLINK("https://lsnyc.legalserver.org/matter/dynamic-profile/view/1894487","19-1894487")</f>
        <v>0</v>
      </c>
      <c r="B5385" t="s">
        <v>115</v>
      </c>
      <c r="C5385" t="s">
        <v>257</v>
      </c>
      <c r="D5385" t="s">
        <v>421</v>
      </c>
      <c r="E5385" t="s">
        <v>314</v>
      </c>
      <c r="F5385" t="s">
        <v>3076</v>
      </c>
      <c r="G5385" t="s">
        <v>3499</v>
      </c>
      <c r="H5385" t="s">
        <v>7960</v>
      </c>
      <c r="I5385" t="s">
        <v>8112</v>
      </c>
      <c r="J5385" t="s">
        <v>9065</v>
      </c>
      <c r="K5385">
        <v>10452</v>
      </c>
      <c r="L5385" t="s">
        <v>9094</v>
      </c>
      <c r="M5385" t="s">
        <v>9094</v>
      </c>
      <c r="N5385" t="s">
        <v>10986</v>
      </c>
      <c r="O5385" t="s">
        <v>11128</v>
      </c>
      <c r="P5385" t="s">
        <v>11164</v>
      </c>
      <c r="Q5385" t="s">
        <v>11172</v>
      </c>
      <c r="R5385" t="s">
        <v>11180</v>
      </c>
      <c r="S5385" t="s">
        <v>9096</v>
      </c>
      <c r="T5385" t="s">
        <v>11183</v>
      </c>
      <c r="U5385" t="s">
        <v>11201</v>
      </c>
      <c r="V5385" t="s">
        <v>421</v>
      </c>
      <c r="W5385">
        <v>1136</v>
      </c>
      <c r="X5385" t="s">
        <v>11333</v>
      </c>
      <c r="Y5385" t="s">
        <v>11339</v>
      </c>
      <c r="Z5385" t="s">
        <v>14769</v>
      </c>
      <c r="AB5385" t="s">
        <v>19093</v>
      </c>
      <c r="AC5385">
        <v>0</v>
      </c>
      <c r="AD5385" t="s">
        <v>19566</v>
      </c>
      <c r="AE5385" t="s">
        <v>9144</v>
      </c>
      <c r="AF5385">
        <v>10</v>
      </c>
      <c r="AG5385">
        <v>1</v>
      </c>
      <c r="AH5385">
        <v>0</v>
      </c>
      <c r="AI5385">
        <v>249.8</v>
      </c>
      <c r="AL5385" t="s">
        <v>19615</v>
      </c>
      <c r="AM5385">
        <v>31200</v>
      </c>
      <c r="AN5385" t="s">
        <v>19985</v>
      </c>
      <c r="AS5385">
        <v>0.1</v>
      </c>
      <c r="AT5385" t="s">
        <v>700</v>
      </c>
      <c r="AU5385" t="s">
        <v>115</v>
      </c>
      <c r="AV5385" t="s">
        <v>20733</v>
      </c>
    </row>
    <row r="5386" spans="1:48">
      <c r="A5386" s="1">
        <f>HYPERLINK("https://lsnyc.legalserver.org/matter/dynamic-profile/view/1912132","19-1912132")</f>
        <v>0</v>
      </c>
      <c r="B5386" t="s">
        <v>123</v>
      </c>
      <c r="C5386" t="s">
        <v>256</v>
      </c>
      <c r="D5386" t="s">
        <v>286</v>
      </c>
      <c r="F5386" t="s">
        <v>1389</v>
      </c>
      <c r="G5386" t="s">
        <v>3569</v>
      </c>
      <c r="H5386" t="s">
        <v>5927</v>
      </c>
      <c r="I5386" t="s">
        <v>8112</v>
      </c>
      <c r="J5386" t="s">
        <v>9066</v>
      </c>
      <c r="K5386">
        <v>10304</v>
      </c>
      <c r="L5386" t="s">
        <v>9094</v>
      </c>
      <c r="M5386" t="s">
        <v>9095</v>
      </c>
      <c r="N5386" t="s">
        <v>10987</v>
      </c>
      <c r="O5386" t="s">
        <v>11129</v>
      </c>
      <c r="P5386" t="s">
        <v>11169</v>
      </c>
      <c r="R5386" t="s">
        <v>11181</v>
      </c>
      <c r="S5386" t="s">
        <v>9096</v>
      </c>
      <c r="T5386" t="s">
        <v>11190</v>
      </c>
      <c r="V5386" t="s">
        <v>404</v>
      </c>
      <c r="W5386">
        <v>888.08</v>
      </c>
      <c r="X5386" t="s">
        <v>11334</v>
      </c>
      <c r="Y5386" t="s">
        <v>11337</v>
      </c>
      <c r="Z5386" t="s">
        <v>11639</v>
      </c>
      <c r="AC5386">
        <v>67</v>
      </c>
      <c r="AD5386" t="s">
        <v>19565</v>
      </c>
      <c r="AE5386" t="s">
        <v>19580</v>
      </c>
      <c r="AF5386">
        <v>2</v>
      </c>
      <c r="AG5386">
        <v>1</v>
      </c>
      <c r="AH5386">
        <v>0</v>
      </c>
      <c r="AI5386">
        <v>249.8</v>
      </c>
      <c r="AJ5386" t="s">
        <v>19591</v>
      </c>
      <c r="AK5386" t="s">
        <v>19608</v>
      </c>
      <c r="AL5386" t="s">
        <v>19614</v>
      </c>
      <c r="AM5386">
        <v>31200</v>
      </c>
      <c r="AS5386">
        <v>13.8</v>
      </c>
      <c r="AT5386" t="s">
        <v>487</v>
      </c>
      <c r="AU5386" t="s">
        <v>126</v>
      </c>
      <c r="AV5386" t="s">
        <v>20733</v>
      </c>
    </row>
    <row r="5387" spans="1:48">
      <c r="A5387" s="1">
        <f>HYPERLINK("https://lsnyc.legalserver.org/matter/dynamic-profile/view/1894945","19-1894945")</f>
        <v>0</v>
      </c>
      <c r="B5387" t="s">
        <v>126</v>
      </c>
      <c r="C5387" t="s">
        <v>256</v>
      </c>
      <c r="D5387" t="s">
        <v>278</v>
      </c>
      <c r="F5387" t="s">
        <v>2321</v>
      </c>
      <c r="G5387" t="s">
        <v>5368</v>
      </c>
      <c r="H5387" t="s">
        <v>7961</v>
      </c>
      <c r="I5387" t="s">
        <v>8953</v>
      </c>
      <c r="J5387" t="s">
        <v>9066</v>
      </c>
      <c r="K5387">
        <v>10301</v>
      </c>
      <c r="L5387" t="s">
        <v>9094</v>
      </c>
      <c r="M5387" t="s">
        <v>9095</v>
      </c>
      <c r="N5387" t="s">
        <v>10988</v>
      </c>
      <c r="O5387" t="s">
        <v>11130</v>
      </c>
      <c r="R5387" t="s">
        <v>11180</v>
      </c>
      <c r="S5387" t="s">
        <v>9096</v>
      </c>
      <c r="T5387" t="s">
        <v>11183</v>
      </c>
      <c r="U5387" t="s">
        <v>11201</v>
      </c>
      <c r="W5387">
        <v>1121.2</v>
      </c>
      <c r="X5387" t="s">
        <v>11334</v>
      </c>
      <c r="Y5387" t="s">
        <v>11345</v>
      </c>
      <c r="Z5387" t="s">
        <v>14770</v>
      </c>
      <c r="AB5387" t="s">
        <v>19094</v>
      </c>
      <c r="AC5387">
        <v>120</v>
      </c>
      <c r="AD5387" t="s">
        <v>19566</v>
      </c>
      <c r="AE5387" t="s">
        <v>9144</v>
      </c>
      <c r="AF5387">
        <v>17</v>
      </c>
      <c r="AG5387">
        <v>1</v>
      </c>
      <c r="AH5387">
        <v>0</v>
      </c>
      <c r="AI5387">
        <v>249.8</v>
      </c>
      <c r="AL5387" t="s">
        <v>19614</v>
      </c>
      <c r="AM5387">
        <v>31200</v>
      </c>
      <c r="AS5387">
        <v>21.7</v>
      </c>
      <c r="AT5387" t="s">
        <v>484</v>
      </c>
      <c r="AU5387" t="s">
        <v>20653</v>
      </c>
      <c r="AV5387" t="s">
        <v>20733</v>
      </c>
    </row>
    <row r="5388" spans="1:48">
      <c r="A5388" s="1">
        <f>HYPERLINK("https://lsnyc.legalserver.org/matter/dynamic-profile/view/1904267","19-1904267")</f>
        <v>0</v>
      </c>
      <c r="B5388" t="s">
        <v>139</v>
      </c>
      <c r="C5388" t="s">
        <v>257</v>
      </c>
      <c r="D5388" t="s">
        <v>265</v>
      </c>
      <c r="E5388" t="s">
        <v>497</v>
      </c>
      <c r="F5388" t="s">
        <v>2030</v>
      </c>
      <c r="G5388" t="s">
        <v>4599</v>
      </c>
      <c r="H5388" t="s">
        <v>7962</v>
      </c>
      <c r="I5388" t="s">
        <v>8170</v>
      </c>
      <c r="J5388" t="s">
        <v>9067</v>
      </c>
      <c r="K5388">
        <v>10032</v>
      </c>
      <c r="L5388" t="s">
        <v>9094</v>
      </c>
      <c r="M5388" t="s">
        <v>9095</v>
      </c>
      <c r="O5388" t="s">
        <v>11136</v>
      </c>
      <c r="P5388" t="s">
        <v>11164</v>
      </c>
      <c r="Q5388" t="s">
        <v>11172</v>
      </c>
      <c r="R5388" t="s">
        <v>11180</v>
      </c>
      <c r="S5388" t="s">
        <v>9096</v>
      </c>
      <c r="T5388" t="s">
        <v>11183</v>
      </c>
      <c r="V5388" t="s">
        <v>265</v>
      </c>
      <c r="W5388">
        <v>606</v>
      </c>
      <c r="X5388" t="s">
        <v>11335</v>
      </c>
      <c r="Y5388" t="s">
        <v>11338</v>
      </c>
      <c r="Z5388" t="s">
        <v>14771</v>
      </c>
      <c r="AB5388" t="s">
        <v>19095</v>
      </c>
      <c r="AC5388">
        <v>42</v>
      </c>
      <c r="AD5388" t="s">
        <v>19570</v>
      </c>
      <c r="AE5388" t="s">
        <v>9144</v>
      </c>
      <c r="AF5388">
        <v>53</v>
      </c>
      <c r="AG5388">
        <v>1</v>
      </c>
      <c r="AH5388">
        <v>0</v>
      </c>
      <c r="AI5388">
        <v>249.8</v>
      </c>
      <c r="AL5388" t="s">
        <v>19614</v>
      </c>
      <c r="AM5388">
        <v>31200</v>
      </c>
      <c r="AS5388">
        <v>1.5</v>
      </c>
      <c r="AT5388" t="s">
        <v>497</v>
      </c>
      <c r="AU5388" t="s">
        <v>130</v>
      </c>
      <c r="AV5388" t="s">
        <v>20733</v>
      </c>
    </row>
    <row r="5389" spans="1:48">
      <c r="A5389" s="1">
        <f>HYPERLINK("https://lsnyc.legalserver.org/matter/dynamic-profile/view/1891156","19-1891156")</f>
        <v>0</v>
      </c>
      <c r="B5389" t="s">
        <v>144</v>
      </c>
      <c r="C5389" t="s">
        <v>256</v>
      </c>
      <c r="D5389" t="s">
        <v>491</v>
      </c>
      <c r="F5389" t="s">
        <v>3077</v>
      </c>
      <c r="G5389" t="s">
        <v>5369</v>
      </c>
      <c r="H5389" t="s">
        <v>7963</v>
      </c>
      <c r="I5389">
        <v>5</v>
      </c>
      <c r="J5389" t="s">
        <v>9067</v>
      </c>
      <c r="K5389">
        <v>10013</v>
      </c>
      <c r="L5389" t="s">
        <v>9096</v>
      </c>
      <c r="M5389" t="s">
        <v>9094</v>
      </c>
      <c r="O5389" t="s">
        <v>9121</v>
      </c>
      <c r="P5389" t="s">
        <v>11169</v>
      </c>
      <c r="R5389" t="s">
        <v>11180</v>
      </c>
      <c r="S5389" t="s">
        <v>9096</v>
      </c>
      <c r="T5389" t="s">
        <v>11183</v>
      </c>
      <c r="W5389">
        <v>0</v>
      </c>
      <c r="X5389" t="s">
        <v>11335</v>
      </c>
      <c r="Y5389" t="s">
        <v>11339</v>
      </c>
      <c r="Z5389" t="s">
        <v>14772</v>
      </c>
      <c r="AC5389">
        <v>0</v>
      </c>
      <c r="AD5389" t="s">
        <v>15441</v>
      </c>
      <c r="AE5389" t="s">
        <v>9144</v>
      </c>
      <c r="AF5389">
        <v>3</v>
      </c>
      <c r="AG5389">
        <v>1</v>
      </c>
      <c r="AH5389">
        <v>0</v>
      </c>
      <c r="AI5389">
        <v>249.8</v>
      </c>
      <c r="AL5389" t="s">
        <v>19628</v>
      </c>
      <c r="AM5389">
        <v>31200</v>
      </c>
      <c r="AS5389">
        <v>0</v>
      </c>
      <c r="AU5389" t="s">
        <v>20655</v>
      </c>
    </row>
    <row r="5390" spans="1:48">
      <c r="A5390" s="1">
        <f>HYPERLINK("https://lsnyc.legalserver.org/matter/dynamic-profile/view/1868150","18-1868150")</f>
        <v>0</v>
      </c>
      <c r="B5390" t="s">
        <v>142</v>
      </c>
      <c r="C5390" t="s">
        <v>257</v>
      </c>
      <c r="D5390" t="s">
        <v>380</v>
      </c>
      <c r="E5390" t="s">
        <v>410</v>
      </c>
      <c r="F5390" t="s">
        <v>1266</v>
      </c>
      <c r="G5390" t="s">
        <v>5169</v>
      </c>
      <c r="H5390" t="s">
        <v>7964</v>
      </c>
      <c r="I5390" t="s">
        <v>8354</v>
      </c>
      <c r="J5390" t="s">
        <v>9067</v>
      </c>
      <c r="K5390">
        <v>10016</v>
      </c>
      <c r="L5390" t="s">
        <v>9094</v>
      </c>
      <c r="M5390" t="s">
        <v>9094</v>
      </c>
      <c r="N5390" t="s">
        <v>10989</v>
      </c>
      <c r="O5390" t="s">
        <v>11162</v>
      </c>
      <c r="P5390" t="s">
        <v>11165</v>
      </c>
      <c r="Q5390" t="s">
        <v>11174</v>
      </c>
      <c r="R5390" t="s">
        <v>11180</v>
      </c>
      <c r="S5390" t="s">
        <v>9096</v>
      </c>
      <c r="T5390" t="s">
        <v>11183</v>
      </c>
      <c r="U5390" t="s">
        <v>11201</v>
      </c>
      <c r="V5390" t="s">
        <v>689</v>
      </c>
      <c r="W5390">
        <v>1205</v>
      </c>
      <c r="X5390" t="s">
        <v>11335</v>
      </c>
      <c r="Y5390" t="s">
        <v>11350</v>
      </c>
      <c r="Z5390" t="s">
        <v>14773</v>
      </c>
      <c r="AB5390" t="s">
        <v>19096</v>
      </c>
      <c r="AC5390">
        <v>8</v>
      </c>
      <c r="AD5390" t="s">
        <v>19566</v>
      </c>
      <c r="AE5390" t="s">
        <v>9144</v>
      </c>
      <c r="AF5390">
        <v>30</v>
      </c>
      <c r="AG5390">
        <v>2</v>
      </c>
      <c r="AH5390">
        <v>1</v>
      </c>
      <c r="AI5390">
        <v>250.24</v>
      </c>
      <c r="AJ5390" t="s">
        <v>689</v>
      </c>
      <c r="AK5390" t="s">
        <v>19612</v>
      </c>
      <c r="AL5390" t="s">
        <v>19614</v>
      </c>
      <c r="AM5390">
        <v>52000</v>
      </c>
      <c r="AQ5390" t="s">
        <v>20369</v>
      </c>
      <c r="AR5390" t="s">
        <v>20398</v>
      </c>
      <c r="AS5390">
        <v>92.7</v>
      </c>
      <c r="AT5390" t="s">
        <v>415</v>
      </c>
      <c r="AU5390" t="s">
        <v>20657</v>
      </c>
      <c r="AV5390" t="s">
        <v>20733</v>
      </c>
    </row>
    <row r="5391" spans="1:48">
      <c r="A5391" s="1">
        <f>HYPERLINK("https://lsnyc.legalserver.org/matter/dynamic-profile/view/1842817","17-1842817")</f>
        <v>0</v>
      </c>
      <c r="B5391" t="s">
        <v>122</v>
      </c>
      <c r="C5391" t="s">
        <v>257</v>
      </c>
      <c r="D5391" t="s">
        <v>480</v>
      </c>
      <c r="E5391" t="s">
        <v>414</v>
      </c>
      <c r="F5391" t="s">
        <v>1164</v>
      </c>
      <c r="G5391" t="s">
        <v>5346</v>
      </c>
      <c r="H5391" t="s">
        <v>7941</v>
      </c>
      <c r="I5391" t="s">
        <v>8944</v>
      </c>
      <c r="J5391" t="s">
        <v>9066</v>
      </c>
      <c r="K5391">
        <v>10314</v>
      </c>
      <c r="L5391" t="s">
        <v>9094</v>
      </c>
      <c r="M5391" t="s">
        <v>9095</v>
      </c>
      <c r="N5391" t="s">
        <v>9260</v>
      </c>
      <c r="O5391" t="s">
        <v>11135</v>
      </c>
      <c r="P5391" t="s">
        <v>11168</v>
      </c>
      <c r="Q5391" t="s">
        <v>11177</v>
      </c>
      <c r="R5391" t="s">
        <v>11180</v>
      </c>
      <c r="S5391" t="s">
        <v>9094</v>
      </c>
      <c r="T5391" t="s">
        <v>11183</v>
      </c>
      <c r="U5391" t="s">
        <v>11201</v>
      </c>
      <c r="V5391" t="s">
        <v>712</v>
      </c>
      <c r="W5391">
        <v>907</v>
      </c>
      <c r="X5391" t="s">
        <v>11334</v>
      </c>
      <c r="Y5391" t="s">
        <v>11340</v>
      </c>
      <c r="Z5391" t="s">
        <v>14734</v>
      </c>
      <c r="AB5391" t="s">
        <v>19057</v>
      </c>
      <c r="AC5391">
        <v>96</v>
      </c>
      <c r="AD5391" t="s">
        <v>19566</v>
      </c>
      <c r="AE5391" t="s">
        <v>9144</v>
      </c>
      <c r="AF5391">
        <v>3</v>
      </c>
      <c r="AG5391">
        <v>1</v>
      </c>
      <c r="AH5391">
        <v>0</v>
      </c>
      <c r="AI5391">
        <v>250.85</v>
      </c>
      <c r="AJ5391" t="s">
        <v>19594</v>
      </c>
      <c r="AL5391" t="s">
        <v>19614</v>
      </c>
      <c r="AM5391">
        <v>30252</v>
      </c>
      <c r="AO5391" t="s">
        <v>20293</v>
      </c>
      <c r="AP5391" t="s">
        <v>20316</v>
      </c>
      <c r="AQ5391" t="s">
        <v>20369</v>
      </c>
      <c r="AR5391" t="s">
        <v>20385</v>
      </c>
      <c r="AS5391">
        <v>12.6</v>
      </c>
      <c r="AT5391" t="s">
        <v>414</v>
      </c>
      <c r="AU5391" t="s">
        <v>20651</v>
      </c>
      <c r="AV5391" t="s">
        <v>20733</v>
      </c>
    </row>
    <row r="5392" spans="1:48">
      <c r="A5392" s="1">
        <f>HYPERLINK("https://lsnyc.legalserver.org/matter/dynamic-profile/view/1899854","19-1899854")</f>
        <v>0</v>
      </c>
      <c r="B5392" t="s">
        <v>113</v>
      </c>
      <c r="C5392" t="s">
        <v>256</v>
      </c>
      <c r="D5392" t="s">
        <v>411</v>
      </c>
      <c r="F5392" t="s">
        <v>3023</v>
      </c>
      <c r="G5392" t="s">
        <v>5370</v>
      </c>
      <c r="H5392" t="s">
        <v>5864</v>
      </c>
      <c r="I5392" t="s">
        <v>8954</v>
      </c>
      <c r="J5392" t="s">
        <v>9065</v>
      </c>
      <c r="K5392">
        <v>10460</v>
      </c>
      <c r="L5392" t="s">
        <v>9094</v>
      </c>
      <c r="M5392" t="s">
        <v>9095</v>
      </c>
      <c r="N5392" t="s">
        <v>9171</v>
      </c>
      <c r="O5392" t="s">
        <v>9121</v>
      </c>
      <c r="P5392" t="s">
        <v>11166</v>
      </c>
      <c r="R5392" t="s">
        <v>11180</v>
      </c>
      <c r="S5392" t="s">
        <v>9094</v>
      </c>
      <c r="T5392" t="s">
        <v>11183</v>
      </c>
      <c r="V5392" t="s">
        <v>11218</v>
      </c>
      <c r="W5392">
        <v>895</v>
      </c>
      <c r="X5392" t="s">
        <v>11333</v>
      </c>
      <c r="Y5392" t="s">
        <v>11346</v>
      </c>
      <c r="Z5392" t="s">
        <v>14774</v>
      </c>
      <c r="AC5392">
        <v>168</v>
      </c>
      <c r="AD5392" t="s">
        <v>19566</v>
      </c>
      <c r="AE5392" t="s">
        <v>19580</v>
      </c>
      <c r="AF5392">
        <v>5</v>
      </c>
      <c r="AG5392">
        <v>1</v>
      </c>
      <c r="AH5392">
        <v>0</v>
      </c>
      <c r="AI5392">
        <v>252.2</v>
      </c>
      <c r="AL5392" t="s">
        <v>19614</v>
      </c>
      <c r="AM5392">
        <v>31500</v>
      </c>
      <c r="AS5392">
        <v>0</v>
      </c>
      <c r="AU5392" t="s">
        <v>163</v>
      </c>
      <c r="AV5392" t="s">
        <v>20733</v>
      </c>
    </row>
    <row r="5393" spans="1:48">
      <c r="A5393" s="1">
        <f>HYPERLINK("https://lsnyc.legalserver.org/matter/dynamic-profile/view/1906893","19-1906893")</f>
        <v>0</v>
      </c>
      <c r="B5393" t="s">
        <v>73</v>
      </c>
      <c r="C5393" t="s">
        <v>257</v>
      </c>
      <c r="D5393" t="s">
        <v>370</v>
      </c>
      <c r="E5393" t="s">
        <v>416</v>
      </c>
      <c r="F5393" t="s">
        <v>1960</v>
      </c>
      <c r="G5393" t="s">
        <v>5371</v>
      </c>
      <c r="H5393" t="s">
        <v>7965</v>
      </c>
      <c r="J5393" t="s">
        <v>9059</v>
      </c>
      <c r="K5393">
        <v>11233</v>
      </c>
      <c r="L5393" t="s">
        <v>9094</v>
      </c>
      <c r="M5393" t="s">
        <v>9095</v>
      </c>
      <c r="N5393" t="s">
        <v>10990</v>
      </c>
      <c r="O5393" t="s">
        <v>11129</v>
      </c>
      <c r="P5393" t="s">
        <v>11164</v>
      </c>
      <c r="Q5393" t="s">
        <v>11172</v>
      </c>
      <c r="R5393" t="s">
        <v>11180</v>
      </c>
      <c r="S5393" t="s">
        <v>9096</v>
      </c>
      <c r="T5393" t="s">
        <v>11183</v>
      </c>
      <c r="U5393" t="s">
        <v>11202</v>
      </c>
      <c r="V5393" t="s">
        <v>676</v>
      </c>
      <c r="W5393">
        <v>0</v>
      </c>
      <c r="X5393" t="s">
        <v>11332</v>
      </c>
      <c r="Y5393" t="s">
        <v>11351</v>
      </c>
      <c r="Z5393" t="s">
        <v>12042</v>
      </c>
      <c r="AC5393">
        <v>2</v>
      </c>
      <c r="AF5393">
        <v>0</v>
      </c>
      <c r="AG5393">
        <v>2</v>
      </c>
      <c r="AH5393">
        <v>2</v>
      </c>
      <c r="AI5393">
        <v>252.43</v>
      </c>
      <c r="AL5393" t="s">
        <v>19614</v>
      </c>
      <c r="AM5393">
        <v>65000</v>
      </c>
      <c r="AS5393">
        <v>2</v>
      </c>
      <c r="AT5393" t="s">
        <v>676</v>
      </c>
      <c r="AU5393" t="s">
        <v>79</v>
      </c>
      <c r="AV5393" t="s">
        <v>20733</v>
      </c>
    </row>
    <row r="5394" spans="1:48">
      <c r="A5394" s="1">
        <f>HYPERLINK("https://lsnyc.legalserver.org/matter/dynamic-profile/view/1904725","19-1904725")</f>
        <v>0</v>
      </c>
      <c r="B5394" t="s">
        <v>140</v>
      </c>
      <c r="C5394" t="s">
        <v>256</v>
      </c>
      <c r="D5394" t="s">
        <v>497</v>
      </c>
      <c r="F5394" t="s">
        <v>1147</v>
      </c>
      <c r="G5394" t="s">
        <v>4024</v>
      </c>
      <c r="H5394" t="s">
        <v>7605</v>
      </c>
      <c r="I5394" t="s">
        <v>8950</v>
      </c>
      <c r="J5394" t="s">
        <v>9067</v>
      </c>
      <c r="K5394">
        <v>10034</v>
      </c>
      <c r="L5394" t="s">
        <v>9094</v>
      </c>
      <c r="M5394" t="s">
        <v>9095</v>
      </c>
      <c r="O5394" t="s">
        <v>11130</v>
      </c>
      <c r="P5394" t="s">
        <v>11165</v>
      </c>
      <c r="R5394" t="s">
        <v>11180</v>
      </c>
      <c r="S5394" t="s">
        <v>9094</v>
      </c>
      <c r="T5394" t="s">
        <v>11183</v>
      </c>
      <c r="V5394" t="s">
        <v>497</v>
      </c>
      <c r="W5394">
        <v>1650</v>
      </c>
      <c r="X5394" t="s">
        <v>11335</v>
      </c>
      <c r="Y5394" t="s">
        <v>11338</v>
      </c>
      <c r="Z5394" t="s">
        <v>14775</v>
      </c>
      <c r="AB5394" t="s">
        <v>19097</v>
      </c>
      <c r="AC5394">
        <v>43</v>
      </c>
      <c r="AD5394" t="s">
        <v>19566</v>
      </c>
      <c r="AE5394" t="s">
        <v>9144</v>
      </c>
      <c r="AF5394">
        <v>24</v>
      </c>
      <c r="AG5394">
        <v>2</v>
      </c>
      <c r="AH5394">
        <v>2</v>
      </c>
      <c r="AI5394">
        <v>252.43</v>
      </c>
      <c r="AJ5394" t="s">
        <v>404</v>
      </c>
      <c r="AK5394" t="s">
        <v>19612</v>
      </c>
      <c r="AL5394" t="s">
        <v>19614</v>
      </c>
      <c r="AM5394">
        <v>65000</v>
      </c>
      <c r="AS5394">
        <v>0</v>
      </c>
      <c r="AU5394" t="s">
        <v>130</v>
      </c>
      <c r="AV5394" t="s">
        <v>20733</v>
      </c>
    </row>
    <row r="5395" spans="1:48">
      <c r="A5395" s="1">
        <f>HYPERLINK("https://lsnyc.legalserver.org/matter/dynamic-profile/view/0817600","16-0817600")</f>
        <v>0</v>
      </c>
      <c r="B5395" t="s">
        <v>75</v>
      </c>
      <c r="C5395" t="s">
        <v>257</v>
      </c>
      <c r="D5395" t="s">
        <v>382</v>
      </c>
      <c r="E5395" t="s">
        <v>1132</v>
      </c>
      <c r="F5395" t="s">
        <v>3078</v>
      </c>
      <c r="G5395" t="s">
        <v>5372</v>
      </c>
      <c r="H5395" t="s">
        <v>5802</v>
      </c>
      <c r="I5395" t="s">
        <v>8955</v>
      </c>
      <c r="J5395" t="s">
        <v>9059</v>
      </c>
      <c r="K5395">
        <v>11213</v>
      </c>
      <c r="L5395" t="s">
        <v>9094</v>
      </c>
      <c r="M5395" t="s">
        <v>9095</v>
      </c>
      <c r="O5395" t="s">
        <v>11130</v>
      </c>
      <c r="P5395" t="s">
        <v>11165</v>
      </c>
      <c r="Q5395" t="s">
        <v>11174</v>
      </c>
      <c r="R5395" t="s">
        <v>11180</v>
      </c>
      <c r="S5395" t="s">
        <v>9094</v>
      </c>
      <c r="T5395" t="s">
        <v>11183</v>
      </c>
      <c r="V5395" t="s">
        <v>519</v>
      </c>
      <c r="W5395">
        <v>0</v>
      </c>
      <c r="X5395" t="s">
        <v>11332</v>
      </c>
      <c r="Y5395" t="s">
        <v>11338</v>
      </c>
      <c r="Z5395" t="s">
        <v>14776</v>
      </c>
      <c r="AC5395">
        <v>6</v>
      </c>
      <c r="AD5395" t="s">
        <v>19566</v>
      </c>
      <c r="AF5395">
        <v>0</v>
      </c>
      <c r="AG5395">
        <v>1</v>
      </c>
      <c r="AH5395">
        <v>0</v>
      </c>
      <c r="AI5395">
        <v>252.53</v>
      </c>
      <c r="AJ5395" t="s">
        <v>805</v>
      </c>
      <c r="AL5395" t="s">
        <v>19614</v>
      </c>
      <c r="AM5395">
        <v>30000</v>
      </c>
      <c r="AN5395" t="s">
        <v>20118</v>
      </c>
      <c r="AS5395">
        <v>3.55</v>
      </c>
      <c r="AT5395" t="s">
        <v>352</v>
      </c>
      <c r="AU5395" t="s">
        <v>20636</v>
      </c>
    </row>
    <row r="5396" spans="1:48">
      <c r="A5396" s="1">
        <f>HYPERLINK("https://lsnyc.legalserver.org/matter/dynamic-profile/view/1847305","17-1847305")</f>
        <v>0</v>
      </c>
      <c r="B5396" t="s">
        <v>156</v>
      </c>
      <c r="C5396" t="s">
        <v>256</v>
      </c>
      <c r="D5396" t="s">
        <v>942</v>
      </c>
      <c r="F5396" t="s">
        <v>1872</v>
      </c>
      <c r="G5396" t="s">
        <v>5026</v>
      </c>
      <c r="H5396" t="s">
        <v>5855</v>
      </c>
      <c r="I5396" t="s">
        <v>8215</v>
      </c>
      <c r="J5396" t="s">
        <v>9065</v>
      </c>
      <c r="K5396">
        <v>10467</v>
      </c>
      <c r="L5396" t="s">
        <v>9094</v>
      </c>
      <c r="M5396" t="s">
        <v>9095</v>
      </c>
      <c r="N5396" t="s">
        <v>9220</v>
      </c>
      <c r="O5396" t="s">
        <v>11143</v>
      </c>
      <c r="P5396" t="s">
        <v>11165</v>
      </c>
      <c r="R5396" t="s">
        <v>11180</v>
      </c>
      <c r="S5396" t="s">
        <v>9094</v>
      </c>
      <c r="T5396" t="s">
        <v>11183</v>
      </c>
      <c r="V5396" t="s">
        <v>734</v>
      </c>
      <c r="W5396">
        <v>957</v>
      </c>
      <c r="X5396" t="s">
        <v>11333</v>
      </c>
      <c r="Y5396" t="s">
        <v>11338</v>
      </c>
      <c r="Z5396" t="s">
        <v>14115</v>
      </c>
      <c r="AB5396" t="s">
        <v>18438</v>
      </c>
      <c r="AC5396">
        <v>30</v>
      </c>
      <c r="AD5396" t="s">
        <v>19566</v>
      </c>
      <c r="AE5396" t="s">
        <v>9144</v>
      </c>
      <c r="AF5396">
        <v>5</v>
      </c>
      <c r="AG5396">
        <v>1</v>
      </c>
      <c r="AH5396">
        <v>1</v>
      </c>
      <c r="AI5396">
        <v>253.08</v>
      </c>
      <c r="AJ5396" t="s">
        <v>865</v>
      </c>
      <c r="AL5396" t="s">
        <v>19614</v>
      </c>
      <c r="AM5396">
        <v>41101</v>
      </c>
      <c r="AS5396">
        <v>1</v>
      </c>
      <c r="AT5396" t="s">
        <v>868</v>
      </c>
      <c r="AU5396" t="s">
        <v>20642</v>
      </c>
    </row>
    <row r="5397" spans="1:48">
      <c r="A5397" s="1">
        <f>HYPERLINK("https://lsnyc.legalserver.org/matter/dynamic-profile/view/1841125","17-1841125")</f>
        <v>0</v>
      </c>
      <c r="B5397" t="s">
        <v>108</v>
      </c>
      <c r="C5397" t="s">
        <v>256</v>
      </c>
      <c r="D5397" t="s">
        <v>770</v>
      </c>
      <c r="F5397" t="s">
        <v>1384</v>
      </c>
      <c r="G5397" t="s">
        <v>5373</v>
      </c>
      <c r="H5397" t="s">
        <v>5897</v>
      </c>
      <c r="I5397" t="s">
        <v>8956</v>
      </c>
      <c r="J5397" t="s">
        <v>9065</v>
      </c>
      <c r="K5397">
        <v>10452</v>
      </c>
      <c r="L5397" t="s">
        <v>9094</v>
      </c>
      <c r="M5397" t="s">
        <v>9095</v>
      </c>
      <c r="O5397" t="s">
        <v>11135</v>
      </c>
      <c r="P5397" t="s">
        <v>11168</v>
      </c>
      <c r="R5397" t="s">
        <v>11180</v>
      </c>
      <c r="S5397" t="s">
        <v>9094</v>
      </c>
      <c r="T5397" t="s">
        <v>11183</v>
      </c>
      <c r="V5397" t="s">
        <v>770</v>
      </c>
      <c r="W5397">
        <v>799.6</v>
      </c>
      <c r="X5397" t="s">
        <v>11333</v>
      </c>
      <c r="Z5397" t="s">
        <v>14777</v>
      </c>
      <c r="AB5397" t="s">
        <v>19098</v>
      </c>
      <c r="AC5397">
        <v>122</v>
      </c>
      <c r="AD5397" t="s">
        <v>19566</v>
      </c>
      <c r="AF5397">
        <v>24</v>
      </c>
      <c r="AG5397">
        <v>1</v>
      </c>
      <c r="AH5397">
        <v>0</v>
      </c>
      <c r="AI5397">
        <v>254.13</v>
      </c>
      <c r="AL5397" t="s">
        <v>19614</v>
      </c>
      <c r="AM5397">
        <v>30648</v>
      </c>
      <c r="AS5397">
        <v>0</v>
      </c>
      <c r="AU5397" t="s">
        <v>20647</v>
      </c>
    </row>
    <row r="5398" spans="1:48">
      <c r="A5398" s="1">
        <f>HYPERLINK("https://lsnyc.legalserver.org/matter/dynamic-profile/view/1857053","18-1857053")</f>
        <v>0</v>
      </c>
      <c r="B5398" t="s">
        <v>108</v>
      </c>
      <c r="C5398" t="s">
        <v>256</v>
      </c>
      <c r="D5398" t="s">
        <v>751</v>
      </c>
      <c r="F5398" t="s">
        <v>1384</v>
      </c>
      <c r="G5398" t="s">
        <v>5373</v>
      </c>
      <c r="H5398" t="s">
        <v>5897</v>
      </c>
      <c r="I5398" t="s">
        <v>8956</v>
      </c>
      <c r="J5398" t="s">
        <v>9065</v>
      </c>
      <c r="K5398">
        <v>10452</v>
      </c>
      <c r="L5398" t="s">
        <v>9094</v>
      </c>
      <c r="M5398" t="s">
        <v>9095</v>
      </c>
      <c r="N5398" t="s">
        <v>9252</v>
      </c>
      <c r="O5398" t="s">
        <v>11135</v>
      </c>
      <c r="P5398" t="s">
        <v>11168</v>
      </c>
      <c r="R5398" t="s">
        <v>11180</v>
      </c>
      <c r="S5398" t="s">
        <v>9094</v>
      </c>
      <c r="T5398" t="s">
        <v>11183</v>
      </c>
      <c r="V5398" t="s">
        <v>11233</v>
      </c>
      <c r="W5398">
        <v>799.6</v>
      </c>
      <c r="X5398" t="s">
        <v>11333</v>
      </c>
      <c r="Y5398" t="s">
        <v>11346</v>
      </c>
      <c r="Z5398" t="s">
        <v>14777</v>
      </c>
      <c r="AB5398" t="s">
        <v>19098</v>
      </c>
      <c r="AC5398">
        <v>122</v>
      </c>
      <c r="AD5398" t="s">
        <v>19566</v>
      </c>
      <c r="AE5398" t="s">
        <v>9144</v>
      </c>
      <c r="AF5398">
        <v>24</v>
      </c>
      <c r="AG5398">
        <v>1</v>
      </c>
      <c r="AH5398">
        <v>0</v>
      </c>
      <c r="AI5398">
        <v>254.13</v>
      </c>
      <c r="AL5398" t="s">
        <v>19614</v>
      </c>
      <c r="AM5398">
        <v>30648</v>
      </c>
      <c r="AS5398">
        <v>0</v>
      </c>
      <c r="AU5398" t="s">
        <v>20647</v>
      </c>
    </row>
    <row r="5399" spans="1:48">
      <c r="A5399" s="1">
        <f>HYPERLINK("https://lsnyc.legalserver.org/matter/dynamic-profile/view/1857538","18-1857538")</f>
        <v>0</v>
      </c>
      <c r="B5399" t="s">
        <v>108</v>
      </c>
      <c r="C5399" t="s">
        <v>256</v>
      </c>
      <c r="D5399" t="s">
        <v>468</v>
      </c>
      <c r="F5399" t="s">
        <v>1384</v>
      </c>
      <c r="G5399" t="s">
        <v>5373</v>
      </c>
      <c r="H5399" t="s">
        <v>5897</v>
      </c>
      <c r="I5399" t="s">
        <v>8956</v>
      </c>
      <c r="J5399" t="s">
        <v>9065</v>
      </c>
      <c r="K5399">
        <v>10452</v>
      </c>
      <c r="L5399" t="s">
        <v>9094</v>
      </c>
      <c r="M5399" t="s">
        <v>9095</v>
      </c>
      <c r="N5399" t="s">
        <v>9253</v>
      </c>
      <c r="O5399" t="s">
        <v>11135</v>
      </c>
      <c r="P5399" t="s">
        <v>11168</v>
      </c>
      <c r="R5399" t="s">
        <v>11180</v>
      </c>
      <c r="S5399" t="s">
        <v>9094</v>
      </c>
      <c r="T5399" t="s">
        <v>11183</v>
      </c>
      <c r="V5399" t="s">
        <v>555</v>
      </c>
      <c r="W5399">
        <v>799.6</v>
      </c>
      <c r="X5399" t="s">
        <v>11333</v>
      </c>
      <c r="Y5399" t="s">
        <v>11346</v>
      </c>
      <c r="Z5399" t="s">
        <v>14777</v>
      </c>
      <c r="AB5399" t="s">
        <v>19098</v>
      </c>
      <c r="AC5399">
        <v>122</v>
      </c>
      <c r="AD5399" t="s">
        <v>19566</v>
      </c>
      <c r="AE5399" t="s">
        <v>9144</v>
      </c>
      <c r="AF5399">
        <v>24</v>
      </c>
      <c r="AG5399">
        <v>1</v>
      </c>
      <c r="AH5399">
        <v>0</v>
      </c>
      <c r="AI5399">
        <v>254.13</v>
      </c>
      <c r="AL5399" t="s">
        <v>19614</v>
      </c>
      <c r="AM5399">
        <v>30648</v>
      </c>
      <c r="AN5399" t="s">
        <v>19808</v>
      </c>
      <c r="AS5399">
        <v>0</v>
      </c>
      <c r="AU5399" t="s">
        <v>20647</v>
      </c>
    </row>
    <row r="5400" spans="1:48">
      <c r="A5400" s="1">
        <f>HYPERLINK("https://lsnyc.legalserver.org/matter/dynamic-profile/view/1891891","19-1891891")</f>
        <v>0</v>
      </c>
      <c r="B5400" t="s">
        <v>70</v>
      </c>
      <c r="C5400" t="s">
        <v>256</v>
      </c>
      <c r="D5400" t="s">
        <v>868</v>
      </c>
      <c r="F5400" t="s">
        <v>1788</v>
      </c>
      <c r="G5400" t="s">
        <v>5146</v>
      </c>
      <c r="H5400" t="s">
        <v>5749</v>
      </c>
      <c r="I5400" t="s">
        <v>8398</v>
      </c>
      <c r="J5400" t="s">
        <v>9059</v>
      </c>
      <c r="K5400">
        <v>11233</v>
      </c>
      <c r="L5400" t="s">
        <v>9094</v>
      </c>
      <c r="M5400" t="s">
        <v>9096</v>
      </c>
      <c r="N5400" t="s">
        <v>9146</v>
      </c>
      <c r="O5400" t="s">
        <v>11134</v>
      </c>
      <c r="P5400" t="s">
        <v>11168</v>
      </c>
      <c r="R5400" t="s">
        <v>11180</v>
      </c>
      <c r="S5400" t="s">
        <v>9094</v>
      </c>
      <c r="T5400" t="s">
        <v>11183</v>
      </c>
      <c r="U5400" t="s">
        <v>11201</v>
      </c>
      <c r="V5400" t="s">
        <v>482</v>
      </c>
      <c r="W5400">
        <v>775</v>
      </c>
      <c r="X5400" t="s">
        <v>11332</v>
      </c>
      <c r="Y5400" t="s">
        <v>11157</v>
      </c>
      <c r="Z5400" t="s">
        <v>14430</v>
      </c>
      <c r="AC5400">
        <v>359</v>
      </c>
      <c r="AD5400" t="s">
        <v>19566</v>
      </c>
      <c r="AE5400" t="s">
        <v>9144</v>
      </c>
      <c r="AF5400">
        <v>10</v>
      </c>
      <c r="AG5400">
        <v>2</v>
      </c>
      <c r="AH5400">
        <v>0</v>
      </c>
      <c r="AI5400">
        <v>254.29</v>
      </c>
      <c r="AL5400" t="s">
        <v>19614</v>
      </c>
      <c r="AM5400">
        <v>43000</v>
      </c>
      <c r="AN5400" t="s">
        <v>19846</v>
      </c>
      <c r="AS5400">
        <v>0</v>
      </c>
      <c r="AU5400" t="s">
        <v>79</v>
      </c>
    </row>
    <row r="5401" spans="1:48">
      <c r="A5401" s="1">
        <f>HYPERLINK("https://lsnyc.legalserver.org/matter/dynamic-profile/view/1891899","19-1891899")</f>
        <v>0</v>
      </c>
      <c r="B5401" t="s">
        <v>70</v>
      </c>
      <c r="C5401" t="s">
        <v>256</v>
      </c>
      <c r="D5401" t="s">
        <v>868</v>
      </c>
      <c r="F5401" t="s">
        <v>1788</v>
      </c>
      <c r="G5401" t="s">
        <v>5146</v>
      </c>
      <c r="H5401" t="s">
        <v>5749</v>
      </c>
      <c r="I5401" t="s">
        <v>8398</v>
      </c>
      <c r="J5401" t="s">
        <v>9059</v>
      </c>
      <c r="K5401">
        <v>11233</v>
      </c>
      <c r="L5401" t="s">
        <v>9094</v>
      </c>
      <c r="M5401" t="s">
        <v>9096</v>
      </c>
      <c r="O5401" t="s">
        <v>11137</v>
      </c>
      <c r="P5401" t="s">
        <v>11167</v>
      </c>
      <c r="R5401" t="s">
        <v>11180</v>
      </c>
      <c r="S5401" t="s">
        <v>9094</v>
      </c>
      <c r="T5401" t="s">
        <v>11183</v>
      </c>
      <c r="U5401" t="s">
        <v>11201</v>
      </c>
      <c r="V5401" t="s">
        <v>749</v>
      </c>
      <c r="W5401">
        <v>775</v>
      </c>
      <c r="X5401" t="s">
        <v>11332</v>
      </c>
      <c r="Y5401" t="s">
        <v>11157</v>
      </c>
      <c r="Z5401" t="s">
        <v>14430</v>
      </c>
      <c r="AC5401">
        <v>359</v>
      </c>
      <c r="AD5401" t="s">
        <v>19566</v>
      </c>
      <c r="AE5401" t="s">
        <v>9144</v>
      </c>
      <c r="AF5401">
        <v>10</v>
      </c>
      <c r="AG5401">
        <v>2</v>
      </c>
      <c r="AH5401">
        <v>0</v>
      </c>
      <c r="AI5401">
        <v>254.29</v>
      </c>
      <c r="AL5401" t="s">
        <v>19614</v>
      </c>
      <c r="AM5401">
        <v>43000</v>
      </c>
      <c r="AN5401" t="s">
        <v>20119</v>
      </c>
      <c r="AS5401">
        <v>0</v>
      </c>
      <c r="AU5401" t="s">
        <v>79</v>
      </c>
    </row>
    <row r="5402" spans="1:48">
      <c r="A5402" s="1">
        <f>HYPERLINK("https://lsnyc.legalserver.org/matter/dynamic-profile/view/1907238","19-1907238")</f>
        <v>0</v>
      </c>
      <c r="B5402" t="s">
        <v>108</v>
      </c>
      <c r="C5402" t="s">
        <v>256</v>
      </c>
      <c r="D5402" t="s">
        <v>429</v>
      </c>
      <c r="F5402" t="s">
        <v>1858</v>
      </c>
      <c r="G5402" t="s">
        <v>5374</v>
      </c>
      <c r="H5402" t="s">
        <v>5897</v>
      </c>
      <c r="I5402" t="s">
        <v>8957</v>
      </c>
      <c r="J5402" t="s">
        <v>9065</v>
      </c>
      <c r="K5402">
        <v>10452</v>
      </c>
      <c r="L5402" t="s">
        <v>9094</v>
      </c>
      <c r="M5402" t="s">
        <v>9095</v>
      </c>
      <c r="N5402" t="s">
        <v>10991</v>
      </c>
      <c r="O5402" t="s">
        <v>11129</v>
      </c>
      <c r="P5402" t="s">
        <v>11165</v>
      </c>
      <c r="R5402" t="s">
        <v>11180</v>
      </c>
      <c r="S5402" t="s">
        <v>9096</v>
      </c>
      <c r="T5402" t="s">
        <v>11183</v>
      </c>
      <c r="U5402" t="s">
        <v>11201</v>
      </c>
      <c r="W5402">
        <v>931</v>
      </c>
      <c r="X5402" t="s">
        <v>11333</v>
      </c>
      <c r="Y5402" t="s">
        <v>11340</v>
      </c>
      <c r="Z5402" t="s">
        <v>14778</v>
      </c>
      <c r="AB5402" t="s">
        <v>19099</v>
      </c>
      <c r="AC5402">
        <v>122</v>
      </c>
      <c r="AD5402" t="s">
        <v>19566</v>
      </c>
      <c r="AE5402" t="s">
        <v>19580</v>
      </c>
      <c r="AF5402">
        <v>28</v>
      </c>
      <c r="AG5402">
        <v>2</v>
      </c>
      <c r="AH5402">
        <v>0</v>
      </c>
      <c r="AI5402">
        <v>254.29</v>
      </c>
      <c r="AL5402" t="s">
        <v>19614</v>
      </c>
      <c r="AM5402">
        <v>43000</v>
      </c>
      <c r="AN5402" t="s">
        <v>19938</v>
      </c>
      <c r="AS5402">
        <v>24.1</v>
      </c>
      <c r="AT5402" t="s">
        <v>521</v>
      </c>
      <c r="AU5402" t="s">
        <v>108</v>
      </c>
      <c r="AV5402" t="s">
        <v>20733</v>
      </c>
    </row>
    <row r="5403" spans="1:48">
      <c r="A5403" s="1">
        <f>HYPERLINK("https://lsnyc.legalserver.org/matter/dynamic-profile/view/1854707","17-1854707")</f>
        <v>0</v>
      </c>
      <c r="B5403" t="s">
        <v>101</v>
      </c>
      <c r="C5403" t="s">
        <v>256</v>
      </c>
      <c r="D5403" t="s">
        <v>990</v>
      </c>
      <c r="F5403" t="s">
        <v>1209</v>
      </c>
      <c r="G5403" t="s">
        <v>3706</v>
      </c>
      <c r="H5403" t="s">
        <v>6041</v>
      </c>
      <c r="I5403" t="s">
        <v>8218</v>
      </c>
      <c r="J5403" t="s">
        <v>9065</v>
      </c>
      <c r="K5403">
        <v>10452</v>
      </c>
      <c r="L5403" t="s">
        <v>9094</v>
      </c>
      <c r="M5403" t="s">
        <v>9095</v>
      </c>
      <c r="N5403" t="s">
        <v>9356</v>
      </c>
      <c r="O5403" t="s">
        <v>11135</v>
      </c>
      <c r="P5403" t="s">
        <v>11168</v>
      </c>
      <c r="R5403" t="s">
        <v>11180</v>
      </c>
      <c r="S5403" t="s">
        <v>9094</v>
      </c>
      <c r="T5403" t="s">
        <v>11183</v>
      </c>
      <c r="V5403" t="s">
        <v>1122</v>
      </c>
      <c r="W5403">
        <v>0</v>
      </c>
      <c r="X5403" t="s">
        <v>11333</v>
      </c>
      <c r="Y5403" t="s">
        <v>11346</v>
      </c>
      <c r="Z5403" t="s">
        <v>14779</v>
      </c>
      <c r="AB5403" t="s">
        <v>19100</v>
      </c>
      <c r="AC5403">
        <v>62</v>
      </c>
      <c r="AD5403" t="s">
        <v>19566</v>
      </c>
      <c r="AE5403" t="s">
        <v>9144</v>
      </c>
      <c r="AF5403">
        <v>0</v>
      </c>
      <c r="AG5403">
        <v>3</v>
      </c>
      <c r="AH5403">
        <v>0</v>
      </c>
      <c r="AI5403">
        <v>254.65</v>
      </c>
      <c r="AL5403" t="s">
        <v>19614</v>
      </c>
      <c r="AM5403">
        <v>83200</v>
      </c>
      <c r="AS5403">
        <v>0.4</v>
      </c>
      <c r="AT5403" t="s">
        <v>990</v>
      </c>
      <c r="AU5403" t="s">
        <v>174</v>
      </c>
    </row>
    <row r="5404" spans="1:48">
      <c r="A5404" s="1">
        <f>HYPERLINK("https://lsnyc.legalserver.org/matter/dynamic-profile/view/1855081","18-1855081")</f>
        <v>0</v>
      </c>
      <c r="B5404" t="s">
        <v>101</v>
      </c>
      <c r="C5404" t="s">
        <v>256</v>
      </c>
      <c r="D5404" t="s">
        <v>266</v>
      </c>
      <c r="F5404" t="s">
        <v>1209</v>
      </c>
      <c r="G5404" t="s">
        <v>3706</v>
      </c>
      <c r="H5404" t="s">
        <v>6041</v>
      </c>
      <c r="I5404" t="s">
        <v>8218</v>
      </c>
      <c r="J5404" t="s">
        <v>9065</v>
      </c>
      <c r="K5404">
        <v>10452</v>
      </c>
      <c r="L5404" t="s">
        <v>9094</v>
      </c>
      <c r="M5404" t="s">
        <v>9095</v>
      </c>
      <c r="N5404" t="s">
        <v>9496</v>
      </c>
      <c r="O5404" t="s">
        <v>11135</v>
      </c>
      <c r="P5404" t="s">
        <v>11168</v>
      </c>
      <c r="R5404" t="s">
        <v>11180</v>
      </c>
      <c r="S5404" t="s">
        <v>9094</v>
      </c>
      <c r="T5404" t="s">
        <v>11183</v>
      </c>
      <c r="V5404" t="s">
        <v>1122</v>
      </c>
      <c r="W5404">
        <v>0</v>
      </c>
      <c r="X5404" t="s">
        <v>11333</v>
      </c>
      <c r="Y5404" t="s">
        <v>11346</v>
      </c>
      <c r="Z5404" t="s">
        <v>14779</v>
      </c>
      <c r="AB5404" t="s">
        <v>19100</v>
      </c>
      <c r="AC5404">
        <v>62</v>
      </c>
      <c r="AD5404" t="s">
        <v>19566</v>
      </c>
      <c r="AE5404" t="s">
        <v>9144</v>
      </c>
      <c r="AF5404">
        <v>0</v>
      </c>
      <c r="AG5404">
        <v>3</v>
      </c>
      <c r="AH5404">
        <v>0</v>
      </c>
      <c r="AI5404">
        <v>254.65</v>
      </c>
      <c r="AL5404" t="s">
        <v>19614</v>
      </c>
      <c r="AM5404">
        <v>83200</v>
      </c>
      <c r="AS5404">
        <v>0</v>
      </c>
      <c r="AU5404" t="s">
        <v>20643</v>
      </c>
    </row>
    <row r="5405" spans="1:48">
      <c r="A5405" s="1">
        <f>HYPERLINK("https://lsnyc.legalserver.org/matter/dynamic-profile/view/1893400","19-1893400")</f>
        <v>0</v>
      </c>
      <c r="B5405" t="s">
        <v>135</v>
      </c>
      <c r="C5405" t="s">
        <v>257</v>
      </c>
      <c r="D5405" t="s">
        <v>373</v>
      </c>
      <c r="E5405" t="s">
        <v>334</v>
      </c>
      <c r="F5405" t="s">
        <v>3079</v>
      </c>
      <c r="G5405" t="s">
        <v>5375</v>
      </c>
      <c r="H5405" t="s">
        <v>5991</v>
      </c>
      <c r="I5405" t="s">
        <v>8168</v>
      </c>
      <c r="J5405" t="s">
        <v>9067</v>
      </c>
      <c r="K5405">
        <v>10035</v>
      </c>
      <c r="L5405" t="s">
        <v>9094</v>
      </c>
      <c r="M5405" t="s">
        <v>9095</v>
      </c>
      <c r="N5405" t="s">
        <v>9308</v>
      </c>
      <c r="O5405" t="s">
        <v>11130</v>
      </c>
      <c r="P5405" t="s">
        <v>11165</v>
      </c>
      <c r="Q5405" t="s">
        <v>11178</v>
      </c>
      <c r="R5405" t="s">
        <v>11180</v>
      </c>
      <c r="S5405" t="s">
        <v>9094</v>
      </c>
      <c r="T5405" t="s">
        <v>11183</v>
      </c>
      <c r="U5405" t="s">
        <v>11201</v>
      </c>
      <c r="V5405" t="s">
        <v>373</v>
      </c>
      <c r="W5405">
        <v>1415</v>
      </c>
      <c r="X5405" t="s">
        <v>11335</v>
      </c>
      <c r="Y5405" t="s">
        <v>11340</v>
      </c>
      <c r="Z5405" t="s">
        <v>14310</v>
      </c>
      <c r="AC5405">
        <v>35</v>
      </c>
      <c r="AD5405" t="s">
        <v>19566</v>
      </c>
      <c r="AE5405" t="s">
        <v>9144</v>
      </c>
      <c r="AF5405">
        <v>7</v>
      </c>
      <c r="AG5405">
        <v>3</v>
      </c>
      <c r="AH5405">
        <v>0</v>
      </c>
      <c r="AI5405">
        <v>254.74</v>
      </c>
      <c r="AL5405" t="s">
        <v>19615</v>
      </c>
      <c r="AM5405">
        <v>54336</v>
      </c>
      <c r="AP5405" t="s">
        <v>20342</v>
      </c>
      <c r="AQ5405" t="s">
        <v>20369</v>
      </c>
      <c r="AR5405" t="s">
        <v>20422</v>
      </c>
      <c r="AS5405">
        <v>7.75</v>
      </c>
      <c r="AT5405" t="s">
        <v>481</v>
      </c>
      <c r="AU5405" t="s">
        <v>20657</v>
      </c>
      <c r="AV5405" t="s">
        <v>20733</v>
      </c>
    </row>
    <row r="5406" spans="1:48">
      <c r="A5406" s="1">
        <f>HYPERLINK("https://lsnyc.legalserver.org/matter/dynamic-profile/view/1866427","18-1866427")</f>
        <v>0</v>
      </c>
      <c r="B5406" t="s">
        <v>136</v>
      </c>
      <c r="C5406" t="s">
        <v>256</v>
      </c>
      <c r="D5406" t="s">
        <v>727</v>
      </c>
      <c r="F5406" t="s">
        <v>3080</v>
      </c>
      <c r="G5406" t="s">
        <v>3503</v>
      </c>
      <c r="H5406" t="s">
        <v>6119</v>
      </c>
      <c r="I5406" t="s">
        <v>8139</v>
      </c>
      <c r="J5406" t="s">
        <v>9067</v>
      </c>
      <c r="K5406">
        <v>10031</v>
      </c>
      <c r="L5406" t="s">
        <v>9094</v>
      </c>
      <c r="M5406" t="s">
        <v>9094</v>
      </c>
      <c r="O5406" t="s">
        <v>11130</v>
      </c>
      <c r="P5406" t="s">
        <v>11167</v>
      </c>
      <c r="R5406" t="s">
        <v>11180</v>
      </c>
      <c r="S5406" t="s">
        <v>9094</v>
      </c>
      <c r="T5406" t="s">
        <v>11183</v>
      </c>
      <c r="U5406" t="s">
        <v>11201</v>
      </c>
      <c r="V5406" t="s">
        <v>727</v>
      </c>
      <c r="W5406">
        <v>2126</v>
      </c>
      <c r="X5406" t="s">
        <v>11335</v>
      </c>
      <c r="Y5406" t="s">
        <v>11339</v>
      </c>
      <c r="Z5406" t="s">
        <v>13751</v>
      </c>
      <c r="AB5406" t="s">
        <v>19101</v>
      </c>
      <c r="AC5406">
        <v>42</v>
      </c>
      <c r="AD5406" t="s">
        <v>19567</v>
      </c>
      <c r="AE5406" t="s">
        <v>19580</v>
      </c>
      <c r="AF5406">
        <v>17</v>
      </c>
      <c r="AG5406">
        <v>2</v>
      </c>
      <c r="AH5406">
        <v>1</v>
      </c>
      <c r="AI5406">
        <v>255.05</v>
      </c>
      <c r="AJ5406" t="s">
        <v>11246</v>
      </c>
      <c r="AL5406" t="s">
        <v>19615</v>
      </c>
      <c r="AM5406">
        <v>53000</v>
      </c>
      <c r="AS5406">
        <v>1</v>
      </c>
      <c r="AT5406" t="s">
        <v>271</v>
      </c>
      <c r="AU5406" t="s">
        <v>20657</v>
      </c>
    </row>
    <row r="5407" spans="1:48">
      <c r="A5407" s="1">
        <f>HYPERLINK("https://lsnyc.legalserver.org/matter/dynamic-profile/view/1862857","18-1862857")</f>
        <v>0</v>
      </c>
      <c r="B5407" t="s">
        <v>86</v>
      </c>
      <c r="C5407" t="s">
        <v>256</v>
      </c>
      <c r="D5407" t="s">
        <v>439</v>
      </c>
      <c r="F5407" t="s">
        <v>3081</v>
      </c>
      <c r="G5407" t="s">
        <v>4707</v>
      </c>
      <c r="H5407" t="s">
        <v>5786</v>
      </c>
      <c r="I5407" t="s">
        <v>8723</v>
      </c>
      <c r="J5407" t="s">
        <v>9059</v>
      </c>
      <c r="K5407">
        <v>11225</v>
      </c>
      <c r="L5407" t="s">
        <v>9094</v>
      </c>
      <c r="M5407" t="s">
        <v>9095</v>
      </c>
      <c r="N5407" t="s">
        <v>10992</v>
      </c>
      <c r="O5407" t="s">
        <v>11130</v>
      </c>
      <c r="P5407" t="s">
        <v>11165</v>
      </c>
      <c r="R5407" t="s">
        <v>11180</v>
      </c>
      <c r="S5407" t="s">
        <v>9094</v>
      </c>
      <c r="T5407" t="s">
        <v>11183</v>
      </c>
      <c r="V5407" t="s">
        <v>11212</v>
      </c>
      <c r="W5407">
        <v>1336.23</v>
      </c>
      <c r="X5407" t="s">
        <v>11332</v>
      </c>
      <c r="Y5407" t="s">
        <v>11346</v>
      </c>
      <c r="Z5407" t="s">
        <v>14780</v>
      </c>
      <c r="AC5407">
        <v>47</v>
      </c>
      <c r="AD5407" t="s">
        <v>19566</v>
      </c>
      <c r="AE5407" t="s">
        <v>9144</v>
      </c>
      <c r="AF5407">
        <v>18</v>
      </c>
      <c r="AG5407">
        <v>2</v>
      </c>
      <c r="AH5407">
        <v>0</v>
      </c>
      <c r="AI5407">
        <v>255.16</v>
      </c>
      <c r="AL5407" t="s">
        <v>19614</v>
      </c>
      <c r="AM5407">
        <v>42000</v>
      </c>
      <c r="AS5407">
        <v>1</v>
      </c>
      <c r="AT5407" t="s">
        <v>439</v>
      </c>
      <c r="AU5407" t="s">
        <v>20630</v>
      </c>
      <c r="AV5407" t="s">
        <v>20733</v>
      </c>
    </row>
    <row r="5408" spans="1:48">
      <c r="A5408" s="1">
        <f>HYPERLINK("https://lsnyc.legalserver.org/matter/dynamic-profile/view/1867296","18-1867296")</f>
        <v>0</v>
      </c>
      <c r="B5408" t="s">
        <v>78</v>
      </c>
      <c r="C5408" t="s">
        <v>256</v>
      </c>
      <c r="D5408" t="s">
        <v>983</v>
      </c>
      <c r="F5408" t="s">
        <v>3082</v>
      </c>
      <c r="G5408" t="s">
        <v>5376</v>
      </c>
      <c r="H5408" t="s">
        <v>5809</v>
      </c>
      <c r="I5408" t="s">
        <v>8119</v>
      </c>
      <c r="J5408" t="s">
        <v>9059</v>
      </c>
      <c r="K5408">
        <v>11212</v>
      </c>
      <c r="L5408" t="s">
        <v>9094</v>
      </c>
      <c r="M5408" t="s">
        <v>9095</v>
      </c>
      <c r="O5408" t="s">
        <v>11137</v>
      </c>
      <c r="P5408" t="s">
        <v>11166</v>
      </c>
      <c r="R5408" t="s">
        <v>11180</v>
      </c>
      <c r="S5408" t="s">
        <v>9094</v>
      </c>
      <c r="T5408" t="s">
        <v>11183</v>
      </c>
      <c r="V5408" t="s">
        <v>673</v>
      </c>
      <c r="W5408">
        <v>983.42</v>
      </c>
      <c r="X5408" t="s">
        <v>11332</v>
      </c>
      <c r="Y5408" t="s">
        <v>11157</v>
      </c>
      <c r="Z5408" t="s">
        <v>14781</v>
      </c>
      <c r="AB5408" t="s">
        <v>19102</v>
      </c>
      <c r="AC5408">
        <v>32</v>
      </c>
      <c r="AD5408" t="s">
        <v>19566</v>
      </c>
      <c r="AF5408">
        <v>11</v>
      </c>
      <c r="AG5408">
        <v>1</v>
      </c>
      <c r="AH5408">
        <v>1</v>
      </c>
      <c r="AI5408">
        <v>255.16</v>
      </c>
      <c r="AL5408" t="s">
        <v>19614</v>
      </c>
      <c r="AM5408">
        <v>42000</v>
      </c>
      <c r="AS5408">
        <v>0</v>
      </c>
      <c r="AU5408" t="s">
        <v>95</v>
      </c>
    </row>
    <row r="5409" spans="1:48">
      <c r="A5409" s="1">
        <f>HYPERLINK("https://lsnyc.legalserver.org/matter/dynamic-profile/view/1876809","18-1876809")</f>
        <v>0</v>
      </c>
      <c r="B5409" t="s">
        <v>119</v>
      </c>
      <c r="C5409" t="s">
        <v>256</v>
      </c>
      <c r="D5409" t="s">
        <v>930</v>
      </c>
      <c r="F5409" t="s">
        <v>3069</v>
      </c>
      <c r="G5409" t="s">
        <v>1665</v>
      </c>
      <c r="H5409" t="s">
        <v>6095</v>
      </c>
      <c r="I5409" t="s">
        <v>8170</v>
      </c>
      <c r="J5409" t="s">
        <v>9065</v>
      </c>
      <c r="K5409">
        <v>10456</v>
      </c>
      <c r="L5409" t="s">
        <v>9094</v>
      </c>
      <c r="M5409" t="s">
        <v>9094</v>
      </c>
      <c r="N5409" t="s">
        <v>9401</v>
      </c>
      <c r="O5409" t="s">
        <v>11134</v>
      </c>
      <c r="P5409" t="s">
        <v>11168</v>
      </c>
      <c r="R5409" t="s">
        <v>11180</v>
      </c>
      <c r="S5409" t="s">
        <v>9094</v>
      </c>
      <c r="T5409" t="s">
        <v>11183</v>
      </c>
      <c r="V5409" t="s">
        <v>945</v>
      </c>
      <c r="W5409">
        <v>886</v>
      </c>
      <c r="X5409" t="s">
        <v>11333</v>
      </c>
      <c r="Y5409" t="s">
        <v>11346</v>
      </c>
      <c r="Z5409" t="s">
        <v>14758</v>
      </c>
      <c r="AB5409" t="s">
        <v>19082</v>
      </c>
      <c r="AC5409">
        <v>131</v>
      </c>
      <c r="AD5409" t="s">
        <v>19566</v>
      </c>
      <c r="AE5409" t="s">
        <v>9144</v>
      </c>
      <c r="AF5409">
        <v>28</v>
      </c>
      <c r="AG5409">
        <v>2</v>
      </c>
      <c r="AH5409">
        <v>0</v>
      </c>
      <c r="AI5409">
        <v>255.16</v>
      </c>
      <c r="AL5409" t="s">
        <v>19614</v>
      </c>
      <c r="AM5409">
        <v>42000</v>
      </c>
      <c r="AS5409">
        <v>1.5</v>
      </c>
      <c r="AT5409" t="s">
        <v>526</v>
      </c>
      <c r="AU5409" t="s">
        <v>163</v>
      </c>
    </row>
    <row r="5410" spans="1:48">
      <c r="A5410" s="1">
        <f>HYPERLINK("https://lsnyc.legalserver.org/matter/dynamic-profile/view/1886106","18-1886106")</f>
        <v>0</v>
      </c>
      <c r="B5410" t="s">
        <v>119</v>
      </c>
      <c r="C5410" t="s">
        <v>256</v>
      </c>
      <c r="D5410" t="s">
        <v>397</v>
      </c>
      <c r="F5410" t="s">
        <v>3069</v>
      </c>
      <c r="G5410" t="s">
        <v>1665</v>
      </c>
      <c r="H5410" t="s">
        <v>6095</v>
      </c>
      <c r="I5410" t="s">
        <v>8170</v>
      </c>
      <c r="J5410" t="s">
        <v>9065</v>
      </c>
      <c r="K5410">
        <v>10456</v>
      </c>
      <c r="L5410" t="s">
        <v>9094</v>
      </c>
      <c r="M5410" t="s">
        <v>9094</v>
      </c>
      <c r="N5410" t="s">
        <v>9401</v>
      </c>
      <c r="O5410" t="s">
        <v>11134</v>
      </c>
      <c r="P5410" t="s">
        <v>11168</v>
      </c>
      <c r="R5410" t="s">
        <v>11180</v>
      </c>
      <c r="S5410" t="s">
        <v>9094</v>
      </c>
      <c r="T5410" t="s">
        <v>11183</v>
      </c>
      <c r="V5410" t="s">
        <v>738</v>
      </c>
      <c r="W5410">
        <v>886</v>
      </c>
      <c r="X5410" t="s">
        <v>11333</v>
      </c>
      <c r="Y5410" t="s">
        <v>11346</v>
      </c>
      <c r="Z5410" t="s">
        <v>14758</v>
      </c>
      <c r="AB5410" t="s">
        <v>19082</v>
      </c>
      <c r="AC5410">
        <v>131</v>
      </c>
      <c r="AD5410" t="s">
        <v>19566</v>
      </c>
      <c r="AE5410" t="s">
        <v>9144</v>
      </c>
      <c r="AF5410">
        <v>28</v>
      </c>
      <c r="AG5410">
        <v>2</v>
      </c>
      <c r="AH5410">
        <v>0</v>
      </c>
      <c r="AI5410">
        <v>255.16</v>
      </c>
      <c r="AL5410" t="s">
        <v>19614</v>
      </c>
      <c r="AM5410">
        <v>42000</v>
      </c>
      <c r="AS5410">
        <v>0</v>
      </c>
      <c r="AU5410" t="s">
        <v>163</v>
      </c>
    </row>
    <row r="5411" spans="1:48">
      <c r="A5411" s="1">
        <f>HYPERLINK("https://lsnyc.legalserver.org/matter/dynamic-profile/view/1876807","18-1876807")</f>
        <v>0</v>
      </c>
      <c r="B5411" t="s">
        <v>119</v>
      </c>
      <c r="C5411" t="s">
        <v>256</v>
      </c>
      <c r="D5411" t="s">
        <v>500</v>
      </c>
      <c r="F5411" t="s">
        <v>3069</v>
      </c>
      <c r="G5411" t="s">
        <v>1665</v>
      </c>
      <c r="H5411" t="s">
        <v>6095</v>
      </c>
      <c r="I5411" t="s">
        <v>8170</v>
      </c>
      <c r="J5411" t="s">
        <v>9065</v>
      </c>
      <c r="K5411">
        <v>10456</v>
      </c>
      <c r="L5411" t="s">
        <v>9094</v>
      </c>
      <c r="M5411" t="s">
        <v>9094</v>
      </c>
      <c r="N5411" t="s">
        <v>9403</v>
      </c>
      <c r="O5411" t="s">
        <v>11130</v>
      </c>
      <c r="P5411" t="s">
        <v>11165</v>
      </c>
      <c r="R5411" t="s">
        <v>11180</v>
      </c>
      <c r="S5411" t="s">
        <v>9094</v>
      </c>
      <c r="T5411" t="s">
        <v>11183</v>
      </c>
      <c r="V5411" t="s">
        <v>500</v>
      </c>
      <c r="W5411">
        <v>886</v>
      </c>
      <c r="X5411" t="s">
        <v>11333</v>
      </c>
      <c r="Y5411" t="s">
        <v>11346</v>
      </c>
      <c r="Z5411" t="s">
        <v>14758</v>
      </c>
      <c r="AB5411" t="s">
        <v>19082</v>
      </c>
      <c r="AC5411">
        <v>131</v>
      </c>
      <c r="AD5411" t="s">
        <v>19566</v>
      </c>
      <c r="AE5411" t="s">
        <v>9144</v>
      </c>
      <c r="AF5411">
        <v>28</v>
      </c>
      <c r="AG5411">
        <v>2</v>
      </c>
      <c r="AH5411">
        <v>0</v>
      </c>
      <c r="AI5411">
        <v>255.16</v>
      </c>
      <c r="AL5411" t="s">
        <v>19614</v>
      </c>
      <c r="AM5411">
        <v>42000</v>
      </c>
      <c r="AS5411">
        <v>0.5</v>
      </c>
      <c r="AT5411" t="s">
        <v>423</v>
      </c>
      <c r="AU5411" t="s">
        <v>163</v>
      </c>
      <c r="AV5411" t="s">
        <v>20733</v>
      </c>
    </row>
    <row r="5412" spans="1:48">
      <c r="A5412" s="1">
        <f>HYPERLINK("https://lsnyc.legalserver.org/matter/dynamic-profile/view/1864960","18-1864960")</f>
        <v>0</v>
      </c>
      <c r="B5412" t="s">
        <v>136</v>
      </c>
      <c r="C5412" t="s">
        <v>256</v>
      </c>
      <c r="D5412" t="s">
        <v>525</v>
      </c>
      <c r="F5412" t="s">
        <v>1518</v>
      </c>
      <c r="G5412" t="s">
        <v>5377</v>
      </c>
      <c r="H5412" t="s">
        <v>7966</v>
      </c>
      <c r="I5412" t="s">
        <v>8302</v>
      </c>
      <c r="J5412" t="s">
        <v>9067</v>
      </c>
      <c r="K5412">
        <v>10024</v>
      </c>
      <c r="L5412" t="s">
        <v>9094</v>
      </c>
      <c r="M5412" t="s">
        <v>9094</v>
      </c>
      <c r="N5412" t="s">
        <v>10993</v>
      </c>
      <c r="O5412" t="s">
        <v>11130</v>
      </c>
      <c r="P5412" t="s">
        <v>11165</v>
      </c>
      <c r="R5412" t="s">
        <v>11180</v>
      </c>
      <c r="S5412" t="s">
        <v>9096</v>
      </c>
      <c r="T5412" t="s">
        <v>11183</v>
      </c>
      <c r="U5412" t="s">
        <v>11201</v>
      </c>
      <c r="V5412" t="s">
        <v>525</v>
      </c>
      <c r="W5412">
        <v>760.97</v>
      </c>
      <c r="X5412" t="s">
        <v>11335</v>
      </c>
      <c r="Y5412" t="s">
        <v>11341</v>
      </c>
      <c r="Z5412" t="s">
        <v>11911</v>
      </c>
      <c r="AB5412" t="s">
        <v>19103</v>
      </c>
      <c r="AC5412">
        <v>20</v>
      </c>
      <c r="AD5412" t="s">
        <v>19566</v>
      </c>
      <c r="AE5412" t="s">
        <v>9144</v>
      </c>
      <c r="AF5412">
        <v>42</v>
      </c>
      <c r="AG5412">
        <v>2</v>
      </c>
      <c r="AH5412">
        <v>0</v>
      </c>
      <c r="AI5412">
        <v>255.16</v>
      </c>
      <c r="AJ5412" t="s">
        <v>11246</v>
      </c>
      <c r="AL5412" t="s">
        <v>19614</v>
      </c>
      <c r="AM5412">
        <v>42000</v>
      </c>
      <c r="AO5412" t="s">
        <v>20293</v>
      </c>
      <c r="AP5412" t="s">
        <v>20323</v>
      </c>
      <c r="AQ5412" t="s">
        <v>20369</v>
      </c>
      <c r="AR5412" t="s">
        <v>20570</v>
      </c>
      <c r="AS5412">
        <v>66.84999999999999</v>
      </c>
      <c r="AT5412" t="s">
        <v>444</v>
      </c>
      <c r="AU5412" t="s">
        <v>20657</v>
      </c>
      <c r="AV5412" t="s">
        <v>20733</v>
      </c>
    </row>
    <row r="5413" spans="1:48">
      <c r="A5413" s="1">
        <f>HYPERLINK("https://lsnyc.legalserver.org/matter/dynamic-profile/view/1887817","19-1887817")</f>
        <v>0</v>
      </c>
      <c r="B5413" t="s">
        <v>78</v>
      </c>
      <c r="C5413" t="s">
        <v>256</v>
      </c>
      <c r="D5413" t="s">
        <v>363</v>
      </c>
      <c r="F5413" t="s">
        <v>2434</v>
      </c>
      <c r="G5413" t="s">
        <v>5371</v>
      </c>
      <c r="H5413" t="s">
        <v>5785</v>
      </c>
      <c r="I5413" t="s">
        <v>8633</v>
      </c>
      <c r="J5413" t="s">
        <v>9059</v>
      </c>
      <c r="K5413">
        <v>11225</v>
      </c>
      <c r="L5413" t="s">
        <v>9094</v>
      </c>
      <c r="M5413" t="s">
        <v>9094</v>
      </c>
      <c r="O5413" t="s">
        <v>11134</v>
      </c>
      <c r="P5413" t="s">
        <v>11168</v>
      </c>
      <c r="R5413" t="s">
        <v>11180</v>
      </c>
      <c r="S5413" t="s">
        <v>9094</v>
      </c>
      <c r="T5413" t="s">
        <v>11183</v>
      </c>
      <c r="V5413" t="s">
        <v>412</v>
      </c>
      <c r="W5413">
        <v>1393.19</v>
      </c>
      <c r="X5413" t="s">
        <v>11332</v>
      </c>
      <c r="Z5413" t="s">
        <v>14782</v>
      </c>
      <c r="AC5413">
        <v>89</v>
      </c>
      <c r="AD5413" t="s">
        <v>19566</v>
      </c>
      <c r="AE5413" t="s">
        <v>9144</v>
      </c>
      <c r="AF5413">
        <v>7</v>
      </c>
      <c r="AG5413">
        <v>1</v>
      </c>
      <c r="AH5413">
        <v>0</v>
      </c>
      <c r="AI5413">
        <v>255.35</v>
      </c>
      <c r="AL5413" t="s">
        <v>19614</v>
      </c>
      <c r="AM5413">
        <v>31000</v>
      </c>
      <c r="AN5413" t="s">
        <v>20120</v>
      </c>
      <c r="AS5413">
        <v>0</v>
      </c>
      <c r="AU5413" t="s">
        <v>79</v>
      </c>
    </row>
    <row r="5414" spans="1:48">
      <c r="A5414" s="1">
        <f>HYPERLINK("https://lsnyc.legalserver.org/matter/dynamic-profile/view/1912286","19-1912286")</f>
        <v>0</v>
      </c>
      <c r="B5414" t="s">
        <v>133</v>
      </c>
      <c r="C5414" t="s">
        <v>256</v>
      </c>
      <c r="D5414" t="s">
        <v>570</v>
      </c>
      <c r="F5414" t="s">
        <v>1772</v>
      </c>
      <c r="G5414" t="s">
        <v>5378</v>
      </c>
      <c r="H5414" t="s">
        <v>5953</v>
      </c>
      <c r="I5414" t="s">
        <v>8180</v>
      </c>
      <c r="J5414" t="s">
        <v>9067</v>
      </c>
      <c r="K5414">
        <v>10033</v>
      </c>
      <c r="L5414" t="s">
        <v>9094</v>
      </c>
      <c r="M5414" t="s">
        <v>9095</v>
      </c>
      <c r="O5414" t="s">
        <v>11133</v>
      </c>
      <c r="P5414" t="s">
        <v>11167</v>
      </c>
      <c r="R5414" t="s">
        <v>11180</v>
      </c>
      <c r="S5414" t="s">
        <v>9096</v>
      </c>
      <c r="T5414" t="s">
        <v>11183</v>
      </c>
      <c r="V5414" t="s">
        <v>570</v>
      </c>
      <c r="W5414">
        <v>1319.95</v>
      </c>
      <c r="X5414" t="s">
        <v>11335</v>
      </c>
      <c r="Y5414" t="s">
        <v>11340</v>
      </c>
      <c r="Z5414" t="s">
        <v>14783</v>
      </c>
      <c r="AB5414" t="s">
        <v>19104</v>
      </c>
      <c r="AC5414">
        <v>480</v>
      </c>
      <c r="AD5414" t="s">
        <v>19566</v>
      </c>
      <c r="AE5414" t="s">
        <v>19587</v>
      </c>
      <c r="AF5414">
        <v>18</v>
      </c>
      <c r="AG5414">
        <v>2</v>
      </c>
      <c r="AH5414">
        <v>0</v>
      </c>
      <c r="AI5414">
        <v>255.47</v>
      </c>
      <c r="AL5414" t="s">
        <v>19614</v>
      </c>
      <c r="AM5414">
        <v>43200</v>
      </c>
      <c r="AS5414">
        <v>6.25</v>
      </c>
      <c r="AT5414" t="s">
        <v>483</v>
      </c>
      <c r="AU5414" t="s">
        <v>130</v>
      </c>
      <c r="AV5414" t="s">
        <v>20733</v>
      </c>
    </row>
    <row r="5415" spans="1:48">
      <c r="A5415" s="1">
        <f>HYPERLINK("https://lsnyc.legalserver.org/matter/dynamic-profile/view/1911652","19-1911652")</f>
        <v>0</v>
      </c>
      <c r="B5415" t="s">
        <v>231</v>
      </c>
      <c r="C5415" t="s">
        <v>256</v>
      </c>
      <c r="D5415" t="s">
        <v>728</v>
      </c>
      <c r="F5415" t="s">
        <v>1772</v>
      </c>
      <c r="G5415" t="s">
        <v>5378</v>
      </c>
      <c r="H5415" t="s">
        <v>5953</v>
      </c>
      <c r="I5415" t="s">
        <v>8180</v>
      </c>
      <c r="J5415" t="s">
        <v>9067</v>
      </c>
      <c r="K5415">
        <v>10033</v>
      </c>
      <c r="L5415" t="s">
        <v>9096</v>
      </c>
      <c r="M5415" t="s">
        <v>9095</v>
      </c>
      <c r="P5415" t="s">
        <v>11169</v>
      </c>
      <c r="R5415" t="s">
        <v>11180</v>
      </c>
      <c r="S5415" t="s">
        <v>9096</v>
      </c>
      <c r="T5415" t="s">
        <v>11183</v>
      </c>
      <c r="V5415" t="s">
        <v>728</v>
      </c>
      <c r="W5415">
        <v>1319.95</v>
      </c>
      <c r="X5415" t="s">
        <v>11335</v>
      </c>
      <c r="Y5415" t="s">
        <v>11338</v>
      </c>
      <c r="Z5415" t="s">
        <v>14783</v>
      </c>
      <c r="AB5415" t="s">
        <v>19104</v>
      </c>
      <c r="AC5415">
        <v>480</v>
      </c>
      <c r="AD5415" t="s">
        <v>19566</v>
      </c>
      <c r="AE5415" t="s">
        <v>9144</v>
      </c>
      <c r="AF5415">
        <v>18</v>
      </c>
      <c r="AG5415">
        <v>2</v>
      </c>
      <c r="AH5415">
        <v>0</v>
      </c>
      <c r="AI5415">
        <v>255.47</v>
      </c>
      <c r="AL5415" t="s">
        <v>19614</v>
      </c>
      <c r="AM5415">
        <v>43200</v>
      </c>
      <c r="AS5415">
        <v>4.3</v>
      </c>
      <c r="AT5415" t="s">
        <v>331</v>
      </c>
      <c r="AU5415" t="s">
        <v>130</v>
      </c>
      <c r="AV5415" t="s">
        <v>20733</v>
      </c>
    </row>
    <row r="5416" spans="1:48">
      <c r="A5416" s="1">
        <f>HYPERLINK("https://lsnyc.legalserver.org/matter/dynamic-profile/view/1875686","18-1875686")</f>
        <v>0</v>
      </c>
      <c r="B5416" t="s">
        <v>92</v>
      </c>
      <c r="C5416" t="s">
        <v>256</v>
      </c>
      <c r="D5416" t="s">
        <v>419</v>
      </c>
      <c r="F5416" t="s">
        <v>1484</v>
      </c>
      <c r="G5416" t="s">
        <v>3650</v>
      </c>
      <c r="H5416" t="s">
        <v>5808</v>
      </c>
      <c r="I5416" t="s">
        <v>8160</v>
      </c>
      <c r="J5416" t="s">
        <v>9059</v>
      </c>
      <c r="K5416">
        <v>11212</v>
      </c>
      <c r="L5416" t="s">
        <v>9094</v>
      </c>
      <c r="M5416" t="s">
        <v>9094</v>
      </c>
      <c r="O5416" t="s">
        <v>9121</v>
      </c>
      <c r="P5416" t="s">
        <v>11167</v>
      </c>
      <c r="R5416" t="s">
        <v>11180</v>
      </c>
      <c r="S5416" t="s">
        <v>9094</v>
      </c>
      <c r="T5416" t="s">
        <v>11183</v>
      </c>
      <c r="V5416" t="s">
        <v>419</v>
      </c>
      <c r="W5416">
        <v>839.77</v>
      </c>
      <c r="X5416" t="s">
        <v>11332</v>
      </c>
      <c r="Y5416" t="s">
        <v>11339</v>
      </c>
      <c r="Z5416" t="s">
        <v>13484</v>
      </c>
      <c r="AB5416" t="s">
        <v>19084</v>
      </c>
      <c r="AC5416">
        <v>8</v>
      </c>
      <c r="AD5416" t="s">
        <v>19566</v>
      </c>
      <c r="AE5416" t="s">
        <v>9144</v>
      </c>
      <c r="AF5416">
        <v>24</v>
      </c>
      <c r="AG5416">
        <v>1</v>
      </c>
      <c r="AH5416">
        <v>0</v>
      </c>
      <c r="AI5416">
        <v>255.63</v>
      </c>
      <c r="AL5416" t="s">
        <v>19614</v>
      </c>
      <c r="AM5416">
        <v>31033.6</v>
      </c>
      <c r="AS5416">
        <v>22.75</v>
      </c>
      <c r="AT5416" t="s">
        <v>270</v>
      </c>
      <c r="AU5416" t="s">
        <v>20685</v>
      </c>
    </row>
    <row r="5417" spans="1:48">
      <c r="A5417" s="1">
        <f>HYPERLINK("https://lsnyc.legalserver.org/matter/dynamic-profile/view/1889983","19-1889983")</f>
        <v>0</v>
      </c>
      <c r="B5417" t="s">
        <v>103</v>
      </c>
      <c r="C5417" t="s">
        <v>256</v>
      </c>
      <c r="D5417" t="s">
        <v>447</v>
      </c>
      <c r="F5417" t="s">
        <v>2107</v>
      </c>
      <c r="G5417" t="s">
        <v>3010</v>
      </c>
      <c r="H5417" t="s">
        <v>5887</v>
      </c>
      <c r="I5417" t="s">
        <v>8501</v>
      </c>
      <c r="J5417" t="s">
        <v>9065</v>
      </c>
      <c r="K5417">
        <v>10453</v>
      </c>
      <c r="L5417" t="s">
        <v>9094</v>
      </c>
      <c r="M5417" t="s">
        <v>9094</v>
      </c>
      <c r="O5417" t="s">
        <v>11134</v>
      </c>
      <c r="P5417" t="s">
        <v>11168</v>
      </c>
      <c r="R5417" t="s">
        <v>11180</v>
      </c>
      <c r="S5417" t="s">
        <v>9094</v>
      </c>
      <c r="T5417" t="s">
        <v>11183</v>
      </c>
      <c r="V5417" t="s">
        <v>512</v>
      </c>
      <c r="W5417">
        <v>692.1</v>
      </c>
      <c r="X5417" t="s">
        <v>11333</v>
      </c>
      <c r="Y5417" t="s">
        <v>11346</v>
      </c>
      <c r="Z5417" t="s">
        <v>13416</v>
      </c>
      <c r="AB5417" t="s">
        <v>19105</v>
      </c>
      <c r="AC5417">
        <v>167</v>
      </c>
      <c r="AD5417" t="s">
        <v>19566</v>
      </c>
      <c r="AE5417" t="s">
        <v>19587</v>
      </c>
      <c r="AF5417">
        <v>30</v>
      </c>
      <c r="AG5417">
        <v>1</v>
      </c>
      <c r="AH5417">
        <v>0</v>
      </c>
      <c r="AI5417">
        <v>255.8</v>
      </c>
      <c r="AL5417" t="s">
        <v>19614</v>
      </c>
      <c r="AM5417">
        <v>31950</v>
      </c>
      <c r="AS5417">
        <v>0</v>
      </c>
      <c r="AU5417" t="s">
        <v>20642</v>
      </c>
    </row>
    <row r="5418" spans="1:48">
      <c r="A5418" s="1">
        <f>HYPERLINK("https://lsnyc.legalserver.org/matter/dynamic-profile/view/1905275","19-1905275")</f>
        <v>0</v>
      </c>
      <c r="B5418" t="s">
        <v>103</v>
      </c>
      <c r="C5418" t="s">
        <v>256</v>
      </c>
      <c r="D5418" t="s">
        <v>414</v>
      </c>
      <c r="F5418" t="s">
        <v>2107</v>
      </c>
      <c r="G5418" t="s">
        <v>3010</v>
      </c>
      <c r="H5418" t="s">
        <v>5887</v>
      </c>
      <c r="I5418" t="s">
        <v>8501</v>
      </c>
      <c r="J5418" t="s">
        <v>9065</v>
      </c>
      <c r="K5418">
        <v>10453</v>
      </c>
      <c r="L5418" t="s">
        <v>9094</v>
      </c>
      <c r="M5418" t="s">
        <v>9095</v>
      </c>
      <c r="N5418" t="s">
        <v>9239</v>
      </c>
      <c r="O5418" t="s">
        <v>11134</v>
      </c>
      <c r="P5418" t="s">
        <v>11168</v>
      </c>
      <c r="R5418" t="s">
        <v>11180</v>
      </c>
      <c r="S5418" t="s">
        <v>9094</v>
      </c>
      <c r="T5418" t="s">
        <v>11183</v>
      </c>
      <c r="V5418" t="s">
        <v>1061</v>
      </c>
      <c r="W5418">
        <v>692.1</v>
      </c>
      <c r="X5418" t="s">
        <v>11333</v>
      </c>
      <c r="Y5418" t="s">
        <v>11346</v>
      </c>
      <c r="Z5418" t="s">
        <v>13416</v>
      </c>
      <c r="AB5418" t="s">
        <v>19105</v>
      </c>
      <c r="AC5418">
        <v>170</v>
      </c>
      <c r="AD5418" t="s">
        <v>19566</v>
      </c>
      <c r="AE5418" t="s">
        <v>19587</v>
      </c>
      <c r="AF5418">
        <v>30</v>
      </c>
      <c r="AG5418">
        <v>1</v>
      </c>
      <c r="AH5418">
        <v>0</v>
      </c>
      <c r="AI5418">
        <v>255.84</v>
      </c>
      <c r="AL5418" t="s">
        <v>19614</v>
      </c>
      <c r="AM5418">
        <v>31954</v>
      </c>
      <c r="AS5418">
        <v>0</v>
      </c>
      <c r="AU5418" t="s">
        <v>20642</v>
      </c>
      <c r="AV5418" t="s">
        <v>20733</v>
      </c>
    </row>
    <row r="5419" spans="1:48">
      <c r="A5419" s="1">
        <f>HYPERLINK("https://lsnyc.legalserver.org/matter/dynamic-profile/view/1905277","19-1905277")</f>
        <v>0</v>
      </c>
      <c r="B5419" t="s">
        <v>103</v>
      </c>
      <c r="C5419" t="s">
        <v>256</v>
      </c>
      <c r="D5419" t="s">
        <v>414</v>
      </c>
      <c r="F5419" t="s">
        <v>2107</v>
      </c>
      <c r="G5419" t="s">
        <v>3010</v>
      </c>
      <c r="H5419" t="s">
        <v>5887</v>
      </c>
      <c r="I5419" t="s">
        <v>8501</v>
      </c>
      <c r="J5419" t="s">
        <v>9065</v>
      </c>
      <c r="K5419">
        <v>10453</v>
      </c>
      <c r="L5419" t="s">
        <v>9094</v>
      </c>
      <c r="M5419" t="s">
        <v>9095</v>
      </c>
      <c r="N5419" t="s">
        <v>9240</v>
      </c>
      <c r="O5419" t="s">
        <v>11134</v>
      </c>
      <c r="P5419" t="s">
        <v>11168</v>
      </c>
      <c r="R5419" t="s">
        <v>11180</v>
      </c>
      <c r="S5419" t="s">
        <v>9094</v>
      </c>
      <c r="T5419" t="s">
        <v>11183</v>
      </c>
      <c r="V5419" t="s">
        <v>422</v>
      </c>
      <c r="W5419">
        <v>692.1</v>
      </c>
      <c r="X5419" t="s">
        <v>11333</v>
      </c>
      <c r="Y5419" t="s">
        <v>11346</v>
      </c>
      <c r="Z5419" t="s">
        <v>13416</v>
      </c>
      <c r="AB5419" t="s">
        <v>19105</v>
      </c>
      <c r="AC5419">
        <v>170</v>
      </c>
      <c r="AD5419" t="s">
        <v>19566</v>
      </c>
      <c r="AE5419" t="s">
        <v>19587</v>
      </c>
      <c r="AF5419">
        <v>30</v>
      </c>
      <c r="AG5419">
        <v>1</v>
      </c>
      <c r="AH5419">
        <v>0</v>
      </c>
      <c r="AI5419">
        <v>255.84</v>
      </c>
      <c r="AL5419" t="s">
        <v>19614</v>
      </c>
      <c r="AM5419">
        <v>31954</v>
      </c>
      <c r="AS5419">
        <v>0</v>
      </c>
      <c r="AU5419" t="s">
        <v>20642</v>
      </c>
      <c r="AV5419" t="s">
        <v>20733</v>
      </c>
    </row>
    <row r="5420" spans="1:48">
      <c r="A5420" s="1">
        <f>HYPERLINK("https://lsnyc.legalserver.org/matter/dynamic-profile/view/1889981","19-1889981")</f>
        <v>0</v>
      </c>
      <c r="B5420" t="s">
        <v>103</v>
      </c>
      <c r="C5420" t="s">
        <v>256</v>
      </c>
      <c r="D5420" t="s">
        <v>447</v>
      </c>
      <c r="F5420" t="s">
        <v>2107</v>
      </c>
      <c r="G5420" t="s">
        <v>3010</v>
      </c>
      <c r="H5420" t="s">
        <v>5887</v>
      </c>
      <c r="I5420" t="s">
        <v>8501</v>
      </c>
      <c r="J5420" t="s">
        <v>9065</v>
      </c>
      <c r="K5420">
        <v>10453</v>
      </c>
      <c r="L5420" t="s">
        <v>9094</v>
      </c>
      <c r="M5420" t="s">
        <v>9094</v>
      </c>
      <c r="N5420" t="s">
        <v>9352</v>
      </c>
      <c r="O5420" t="s">
        <v>11130</v>
      </c>
      <c r="P5420" t="s">
        <v>11165</v>
      </c>
      <c r="R5420" t="s">
        <v>11180</v>
      </c>
      <c r="S5420" t="s">
        <v>9094</v>
      </c>
      <c r="T5420" t="s">
        <v>11183</v>
      </c>
      <c r="V5420" t="s">
        <v>512</v>
      </c>
      <c r="W5420">
        <v>692.1</v>
      </c>
      <c r="X5420" t="s">
        <v>11333</v>
      </c>
      <c r="Y5420" t="s">
        <v>11346</v>
      </c>
      <c r="Z5420" t="s">
        <v>13416</v>
      </c>
      <c r="AB5420" t="s">
        <v>19105</v>
      </c>
      <c r="AC5420">
        <v>167</v>
      </c>
      <c r="AD5420" t="s">
        <v>19566</v>
      </c>
      <c r="AE5420" t="s">
        <v>19587</v>
      </c>
      <c r="AF5420">
        <v>30</v>
      </c>
      <c r="AG5420">
        <v>1</v>
      </c>
      <c r="AH5420">
        <v>0</v>
      </c>
      <c r="AI5420">
        <v>255.84</v>
      </c>
      <c r="AL5420" t="s">
        <v>19614</v>
      </c>
      <c r="AM5420">
        <v>31954</v>
      </c>
      <c r="AS5420">
        <v>0</v>
      </c>
      <c r="AU5420" t="s">
        <v>20642</v>
      </c>
    </row>
    <row r="5421" spans="1:48">
      <c r="A5421" s="1">
        <f>HYPERLINK("https://lsnyc.legalserver.org/matter/dynamic-profile/view/0822363","16-0822363")</f>
        <v>0</v>
      </c>
      <c r="B5421" t="s">
        <v>119</v>
      </c>
      <c r="C5421" t="s">
        <v>257</v>
      </c>
      <c r="D5421" t="s">
        <v>665</v>
      </c>
      <c r="E5421" t="s">
        <v>301</v>
      </c>
      <c r="F5421" t="s">
        <v>1212</v>
      </c>
      <c r="G5421" t="s">
        <v>4116</v>
      </c>
      <c r="H5421" t="s">
        <v>6238</v>
      </c>
      <c r="I5421" t="s">
        <v>8392</v>
      </c>
      <c r="J5421" t="s">
        <v>9065</v>
      </c>
      <c r="K5421">
        <v>10468</v>
      </c>
      <c r="L5421" t="s">
        <v>9094</v>
      </c>
      <c r="M5421" t="s">
        <v>9095</v>
      </c>
      <c r="O5421" t="s">
        <v>11136</v>
      </c>
      <c r="P5421" t="s">
        <v>11166</v>
      </c>
      <c r="Q5421" t="s">
        <v>11173</v>
      </c>
      <c r="R5421" t="s">
        <v>11180</v>
      </c>
      <c r="S5421" t="s">
        <v>9094</v>
      </c>
      <c r="T5421" t="s">
        <v>11183</v>
      </c>
      <c r="V5421" t="s">
        <v>1075</v>
      </c>
      <c r="W5421">
        <v>1263.71</v>
      </c>
      <c r="X5421" t="s">
        <v>11333</v>
      </c>
      <c r="Y5421" t="s">
        <v>11346</v>
      </c>
      <c r="Z5421" t="s">
        <v>14725</v>
      </c>
      <c r="AC5421">
        <v>37</v>
      </c>
      <c r="AD5421" t="s">
        <v>15441</v>
      </c>
      <c r="AE5421" t="s">
        <v>9144</v>
      </c>
      <c r="AF5421">
        <v>16</v>
      </c>
      <c r="AG5421">
        <v>5</v>
      </c>
      <c r="AH5421">
        <v>0</v>
      </c>
      <c r="AI5421">
        <v>255.98</v>
      </c>
      <c r="AJ5421" t="s">
        <v>529</v>
      </c>
      <c r="AL5421" t="s">
        <v>19615</v>
      </c>
      <c r="AM5421">
        <v>72800</v>
      </c>
      <c r="AS5421">
        <v>1.5</v>
      </c>
      <c r="AT5421" t="s">
        <v>800</v>
      </c>
      <c r="AU5421" t="s">
        <v>20643</v>
      </c>
    </row>
    <row r="5422" spans="1:48">
      <c r="A5422" s="1">
        <f>HYPERLINK("https://lsnyc.legalserver.org/matter/dynamic-profile/view/1861144","18-1861144")</f>
        <v>0</v>
      </c>
      <c r="B5422" t="s">
        <v>114</v>
      </c>
      <c r="C5422" t="s">
        <v>256</v>
      </c>
      <c r="D5422" t="s">
        <v>721</v>
      </c>
      <c r="F5422" t="s">
        <v>1193</v>
      </c>
      <c r="G5422" t="s">
        <v>5379</v>
      </c>
      <c r="H5422" t="s">
        <v>7967</v>
      </c>
      <c r="I5422" t="s">
        <v>8171</v>
      </c>
      <c r="J5422" t="s">
        <v>9065</v>
      </c>
      <c r="K5422">
        <v>10453</v>
      </c>
      <c r="L5422" t="s">
        <v>9094</v>
      </c>
      <c r="M5422" t="s">
        <v>9095</v>
      </c>
      <c r="N5422" t="s">
        <v>10994</v>
      </c>
      <c r="O5422" t="s">
        <v>11129</v>
      </c>
      <c r="P5422" t="s">
        <v>11165</v>
      </c>
      <c r="R5422" t="s">
        <v>11180</v>
      </c>
      <c r="T5422" t="s">
        <v>11183</v>
      </c>
      <c r="V5422" t="s">
        <v>485</v>
      </c>
      <c r="W5422">
        <v>892</v>
      </c>
      <c r="X5422" t="s">
        <v>11333</v>
      </c>
      <c r="Z5422" t="s">
        <v>14784</v>
      </c>
      <c r="AB5422" t="s">
        <v>19106</v>
      </c>
      <c r="AC5422">
        <v>27</v>
      </c>
      <c r="AD5422" t="s">
        <v>19566</v>
      </c>
      <c r="AF5422">
        <v>44</v>
      </c>
      <c r="AG5422">
        <v>2</v>
      </c>
      <c r="AH5422">
        <v>0</v>
      </c>
      <c r="AI5422">
        <v>256.18</v>
      </c>
      <c r="AJ5422" t="s">
        <v>11246</v>
      </c>
      <c r="AL5422" t="s">
        <v>19615</v>
      </c>
      <c r="AM5422">
        <v>42168</v>
      </c>
      <c r="AN5422" t="s">
        <v>20121</v>
      </c>
      <c r="AS5422">
        <v>10.75</v>
      </c>
      <c r="AT5422" t="s">
        <v>578</v>
      </c>
      <c r="AU5422" t="s">
        <v>20661</v>
      </c>
    </row>
    <row r="5423" spans="1:48">
      <c r="A5423" s="1">
        <f>HYPERLINK("https://lsnyc.legalserver.org/matter/dynamic-profile/view/1897609","19-1897609")</f>
        <v>0</v>
      </c>
      <c r="B5423" t="s">
        <v>70</v>
      </c>
      <c r="C5423" t="s">
        <v>256</v>
      </c>
      <c r="D5423" t="s">
        <v>617</v>
      </c>
      <c r="F5423" t="s">
        <v>2208</v>
      </c>
      <c r="G5423" t="s">
        <v>5380</v>
      </c>
      <c r="H5423" t="s">
        <v>5748</v>
      </c>
      <c r="I5423" t="s">
        <v>8958</v>
      </c>
      <c r="J5423" t="s">
        <v>9059</v>
      </c>
      <c r="K5423">
        <v>11233</v>
      </c>
      <c r="L5423" t="s">
        <v>9094</v>
      </c>
      <c r="M5423" t="s">
        <v>9096</v>
      </c>
      <c r="N5423" t="s">
        <v>9145</v>
      </c>
      <c r="O5423" t="s">
        <v>11134</v>
      </c>
      <c r="P5423" t="s">
        <v>11168</v>
      </c>
      <c r="R5423" t="s">
        <v>11180</v>
      </c>
      <c r="S5423" t="s">
        <v>9094</v>
      </c>
      <c r="T5423" t="s">
        <v>11183</v>
      </c>
      <c r="U5423" t="s">
        <v>11201</v>
      </c>
      <c r="V5423" t="s">
        <v>482</v>
      </c>
      <c r="W5423">
        <v>865</v>
      </c>
      <c r="X5423" t="s">
        <v>11332</v>
      </c>
      <c r="Y5423" t="s">
        <v>11342</v>
      </c>
      <c r="Z5423" t="s">
        <v>14785</v>
      </c>
      <c r="AC5423">
        <v>359</v>
      </c>
      <c r="AD5423" t="s">
        <v>19566</v>
      </c>
      <c r="AF5423">
        <v>26</v>
      </c>
      <c r="AG5423">
        <v>1</v>
      </c>
      <c r="AH5423">
        <v>0</v>
      </c>
      <c r="AI5423">
        <v>256.2</v>
      </c>
      <c r="AL5423" t="s">
        <v>19614</v>
      </c>
      <c r="AM5423">
        <v>32000</v>
      </c>
      <c r="AN5423" t="s">
        <v>19644</v>
      </c>
      <c r="AS5423">
        <v>0</v>
      </c>
      <c r="AU5423" t="s">
        <v>95</v>
      </c>
    </row>
    <row r="5424" spans="1:48">
      <c r="A5424" s="1">
        <f>HYPERLINK("https://lsnyc.legalserver.org/matter/dynamic-profile/view/1897614","19-1897614")</f>
        <v>0</v>
      </c>
      <c r="B5424" t="s">
        <v>70</v>
      </c>
      <c r="C5424" t="s">
        <v>256</v>
      </c>
      <c r="D5424" t="s">
        <v>617</v>
      </c>
      <c r="F5424" t="s">
        <v>2208</v>
      </c>
      <c r="G5424" t="s">
        <v>5380</v>
      </c>
      <c r="H5424" t="s">
        <v>5748</v>
      </c>
      <c r="I5424" t="s">
        <v>8958</v>
      </c>
      <c r="J5424" t="s">
        <v>9059</v>
      </c>
      <c r="K5424">
        <v>11233</v>
      </c>
      <c r="L5424" t="s">
        <v>9094</v>
      </c>
      <c r="M5424" t="s">
        <v>9096</v>
      </c>
      <c r="O5424" t="s">
        <v>11137</v>
      </c>
      <c r="P5424" t="s">
        <v>11167</v>
      </c>
      <c r="R5424" t="s">
        <v>11180</v>
      </c>
      <c r="S5424" t="s">
        <v>9094</v>
      </c>
      <c r="T5424" t="s">
        <v>11183</v>
      </c>
      <c r="U5424" t="s">
        <v>11201</v>
      </c>
      <c r="V5424" t="s">
        <v>749</v>
      </c>
      <c r="W5424">
        <v>865</v>
      </c>
      <c r="X5424" t="s">
        <v>11332</v>
      </c>
      <c r="Y5424" t="s">
        <v>11342</v>
      </c>
      <c r="Z5424" t="s">
        <v>14785</v>
      </c>
      <c r="AC5424">
        <v>359</v>
      </c>
      <c r="AD5424" t="s">
        <v>19566</v>
      </c>
      <c r="AF5424">
        <v>26</v>
      </c>
      <c r="AG5424">
        <v>1</v>
      </c>
      <c r="AH5424">
        <v>0</v>
      </c>
      <c r="AI5424">
        <v>256.2</v>
      </c>
      <c r="AL5424" t="s">
        <v>19614</v>
      </c>
      <c r="AM5424">
        <v>32000</v>
      </c>
      <c r="AN5424" t="s">
        <v>20122</v>
      </c>
      <c r="AS5424">
        <v>0</v>
      </c>
      <c r="AU5424" t="s">
        <v>95</v>
      </c>
    </row>
    <row r="5425" spans="1:48">
      <c r="A5425" s="1">
        <f>HYPERLINK("https://lsnyc.legalserver.org/matter/dynamic-profile/view/1915001","19-1915001")</f>
        <v>0</v>
      </c>
      <c r="B5425" t="s">
        <v>119</v>
      </c>
      <c r="C5425" t="s">
        <v>256</v>
      </c>
      <c r="D5425" t="s">
        <v>377</v>
      </c>
      <c r="F5425" t="s">
        <v>3083</v>
      </c>
      <c r="G5425" t="s">
        <v>4864</v>
      </c>
      <c r="H5425" t="s">
        <v>6095</v>
      </c>
      <c r="I5425" t="s">
        <v>8291</v>
      </c>
      <c r="J5425" t="s">
        <v>9065</v>
      </c>
      <c r="K5425">
        <v>10456</v>
      </c>
      <c r="L5425" t="s">
        <v>9094</v>
      </c>
      <c r="M5425" t="s">
        <v>9095</v>
      </c>
      <c r="O5425" t="s">
        <v>11134</v>
      </c>
      <c r="P5425" t="s">
        <v>11168</v>
      </c>
      <c r="R5425" t="s">
        <v>11180</v>
      </c>
      <c r="S5425" t="s">
        <v>9094</v>
      </c>
      <c r="T5425" t="s">
        <v>11183</v>
      </c>
      <c r="W5425">
        <v>889.6</v>
      </c>
      <c r="X5425" t="s">
        <v>11333</v>
      </c>
      <c r="Y5425" t="s">
        <v>11346</v>
      </c>
      <c r="Z5425" t="s">
        <v>14786</v>
      </c>
      <c r="AB5425" t="s">
        <v>19107</v>
      </c>
      <c r="AC5425">
        <v>131</v>
      </c>
      <c r="AD5425" t="s">
        <v>19566</v>
      </c>
      <c r="AE5425" t="s">
        <v>9144</v>
      </c>
      <c r="AF5425">
        <v>26</v>
      </c>
      <c r="AG5425">
        <v>1</v>
      </c>
      <c r="AH5425">
        <v>0</v>
      </c>
      <c r="AI5425">
        <v>256.2</v>
      </c>
      <c r="AL5425" t="s">
        <v>19614</v>
      </c>
      <c r="AM5425">
        <v>32000</v>
      </c>
      <c r="AS5425">
        <v>0</v>
      </c>
      <c r="AU5425" t="s">
        <v>220</v>
      </c>
    </row>
    <row r="5426" spans="1:48">
      <c r="A5426" s="1">
        <f>HYPERLINK("https://lsnyc.legalserver.org/matter/dynamic-profile/view/1904741","19-1904741")</f>
        <v>0</v>
      </c>
      <c r="B5426" t="s">
        <v>119</v>
      </c>
      <c r="C5426" t="s">
        <v>256</v>
      </c>
      <c r="D5426" t="s">
        <v>497</v>
      </c>
      <c r="F5426" t="s">
        <v>3083</v>
      </c>
      <c r="G5426" t="s">
        <v>4864</v>
      </c>
      <c r="H5426" t="s">
        <v>6095</v>
      </c>
      <c r="I5426" t="s">
        <v>8291</v>
      </c>
      <c r="J5426" t="s">
        <v>9065</v>
      </c>
      <c r="K5426">
        <v>10456</v>
      </c>
      <c r="L5426" t="s">
        <v>9094</v>
      </c>
      <c r="M5426" t="s">
        <v>9095</v>
      </c>
      <c r="N5426" t="s">
        <v>9401</v>
      </c>
      <c r="O5426" t="s">
        <v>11134</v>
      </c>
      <c r="P5426" t="s">
        <v>11168</v>
      </c>
      <c r="R5426" t="s">
        <v>11180</v>
      </c>
      <c r="S5426" t="s">
        <v>9094</v>
      </c>
      <c r="T5426" t="s">
        <v>11183</v>
      </c>
      <c r="V5426" t="s">
        <v>11218</v>
      </c>
      <c r="W5426">
        <v>889.6</v>
      </c>
      <c r="X5426" t="s">
        <v>11333</v>
      </c>
      <c r="Z5426" t="s">
        <v>14786</v>
      </c>
      <c r="AB5426" t="s">
        <v>19107</v>
      </c>
      <c r="AC5426">
        <v>131</v>
      </c>
      <c r="AD5426" t="s">
        <v>19566</v>
      </c>
      <c r="AE5426" t="s">
        <v>9144</v>
      </c>
      <c r="AF5426">
        <v>26</v>
      </c>
      <c r="AG5426">
        <v>1</v>
      </c>
      <c r="AH5426">
        <v>0</v>
      </c>
      <c r="AI5426">
        <v>256.21</v>
      </c>
      <c r="AL5426" t="s">
        <v>19614</v>
      </c>
      <c r="AM5426">
        <v>32000.04</v>
      </c>
      <c r="AS5426">
        <v>2</v>
      </c>
      <c r="AT5426" t="s">
        <v>312</v>
      </c>
      <c r="AU5426" t="s">
        <v>163</v>
      </c>
      <c r="AV5426" t="s">
        <v>20733</v>
      </c>
    </row>
    <row r="5427" spans="1:48">
      <c r="A5427" s="1">
        <f>HYPERLINK("https://lsnyc.legalserver.org/matter/dynamic-profile/view/1866220","18-1866220")</f>
        <v>0</v>
      </c>
      <c r="B5427" t="s">
        <v>76</v>
      </c>
      <c r="C5427" t="s">
        <v>257</v>
      </c>
      <c r="D5427" t="s">
        <v>696</v>
      </c>
      <c r="E5427" t="s">
        <v>426</v>
      </c>
      <c r="F5427" t="s">
        <v>3084</v>
      </c>
      <c r="G5427" t="s">
        <v>5381</v>
      </c>
      <c r="H5427" t="s">
        <v>7968</v>
      </c>
      <c r="J5427" t="s">
        <v>9059</v>
      </c>
      <c r="K5427">
        <v>11207</v>
      </c>
      <c r="L5427" t="s">
        <v>9096</v>
      </c>
      <c r="M5427" t="s">
        <v>9095</v>
      </c>
      <c r="N5427" t="s">
        <v>9121</v>
      </c>
      <c r="O5427" t="s">
        <v>9121</v>
      </c>
      <c r="P5427" t="s">
        <v>11164</v>
      </c>
      <c r="Q5427" t="s">
        <v>11172</v>
      </c>
      <c r="R5427" t="s">
        <v>11180</v>
      </c>
      <c r="S5427" t="s">
        <v>9096</v>
      </c>
      <c r="T5427" t="s">
        <v>11183</v>
      </c>
      <c r="W5427">
        <v>930</v>
      </c>
      <c r="X5427" t="s">
        <v>11332</v>
      </c>
      <c r="Z5427" t="s">
        <v>14787</v>
      </c>
      <c r="AB5427" t="s">
        <v>19108</v>
      </c>
      <c r="AC5427">
        <v>7</v>
      </c>
      <c r="AD5427" t="s">
        <v>15441</v>
      </c>
      <c r="AE5427" t="s">
        <v>9144</v>
      </c>
      <c r="AF5427">
        <v>0</v>
      </c>
      <c r="AG5427">
        <v>1</v>
      </c>
      <c r="AH5427">
        <v>0</v>
      </c>
      <c r="AI5427">
        <v>257</v>
      </c>
      <c r="AL5427" t="s">
        <v>19614</v>
      </c>
      <c r="AM5427">
        <v>31200</v>
      </c>
      <c r="AS5427">
        <v>0.5</v>
      </c>
      <c r="AT5427" t="s">
        <v>696</v>
      </c>
      <c r="AU5427" t="s">
        <v>20638</v>
      </c>
    </row>
    <row r="5428" spans="1:48">
      <c r="A5428" s="1">
        <f>HYPERLINK("https://lsnyc.legalserver.org/matter/dynamic-profile/view/1886038","18-1886038")</f>
        <v>0</v>
      </c>
      <c r="B5428" t="s">
        <v>113</v>
      </c>
      <c r="C5428" t="s">
        <v>256</v>
      </c>
      <c r="D5428" t="s">
        <v>357</v>
      </c>
      <c r="F5428" t="s">
        <v>1628</v>
      </c>
      <c r="G5428" t="s">
        <v>5367</v>
      </c>
      <c r="H5428" t="s">
        <v>5864</v>
      </c>
      <c r="I5428" t="s">
        <v>8952</v>
      </c>
      <c r="J5428" t="s">
        <v>9065</v>
      </c>
      <c r="K5428">
        <v>10460</v>
      </c>
      <c r="L5428" t="s">
        <v>9094</v>
      </c>
      <c r="M5428" t="s">
        <v>9094</v>
      </c>
      <c r="N5428" t="s">
        <v>9222</v>
      </c>
      <c r="O5428" t="s">
        <v>11130</v>
      </c>
      <c r="P5428" t="s">
        <v>11165</v>
      </c>
      <c r="R5428" t="s">
        <v>11180</v>
      </c>
      <c r="S5428" t="s">
        <v>9094</v>
      </c>
      <c r="T5428" t="s">
        <v>11183</v>
      </c>
      <c r="V5428" t="s">
        <v>357</v>
      </c>
      <c r="W5428">
        <v>955</v>
      </c>
      <c r="X5428" t="s">
        <v>11333</v>
      </c>
      <c r="Y5428" t="s">
        <v>11346</v>
      </c>
      <c r="Z5428" t="s">
        <v>14768</v>
      </c>
      <c r="AB5428" t="s">
        <v>19092</v>
      </c>
      <c r="AC5428">
        <v>169</v>
      </c>
      <c r="AD5428" t="s">
        <v>19566</v>
      </c>
      <c r="AE5428" t="s">
        <v>19580</v>
      </c>
      <c r="AF5428">
        <v>34</v>
      </c>
      <c r="AG5428">
        <v>1</v>
      </c>
      <c r="AH5428">
        <v>0</v>
      </c>
      <c r="AI5428">
        <v>257</v>
      </c>
      <c r="AL5428" t="s">
        <v>19614</v>
      </c>
      <c r="AM5428">
        <v>31200</v>
      </c>
      <c r="AS5428">
        <v>0</v>
      </c>
      <c r="AU5428" t="s">
        <v>158</v>
      </c>
    </row>
    <row r="5429" spans="1:48">
      <c r="A5429" s="1">
        <f>HYPERLINK("https://lsnyc.legalserver.org/matter/dynamic-profile/view/1862822","18-1862822")</f>
        <v>0</v>
      </c>
      <c r="B5429" t="s">
        <v>103</v>
      </c>
      <c r="C5429" t="s">
        <v>256</v>
      </c>
      <c r="D5429" t="s">
        <v>439</v>
      </c>
      <c r="F5429" t="s">
        <v>3085</v>
      </c>
      <c r="G5429" t="s">
        <v>4443</v>
      </c>
      <c r="H5429" t="s">
        <v>5873</v>
      </c>
      <c r="J5429" t="s">
        <v>9065</v>
      </c>
      <c r="K5429">
        <v>10457</v>
      </c>
      <c r="L5429" t="s">
        <v>9094</v>
      </c>
      <c r="M5429" t="s">
        <v>9095</v>
      </c>
      <c r="N5429" t="s">
        <v>9233</v>
      </c>
      <c r="O5429" t="s">
        <v>11135</v>
      </c>
      <c r="P5429" t="s">
        <v>11168</v>
      </c>
      <c r="R5429" t="s">
        <v>11180</v>
      </c>
      <c r="S5429" t="s">
        <v>9094</v>
      </c>
      <c r="T5429" t="s">
        <v>11183</v>
      </c>
      <c r="V5429" t="s">
        <v>364</v>
      </c>
      <c r="W5429">
        <v>245</v>
      </c>
      <c r="X5429" t="s">
        <v>11333</v>
      </c>
      <c r="Y5429" t="s">
        <v>11340</v>
      </c>
      <c r="Z5429" t="s">
        <v>14788</v>
      </c>
      <c r="AB5429" t="s">
        <v>19109</v>
      </c>
      <c r="AC5429">
        <v>100</v>
      </c>
      <c r="AD5429" t="s">
        <v>19566</v>
      </c>
      <c r="AF5429">
        <v>25</v>
      </c>
      <c r="AG5429">
        <v>1</v>
      </c>
      <c r="AH5429">
        <v>0</v>
      </c>
      <c r="AI5429">
        <v>257</v>
      </c>
      <c r="AJ5429" t="s">
        <v>11262</v>
      </c>
      <c r="AL5429" t="s">
        <v>19615</v>
      </c>
      <c r="AM5429">
        <v>31200</v>
      </c>
      <c r="AS5429">
        <v>0.4</v>
      </c>
      <c r="AT5429" t="s">
        <v>439</v>
      </c>
      <c r="AU5429" t="s">
        <v>20642</v>
      </c>
    </row>
    <row r="5430" spans="1:48">
      <c r="A5430" s="1">
        <f>HYPERLINK("https://lsnyc.legalserver.org/matter/dynamic-profile/view/1882809","18-1882809")</f>
        <v>0</v>
      </c>
      <c r="B5430" t="s">
        <v>108</v>
      </c>
      <c r="C5430" t="s">
        <v>256</v>
      </c>
      <c r="D5430" t="s">
        <v>490</v>
      </c>
      <c r="F5430" t="s">
        <v>1365</v>
      </c>
      <c r="G5430" t="s">
        <v>4033</v>
      </c>
      <c r="H5430" t="s">
        <v>7969</v>
      </c>
      <c r="J5430" t="s">
        <v>9065</v>
      </c>
      <c r="K5430">
        <v>10466</v>
      </c>
      <c r="L5430" t="s">
        <v>9094</v>
      </c>
      <c r="M5430" t="s">
        <v>9094</v>
      </c>
      <c r="O5430" t="s">
        <v>11155</v>
      </c>
      <c r="P5430" t="s">
        <v>11168</v>
      </c>
      <c r="R5430" t="s">
        <v>11180</v>
      </c>
      <c r="S5430" t="s">
        <v>9096</v>
      </c>
      <c r="T5430" t="s">
        <v>11190</v>
      </c>
      <c r="V5430" t="s">
        <v>490</v>
      </c>
      <c r="W5430">
        <v>1172</v>
      </c>
      <c r="X5430" t="s">
        <v>11333</v>
      </c>
      <c r="Y5430" t="s">
        <v>11350</v>
      </c>
      <c r="AB5430" t="s">
        <v>19110</v>
      </c>
      <c r="AC5430">
        <v>0</v>
      </c>
      <c r="AD5430" t="s">
        <v>19565</v>
      </c>
      <c r="AE5430" t="s">
        <v>19580</v>
      </c>
      <c r="AF5430">
        <v>0</v>
      </c>
      <c r="AG5430">
        <v>1</v>
      </c>
      <c r="AH5430">
        <v>0</v>
      </c>
      <c r="AI5430">
        <v>257.03</v>
      </c>
      <c r="AJ5430" t="s">
        <v>868</v>
      </c>
      <c r="AK5430" t="s">
        <v>19612</v>
      </c>
      <c r="AL5430" t="s">
        <v>19614</v>
      </c>
      <c r="AM5430">
        <v>31204</v>
      </c>
      <c r="AS5430">
        <v>77.65000000000001</v>
      </c>
      <c r="AT5430" t="s">
        <v>333</v>
      </c>
      <c r="AU5430" t="s">
        <v>108</v>
      </c>
    </row>
    <row r="5431" spans="1:48">
      <c r="A5431" s="1">
        <f>HYPERLINK("https://lsnyc.legalserver.org/matter/dynamic-profile/view/0831895","17-0831895")</f>
        <v>0</v>
      </c>
      <c r="B5431" t="s">
        <v>86</v>
      </c>
      <c r="C5431" t="s">
        <v>257</v>
      </c>
      <c r="D5431" t="s">
        <v>1106</v>
      </c>
      <c r="E5431" t="s">
        <v>551</v>
      </c>
      <c r="F5431" t="s">
        <v>1191</v>
      </c>
      <c r="G5431" t="s">
        <v>3388</v>
      </c>
      <c r="H5431" t="s">
        <v>5745</v>
      </c>
      <c r="I5431" t="s">
        <v>8140</v>
      </c>
      <c r="J5431" t="s">
        <v>9059</v>
      </c>
      <c r="K5431">
        <v>11238</v>
      </c>
      <c r="L5431" t="s">
        <v>9094</v>
      </c>
      <c r="M5431" t="s">
        <v>9094</v>
      </c>
      <c r="N5431" t="s">
        <v>10995</v>
      </c>
      <c r="O5431" t="s">
        <v>11129</v>
      </c>
      <c r="P5431" t="s">
        <v>11165</v>
      </c>
      <c r="Q5431" t="s">
        <v>11174</v>
      </c>
      <c r="R5431" t="s">
        <v>11180</v>
      </c>
      <c r="S5431" t="s">
        <v>9096</v>
      </c>
      <c r="T5431" t="s">
        <v>11183</v>
      </c>
      <c r="V5431" t="s">
        <v>11212</v>
      </c>
      <c r="W5431">
        <v>783</v>
      </c>
      <c r="X5431" t="s">
        <v>11332</v>
      </c>
      <c r="Y5431" t="s">
        <v>11355</v>
      </c>
      <c r="Z5431" t="s">
        <v>11417</v>
      </c>
      <c r="AA5431" t="s">
        <v>9096</v>
      </c>
      <c r="AC5431">
        <v>19</v>
      </c>
      <c r="AD5431" t="s">
        <v>19566</v>
      </c>
      <c r="AE5431" t="s">
        <v>9144</v>
      </c>
      <c r="AF5431">
        <v>27</v>
      </c>
      <c r="AG5431">
        <v>1</v>
      </c>
      <c r="AH5431">
        <v>0</v>
      </c>
      <c r="AI5431">
        <v>257.05</v>
      </c>
      <c r="AL5431" t="s">
        <v>19614</v>
      </c>
      <c r="AM5431">
        <v>31000</v>
      </c>
      <c r="AS5431">
        <v>97.90000000000001</v>
      </c>
      <c r="AT5431" t="s">
        <v>481</v>
      </c>
      <c r="AU5431" t="s">
        <v>20637</v>
      </c>
      <c r="AV5431" t="s">
        <v>20733</v>
      </c>
    </row>
    <row r="5432" spans="1:48">
      <c r="A5432" s="1">
        <f>HYPERLINK("https://lsnyc.legalserver.org/matter/dynamic-profile/view/0770683","15-0770683")</f>
        <v>0</v>
      </c>
      <c r="B5432" t="s">
        <v>86</v>
      </c>
      <c r="C5432" t="s">
        <v>256</v>
      </c>
      <c r="D5432" t="s">
        <v>1107</v>
      </c>
      <c r="F5432" t="s">
        <v>3086</v>
      </c>
      <c r="G5432" t="s">
        <v>3411</v>
      </c>
      <c r="H5432" t="s">
        <v>7279</v>
      </c>
      <c r="I5432" t="s">
        <v>8364</v>
      </c>
      <c r="J5432" t="s">
        <v>9059</v>
      </c>
      <c r="K5432">
        <v>11213</v>
      </c>
      <c r="L5432" t="s">
        <v>9096</v>
      </c>
      <c r="M5432" t="s">
        <v>9095</v>
      </c>
      <c r="N5432" t="s">
        <v>10996</v>
      </c>
      <c r="O5432" t="s">
        <v>11128</v>
      </c>
      <c r="P5432" t="s">
        <v>11165</v>
      </c>
      <c r="R5432" t="s">
        <v>11180</v>
      </c>
      <c r="T5432" t="s">
        <v>11183</v>
      </c>
      <c r="V5432" t="s">
        <v>11231</v>
      </c>
      <c r="W5432">
        <v>962</v>
      </c>
      <c r="X5432" t="s">
        <v>11332</v>
      </c>
      <c r="Z5432" t="s">
        <v>14789</v>
      </c>
      <c r="AB5432" t="s">
        <v>19111</v>
      </c>
      <c r="AC5432">
        <v>38</v>
      </c>
      <c r="AD5432" t="s">
        <v>19566</v>
      </c>
      <c r="AF5432">
        <v>28</v>
      </c>
      <c r="AG5432">
        <v>2</v>
      </c>
      <c r="AH5432">
        <v>0</v>
      </c>
      <c r="AI5432">
        <v>257.55</v>
      </c>
      <c r="AJ5432" t="s">
        <v>805</v>
      </c>
      <c r="AL5432" t="s">
        <v>19614</v>
      </c>
      <c r="AM5432">
        <v>41028</v>
      </c>
      <c r="AS5432">
        <v>55.8</v>
      </c>
      <c r="AT5432" t="s">
        <v>467</v>
      </c>
      <c r="AU5432" t="s">
        <v>233</v>
      </c>
    </row>
    <row r="5433" spans="1:48">
      <c r="A5433" s="1">
        <f>HYPERLINK("https://lsnyc.legalserver.org/matter/dynamic-profile/view/0770683","15-0770683")</f>
        <v>0</v>
      </c>
      <c r="B5433" t="s">
        <v>86</v>
      </c>
      <c r="C5433" t="s">
        <v>256</v>
      </c>
      <c r="D5433" t="s">
        <v>1107</v>
      </c>
      <c r="F5433" t="s">
        <v>3086</v>
      </c>
      <c r="G5433" t="s">
        <v>3411</v>
      </c>
      <c r="H5433" t="s">
        <v>7279</v>
      </c>
      <c r="I5433" t="s">
        <v>8364</v>
      </c>
      <c r="J5433" t="s">
        <v>9059</v>
      </c>
      <c r="K5433">
        <v>11213</v>
      </c>
      <c r="L5433" t="s">
        <v>9096</v>
      </c>
      <c r="M5433" t="s">
        <v>9095</v>
      </c>
      <c r="N5433" t="s">
        <v>10996</v>
      </c>
      <c r="O5433" t="s">
        <v>11128</v>
      </c>
      <c r="P5433" t="s">
        <v>11165</v>
      </c>
      <c r="R5433" t="s">
        <v>11180</v>
      </c>
      <c r="T5433" t="s">
        <v>11183</v>
      </c>
      <c r="V5433" t="s">
        <v>11231</v>
      </c>
      <c r="W5433">
        <v>962</v>
      </c>
      <c r="X5433" t="s">
        <v>11332</v>
      </c>
      <c r="Z5433" t="s">
        <v>14789</v>
      </c>
      <c r="AB5433" t="s">
        <v>19111</v>
      </c>
      <c r="AC5433">
        <v>38</v>
      </c>
      <c r="AD5433" t="s">
        <v>19566</v>
      </c>
      <c r="AF5433">
        <v>28</v>
      </c>
      <c r="AG5433">
        <v>2</v>
      </c>
      <c r="AH5433">
        <v>0</v>
      </c>
      <c r="AI5433">
        <v>257.55</v>
      </c>
      <c r="AJ5433" t="s">
        <v>805</v>
      </c>
      <c r="AL5433" t="s">
        <v>19614</v>
      </c>
      <c r="AM5433">
        <v>41028</v>
      </c>
      <c r="AS5433">
        <v>55.8</v>
      </c>
      <c r="AT5433" t="s">
        <v>467</v>
      </c>
      <c r="AU5433" t="s">
        <v>20712</v>
      </c>
    </row>
    <row r="5434" spans="1:48">
      <c r="A5434" s="1">
        <f>HYPERLINK("https://lsnyc.legalserver.org/matter/dynamic-profile/view/1907851","19-1907851")</f>
        <v>0</v>
      </c>
      <c r="B5434" t="s">
        <v>55</v>
      </c>
      <c r="C5434" t="s">
        <v>256</v>
      </c>
      <c r="D5434" t="s">
        <v>779</v>
      </c>
      <c r="F5434" t="s">
        <v>3087</v>
      </c>
      <c r="G5434" t="s">
        <v>3765</v>
      </c>
      <c r="H5434" t="s">
        <v>6954</v>
      </c>
      <c r="I5434" t="s">
        <v>8372</v>
      </c>
      <c r="J5434" t="s">
        <v>9050</v>
      </c>
      <c r="K5434">
        <v>11377</v>
      </c>
      <c r="L5434" t="s">
        <v>9094</v>
      </c>
      <c r="M5434" t="s">
        <v>9095</v>
      </c>
      <c r="N5434" t="s">
        <v>10067</v>
      </c>
      <c r="O5434" t="s">
        <v>11134</v>
      </c>
      <c r="P5434" t="s">
        <v>11168</v>
      </c>
      <c r="R5434" t="s">
        <v>11180</v>
      </c>
      <c r="S5434" t="s">
        <v>9094</v>
      </c>
      <c r="T5434" t="s">
        <v>11183</v>
      </c>
      <c r="U5434" t="s">
        <v>11201</v>
      </c>
      <c r="V5434" t="s">
        <v>779</v>
      </c>
      <c r="W5434">
        <v>1291</v>
      </c>
      <c r="X5434" t="s">
        <v>11331</v>
      </c>
      <c r="Y5434" t="s">
        <v>11346</v>
      </c>
      <c r="Z5434" t="s">
        <v>14790</v>
      </c>
      <c r="AA5434" t="s">
        <v>15274</v>
      </c>
      <c r="AB5434" t="s">
        <v>19112</v>
      </c>
      <c r="AC5434">
        <v>67</v>
      </c>
      <c r="AD5434" t="s">
        <v>19566</v>
      </c>
      <c r="AE5434" t="s">
        <v>9144</v>
      </c>
      <c r="AF5434">
        <v>12</v>
      </c>
      <c r="AG5434">
        <v>2</v>
      </c>
      <c r="AH5434">
        <v>1</v>
      </c>
      <c r="AI5434">
        <v>257.85</v>
      </c>
      <c r="AL5434" t="s">
        <v>19614</v>
      </c>
      <c r="AM5434">
        <v>55000</v>
      </c>
      <c r="AP5434" t="s">
        <v>11157</v>
      </c>
      <c r="AS5434">
        <v>0.4</v>
      </c>
      <c r="AT5434" t="s">
        <v>779</v>
      </c>
      <c r="AU5434" t="s">
        <v>20620</v>
      </c>
      <c r="AV5434" t="s">
        <v>20733</v>
      </c>
    </row>
    <row r="5435" spans="1:48">
      <c r="A5435" s="1">
        <f>HYPERLINK("https://lsnyc.legalserver.org/matter/dynamic-profile/view/1907856","19-1907856")</f>
        <v>0</v>
      </c>
      <c r="B5435" t="s">
        <v>55</v>
      </c>
      <c r="C5435" t="s">
        <v>256</v>
      </c>
      <c r="D5435" t="s">
        <v>779</v>
      </c>
      <c r="F5435" t="s">
        <v>3087</v>
      </c>
      <c r="G5435" t="s">
        <v>3765</v>
      </c>
      <c r="H5435" t="s">
        <v>6954</v>
      </c>
      <c r="I5435" t="s">
        <v>8372</v>
      </c>
      <c r="J5435" t="s">
        <v>9050</v>
      </c>
      <c r="K5435">
        <v>11377</v>
      </c>
      <c r="L5435" t="s">
        <v>9094</v>
      </c>
      <c r="M5435" t="s">
        <v>9095</v>
      </c>
      <c r="N5435" t="s">
        <v>10068</v>
      </c>
      <c r="O5435" t="s">
        <v>11134</v>
      </c>
      <c r="P5435" t="s">
        <v>11168</v>
      </c>
      <c r="R5435" t="s">
        <v>11180</v>
      </c>
      <c r="S5435" t="s">
        <v>9094</v>
      </c>
      <c r="T5435" t="s">
        <v>11183</v>
      </c>
      <c r="V5435" t="s">
        <v>11267</v>
      </c>
      <c r="W5435">
        <v>1291</v>
      </c>
      <c r="X5435" t="s">
        <v>11331</v>
      </c>
      <c r="Y5435" t="s">
        <v>11346</v>
      </c>
      <c r="Z5435" t="s">
        <v>14790</v>
      </c>
      <c r="AB5435" t="s">
        <v>19112</v>
      </c>
      <c r="AC5435">
        <v>66</v>
      </c>
      <c r="AD5435" t="s">
        <v>19566</v>
      </c>
      <c r="AE5435" t="s">
        <v>9144</v>
      </c>
      <c r="AF5435">
        <v>66</v>
      </c>
      <c r="AG5435">
        <v>2</v>
      </c>
      <c r="AH5435">
        <v>1</v>
      </c>
      <c r="AI5435">
        <v>257.85</v>
      </c>
      <c r="AL5435" t="s">
        <v>19614</v>
      </c>
      <c r="AM5435">
        <v>55000</v>
      </c>
      <c r="AS5435">
        <v>0.4</v>
      </c>
      <c r="AT5435" t="s">
        <v>779</v>
      </c>
      <c r="AU5435" t="s">
        <v>20620</v>
      </c>
      <c r="AV5435" t="s">
        <v>20733</v>
      </c>
    </row>
    <row r="5436" spans="1:48">
      <c r="A5436" s="1">
        <f>HYPERLINK("https://lsnyc.legalserver.org/matter/dynamic-profile/view/1914310","19-1914310")</f>
        <v>0</v>
      </c>
      <c r="B5436" t="s">
        <v>71</v>
      </c>
      <c r="C5436" t="s">
        <v>256</v>
      </c>
      <c r="D5436" t="s">
        <v>496</v>
      </c>
      <c r="F5436" t="s">
        <v>3088</v>
      </c>
      <c r="G5436" t="s">
        <v>3611</v>
      </c>
      <c r="H5436" t="s">
        <v>7021</v>
      </c>
      <c r="I5436" t="s">
        <v>8125</v>
      </c>
      <c r="J5436" t="s">
        <v>9059</v>
      </c>
      <c r="K5436">
        <v>11208</v>
      </c>
      <c r="L5436" t="s">
        <v>9094</v>
      </c>
      <c r="M5436" t="s">
        <v>9095</v>
      </c>
      <c r="N5436" t="s">
        <v>10997</v>
      </c>
      <c r="O5436" t="s">
        <v>11128</v>
      </c>
      <c r="P5436" t="s">
        <v>11169</v>
      </c>
      <c r="R5436" t="s">
        <v>11180</v>
      </c>
      <c r="S5436" t="s">
        <v>9096</v>
      </c>
      <c r="T5436" t="s">
        <v>11183</v>
      </c>
      <c r="V5436" t="s">
        <v>301</v>
      </c>
      <c r="W5436">
        <v>1641</v>
      </c>
      <c r="X5436" t="s">
        <v>11332</v>
      </c>
      <c r="Y5436" t="s">
        <v>11336</v>
      </c>
      <c r="Z5436" t="s">
        <v>14791</v>
      </c>
      <c r="AB5436" t="s">
        <v>19113</v>
      </c>
      <c r="AC5436">
        <v>1275</v>
      </c>
      <c r="AD5436" t="s">
        <v>19566</v>
      </c>
      <c r="AE5436" t="s">
        <v>19580</v>
      </c>
      <c r="AF5436">
        <v>17</v>
      </c>
      <c r="AG5436">
        <v>2</v>
      </c>
      <c r="AH5436">
        <v>1</v>
      </c>
      <c r="AI5436">
        <v>257.85</v>
      </c>
      <c r="AL5436" t="s">
        <v>19614</v>
      </c>
      <c r="AM5436">
        <v>55000</v>
      </c>
      <c r="AS5436">
        <v>0</v>
      </c>
      <c r="AU5436" t="s">
        <v>79</v>
      </c>
      <c r="AV5436" t="s">
        <v>20733</v>
      </c>
    </row>
    <row r="5437" spans="1:48">
      <c r="A5437" s="1">
        <f>HYPERLINK("https://lsnyc.legalserver.org/matter/dynamic-profile/view/1914711","19-1914711")</f>
        <v>0</v>
      </c>
      <c r="B5437" t="s">
        <v>129</v>
      </c>
      <c r="C5437" t="s">
        <v>256</v>
      </c>
      <c r="D5437" t="s">
        <v>632</v>
      </c>
      <c r="F5437" t="s">
        <v>3089</v>
      </c>
      <c r="G5437" t="s">
        <v>5382</v>
      </c>
      <c r="H5437" t="s">
        <v>7970</v>
      </c>
      <c r="I5437" t="s">
        <v>8275</v>
      </c>
      <c r="J5437" t="s">
        <v>9066</v>
      </c>
      <c r="K5437">
        <v>10301</v>
      </c>
      <c r="L5437" t="s">
        <v>9095</v>
      </c>
      <c r="M5437" t="s">
        <v>9095</v>
      </c>
      <c r="P5437" t="s">
        <v>11165</v>
      </c>
      <c r="R5437" t="s">
        <v>11180</v>
      </c>
      <c r="T5437" t="s">
        <v>11183</v>
      </c>
      <c r="W5437">
        <v>0</v>
      </c>
      <c r="X5437" t="s">
        <v>11334</v>
      </c>
      <c r="Z5437" t="s">
        <v>14792</v>
      </c>
      <c r="AB5437" t="s">
        <v>19114</v>
      </c>
      <c r="AC5437">
        <v>0</v>
      </c>
      <c r="AF5437">
        <v>0</v>
      </c>
      <c r="AG5437">
        <v>1</v>
      </c>
      <c r="AH5437">
        <v>2</v>
      </c>
      <c r="AI5437">
        <v>257.85</v>
      </c>
      <c r="AK5437" t="s">
        <v>19612</v>
      </c>
      <c r="AM5437">
        <v>55000</v>
      </c>
      <c r="AS5437">
        <v>5</v>
      </c>
      <c r="AT5437" t="s">
        <v>1130</v>
      </c>
      <c r="AU5437" t="s">
        <v>129</v>
      </c>
    </row>
    <row r="5438" spans="1:48">
      <c r="A5438" s="1">
        <f>HYPERLINK("https://lsnyc.legalserver.org/matter/dynamic-profile/view/1842621","17-1842621")</f>
        <v>0</v>
      </c>
      <c r="B5438" t="s">
        <v>136</v>
      </c>
      <c r="C5438" t="s">
        <v>257</v>
      </c>
      <c r="D5438" t="s">
        <v>1108</v>
      </c>
      <c r="E5438" t="s">
        <v>1130</v>
      </c>
      <c r="F5438" t="s">
        <v>1740</v>
      </c>
      <c r="G5438" t="s">
        <v>5383</v>
      </c>
      <c r="H5438" t="s">
        <v>6681</v>
      </c>
      <c r="I5438" t="s">
        <v>8216</v>
      </c>
      <c r="J5438" t="s">
        <v>9067</v>
      </c>
      <c r="K5438">
        <v>10040</v>
      </c>
      <c r="L5438" t="s">
        <v>9094</v>
      </c>
      <c r="M5438" t="s">
        <v>9095</v>
      </c>
      <c r="N5438" t="s">
        <v>10998</v>
      </c>
      <c r="O5438" t="s">
        <v>11135</v>
      </c>
      <c r="P5438" t="s">
        <v>11166</v>
      </c>
      <c r="Q5438" t="s">
        <v>11173</v>
      </c>
      <c r="R5438" t="s">
        <v>11180</v>
      </c>
      <c r="S5438" t="s">
        <v>9094</v>
      </c>
      <c r="T5438" t="s">
        <v>11183</v>
      </c>
      <c r="V5438" t="s">
        <v>1108</v>
      </c>
      <c r="W5438">
        <v>1300</v>
      </c>
      <c r="X5438" t="s">
        <v>11335</v>
      </c>
      <c r="Y5438" t="s">
        <v>11338</v>
      </c>
      <c r="Z5438" t="s">
        <v>14793</v>
      </c>
      <c r="AB5438" t="s">
        <v>19115</v>
      </c>
      <c r="AC5438">
        <v>43</v>
      </c>
      <c r="AD5438" t="s">
        <v>19566</v>
      </c>
      <c r="AE5438" t="s">
        <v>9144</v>
      </c>
      <c r="AF5438">
        <v>17</v>
      </c>
      <c r="AG5438">
        <v>3</v>
      </c>
      <c r="AH5438">
        <v>3</v>
      </c>
      <c r="AI5438">
        <v>257.89</v>
      </c>
      <c r="AJ5438" t="s">
        <v>19599</v>
      </c>
      <c r="AL5438" t="s">
        <v>19614</v>
      </c>
      <c r="AM5438">
        <v>85000</v>
      </c>
      <c r="AS5438">
        <v>15.75</v>
      </c>
      <c r="AT5438" t="s">
        <v>352</v>
      </c>
      <c r="AU5438" t="s">
        <v>130</v>
      </c>
    </row>
    <row r="5439" spans="1:48">
      <c r="A5439" s="1">
        <f>HYPERLINK("https://lsnyc.legalserver.org/matter/dynamic-profile/view/0806846","16-0806846")</f>
        <v>0</v>
      </c>
      <c r="B5439" t="s">
        <v>101</v>
      </c>
      <c r="C5439" t="s">
        <v>256</v>
      </c>
      <c r="D5439" t="s">
        <v>1043</v>
      </c>
      <c r="F5439" t="s">
        <v>1209</v>
      </c>
      <c r="G5439" t="s">
        <v>3706</v>
      </c>
      <c r="H5439" t="s">
        <v>6041</v>
      </c>
      <c r="I5439" t="s">
        <v>8218</v>
      </c>
      <c r="J5439" t="s">
        <v>9065</v>
      </c>
      <c r="K5439">
        <v>10452</v>
      </c>
      <c r="L5439" t="s">
        <v>9094</v>
      </c>
      <c r="M5439" t="s">
        <v>9095</v>
      </c>
      <c r="N5439" t="s">
        <v>9499</v>
      </c>
      <c r="O5439" t="s">
        <v>11135</v>
      </c>
      <c r="P5439" t="s">
        <v>11168</v>
      </c>
      <c r="R5439" t="s">
        <v>11180</v>
      </c>
      <c r="S5439" t="s">
        <v>9094</v>
      </c>
      <c r="T5439" t="s">
        <v>11183</v>
      </c>
      <c r="V5439" t="s">
        <v>1094</v>
      </c>
      <c r="W5439">
        <v>1200</v>
      </c>
      <c r="X5439" t="s">
        <v>11333</v>
      </c>
      <c r="Y5439" t="s">
        <v>11346</v>
      </c>
      <c r="Z5439" t="s">
        <v>14779</v>
      </c>
      <c r="AB5439" t="s">
        <v>19100</v>
      </c>
      <c r="AC5439">
        <v>61</v>
      </c>
      <c r="AD5439" t="s">
        <v>19566</v>
      </c>
      <c r="AE5439" t="s">
        <v>9144</v>
      </c>
      <c r="AF5439">
        <v>5</v>
      </c>
      <c r="AG5439">
        <v>3</v>
      </c>
      <c r="AH5439">
        <v>0</v>
      </c>
      <c r="AI5439">
        <v>257.94</v>
      </c>
      <c r="AL5439" t="s">
        <v>19614</v>
      </c>
      <c r="AM5439">
        <v>52000</v>
      </c>
      <c r="AS5439">
        <v>0.9</v>
      </c>
      <c r="AT5439" t="s">
        <v>844</v>
      </c>
      <c r="AU5439" t="s">
        <v>20647</v>
      </c>
    </row>
    <row r="5440" spans="1:48">
      <c r="A5440" s="1">
        <f>HYPERLINK("https://lsnyc.legalserver.org/matter/dynamic-profile/view/0817070","16-0817070")</f>
        <v>0</v>
      </c>
      <c r="B5440" t="s">
        <v>101</v>
      </c>
      <c r="C5440" t="s">
        <v>256</v>
      </c>
      <c r="D5440" t="s">
        <v>813</v>
      </c>
      <c r="F5440" t="s">
        <v>1209</v>
      </c>
      <c r="G5440" t="s">
        <v>3706</v>
      </c>
      <c r="H5440" t="s">
        <v>6041</v>
      </c>
      <c r="I5440" t="s">
        <v>8218</v>
      </c>
      <c r="J5440" t="s">
        <v>9065</v>
      </c>
      <c r="K5440">
        <v>10452</v>
      </c>
      <c r="L5440" t="s">
        <v>9094</v>
      </c>
      <c r="M5440" t="s">
        <v>9095</v>
      </c>
      <c r="N5440" t="s">
        <v>9500</v>
      </c>
      <c r="O5440" t="s">
        <v>11135</v>
      </c>
      <c r="P5440" t="s">
        <v>11168</v>
      </c>
      <c r="R5440" t="s">
        <v>11180</v>
      </c>
      <c r="S5440" t="s">
        <v>9094</v>
      </c>
      <c r="T5440" t="s">
        <v>11183</v>
      </c>
      <c r="V5440" t="s">
        <v>1024</v>
      </c>
      <c r="W5440">
        <v>1200</v>
      </c>
      <c r="X5440" t="s">
        <v>11333</v>
      </c>
      <c r="Y5440" t="s">
        <v>11346</v>
      </c>
      <c r="Z5440" t="s">
        <v>14779</v>
      </c>
      <c r="AB5440" t="s">
        <v>19100</v>
      </c>
      <c r="AC5440">
        <v>62</v>
      </c>
      <c r="AD5440" t="s">
        <v>19566</v>
      </c>
      <c r="AE5440" t="s">
        <v>9144</v>
      </c>
      <c r="AF5440">
        <v>5</v>
      </c>
      <c r="AG5440">
        <v>3</v>
      </c>
      <c r="AH5440">
        <v>0</v>
      </c>
      <c r="AI5440">
        <v>257.94</v>
      </c>
      <c r="AL5440" t="s">
        <v>19614</v>
      </c>
      <c r="AM5440">
        <v>83200</v>
      </c>
      <c r="AS5440">
        <v>1.4</v>
      </c>
      <c r="AT5440" t="s">
        <v>844</v>
      </c>
      <c r="AU5440" t="s">
        <v>20643</v>
      </c>
    </row>
    <row r="5441" spans="1:48">
      <c r="A5441" s="1">
        <f>HYPERLINK("https://lsnyc.legalserver.org/matter/dynamic-profile/view/0822162","16-0822162")</f>
        <v>0</v>
      </c>
      <c r="B5441" t="s">
        <v>101</v>
      </c>
      <c r="C5441" t="s">
        <v>256</v>
      </c>
      <c r="D5441" t="s">
        <v>720</v>
      </c>
      <c r="F5441" t="s">
        <v>1209</v>
      </c>
      <c r="G5441" t="s">
        <v>3706</v>
      </c>
      <c r="H5441" t="s">
        <v>6041</v>
      </c>
      <c r="I5441" t="s">
        <v>8218</v>
      </c>
      <c r="J5441" t="s">
        <v>9065</v>
      </c>
      <c r="K5441">
        <v>10452</v>
      </c>
      <c r="L5441" t="s">
        <v>9094</v>
      </c>
      <c r="M5441" t="s">
        <v>9095</v>
      </c>
      <c r="N5441" t="s">
        <v>9501</v>
      </c>
      <c r="O5441" t="s">
        <v>11135</v>
      </c>
      <c r="P5441" t="s">
        <v>11168</v>
      </c>
      <c r="R5441" t="s">
        <v>11180</v>
      </c>
      <c r="S5441" t="s">
        <v>9094</v>
      </c>
      <c r="T5441" t="s">
        <v>11183</v>
      </c>
      <c r="V5441" t="s">
        <v>11245</v>
      </c>
      <c r="W5441">
        <v>0</v>
      </c>
      <c r="X5441" t="s">
        <v>11333</v>
      </c>
      <c r="Y5441" t="s">
        <v>11346</v>
      </c>
      <c r="Z5441" t="s">
        <v>14779</v>
      </c>
      <c r="AB5441" t="s">
        <v>19100</v>
      </c>
      <c r="AC5441">
        <v>62</v>
      </c>
      <c r="AD5441" t="s">
        <v>19566</v>
      </c>
      <c r="AE5441" t="s">
        <v>9144</v>
      </c>
      <c r="AF5441">
        <v>0</v>
      </c>
      <c r="AG5441">
        <v>3</v>
      </c>
      <c r="AH5441">
        <v>0</v>
      </c>
      <c r="AI5441">
        <v>257.94</v>
      </c>
      <c r="AL5441" t="s">
        <v>19614</v>
      </c>
      <c r="AM5441">
        <v>83200</v>
      </c>
      <c r="AS5441">
        <v>0.3</v>
      </c>
      <c r="AT5441" t="s">
        <v>844</v>
      </c>
      <c r="AU5441" t="s">
        <v>20643</v>
      </c>
    </row>
    <row r="5442" spans="1:48">
      <c r="A5442" s="1">
        <f>HYPERLINK("https://lsnyc.legalserver.org/matter/dynamic-profile/view/1887825","19-1887825")</f>
        <v>0</v>
      </c>
      <c r="B5442" t="s">
        <v>78</v>
      </c>
      <c r="C5442" t="s">
        <v>256</v>
      </c>
      <c r="D5442" t="s">
        <v>363</v>
      </c>
      <c r="F5442" t="s">
        <v>3090</v>
      </c>
      <c r="G5442" t="s">
        <v>5384</v>
      </c>
      <c r="H5442" t="s">
        <v>5785</v>
      </c>
      <c r="I5442" t="s">
        <v>8690</v>
      </c>
      <c r="J5442" t="s">
        <v>9059</v>
      </c>
      <c r="K5442">
        <v>11225</v>
      </c>
      <c r="L5442" t="s">
        <v>9094</v>
      </c>
      <c r="M5442" t="s">
        <v>9095</v>
      </c>
      <c r="O5442" t="s">
        <v>11134</v>
      </c>
      <c r="P5442" t="s">
        <v>11168</v>
      </c>
      <c r="R5442" t="s">
        <v>11180</v>
      </c>
      <c r="S5442" t="s">
        <v>9094</v>
      </c>
      <c r="T5442" t="s">
        <v>11183</v>
      </c>
      <c r="V5442" t="s">
        <v>412</v>
      </c>
      <c r="W5442">
        <v>911.14</v>
      </c>
      <c r="X5442" t="s">
        <v>11332</v>
      </c>
      <c r="Z5442" t="s">
        <v>13624</v>
      </c>
      <c r="AB5442" t="s">
        <v>19116</v>
      </c>
      <c r="AC5442">
        <v>89</v>
      </c>
      <c r="AD5442" t="s">
        <v>19566</v>
      </c>
      <c r="AE5442" t="s">
        <v>9144</v>
      </c>
      <c r="AF5442">
        <v>40</v>
      </c>
      <c r="AG5442">
        <v>3</v>
      </c>
      <c r="AH5442">
        <v>0</v>
      </c>
      <c r="AI5442">
        <v>258.5</v>
      </c>
      <c r="AL5442" t="s">
        <v>19614</v>
      </c>
      <c r="AM5442">
        <v>53716</v>
      </c>
      <c r="AS5442">
        <v>0</v>
      </c>
      <c r="AU5442" t="s">
        <v>79</v>
      </c>
    </row>
    <row r="5443" spans="1:48">
      <c r="A5443" s="1">
        <f>HYPERLINK("https://lsnyc.legalserver.org/matter/dynamic-profile/view/1872021","18-1872021")</f>
        <v>0</v>
      </c>
      <c r="B5443" t="s">
        <v>78</v>
      </c>
      <c r="C5443" t="s">
        <v>256</v>
      </c>
      <c r="D5443" t="s">
        <v>515</v>
      </c>
      <c r="F5443" t="s">
        <v>3090</v>
      </c>
      <c r="G5443" t="s">
        <v>5384</v>
      </c>
      <c r="H5443" t="s">
        <v>5785</v>
      </c>
      <c r="I5443" t="s">
        <v>8690</v>
      </c>
      <c r="J5443" t="s">
        <v>9059</v>
      </c>
      <c r="K5443">
        <v>11225</v>
      </c>
      <c r="L5443" t="s">
        <v>9094</v>
      </c>
      <c r="M5443" t="s">
        <v>9095</v>
      </c>
      <c r="O5443" t="s">
        <v>11137</v>
      </c>
      <c r="P5443" t="s">
        <v>11167</v>
      </c>
      <c r="R5443" t="s">
        <v>11180</v>
      </c>
      <c r="S5443" t="s">
        <v>9094</v>
      </c>
      <c r="T5443" t="s">
        <v>11183</v>
      </c>
      <c r="V5443" t="s">
        <v>412</v>
      </c>
      <c r="W5443">
        <v>911.14</v>
      </c>
      <c r="X5443" t="s">
        <v>11332</v>
      </c>
      <c r="Z5443" t="s">
        <v>13624</v>
      </c>
      <c r="AB5443" t="s">
        <v>19116</v>
      </c>
      <c r="AC5443">
        <v>89</v>
      </c>
      <c r="AD5443" t="s">
        <v>19566</v>
      </c>
      <c r="AE5443" t="s">
        <v>9144</v>
      </c>
      <c r="AF5443">
        <v>40</v>
      </c>
      <c r="AG5443">
        <v>3</v>
      </c>
      <c r="AH5443">
        <v>0</v>
      </c>
      <c r="AI5443">
        <v>258.5</v>
      </c>
      <c r="AL5443" t="s">
        <v>19614</v>
      </c>
      <c r="AM5443">
        <v>53716</v>
      </c>
      <c r="AS5443">
        <v>0</v>
      </c>
      <c r="AU5443" t="s">
        <v>95</v>
      </c>
    </row>
    <row r="5444" spans="1:48">
      <c r="A5444" s="1">
        <f>HYPERLINK("https://lsnyc.legalserver.org/matter/dynamic-profile/view/1866724","18-1866724")</f>
        <v>0</v>
      </c>
      <c r="B5444" t="s">
        <v>78</v>
      </c>
      <c r="C5444" t="s">
        <v>257</v>
      </c>
      <c r="D5444" t="s">
        <v>901</v>
      </c>
      <c r="E5444" t="s">
        <v>457</v>
      </c>
      <c r="F5444" t="s">
        <v>3091</v>
      </c>
      <c r="G5444" t="s">
        <v>5376</v>
      </c>
      <c r="H5444" t="s">
        <v>5809</v>
      </c>
      <c r="I5444" t="s">
        <v>8119</v>
      </c>
      <c r="J5444" t="s">
        <v>9059</v>
      </c>
      <c r="K5444">
        <v>11212</v>
      </c>
      <c r="L5444" t="s">
        <v>9094</v>
      </c>
      <c r="M5444" t="s">
        <v>9095</v>
      </c>
      <c r="O5444" t="s">
        <v>11135</v>
      </c>
      <c r="P5444" t="s">
        <v>11168</v>
      </c>
      <c r="Q5444" t="s">
        <v>11173</v>
      </c>
      <c r="R5444" t="s">
        <v>11180</v>
      </c>
      <c r="S5444" t="s">
        <v>9094</v>
      </c>
      <c r="T5444" t="s">
        <v>11183</v>
      </c>
      <c r="V5444" t="s">
        <v>733</v>
      </c>
      <c r="W5444">
        <v>1002.11</v>
      </c>
      <c r="X5444" t="s">
        <v>11332</v>
      </c>
      <c r="Z5444" t="s">
        <v>14781</v>
      </c>
      <c r="AB5444" t="s">
        <v>19102</v>
      </c>
      <c r="AC5444">
        <v>31</v>
      </c>
      <c r="AD5444" t="s">
        <v>19566</v>
      </c>
      <c r="AF5444">
        <v>12</v>
      </c>
      <c r="AG5444">
        <v>1</v>
      </c>
      <c r="AH5444">
        <v>1</v>
      </c>
      <c r="AI5444">
        <v>258.62</v>
      </c>
      <c r="AJ5444" t="s">
        <v>11246</v>
      </c>
      <c r="AL5444" t="s">
        <v>19614</v>
      </c>
      <c r="AM5444">
        <v>42000</v>
      </c>
      <c r="AS5444">
        <v>1.25</v>
      </c>
      <c r="AT5444" t="s">
        <v>354</v>
      </c>
      <c r="AU5444" t="s">
        <v>78</v>
      </c>
    </row>
    <row r="5445" spans="1:48">
      <c r="A5445" s="1">
        <f>HYPERLINK("https://lsnyc.legalserver.org/matter/dynamic-profile/view/0830295","17-0830295")</f>
        <v>0</v>
      </c>
      <c r="B5445" t="s">
        <v>78</v>
      </c>
      <c r="C5445" t="s">
        <v>256</v>
      </c>
      <c r="D5445" t="s">
        <v>804</v>
      </c>
      <c r="F5445" t="s">
        <v>3091</v>
      </c>
      <c r="G5445" t="s">
        <v>5376</v>
      </c>
      <c r="H5445" t="s">
        <v>5809</v>
      </c>
      <c r="I5445" t="s">
        <v>8119</v>
      </c>
      <c r="J5445" t="s">
        <v>9059</v>
      </c>
      <c r="K5445">
        <v>11212</v>
      </c>
      <c r="L5445" t="s">
        <v>9094</v>
      </c>
      <c r="M5445" t="s">
        <v>9095</v>
      </c>
      <c r="N5445" t="s">
        <v>9189</v>
      </c>
      <c r="O5445" t="s">
        <v>9121</v>
      </c>
      <c r="P5445" t="s">
        <v>11167</v>
      </c>
      <c r="R5445" t="s">
        <v>11180</v>
      </c>
      <c r="S5445" t="s">
        <v>9094</v>
      </c>
      <c r="T5445" t="s">
        <v>11183</v>
      </c>
      <c r="V5445" t="s">
        <v>804</v>
      </c>
      <c r="W5445">
        <v>983.42</v>
      </c>
      <c r="X5445" t="s">
        <v>11332</v>
      </c>
      <c r="Y5445" t="s">
        <v>11157</v>
      </c>
      <c r="Z5445" t="s">
        <v>14781</v>
      </c>
      <c r="AB5445" t="s">
        <v>19102</v>
      </c>
      <c r="AC5445">
        <v>32</v>
      </c>
      <c r="AD5445" t="s">
        <v>19566</v>
      </c>
      <c r="AF5445">
        <v>11</v>
      </c>
      <c r="AG5445">
        <v>1</v>
      </c>
      <c r="AH5445">
        <v>1</v>
      </c>
      <c r="AI5445">
        <v>258.62</v>
      </c>
      <c r="AL5445" t="s">
        <v>19614</v>
      </c>
      <c r="AM5445">
        <v>42000</v>
      </c>
      <c r="AS5445">
        <v>0.5</v>
      </c>
      <c r="AT5445" t="s">
        <v>983</v>
      </c>
      <c r="AU5445" t="s">
        <v>78</v>
      </c>
    </row>
    <row r="5446" spans="1:48">
      <c r="A5446" s="1">
        <f>HYPERLINK("https://lsnyc.legalserver.org/matter/dynamic-profile/view/1837782","17-1837782")</f>
        <v>0</v>
      </c>
      <c r="B5446" t="s">
        <v>132</v>
      </c>
      <c r="C5446" t="s">
        <v>256</v>
      </c>
      <c r="D5446" t="s">
        <v>1109</v>
      </c>
      <c r="F5446" t="s">
        <v>1221</v>
      </c>
      <c r="G5446" t="s">
        <v>5385</v>
      </c>
      <c r="H5446" t="s">
        <v>7971</v>
      </c>
      <c r="I5446" t="s">
        <v>8302</v>
      </c>
      <c r="J5446" t="s">
        <v>9067</v>
      </c>
      <c r="K5446">
        <v>10034</v>
      </c>
      <c r="L5446" t="s">
        <v>9096</v>
      </c>
      <c r="M5446" t="s">
        <v>9095</v>
      </c>
      <c r="O5446" t="s">
        <v>9121</v>
      </c>
      <c r="P5446" t="s">
        <v>11166</v>
      </c>
      <c r="R5446" t="s">
        <v>11180</v>
      </c>
      <c r="S5446" t="s">
        <v>9096</v>
      </c>
      <c r="T5446" t="s">
        <v>11183</v>
      </c>
      <c r="V5446" t="s">
        <v>1109</v>
      </c>
      <c r="W5446">
        <v>1073</v>
      </c>
      <c r="X5446" t="s">
        <v>11335</v>
      </c>
      <c r="Y5446" t="s">
        <v>11340</v>
      </c>
      <c r="Z5446" t="s">
        <v>14794</v>
      </c>
      <c r="AB5446" t="s">
        <v>19117</v>
      </c>
      <c r="AC5446">
        <v>27</v>
      </c>
      <c r="AD5446" t="s">
        <v>19570</v>
      </c>
      <c r="AE5446" t="s">
        <v>9144</v>
      </c>
      <c r="AF5446">
        <v>6</v>
      </c>
      <c r="AG5446">
        <v>1</v>
      </c>
      <c r="AH5446">
        <v>1</v>
      </c>
      <c r="AI5446">
        <v>258.62</v>
      </c>
      <c r="AL5446" t="s">
        <v>19614</v>
      </c>
      <c r="AM5446">
        <v>42000</v>
      </c>
      <c r="AS5446">
        <v>97.75</v>
      </c>
      <c r="AT5446" t="s">
        <v>476</v>
      </c>
      <c r="AU5446" t="s">
        <v>136</v>
      </c>
    </row>
    <row r="5447" spans="1:48">
      <c r="A5447" s="1">
        <f>HYPERLINK("https://lsnyc.legalserver.org/matter/dynamic-profile/view/1842873","17-1842873")</f>
        <v>0</v>
      </c>
      <c r="B5447" t="s">
        <v>122</v>
      </c>
      <c r="C5447" t="s">
        <v>257</v>
      </c>
      <c r="D5447" t="s">
        <v>480</v>
      </c>
      <c r="E5447" t="s">
        <v>414</v>
      </c>
      <c r="F5447" t="s">
        <v>1241</v>
      </c>
      <c r="G5447" t="s">
        <v>5386</v>
      </c>
      <c r="H5447" t="s">
        <v>7941</v>
      </c>
      <c r="J5447" t="s">
        <v>9066</v>
      </c>
      <c r="K5447">
        <v>10314</v>
      </c>
      <c r="L5447" t="s">
        <v>9094</v>
      </c>
      <c r="M5447" t="s">
        <v>9095</v>
      </c>
      <c r="N5447" t="s">
        <v>9260</v>
      </c>
      <c r="O5447" t="s">
        <v>11135</v>
      </c>
      <c r="P5447" t="s">
        <v>11168</v>
      </c>
      <c r="Q5447" t="s">
        <v>11177</v>
      </c>
      <c r="R5447" t="s">
        <v>11180</v>
      </c>
      <c r="S5447" t="s">
        <v>9094</v>
      </c>
      <c r="T5447" t="s">
        <v>11183</v>
      </c>
      <c r="U5447" t="s">
        <v>11201</v>
      </c>
      <c r="V5447" t="s">
        <v>712</v>
      </c>
      <c r="W5447">
        <v>1439.15</v>
      </c>
      <c r="X5447" t="s">
        <v>11334</v>
      </c>
      <c r="Y5447" t="s">
        <v>11339</v>
      </c>
      <c r="Z5447" t="s">
        <v>14795</v>
      </c>
      <c r="AB5447" t="s">
        <v>19118</v>
      </c>
      <c r="AC5447">
        <v>96</v>
      </c>
      <c r="AD5447" t="s">
        <v>19566</v>
      </c>
      <c r="AE5447" t="s">
        <v>19587</v>
      </c>
      <c r="AF5447">
        <v>7</v>
      </c>
      <c r="AG5447">
        <v>1</v>
      </c>
      <c r="AH5447">
        <v>0</v>
      </c>
      <c r="AI5447">
        <v>258.71</v>
      </c>
      <c r="AJ5447" t="s">
        <v>19594</v>
      </c>
      <c r="AL5447" t="s">
        <v>19614</v>
      </c>
      <c r="AM5447">
        <v>31200</v>
      </c>
      <c r="AO5447" t="s">
        <v>20293</v>
      </c>
      <c r="AP5447" t="s">
        <v>20316</v>
      </c>
      <c r="AQ5447" t="s">
        <v>20369</v>
      </c>
      <c r="AR5447" t="s">
        <v>20385</v>
      </c>
      <c r="AS5447">
        <v>3.7</v>
      </c>
      <c r="AT5447" t="s">
        <v>414</v>
      </c>
      <c r="AU5447" t="s">
        <v>20651</v>
      </c>
      <c r="AV5447" t="s">
        <v>20733</v>
      </c>
    </row>
    <row r="5448" spans="1:48">
      <c r="A5448" s="1">
        <f>HYPERLINK("https://lsnyc.legalserver.org/matter/dynamic-profile/view/1833181","17-1833181")</f>
        <v>0</v>
      </c>
      <c r="B5448" t="s">
        <v>141</v>
      </c>
      <c r="C5448" t="s">
        <v>257</v>
      </c>
      <c r="D5448" t="s">
        <v>905</v>
      </c>
      <c r="E5448" t="s">
        <v>496</v>
      </c>
      <c r="F5448" t="s">
        <v>3092</v>
      </c>
      <c r="G5448" t="s">
        <v>3907</v>
      </c>
      <c r="H5448" t="s">
        <v>7492</v>
      </c>
      <c r="I5448" t="s">
        <v>8457</v>
      </c>
      <c r="J5448" t="s">
        <v>9067</v>
      </c>
      <c r="K5448">
        <v>10034</v>
      </c>
      <c r="L5448" t="s">
        <v>9094</v>
      </c>
      <c r="M5448" t="s">
        <v>9095</v>
      </c>
      <c r="N5448" t="s">
        <v>10999</v>
      </c>
      <c r="O5448" t="s">
        <v>11132</v>
      </c>
      <c r="P5448" t="s">
        <v>11165</v>
      </c>
      <c r="Q5448" t="s">
        <v>11174</v>
      </c>
      <c r="R5448" t="s">
        <v>11180</v>
      </c>
      <c r="S5448" t="s">
        <v>9096</v>
      </c>
      <c r="T5448" t="s">
        <v>11183</v>
      </c>
      <c r="U5448" t="s">
        <v>11201</v>
      </c>
      <c r="V5448" t="s">
        <v>740</v>
      </c>
      <c r="W5448">
        <v>769.0700000000001</v>
      </c>
      <c r="X5448" t="s">
        <v>11335</v>
      </c>
      <c r="Y5448" t="s">
        <v>11341</v>
      </c>
      <c r="Z5448" t="s">
        <v>14422</v>
      </c>
      <c r="AB5448" t="s">
        <v>19119</v>
      </c>
      <c r="AC5448">
        <v>60</v>
      </c>
      <c r="AD5448" t="s">
        <v>19566</v>
      </c>
      <c r="AE5448" t="s">
        <v>9144</v>
      </c>
      <c r="AF5448">
        <v>7</v>
      </c>
      <c r="AG5448">
        <v>1</v>
      </c>
      <c r="AH5448">
        <v>0</v>
      </c>
      <c r="AI5448">
        <v>258.71</v>
      </c>
      <c r="AJ5448" t="s">
        <v>11246</v>
      </c>
      <c r="AL5448" t="s">
        <v>19629</v>
      </c>
      <c r="AM5448">
        <v>31200</v>
      </c>
      <c r="AS5448">
        <v>196.07</v>
      </c>
      <c r="AT5448" t="s">
        <v>496</v>
      </c>
      <c r="AU5448" t="s">
        <v>20619</v>
      </c>
      <c r="AV5448" t="s">
        <v>20733</v>
      </c>
    </row>
    <row r="5449" spans="1:48">
      <c r="A5449" s="1">
        <f>HYPERLINK("https://lsnyc.legalserver.org/matter/dynamic-profile/view/1842396","17-1842396")</f>
        <v>0</v>
      </c>
      <c r="B5449" t="s">
        <v>136</v>
      </c>
      <c r="C5449" t="s">
        <v>257</v>
      </c>
      <c r="D5449" t="s">
        <v>712</v>
      </c>
      <c r="E5449" t="s">
        <v>331</v>
      </c>
      <c r="F5449" t="s">
        <v>2071</v>
      </c>
      <c r="G5449" t="s">
        <v>3448</v>
      </c>
      <c r="H5449" t="s">
        <v>6146</v>
      </c>
      <c r="I5449" t="s">
        <v>8154</v>
      </c>
      <c r="J5449" t="s">
        <v>9067</v>
      </c>
      <c r="K5449">
        <v>10029</v>
      </c>
      <c r="L5449" t="s">
        <v>9094</v>
      </c>
      <c r="M5449" t="s">
        <v>9095</v>
      </c>
      <c r="O5449" t="s">
        <v>9121</v>
      </c>
      <c r="P5449" t="s">
        <v>11167</v>
      </c>
      <c r="Q5449" t="s">
        <v>11173</v>
      </c>
      <c r="R5449" t="s">
        <v>11180</v>
      </c>
      <c r="S5449" t="s">
        <v>9094</v>
      </c>
      <c r="T5449" t="s">
        <v>11183</v>
      </c>
      <c r="U5449" t="s">
        <v>11201</v>
      </c>
      <c r="V5449" t="s">
        <v>712</v>
      </c>
      <c r="W5449">
        <v>715.6900000000001</v>
      </c>
      <c r="X5449" t="s">
        <v>11335</v>
      </c>
      <c r="Y5449" t="s">
        <v>11339</v>
      </c>
      <c r="Z5449" t="s">
        <v>14796</v>
      </c>
      <c r="AB5449" t="s">
        <v>19120</v>
      </c>
      <c r="AC5449">
        <v>13</v>
      </c>
      <c r="AD5449" t="s">
        <v>19566</v>
      </c>
      <c r="AE5449" t="s">
        <v>9144</v>
      </c>
      <c r="AF5449">
        <v>37</v>
      </c>
      <c r="AG5449">
        <v>1</v>
      </c>
      <c r="AH5449">
        <v>0</v>
      </c>
      <c r="AI5449">
        <v>258.71</v>
      </c>
      <c r="AJ5449" t="s">
        <v>11246</v>
      </c>
      <c r="AL5449" t="s">
        <v>19614</v>
      </c>
      <c r="AM5449">
        <v>31200</v>
      </c>
      <c r="AS5449">
        <v>5.65</v>
      </c>
      <c r="AT5449" t="s">
        <v>1084</v>
      </c>
      <c r="AU5449" t="s">
        <v>20657</v>
      </c>
      <c r="AV5449" t="s">
        <v>20733</v>
      </c>
    </row>
    <row r="5450" spans="1:48">
      <c r="A5450" s="1">
        <f>HYPERLINK("https://lsnyc.legalserver.org/matter/dynamic-profile/view/0831265","17-0831265")</f>
        <v>0</v>
      </c>
      <c r="B5450" t="s">
        <v>195</v>
      </c>
      <c r="C5450" t="s">
        <v>256</v>
      </c>
      <c r="D5450" t="s">
        <v>1003</v>
      </c>
      <c r="F5450" t="s">
        <v>1534</v>
      </c>
      <c r="G5450" t="s">
        <v>2348</v>
      </c>
      <c r="H5450" t="s">
        <v>7972</v>
      </c>
      <c r="I5450" t="s">
        <v>8119</v>
      </c>
      <c r="J5450" t="s">
        <v>9067</v>
      </c>
      <c r="K5450">
        <v>10027</v>
      </c>
      <c r="L5450" t="s">
        <v>9094</v>
      </c>
      <c r="M5450" t="s">
        <v>9095</v>
      </c>
      <c r="N5450" t="s">
        <v>11000</v>
      </c>
      <c r="O5450" t="s">
        <v>11128</v>
      </c>
      <c r="P5450" t="s">
        <v>11165</v>
      </c>
      <c r="R5450" t="s">
        <v>11180</v>
      </c>
      <c r="S5450" t="s">
        <v>9096</v>
      </c>
      <c r="T5450" t="s">
        <v>11183</v>
      </c>
      <c r="V5450" t="s">
        <v>673</v>
      </c>
      <c r="W5450">
        <v>0</v>
      </c>
      <c r="X5450" t="s">
        <v>11335</v>
      </c>
      <c r="Z5450" t="s">
        <v>14740</v>
      </c>
      <c r="AB5450" t="s">
        <v>19121</v>
      </c>
      <c r="AC5450">
        <v>0</v>
      </c>
      <c r="AF5450">
        <v>0</v>
      </c>
      <c r="AG5450">
        <v>1</v>
      </c>
      <c r="AH5450">
        <v>0</v>
      </c>
      <c r="AI5450">
        <v>258.71</v>
      </c>
      <c r="AJ5450" t="s">
        <v>11246</v>
      </c>
      <c r="AL5450" t="s">
        <v>19614</v>
      </c>
      <c r="AM5450">
        <v>31200</v>
      </c>
      <c r="AS5450">
        <v>17</v>
      </c>
      <c r="AT5450" t="s">
        <v>587</v>
      </c>
      <c r="AU5450" t="s">
        <v>20663</v>
      </c>
    </row>
    <row r="5451" spans="1:48">
      <c r="A5451" s="1">
        <f>HYPERLINK("https://lsnyc.legalserver.org/matter/dynamic-profile/view/1883006","18-1883006")</f>
        <v>0</v>
      </c>
      <c r="B5451" t="s">
        <v>82</v>
      </c>
      <c r="C5451" t="s">
        <v>256</v>
      </c>
      <c r="D5451" t="s">
        <v>589</v>
      </c>
      <c r="F5451" t="s">
        <v>1221</v>
      </c>
      <c r="G5451" t="s">
        <v>4975</v>
      </c>
      <c r="H5451" t="s">
        <v>6835</v>
      </c>
      <c r="I5451" t="s">
        <v>8744</v>
      </c>
      <c r="J5451" t="s">
        <v>9059</v>
      </c>
      <c r="K5451">
        <v>11226</v>
      </c>
      <c r="L5451" t="s">
        <v>9094</v>
      </c>
      <c r="M5451" t="s">
        <v>9094</v>
      </c>
      <c r="O5451" t="s">
        <v>11137</v>
      </c>
      <c r="P5451" t="s">
        <v>11167</v>
      </c>
      <c r="R5451" t="s">
        <v>11180</v>
      </c>
      <c r="S5451" t="s">
        <v>9096</v>
      </c>
      <c r="T5451" t="s">
        <v>11183</v>
      </c>
      <c r="V5451" t="s">
        <v>358</v>
      </c>
      <c r="W5451">
        <v>1822.5</v>
      </c>
      <c r="X5451" t="s">
        <v>11332</v>
      </c>
      <c r="Y5451" t="s">
        <v>11346</v>
      </c>
      <c r="Z5451" t="s">
        <v>14027</v>
      </c>
      <c r="AB5451" t="s">
        <v>18355</v>
      </c>
      <c r="AC5451">
        <v>120</v>
      </c>
      <c r="AD5451" t="s">
        <v>19566</v>
      </c>
      <c r="AF5451">
        <v>4</v>
      </c>
      <c r="AG5451">
        <v>2</v>
      </c>
      <c r="AH5451">
        <v>0</v>
      </c>
      <c r="AI5451">
        <v>258.81</v>
      </c>
      <c r="AL5451" t="s">
        <v>19614</v>
      </c>
      <c r="AM5451">
        <v>42600</v>
      </c>
      <c r="AN5451" t="s">
        <v>20123</v>
      </c>
      <c r="AS5451">
        <v>9.5</v>
      </c>
      <c r="AT5451" t="s">
        <v>434</v>
      </c>
      <c r="AU5451" t="s">
        <v>67</v>
      </c>
      <c r="AV5451" t="s">
        <v>20733</v>
      </c>
    </row>
    <row r="5452" spans="1:48">
      <c r="A5452" s="1">
        <f>HYPERLINK("https://lsnyc.legalserver.org/matter/dynamic-profile/view/1885631","18-1885631")</f>
        <v>0</v>
      </c>
      <c r="B5452" t="s">
        <v>113</v>
      </c>
      <c r="C5452" t="s">
        <v>257</v>
      </c>
      <c r="D5452" t="s">
        <v>357</v>
      </c>
      <c r="E5452" t="s">
        <v>301</v>
      </c>
      <c r="F5452" t="s">
        <v>3023</v>
      </c>
      <c r="G5452" t="s">
        <v>5370</v>
      </c>
      <c r="H5452" t="s">
        <v>5864</v>
      </c>
      <c r="I5452" t="s">
        <v>8954</v>
      </c>
      <c r="J5452" t="s">
        <v>9065</v>
      </c>
      <c r="K5452">
        <v>10460</v>
      </c>
      <c r="L5452" t="s">
        <v>9094</v>
      </c>
      <c r="M5452" t="s">
        <v>9094</v>
      </c>
      <c r="N5452" t="s">
        <v>9222</v>
      </c>
      <c r="O5452" t="s">
        <v>11130</v>
      </c>
      <c r="P5452" t="s">
        <v>11165</v>
      </c>
      <c r="Q5452" t="s">
        <v>11178</v>
      </c>
      <c r="R5452" t="s">
        <v>11180</v>
      </c>
      <c r="S5452" t="s">
        <v>9094</v>
      </c>
      <c r="T5452" t="s">
        <v>11183</v>
      </c>
      <c r="V5452" t="s">
        <v>512</v>
      </c>
      <c r="W5452">
        <v>895</v>
      </c>
      <c r="X5452" t="s">
        <v>11333</v>
      </c>
      <c r="Y5452" t="s">
        <v>11346</v>
      </c>
      <c r="Z5452" t="s">
        <v>14774</v>
      </c>
      <c r="AC5452">
        <v>168</v>
      </c>
      <c r="AD5452" t="s">
        <v>19567</v>
      </c>
      <c r="AE5452" t="s">
        <v>19580</v>
      </c>
      <c r="AF5452">
        <v>5</v>
      </c>
      <c r="AG5452">
        <v>1</v>
      </c>
      <c r="AH5452">
        <v>0</v>
      </c>
      <c r="AI5452">
        <v>259.47</v>
      </c>
      <c r="AL5452" t="s">
        <v>19614</v>
      </c>
      <c r="AM5452">
        <v>31500</v>
      </c>
      <c r="AS5452">
        <v>0.25</v>
      </c>
      <c r="AT5452" t="s">
        <v>301</v>
      </c>
      <c r="AU5452" t="s">
        <v>158</v>
      </c>
    </row>
    <row r="5453" spans="1:48">
      <c r="A5453" s="1">
        <f>HYPERLINK("https://lsnyc.legalserver.org/matter/dynamic-profile/view/0803176","16-0803176")</f>
        <v>0</v>
      </c>
      <c r="B5453" t="s">
        <v>111</v>
      </c>
      <c r="C5453" t="s">
        <v>256</v>
      </c>
      <c r="D5453" t="s">
        <v>1005</v>
      </c>
      <c r="F5453" t="s">
        <v>2508</v>
      </c>
      <c r="G5453" t="s">
        <v>4741</v>
      </c>
      <c r="H5453" t="s">
        <v>6895</v>
      </c>
      <c r="I5453" t="s">
        <v>8688</v>
      </c>
      <c r="J5453" t="s">
        <v>9065</v>
      </c>
      <c r="K5453">
        <v>10452</v>
      </c>
      <c r="L5453" t="s">
        <v>9094</v>
      </c>
      <c r="M5453" t="s">
        <v>9095</v>
      </c>
      <c r="O5453" t="s">
        <v>11147</v>
      </c>
      <c r="P5453" t="s">
        <v>11165</v>
      </c>
      <c r="R5453" t="s">
        <v>11180</v>
      </c>
      <c r="S5453" t="s">
        <v>9094</v>
      </c>
      <c r="T5453" t="s">
        <v>11183</v>
      </c>
      <c r="V5453" t="s">
        <v>1005</v>
      </c>
      <c r="W5453">
        <v>871</v>
      </c>
      <c r="X5453" t="s">
        <v>11333</v>
      </c>
      <c r="Y5453" t="s">
        <v>11346</v>
      </c>
      <c r="Z5453" t="s">
        <v>13613</v>
      </c>
      <c r="AB5453" t="s">
        <v>17949</v>
      </c>
      <c r="AC5453">
        <v>0</v>
      </c>
      <c r="AD5453" t="s">
        <v>19566</v>
      </c>
      <c r="AF5453">
        <v>13</v>
      </c>
      <c r="AG5453">
        <v>2</v>
      </c>
      <c r="AH5453">
        <v>0</v>
      </c>
      <c r="AI5453">
        <v>259.68</v>
      </c>
      <c r="AL5453" t="s">
        <v>19614</v>
      </c>
      <c r="AM5453">
        <v>41600</v>
      </c>
      <c r="AS5453">
        <v>0.35</v>
      </c>
      <c r="AT5453" t="s">
        <v>865</v>
      </c>
      <c r="AU5453" t="s">
        <v>109</v>
      </c>
    </row>
    <row r="5454" spans="1:48">
      <c r="A5454" s="1">
        <f>HYPERLINK("https://lsnyc.legalserver.org/matter/dynamic-profile/view/1899657","19-1899657")</f>
        <v>0</v>
      </c>
      <c r="B5454" t="s">
        <v>71</v>
      </c>
      <c r="C5454" t="s">
        <v>257</v>
      </c>
      <c r="D5454" t="s">
        <v>418</v>
      </c>
      <c r="E5454" t="s">
        <v>483</v>
      </c>
      <c r="F5454" t="s">
        <v>3057</v>
      </c>
      <c r="G5454" t="s">
        <v>3551</v>
      </c>
      <c r="H5454" t="s">
        <v>7973</v>
      </c>
      <c r="I5454" t="s">
        <v>8270</v>
      </c>
      <c r="J5454" t="s">
        <v>9059</v>
      </c>
      <c r="K5454">
        <v>11212</v>
      </c>
      <c r="L5454" t="s">
        <v>9094</v>
      </c>
      <c r="M5454" t="s">
        <v>9095</v>
      </c>
      <c r="N5454" t="s">
        <v>11001</v>
      </c>
      <c r="O5454" t="s">
        <v>11129</v>
      </c>
      <c r="P5454" t="s">
        <v>11165</v>
      </c>
      <c r="Q5454" t="s">
        <v>11174</v>
      </c>
      <c r="R5454" t="s">
        <v>11180</v>
      </c>
      <c r="S5454" t="s">
        <v>9096</v>
      </c>
      <c r="T5454" t="s">
        <v>11183</v>
      </c>
      <c r="U5454" t="s">
        <v>11201</v>
      </c>
      <c r="V5454" t="s">
        <v>394</v>
      </c>
      <c r="W5454">
        <v>1025</v>
      </c>
      <c r="X5454" t="s">
        <v>11332</v>
      </c>
      <c r="Y5454" t="s">
        <v>11157</v>
      </c>
      <c r="Z5454" t="s">
        <v>14797</v>
      </c>
      <c r="AB5454" t="s">
        <v>19122</v>
      </c>
      <c r="AC5454">
        <v>82</v>
      </c>
      <c r="AE5454" t="s">
        <v>19580</v>
      </c>
      <c r="AF5454">
        <v>12</v>
      </c>
      <c r="AG5454">
        <v>2</v>
      </c>
      <c r="AH5454">
        <v>0</v>
      </c>
      <c r="AI5454">
        <v>260.2</v>
      </c>
      <c r="AL5454" t="s">
        <v>19614</v>
      </c>
      <c r="AM5454">
        <v>44000</v>
      </c>
      <c r="AN5454" t="s">
        <v>20124</v>
      </c>
      <c r="AS5454">
        <v>1.5</v>
      </c>
      <c r="AT5454" t="s">
        <v>20597</v>
      </c>
      <c r="AU5454" t="s">
        <v>79</v>
      </c>
      <c r="AV5454" t="s">
        <v>20733</v>
      </c>
    </row>
    <row r="5455" spans="1:48">
      <c r="A5455" s="1">
        <f>HYPERLINK("https://lsnyc.legalserver.org/matter/dynamic-profile/view/1907394","19-1907394")</f>
        <v>0</v>
      </c>
      <c r="B5455" t="s">
        <v>114</v>
      </c>
      <c r="C5455" t="s">
        <v>256</v>
      </c>
      <c r="D5455" t="s">
        <v>334</v>
      </c>
      <c r="F5455" t="s">
        <v>1915</v>
      </c>
      <c r="G5455" t="s">
        <v>4819</v>
      </c>
      <c r="H5455" t="s">
        <v>5887</v>
      </c>
      <c r="I5455" t="s">
        <v>8755</v>
      </c>
      <c r="J5455" t="s">
        <v>9065</v>
      </c>
      <c r="K5455">
        <v>10453</v>
      </c>
      <c r="L5455" t="s">
        <v>9094</v>
      </c>
      <c r="M5455" t="s">
        <v>9095</v>
      </c>
      <c r="R5455" t="s">
        <v>11180</v>
      </c>
      <c r="S5455" t="s">
        <v>9094</v>
      </c>
      <c r="T5455" t="s">
        <v>11183</v>
      </c>
      <c r="W5455">
        <v>802.4400000000001</v>
      </c>
      <c r="X5455" t="s">
        <v>11333</v>
      </c>
      <c r="Y5455" t="s">
        <v>11346</v>
      </c>
      <c r="Z5455" t="s">
        <v>13762</v>
      </c>
      <c r="AB5455" t="s">
        <v>18088</v>
      </c>
      <c r="AC5455">
        <v>170</v>
      </c>
      <c r="AD5455" t="s">
        <v>19566</v>
      </c>
      <c r="AE5455" t="s">
        <v>9144</v>
      </c>
      <c r="AF5455">
        <v>30</v>
      </c>
      <c r="AG5455">
        <v>2</v>
      </c>
      <c r="AH5455">
        <v>0</v>
      </c>
      <c r="AI5455">
        <v>260.2</v>
      </c>
      <c r="AL5455" t="s">
        <v>19614</v>
      </c>
      <c r="AM5455">
        <v>44000</v>
      </c>
      <c r="AS5455">
        <v>5.9</v>
      </c>
      <c r="AT5455" t="s">
        <v>259</v>
      </c>
      <c r="AU5455" t="s">
        <v>220</v>
      </c>
    </row>
    <row r="5456" spans="1:48">
      <c r="A5456" s="1">
        <f>HYPERLINK("https://lsnyc.legalserver.org/matter/dynamic-profile/view/0781238","15-0781238")</f>
        <v>0</v>
      </c>
      <c r="B5456" t="s">
        <v>108</v>
      </c>
      <c r="C5456" t="s">
        <v>256</v>
      </c>
      <c r="D5456" t="s">
        <v>303</v>
      </c>
      <c r="F5456" t="s">
        <v>1384</v>
      </c>
      <c r="G5456" t="s">
        <v>5373</v>
      </c>
      <c r="H5456" t="s">
        <v>5897</v>
      </c>
      <c r="I5456" t="s">
        <v>8956</v>
      </c>
      <c r="J5456" t="s">
        <v>9065</v>
      </c>
      <c r="K5456">
        <v>10452</v>
      </c>
      <c r="L5456" t="s">
        <v>9094</v>
      </c>
      <c r="M5456" t="s">
        <v>9095</v>
      </c>
      <c r="N5456" t="s">
        <v>9250</v>
      </c>
      <c r="O5456" t="s">
        <v>11132</v>
      </c>
      <c r="P5456" t="s">
        <v>11165</v>
      </c>
      <c r="R5456" t="s">
        <v>11180</v>
      </c>
      <c r="S5456" t="s">
        <v>9094</v>
      </c>
      <c r="T5456" t="s">
        <v>11183</v>
      </c>
      <c r="V5456" t="s">
        <v>303</v>
      </c>
      <c r="W5456">
        <v>779.6</v>
      </c>
      <c r="X5456" t="s">
        <v>11333</v>
      </c>
      <c r="Z5456" t="s">
        <v>14777</v>
      </c>
      <c r="AB5456" t="s">
        <v>19098</v>
      </c>
      <c r="AC5456">
        <v>0</v>
      </c>
      <c r="AF5456">
        <v>24</v>
      </c>
      <c r="AG5456">
        <v>1</v>
      </c>
      <c r="AH5456">
        <v>0</v>
      </c>
      <c r="AI5456">
        <v>260.39</v>
      </c>
      <c r="AL5456" t="s">
        <v>19614</v>
      </c>
      <c r="AM5456">
        <v>30648</v>
      </c>
      <c r="AS5456">
        <v>0.5</v>
      </c>
      <c r="AT5456" t="s">
        <v>20594</v>
      </c>
      <c r="AU5456" t="s">
        <v>109</v>
      </c>
    </row>
    <row r="5457" spans="1:48">
      <c r="A5457" s="1">
        <f>HYPERLINK("https://lsnyc.legalserver.org/matter/dynamic-profile/view/1873585","18-1873585")</f>
        <v>0</v>
      </c>
      <c r="B5457" t="s">
        <v>132</v>
      </c>
      <c r="C5457" t="s">
        <v>257</v>
      </c>
      <c r="D5457" t="s">
        <v>808</v>
      </c>
      <c r="E5457" t="s">
        <v>331</v>
      </c>
      <c r="F5457" t="s">
        <v>1506</v>
      </c>
      <c r="G5457" t="s">
        <v>4680</v>
      </c>
      <c r="H5457" t="s">
        <v>5953</v>
      </c>
      <c r="I5457" t="s">
        <v>8402</v>
      </c>
      <c r="J5457" t="s">
        <v>9067</v>
      </c>
      <c r="K5457">
        <v>10033</v>
      </c>
      <c r="L5457" t="s">
        <v>9094</v>
      </c>
      <c r="M5457" t="s">
        <v>9094</v>
      </c>
      <c r="O5457" t="s">
        <v>11130</v>
      </c>
      <c r="P5457" t="s">
        <v>11165</v>
      </c>
      <c r="Q5457" t="s">
        <v>11178</v>
      </c>
      <c r="R5457" t="s">
        <v>11180</v>
      </c>
      <c r="S5457" t="s">
        <v>9094</v>
      </c>
      <c r="T5457" t="s">
        <v>11183</v>
      </c>
      <c r="V5457" t="s">
        <v>808</v>
      </c>
      <c r="W5457">
        <v>1429.45</v>
      </c>
      <c r="X5457" t="s">
        <v>11335</v>
      </c>
      <c r="Y5457" t="s">
        <v>11339</v>
      </c>
      <c r="Z5457" t="s">
        <v>13798</v>
      </c>
      <c r="AB5457" t="s">
        <v>19123</v>
      </c>
      <c r="AC5457">
        <v>232</v>
      </c>
      <c r="AD5457" t="s">
        <v>19566</v>
      </c>
      <c r="AE5457" t="s">
        <v>19580</v>
      </c>
      <c r="AF5457">
        <v>24</v>
      </c>
      <c r="AG5457">
        <v>1</v>
      </c>
      <c r="AH5457">
        <v>1</v>
      </c>
      <c r="AI5457">
        <v>260.47</v>
      </c>
      <c r="AL5457" t="s">
        <v>19615</v>
      </c>
      <c r="AM5457">
        <v>42873</v>
      </c>
      <c r="AS5457">
        <v>1.2</v>
      </c>
      <c r="AT5457" t="s">
        <v>521</v>
      </c>
      <c r="AU5457" t="s">
        <v>130</v>
      </c>
      <c r="AV5457" t="s">
        <v>20733</v>
      </c>
    </row>
    <row r="5458" spans="1:48">
      <c r="A5458" s="1">
        <f>HYPERLINK("https://lsnyc.legalserver.org/matter/dynamic-profile/view/1894918","19-1894918")</f>
        <v>0</v>
      </c>
      <c r="B5458" t="s">
        <v>83</v>
      </c>
      <c r="C5458" t="s">
        <v>256</v>
      </c>
      <c r="D5458" t="s">
        <v>718</v>
      </c>
      <c r="F5458" t="s">
        <v>2088</v>
      </c>
      <c r="G5458" t="s">
        <v>5387</v>
      </c>
      <c r="H5458" t="s">
        <v>5987</v>
      </c>
      <c r="I5458" t="s">
        <v>8266</v>
      </c>
      <c r="J5458" t="s">
        <v>9059</v>
      </c>
      <c r="K5458">
        <v>11225</v>
      </c>
      <c r="L5458" t="s">
        <v>9094</v>
      </c>
      <c r="M5458" t="s">
        <v>9094</v>
      </c>
      <c r="O5458" t="s">
        <v>11132</v>
      </c>
      <c r="P5458" t="s">
        <v>11165</v>
      </c>
      <c r="R5458" t="s">
        <v>11180</v>
      </c>
      <c r="S5458" t="s">
        <v>9094</v>
      </c>
      <c r="T5458" t="s">
        <v>11183</v>
      </c>
      <c r="V5458" t="s">
        <v>694</v>
      </c>
      <c r="W5458">
        <v>1093.84</v>
      </c>
      <c r="X5458" t="s">
        <v>11332</v>
      </c>
      <c r="Z5458" t="s">
        <v>14798</v>
      </c>
      <c r="AC5458">
        <v>0</v>
      </c>
      <c r="AF5458">
        <v>13</v>
      </c>
      <c r="AG5458">
        <v>2</v>
      </c>
      <c r="AH5458">
        <v>0</v>
      </c>
      <c r="AI5458">
        <v>261.38</v>
      </c>
      <c r="AL5458" t="s">
        <v>19614</v>
      </c>
      <c r="AM5458">
        <v>44200</v>
      </c>
      <c r="AS5458">
        <v>0.1</v>
      </c>
      <c r="AT5458" t="s">
        <v>288</v>
      </c>
      <c r="AU5458" t="s">
        <v>215</v>
      </c>
    </row>
    <row r="5459" spans="1:48">
      <c r="A5459" s="1">
        <f>HYPERLINK("https://lsnyc.legalserver.org/matter/dynamic-profile/view/1907973","19-1907973")</f>
        <v>0</v>
      </c>
      <c r="B5459" t="s">
        <v>106</v>
      </c>
      <c r="C5459" t="s">
        <v>257</v>
      </c>
      <c r="D5459" t="s">
        <v>288</v>
      </c>
      <c r="E5459" t="s">
        <v>551</v>
      </c>
      <c r="F5459" t="s">
        <v>1203</v>
      </c>
      <c r="G5459" t="s">
        <v>3220</v>
      </c>
      <c r="H5459" t="s">
        <v>7202</v>
      </c>
      <c r="I5459" t="s">
        <v>8959</v>
      </c>
      <c r="J5459" t="s">
        <v>9065</v>
      </c>
      <c r="K5459">
        <v>10458</v>
      </c>
      <c r="L5459" t="s">
        <v>9094</v>
      </c>
      <c r="M5459" t="s">
        <v>9095</v>
      </c>
      <c r="N5459" t="s">
        <v>11002</v>
      </c>
      <c r="O5459" t="s">
        <v>11129</v>
      </c>
      <c r="P5459" t="s">
        <v>11167</v>
      </c>
      <c r="Q5459" t="s">
        <v>11173</v>
      </c>
      <c r="R5459" t="s">
        <v>11180</v>
      </c>
      <c r="S5459" t="s">
        <v>9094</v>
      </c>
      <c r="T5459" t="s">
        <v>11183</v>
      </c>
      <c r="U5459" t="s">
        <v>11201</v>
      </c>
      <c r="W5459">
        <v>1071</v>
      </c>
      <c r="X5459" t="s">
        <v>11333</v>
      </c>
      <c r="Y5459" t="s">
        <v>11340</v>
      </c>
      <c r="Z5459" t="s">
        <v>14799</v>
      </c>
      <c r="AB5459" t="s">
        <v>19124</v>
      </c>
      <c r="AC5459">
        <v>136</v>
      </c>
      <c r="AD5459" t="s">
        <v>19566</v>
      </c>
      <c r="AE5459" t="s">
        <v>9144</v>
      </c>
      <c r="AF5459">
        <v>18</v>
      </c>
      <c r="AG5459">
        <v>5</v>
      </c>
      <c r="AH5459">
        <v>0</v>
      </c>
      <c r="AI5459">
        <v>261.55</v>
      </c>
      <c r="AL5459" t="s">
        <v>19615</v>
      </c>
      <c r="AM5459">
        <v>78910</v>
      </c>
      <c r="AS5459">
        <v>1</v>
      </c>
      <c r="AT5459" t="s">
        <v>288</v>
      </c>
      <c r="AU5459" t="s">
        <v>220</v>
      </c>
    </row>
    <row r="5460" spans="1:48">
      <c r="A5460" s="1">
        <f>HYPERLINK("https://lsnyc.legalserver.org/matter/dynamic-profile/view/1845634","17-1845634")</f>
        <v>0</v>
      </c>
      <c r="B5460" t="s">
        <v>150</v>
      </c>
      <c r="C5460" t="s">
        <v>256</v>
      </c>
      <c r="D5460" t="s">
        <v>646</v>
      </c>
      <c r="F5460" t="s">
        <v>1197</v>
      </c>
      <c r="G5460" t="s">
        <v>5388</v>
      </c>
      <c r="H5460" t="s">
        <v>6207</v>
      </c>
      <c r="J5460" t="s">
        <v>9059</v>
      </c>
      <c r="K5460">
        <v>11213</v>
      </c>
      <c r="L5460" t="s">
        <v>9094</v>
      </c>
      <c r="M5460" t="s">
        <v>9095</v>
      </c>
      <c r="O5460" t="s">
        <v>11130</v>
      </c>
      <c r="P5460" t="s">
        <v>11165</v>
      </c>
      <c r="R5460" t="s">
        <v>11180</v>
      </c>
      <c r="S5460" t="s">
        <v>9094</v>
      </c>
      <c r="T5460" t="s">
        <v>11183</v>
      </c>
      <c r="V5460" t="s">
        <v>837</v>
      </c>
      <c r="W5460">
        <v>0</v>
      </c>
      <c r="X5460" t="s">
        <v>11332</v>
      </c>
      <c r="Y5460" t="s">
        <v>11346</v>
      </c>
      <c r="Z5460" t="s">
        <v>14800</v>
      </c>
      <c r="AC5460">
        <v>74</v>
      </c>
      <c r="AD5460" t="s">
        <v>19566</v>
      </c>
      <c r="AF5460">
        <v>0</v>
      </c>
      <c r="AG5460">
        <v>1</v>
      </c>
      <c r="AH5460">
        <v>0</v>
      </c>
      <c r="AI5460">
        <v>261.89</v>
      </c>
      <c r="AJ5460" t="s">
        <v>1108</v>
      </c>
      <c r="AL5460" t="s">
        <v>19614</v>
      </c>
      <c r="AM5460">
        <v>41352</v>
      </c>
      <c r="AS5460">
        <v>0</v>
      </c>
      <c r="AU5460" t="s">
        <v>20636</v>
      </c>
    </row>
    <row r="5461" spans="1:48">
      <c r="A5461" s="1">
        <f>HYPERLINK("https://lsnyc.legalserver.org/matter/dynamic-profile/view/1832972","17-1832972")</f>
        <v>0</v>
      </c>
      <c r="B5461" t="s">
        <v>150</v>
      </c>
      <c r="C5461" t="s">
        <v>256</v>
      </c>
      <c r="D5461" t="s">
        <v>1110</v>
      </c>
      <c r="F5461" t="s">
        <v>1197</v>
      </c>
      <c r="G5461" t="s">
        <v>5388</v>
      </c>
      <c r="H5461" t="s">
        <v>6207</v>
      </c>
      <c r="J5461" t="s">
        <v>9059</v>
      </c>
      <c r="K5461">
        <v>11213</v>
      </c>
      <c r="L5461" t="s">
        <v>9094</v>
      </c>
      <c r="M5461" t="s">
        <v>9095</v>
      </c>
      <c r="O5461" t="s">
        <v>11137</v>
      </c>
      <c r="P5461" t="s">
        <v>11167</v>
      </c>
      <c r="R5461" t="s">
        <v>11180</v>
      </c>
      <c r="S5461" t="s">
        <v>9094</v>
      </c>
      <c r="T5461" t="s">
        <v>11183</v>
      </c>
      <c r="W5461">
        <v>0</v>
      </c>
      <c r="X5461" t="s">
        <v>11332</v>
      </c>
      <c r="Y5461" t="s">
        <v>11339</v>
      </c>
      <c r="Z5461" t="s">
        <v>14800</v>
      </c>
      <c r="AC5461">
        <v>74</v>
      </c>
      <c r="AD5461" t="s">
        <v>19566</v>
      </c>
      <c r="AF5461">
        <v>0</v>
      </c>
      <c r="AG5461">
        <v>1</v>
      </c>
      <c r="AH5461">
        <v>0</v>
      </c>
      <c r="AI5461">
        <v>261.89</v>
      </c>
      <c r="AJ5461" t="s">
        <v>1108</v>
      </c>
      <c r="AL5461" t="s">
        <v>19614</v>
      </c>
      <c r="AM5461">
        <v>31584</v>
      </c>
      <c r="AS5461">
        <v>0</v>
      </c>
      <c r="AU5461" t="s">
        <v>20636</v>
      </c>
    </row>
    <row r="5462" spans="1:48">
      <c r="A5462" s="1">
        <f>HYPERLINK("https://lsnyc.legalserver.org/matter/dynamic-profile/view/1890995","19-1890995")</f>
        <v>0</v>
      </c>
      <c r="B5462" t="s">
        <v>103</v>
      </c>
      <c r="C5462" t="s">
        <v>256</v>
      </c>
      <c r="D5462" t="s">
        <v>554</v>
      </c>
      <c r="F5462" t="s">
        <v>1495</v>
      </c>
      <c r="G5462" t="s">
        <v>2246</v>
      </c>
      <c r="H5462" t="s">
        <v>5887</v>
      </c>
      <c r="I5462" t="s">
        <v>8155</v>
      </c>
      <c r="J5462" t="s">
        <v>9065</v>
      </c>
      <c r="K5462">
        <v>10453</v>
      </c>
      <c r="L5462" t="s">
        <v>9094</v>
      </c>
      <c r="M5462" t="s">
        <v>9094</v>
      </c>
      <c r="O5462" t="s">
        <v>11134</v>
      </c>
      <c r="P5462" t="s">
        <v>11168</v>
      </c>
      <c r="R5462" t="s">
        <v>11180</v>
      </c>
      <c r="S5462" t="s">
        <v>9094</v>
      </c>
      <c r="T5462" t="s">
        <v>11183</v>
      </c>
      <c r="V5462" t="s">
        <v>512</v>
      </c>
      <c r="W5462">
        <v>685.95</v>
      </c>
      <c r="X5462" t="s">
        <v>11333</v>
      </c>
      <c r="Y5462" t="s">
        <v>11346</v>
      </c>
      <c r="Z5462" t="s">
        <v>11769</v>
      </c>
      <c r="AB5462" t="s">
        <v>16232</v>
      </c>
      <c r="AC5462">
        <v>167</v>
      </c>
      <c r="AD5462" t="s">
        <v>19566</v>
      </c>
      <c r="AE5462" t="s">
        <v>9144</v>
      </c>
      <c r="AF5462">
        <v>26</v>
      </c>
      <c r="AG5462">
        <v>1</v>
      </c>
      <c r="AH5462">
        <v>0</v>
      </c>
      <c r="AI5462">
        <v>262.29</v>
      </c>
      <c r="AL5462" t="s">
        <v>19614</v>
      </c>
      <c r="AM5462">
        <v>32760</v>
      </c>
      <c r="AS5462">
        <v>0</v>
      </c>
      <c r="AU5462" t="s">
        <v>20642</v>
      </c>
    </row>
    <row r="5463" spans="1:48">
      <c r="A5463" s="1">
        <f>HYPERLINK("https://lsnyc.legalserver.org/matter/dynamic-profile/view/1905203","19-1905203")</f>
        <v>0</v>
      </c>
      <c r="B5463" t="s">
        <v>103</v>
      </c>
      <c r="C5463" t="s">
        <v>256</v>
      </c>
      <c r="D5463" t="s">
        <v>414</v>
      </c>
      <c r="F5463" t="s">
        <v>1495</v>
      </c>
      <c r="G5463" t="s">
        <v>2246</v>
      </c>
      <c r="H5463" t="s">
        <v>5887</v>
      </c>
      <c r="I5463" t="s">
        <v>8155</v>
      </c>
      <c r="J5463" t="s">
        <v>9065</v>
      </c>
      <c r="K5463">
        <v>10453</v>
      </c>
      <c r="L5463" t="s">
        <v>9094</v>
      </c>
      <c r="M5463" t="s">
        <v>9095</v>
      </c>
      <c r="N5463" t="s">
        <v>9239</v>
      </c>
      <c r="O5463" t="s">
        <v>11134</v>
      </c>
      <c r="P5463" t="s">
        <v>11168</v>
      </c>
      <c r="R5463" t="s">
        <v>11180</v>
      </c>
      <c r="S5463" t="s">
        <v>9094</v>
      </c>
      <c r="T5463" t="s">
        <v>11183</v>
      </c>
      <c r="V5463" t="s">
        <v>1061</v>
      </c>
      <c r="W5463">
        <v>685.95</v>
      </c>
      <c r="X5463" t="s">
        <v>11333</v>
      </c>
      <c r="Y5463" t="s">
        <v>11346</v>
      </c>
      <c r="Z5463" t="s">
        <v>11769</v>
      </c>
      <c r="AB5463" t="s">
        <v>16232</v>
      </c>
      <c r="AC5463">
        <v>167</v>
      </c>
      <c r="AD5463" t="s">
        <v>19566</v>
      </c>
      <c r="AE5463" t="s">
        <v>9144</v>
      </c>
      <c r="AF5463">
        <v>26</v>
      </c>
      <c r="AG5463">
        <v>1</v>
      </c>
      <c r="AH5463">
        <v>0</v>
      </c>
      <c r="AI5463">
        <v>262.29</v>
      </c>
      <c r="AL5463" t="s">
        <v>19614</v>
      </c>
      <c r="AM5463">
        <v>32760</v>
      </c>
      <c r="AS5463">
        <v>0</v>
      </c>
      <c r="AU5463" t="s">
        <v>163</v>
      </c>
      <c r="AV5463" t="s">
        <v>20733</v>
      </c>
    </row>
    <row r="5464" spans="1:48">
      <c r="A5464" s="1">
        <f>HYPERLINK("https://lsnyc.legalserver.org/matter/dynamic-profile/view/1905208","19-1905208")</f>
        <v>0</v>
      </c>
      <c r="B5464" t="s">
        <v>103</v>
      </c>
      <c r="C5464" t="s">
        <v>256</v>
      </c>
      <c r="D5464" t="s">
        <v>414</v>
      </c>
      <c r="F5464" t="s">
        <v>1495</v>
      </c>
      <c r="G5464" t="s">
        <v>2246</v>
      </c>
      <c r="H5464" t="s">
        <v>5887</v>
      </c>
      <c r="I5464" t="s">
        <v>8155</v>
      </c>
      <c r="J5464" t="s">
        <v>9065</v>
      </c>
      <c r="K5464">
        <v>10453</v>
      </c>
      <c r="L5464" t="s">
        <v>9094</v>
      </c>
      <c r="M5464" t="s">
        <v>9095</v>
      </c>
      <c r="N5464" t="s">
        <v>9240</v>
      </c>
      <c r="O5464" t="s">
        <v>11134</v>
      </c>
      <c r="P5464" t="s">
        <v>11168</v>
      </c>
      <c r="R5464" t="s">
        <v>11180</v>
      </c>
      <c r="S5464" t="s">
        <v>9094</v>
      </c>
      <c r="T5464" t="s">
        <v>11183</v>
      </c>
      <c r="V5464" t="s">
        <v>422</v>
      </c>
      <c r="W5464">
        <v>685.95</v>
      </c>
      <c r="X5464" t="s">
        <v>11333</v>
      </c>
      <c r="Y5464" t="s">
        <v>11346</v>
      </c>
      <c r="Z5464" t="s">
        <v>11769</v>
      </c>
      <c r="AB5464" t="s">
        <v>16232</v>
      </c>
      <c r="AC5464">
        <v>170</v>
      </c>
      <c r="AD5464" t="s">
        <v>19566</v>
      </c>
      <c r="AE5464" t="s">
        <v>9144</v>
      </c>
      <c r="AF5464">
        <v>26</v>
      </c>
      <c r="AG5464">
        <v>1</v>
      </c>
      <c r="AH5464">
        <v>0</v>
      </c>
      <c r="AI5464">
        <v>262.29</v>
      </c>
      <c r="AL5464" t="s">
        <v>19614</v>
      </c>
      <c r="AM5464">
        <v>32760</v>
      </c>
      <c r="AS5464">
        <v>0</v>
      </c>
      <c r="AU5464" t="s">
        <v>163</v>
      </c>
      <c r="AV5464" t="s">
        <v>20733</v>
      </c>
    </row>
    <row r="5465" spans="1:48">
      <c r="A5465" s="1">
        <f>HYPERLINK("https://lsnyc.legalserver.org/matter/dynamic-profile/view/1897205","19-1897205")</f>
        <v>0</v>
      </c>
      <c r="B5465" t="s">
        <v>70</v>
      </c>
      <c r="C5465" t="s">
        <v>256</v>
      </c>
      <c r="D5465" t="s">
        <v>317</v>
      </c>
      <c r="F5465" t="s">
        <v>1264</v>
      </c>
      <c r="G5465" t="s">
        <v>5389</v>
      </c>
      <c r="H5465" t="s">
        <v>6474</v>
      </c>
      <c r="I5465" t="s">
        <v>8119</v>
      </c>
      <c r="J5465" t="s">
        <v>9059</v>
      </c>
      <c r="K5465">
        <v>11233</v>
      </c>
      <c r="L5465" t="s">
        <v>9094</v>
      </c>
      <c r="M5465" t="s">
        <v>9096</v>
      </c>
      <c r="N5465" t="s">
        <v>9146</v>
      </c>
      <c r="O5465" t="s">
        <v>11134</v>
      </c>
      <c r="P5465" t="s">
        <v>11168</v>
      </c>
      <c r="R5465" t="s">
        <v>11180</v>
      </c>
      <c r="S5465" t="s">
        <v>9094</v>
      </c>
      <c r="T5465" t="s">
        <v>11183</v>
      </c>
      <c r="U5465" t="s">
        <v>11201</v>
      </c>
      <c r="V5465" t="s">
        <v>482</v>
      </c>
      <c r="W5465">
        <v>651.8</v>
      </c>
      <c r="X5465" t="s">
        <v>11332</v>
      </c>
      <c r="Y5465" t="s">
        <v>11157</v>
      </c>
      <c r="Z5465" t="s">
        <v>13124</v>
      </c>
      <c r="AC5465">
        <v>359</v>
      </c>
      <c r="AD5465" t="s">
        <v>19566</v>
      </c>
      <c r="AF5465">
        <v>40</v>
      </c>
      <c r="AG5465">
        <v>1</v>
      </c>
      <c r="AH5465">
        <v>2</v>
      </c>
      <c r="AI5465">
        <v>262.54</v>
      </c>
      <c r="AL5465" t="s">
        <v>19615</v>
      </c>
      <c r="AM5465">
        <v>56000</v>
      </c>
      <c r="AN5465" t="s">
        <v>20125</v>
      </c>
      <c r="AS5465">
        <v>0</v>
      </c>
      <c r="AU5465" t="s">
        <v>79</v>
      </c>
    </row>
    <row r="5466" spans="1:48">
      <c r="A5466" s="1">
        <f>HYPERLINK("https://lsnyc.legalserver.org/matter/dynamic-profile/view/1897206","19-1897206")</f>
        <v>0</v>
      </c>
      <c r="B5466" t="s">
        <v>70</v>
      </c>
      <c r="C5466" t="s">
        <v>256</v>
      </c>
      <c r="D5466" t="s">
        <v>317</v>
      </c>
      <c r="F5466" t="s">
        <v>1264</v>
      </c>
      <c r="G5466" t="s">
        <v>5389</v>
      </c>
      <c r="H5466" t="s">
        <v>6474</v>
      </c>
      <c r="I5466" t="s">
        <v>8119</v>
      </c>
      <c r="J5466" t="s">
        <v>9059</v>
      </c>
      <c r="K5466">
        <v>11233</v>
      </c>
      <c r="L5466" t="s">
        <v>9094</v>
      </c>
      <c r="M5466" t="s">
        <v>9096</v>
      </c>
      <c r="O5466" t="s">
        <v>11137</v>
      </c>
      <c r="P5466" t="s">
        <v>11167</v>
      </c>
      <c r="R5466" t="s">
        <v>11180</v>
      </c>
      <c r="S5466" t="s">
        <v>9094</v>
      </c>
      <c r="T5466" t="s">
        <v>11183</v>
      </c>
      <c r="U5466" t="s">
        <v>11201</v>
      </c>
      <c r="V5466" t="s">
        <v>749</v>
      </c>
      <c r="W5466">
        <v>651</v>
      </c>
      <c r="X5466" t="s">
        <v>11332</v>
      </c>
      <c r="Y5466" t="s">
        <v>11157</v>
      </c>
      <c r="Z5466" t="s">
        <v>13124</v>
      </c>
      <c r="AC5466">
        <v>359</v>
      </c>
      <c r="AD5466" t="s">
        <v>19566</v>
      </c>
      <c r="AF5466">
        <v>40</v>
      </c>
      <c r="AG5466">
        <v>1</v>
      </c>
      <c r="AH5466">
        <v>2</v>
      </c>
      <c r="AI5466">
        <v>262.54</v>
      </c>
      <c r="AL5466" t="s">
        <v>19615</v>
      </c>
      <c r="AM5466">
        <v>56000</v>
      </c>
      <c r="AN5466" t="s">
        <v>20126</v>
      </c>
      <c r="AS5466">
        <v>0</v>
      </c>
      <c r="AU5466" t="s">
        <v>79</v>
      </c>
    </row>
    <row r="5467" spans="1:48">
      <c r="A5467" s="1">
        <f>HYPERLINK("https://lsnyc.legalserver.org/matter/dynamic-profile/view/1901446","19-1901446")</f>
        <v>0</v>
      </c>
      <c r="B5467" t="s">
        <v>231</v>
      </c>
      <c r="C5467" t="s">
        <v>256</v>
      </c>
      <c r="D5467" t="s">
        <v>559</v>
      </c>
      <c r="F5467" t="s">
        <v>2396</v>
      </c>
      <c r="G5467" t="s">
        <v>4063</v>
      </c>
      <c r="H5467" t="s">
        <v>7974</v>
      </c>
      <c r="I5467" t="s">
        <v>8153</v>
      </c>
      <c r="J5467" t="s">
        <v>9067</v>
      </c>
      <c r="K5467">
        <v>10040</v>
      </c>
      <c r="L5467" t="s">
        <v>9094</v>
      </c>
      <c r="M5467" t="s">
        <v>9095</v>
      </c>
      <c r="O5467" t="s">
        <v>11136</v>
      </c>
      <c r="P5467" t="s">
        <v>11167</v>
      </c>
      <c r="R5467" t="s">
        <v>11180</v>
      </c>
      <c r="S5467" t="s">
        <v>9096</v>
      </c>
      <c r="T5467" t="s">
        <v>11183</v>
      </c>
      <c r="V5467" t="s">
        <v>559</v>
      </c>
      <c r="W5467">
        <v>1775</v>
      </c>
      <c r="X5467" t="s">
        <v>11335</v>
      </c>
      <c r="Y5467" t="s">
        <v>11338</v>
      </c>
      <c r="Z5467" t="s">
        <v>14801</v>
      </c>
      <c r="AC5467">
        <v>41</v>
      </c>
      <c r="AD5467" t="s">
        <v>19566</v>
      </c>
      <c r="AE5467" t="s">
        <v>9144</v>
      </c>
      <c r="AF5467">
        <v>4</v>
      </c>
      <c r="AG5467">
        <v>1</v>
      </c>
      <c r="AH5467">
        <v>2</v>
      </c>
      <c r="AI5467">
        <v>262.54</v>
      </c>
      <c r="AL5467" t="s">
        <v>19614</v>
      </c>
      <c r="AM5467">
        <v>56000</v>
      </c>
      <c r="AS5467">
        <v>42.95</v>
      </c>
      <c r="AT5467" t="s">
        <v>487</v>
      </c>
      <c r="AU5467" t="s">
        <v>130</v>
      </c>
      <c r="AV5467" t="s">
        <v>20733</v>
      </c>
    </row>
    <row r="5468" spans="1:48">
      <c r="A5468" s="1">
        <f>HYPERLINK("https://lsnyc.legalserver.org/matter/dynamic-profile/view/0816846","16-0816846")</f>
        <v>0</v>
      </c>
      <c r="B5468" t="s">
        <v>103</v>
      </c>
      <c r="C5468" t="s">
        <v>256</v>
      </c>
      <c r="D5468" t="s">
        <v>436</v>
      </c>
      <c r="F5468" t="s">
        <v>3085</v>
      </c>
      <c r="G5468" t="s">
        <v>4443</v>
      </c>
      <c r="H5468" t="s">
        <v>5873</v>
      </c>
      <c r="J5468" t="s">
        <v>9065</v>
      </c>
      <c r="K5468">
        <v>10457</v>
      </c>
      <c r="L5468" t="s">
        <v>9094</v>
      </c>
      <c r="M5468" t="s">
        <v>9095</v>
      </c>
      <c r="N5468" t="s">
        <v>9228</v>
      </c>
      <c r="O5468" t="s">
        <v>11135</v>
      </c>
      <c r="P5468" t="s">
        <v>11168</v>
      </c>
      <c r="R5468" t="s">
        <v>11180</v>
      </c>
      <c r="S5468" t="s">
        <v>9094</v>
      </c>
      <c r="T5468" t="s">
        <v>11183</v>
      </c>
      <c r="V5468" t="s">
        <v>1024</v>
      </c>
      <c r="W5468">
        <v>245</v>
      </c>
      <c r="X5468" t="s">
        <v>11333</v>
      </c>
      <c r="Y5468" t="s">
        <v>11338</v>
      </c>
      <c r="Z5468" t="s">
        <v>14788</v>
      </c>
      <c r="AB5468" t="s">
        <v>19109</v>
      </c>
      <c r="AC5468">
        <v>100</v>
      </c>
      <c r="AD5468" t="s">
        <v>19569</v>
      </c>
      <c r="AE5468" t="s">
        <v>9144</v>
      </c>
      <c r="AF5468">
        <v>25</v>
      </c>
      <c r="AG5468">
        <v>1</v>
      </c>
      <c r="AH5468">
        <v>0</v>
      </c>
      <c r="AI5468">
        <v>262.63</v>
      </c>
      <c r="AJ5468" t="s">
        <v>11262</v>
      </c>
      <c r="AL5468" t="s">
        <v>19615</v>
      </c>
      <c r="AM5468">
        <v>31200</v>
      </c>
      <c r="AS5468">
        <v>0.5</v>
      </c>
      <c r="AT5468" t="s">
        <v>436</v>
      </c>
      <c r="AU5468" t="s">
        <v>20643</v>
      </c>
    </row>
    <row r="5469" spans="1:48">
      <c r="A5469" s="1">
        <f>HYPERLINK("https://lsnyc.legalserver.org/matter/dynamic-profile/view/1884544","18-1884544")</f>
        <v>0</v>
      </c>
      <c r="B5469" t="s">
        <v>72</v>
      </c>
      <c r="C5469" t="s">
        <v>257</v>
      </c>
      <c r="D5469" t="s">
        <v>1111</v>
      </c>
      <c r="E5469" t="s">
        <v>457</v>
      </c>
      <c r="F5469" t="s">
        <v>1404</v>
      </c>
      <c r="G5469" t="s">
        <v>3699</v>
      </c>
      <c r="H5469" t="s">
        <v>7607</v>
      </c>
      <c r="I5469" t="s">
        <v>8283</v>
      </c>
      <c r="J5469" t="s">
        <v>9059</v>
      </c>
      <c r="K5469">
        <v>11212</v>
      </c>
      <c r="L5469" t="s">
        <v>9094</v>
      </c>
      <c r="M5469" t="s">
        <v>9096</v>
      </c>
      <c r="N5469" t="s">
        <v>11003</v>
      </c>
      <c r="O5469" t="s">
        <v>11129</v>
      </c>
      <c r="P5469" t="s">
        <v>11164</v>
      </c>
      <c r="Q5469" t="s">
        <v>11172</v>
      </c>
      <c r="R5469" t="s">
        <v>11180</v>
      </c>
      <c r="S5469" t="s">
        <v>9096</v>
      </c>
      <c r="T5469" t="s">
        <v>11183</v>
      </c>
      <c r="U5469" t="s">
        <v>11201</v>
      </c>
      <c r="V5469" t="s">
        <v>1111</v>
      </c>
      <c r="W5469">
        <v>1039</v>
      </c>
      <c r="X5469" t="s">
        <v>11332</v>
      </c>
      <c r="Y5469" t="s">
        <v>11157</v>
      </c>
      <c r="Z5469" t="s">
        <v>14802</v>
      </c>
      <c r="AA5469" t="s">
        <v>15900</v>
      </c>
      <c r="AB5469" t="s">
        <v>19125</v>
      </c>
      <c r="AC5469">
        <v>31</v>
      </c>
      <c r="AD5469" t="s">
        <v>19566</v>
      </c>
      <c r="AE5469" t="s">
        <v>9144</v>
      </c>
      <c r="AF5469">
        <v>3</v>
      </c>
      <c r="AG5469">
        <v>1</v>
      </c>
      <c r="AH5469">
        <v>1</v>
      </c>
      <c r="AI5469">
        <v>263.11</v>
      </c>
      <c r="AL5469" t="s">
        <v>19614</v>
      </c>
      <c r="AM5469">
        <v>43308</v>
      </c>
      <c r="AS5469">
        <v>2.1</v>
      </c>
      <c r="AT5469" t="s">
        <v>397</v>
      </c>
      <c r="AU5469" t="s">
        <v>20632</v>
      </c>
      <c r="AV5469" t="s">
        <v>20733</v>
      </c>
    </row>
    <row r="5470" spans="1:48">
      <c r="A5470" s="1">
        <f>HYPERLINK("https://lsnyc.legalserver.org/matter/dynamic-profile/view/1886133","18-1886133")</f>
        <v>0</v>
      </c>
      <c r="B5470" t="s">
        <v>119</v>
      </c>
      <c r="C5470" t="s">
        <v>256</v>
      </c>
      <c r="D5470" t="s">
        <v>397</v>
      </c>
      <c r="F5470" t="s">
        <v>3083</v>
      </c>
      <c r="G5470" t="s">
        <v>4864</v>
      </c>
      <c r="H5470" t="s">
        <v>6095</v>
      </c>
      <c r="I5470" t="s">
        <v>8291</v>
      </c>
      <c r="J5470" t="s">
        <v>9065</v>
      </c>
      <c r="K5470">
        <v>10456</v>
      </c>
      <c r="L5470" t="s">
        <v>9094</v>
      </c>
      <c r="M5470" t="s">
        <v>9094</v>
      </c>
      <c r="N5470" t="s">
        <v>9401</v>
      </c>
      <c r="O5470" t="s">
        <v>11134</v>
      </c>
      <c r="P5470" t="s">
        <v>11168</v>
      </c>
      <c r="R5470" t="s">
        <v>11180</v>
      </c>
      <c r="S5470" t="s">
        <v>9094</v>
      </c>
      <c r="T5470" t="s">
        <v>11183</v>
      </c>
      <c r="V5470" t="s">
        <v>738</v>
      </c>
      <c r="W5470">
        <v>889.6</v>
      </c>
      <c r="X5470" t="s">
        <v>11333</v>
      </c>
      <c r="Y5470" t="s">
        <v>11346</v>
      </c>
      <c r="Z5470" t="s">
        <v>14786</v>
      </c>
      <c r="AB5470" t="s">
        <v>19107</v>
      </c>
      <c r="AC5470">
        <v>131</v>
      </c>
      <c r="AD5470" t="s">
        <v>19566</v>
      </c>
      <c r="AE5470" t="s">
        <v>9144</v>
      </c>
      <c r="AF5470">
        <v>26</v>
      </c>
      <c r="AG5470">
        <v>1</v>
      </c>
      <c r="AH5470">
        <v>0</v>
      </c>
      <c r="AI5470">
        <v>263.59</v>
      </c>
      <c r="AL5470" t="s">
        <v>19614</v>
      </c>
      <c r="AM5470">
        <v>32000</v>
      </c>
      <c r="AS5470">
        <v>0</v>
      </c>
      <c r="AU5470" t="s">
        <v>163</v>
      </c>
    </row>
    <row r="5471" spans="1:48">
      <c r="A5471" s="1">
        <f>HYPERLINK("https://lsnyc.legalserver.org/matter/dynamic-profile/view/1871307","18-1871307")</f>
        <v>0</v>
      </c>
      <c r="B5471" t="s">
        <v>119</v>
      </c>
      <c r="C5471" t="s">
        <v>256</v>
      </c>
      <c r="D5471" t="s">
        <v>599</v>
      </c>
      <c r="F5471" t="s">
        <v>3083</v>
      </c>
      <c r="G5471" t="s">
        <v>4864</v>
      </c>
      <c r="H5471" t="s">
        <v>6095</v>
      </c>
      <c r="I5471" t="s">
        <v>8291</v>
      </c>
      <c r="J5471" t="s">
        <v>9065</v>
      </c>
      <c r="K5471">
        <v>10456</v>
      </c>
      <c r="L5471" t="s">
        <v>9094</v>
      </c>
      <c r="M5471" t="s">
        <v>9094</v>
      </c>
      <c r="O5471" t="s">
        <v>11135</v>
      </c>
      <c r="P5471" t="s">
        <v>11168</v>
      </c>
      <c r="R5471" t="s">
        <v>11180</v>
      </c>
      <c r="S5471" t="s">
        <v>9094</v>
      </c>
      <c r="T5471" t="s">
        <v>11183</v>
      </c>
      <c r="V5471" t="s">
        <v>675</v>
      </c>
      <c r="W5471">
        <v>889.6</v>
      </c>
      <c r="X5471" t="s">
        <v>11333</v>
      </c>
      <c r="Y5471" t="s">
        <v>11346</v>
      </c>
      <c r="Z5471" t="s">
        <v>14786</v>
      </c>
      <c r="AB5471" t="s">
        <v>19107</v>
      </c>
      <c r="AC5471">
        <v>131</v>
      </c>
      <c r="AD5471" t="s">
        <v>19566</v>
      </c>
      <c r="AE5471" t="s">
        <v>9144</v>
      </c>
      <c r="AF5471">
        <v>26</v>
      </c>
      <c r="AG5471">
        <v>1</v>
      </c>
      <c r="AH5471">
        <v>0</v>
      </c>
      <c r="AI5471">
        <v>263.59</v>
      </c>
      <c r="AL5471" t="s">
        <v>19614</v>
      </c>
      <c r="AM5471">
        <v>32000</v>
      </c>
      <c r="AN5471" t="s">
        <v>20127</v>
      </c>
      <c r="AS5471">
        <v>19.55</v>
      </c>
      <c r="AT5471" t="s">
        <v>470</v>
      </c>
      <c r="AU5471" t="s">
        <v>163</v>
      </c>
    </row>
    <row r="5472" spans="1:48">
      <c r="A5472" s="1">
        <f>HYPERLINK("https://lsnyc.legalserver.org/matter/dynamic-profile/view/1868228","18-1868228")</f>
        <v>0</v>
      </c>
      <c r="B5472" t="s">
        <v>119</v>
      </c>
      <c r="C5472" t="s">
        <v>256</v>
      </c>
      <c r="D5472" t="s">
        <v>380</v>
      </c>
      <c r="F5472" t="s">
        <v>3083</v>
      </c>
      <c r="G5472" t="s">
        <v>4864</v>
      </c>
      <c r="H5472" t="s">
        <v>6095</v>
      </c>
      <c r="I5472" t="s">
        <v>8291</v>
      </c>
      <c r="J5472" t="s">
        <v>9065</v>
      </c>
      <c r="K5472">
        <v>10456</v>
      </c>
      <c r="L5472" t="s">
        <v>9094</v>
      </c>
      <c r="M5472" t="s">
        <v>9095</v>
      </c>
      <c r="N5472" t="s">
        <v>10073</v>
      </c>
      <c r="O5472" t="s">
        <v>11130</v>
      </c>
      <c r="P5472" t="s">
        <v>11165</v>
      </c>
      <c r="R5472" t="s">
        <v>11180</v>
      </c>
      <c r="S5472" t="s">
        <v>9094</v>
      </c>
      <c r="T5472" t="s">
        <v>11183</v>
      </c>
      <c r="V5472" t="s">
        <v>675</v>
      </c>
      <c r="W5472">
        <v>889.6</v>
      </c>
      <c r="X5472" t="s">
        <v>11333</v>
      </c>
      <c r="Y5472" t="s">
        <v>11346</v>
      </c>
      <c r="Z5472" t="s">
        <v>14786</v>
      </c>
      <c r="AB5472" t="s">
        <v>19107</v>
      </c>
      <c r="AC5472">
        <v>131</v>
      </c>
      <c r="AD5472" t="s">
        <v>19566</v>
      </c>
      <c r="AE5472" t="s">
        <v>9144</v>
      </c>
      <c r="AF5472">
        <v>26</v>
      </c>
      <c r="AG5472">
        <v>1</v>
      </c>
      <c r="AH5472">
        <v>0</v>
      </c>
      <c r="AI5472">
        <v>263.59</v>
      </c>
      <c r="AL5472" t="s">
        <v>19614</v>
      </c>
      <c r="AM5472">
        <v>32000</v>
      </c>
      <c r="AN5472" t="s">
        <v>20127</v>
      </c>
      <c r="AS5472">
        <v>304.65</v>
      </c>
      <c r="AT5472" t="s">
        <v>377</v>
      </c>
      <c r="AU5472" t="s">
        <v>163</v>
      </c>
    </row>
    <row r="5473" spans="1:48">
      <c r="A5473" s="1">
        <f>HYPERLINK("https://lsnyc.legalserver.org/matter/dynamic-profile/view/1897404","19-1897404")</f>
        <v>0</v>
      </c>
      <c r="B5473" t="s">
        <v>70</v>
      </c>
      <c r="C5473" t="s">
        <v>256</v>
      </c>
      <c r="D5473" t="s">
        <v>434</v>
      </c>
      <c r="F5473" t="s">
        <v>3093</v>
      </c>
      <c r="G5473" t="s">
        <v>5390</v>
      </c>
      <c r="H5473" t="s">
        <v>5748</v>
      </c>
      <c r="I5473" t="s">
        <v>8610</v>
      </c>
      <c r="J5473" t="s">
        <v>9059</v>
      </c>
      <c r="K5473">
        <v>11233</v>
      </c>
      <c r="L5473" t="s">
        <v>9094</v>
      </c>
      <c r="M5473" t="s">
        <v>9096</v>
      </c>
      <c r="N5473" t="s">
        <v>9145</v>
      </c>
      <c r="O5473" t="s">
        <v>11134</v>
      </c>
      <c r="P5473" t="s">
        <v>11168</v>
      </c>
      <c r="R5473" t="s">
        <v>11180</v>
      </c>
      <c r="S5473" t="s">
        <v>9094</v>
      </c>
      <c r="T5473" t="s">
        <v>11183</v>
      </c>
      <c r="U5473" t="s">
        <v>11201</v>
      </c>
      <c r="V5473" t="s">
        <v>482</v>
      </c>
      <c r="W5473">
        <v>601</v>
      </c>
      <c r="X5473" t="s">
        <v>11332</v>
      </c>
      <c r="Y5473" t="s">
        <v>11342</v>
      </c>
      <c r="Z5473" t="s">
        <v>14803</v>
      </c>
      <c r="AC5473">
        <v>359</v>
      </c>
      <c r="AD5473" t="s">
        <v>19566</v>
      </c>
      <c r="AF5473">
        <v>7</v>
      </c>
      <c r="AG5473">
        <v>1</v>
      </c>
      <c r="AH5473">
        <v>0</v>
      </c>
      <c r="AI5473">
        <v>264.21</v>
      </c>
      <c r="AL5473" t="s">
        <v>19614</v>
      </c>
      <c r="AM5473">
        <v>33000</v>
      </c>
      <c r="AN5473" t="s">
        <v>20128</v>
      </c>
      <c r="AS5473">
        <v>0</v>
      </c>
      <c r="AU5473" t="s">
        <v>95</v>
      </c>
    </row>
    <row r="5474" spans="1:48">
      <c r="A5474" s="1">
        <f>HYPERLINK("https://lsnyc.legalserver.org/matter/dynamic-profile/view/1897534","19-1897534")</f>
        <v>0</v>
      </c>
      <c r="B5474" t="s">
        <v>70</v>
      </c>
      <c r="C5474" t="s">
        <v>256</v>
      </c>
      <c r="D5474" t="s">
        <v>318</v>
      </c>
      <c r="F5474" t="s">
        <v>1240</v>
      </c>
      <c r="G5474" t="s">
        <v>5391</v>
      </c>
      <c r="H5474" t="s">
        <v>5749</v>
      </c>
      <c r="I5474" t="s">
        <v>8960</v>
      </c>
      <c r="J5474" t="s">
        <v>9059</v>
      </c>
      <c r="K5474">
        <v>11233</v>
      </c>
      <c r="L5474" t="s">
        <v>9094</v>
      </c>
      <c r="M5474" t="s">
        <v>9096</v>
      </c>
      <c r="N5474" t="s">
        <v>9146</v>
      </c>
      <c r="O5474" t="s">
        <v>11134</v>
      </c>
      <c r="P5474" t="s">
        <v>11168</v>
      </c>
      <c r="R5474" t="s">
        <v>11180</v>
      </c>
      <c r="S5474" t="s">
        <v>9094</v>
      </c>
      <c r="T5474" t="s">
        <v>11183</v>
      </c>
      <c r="U5474" t="s">
        <v>11201</v>
      </c>
      <c r="V5474" t="s">
        <v>482</v>
      </c>
      <c r="W5474">
        <v>0</v>
      </c>
      <c r="X5474" t="s">
        <v>11332</v>
      </c>
      <c r="Y5474" t="s">
        <v>11342</v>
      </c>
      <c r="Z5474" t="s">
        <v>14804</v>
      </c>
      <c r="AC5474">
        <v>359</v>
      </c>
      <c r="AD5474" t="s">
        <v>19566</v>
      </c>
      <c r="AF5474">
        <v>40</v>
      </c>
      <c r="AG5474">
        <v>1</v>
      </c>
      <c r="AH5474">
        <v>0</v>
      </c>
      <c r="AI5474">
        <v>264.21</v>
      </c>
      <c r="AL5474" t="s">
        <v>19614</v>
      </c>
      <c r="AM5474">
        <v>33000</v>
      </c>
      <c r="AN5474" t="s">
        <v>19644</v>
      </c>
      <c r="AS5474">
        <v>0</v>
      </c>
      <c r="AU5474" t="s">
        <v>95</v>
      </c>
    </row>
    <row r="5475" spans="1:48">
      <c r="A5475" s="1">
        <f>HYPERLINK("https://lsnyc.legalserver.org/matter/dynamic-profile/view/1898966","19-1898966")</f>
        <v>0</v>
      </c>
      <c r="B5475" t="s">
        <v>70</v>
      </c>
      <c r="C5475" t="s">
        <v>256</v>
      </c>
      <c r="D5475" t="s">
        <v>310</v>
      </c>
      <c r="F5475" t="s">
        <v>1145</v>
      </c>
      <c r="G5475" t="s">
        <v>3611</v>
      </c>
      <c r="H5475" t="s">
        <v>6474</v>
      </c>
      <c r="I5475" t="s">
        <v>8961</v>
      </c>
      <c r="J5475" t="s">
        <v>9059</v>
      </c>
      <c r="K5475">
        <v>11233</v>
      </c>
      <c r="L5475" t="s">
        <v>9094</v>
      </c>
      <c r="M5475" t="s">
        <v>9095</v>
      </c>
      <c r="N5475" t="s">
        <v>9146</v>
      </c>
      <c r="O5475" t="s">
        <v>11134</v>
      </c>
      <c r="P5475" t="s">
        <v>11168</v>
      </c>
      <c r="R5475" t="s">
        <v>11180</v>
      </c>
      <c r="S5475" t="s">
        <v>9094</v>
      </c>
      <c r="T5475" t="s">
        <v>11183</v>
      </c>
      <c r="U5475" t="s">
        <v>11201</v>
      </c>
      <c r="V5475" t="s">
        <v>482</v>
      </c>
      <c r="W5475">
        <v>913</v>
      </c>
      <c r="X5475" t="s">
        <v>11332</v>
      </c>
      <c r="Y5475" t="s">
        <v>11157</v>
      </c>
      <c r="Z5475" t="s">
        <v>14805</v>
      </c>
      <c r="AC5475">
        <v>359</v>
      </c>
      <c r="AD5475" t="s">
        <v>19566</v>
      </c>
      <c r="AF5475">
        <v>20</v>
      </c>
      <c r="AG5475">
        <v>1</v>
      </c>
      <c r="AH5475">
        <v>0</v>
      </c>
      <c r="AI5475">
        <v>264.21</v>
      </c>
      <c r="AL5475" t="s">
        <v>19614</v>
      </c>
      <c r="AM5475">
        <v>33000</v>
      </c>
      <c r="AN5475" t="s">
        <v>19642</v>
      </c>
      <c r="AS5475">
        <v>0</v>
      </c>
      <c r="AU5475" t="s">
        <v>79</v>
      </c>
      <c r="AV5475" t="s">
        <v>9144</v>
      </c>
    </row>
    <row r="5476" spans="1:48">
      <c r="A5476" s="1">
        <f>HYPERLINK("https://lsnyc.legalserver.org/matter/dynamic-profile/view/1897406","19-1897406")</f>
        <v>0</v>
      </c>
      <c r="B5476" t="s">
        <v>70</v>
      </c>
      <c r="C5476" t="s">
        <v>256</v>
      </c>
      <c r="D5476" t="s">
        <v>434</v>
      </c>
      <c r="F5476" t="s">
        <v>3093</v>
      </c>
      <c r="G5476" t="s">
        <v>5390</v>
      </c>
      <c r="H5476" t="s">
        <v>5748</v>
      </c>
      <c r="I5476" t="s">
        <v>8610</v>
      </c>
      <c r="J5476" t="s">
        <v>9059</v>
      </c>
      <c r="K5476">
        <v>11233</v>
      </c>
      <c r="L5476" t="s">
        <v>9094</v>
      </c>
      <c r="M5476" t="s">
        <v>9096</v>
      </c>
      <c r="O5476" t="s">
        <v>11137</v>
      </c>
      <c r="P5476" t="s">
        <v>11167</v>
      </c>
      <c r="R5476" t="s">
        <v>11180</v>
      </c>
      <c r="S5476" t="s">
        <v>9094</v>
      </c>
      <c r="T5476" t="s">
        <v>11183</v>
      </c>
      <c r="U5476" t="s">
        <v>11201</v>
      </c>
      <c r="V5476" t="s">
        <v>749</v>
      </c>
      <c r="W5476">
        <v>601</v>
      </c>
      <c r="X5476" t="s">
        <v>11332</v>
      </c>
      <c r="Y5476" t="s">
        <v>11342</v>
      </c>
      <c r="Z5476" t="s">
        <v>14803</v>
      </c>
      <c r="AC5476">
        <v>359</v>
      </c>
      <c r="AD5476" t="s">
        <v>19566</v>
      </c>
      <c r="AF5476">
        <v>7</v>
      </c>
      <c r="AG5476">
        <v>1</v>
      </c>
      <c r="AH5476">
        <v>0</v>
      </c>
      <c r="AI5476">
        <v>264.21</v>
      </c>
      <c r="AL5476" t="s">
        <v>19614</v>
      </c>
      <c r="AM5476">
        <v>33000</v>
      </c>
      <c r="AN5476" t="s">
        <v>19644</v>
      </c>
      <c r="AS5476">
        <v>0</v>
      </c>
      <c r="AU5476" t="s">
        <v>95</v>
      </c>
    </row>
    <row r="5477" spans="1:48">
      <c r="A5477" s="1">
        <f>HYPERLINK("https://lsnyc.legalserver.org/matter/dynamic-profile/view/1897535","19-1897535")</f>
        <v>0</v>
      </c>
      <c r="B5477" t="s">
        <v>70</v>
      </c>
      <c r="C5477" t="s">
        <v>256</v>
      </c>
      <c r="D5477" t="s">
        <v>318</v>
      </c>
      <c r="F5477" t="s">
        <v>1240</v>
      </c>
      <c r="G5477" t="s">
        <v>5391</v>
      </c>
      <c r="H5477" t="s">
        <v>5749</v>
      </c>
      <c r="I5477" t="s">
        <v>8960</v>
      </c>
      <c r="J5477" t="s">
        <v>9059</v>
      </c>
      <c r="K5477">
        <v>11233</v>
      </c>
      <c r="L5477" t="s">
        <v>9094</v>
      </c>
      <c r="M5477" t="s">
        <v>9096</v>
      </c>
      <c r="O5477" t="s">
        <v>11137</v>
      </c>
      <c r="P5477" t="s">
        <v>11167</v>
      </c>
      <c r="R5477" t="s">
        <v>11180</v>
      </c>
      <c r="S5477" t="s">
        <v>9094</v>
      </c>
      <c r="T5477" t="s">
        <v>11183</v>
      </c>
      <c r="U5477" t="s">
        <v>11201</v>
      </c>
      <c r="V5477" t="s">
        <v>749</v>
      </c>
      <c r="W5477">
        <v>0</v>
      </c>
      <c r="X5477" t="s">
        <v>11332</v>
      </c>
      <c r="Y5477" t="s">
        <v>11342</v>
      </c>
      <c r="Z5477" t="s">
        <v>14804</v>
      </c>
      <c r="AC5477">
        <v>359</v>
      </c>
      <c r="AD5477" t="s">
        <v>19566</v>
      </c>
      <c r="AF5477">
        <v>40</v>
      </c>
      <c r="AG5477">
        <v>1</v>
      </c>
      <c r="AH5477">
        <v>0</v>
      </c>
      <c r="AI5477">
        <v>264.21</v>
      </c>
      <c r="AL5477" t="s">
        <v>19614</v>
      </c>
      <c r="AM5477">
        <v>33000</v>
      </c>
      <c r="AN5477" t="s">
        <v>20129</v>
      </c>
      <c r="AS5477">
        <v>0</v>
      </c>
      <c r="AU5477" t="s">
        <v>95</v>
      </c>
    </row>
    <row r="5478" spans="1:48">
      <c r="A5478" s="1">
        <f>HYPERLINK("https://lsnyc.legalserver.org/matter/dynamic-profile/view/1898972","19-1898972")</f>
        <v>0</v>
      </c>
      <c r="B5478" t="s">
        <v>70</v>
      </c>
      <c r="C5478" t="s">
        <v>256</v>
      </c>
      <c r="D5478" t="s">
        <v>310</v>
      </c>
      <c r="F5478" t="s">
        <v>1145</v>
      </c>
      <c r="G5478" t="s">
        <v>3611</v>
      </c>
      <c r="H5478" t="s">
        <v>6474</v>
      </c>
      <c r="I5478" t="s">
        <v>8961</v>
      </c>
      <c r="J5478" t="s">
        <v>9059</v>
      </c>
      <c r="K5478">
        <v>11233</v>
      </c>
      <c r="L5478" t="s">
        <v>9094</v>
      </c>
      <c r="M5478" t="s">
        <v>9095</v>
      </c>
      <c r="O5478" t="s">
        <v>11137</v>
      </c>
      <c r="P5478" t="s">
        <v>11167</v>
      </c>
      <c r="R5478" t="s">
        <v>11180</v>
      </c>
      <c r="S5478" t="s">
        <v>9094</v>
      </c>
      <c r="T5478" t="s">
        <v>11183</v>
      </c>
      <c r="U5478" t="s">
        <v>11201</v>
      </c>
      <c r="V5478" t="s">
        <v>749</v>
      </c>
      <c r="W5478">
        <v>913</v>
      </c>
      <c r="X5478" t="s">
        <v>11332</v>
      </c>
      <c r="Y5478" t="s">
        <v>11157</v>
      </c>
      <c r="Z5478" t="s">
        <v>14805</v>
      </c>
      <c r="AC5478">
        <v>359</v>
      </c>
      <c r="AD5478" t="s">
        <v>19566</v>
      </c>
      <c r="AF5478">
        <v>20</v>
      </c>
      <c r="AG5478">
        <v>1</v>
      </c>
      <c r="AH5478">
        <v>0</v>
      </c>
      <c r="AI5478">
        <v>264.21</v>
      </c>
      <c r="AL5478" t="s">
        <v>19614</v>
      </c>
      <c r="AM5478">
        <v>33000</v>
      </c>
      <c r="AN5478" t="s">
        <v>20130</v>
      </c>
      <c r="AS5478">
        <v>0</v>
      </c>
      <c r="AU5478" t="s">
        <v>79</v>
      </c>
      <c r="AV5478" t="s">
        <v>9144</v>
      </c>
    </row>
    <row r="5479" spans="1:48">
      <c r="A5479" s="1">
        <f>HYPERLINK("https://lsnyc.legalserver.org/matter/dynamic-profile/view/1907792","19-1907792")</f>
        <v>0</v>
      </c>
      <c r="B5479" t="s">
        <v>78</v>
      </c>
      <c r="C5479" t="s">
        <v>256</v>
      </c>
      <c r="D5479" t="s">
        <v>396</v>
      </c>
      <c r="F5479" t="s">
        <v>1643</v>
      </c>
      <c r="G5479" t="s">
        <v>3993</v>
      </c>
      <c r="H5479" t="s">
        <v>5984</v>
      </c>
      <c r="I5479" t="s">
        <v>8133</v>
      </c>
      <c r="J5479" t="s">
        <v>9059</v>
      </c>
      <c r="K5479">
        <v>11212</v>
      </c>
      <c r="L5479" t="s">
        <v>9094</v>
      </c>
      <c r="M5479" t="s">
        <v>9095</v>
      </c>
      <c r="N5479" t="s">
        <v>9144</v>
      </c>
      <c r="O5479" t="s">
        <v>11137</v>
      </c>
      <c r="P5479" t="s">
        <v>11167</v>
      </c>
      <c r="R5479" t="s">
        <v>11180</v>
      </c>
      <c r="S5479" t="s">
        <v>9094</v>
      </c>
      <c r="T5479" t="s">
        <v>11183</v>
      </c>
      <c r="U5479" t="s">
        <v>11201</v>
      </c>
      <c r="V5479" t="s">
        <v>330</v>
      </c>
      <c r="W5479">
        <v>250</v>
      </c>
      <c r="X5479" t="s">
        <v>11332</v>
      </c>
      <c r="Y5479" t="s">
        <v>11346</v>
      </c>
      <c r="Z5479" t="s">
        <v>12497</v>
      </c>
      <c r="AB5479" t="s">
        <v>19126</v>
      </c>
      <c r="AC5479">
        <v>96</v>
      </c>
      <c r="AD5479" t="s">
        <v>19566</v>
      </c>
      <c r="AE5479" t="s">
        <v>11157</v>
      </c>
      <c r="AF5479">
        <v>2</v>
      </c>
      <c r="AG5479">
        <v>1</v>
      </c>
      <c r="AH5479">
        <v>0</v>
      </c>
      <c r="AI5479">
        <v>264.21</v>
      </c>
      <c r="AL5479" t="s">
        <v>19614</v>
      </c>
      <c r="AM5479">
        <v>33000</v>
      </c>
      <c r="AS5479">
        <v>0.75</v>
      </c>
      <c r="AT5479" t="s">
        <v>664</v>
      </c>
      <c r="AU5479" t="s">
        <v>79</v>
      </c>
      <c r="AV5479" t="s">
        <v>20733</v>
      </c>
    </row>
    <row r="5480" spans="1:48">
      <c r="A5480" s="1">
        <f>HYPERLINK("https://lsnyc.legalserver.org/matter/dynamic-profile/view/1859672","18-1859672")</f>
        <v>0</v>
      </c>
      <c r="B5480" t="s">
        <v>120</v>
      </c>
      <c r="C5480" t="s">
        <v>256</v>
      </c>
      <c r="D5480" t="s">
        <v>412</v>
      </c>
      <c r="F5480" t="s">
        <v>2851</v>
      </c>
      <c r="G5480" t="s">
        <v>4382</v>
      </c>
      <c r="H5480" t="s">
        <v>6356</v>
      </c>
      <c r="I5480">
        <v>417</v>
      </c>
      <c r="J5480" t="s">
        <v>9065</v>
      </c>
      <c r="K5480">
        <v>10453</v>
      </c>
      <c r="L5480" t="s">
        <v>9094</v>
      </c>
      <c r="M5480" t="s">
        <v>9095</v>
      </c>
      <c r="O5480" t="s">
        <v>11135</v>
      </c>
      <c r="P5480" t="s">
        <v>11168</v>
      </c>
      <c r="R5480" t="s">
        <v>11180</v>
      </c>
      <c r="S5480" t="s">
        <v>9094</v>
      </c>
      <c r="T5480" t="s">
        <v>11183</v>
      </c>
      <c r="V5480" t="s">
        <v>356</v>
      </c>
      <c r="W5480">
        <v>988</v>
      </c>
      <c r="X5480" t="s">
        <v>11333</v>
      </c>
      <c r="Y5480" t="s">
        <v>11339</v>
      </c>
      <c r="Z5480" t="s">
        <v>14806</v>
      </c>
      <c r="AB5480" t="s">
        <v>19127</v>
      </c>
      <c r="AC5480">
        <v>146</v>
      </c>
      <c r="AD5480" t="s">
        <v>19566</v>
      </c>
      <c r="AE5480" t="s">
        <v>9144</v>
      </c>
      <c r="AF5480">
        <v>7</v>
      </c>
      <c r="AG5480">
        <v>4</v>
      </c>
      <c r="AH5480">
        <v>1</v>
      </c>
      <c r="AI5480">
        <v>264.25</v>
      </c>
      <c r="AL5480" t="s">
        <v>19615</v>
      </c>
      <c r="AM5480">
        <v>93860</v>
      </c>
      <c r="AS5480">
        <v>0.6</v>
      </c>
      <c r="AT5480" t="s">
        <v>592</v>
      </c>
      <c r="AU5480" t="s">
        <v>20647</v>
      </c>
    </row>
    <row r="5481" spans="1:48">
      <c r="A5481" s="1">
        <f>HYPERLINK("https://lsnyc.legalserver.org/matter/dynamic-profile/view/1856001","18-1856001")</f>
        <v>0</v>
      </c>
      <c r="B5481" t="s">
        <v>78</v>
      </c>
      <c r="C5481" t="s">
        <v>256</v>
      </c>
      <c r="D5481" t="s">
        <v>898</v>
      </c>
      <c r="F5481" t="s">
        <v>3094</v>
      </c>
      <c r="G5481" t="s">
        <v>5392</v>
      </c>
      <c r="H5481" t="s">
        <v>6453</v>
      </c>
      <c r="I5481" t="s">
        <v>8218</v>
      </c>
      <c r="J5481" t="s">
        <v>9059</v>
      </c>
      <c r="K5481">
        <v>11206</v>
      </c>
      <c r="L5481" t="s">
        <v>9094</v>
      </c>
      <c r="M5481" t="s">
        <v>9095</v>
      </c>
      <c r="N5481" t="s">
        <v>9972</v>
      </c>
      <c r="O5481" t="s">
        <v>11134</v>
      </c>
      <c r="P5481" t="s">
        <v>11168</v>
      </c>
      <c r="R5481" t="s">
        <v>11180</v>
      </c>
      <c r="S5481" t="s">
        <v>9094</v>
      </c>
      <c r="T5481" t="s">
        <v>11183</v>
      </c>
      <c r="V5481" t="s">
        <v>977</v>
      </c>
      <c r="W5481">
        <v>435</v>
      </c>
      <c r="X5481" t="s">
        <v>11332</v>
      </c>
      <c r="Y5481" t="s">
        <v>11339</v>
      </c>
      <c r="Z5481" t="s">
        <v>14807</v>
      </c>
      <c r="AB5481" t="s">
        <v>19128</v>
      </c>
      <c r="AC5481">
        <v>29</v>
      </c>
      <c r="AD5481" t="s">
        <v>19566</v>
      </c>
      <c r="AE5481" t="s">
        <v>9144</v>
      </c>
      <c r="AF5481">
        <v>7</v>
      </c>
      <c r="AG5481">
        <v>2</v>
      </c>
      <c r="AH5481">
        <v>1</v>
      </c>
      <c r="AI5481">
        <v>264.45</v>
      </c>
      <c r="AJ5481" t="s">
        <v>11246</v>
      </c>
      <c r="AL5481" t="s">
        <v>19614</v>
      </c>
      <c r="AM5481">
        <v>54000</v>
      </c>
      <c r="AS5481">
        <v>0</v>
      </c>
      <c r="AU5481" t="s">
        <v>95</v>
      </c>
    </row>
    <row r="5482" spans="1:48">
      <c r="A5482" s="1">
        <f>HYPERLINK("https://lsnyc.legalserver.org/matter/dynamic-profile/view/1860943","18-1860943")</f>
        <v>0</v>
      </c>
      <c r="B5482" t="s">
        <v>86</v>
      </c>
      <c r="C5482" t="s">
        <v>256</v>
      </c>
      <c r="D5482" t="s">
        <v>450</v>
      </c>
      <c r="F5482" t="s">
        <v>1200</v>
      </c>
      <c r="G5482" t="s">
        <v>5393</v>
      </c>
      <c r="H5482" t="s">
        <v>7040</v>
      </c>
      <c r="I5482" t="s">
        <v>8739</v>
      </c>
      <c r="J5482" t="s">
        <v>9059</v>
      </c>
      <c r="K5482">
        <v>11226</v>
      </c>
      <c r="L5482" t="s">
        <v>9094</v>
      </c>
      <c r="M5482" t="s">
        <v>9095</v>
      </c>
      <c r="N5482" t="s">
        <v>10148</v>
      </c>
      <c r="O5482" t="s">
        <v>11152</v>
      </c>
      <c r="P5482" t="s">
        <v>11165</v>
      </c>
      <c r="R5482" t="s">
        <v>11180</v>
      </c>
      <c r="S5482" t="s">
        <v>9094</v>
      </c>
      <c r="T5482" t="s">
        <v>11183</v>
      </c>
      <c r="V5482" t="s">
        <v>11249</v>
      </c>
      <c r="W5482">
        <v>1539.49</v>
      </c>
      <c r="X5482" t="s">
        <v>11332</v>
      </c>
      <c r="Y5482" t="s">
        <v>11346</v>
      </c>
      <c r="Z5482" t="s">
        <v>14808</v>
      </c>
      <c r="AB5482" t="s">
        <v>19129</v>
      </c>
      <c r="AC5482">
        <v>61</v>
      </c>
      <c r="AD5482" t="s">
        <v>19566</v>
      </c>
      <c r="AE5482" t="s">
        <v>9144</v>
      </c>
      <c r="AF5482">
        <v>19</v>
      </c>
      <c r="AG5482">
        <v>2</v>
      </c>
      <c r="AH5482">
        <v>1</v>
      </c>
      <c r="AI5482">
        <v>264.68</v>
      </c>
      <c r="AJ5482" t="s">
        <v>11246</v>
      </c>
      <c r="AL5482" t="s">
        <v>19614</v>
      </c>
      <c r="AM5482">
        <v>55000</v>
      </c>
      <c r="AS5482">
        <v>20.3</v>
      </c>
      <c r="AT5482" t="s">
        <v>949</v>
      </c>
      <c r="AU5482" t="s">
        <v>20630</v>
      </c>
    </row>
    <row r="5483" spans="1:48">
      <c r="A5483" s="1">
        <f>HYPERLINK("https://lsnyc.legalserver.org/matter/dynamic-profile/view/1862655","18-1862655")</f>
        <v>0</v>
      </c>
      <c r="B5483" t="s">
        <v>86</v>
      </c>
      <c r="C5483" t="s">
        <v>256</v>
      </c>
      <c r="D5483" t="s">
        <v>576</v>
      </c>
      <c r="F5483" t="s">
        <v>1200</v>
      </c>
      <c r="G5483" t="s">
        <v>5393</v>
      </c>
      <c r="H5483" t="s">
        <v>7040</v>
      </c>
      <c r="I5483" t="s">
        <v>8739</v>
      </c>
      <c r="J5483" t="s">
        <v>9059</v>
      </c>
      <c r="K5483">
        <v>11226</v>
      </c>
      <c r="L5483" t="s">
        <v>9094</v>
      </c>
      <c r="M5483" t="s">
        <v>9095</v>
      </c>
      <c r="N5483" t="s">
        <v>11004</v>
      </c>
      <c r="O5483" t="s">
        <v>11135</v>
      </c>
      <c r="P5483" t="s">
        <v>11165</v>
      </c>
      <c r="R5483" t="s">
        <v>11180</v>
      </c>
      <c r="S5483" t="s">
        <v>9094</v>
      </c>
      <c r="T5483" t="s">
        <v>11183</v>
      </c>
      <c r="V5483" t="s">
        <v>576</v>
      </c>
      <c r="W5483">
        <v>1539.49</v>
      </c>
      <c r="X5483" t="s">
        <v>11332</v>
      </c>
      <c r="Y5483" t="s">
        <v>11346</v>
      </c>
      <c r="Z5483" t="s">
        <v>14808</v>
      </c>
      <c r="AB5483" t="s">
        <v>19129</v>
      </c>
      <c r="AC5483">
        <v>61</v>
      </c>
      <c r="AD5483" t="s">
        <v>19566</v>
      </c>
      <c r="AE5483" t="s">
        <v>9144</v>
      </c>
      <c r="AF5483">
        <v>19</v>
      </c>
      <c r="AG5483">
        <v>2</v>
      </c>
      <c r="AH5483">
        <v>1</v>
      </c>
      <c r="AI5483">
        <v>264.68</v>
      </c>
      <c r="AJ5483" t="s">
        <v>11246</v>
      </c>
      <c r="AK5483" t="s">
        <v>19612</v>
      </c>
      <c r="AL5483" t="s">
        <v>19614</v>
      </c>
      <c r="AM5483">
        <v>55000</v>
      </c>
      <c r="AS5483">
        <v>0.25</v>
      </c>
      <c r="AT5483" t="s">
        <v>875</v>
      </c>
      <c r="AU5483" t="s">
        <v>20630</v>
      </c>
    </row>
    <row r="5484" spans="1:48">
      <c r="A5484" s="1">
        <f>HYPERLINK("https://lsnyc.legalserver.org/matter/dynamic-profile/view/1838983","17-1838983")</f>
        <v>0</v>
      </c>
      <c r="B5484" t="s">
        <v>103</v>
      </c>
      <c r="C5484" t="s">
        <v>256</v>
      </c>
      <c r="D5484" t="s">
        <v>1059</v>
      </c>
      <c r="F5484" t="s">
        <v>1222</v>
      </c>
      <c r="G5484" t="s">
        <v>3656</v>
      </c>
      <c r="H5484" t="s">
        <v>6915</v>
      </c>
      <c r="I5484" t="s">
        <v>8962</v>
      </c>
      <c r="J5484" t="s">
        <v>9065</v>
      </c>
      <c r="K5484">
        <v>10473</v>
      </c>
      <c r="L5484" t="s">
        <v>9094</v>
      </c>
      <c r="M5484" t="s">
        <v>9095</v>
      </c>
      <c r="N5484" t="s">
        <v>10039</v>
      </c>
      <c r="O5484" t="s">
        <v>11135</v>
      </c>
      <c r="P5484" t="s">
        <v>11168</v>
      </c>
      <c r="R5484" t="s">
        <v>11180</v>
      </c>
      <c r="S5484" t="s">
        <v>9094</v>
      </c>
      <c r="T5484" t="s">
        <v>11183</v>
      </c>
      <c r="V5484" t="s">
        <v>11223</v>
      </c>
      <c r="W5484">
        <v>998</v>
      </c>
      <c r="X5484" t="s">
        <v>11333</v>
      </c>
      <c r="Y5484" t="s">
        <v>11351</v>
      </c>
      <c r="Z5484" t="s">
        <v>14809</v>
      </c>
      <c r="AB5484" t="s">
        <v>19130</v>
      </c>
      <c r="AC5484">
        <v>976</v>
      </c>
      <c r="AD5484" t="s">
        <v>19566</v>
      </c>
      <c r="AE5484" t="s">
        <v>19580</v>
      </c>
      <c r="AF5484">
        <v>38</v>
      </c>
      <c r="AG5484">
        <v>2</v>
      </c>
      <c r="AH5484">
        <v>0</v>
      </c>
      <c r="AI5484">
        <v>264.78</v>
      </c>
      <c r="AJ5484" t="s">
        <v>936</v>
      </c>
      <c r="AL5484" t="s">
        <v>19614</v>
      </c>
      <c r="AM5484">
        <v>43000</v>
      </c>
      <c r="AS5484">
        <v>0</v>
      </c>
      <c r="AU5484" t="s">
        <v>20643</v>
      </c>
    </row>
    <row r="5485" spans="1:48">
      <c r="A5485" s="1">
        <f>HYPERLINK("https://lsnyc.legalserver.org/matter/dynamic-profile/view/0830063","17-0830063")</f>
        <v>0</v>
      </c>
      <c r="B5485" t="s">
        <v>101</v>
      </c>
      <c r="C5485" t="s">
        <v>256</v>
      </c>
      <c r="D5485" t="s">
        <v>981</v>
      </c>
      <c r="F5485" t="s">
        <v>3095</v>
      </c>
      <c r="G5485" t="s">
        <v>5394</v>
      </c>
      <c r="H5485" t="s">
        <v>5898</v>
      </c>
      <c r="I5485" t="s">
        <v>8963</v>
      </c>
      <c r="J5485" t="s">
        <v>9065</v>
      </c>
      <c r="K5485">
        <v>10452</v>
      </c>
      <c r="L5485" t="s">
        <v>9094</v>
      </c>
      <c r="M5485" t="s">
        <v>9095</v>
      </c>
      <c r="N5485" t="s">
        <v>9251</v>
      </c>
      <c r="O5485" t="s">
        <v>11132</v>
      </c>
      <c r="P5485" t="s">
        <v>11165</v>
      </c>
      <c r="R5485" t="s">
        <v>11180</v>
      </c>
      <c r="S5485" t="s">
        <v>9094</v>
      </c>
      <c r="T5485" t="s">
        <v>11183</v>
      </c>
      <c r="V5485" t="s">
        <v>1070</v>
      </c>
      <c r="W5485">
        <v>1053.7</v>
      </c>
      <c r="X5485" t="s">
        <v>11333</v>
      </c>
      <c r="Y5485" t="s">
        <v>11346</v>
      </c>
      <c r="Z5485" t="s">
        <v>14810</v>
      </c>
      <c r="AB5485" t="s">
        <v>19131</v>
      </c>
      <c r="AC5485">
        <v>130</v>
      </c>
      <c r="AD5485" t="s">
        <v>19566</v>
      </c>
      <c r="AF5485">
        <v>6</v>
      </c>
      <c r="AG5485">
        <v>2</v>
      </c>
      <c r="AH5485">
        <v>0</v>
      </c>
      <c r="AI5485">
        <v>264.78</v>
      </c>
      <c r="AL5485" t="s">
        <v>19614</v>
      </c>
      <c r="AM5485">
        <v>49000</v>
      </c>
      <c r="AS5485">
        <v>0</v>
      </c>
      <c r="AU5485" t="s">
        <v>20643</v>
      </c>
    </row>
    <row r="5486" spans="1:48">
      <c r="A5486" s="1">
        <f>HYPERLINK("https://lsnyc.legalserver.org/matter/dynamic-profile/view/0830595","17-0830595")</f>
        <v>0</v>
      </c>
      <c r="B5486" t="s">
        <v>120</v>
      </c>
      <c r="C5486" t="s">
        <v>256</v>
      </c>
      <c r="D5486" t="s">
        <v>778</v>
      </c>
      <c r="F5486" t="s">
        <v>3096</v>
      </c>
      <c r="G5486" t="s">
        <v>5394</v>
      </c>
      <c r="H5486" t="s">
        <v>5898</v>
      </c>
      <c r="I5486" t="s">
        <v>8963</v>
      </c>
      <c r="J5486" t="s">
        <v>9065</v>
      </c>
      <c r="K5486">
        <v>10452</v>
      </c>
      <c r="L5486" t="s">
        <v>9094</v>
      </c>
      <c r="M5486" t="s">
        <v>9095</v>
      </c>
      <c r="N5486" t="s">
        <v>9251</v>
      </c>
      <c r="O5486" t="s">
        <v>11132</v>
      </c>
      <c r="P5486" t="s">
        <v>11165</v>
      </c>
      <c r="R5486" t="s">
        <v>11180</v>
      </c>
      <c r="S5486" t="s">
        <v>9094</v>
      </c>
      <c r="T5486" t="s">
        <v>11183</v>
      </c>
      <c r="V5486" t="s">
        <v>770</v>
      </c>
      <c r="W5486">
        <v>1053.7</v>
      </c>
      <c r="X5486" t="s">
        <v>11333</v>
      </c>
      <c r="Z5486" t="s">
        <v>13487</v>
      </c>
      <c r="AC5486">
        <v>0</v>
      </c>
      <c r="AD5486" t="s">
        <v>19566</v>
      </c>
      <c r="AF5486">
        <v>10</v>
      </c>
      <c r="AG5486">
        <v>2</v>
      </c>
      <c r="AH5486">
        <v>0</v>
      </c>
      <c r="AI5486">
        <v>264.78</v>
      </c>
      <c r="AL5486" t="s">
        <v>19614</v>
      </c>
      <c r="AM5486">
        <v>43000</v>
      </c>
      <c r="AS5486">
        <v>0.5</v>
      </c>
      <c r="AT5486" t="s">
        <v>778</v>
      </c>
      <c r="AU5486" t="s">
        <v>20643</v>
      </c>
    </row>
    <row r="5487" spans="1:48">
      <c r="A5487" s="1">
        <f>HYPERLINK("https://lsnyc.legalserver.org/matter/dynamic-profile/view/0830060","17-0830060")</f>
        <v>0</v>
      </c>
      <c r="B5487" t="s">
        <v>101</v>
      </c>
      <c r="C5487" t="s">
        <v>256</v>
      </c>
      <c r="D5487" t="s">
        <v>981</v>
      </c>
      <c r="F5487" t="s">
        <v>3095</v>
      </c>
      <c r="G5487" t="s">
        <v>5394</v>
      </c>
      <c r="H5487" t="s">
        <v>5898</v>
      </c>
      <c r="I5487" t="s">
        <v>8963</v>
      </c>
      <c r="J5487" t="s">
        <v>9065</v>
      </c>
      <c r="K5487">
        <v>10452</v>
      </c>
      <c r="L5487" t="s">
        <v>9094</v>
      </c>
      <c r="M5487" t="s">
        <v>9095</v>
      </c>
      <c r="P5487" t="s">
        <v>11166</v>
      </c>
      <c r="R5487" t="s">
        <v>11180</v>
      </c>
      <c r="S5487" t="s">
        <v>9094</v>
      </c>
      <c r="T5487" t="s">
        <v>11183</v>
      </c>
      <c r="V5487" t="s">
        <v>1070</v>
      </c>
      <c r="W5487">
        <v>1053.7</v>
      </c>
      <c r="X5487" t="s">
        <v>11333</v>
      </c>
      <c r="Y5487" t="s">
        <v>11346</v>
      </c>
      <c r="Z5487" t="s">
        <v>14810</v>
      </c>
      <c r="AB5487" t="s">
        <v>19131</v>
      </c>
      <c r="AC5487">
        <v>130</v>
      </c>
      <c r="AD5487" t="s">
        <v>19566</v>
      </c>
      <c r="AE5487" t="s">
        <v>9144</v>
      </c>
      <c r="AF5487">
        <v>6</v>
      </c>
      <c r="AG5487">
        <v>2</v>
      </c>
      <c r="AH5487">
        <v>0</v>
      </c>
      <c r="AI5487">
        <v>264.78</v>
      </c>
      <c r="AL5487" t="s">
        <v>19614</v>
      </c>
      <c r="AM5487">
        <v>43000</v>
      </c>
      <c r="AS5487">
        <v>0</v>
      </c>
      <c r="AU5487" t="s">
        <v>20643</v>
      </c>
    </row>
    <row r="5488" spans="1:48">
      <c r="A5488" s="1">
        <f>HYPERLINK("https://lsnyc.legalserver.org/matter/dynamic-profile/view/1904256","19-1904256")</f>
        <v>0</v>
      </c>
      <c r="B5488" t="s">
        <v>78</v>
      </c>
      <c r="C5488" t="s">
        <v>256</v>
      </c>
      <c r="D5488" t="s">
        <v>265</v>
      </c>
      <c r="F5488" t="s">
        <v>2598</v>
      </c>
      <c r="G5488" t="s">
        <v>5395</v>
      </c>
      <c r="H5488" t="s">
        <v>7577</v>
      </c>
      <c r="I5488" t="s">
        <v>8193</v>
      </c>
      <c r="J5488" t="s">
        <v>9059</v>
      </c>
      <c r="K5488">
        <v>11221</v>
      </c>
      <c r="L5488" t="s">
        <v>9096</v>
      </c>
      <c r="M5488" t="s">
        <v>9095</v>
      </c>
      <c r="N5488" t="s">
        <v>9154</v>
      </c>
      <c r="O5488" t="s">
        <v>11137</v>
      </c>
      <c r="P5488" t="s">
        <v>11167</v>
      </c>
      <c r="R5488" t="s">
        <v>11180</v>
      </c>
      <c r="S5488" t="s">
        <v>9094</v>
      </c>
      <c r="T5488" t="s">
        <v>11186</v>
      </c>
      <c r="U5488" t="s">
        <v>11201</v>
      </c>
      <c r="V5488" t="s">
        <v>635</v>
      </c>
      <c r="W5488">
        <v>732</v>
      </c>
      <c r="X5488" t="s">
        <v>11332</v>
      </c>
      <c r="Y5488" t="s">
        <v>11346</v>
      </c>
      <c r="Z5488" t="s">
        <v>14210</v>
      </c>
      <c r="AA5488" t="s">
        <v>9144</v>
      </c>
      <c r="AB5488" t="s">
        <v>19132</v>
      </c>
      <c r="AC5488">
        <v>13</v>
      </c>
      <c r="AD5488" t="s">
        <v>19566</v>
      </c>
      <c r="AE5488" t="s">
        <v>9144</v>
      </c>
      <c r="AF5488">
        <v>25</v>
      </c>
      <c r="AG5488">
        <v>3</v>
      </c>
      <c r="AH5488">
        <v>2</v>
      </c>
      <c r="AI5488">
        <v>265.16</v>
      </c>
      <c r="AL5488" t="s">
        <v>19614</v>
      </c>
      <c r="AM5488">
        <v>80000</v>
      </c>
      <c r="AS5488">
        <v>0</v>
      </c>
      <c r="AU5488" t="s">
        <v>95</v>
      </c>
      <c r="AV5488" t="s">
        <v>9144</v>
      </c>
    </row>
    <row r="5489" spans="1:48">
      <c r="A5489" s="1">
        <f>HYPERLINK("https://lsnyc.legalserver.org/matter/dynamic-profile/view/1895326","19-1895326")</f>
        <v>0</v>
      </c>
      <c r="B5489" t="s">
        <v>74</v>
      </c>
      <c r="C5489" t="s">
        <v>256</v>
      </c>
      <c r="D5489" t="s">
        <v>264</v>
      </c>
      <c r="F5489" t="s">
        <v>2598</v>
      </c>
      <c r="G5489" t="s">
        <v>5395</v>
      </c>
      <c r="H5489" t="s">
        <v>7577</v>
      </c>
      <c r="I5489" t="s">
        <v>8193</v>
      </c>
      <c r="J5489" t="s">
        <v>9059</v>
      </c>
      <c r="K5489">
        <v>11221</v>
      </c>
      <c r="L5489" t="s">
        <v>9094</v>
      </c>
      <c r="M5489" t="s">
        <v>9096</v>
      </c>
      <c r="O5489" t="s">
        <v>11141</v>
      </c>
      <c r="P5489" t="s">
        <v>11170</v>
      </c>
      <c r="R5489" t="s">
        <v>11180</v>
      </c>
      <c r="S5489" t="s">
        <v>9094</v>
      </c>
      <c r="T5489" t="s">
        <v>11185</v>
      </c>
      <c r="V5489" t="s">
        <v>264</v>
      </c>
      <c r="W5489">
        <v>732</v>
      </c>
      <c r="X5489" t="s">
        <v>11332</v>
      </c>
      <c r="Y5489" t="s">
        <v>11346</v>
      </c>
      <c r="Z5489" t="s">
        <v>14210</v>
      </c>
      <c r="AA5489" t="s">
        <v>9144</v>
      </c>
      <c r="AB5489" t="s">
        <v>19132</v>
      </c>
      <c r="AC5489">
        <v>13</v>
      </c>
      <c r="AD5489" t="s">
        <v>19566</v>
      </c>
      <c r="AE5489" t="s">
        <v>9144</v>
      </c>
      <c r="AF5489">
        <v>25</v>
      </c>
      <c r="AG5489">
        <v>3</v>
      </c>
      <c r="AH5489">
        <v>2</v>
      </c>
      <c r="AI5489">
        <v>265.16</v>
      </c>
      <c r="AL5489" t="s">
        <v>19614</v>
      </c>
      <c r="AM5489">
        <v>80000</v>
      </c>
      <c r="AN5489" t="s">
        <v>20131</v>
      </c>
      <c r="AS5489">
        <v>0</v>
      </c>
      <c r="AU5489" t="s">
        <v>95</v>
      </c>
      <c r="AV5489" t="s">
        <v>20733</v>
      </c>
    </row>
    <row r="5490" spans="1:48">
      <c r="A5490" s="1">
        <f>HYPERLINK("https://lsnyc.legalserver.org/matter/dynamic-profile/view/1906387","19-1906387")</f>
        <v>0</v>
      </c>
      <c r="B5490" t="s">
        <v>139</v>
      </c>
      <c r="C5490" t="s">
        <v>256</v>
      </c>
      <c r="D5490" t="s">
        <v>493</v>
      </c>
      <c r="F5490" t="s">
        <v>2598</v>
      </c>
      <c r="G5490" t="s">
        <v>3571</v>
      </c>
      <c r="H5490" t="s">
        <v>7528</v>
      </c>
      <c r="I5490">
        <v>41</v>
      </c>
      <c r="J5490" t="s">
        <v>9067</v>
      </c>
      <c r="K5490">
        <v>10032</v>
      </c>
      <c r="L5490" t="s">
        <v>9094</v>
      </c>
      <c r="M5490" t="s">
        <v>9095</v>
      </c>
      <c r="O5490" t="s">
        <v>11130</v>
      </c>
      <c r="P5490" t="s">
        <v>11166</v>
      </c>
      <c r="R5490" t="s">
        <v>11180</v>
      </c>
      <c r="S5490" t="s">
        <v>9094</v>
      </c>
      <c r="T5490" t="s">
        <v>11183</v>
      </c>
      <c r="V5490" t="s">
        <v>493</v>
      </c>
      <c r="W5490">
        <v>1600</v>
      </c>
      <c r="X5490" t="s">
        <v>11335</v>
      </c>
      <c r="Y5490" t="s">
        <v>11338</v>
      </c>
      <c r="Z5490" t="s">
        <v>14811</v>
      </c>
      <c r="AB5490" t="s">
        <v>19133</v>
      </c>
      <c r="AC5490">
        <v>46</v>
      </c>
      <c r="AD5490" t="s">
        <v>19566</v>
      </c>
      <c r="AE5490" t="s">
        <v>9144</v>
      </c>
      <c r="AF5490">
        <v>30</v>
      </c>
      <c r="AG5490">
        <v>2</v>
      </c>
      <c r="AH5490">
        <v>3</v>
      </c>
      <c r="AI5490">
        <v>265.16</v>
      </c>
      <c r="AJ5490" t="s">
        <v>404</v>
      </c>
      <c r="AK5490" t="s">
        <v>19612</v>
      </c>
      <c r="AL5490" t="s">
        <v>19614</v>
      </c>
      <c r="AM5490">
        <v>80000</v>
      </c>
      <c r="AS5490">
        <v>0</v>
      </c>
      <c r="AU5490" t="s">
        <v>130</v>
      </c>
      <c r="AV5490" t="s">
        <v>20733</v>
      </c>
    </row>
    <row r="5491" spans="1:48">
      <c r="A5491" s="1">
        <f>HYPERLINK("https://lsnyc.legalserver.org/matter/dynamic-profile/view/1846958","17-1846958")</f>
        <v>0</v>
      </c>
      <c r="B5491" t="s">
        <v>111</v>
      </c>
      <c r="C5491" t="s">
        <v>256</v>
      </c>
      <c r="D5491" t="s">
        <v>1112</v>
      </c>
      <c r="F5491" t="s">
        <v>1858</v>
      </c>
      <c r="G5491" t="s">
        <v>5201</v>
      </c>
      <c r="H5491" t="s">
        <v>7975</v>
      </c>
      <c r="I5491" t="s">
        <v>8315</v>
      </c>
      <c r="J5491" t="s">
        <v>9065</v>
      </c>
      <c r="K5491">
        <v>10469</v>
      </c>
      <c r="L5491" t="s">
        <v>9094</v>
      </c>
      <c r="M5491" t="s">
        <v>9095</v>
      </c>
      <c r="N5491" t="s">
        <v>11005</v>
      </c>
      <c r="O5491" t="s">
        <v>11128</v>
      </c>
      <c r="P5491" t="s">
        <v>11165</v>
      </c>
      <c r="R5491" t="s">
        <v>11181</v>
      </c>
      <c r="S5491" t="s">
        <v>9096</v>
      </c>
      <c r="T5491" t="s">
        <v>11183</v>
      </c>
      <c r="U5491" t="s">
        <v>11201</v>
      </c>
      <c r="V5491" t="s">
        <v>11232</v>
      </c>
      <c r="W5491">
        <v>0.01</v>
      </c>
      <c r="X5491" t="s">
        <v>11333</v>
      </c>
      <c r="Y5491" t="s">
        <v>11337</v>
      </c>
      <c r="Z5491" t="s">
        <v>14812</v>
      </c>
      <c r="AB5491" t="s">
        <v>19134</v>
      </c>
      <c r="AC5491">
        <v>4</v>
      </c>
      <c r="AD5491" t="s">
        <v>19565</v>
      </c>
      <c r="AE5491" t="s">
        <v>9144</v>
      </c>
      <c r="AF5491">
        <v>2</v>
      </c>
      <c r="AG5491">
        <v>1</v>
      </c>
      <c r="AH5491">
        <v>0</v>
      </c>
      <c r="AI5491">
        <v>265.34</v>
      </c>
      <c r="AJ5491" t="s">
        <v>19591</v>
      </c>
      <c r="AK5491" t="s">
        <v>19608</v>
      </c>
      <c r="AL5491" t="s">
        <v>19614</v>
      </c>
      <c r="AM5491">
        <v>32000</v>
      </c>
      <c r="AS5491">
        <v>187.05</v>
      </c>
      <c r="AT5491" t="s">
        <v>499</v>
      </c>
      <c r="AU5491" t="s">
        <v>228</v>
      </c>
    </row>
    <row r="5492" spans="1:48">
      <c r="A5492" s="1">
        <f>HYPERLINK("https://lsnyc.legalserver.org/matter/dynamic-profile/view/1839686","17-1839686")</f>
        <v>0</v>
      </c>
      <c r="B5492" t="s">
        <v>108</v>
      </c>
      <c r="C5492" t="s">
        <v>256</v>
      </c>
      <c r="D5492" t="s">
        <v>770</v>
      </c>
      <c r="F5492" t="s">
        <v>3097</v>
      </c>
      <c r="G5492" t="s">
        <v>3499</v>
      </c>
      <c r="H5492" t="s">
        <v>5897</v>
      </c>
      <c r="I5492" t="s">
        <v>8134</v>
      </c>
      <c r="J5492" t="s">
        <v>9065</v>
      </c>
      <c r="K5492">
        <v>10452</v>
      </c>
      <c r="L5492" t="s">
        <v>9094</v>
      </c>
      <c r="M5492" t="s">
        <v>9095</v>
      </c>
      <c r="N5492" t="s">
        <v>9250</v>
      </c>
      <c r="O5492" t="s">
        <v>11132</v>
      </c>
      <c r="P5492" t="s">
        <v>11165</v>
      </c>
      <c r="R5492" t="s">
        <v>11180</v>
      </c>
      <c r="S5492" t="s">
        <v>9094</v>
      </c>
      <c r="T5492" t="s">
        <v>11183</v>
      </c>
      <c r="V5492" t="s">
        <v>770</v>
      </c>
      <c r="W5492">
        <v>918.4</v>
      </c>
      <c r="X5492" t="s">
        <v>11333</v>
      </c>
      <c r="Y5492" t="s">
        <v>11346</v>
      </c>
      <c r="Z5492" t="s">
        <v>14813</v>
      </c>
      <c r="AB5492" t="s">
        <v>19135</v>
      </c>
      <c r="AC5492">
        <v>0</v>
      </c>
      <c r="AD5492" t="s">
        <v>19566</v>
      </c>
      <c r="AF5492">
        <v>22</v>
      </c>
      <c r="AG5492">
        <v>1</v>
      </c>
      <c r="AH5492">
        <v>0</v>
      </c>
      <c r="AI5492">
        <v>265.34</v>
      </c>
      <c r="AL5492" t="s">
        <v>19615</v>
      </c>
      <c r="AM5492">
        <v>32000</v>
      </c>
      <c r="AS5492">
        <v>0.5</v>
      </c>
      <c r="AT5492" t="s">
        <v>770</v>
      </c>
      <c r="AU5492" t="s">
        <v>20643</v>
      </c>
    </row>
    <row r="5493" spans="1:48">
      <c r="A5493" s="1">
        <f>HYPERLINK("https://lsnyc.legalserver.org/matter/dynamic-profile/view/1841135","17-1841135")</f>
        <v>0</v>
      </c>
      <c r="B5493" t="s">
        <v>108</v>
      </c>
      <c r="C5493" t="s">
        <v>256</v>
      </c>
      <c r="D5493" t="s">
        <v>770</v>
      </c>
      <c r="F5493" t="s">
        <v>3097</v>
      </c>
      <c r="G5493" t="s">
        <v>3499</v>
      </c>
      <c r="H5493" t="s">
        <v>5897</v>
      </c>
      <c r="I5493" t="s">
        <v>8134</v>
      </c>
      <c r="J5493" t="s">
        <v>9065</v>
      </c>
      <c r="K5493">
        <v>10452</v>
      </c>
      <c r="L5493" t="s">
        <v>9094</v>
      </c>
      <c r="M5493" t="s">
        <v>9095</v>
      </c>
      <c r="O5493" t="s">
        <v>11135</v>
      </c>
      <c r="P5493" t="s">
        <v>11168</v>
      </c>
      <c r="R5493" t="s">
        <v>11180</v>
      </c>
      <c r="S5493" t="s">
        <v>9094</v>
      </c>
      <c r="T5493" t="s">
        <v>11183</v>
      </c>
      <c r="V5493" t="s">
        <v>770</v>
      </c>
      <c r="W5493">
        <v>918.4</v>
      </c>
      <c r="X5493" t="s">
        <v>11333</v>
      </c>
      <c r="Y5493" t="s">
        <v>11346</v>
      </c>
      <c r="Z5493" t="s">
        <v>14813</v>
      </c>
      <c r="AB5493" t="s">
        <v>19135</v>
      </c>
      <c r="AC5493">
        <v>122</v>
      </c>
      <c r="AD5493" t="s">
        <v>19566</v>
      </c>
      <c r="AE5493" t="s">
        <v>9144</v>
      </c>
      <c r="AF5493">
        <v>22</v>
      </c>
      <c r="AG5493">
        <v>1</v>
      </c>
      <c r="AH5493">
        <v>0</v>
      </c>
      <c r="AI5493">
        <v>265.34</v>
      </c>
      <c r="AL5493" t="s">
        <v>19615</v>
      </c>
      <c r="AM5493">
        <v>32000</v>
      </c>
      <c r="AS5493">
        <v>0</v>
      </c>
      <c r="AU5493" t="s">
        <v>20647</v>
      </c>
    </row>
    <row r="5494" spans="1:48">
      <c r="A5494" s="1">
        <f>HYPERLINK("https://lsnyc.legalserver.org/matter/dynamic-profile/view/1857438","18-1857438")</f>
        <v>0</v>
      </c>
      <c r="B5494" t="s">
        <v>108</v>
      </c>
      <c r="C5494" t="s">
        <v>256</v>
      </c>
      <c r="D5494" t="s">
        <v>468</v>
      </c>
      <c r="F5494" t="s">
        <v>3097</v>
      </c>
      <c r="G5494" t="s">
        <v>3499</v>
      </c>
      <c r="H5494" t="s">
        <v>5897</v>
      </c>
      <c r="I5494" t="s">
        <v>8134</v>
      </c>
      <c r="J5494" t="s">
        <v>9065</v>
      </c>
      <c r="K5494">
        <v>10452</v>
      </c>
      <c r="L5494" t="s">
        <v>9094</v>
      </c>
      <c r="M5494" t="s">
        <v>9095</v>
      </c>
      <c r="N5494" t="s">
        <v>9253</v>
      </c>
      <c r="O5494" t="s">
        <v>11135</v>
      </c>
      <c r="P5494" t="s">
        <v>11168</v>
      </c>
      <c r="R5494" t="s">
        <v>11180</v>
      </c>
      <c r="S5494" t="s">
        <v>9094</v>
      </c>
      <c r="T5494" t="s">
        <v>11183</v>
      </c>
      <c r="V5494" t="s">
        <v>11233</v>
      </c>
      <c r="W5494">
        <v>918.4</v>
      </c>
      <c r="X5494" t="s">
        <v>11333</v>
      </c>
      <c r="Y5494" t="s">
        <v>11346</v>
      </c>
      <c r="Z5494" t="s">
        <v>14813</v>
      </c>
      <c r="AB5494" t="s">
        <v>19135</v>
      </c>
      <c r="AC5494">
        <v>122</v>
      </c>
      <c r="AD5494" t="s">
        <v>19566</v>
      </c>
      <c r="AE5494" t="s">
        <v>9144</v>
      </c>
      <c r="AF5494">
        <v>22</v>
      </c>
      <c r="AG5494">
        <v>1</v>
      </c>
      <c r="AH5494">
        <v>0</v>
      </c>
      <c r="AI5494">
        <v>265.34</v>
      </c>
      <c r="AL5494" t="s">
        <v>19615</v>
      </c>
      <c r="AM5494">
        <v>32000</v>
      </c>
      <c r="AS5494">
        <v>0</v>
      </c>
      <c r="AU5494" t="s">
        <v>20647</v>
      </c>
    </row>
    <row r="5495" spans="1:48">
      <c r="A5495" s="1">
        <f>HYPERLINK("https://lsnyc.legalserver.org/matter/dynamic-profile/view/1867589","18-1867589")</f>
        <v>0</v>
      </c>
      <c r="B5495" t="s">
        <v>114</v>
      </c>
      <c r="C5495" t="s">
        <v>256</v>
      </c>
      <c r="D5495" t="s">
        <v>578</v>
      </c>
      <c r="F5495" t="s">
        <v>3098</v>
      </c>
      <c r="G5495" t="s">
        <v>5215</v>
      </c>
      <c r="H5495" t="s">
        <v>7976</v>
      </c>
      <c r="I5495" t="s">
        <v>8264</v>
      </c>
      <c r="J5495" t="s">
        <v>9065</v>
      </c>
      <c r="K5495">
        <v>10453</v>
      </c>
      <c r="L5495" t="s">
        <v>9094</v>
      </c>
      <c r="M5495" t="s">
        <v>9094</v>
      </c>
      <c r="N5495" t="s">
        <v>11006</v>
      </c>
      <c r="O5495" t="s">
        <v>11128</v>
      </c>
      <c r="P5495" t="s">
        <v>11165</v>
      </c>
      <c r="R5495" t="s">
        <v>11180</v>
      </c>
      <c r="S5495" t="s">
        <v>9096</v>
      </c>
      <c r="T5495" t="s">
        <v>11183</v>
      </c>
      <c r="V5495" t="s">
        <v>921</v>
      </c>
      <c r="W5495">
        <v>1649.53</v>
      </c>
      <c r="X5495" t="s">
        <v>11333</v>
      </c>
      <c r="Y5495" t="s">
        <v>11340</v>
      </c>
      <c r="Z5495" t="s">
        <v>14814</v>
      </c>
      <c r="AB5495" t="s">
        <v>19136</v>
      </c>
      <c r="AC5495">
        <v>66</v>
      </c>
      <c r="AD5495" t="s">
        <v>19566</v>
      </c>
      <c r="AE5495" t="s">
        <v>9144</v>
      </c>
      <c r="AF5495">
        <v>20</v>
      </c>
      <c r="AG5495">
        <v>2</v>
      </c>
      <c r="AH5495">
        <v>0</v>
      </c>
      <c r="AI5495">
        <v>265.95</v>
      </c>
      <c r="AJ5495" t="s">
        <v>11246</v>
      </c>
      <c r="AL5495" t="s">
        <v>19614</v>
      </c>
      <c r="AM5495">
        <v>43776</v>
      </c>
      <c r="AN5495" t="s">
        <v>20132</v>
      </c>
      <c r="AS5495">
        <v>14.25</v>
      </c>
      <c r="AT5495" t="s">
        <v>349</v>
      </c>
      <c r="AU5495" t="s">
        <v>20642</v>
      </c>
    </row>
    <row r="5496" spans="1:48">
      <c r="A5496" s="1">
        <f>HYPERLINK("https://lsnyc.legalserver.org/matter/dynamic-profile/view/0826976","17-0826976")</f>
        <v>0</v>
      </c>
      <c r="B5496" t="s">
        <v>139</v>
      </c>
      <c r="C5496" t="s">
        <v>256</v>
      </c>
      <c r="D5496" t="s">
        <v>858</v>
      </c>
      <c r="F5496" t="s">
        <v>1145</v>
      </c>
      <c r="G5496" t="s">
        <v>5396</v>
      </c>
      <c r="H5496" t="s">
        <v>6363</v>
      </c>
      <c r="I5496" t="s">
        <v>8964</v>
      </c>
      <c r="J5496" t="s">
        <v>9067</v>
      </c>
      <c r="K5496">
        <v>10040</v>
      </c>
      <c r="L5496" t="s">
        <v>9094</v>
      </c>
      <c r="M5496" t="s">
        <v>9095</v>
      </c>
      <c r="N5496" t="s">
        <v>9887</v>
      </c>
      <c r="O5496" t="s">
        <v>11130</v>
      </c>
      <c r="P5496" t="s">
        <v>11165</v>
      </c>
      <c r="R5496" t="s">
        <v>11180</v>
      </c>
      <c r="S5496" t="s">
        <v>9094</v>
      </c>
      <c r="T5496" t="s">
        <v>11183</v>
      </c>
      <c r="V5496" t="s">
        <v>866</v>
      </c>
      <c r="W5496">
        <v>965</v>
      </c>
      <c r="X5496" t="s">
        <v>11335</v>
      </c>
      <c r="Y5496" t="s">
        <v>11339</v>
      </c>
      <c r="Z5496" t="s">
        <v>14815</v>
      </c>
      <c r="AB5496" t="s">
        <v>19137</v>
      </c>
      <c r="AC5496">
        <v>83</v>
      </c>
      <c r="AD5496" t="s">
        <v>19566</v>
      </c>
      <c r="AE5496" t="s">
        <v>9144</v>
      </c>
      <c r="AF5496">
        <v>16</v>
      </c>
      <c r="AG5496">
        <v>2</v>
      </c>
      <c r="AH5496">
        <v>0</v>
      </c>
      <c r="AI5496">
        <v>266.01</v>
      </c>
      <c r="AJ5496" t="s">
        <v>11246</v>
      </c>
      <c r="AL5496" t="s">
        <v>19614</v>
      </c>
      <c r="AM5496">
        <v>43200</v>
      </c>
      <c r="AS5496">
        <v>0</v>
      </c>
      <c r="AT5496" t="s">
        <v>537</v>
      </c>
      <c r="AU5496" t="s">
        <v>20657</v>
      </c>
    </row>
    <row r="5497" spans="1:48">
      <c r="A5497" s="1">
        <f>HYPERLINK("https://lsnyc.legalserver.org/matter/dynamic-profile/view/1897345","19-1897345")</f>
        <v>0</v>
      </c>
      <c r="B5497" t="s">
        <v>70</v>
      </c>
      <c r="C5497" t="s">
        <v>256</v>
      </c>
      <c r="D5497" t="s">
        <v>434</v>
      </c>
      <c r="F5497" t="s">
        <v>1280</v>
      </c>
      <c r="G5497" t="s">
        <v>5397</v>
      </c>
      <c r="H5497" t="s">
        <v>5749</v>
      </c>
      <c r="I5497" t="s">
        <v>8467</v>
      </c>
      <c r="J5497" t="s">
        <v>9059</v>
      </c>
      <c r="K5497">
        <v>11233</v>
      </c>
      <c r="L5497" t="s">
        <v>9094</v>
      </c>
      <c r="M5497" t="s">
        <v>9096</v>
      </c>
      <c r="N5497" t="s">
        <v>9146</v>
      </c>
      <c r="O5497" t="s">
        <v>11134</v>
      </c>
      <c r="P5497" t="s">
        <v>11168</v>
      </c>
      <c r="R5497" t="s">
        <v>11180</v>
      </c>
      <c r="S5497" t="s">
        <v>9094</v>
      </c>
      <c r="T5497" t="s">
        <v>11183</v>
      </c>
      <c r="U5497" t="s">
        <v>11201</v>
      </c>
      <c r="V5497" t="s">
        <v>482</v>
      </c>
      <c r="W5497">
        <v>780</v>
      </c>
      <c r="X5497" t="s">
        <v>11332</v>
      </c>
      <c r="Y5497" t="s">
        <v>11342</v>
      </c>
      <c r="Z5497" t="s">
        <v>14816</v>
      </c>
      <c r="AC5497">
        <v>359</v>
      </c>
      <c r="AD5497" t="s">
        <v>19566</v>
      </c>
      <c r="AF5497">
        <v>21</v>
      </c>
      <c r="AG5497">
        <v>2</v>
      </c>
      <c r="AH5497">
        <v>0</v>
      </c>
      <c r="AI5497">
        <v>266.11</v>
      </c>
      <c r="AL5497" t="s">
        <v>19614</v>
      </c>
      <c r="AM5497">
        <v>45000</v>
      </c>
      <c r="AN5497" t="s">
        <v>20133</v>
      </c>
      <c r="AS5497">
        <v>0</v>
      </c>
      <c r="AU5497" t="s">
        <v>95</v>
      </c>
    </row>
    <row r="5498" spans="1:48">
      <c r="A5498" s="1">
        <f>HYPERLINK("https://lsnyc.legalserver.org/matter/dynamic-profile/view/1897349","19-1897349")</f>
        <v>0</v>
      </c>
      <c r="B5498" t="s">
        <v>70</v>
      </c>
      <c r="C5498" t="s">
        <v>256</v>
      </c>
      <c r="D5498" t="s">
        <v>434</v>
      </c>
      <c r="F5498" t="s">
        <v>1280</v>
      </c>
      <c r="G5498" t="s">
        <v>5397</v>
      </c>
      <c r="H5498" t="s">
        <v>5749</v>
      </c>
      <c r="I5498" t="s">
        <v>8467</v>
      </c>
      <c r="J5498" t="s">
        <v>9059</v>
      </c>
      <c r="K5498">
        <v>11233</v>
      </c>
      <c r="L5498" t="s">
        <v>9094</v>
      </c>
      <c r="M5498" t="s">
        <v>9096</v>
      </c>
      <c r="O5498" t="s">
        <v>11137</v>
      </c>
      <c r="P5498" t="s">
        <v>11167</v>
      </c>
      <c r="R5498" t="s">
        <v>11180</v>
      </c>
      <c r="S5498" t="s">
        <v>9094</v>
      </c>
      <c r="T5498" t="s">
        <v>11183</v>
      </c>
      <c r="U5498" t="s">
        <v>11201</v>
      </c>
      <c r="V5498" t="s">
        <v>749</v>
      </c>
      <c r="W5498">
        <v>780</v>
      </c>
      <c r="X5498" t="s">
        <v>11332</v>
      </c>
      <c r="Y5498" t="s">
        <v>11342</v>
      </c>
      <c r="Z5498" t="s">
        <v>14816</v>
      </c>
      <c r="AC5498">
        <v>359</v>
      </c>
      <c r="AD5498" t="s">
        <v>19566</v>
      </c>
      <c r="AF5498">
        <v>21</v>
      </c>
      <c r="AG5498">
        <v>2</v>
      </c>
      <c r="AH5498">
        <v>0</v>
      </c>
      <c r="AI5498">
        <v>266.11</v>
      </c>
      <c r="AL5498" t="s">
        <v>19614</v>
      </c>
      <c r="AM5498">
        <v>45000</v>
      </c>
      <c r="AS5498">
        <v>0</v>
      </c>
      <c r="AU5498" t="s">
        <v>95</v>
      </c>
    </row>
    <row r="5499" spans="1:48">
      <c r="A5499" s="1">
        <f>HYPERLINK("https://lsnyc.legalserver.org/matter/dynamic-profile/view/1905794","19-1905794")</f>
        <v>0</v>
      </c>
      <c r="B5499" t="s">
        <v>78</v>
      </c>
      <c r="C5499" t="s">
        <v>256</v>
      </c>
      <c r="D5499" t="s">
        <v>328</v>
      </c>
      <c r="F5499" t="s">
        <v>1755</v>
      </c>
      <c r="G5499" t="s">
        <v>4730</v>
      </c>
      <c r="H5499" t="s">
        <v>7577</v>
      </c>
      <c r="I5499" t="s">
        <v>8134</v>
      </c>
      <c r="J5499" t="s">
        <v>9059</v>
      </c>
      <c r="K5499">
        <v>11221</v>
      </c>
      <c r="L5499" t="s">
        <v>9094</v>
      </c>
      <c r="M5499" t="s">
        <v>9095</v>
      </c>
      <c r="N5499" t="s">
        <v>9121</v>
      </c>
      <c r="O5499" t="s">
        <v>9121</v>
      </c>
      <c r="P5499" t="s">
        <v>11167</v>
      </c>
      <c r="R5499" t="s">
        <v>11180</v>
      </c>
      <c r="S5499" t="s">
        <v>9094</v>
      </c>
      <c r="T5499" t="s">
        <v>11183</v>
      </c>
      <c r="U5499" t="s">
        <v>11201</v>
      </c>
      <c r="V5499" t="s">
        <v>512</v>
      </c>
      <c r="W5499">
        <v>863.91</v>
      </c>
      <c r="X5499" t="s">
        <v>11332</v>
      </c>
      <c r="Y5499" t="s">
        <v>11157</v>
      </c>
      <c r="Z5499" t="s">
        <v>14817</v>
      </c>
      <c r="AA5499" t="s">
        <v>9144</v>
      </c>
      <c r="AB5499" t="s">
        <v>19138</v>
      </c>
      <c r="AC5499">
        <v>16</v>
      </c>
      <c r="AD5499" t="s">
        <v>19566</v>
      </c>
      <c r="AE5499" t="s">
        <v>9144</v>
      </c>
      <c r="AF5499">
        <v>25</v>
      </c>
      <c r="AG5499">
        <v>1</v>
      </c>
      <c r="AH5499">
        <v>1</v>
      </c>
      <c r="AI5499">
        <v>266.11</v>
      </c>
      <c r="AL5499" t="s">
        <v>19614</v>
      </c>
      <c r="AM5499">
        <v>45000</v>
      </c>
      <c r="AN5499" t="s">
        <v>20134</v>
      </c>
      <c r="AS5499">
        <v>0</v>
      </c>
      <c r="AU5499" t="s">
        <v>79</v>
      </c>
      <c r="AV5499" t="s">
        <v>20733</v>
      </c>
    </row>
    <row r="5500" spans="1:48">
      <c r="A5500" s="1">
        <f>HYPERLINK("https://lsnyc.legalserver.org/matter/dynamic-profile/view/1904947","19-1904947")</f>
        <v>0</v>
      </c>
      <c r="B5500" t="s">
        <v>91</v>
      </c>
      <c r="C5500" t="s">
        <v>256</v>
      </c>
      <c r="D5500" t="s">
        <v>660</v>
      </c>
      <c r="F5500" t="s">
        <v>1755</v>
      </c>
      <c r="G5500" t="s">
        <v>4730</v>
      </c>
      <c r="H5500" t="s">
        <v>7577</v>
      </c>
      <c r="I5500" t="s">
        <v>8134</v>
      </c>
      <c r="J5500" t="s">
        <v>9059</v>
      </c>
      <c r="K5500">
        <v>11221</v>
      </c>
      <c r="L5500" t="s">
        <v>9094</v>
      </c>
      <c r="M5500" t="s">
        <v>9095</v>
      </c>
      <c r="N5500" t="s">
        <v>9144</v>
      </c>
      <c r="O5500" t="s">
        <v>11137</v>
      </c>
      <c r="P5500" t="s">
        <v>11167</v>
      </c>
      <c r="R5500" t="s">
        <v>11180</v>
      </c>
      <c r="S5500" t="s">
        <v>9094</v>
      </c>
      <c r="T5500" t="s">
        <v>11186</v>
      </c>
      <c r="U5500" t="s">
        <v>11201</v>
      </c>
      <c r="V5500" t="s">
        <v>635</v>
      </c>
      <c r="W5500">
        <v>863.91</v>
      </c>
      <c r="X5500" t="s">
        <v>11332</v>
      </c>
      <c r="Y5500" t="s">
        <v>11157</v>
      </c>
      <c r="Z5500" t="s">
        <v>14817</v>
      </c>
      <c r="AB5500" t="s">
        <v>19138</v>
      </c>
      <c r="AC5500">
        <v>16</v>
      </c>
      <c r="AD5500" t="s">
        <v>19566</v>
      </c>
      <c r="AE5500" t="s">
        <v>9144</v>
      </c>
      <c r="AF5500">
        <v>25</v>
      </c>
      <c r="AG5500">
        <v>1</v>
      </c>
      <c r="AH5500">
        <v>1</v>
      </c>
      <c r="AI5500">
        <v>266.11</v>
      </c>
      <c r="AL5500" t="s">
        <v>19614</v>
      </c>
      <c r="AM5500">
        <v>45000</v>
      </c>
      <c r="AN5500" t="s">
        <v>20135</v>
      </c>
      <c r="AS5500">
        <v>0</v>
      </c>
      <c r="AU5500" t="s">
        <v>79</v>
      </c>
      <c r="AV5500" t="s">
        <v>20733</v>
      </c>
    </row>
    <row r="5501" spans="1:48">
      <c r="A5501" s="1">
        <f>HYPERLINK("https://lsnyc.legalserver.org/matter/dynamic-profile/view/1904941","19-1904941")</f>
        <v>0</v>
      </c>
      <c r="B5501" t="s">
        <v>91</v>
      </c>
      <c r="C5501" t="s">
        <v>256</v>
      </c>
      <c r="D5501" t="s">
        <v>660</v>
      </c>
      <c r="F5501" t="s">
        <v>1755</v>
      </c>
      <c r="G5501" t="s">
        <v>4730</v>
      </c>
      <c r="H5501" t="s">
        <v>7577</v>
      </c>
      <c r="I5501" t="s">
        <v>8134</v>
      </c>
      <c r="J5501" t="s">
        <v>9059</v>
      </c>
      <c r="K5501">
        <v>11221</v>
      </c>
      <c r="L5501" t="s">
        <v>9094</v>
      </c>
      <c r="M5501" t="s">
        <v>9095</v>
      </c>
      <c r="N5501" t="s">
        <v>9144</v>
      </c>
      <c r="O5501" t="s">
        <v>11141</v>
      </c>
      <c r="P5501" t="s">
        <v>11170</v>
      </c>
      <c r="R5501" t="s">
        <v>11180</v>
      </c>
      <c r="S5501" t="s">
        <v>9094</v>
      </c>
      <c r="T5501" t="s">
        <v>11185</v>
      </c>
      <c r="U5501" t="s">
        <v>11201</v>
      </c>
      <c r="V5501" t="s">
        <v>610</v>
      </c>
      <c r="W5501">
        <v>863.91</v>
      </c>
      <c r="X5501" t="s">
        <v>11332</v>
      </c>
      <c r="Y5501" t="s">
        <v>11157</v>
      </c>
      <c r="Z5501" t="s">
        <v>14817</v>
      </c>
      <c r="AB5501" t="s">
        <v>19138</v>
      </c>
      <c r="AC5501">
        <v>16</v>
      </c>
      <c r="AD5501" t="s">
        <v>19566</v>
      </c>
      <c r="AE5501" t="s">
        <v>9144</v>
      </c>
      <c r="AF5501">
        <v>25</v>
      </c>
      <c r="AG5501">
        <v>1</v>
      </c>
      <c r="AH5501">
        <v>1</v>
      </c>
      <c r="AI5501">
        <v>266.11</v>
      </c>
      <c r="AL5501" t="s">
        <v>19614</v>
      </c>
      <c r="AM5501">
        <v>45000</v>
      </c>
      <c r="AS5501">
        <v>7.5</v>
      </c>
      <c r="AT5501" t="s">
        <v>521</v>
      </c>
      <c r="AU5501" t="s">
        <v>79</v>
      </c>
      <c r="AV5501" t="s">
        <v>20733</v>
      </c>
    </row>
    <row r="5502" spans="1:48">
      <c r="A5502" s="1">
        <f>HYPERLINK("https://lsnyc.legalserver.org/matter/dynamic-profile/view/1907402","19-1907402")</f>
        <v>0</v>
      </c>
      <c r="B5502" t="s">
        <v>92</v>
      </c>
      <c r="C5502" t="s">
        <v>257</v>
      </c>
      <c r="D5502" t="s">
        <v>334</v>
      </c>
      <c r="E5502" t="s">
        <v>335</v>
      </c>
      <c r="F5502" t="s">
        <v>3099</v>
      </c>
      <c r="G5502" t="s">
        <v>3733</v>
      </c>
      <c r="H5502" t="s">
        <v>7977</v>
      </c>
      <c r="I5502" t="s">
        <v>8218</v>
      </c>
      <c r="J5502" t="s">
        <v>9059</v>
      </c>
      <c r="K5502">
        <v>11212</v>
      </c>
      <c r="L5502" t="s">
        <v>9094</v>
      </c>
      <c r="M5502" t="s">
        <v>9095</v>
      </c>
      <c r="N5502" t="s">
        <v>11007</v>
      </c>
      <c r="O5502" t="s">
        <v>11128</v>
      </c>
      <c r="P5502" t="s">
        <v>11167</v>
      </c>
      <c r="Q5502" t="s">
        <v>11173</v>
      </c>
      <c r="R5502" t="s">
        <v>11180</v>
      </c>
      <c r="S5502" t="s">
        <v>9096</v>
      </c>
      <c r="T5502" t="s">
        <v>11183</v>
      </c>
      <c r="U5502" t="s">
        <v>11201</v>
      </c>
      <c r="V5502" t="s">
        <v>288</v>
      </c>
      <c r="W5502">
        <v>1100</v>
      </c>
      <c r="X5502" t="s">
        <v>11332</v>
      </c>
      <c r="Y5502" t="s">
        <v>11157</v>
      </c>
      <c r="Z5502" t="s">
        <v>14818</v>
      </c>
      <c r="AB5502" t="s">
        <v>19139</v>
      </c>
      <c r="AC5502">
        <v>4</v>
      </c>
      <c r="AD5502" t="s">
        <v>19565</v>
      </c>
      <c r="AE5502" t="s">
        <v>9144</v>
      </c>
      <c r="AF5502">
        <v>17</v>
      </c>
      <c r="AG5502">
        <v>2</v>
      </c>
      <c r="AH5502">
        <v>0</v>
      </c>
      <c r="AI5502">
        <v>266.11</v>
      </c>
      <c r="AL5502" t="s">
        <v>19614</v>
      </c>
      <c r="AM5502">
        <v>45000</v>
      </c>
      <c r="AS5502">
        <v>2.5</v>
      </c>
      <c r="AT5502" t="s">
        <v>288</v>
      </c>
      <c r="AU5502" t="s">
        <v>79</v>
      </c>
      <c r="AV5502" t="s">
        <v>20733</v>
      </c>
    </row>
    <row r="5503" spans="1:48">
      <c r="A5503" s="1">
        <f>HYPERLINK("https://lsnyc.legalserver.org/matter/dynamic-profile/view/1891244","19-1891244")</f>
        <v>0</v>
      </c>
      <c r="B5503" t="s">
        <v>178</v>
      </c>
      <c r="C5503" t="s">
        <v>257</v>
      </c>
      <c r="D5503" t="s">
        <v>491</v>
      </c>
      <c r="E5503" t="s">
        <v>483</v>
      </c>
      <c r="F5503" t="s">
        <v>2778</v>
      </c>
      <c r="G5503" t="s">
        <v>5398</v>
      </c>
      <c r="H5503" t="s">
        <v>7978</v>
      </c>
      <c r="I5503" t="s">
        <v>8171</v>
      </c>
      <c r="J5503" t="s">
        <v>9065</v>
      </c>
      <c r="K5503">
        <v>10467</v>
      </c>
      <c r="L5503" t="s">
        <v>9094</v>
      </c>
      <c r="M5503" t="s">
        <v>9094</v>
      </c>
      <c r="O5503" t="s">
        <v>11134</v>
      </c>
      <c r="P5503" t="s">
        <v>11164</v>
      </c>
      <c r="Q5503" t="s">
        <v>11172</v>
      </c>
      <c r="R5503" t="s">
        <v>11180</v>
      </c>
      <c r="S5503" t="s">
        <v>9096</v>
      </c>
      <c r="T5503" t="s">
        <v>11183</v>
      </c>
      <c r="V5503" t="s">
        <v>526</v>
      </c>
      <c r="W5503">
        <v>573.76</v>
      </c>
      <c r="X5503" t="s">
        <v>11333</v>
      </c>
      <c r="Y5503" t="s">
        <v>11351</v>
      </c>
      <c r="Z5503" t="s">
        <v>11690</v>
      </c>
      <c r="AB5503" t="s">
        <v>19140</v>
      </c>
      <c r="AC5503">
        <v>71</v>
      </c>
      <c r="AD5503" t="s">
        <v>19569</v>
      </c>
      <c r="AE5503" t="s">
        <v>9144</v>
      </c>
      <c r="AF5503">
        <v>50</v>
      </c>
      <c r="AG5503">
        <v>2</v>
      </c>
      <c r="AH5503">
        <v>0</v>
      </c>
      <c r="AI5503">
        <v>266.11</v>
      </c>
      <c r="AM5503">
        <v>45000</v>
      </c>
      <c r="AS5503">
        <v>2.1</v>
      </c>
      <c r="AT5503" t="s">
        <v>483</v>
      </c>
      <c r="AU5503" t="s">
        <v>20642</v>
      </c>
    </row>
    <row r="5504" spans="1:48">
      <c r="A5504" s="1">
        <f>HYPERLINK("https://lsnyc.legalserver.org/matter/dynamic-profile/view/1901453","19-1901453")</f>
        <v>0</v>
      </c>
      <c r="B5504" t="s">
        <v>101</v>
      </c>
      <c r="C5504" t="s">
        <v>256</v>
      </c>
      <c r="D5504" t="s">
        <v>559</v>
      </c>
      <c r="F5504" t="s">
        <v>1969</v>
      </c>
      <c r="G5504" t="s">
        <v>5399</v>
      </c>
      <c r="H5504" t="s">
        <v>6113</v>
      </c>
      <c r="I5504" t="s">
        <v>8164</v>
      </c>
      <c r="J5504" t="s">
        <v>9065</v>
      </c>
      <c r="K5504">
        <v>10452</v>
      </c>
      <c r="L5504" t="s">
        <v>9094</v>
      </c>
      <c r="M5504" t="s">
        <v>9095</v>
      </c>
      <c r="O5504" t="s">
        <v>11134</v>
      </c>
      <c r="P5504" t="s">
        <v>11168</v>
      </c>
      <c r="R5504" t="s">
        <v>11180</v>
      </c>
      <c r="S5504" t="s">
        <v>9094</v>
      </c>
      <c r="T5504" t="s">
        <v>11183</v>
      </c>
      <c r="V5504" t="s">
        <v>11218</v>
      </c>
      <c r="W5504">
        <v>837</v>
      </c>
      <c r="X5504" t="s">
        <v>11333</v>
      </c>
      <c r="Y5504" t="s">
        <v>11346</v>
      </c>
      <c r="Z5504" t="s">
        <v>12617</v>
      </c>
      <c r="AB5504" t="s">
        <v>19141</v>
      </c>
      <c r="AC5504">
        <v>52</v>
      </c>
      <c r="AD5504" t="s">
        <v>19566</v>
      </c>
      <c r="AE5504" t="s">
        <v>9144</v>
      </c>
      <c r="AF5504">
        <v>17</v>
      </c>
      <c r="AG5504">
        <v>1</v>
      </c>
      <c r="AH5504">
        <v>1</v>
      </c>
      <c r="AI5504">
        <v>266.11</v>
      </c>
      <c r="AL5504" t="s">
        <v>19614</v>
      </c>
      <c r="AM5504">
        <v>45000</v>
      </c>
      <c r="AS5504">
        <v>0</v>
      </c>
      <c r="AU5504" t="s">
        <v>220</v>
      </c>
      <c r="AV5504" t="s">
        <v>20733</v>
      </c>
    </row>
    <row r="5505" spans="1:48">
      <c r="A5505" s="1">
        <f>HYPERLINK("https://lsnyc.legalserver.org/matter/dynamic-profile/view/1897868","19-1897868")</f>
        <v>0</v>
      </c>
      <c r="B5505" t="s">
        <v>154</v>
      </c>
      <c r="C5505" t="s">
        <v>257</v>
      </c>
      <c r="D5505" t="s">
        <v>499</v>
      </c>
      <c r="E5505" t="s">
        <v>497</v>
      </c>
      <c r="F5505" t="s">
        <v>3100</v>
      </c>
      <c r="G5505" t="s">
        <v>5400</v>
      </c>
      <c r="H5505" t="s">
        <v>7979</v>
      </c>
      <c r="J5505" t="s">
        <v>9066</v>
      </c>
      <c r="K5505">
        <v>10306</v>
      </c>
      <c r="L5505" t="s">
        <v>9094</v>
      </c>
      <c r="M5505" t="s">
        <v>9095</v>
      </c>
      <c r="N5505" t="s">
        <v>11008</v>
      </c>
      <c r="O5505" t="s">
        <v>11128</v>
      </c>
      <c r="P5505" t="s">
        <v>11165</v>
      </c>
      <c r="Q5505" t="s">
        <v>11174</v>
      </c>
      <c r="R5505" t="s">
        <v>11181</v>
      </c>
      <c r="S5505" t="s">
        <v>9096</v>
      </c>
      <c r="T5505" t="s">
        <v>11183</v>
      </c>
      <c r="U5505" t="s">
        <v>11201</v>
      </c>
      <c r="V5505" t="s">
        <v>499</v>
      </c>
      <c r="W5505">
        <v>2200</v>
      </c>
      <c r="X5505" t="s">
        <v>11334</v>
      </c>
      <c r="Y5505" t="s">
        <v>11337</v>
      </c>
      <c r="Z5505" t="s">
        <v>14819</v>
      </c>
      <c r="AC5505">
        <v>2</v>
      </c>
      <c r="AD5505" t="s">
        <v>19565</v>
      </c>
      <c r="AE5505" t="s">
        <v>9144</v>
      </c>
      <c r="AF5505">
        <v>2</v>
      </c>
      <c r="AG5505">
        <v>1</v>
      </c>
      <c r="AH5505">
        <v>1</v>
      </c>
      <c r="AI5505">
        <v>266.11</v>
      </c>
      <c r="AJ5505" t="s">
        <v>19591</v>
      </c>
      <c r="AK5505" t="s">
        <v>19608</v>
      </c>
      <c r="AL5505" t="s">
        <v>19631</v>
      </c>
      <c r="AM5505">
        <v>45000</v>
      </c>
      <c r="AP5505" t="s">
        <v>11157</v>
      </c>
      <c r="AQ5505" t="s">
        <v>20368</v>
      </c>
      <c r="AR5505" t="s">
        <v>20571</v>
      </c>
      <c r="AS5505">
        <v>6</v>
      </c>
      <c r="AT5505" t="s">
        <v>497</v>
      </c>
      <c r="AU5505" t="s">
        <v>154</v>
      </c>
      <c r="AV5505" t="s">
        <v>20733</v>
      </c>
    </row>
    <row r="5506" spans="1:48">
      <c r="A5506" s="1">
        <f>HYPERLINK("https://lsnyc.legalserver.org/matter/dynamic-profile/view/1903680","19-1903680")</f>
        <v>0</v>
      </c>
      <c r="B5506" t="s">
        <v>73</v>
      </c>
      <c r="C5506" t="s">
        <v>257</v>
      </c>
      <c r="D5506" t="s">
        <v>700</v>
      </c>
      <c r="E5506" t="s">
        <v>416</v>
      </c>
      <c r="F5506" t="s">
        <v>1468</v>
      </c>
      <c r="G5506" t="s">
        <v>5401</v>
      </c>
      <c r="H5506" t="s">
        <v>7980</v>
      </c>
      <c r="I5506" t="s">
        <v>8401</v>
      </c>
      <c r="J5506" t="s">
        <v>9059</v>
      </c>
      <c r="K5506">
        <v>11208</v>
      </c>
      <c r="L5506" t="s">
        <v>9094</v>
      </c>
      <c r="M5506" t="s">
        <v>9095</v>
      </c>
      <c r="N5506" t="s">
        <v>11009</v>
      </c>
      <c r="O5506" t="s">
        <v>11129</v>
      </c>
      <c r="P5506" t="s">
        <v>11167</v>
      </c>
      <c r="Q5506" t="s">
        <v>11173</v>
      </c>
      <c r="R5506" t="s">
        <v>11180</v>
      </c>
      <c r="S5506" t="s">
        <v>9096</v>
      </c>
      <c r="T5506" t="s">
        <v>11183</v>
      </c>
      <c r="U5506" t="s">
        <v>11202</v>
      </c>
      <c r="V5506" t="s">
        <v>312</v>
      </c>
      <c r="W5506">
        <v>1700</v>
      </c>
      <c r="X5506" t="s">
        <v>11332</v>
      </c>
      <c r="Y5506" t="s">
        <v>11336</v>
      </c>
      <c r="Z5506" t="s">
        <v>14820</v>
      </c>
      <c r="AA5506" t="s">
        <v>9144</v>
      </c>
      <c r="AC5506">
        <v>20</v>
      </c>
      <c r="AD5506" t="s">
        <v>19566</v>
      </c>
      <c r="AE5506" t="s">
        <v>9144</v>
      </c>
      <c r="AF5506">
        <v>2</v>
      </c>
      <c r="AG5506">
        <v>2</v>
      </c>
      <c r="AH5506">
        <v>1</v>
      </c>
      <c r="AI5506">
        <v>266.43</v>
      </c>
      <c r="AL5506" t="s">
        <v>19614</v>
      </c>
      <c r="AM5506">
        <v>56830</v>
      </c>
      <c r="AS5506">
        <v>2.3</v>
      </c>
      <c r="AT5506" t="s">
        <v>498</v>
      </c>
      <c r="AU5506" t="s">
        <v>95</v>
      </c>
      <c r="AV5506" t="s">
        <v>20733</v>
      </c>
    </row>
    <row r="5507" spans="1:48">
      <c r="A5507" s="1">
        <f>HYPERLINK("https://lsnyc.legalserver.org/matter/dynamic-profile/view/1914898","19-1914898")</f>
        <v>0</v>
      </c>
      <c r="B5507" t="s">
        <v>202</v>
      </c>
      <c r="C5507" t="s">
        <v>256</v>
      </c>
      <c r="D5507" t="s">
        <v>331</v>
      </c>
      <c r="F5507" t="s">
        <v>3101</v>
      </c>
      <c r="G5507" t="s">
        <v>2334</v>
      </c>
      <c r="H5507" t="s">
        <v>6621</v>
      </c>
      <c r="I5507">
        <v>4</v>
      </c>
      <c r="J5507" t="s">
        <v>9059</v>
      </c>
      <c r="K5507">
        <v>11213</v>
      </c>
      <c r="L5507" t="s">
        <v>9094</v>
      </c>
      <c r="M5507" t="s">
        <v>9095</v>
      </c>
      <c r="N5507" t="s">
        <v>9625</v>
      </c>
      <c r="O5507" t="s">
        <v>11132</v>
      </c>
      <c r="P5507" t="s">
        <v>11165</v>
      </c>
      <c r="R5507" t="s">
        <v>11180</v>
      </c>
      <c r="S5507" t="s">
        <v>9094</v>
      </c>
      <c r="T5507" t="s">
        <v>11183</v>
      </c>
      <c r="U5507" t="s">
        <v>11201</v>
      </c>
      <c r="V5507" t="s">
        <v>11243</v>
      </c>
      <c r="W5507">
        <v>993</v>
      </c>
      <c r="X5507" t="s">
        <v>11332</v>
      </c>
      <c r="Y5507" t="s">
        <v>11339</v>
      </c>
      <c r="Z5507" t="s">
        <v>14821</v>
      </c>
      <c r="AA5507" t="s">
        <v>9171</v>
      </c>
      <c r="AB5507" t="s">
        <v>19142</v>
      </c>
      <c r="AC5507">
        <v>31</v>
      </c>
      <c r="AD5507" t="s">
        <v>19566</v>
      </c>
      <c r="AE5507" t="s">
        <v>9144</v>
      </c>
      <c r="AF5507">
        <v>20</v>
      </c>
      <c r="AG5507">
        <v>3</v>
      </c>
      <c r="AH5507">
        <v>0</v>
      </c>
      <c r="AI5507">
        <v>267.23</v>
      </c>
      <c r="AK5507" t="s">
        <v>19612</v>
      </c>
      <c r="AL5507" t="s">
        <v>19614</v>
      </c>
      <c r="AM5507">
        <v>57000</v>
      </c>
      <c r="AN5507" t="s">
        <v>20097</v>
      </c>
      <c r="AS5507">
        <v>0</v>
      </c>
      <c r="AU5507" t="s">
        <v>95</v>
      </c>
      <c r="AV5507" t="s">
        <v>20733</v>
      </c>
    </row>
    <row r="5508" spans="1:48">
      <c r="A5508" s="1">
        <f>HYPERLINK("https://lsnyc.legalserver.org/matter/dynamic-profile/view/1913028","19-1913028")</f>
        <v>0</v>
      </c>
      <c r="B5508" t="s">
        <v>76</v>
      </c>
      <c r="C5508" t="s">
        <v>256</v>
      </c>
      <c r="D5508" t="s">
        <v>833</v>
      </c>
      <c r="F5508" t="s">
        <v>3101</v>
      </c>
      <c r="G5508" t="s">
        <v>2334</v>
      </c>
      <c r="H5508" t="s">
        <v>6621</v>
      </c>
      <c r="I5508">
        <v>4</v>
      </c>
      <c r="J5508" t="s">
        <v>9059</v>
      </c>
      <c r="K5508">
        <v>11213</v>
      </c>
      <c r="L5508" t="s">
        <v>9094</v>
      </c>
      <c r="M5508" t="s">
        <v>9095</v>
      </c>
      <c r="N5508" t="s">
        <v>9144</v>
      </c>
      <c r="O5508" t="s">
        <v>9121</v>
      </c>
      <c r="P5508" t="s">
        <v>11167</v>
      </c>
      <c r="R5508" t="s">
        <v>11180</v>
      </c>
      <c r="S5508" t="s">
        <v>9094</v>
      </c>
      <c r="T5508" t="s">
        <v>11183</v>
      </c>
      <c r="U5508" t="s">
        <v>11201</v>
      </c>
      <c r="V5508" t="s">
        <v>833</v>
      </c>
      <c r="W5508">
        <v>993</v>
      </c>
      <c r="X5508" t="s">
        <v>11332</v>
      </c>
      <c r="Y5508" t="s">
        <v>11339</v>
      </c>
      <c r="Z5508" t="s">
        <v>14821</v>
      </c>
      <c r="AA5508" t="s">
        <v>9171</v>
      </c>
      <c r="AB5508" t="s">
        <v>19142</v>
      </c>
      <c r="AC5508">
        <v>31</v>
      </c>
      <c r="AD5508" t="s">
        <v>19566</v>
      </c>
      <c r="AE5508" t="s">
        <v>9144</v>
      </c>
      <c r="AF5508">
        <v>20</v>
      </c>
      <c r="AG5508">
        <v>3</v>
      </c>
      <c r="AH5508">
        <v>0</v>
      </c>
      <c r="AI5508">
        <v>267.23</v>
      </c>
      <c r="AL5508" t="s">
        <v>19614</v>
      </c>
      <c r="AM5508">
        <v>57000</v>
      </c>
      <c r="AN5508" t="s">
        <v>20136</v>
      </c>
      <c r="AS5508">
        <v>1.1</v>
      </c>
      <c r="AT5508" t="s">
        <v>1063</v>
      </c>
      <c r="AU5508" t="s">
        <v>95</v>
      </c>
      <c r="AV5508" t="s">
        <v>20733</v>
      </c>
    </row>
    <row r="5509" spans="1:48">
      <c r="A5509" s="1">
        <f>HYPERLINK("https://lsnyc.legalserver.org/matter/dynamic-profile/view/1915079","19-1915079")</f>
        <v>0</v>
      </c>
      <c r="B5509" t="s">
        <v>78</v>
      </c>
      <c r="C5509" t="s">
        <v>256</v>
      </c>
      <c r="D5509" t="s">
        <v>377</v>
      </c>
      <c r="F5509" t="s">
        <v>1220</v>
      </c>
      <c r="G5509" t="s">
        <v>5402</v>
      </c>
      <c r="H5509" t="s">
        <v>5805</v>
      </c>
      <c r="I5509" t="s">
        <v>8170</v>
      </c>
      <c r="J5509" t="s">
        <v>9059</v>
      </c>
      <c r="K5509">
        <v>11213</v>
      </c>
      <c r="L5509" t="s">
        <v>9094</v>
      </c>
      <c r="M5509" t="s">
        <v>9095</v>
      </c>
      <c r="N5509" t="s">
        <v>9102</v>
      </c>
      <c r="O5509" t="s">
        <v>9121</v>
      </c>
      <c r="P5509" t="s">
        <v>11164</v>
      </c>
      <c r="R5509" t="s">
        <v>11180</v>
      </c>
      <c r="S5509" t="s">
        <v>9096</v>
      </c>
      <c r="T5509" t="s">
        <v>11183</v>
      </c>
      <c r="U5509" t="s">
        <v>11201</v>
      </c>
      <c r="V5509" t="s">
        <v>632</v>
      </c>
      <c r="W5509">
        <v>0</v>
      </c>
      <c r="X5509" t="s">
        <v>11332</v>
      </c>
      <c r="Y5509" t="s">
        <v>11339</v>
      </c>
      <c r="Z5509" t="s">
        <v>14822</v>
      </c>
      <c r="AA5509" t="s">
        <v>9171</v>
      </c>
      <c r="AB5509" t="s">
        <v>19143</v>
      </c>
      <c r="AC5509">
        <v>19</v>
      </c>
      <c r="AD5509" t="s">
        <v>19566</v>
      </c>
      <c r="AE5509" t="s">
        <v>9144</v>
      </c>
      <c r="AF5509">
        <v>0</v>
      </c>
      <c r="AG5509">
        <v>3</v>
      </c>
      <c r="AH5509">
        <v>2</v>
      </c>
      <c r="AI5509">
        <v>267.82</v>
      </c>
      <c r="AL5509" t="s">
        <v>19614</v>
      </c>
      <c r="AM5509">
        <v>80800</v>
      </c>
      <c r="AS5509">
        <v>1</v>
      </c>
      <c r="AT5509" t="s">
        <v>632</v>
      </c>
      <c r="AU5509" t="s">
        <v>95</v>
      </c>
      <c r="AV5509" t="s">
        <v>20733</v>
      </c>
    </row>
    <row r="5510" spans="1:48">
      <c r="A5510" s="1">
        <f>HYPERLINK("https://lsnyc.legalserver.org/matter/dynamic-profile/view/1900296","19-1900296")</f>
        <v>0</v>
      </c>
      <c r="B5510" t="s">
        <v>72</v>
      </c>
      <c r="C5510" t="s">
        <v>256</v>
      </c>
      <c r="D5510" t="s">
        <v>854</v>
      </c>
      <c r="F5510" t="s">
        <v>3102</v>
      </c>
      <c r="G5510" t="s">
        <v>3344</v>
      </c>
      <c r="H5510" t="s">
        <v>7725</v>
      </c>
      <c r="I5510" t="s">
        <v>8189</v>
      </c>
      <c r="J5510" t="s">
        <v>9059</v>
      </c>
      <c r="K5510">
        <v>11208</v>
      </c>
      <c r="L5510" t="s">
        <v>9094</v>
      </c>
      <c r="M5510" t="s">
        <v>9095</v>
      </c>
      <c r="N5510" t="s">
        <v>11010</v>
      </c>
      <c r="O5510" t="s">
        <v>11129</v>
      </c>
      <c r="P5510" t="s">
        <v>11165</v>
      </c>
      <c r="R5510" t="s">
        <v>11180</v>
      </c>
      <c r="S5510" t="s">
        <v>9096</v>
      </c>
      <c r="T5510" t="s">
        <v>11183</v>
      </c>
      <c r="V5510" t="s">
        <v>988</v>
      </c>
      <c r="W5510">
        <v>744.58</v>
      </c>
      <c r="X5510" t="s">
        <v>11332</v>
      </c>
      <c r="Z5510" t="s">
        <v>14823</v>
      </c>
      <c r="AB5510" t="s">
        <v>19144</v>
      </c>
      <c r="AC5510">
        <v>0</v>
      </c>
      <c r="AD5510" t="s">
        <v>19566</v>
      </c>
      <c r="AE5510" t="s">
        <v>19580</v>
      </c>
      <c r="AF5510">
        <v>42</v>
      </c>
      <c r="AG5510">
        <v>1</v>
      </c>
      <c r="AH5510">
        <v>0</v>
      </c>
      <c r="AI5510">
        <v>268.78</v>
      </c>
      <c r="AL5510" t="s">
        <v>19614</v>
      </c>
      <c r="AM5510">
        <v>33570</v>
      </c>
      <c r="AS5510">
        <v>22.25</v>
      </c>
      <c r="AT5510" t="s">
        <v>321</v>
      </c>
      <c r="AU5510" t="s">
        <v>79</v>
      </c>
      <c r="AV5510" t="s">
        <v>20733</v>
      </c>
    </row>
    <row r="5511" spans="1:48">
      <c r="A5511" s="1">
        <f>HYPERLINK("https://lsnyc.legalserver.org/matter/dynamic-profile/view/0826261","17-0826261")</f>
        <v>0</v>
      </c>
      <c r="B5511" t="s">
        <v>141</v>
      </c>
      <c r="C5511" t="s">
        <v>256</v>
      </c>
      <c r="D5511" t="s">
        <v>876</v>
      </c>
      <c r="F5511" t="s">
        <v>1209</v>
      </c>
      <c r="G5511" t="s">
        <v>5403</v>
      </c>
      <c r="H5511" t="s">
        <v>6382</v>
      </c>
      <c r="I5511" t="s">
        <v>8171</v>
      </c>
      <c r="J5511" t="s">
        <v>9067</v>
      </c>
      <c r="K5511">
        <v>10034</v>
      </c>
      <c r="L5511" t="s">
        <v>9094</v>
      </c>
      <c r="M5511" t="s">
        <v>9095</v>
      </c>
      <c r="N5511" t="s">
        <v>9628</v>
      </c>
      <c r="O5511" t="s">
        <v>11130</v>
      </c>
      <c r="P5511" t="s">
        <v>11165</v>
      </c>
      <c r="R5511" t="s">
        <v>11180</v>
      </c>
      <c r="S5511" t="s">
        <v>9094</v>
      </c>
      <c r="T5511" t="s">
        <v>11183</v>
      </c>
      <c r="V5511" t="s">
        <v>11234</v>
      </c>
      <c r="W5511">
        <v>1375</v>
      </c>
      <c r="X5511" t="s">
        <v>11335</v>
      </c>
      <c r="Y5511" t="s">
        <v>11346</v>
      </c>
      <c r="Z5511" t="s">
        <v>14824</v>
      </c>
      <c r="AB5511" t="s">
        <v>19145</v>
      </c>
      <c r="AC5511">
        <v>44</v>
      </c>
      <c r="AD5511" t="s">
        <v>19566</v>
      </c>
      <c r="AE5511" t="s">
        <v>9144</v>
      </c>
      <c r="AF5511">
        <v>8</v>
      </c>
      <c r="AG5511">
        <v>1</v>
      </c>
      <c r="AH5511">
        <v>1</v>
      </c>
      <c r="AI5511">
        <v>269.33</v>
      </c>
      <c r="AJ5511" t="s">
        <v>11246</v>
      </c>
      <c r="AL5511" t="s">
        <v>19614</v>
      </c>
      <c r="AM5511">
        <v>43147.44</v>
      </c>
      <c r="AS5511">
        <v>0.1</v>
      </c>
      <c r="AT5511" t="s">
        <v>20615</v>
      </c>
      <c r="AU5511" t="s">
        <v>141</v>
      </c>
    </row>
    <row r="5512" spans="1:48">
      <c r="A5512" s="1">
        <f>HYPERLINK("https://lsnyc.legalserver.org/matter/dynamic-profile/view/0809813","16-0809813")</f>
        <v>0</v>
      </c>
      <c r="B5512" t="s">
        <v>85</v>
      </c>
      <c r="C5512" t="s">
        <v>256</v>
      </c>
      <c r="D5512" t="s">
        <v>929</v>
      </c>
      <c r="F5512" t="s">
        <v>3103</v>
      </c>
      <c r="G5512" t="s">
        <v>4881</v>
      </c>
      <c r="H5512" t="s">
        <v>7981</v>
      </c>
      <c r="I5512" t="s">
        <v>8965</v>
      </c>
      <c r="J5512" t="s">
        <v>9059</v>
      </c>
      <c r="K5512">
        <v>11217</v>
      </c>
      <c r="L5512" t="s">
        <v>9094</v>
      </c>
      <c r="M5512" t="s">
        <v>9095</v>
      </c>
      <c r="N5512" t="s">
        <v>11011</v>
      </c>
      <c r="O5512" t="s">
        <v>11128</v>
      </c>
      <c r="P5512" t="s">
        <v>11165</v>
      </c>
      <c r="R5512" t="s">
        <v>11180</v>
      </c>
      <c r="S5512" t="s">
        <v>9094</v>
      </c>
      <c r="T5512" t="s">
        <v>11183</v>
      </c>
      <c r="V5512" t="s">
        <v>11231</v>
      </c>
      <c r="W5512">
        <v>300</v>
      </c>
      <c r="X5512" t="s">
        <v>11332</v>
      </c>
      <c r="Y5512" t="s">
        <v>11347</v>
      </c>
      <c r="Z5512" t="s">
        <v>13498</v>
      </c>
      <c r="AB5512" t="s">
        <v>19146</v>
      </c>
      <c r="AC5512">
        <v>6</v>
      </c>
      <c r="AD5512" t="s">
        <v>19566</v>
      </c>
      <c r="AE5512" t="s">
        <v>9144</v>
      </c>
      <c r="AF5512">
        <v>4</v>
      </c>
      <c r="AG5512">
        <v>1</v>
      </c>
      <c r="AH5512">
        <v>0</v>
      </c>
      <c r="AI5512">
        <v>269.36</v>
      </c>
      <c r="AJ5512" t="s">
        <v>11246</v>
      </c>
      <c r="AL5512" t="s">
        <v>19614</v>
      </c>
      <c r="AM5512">
        <v>32000</v>
      </c>
      <c r="AS5512">
        <v>75.2</v>
      </c>
      <c r="AT5512" t="s">
        <v>576</v>
      </c>
      <c r="AU5512" t="s">
        <v>20630</v>
      </c>
    </row>
    <row r="5513" spans="1:48">
      <c r="A5513" s="1">
        <f>HYPERLINK("https://lsnyc.legalserver.org/matter/dynamic-profile/view/1878069","18-1878069")</f>
        <v>0</v>
      </c>
      <c r="B5513" t="s">
        <v>248</v>
      </c>
      <c r="C5513" t="s">
        <v>257</v>
      </c>
      <c r="D5513" t="s">
        <v>671</v>
      </c>
      <c r="E5513" t="s">
        <v>367</v>
      </c>
      <c r="F5513" t="s">
        <v>1541</v>
      </c>
      <c r="G5513" t="s">
        <v>3498</v>
      </c>
      <c r="H5513" t="s">
        <v>7982</v>
      </c>
      <c r="I5513" t="s">
        <v>8132</v>
      </c>
      <c r="J5513" t="s">
        <v>9059</v>
      </c>
      <c r="K5513">
        <v>11217</v>
      </c>
      <c r="L5513" t="s">
        <v>9094</v>
      </c>
      <c r="M5513" t="s">
        <v>9094</v>
      </c>
      <c r="N5513" t="s">
        <v>11012</v>
      </c>
      <c r="O5513" t="s">
        <v>11129</v>
      </c>
      <c r="P5513" t="s">
        <v>11165</v>
      </c>
      <c r="Q5513" t="s">
        <v>11174</v>
      </c>
      <c r="R5513" t="s">
        <v>11180</v>
      </c>
      <c r="T5513" t="s">
        <v>11183</v>
      </c>
      <c r="V5513" t="s">
        <v>855</v>
      </c>
      <c r="W5513">
        <v>0</v>
      </c>
      <c r="X5513" t="s">
        <v>11332</v>
      </c>
      <c r="Z5513" t="s">
        <v>14825</v>
      </c>
      <c r="AB5513" t="s">
        <v>19147</v>
      </c>
      <c r="AC5513">
        <v>8</v>
      </c>
      <c r="AD5513" t="s">
        <v>19566</v>
      </c>
      <c r="AF5513">
        <v>0</v>
      </c>
      <c r="AG5513">
        <v>2</v>
      </c>
      <c r="AH5513">
        <v>0</v>
      </c>
      <c r="AI5513">
        <v>269.74</v>
      </c>
      <c r="AJ5513" t="s">
        <v>458</v>
      </c>
      <c r="AK5513" t="s">
        <v>19612</v>
      </c>
      <c r="AL5513" t="s">
        <v>19614</v>
      </c>
      <c r="AM5513">
        <v>44400</v>
      </c>
      <c r="AQ5513" t="s">
        <v>20369</v>
      </c>
      <c r="AR5513" t="s">
        <v>20572</v>
      </c>
      <c r="AS5513">
        <v>31.55</v>
      </c>
      <c r="AT5513" t="s">
        <v>265</v>
      </c>
      <c r="AU5513" t="s">
        <v>67</v>
      </c>
      <c r="AV5513" t="s">
        <v>20733</v>
      </c>
    </row>
    <row r="5514" spans="1:48">
      <c r="A5514" s="1">
        <f>HYPERLINK("https://lsnyc.legalserver.org/matter/dynamic-profile/view/1899122","19-1899122")</f>
        <v>0</v>
      </c>
      <c r="B5514" t="s">
        <v>98</v>
      </c>
      <c r="C5514" t="s">
        <v>257</v>
      </c>
      <c r="D5514" t="s">
        <v>492</v>
      </c>
      <c r="E5514" t="s">
        <v>574</v>
      </c>
      <c r="F5514" t="s">
        <v>3104</v>
      </c>
      <c r="G5514" t="s">
        <v>3530</v>
      </c>
      <c r="H5514" t="s">
        <v>6081</v>
      </c>
      <c r="I5514" t="s">
        <v>8266</v>
      </c>
      <c r="J5514" t="s">
        <v>9065</v>
      </c>
      <c r="K5514">
        <v>10452</v>
      </c>
      <c r="L5514" t="s">
        <v>9094</v>
      </c>
      <c r="M5514" t="s">
        <v>9095</v>
      </c>
      <c r="O5514" t="s">
        <v>11134</v>
      </c>
      <c r="P5514" t="s">
        <v>11167</v>
      </c>
      <c r="Q5514" t="s">
        <v>11173</v>
      </c>
      <c r="R5514" t="s">
        <v>11180</v>
      </c>
      <c r="S5514" t="s">
        <v>9094</v>
      </c>
      <c r="T5514" t="s">
        <v>11183</v>
      </c>
      <c r="V5514" t="s">
        <v>299</v>
      </c>
      <c r="W5514">
        <v>1800</v>
      </c>
      <c r="X5514" t="s">
        <v>11333</v>
      </c>
      <c r="Y5514" t="s">
        <v>11339</v>
      </c>
      <c r="Z5514" t="s">
        <v>14826</v>
      </c>
      <c r="AB5514" t="s">
        <v>19148</v>
      </c>
      <c r="AC5514">
        <v>41</v>
      </c>
      <c r="AD5514" t="s">
        <v>15441</v>
      </c>
      <c r="AE5514" t="s">
        <v>9144</v>
      </c>
      <c r="AF5514">
        <v>6</v>
      </c>
      <c r="AG5514">
        <v>3</v>
      </c>
      <c r="AH5514">
        <v>0</v>
      </c>
      <c r="AI5514">
        <v>270.04</v>
      </c>
      <c r="AL5514" t="s">
        <v>19615</v>
      </c>
      <c r="AM5514">
        <v>57600</v>
      </c>
      <c r="AS5514">
        <v>0.25</v>
      </c>
      <c r="AT5514" t="s">
        <v>335</v>
      </c>
      <c r="AU5514" t="s">
        <v>20642</v>
      </c>
      <c r="AV5514" t="s">
        <v>20733</v>
      </c>
    </row>
    <row r="5515" spans="1:48">
      <c r="A5515" s="1">
        <f>HYPERLINK("https://lsnyc.legalserver.org/matter/dynamic-profile/view/1896439","19-1896439")</f>
        <v>0</v>
      </c>
      <c r="B5515" t="s">
        <v>137</v>
      </c>
      <c r="C5515" t="s">
        <v>256</v>
      </c>
      <c r="D5515" t="s">
        <v>350</v>
      </c>
      <c r="F5515" t="s">
        <v>2362</v>
      </c>
      <c r="G5515" t="s">
        <v>5404</v>
      </c>
      <c r="H5515" t="s">
        <v>6488</v>
      </c>
      <c r="I5515">
        <v>33</v>
      </c>
      <c r="J5515" t="s">
        <v>9067</v>
      </c>
      <c r="K5515">
        <v>10034</v>
      </c>
      <c r="L5515" t="s">
        <v>9094</v>
      </c>
      <c r="M5515" t="s">
        <v>9094</v>
      </c>
      <c r="N5515" t="s">
        <v>9709</v>
      </c>
      <c r="O5515" t="s">
        <v>11130</v>
      </c>
      <c r="P5515" t="s">
        <v>11165</v>
      </c>
      <c r="R5515" t="s">
        <v>11180</v>
      </c>
      <c r="S5515" t="s">
        <v>9094</v>
      </c>
      <c r="T5515" t="s">
        <v>11183</v>
      </c>
      <c r="V5515" t="s">
        <v>296</v>
      </c>
      <c r="W5515">
        <v>905.47</v>
      </c>
      <c r="X5515" t="s">
        <v>11335</v>
      </c>
      <c r="Y5515" t="s">
        <v>11339</v>
      </c>
      <c r="Z5515" t="s">
        <v>14827</v>
      </c>
      <c r="AB5515" t="s">
        <v>19149</v>
      </c>
      <c r="AC5515">
        <v>20</v>
      </c>
      <c r="AD5515" t="s">
        <v>19566</v>
      </c>
      <c r="AE5515" t="s">
        <v>9144</v>
      </c>
      <c r="AF5515">
        <v>48</v>
      </c>
      <c r="AG5515">
        <v>3</v>
      </c>
      <c r="AH5515">
        <v>0</v>
      </c>
      <c r="AI5515">
        <v>270.04</v>
      </c>
      <c r="AJ5515" t="s">
        <v>19591</v>
      </c>
      <c r="AK5515" t="s">
        <v>19608</v>
      </c>
      <c r="AL5515" t="s">
        <v>19614</v>
      </c>
      <c r="AM5515">
        <v>57600</v>
      </c>
      <c r="AS5515">
        <v>0</v>
      </c>
      <c r="AU5515" t="s">
        <v>20658</v>
      </c>
      <c r="AV5515" t="s">
        <v>20733</v>
      </c>
    </row>
    <row r="5516" spans="1:48">
      <c r="A5516" s="1">
        <f>HYPERLINK("https://lsnyc.legalserver.org/matter/dynamic-profile/view/1891580","19-1891580")</f>
        <v>0</v>
      </c>
      <c r="B5516" t="s">
        <v>70</v>
      </c>
      <c r="C5516" t="s">
        <v>256</v>
      </c>
      <c r="D5516" t="s">
        <v>788</v>
      </c>
      <c r="F5516" t="s">
        <v>1655</v>
      </c>
      <c r="G5516" t="s">
        <v>5405</v>
      </c>
      <c r="H5516" t="s">
        <v>5749</v>
      </c>
      <c r="I5516" t="s">
        <v>8386</v>
      </c>
      <c r="J5516" t="s">
        <v>9059</v>
      </c>
      <c r="K5516">
        <v>11233</v>
      </c>
      <c r="L5516" t="s">
        <v>9094</v>
      </c>
      <c r="M5516" t="s">
        <v>9096</v>
      </c>
      <c r="N5516" t="s">
        <v>9146</v>
      </c>
      <c r="O5516" t="s">
        <v>11134</v>
      </c>
      <c r="P5516" t="s">
        <v>11168</v>
      </c>
      <c r="R5516" t="s">
        <v>11180</v>
      </c>
      <c r="S5516" t="s">
        <v>9094</v>
      </c>
      <c r="T5516" t="s">
        <v>11183</v>
      </c>
      <c r="U5516" t="s">
        <v>11201</v>
      </c>
      <c r="V5516" t="s">
        <v>482</v>
      </c>
      <c r="W5516">
        <v>811.37</v>
      </c>
      <c r="X5516" t="s">
        <v>11332</v>
      </c>
      <c r="Z5516" t="s">
        <v>12027</v>
      </c>
      <c r="AC5516">
        <v>359</v>
      </c>
      <c r="AD5516" t="s">
        <v>19566</v>
      </c>
      <c r="AF5516">
        <v>20</v>
      </c>
      <c r="AG5516">
        <v>2</v>
      </c>
      <c r="AH5516">
        <v>0</v>
      </c>
      <c r="AI5516">
        <v>271.41</v>
      </c>
      <c r="AJ5516" t="s">
        <v>546</v>
      </c>
      <c r="AK5516" t="s">
        <v>19612</v>
      </c>
      <c r="AL5516" t="s">
        <v>19614</v>
      </c>
      <c r="AM5516">
        <v>45895</v>
      </c>
      <c r="AN5516" t="s">
        <v>19641</v>
      </c>
      <c r="AS5516">
        <v>0</v>
      </c>
      <c r="AU5516" t="s">
        <v>95</v>
      </c>
    </row>
    <row r="5517" spans="1:48">
      <c r="A5517" s="1">
        <f>HYPERLINK("https://lsnyc.legalserver.org/matter/dynamic-profile/view/1891583","19-1891583")</f>
        <v>0</v>
      </c>
      <c r="B5517" t="s">
        <v>70</v>
      </c>
      <c r="C5517" t="s">
        <v>256</v>
      </c>
      <c r="D5517" t="s">
        <v>788</v>
      </c>
      <c r="F5517" t="s">
        <v>1655</v>
      </c>
      <c r="G5517" t="s">
        <v>5405</v>
      </c>
      <c r="H5517" t="s">
        <v>5749</v>
      </c>
      <c r="I5517" t="s">
        <v>8386</v>
      </c>
      <c r="J5517" t="s">
        <v>9059</v>
      </c>
      <c r="K5517">
        <v>11233</v>
      </c>
      <c r="L5517" t="s">
        <v>9094</v>
      </c>
      <c r="M5517" t="s">
        <v>9096</v>
      </c>
      <c r="N5517" t="s">
        <v>9144</v>
      </c>
      <c r="O5517" t="s">
        <v>11137</v>
      </c>
      <c r="P5517" t="s">
        <v>11167</v>
      </c>
      <c r="R5517" t="s">
        <v>11180</v>
      </c>
      <c r="S5517" t="s">
        <v>9094</v>
      </c>
      <c r="T5517" t="s">
        <v>11183</v>
      </c>
      <c r="U5517" t="s">
        <v>11201</v>
      </c>
      <c r="V5517" t="s">
        <v>749</v>
      </c>
      <c r="W5517">
        <v>811.37</v>
      </c>
      <c r="X5517" t="s">
        <v>11332</v>
      </c>
      <c r="Z5517" t="s">
        <v>12027</v>
      </c>
      <c r="AC5517">
        <v>359</v>
      </c>
      <c r="AD5517" t="s">
        <v>19566</v>
      </c>
      <c r="AF5517">
        <v>20</v>
      </c>
      <c r="AG5517">
        <v>2</v>
      </c>
      <c r="AH5517">
        <v>0</v>
      </c>
      <c r="AI5517">
        <v>271.41</v>
      </c>
      <c r="AJ5517" t="s">
        <v>546</v>
      </c>
      <c r="AK5517" t="s">
        <v>19612</v>
      </c>
      <c r="AL5517" t="s">
        <v>19614</v>
      </c>
      <c r="AM5517">
        <v>45895</v>
      </c>
      <c r="AN5517" t="s">
        <v>20137</v>
      </c>
      <c r="AS5517">
        <v>0</v>
      </c>
      <c r="AU5517" t="s">
        <v>95</v>
      </c>
    </row>
    <row r="5518" spans="1:48">
      <c r="A5518" s="1">
        <f>HYPERLINK("https://lsnyc.legalserver.org/matter/dynamic-profile/view/1857032","18-1857032")</f>
        <v>0</v>
      </c>
      <c r="B5518" t="s">
        <v>119</v>
      </c>
      <c r="C5518" t="s">
        <v>256</v>
      </c>
      <c r="D5518" t="s">
        <v>465</v>
      </c>
      <c r="F5518" t="s">
        <v>3105</v>
      </c>
      <c r="G5518" t="s">
        <v>4892</v>
      </c>
      <c r="H5518" t="s">
        <v>5897</v>
      </c>
      <c r="I5518" t="s">
        <v>8966</v>
      </c>
      <c r="J5518" t="s">
        <v>9065</v>
      </c>
      <c r="K5518">
        <v>10452</v>
      </c>
      <c r="L5518" t="s">
        <v>9095</v>
      </c>
      <c r="M5518" t="s">
        <v>9095</v>
      </c>
      <c r="O5518" t="s">
        <v>11135</v>
      </c>
      <c r="P5518" t="s">
        <v>11168</v>
      </c>
      <c r="R5518" t="s">
        <v>11180</v>
      </c>
      <c r="S5518" t="s">
        <v>9094</v>
      </c>
      <c r="T5518" t="s">
        <v>11183</v>
      </c>
      <c r="W5518">
        <v>1050</v>
      </c>
      <c r="X5518" t="s">
        <v>11333</v>
      </c>
      <c r="Y5518" t="s">
        <v>11346</v>
      </c>
      <c r="Z5518" t="s">
        <v>13837</v>
      </c>
      <c r="AB5518" t="s">
        <v>19150</v>
      </c>
      <c r="AC5518">
        <v>122</v>
      </c>
      <c r="AD5518" t="s">
        <v>19566</v>
      </c>
      <c r="AE5518" t="s">
        <v>9144</v>
      </c>
      <c r="AF5518">
        <v>2</v>
      </c>
      <c r="AG5518">
        <v>1</v>
      </c>
      <c r="AH5518">
        <v>0</v>
      </c>
      <c r="AI5518">
        <v>271.64</v>
      </c>
      <c r="AL5518" t="s">
        <v>19614</v>
      </c>
      <c r="AM5518">
        <v>32760</v>
      </c>
      <c r="AS5518">
        <v>0</v>
      </c>
      <c r="AU5518" t="s">
        <v>20647</v>
      </c>
    </row>
    <row r="5519" spans="1:48">
      <c r="A5519" s="1">
        <f>HYPERLINK("https://lsnyc.legalserver.org/matter/dynamic-profile/view/1857478","18-1857478")</f>
        <v>0</v>
      </c>
      <c r="B5519" t="s">
        <v>119</v>
      </c>
      <c r="C5519" t="s">
        <v>256</v>
      </c>
      <c r="D5519" t="s">
        <v>468</v>
      </c>
      <c r="F5519" t="s">
        <v>3105</v>
      </c>
      <c r="G5519" t="s">
        <v>4892</v>
      </c>
      <c r="H5519" t="s">
        <v>5897</v>
      </c>
      <c r="I5519" t="s">
        <v>8966</v>
      </c>
      <c r="J5519" t="s">
        <v>9065</v>
      </c>
      <c r="K5519">
        <v>10452</v>
      </c>
      <c r="L5519" t="s">
        <v>9095</v>
      </c>
      <c r="M5519" t="s">
        <v>9095</v>
      </c>
      <c r="N5519" t="s">
        <v>9253</v>
      </c>
      <c r="O5519" t="s">
        <v>11135</v>
      </c>
      <c r="P5519" t="s">
        <v>11168</v>
      </c>
      <c r="R5519" t="s">
        <v>11180</v>
      </c>
      <c r="S5519" t="s">
        <v>9094</v>
      </c>
      <c r="T5519" t="s">
        <v>11183</v>
      </c>
      <c r="W5519">
        <v>1050</v>
      </c>
      <c r="X5519" t="s">
        <v>11333</v>
      </c>
      <c r="Y5519" t="s">
        <v>11346</v>
      </c>
      <c r="Z5519" t="s">
        <v>13837</v>
      </c>
      <c r="AB5519" t="s">
        <v>19150</v>
      </c>
      <c r="AC5519">
        <v>122</v>
      </c>
      <c r="AD5519" t="s">
        <v>19566</v>
      </c>
      <c r="AE5519" t="s">
        <v>9144</v>
      </c>
      <c r="AF5519">
        <v>2</v>
      </c>
      <c r="AG5519">
        <v>1</v>
      </c>
      <c r="AH5519">
        <v>0</v>
      </c>
      <c r="AI5519">
        <v>271.64</v>
      </c>
      <c r="AL5519" t="s">
        <v>19614</v>
      </c>
      <c r="AM5519">
        <v>32760</v>
      </c>
      <c r="AS5519">
        <v>0.1</v>
      </c>
      <c r="AT5519" t="s">
        <v>507</v>
      </c>
      <c r="AU5519" t="s">
        <v>20647</v>
      </c>
    </row>
    <row r="5520" spans="1:48">
      <c r="A5520" s="1">
        <f>HYPERLINK("https://lsnyc.legalserver.org/matter/dynamic-profile/view/1897696","19-1897696")</f>
        <v>0</v>
      </c>
      <c r="B5520" t="s">
        <v>132</v>
      </c>
      <c r="C5520" t="s">
        <v>257</v>
      </c>
      <c r="D5520" t="s">
        <v>291</v>
      </c>
      <c r="E5520" t="s">
        <v>377</v>
      </c>
      <c r="F5520" t="s">
        <v>3106</v>
      </c>
      <c r="G5520" t="s">
        <v>5406</v>
      </c>
      <c r="H5520" t="s">
        <v>7983</v>
      </c>
      <c r="I5520">
        <v>402</v>
      </c>
      <c r="J5520" t="s">
        <v>9067</v>
      </c>
      <c r="K5520">
        <v>10033</v>
      </c>
      <c r="L5520" t="s">
        <v>9094</v>
      </c>
      <c r="M5520" t="s">
        <v>9094</v>
      </c>
      <c r="N5520" t="s">
        <v>11013</v>
      </c>
      <c r="O5520" t="s">
        <v>11136</v>
      </c>
      <c r="P5520" t="s">
        <v>11164</v>
      </c>
      <c r="Q5520" t="s">
        <v>11172</v>
      </c>
      <c r="R5520" t="s">
        <v>11180</v>
      </c>
      <c r="S5520" t="s">
        <v>9096</v>
      </c>
      <c r="T5520" t="s">
        <v>11183</v>
      </c>
      <c r="V5520" t="s">
        <v>291</v>
      </c>
      <c r="W5520">
        <v>877.1</v>
      </c>
      <c r="X5520" t="s">
        <v>11335</v>
      </c>
      <c r="Y5520" t="s">
        <v>11338</v>
      </c>
      <c r="Z5520" t="s">
        <v>14828</v>
      </c>
      <c r="AC5520">
        <v>52</v>
      </c>
      <c r="AD5520" t="s">
        <v>19566</v>
      </c>
      <c r="AE5520" t="s">
        <v>19587</v>
      </c>
      <c r="AF5520">
        <v>9</v>
      </c>
      <c r="AG5520">
        <v>5</v>
      </c>
      <c r="AH5520">
        <v>1</v>
      </c>
      <c r="AI5520">
        <v>271.75</v>
      </c>
      <c r="AL5520" t="s">
        <v>19615</v>
      </c>
      <c r="AM5520">
        <v>94000</v>
      </c>
      <c r="AS5520">
        <v>4.4</v>
      </c>
      <c r="AT5520" t="s">
        <v>418</v>
      </c>
      <c r="AU5520" t="s">
        <v>130</v>
      </c>
      <c r="AV5520" t="s">
        <v>20733</v>
      </c>
    </row>
    <row r="5521" spans="1:48">
      <c r="A5521" s="1">
        <f>HYPERLINK("https://lsnyc.legalserver.org/matter/dynamic-profile/view/1907459","19-1907459")</f>
        <v>0</v>
      </c>
      <c r="B5521" t="s">
        <v>138</v>
      </c>
      <c r="C5521" t="s">
        <v>256</v>
      </c>
      <c r="D5521" t="s">
        <v>275</v>
      </c>
      <c r="F5521" t="s">
        <v>2518</v>
      </c>
      <c r="G5521" t="s">
        <v>4470</v>
      </c>
      <c r="H5521" t="s">
        <v>7984</v>
      </c>
      <c r="I5521">
        <v>4</v>
      </c>
      <c r="J5521" t="s">
        <v>9067</v>
      </c>
      <c r="K5521">
        <v>10034</v>
      </c>
      <c r="L5521" t="s">
        <v>9094</v>
      </c>
      <c r="M5521" t="s">
        <v>9095</v>
      </c>
      <c r="P5521" t="s">
        <v>11169</v>
      </c>
      <c r="R5521" t="s">
        <v>11180</v>
      </c>
      <c r="S5521" t="s">
        <v>9096</v>
      </c>
      <c r="T5521" t="s">
        <v>11183</v>
      </c>
      <c r="V5521" t="s">
        <v>275</v>
      </c>
      <c r="W5521">
        <v>1384</v>
      </c>
      <c r="X5521" t="s">
        <v>11335</v>
      </c>
      <c r="Y5521" t="s">
        <v>11338</v>
      </c>
      <c r="Z5521" t="s">
        <v>14829</v>
      </c>
      <c r="AB5521" t="s">
        <v>19151</v>
      </c>
      <c r="AC5521">
        <v>20</v>
      </c>
      <c r="AD5521" t="s">
        <v>19566</v>
      </c>
      <c r="AE5521" t="s">
        <v>9144</v>
      </c>
      <c r="AF5521">
        <v>7</v>
      </c>
      <c r="AG5521">
        <v>4</v>
      </c>
      <c r="AH5521">
        <v>1</v>
      </c>
      <c r="AI5521">
        <v>271.79</v>
      </c>
      <c r="AL5521" t="s">
        <v>19615</v>
      </c>
      <c r="AM5521">
        <v>82000</v>
      </c>
      <c r="AS5521">
        <v>43.45</v>
      </c>
      <c r="AT5521" t="s">
        <v>395</v>
      </c>
      <c r="AU5521" t="s">
        <v>130</v>
      </c>
      <c r="AV5521" t="s">
        <v>20733</v>
      </c>
    </row>
    <row r="5522" spans="1:48">
      <c r="A5522" s="1">
        <f>HYPERLINK("https://lsnyc.legalserver.org/matter/dynamic-profile/view/1889297","19-1889297")</f>
        <v>0</v>
      </c>
      <c r="B5522" t="s">
        <v>138</v>
      </c>
      <c r="C5522" t="s">
        <v>256</v>
      </c>
      <c r="D5522" t="s">
        <v>348</v>
      </c>
      <c r="F5522" t="s">
        <v>1358</v>
      </c>
      <c r="G5522" t="s">
        <v>5337</v>
      </c>
      <c r="H5522" t="s">
        <v>6093</v>
      </c>
      <c r="I5522">
        <v>34</v>
      </c>
      <c r="J5522" t="s">
        <v>9067</v>
      </c>
      <c r="K5522">
        <v>10034</v>
      </c>
      <c r="L5522" t="s">
        <v>9094</v>
      </c>
      <c r="M5522" t="s">
        <v>9094</v>
      </c>
      <c r="N5522" t="s">
        <v>9999</v>
      </c>
      <c r="O5522" t="s">
        <v>11130</v>
      </c>
      <c r="P5522" t="s">
        <v>11165</v>
      </c>
      <c r="R5522" t="s">
        <v>11180</v>
      </c>
      <c r="S5522" t="s">
        <v>9094</v>
      </c>
      <c r="T5522" t="s">
        <v>11183</v>
      </c>
      <c r="V5522" t="s">
        <v>348</v>
      </c>
      <c r="W5522">
        <v>967.59</v>
      </c>
      <c r="X5522" t="s">
        <v>11335</v>
      </c>
      <c r="Y5522" t="s">
        <v>11338</v>
      </c>
      <c r="Z5522" t="s">
        <v>14830</v>
      </c>
      <c r="AB5522" t="s">
        <v>19152</v>
      </c>
      <c r="AC5522">
        <v>25</v>
      </c>
      <c r="AD5522" t="s">
        <v>19566</v>
      </c>
      <c r="AE5522" t="s">
        <v>9144</v>
      </c>
      <c r="AF5522">
        <v>35</v>
      </c>
      <c r="AG5522">
        <v>3</v>
      </c>
      <c r="AH5522">
        <v>0</v>
      </c>
      <c r="AI5522">
        <v>271.8</v>
      </c>
      <c r="AL5522" t="s">
        <v>19615</v>
      </c>
      <c r="AM5522">
        <v>57975.48</v>
      </c>
      <c r="AS5522">
        <v>1.6</v>
      </c>
      <c r="AT5522" t="s">
        <v>1135</v>
      </c>
      <c r="AU5522" t="s">
        <v>130</v>
      </c>
    </row>
    <row r="5523" spans="1:48">
      <c r="A5523" s="1">
        <f>HYPERLINK("https://lsnyc.legalserver.org/matter/dynamic-profile/view/1864498","18-1864498")</f>
        <v>0</v>
      </c>
      <c r="B5523" t="s">
        <v>136</v>
      </c>
      <c r="C5523" t="s">
        <v>256</v>
      </c>
      <c r="D5523" t="s">
        <v>552</v>
      </c>
      <c r="F5523" t="s">
        <v>3107</v>
      </c>
      <c r="G5523" t="s">
        <v>4241</v>
      </c>
      <c r="H5523" t="s">
        <v>5961</v>
      </c>
      <c r="I5523">
        <v>702</v>
      </c>
      <c r="J5523" t="s">
        <v>9067</v>
      </c>
      <c r="K5523">
        <v>10029</v>
      </c>
      <c r="L5523" t="s">
        <v>9094</v>
      </c>
      <c r="M5523" t="s">
        <v>9094</v>
      </c>
      <c r="N5523" t="s">
        <v>9287</v>
      </c>
      <c r="O5523" t="s">
        <v>11130</v>
      </c>
      <c r="P5523" t="s">
        <v>11165</v>
      </c>
      <c r="R5523" t="s">
        <v>11180</v>
      </c>
      <c r="S5523" t="s">
        <v>9094</v>
      </c>
      <c r="T5523" t="s">
        <v>11183</v>
      </c>
      <c r="U5523" t="s">
        <v>11201</v>
      </c>
      <c r="V5523" t="s">
        <v>552</v>
      </c>
      <c r="W5523">
        <v>0</v>
      </c>
      <c r="X5523" t="s">
        <v>11335</v>
      </c>
      <c r="Y5523" t="s">
        <v>11339</v>
      </c>
      <c r="Z5523" t="s">
        <v>14831</v>
      </c>
      <c r="AB5523" t="s">
        <v>19153</v>
      </c>
      <c r="AC5523">
        <v>108</v>
      </c>
      <c r="AD5523" t="s">
        <v>19567</v>
      </c>
      <c r="AE5523" t="s">
        <v>19580</v>
      </c>
      <c r="AF5523">
        <v>9</v>
      </c>
      <c r="AG5523">
        <v>1</v>
      </c>
      <c r="AH5523">
        <v>0</v>
      </c>
      <c r="AI5523">
        <v>271.83</v>
      </c>
      <c r="AL5523" t="s">
        <v>19614</v>
      </c>
      <c r="AM5523">
        <v>33000</v>
      </c>
      <c r="AS5523">
        <v>0.25</v>
      </c>
      <c r="AT5523" t="s">
        <v>289</v>
      </c>
      <c r="AU5523" t="s">
        <v>20657</v>
      </c>
    </row>
    <row r="5524" spans="1:48">
      <c r="A5524" s="1">
        <f>HYPERLINK("https://lsnyc.legalserver.org/matter/dynamic-profile/view/1898243","19-1898243")</f>
        <v>0</v>
      </c>
      <c r="B5524" t="s">
        <v>70</v>
      </c>
      <c r="C5524" t="s">
        <v>256</v>
      </c>
      <c r="D5524" t="s">
        <v>596</v>
      </c>
      <c r="F5524" t="s">
        <v>3108</v>
      </c>
      <c r="G5524" t="s">
        <v>5407</v>
      </c>
      <c r="H5524" t="s">
        <v>5748</v>
      </c>
      <c r="I5524" t="s">
        <v>8627</v>
      </c>
      <c r="J5524" t="s">
        <v>9059</v>
      </c>
      <c r="K5524">
        <v>11233</v>
      </c>
      <c r="L5524" t="s">
        <v>9094</v>
      </c>
      <c r="M5524" t="s">
        <v>9096</v>
      </c>
      <c r="N5524" t="s">
        <v>9145</v>
      </c>
      <c r="O5524" t="s">
        <v>11134</v>
      </c>
      <c r="P5524" t="s">
        <v>11168</v>
      </c>
      <c r="R5524" t="s">
        <v>11180</v>
      </c>
      <c r="S5524" t="s">
        <v>9094</v>
      </c>
      <c r="T5524" t="s">
        <v>11183</v>
      </c>
      <c r="U5524" t="s">
        <v>11201</v>
      </c>
      <c r="V5524" t="s">
        <v>482</v>
      </c>
      <c r="W5524">
        <v>1024</v>
      </c>
      <c r="X5524" t="s">
        <v>11332</v>
      </c>
      <c r="Y5524" t="s">
        <v>11157</v>
      </c>
      <c r="Z5524" t="s">
        <v>14832</v>
      </c>
      <c r="AC5524">
        <v>359</v>
      </c>
      <c r="AD5524" t="s">
        <v>19566</v>
      </c>
      <c r="AF5524">
        <v>24</v>
      </c>
      <c r="AG5524">
        <v>3</v>
      </c>
      <c r="AH5524">
        <v>1</v>
      </c>
      <c r="AI5524">
        <v>271.84</v>
      </c>
      <c r="AL5524" t="s">
        <v>19614</v>
      </c>
      <c r="AM5524">
        <v>70000</v>
      </c>
      <c r="AN5524" t="s">
        <v>19642</v>
      </c>
      <c r="AS5524">
        <v>0</v>
      </c>
      <c r="AU5524" t="s">
        <v>79</v>
      </c>
    </row>
    <row r="5525" spans="1:48">
      <c r="A5525" s="1">
        <f>HYPERLINK("https://lsnyc.legalserver.org/matter/dynamic-profile/view/1898244","19-1898244")</f>
        <v>0</v>
      </c>
      <c r="B5525" t="s">
        <v>70</v>
      </c>
      <c r="C5525" t="s">
        <v>256</v>
      </c>
      <c r="D5525" t="s">
        <v>596</v>
      </c>
      <c r="F5525" t="s">
        <v>3108</v>
      </c>
      <c r="G5525" t="s">
        <v>5407</v>
      </c>
      <c r="H5525" t="s">
        <v>5748</v>
      </c>
      <c r="I5525" t="s">
        <v>8627</v>
      </c>
      <c r="J5525" t="s">
        <v>9059</v>
      </c>
      <c r="K5525">
        <v>11233</v>
      </c>
      <c r="L5525" t="s">
        <v>9094</v>
      </c>
      <c r="M5525" t="s">
        <v>9096</v>
      </c>
      <c r="O5525" t="s">
        <v>11137</v>
      </c>
      <c r="P5525" t="s">
        <v>11167</v>
      </c>
      <c r="R5525" t="s">
        <v>11180</v>
      </c>
      <c r="S5525" t="s">
        <v>9094</v>
      </c>
      <c r="T5525" t="s">
        <v>11183</v>
      </c>
      <c r="U5525" t="s">
        <v>11201</v>
      </c>
      <c r="V5525" t="s">
        <v>749</v>
      </c>
      <c r="W5525">
        <v>1024</v>
      </c>
      <c r="X5525" t="s">
        <v>11332</v>
      </c>
      <c r="Y5525" t="s">
        <v>11157</v>
      </c>
      <c r="Z5525" t="s">
        <v>14832</v>
      </c>
      <c r="AC5525">
        <v>359</v>
      </c>
      <c r="AD5525" t="s">
        <v>19566</v>
      </c>
      <c r="AF5525">
        <v>24</v>
      </c>
      <c r="AG5525">
        <v>3</v>
      </c>
      <c r="AH5525">
        <v>1</v>
      </c>
      <c r="AI5525">
        <v>271.84</v>
      </c>
      <c r="AL5525" t="s">
        <v>19614</v>
      </c>
      <c r="AM5525">
        <v>70000</v>
      </c>
      <c r="AN5525" t="s">
        <v>20138</v>
      </c>
      <c r="AS5525">
        <v>0</v>
      </c>
      <c r="AU5525" t="s">
        <v>79</v>
      </c>
    </row>
    <row r="5526" spans="1:48">
      <c r="A5526" s="1">
        <f>HYPERLINK("https://lsnyc.legalserver.org/matter/dynamic-profile/view/1894029","19-1894029")</f>
        <v>0</v>
      </c>
      <c r="B5526" t="s">
        <v>151</v>
      </c>
      <c r="C5526" t="s">
        <v>256</v>
      </c>
      <c r="D5526" t="s">
        <v>274</v>
      </c>
      <c r="F5526" t="s">
        <v>2972</v>
      </c>
      <c r="G5526" t="s">
        <v>5408</v>
      </c>
      <c r="H5526" t="s">
        <v>7985</v>
      </c>
      <c r="I5526" t="s">
        <v>8221</v>
      </c>
      <c r="J5526" t="s">
        <v>9059</v>
      </c>
      <c r="K5526">
        <v>11212</v>
      </c>
      <c r="L5526" t="s">
        <v>9094</v>
      </c>
      <c r="M5526" t="s">
        <v>9094</v>
      </c>
      <c r="N5526" t="s">
        <v>9102</v>
      </c>
      <c r="O5526" t="s">
        <v>11136</v>
      </c>
      <c r="P5526" t="s">
        <v>11164</v>
      </c>
      <c r="R5526" t="s">
        <v>11180</v>
      </c>
      <c r="S5526" t="s">
        <v>9094</v>
      </c>
      <c r="T5526" t="s">
        <v>11183</v>
      </c>
      <c r="V5526" t="s">
        <v>274</v>
      </c>
      <c r="W5526">
        <v>1151</v>
      </c>
      <c r="X5526" t="s">
        <v>11332</v>
      </c>
      <c r="Y5526" t="s">
        <v>11346</v>
      </c>
      <c r="Z5526" t="s">
        <v>12438</v>
      </c>
      <c r="AB5526" t="s">
        <v>19154</v>
      </c>
      <c r="AC5526">
        <v>73</v>
      </c>
      <c r="AD5526" t="s">
        <v>19566</v>
      </c>
      <c r="AE5526" t="s">
        <v>9144</v>
      </c>
      <c r="AF5526">
        <v>20</v>
      </c>
      <c r="AG5526">
        <v>3</v>
      </c>
      <c r="AH5526">
        <v>1</v>
      </c>
      <c r="AI5526">
        <v>271.84</v>
      </c>
      <c r="AL5526" t="s">
        <v>19614</v>
      </c>
      <c r="AM5526">
        <v>70000</v>
      </c>
      <c r="AS5526">
        <v>8</v>
      </c>
      <c r="AT5526" t="s">
        <v>507</v>
      </c>
      <c r="AU5526" t="s">
        <v>151</v>
      </c>
    </row>
    <row r="5527" spans="1:48">
      <c r="A5527" s="1">
        <f>HYPERLINK("https://lsnyc.legalserver.org/matter/dynamic-profile/view/1902942","19-1902942")</f>
        <v>0</v>
      </c>
      <c r="B5527" t="s">
        <v>110</v>
      </c>
      <c r="C5527" t="s">
        <v>257</v>
      </c>
      <c r="D5527" t="s">
        <v>760</v>
      </c>
      <c r="E5527" t="s">
        <v>328</v>
      </c>
      <c r="F5527" t="s">
        <v>1489</v>
      </c>
      <c r="G5527" t="s">
        <v>3644</v>
      </c>
      <c r="H5527" t="s">
        <v>7986</v>
      </c>
      <c r="I5527" t="s">
        <v>8160</v>
      </c>
      <c r="J5527" t="s">
        <v>9065</v>
      </c>
      <c r="K5527">
        <v>10467</v>
      </c>
      <c r="L5527" t="s">
        <v>9094</v>
      </c>
      <c r="M5527" t="s">
        <v>9095</v>
      </c>
      <c r="O5527" t="s">
        <v>9121</v>
      </c>
      <c r="P5527" t="s">
        <v>11167</v>
      </c>
      <c r="Q5527" t="s">
        <v>11172</v>
      </c>
      <c r="R5527" t="s">
        <v>11180</v>
      </c>
      <c r="S5527" t="s">
        <v>9096</v>
      </c>
      <c r="T5527" t="s">
        <v>11183</v>
      </c>
      <c r="V5527" t="s">
        <v>11218</v>
      </c>
      <c r="W5527">
        <v>1588.82</v>
      </c>
      <c r="X5527" t="s">
        <v>11333</v>
      </c>
      <c r="Y5527" t="s">
        <v>11346</v>
      </c>
      <c r="Z5527" t="s">
        <v>14833</v>
      </c>
      <c r="AC5527">
        <v>0</v>
      </c>
      <c r="AD5527" t="s">
        <v>19566</v>
      </c>
      <c r="AE5527" t="s">
        <v>9144</v>
      </c>
      <c r="AF5527">
        <v>2</v>
      </c>
      <c r="AG5527">
        <v>3</v>
      </c>
      <c r="AH5527">
        <v>1</v>
      </c>
      <c r="AI5527">
        <v>271.84</v>
      </c>
      <c r="AL5527" t="s">
        <v>19614</v>
      </c>
      <c r="AM5527">
        <v>70000</v>
      </c>
      <c r="AS5527">
        <v>1.5</v>
      </c>
      <c r="AT5527" t="s">
        <v>760</v>
      </c>
      <c r="AU5527" t="s">
        <v>110</v>
      </c>
      <c r="AV5527" t="s">
        <v>20733</v>
      </c>
    </row>
    <row r="5528" spans="1:48">
      <c r="A5528" s="1">
        <f>HYPERLINK("https://lsnyc.legalserver.org/matter/dynamic-profile/view/1898606","19-1898606")</f>
        <v>0</v>
      </c>
      <c r="B5528" t="s">
        <v>137</v>
      </c>
      <c r="C5528" t="s">
        <v>256</v>
      </c>
      <c r="D5528" t="s">
        <v>614</v>
      </c>
      <c r="F5528" t="s">
        <v>1702</v>
      </c>
      <c r="G5528" t="s">
        <v>5409</v>
      </c>
      <c r="H5528" t="s">
        <v>7232</v>
      </c>
      <c r="I5528" t="s">
        <v>8225</v>
      </c>
      <c r="J5528" t="s">
        <v>9067</v>
      </c>
      <c r="K5528">
        <v>10034</v>
      </c>
      <c r="L5528" t="s">
        <v>9094</v>
      </c>
      <c r="M5528" t="s">
        <v>9094</v>
      </c>
      <c r="P5528" t="s">
        <v>11164</v>
      </c>
      <c r="R5528" t="s">
        <v>11180</v>
      </c>
      <c r="S5528" t="s">
        <v>9096</v>
      </c>
      <c r="T5528" t="s">
        <v>11183</v>
      </c>
      <c r="V5528" t="s">
        <v>614</v>
      </c>
      <c r="W5528">
        <v>4200</v>
      </c>
      <c r="X5528" t="s">
        <v>11335</v>
      </c>
      <c r="Y5528" t="s">
        <v>11338</v>
      </c>
      <c r="Z5528" t="s">
        <v>14834</v>
      </c>
      <c r="AB5528" t="s">
        <v>19155</v>
      </c>
      <c r="AC5528">
        <v>0</v>
      </c>
      <c r="AD5528" t="s">
        <v>19566</v>
      </c>
      <c r="AE5528" t="s">
        <v>9144</v>
      </c>
      <c r="AF5528">
        <v>1</v>
      </c>
      <c r="AG5528">
        <v>1</v>
      </c>
      <c r="AH5528">
        <v>3</v>
      </c>
      <c r="AI5528">
        <v>271.84</v>
      </c>
      <c r="AL5528" t="s">
        <v>19614</v>
      </c>
      <c r="AM5528">
        <v>70000</v>
      </c>
      <c r="AS5528">
        <v>2.65</v>
      </c>
      <c r="AT5528" t="s">
        <v>293</v>
      </c>
      <c r="AU5528" t="s">
        <v>130</v>
      </c>
    </row>
    <row r="5529" spans="1:48">
      <c r="A5529" s="1">
        <f>HYPERLINK("https://lsnyc.legalserver.org/matter/dynamic-profile/view/1879059","18-1879059")</f>
        <v>0</v>
      </c>
      <c r="B5529" t="s">
        <v>78</v>
      </c>
      <c r="C5529" t="s">
        <v>256</v>
      </c>
      <c r="D5529" t="s">
        <v>1042</v>
      </c>
      <c r="F5529" t="s">
        <v>2598</v>
      </c>
      <c r="G5529" t="s">
        <v>5395</v>
      </c>
      <c r="H5529" t="s">
        <v>7577</v>
      </c>
      <c r="I5529" t="s">
        <v>8193</v>
      </c>
      <c r="J5529" t="s">
        <v>9059</v>
      </c>
      <c r="K5529">
        <v>11221</v>
      </c>
      <c r="L5529" t="s">
        <v>9094</v>
      </c>
      <c r="M5529" t="s">
        <v>9094</v>
      </c>
      <c r="O5529" t="s">
        <v>11134</v>
      </c>
      <c r="P5529" t="s">
        <v>11168</v>
      </c>
      <c r="R5529" t="s">
        <v>11180</v>
      </c>
      <c r="S5529" t="s">
        <v>9094</v>
      </c>
      <c r="T5529" t="s">
        <v>11183</v>
      </c>
      <c r="V5529" t="s">
        <v>11289</v>
      </c>
      <c r="W5529">
        <v>732</v>
      </c>
      <c r="X5529" t="s">
        <v>11332</v>
      </c>
      <c r="Y5529" t="s">
        <v>11346</v>
      </c>
      <c r="Z5529" t="s">
        <v>14210</v>
      </c>
      <c r="AB5529" t="s">
        <v>19132</v>
      </c>
      <c r="AC5529">
        <v>13</v>
      </c>
      <c r="AD5529" t="s">
        <v>19566</v>
      </c>
      <c r="AE5529" t="s">
        <v>9144</v>
      </c>
      <c r="AF5529">
        <v>25</v>
      </c>
      <c r="AG5529">
        <v>3</v>
      </c>
      <c r="AH5529">
        <v>2</v>
      </c>
      <c r="AI5529">
        <v>271.92</v>
      </c>
      <c r="AL5529" t="s">
        <v>19614</v>
      </c>
      <c r="AM5529">
        <v>80000</v>
      </c>
      <c r="AN5529" t="s">
        <v>20139</v>
      </c>
      <c r="AS5529">
        <v>0</v>
      </c>
      <c r="AU5529" t="s">
        <v>95</v>
      </c>
    </row>
    <row r="5530" spans="1:48">
      <c r="A5530" s="1">
        <f>HYPERLINK("https://lsnyc.legalserver.org/matter/dynamic-profile/view/1879060","18-1879060")</f>
        <v>0</v>
      </c>
      <c r="B5530" t="s">
        <v>78</v>
      </c>
      <c r="C5530" t="s">
        <v>256</v>
      </c>
      <c r="D5530" t="s">
        <v>1042</v>
      </c>
      <c r="F5530" t="s">
        <v>2598</v>
      </c>
      <c r="G5530" t="s">
        <v>5395</v>
      </c>
      <c r="H5530" t="s">
        <v>7577</v>
      </c>
      <c r="I5530" t="s">
        <v>8193</v>
      </c>
      <c r="J5530" t="s">
        <v>9059</v>
      </c>
      <c r="K5530">
        <v>11221</v>
      </c>
      <c r="L5530" t="s">
        <v>9094</v>
      </c>
      <c r="M5530" t="s">
        <v>9094</v>
      </c>
      <c r="N5530" t="s">
        <v>10536</v>
      </c>
      <c r="O5530" t="s">
        <v>11130</v>
      </c>
      <c r="P5530" t="s">
        <v>11165</v>
      </c>
      <c r="R5530" t="s">
        <v>11180</v>
      </c>
      <c r="S5530" t="s">
        <v>9094</v>
      </c>
      <c r="T5530" t="s">
        <v>11183</v>
      </c>
      <c r="V5530" t="s">
        <v>11319</v>
      </c>
      <c r="W5530">
        <v>732</v>
      </c>
      <c r="X5530" t="s">
        <v>11332</v>
      </c>
      <c r="Y5530" t="s">
        <v>11346</v>
      </c>
      <c r="Z5530" t="s">
        <v>14210</v>
      </c>
      <c r="AB5530" t="s">
        <v>19132</v>
      </c>
      <c r="AC5530">
        <v>13</v>
      </c>
      <c r="AD5530" t="s">
        <v>19566</v>
      </c>
      <c r="AE5530" t="s">
        <v>9144</v>
      </c>
      <c r="AF5530">
        <v>25</v>
      </c>
      <c r="AG5530">
        <v>3</v>
      </c>
      <c r="AH5530">
        <v>2</v>
      </c>
      <c r="AI5530">
        <v>271.92</v>
      </c>
      <c r="AL5530" t="s">
        <v>19614</v>
      </c>
      <c r="AM5530">
        <v>80000</v>
      </c>
      <c r="AN5530" t="s">
        <v>20139</v>
      </c>
      <c r="AS5530">
        <v>0</v>
      </c>
      <c r="AU5530" t="s">
        <v>95</v>
      </c>
    </row>
    <row r="5531" spans="1:48">
      <c r="A5531" s="1">
        <f>HYPERLINK("https://lsnyc.legalserver.org/matter/dynamic-profile/view/1907526","19-1907526")</f>
        <v>0</v>
      </c>
      <c r="B5531" t="s">
        <v>98</v>
      </c>
      <c r="C5531" t="s">
        <v>256</v>
      </c>
      <c r="D5531" t="s">
        <v>275</v>
      </c>
      <c r="F5531" t="s">
        <v>3109</v>
      </c>
      <c r="G5531" t="s">
        <v>1193</v>
      </c>
      <c r="H5531" t="s">
        <v>5851</v>
      </c>
      <c r="I5531" t="s">
        <v>8124</v>
      </c>
      <c r="J5531" t="s">
        <v>9065</v>
      </c>
      <c r="K5531">
        <v>10474</v>
      </c>
      <c r="L5531" t="s">
        <v>9095</v>
      </c>
      <c r="M5531" t="s">
        <v>9095</v>
      </c>
      <c r="N5531" t="s">
        <v>9218</v>
      </c>
      <c r="O5531" t="s">
        <v>11134</v>
      </c>
      <c r="P5531" t="s">
        <v>11168</v>
      </c>
      <c r="R5531" t="s">
        <v>11180</v>
      </c>
      <c r="S5531" t="s">
        <v>9094</v>
      </c>
      <c r="T5531" t="s">
        <v>11183</v>
      </c>
      <c r="W5531">
        <v>1650</v>
      </c>
      <c r="X5531" t="s">
        <v>11333</v>
      </c>
      <c r="Y5531" t="s">
        <v>11346</v>
      </c>
      <c r="Z5531" t="s">
        <v>14835</v>
      </c>
      <c r="AB5531" t="s">
        <v>19156</v>
      </c>
      <c r="AC5531">
        <v>45</v>
      </c>
      <c r="AD5531" t="s">
        <v>19566</v>
      </c>
      <c r="AE5531" t="s">
        <v>9144</v>
      </c>
      <c r="AF5531">
        <v>2</v>
      </c>
      <c r="AG5531">
        <v>2</v>
      </c>
      <c r="AH5531">
        <v>1</v>
      </c>
      <c r="AI5531">
        <v>271.92</v>
      </c>
      <c r="AL5531" t="s">
        <v>19614</v>
      </c>
      <c r="AM5531">
        <v>58000</v>
      </c>
      <c r="AS5531">
        <v>0</v>
      </c>
      <c r="AU5531" t="s">
        <v>98</v>
      </c>
    </row>
    <row r="5532" spans="1:48">
      <c r="A5532" s="1">
        <f>HYPERLINK("https://lsnyc.legalserver.org/matter/dynamic-profile/view/1862878","18-1862878")</f>
        <v>0</v>
      </c>
      <c r="B5532" t="s">
        <v>193</v>
      </c>
      <c r="C5532" t="s">
        <v>256</v>
      </c>
      <c r="D5532" t="s">
        <v>439</v>
      </c>
      <c r="F5532" t="s">
        <v>3110</v>
      </c>
      <c r="G5532" t="s">
        <v>3332</v>
      </c>
      <c r="H5532" t="s">
        <v>7987</v>
      </c>
      <c r="I5532" t="s">
        <v>8116</v>
      </c>
      <c r="J5532" t="s">
        <v>9039</v>
      </c>
      <c r="K5532">
        <v>11436</v>
      </c>
      <c r="L5532" t="s">
        <v>9094</v>
      </c>
      <c r="M5532" t="s">
        <v>9095</v>
      </c>
      <c r="N5532" t="s">
        <v>11014</v>
      </c>
      <c r="O5532" t="s">
        <v>11128</v>
      </c>
      <c r="P5532" t="s">
        <v>11165</v>
      </c>
      <c r="R5532" t="s">
        <v>11180</v>
      </c>
      <c r="S5532" t="s">
        <v>9096</v>
      </c>
      <c r="T5532" t="s">
        <v>11183</v>
      </c>
      <c r="V5532" t="s">
        <v>439</v>
      </c>
      <c r="W5532">
        <v>1200</v>
      </c>
      <c r="X5532" t="s">
        <v>11331</v>
      </c>
      <c r="Y5532" t="s">
        <v>11344</v>
      </c>
      <c r="Z5532" t="s">
        <v>14836</v>
      </c>
      <c r="AA5532" t="s">
        <v>9171</v>
      </c>
      <c r="AB5532" t="s">
        <v>19157</v>
      </c>
      <c r="AC5532">
        <v>2</v>
      </c>
      <c r="AD5532" t="s">
        <v>19565</v>
      </c>
      <c r="AE5532" t="s">
        <v>9144</v>
      </c>
      <c r="AF5532">
        <v>13</v>
      </c>
      <c r="AG5532">
        <v>3</v>
      </c>
      <c r="AH5532">
        <v>1</v>
      </c>
      <c r="AI5532">
        <v>272.51</v>
      </c>
      <c r="AJ5532" t="s">
        <v>11246</v>
      </c>
      <c r="AL5532" t="s">
        <v>19614</v>
      </c>
      <c r="AM5532">
        <v>68400</v>
      </c>
      <c r="AN5532" t="s">
        <v>20140</v>
      </c>
      <c r="AS5532">
        <v>1.8</v>
      </c>
      <c r="AT5532" t="s">
        <v>874</v>
      </c>
      <c r="AU5532" t="s">
        <v>20620</v>
      </c>
    </row>
    <row r="5533" spans="1:48">
      <c r="A5533" s="1">
        <f>HYPERLINK("https://lsnyc.legalserver.org/matter/dynamic-profile/view/1913067","19-1913067")</f>
        <v>0</v>
      </c>
      <c r="B5533" t="s">
        <v>62</v>
      </c>
      <c r="C5533" t="s">
        <v>256</v>
      </c>
      <c r="D5533" t="s">
        <v>612</v>
      </c>
      <c r="F5533" t="s">
        <v>3111</v>
      </c>
      <c r="G5533" t="s">
        <v>3518</v>
      </c>
      <c r="H5533" t="s">
        <v>7756</v>
      </c>
      <c r="I5533" t="s">
        <v>8904</v>
      </c>
      <c r="J5533" t="s">
        <v>9054</v>
      </c>
      <c r="K5533">
        <v>11368</v>
      </c>
      <c r="L5533" t="s">
        <v>9094</v>
      </c>
      <c r="M5533" t="s">
        <v>9095</v>
      </c>
      <c r="O5533" t="s">
        <v>11136</v>
      </c>
      <c r="P5533" t="s">
        <v>11167</v>
      </c>
      <c r="R5533" t="s">
        <v>11180</v>
      </c>
      <c r="S5533" t="s">
        <v>9094</v>
      </c>
      <c r="T5533" t="s">
        <v>11183</v>
      </c>
      <c r="V5533" t="s">
        <v>612</v>
      </c>
      <c r="W5533">
        <v>2275</v>
      </c>
      <c r="X5533" t="s">
        <v>11331</v>
      </c>
      <c r="Y5533" t="s">
        <v>11339</v>
      </c>
      <c r="Z5533" t="s">
        <v>14030</v>
      </c>
      <c r="AB5533" t="s">
        <v>15274</v>
      </c>
      <c r="AC5533">
        <v>232</v>
      </c>
      <c r="AD5533" t="s">
        <v>19566</v>
      </c>
      <c r="AE5533" t="s">
        <v>9144</v>
      </c>
      <c r="AF5533">
        <v>1</v>
      </c>
      <c r="AG5533">
        <v>4</v>
      </c>
      <c r="AH5533">
        <v>0</v>
      </c>
      <c r="AI5533">
        <v>272.62</v>
      </c>
      <c r="AL5533" t="s">
        <v>19615</v>
      </c>
      <c r="AM5533">
        <v>70200</v>
      </c>
      <c r="AS5533">
        <v>0.4</v>
      </c>
      <c r="AT5533" t="s">
        <v>612</v>
      </c>
      <c r="AU5533" t="s">
        <v>20620</v>
      </c>
      <c r="AV5533" t="s">
        <v>20733</v>
      </c>
    </row>
    <row r="5534" spans="1:48">
      <c r="A5534" s="1">
        <f>HYPERLINK("https://lsnyc.legalserver.org/matter/dynamic-profile/view/1914520","19-1914520")</f>
        <v>0</v>
      </c>
      <c r="B5534" t="s">
        <v>59</v>
      </c>
      <c r="C5534" t="s">
        <v>256</v>
      </c>
      <c r="D5534" t="s">
        <v>612</v>
      </c>
      <c r="F5534" t="s">
        <v>3111</v>
      </c>
      <c r="G5534" t="s">
        <v>3518</v>
      </c>
      <c r="H5534" t="s">
        <v>7756</v>
      </c>
      <c r="I5534" t="s">
        <v>8904</v>
      </c>
      <c r="J5534" t="s">
        <v>9054</v>
      </c>
      <c r="K5534">
        <v>11368</v>
      </c>
      <c r="L5534" t="s">
        <v>9094</v>
      </c>
      <c r="M5534" t="s">
        <v>9095</v>
      </c>
      <c r="O5534" t="s">
        <v>11136</v>
      </c>
      <c r="P5534" t="s">
        <v>11167</v>
      </c>
      <c r="R5534" t="s">
        <v>11180</v>
      </c>
      <c r="S5534" t="s">
        <v>9094</v>
      </c>
      <c r="T5534" t="s">
        <v>11183</v>
      </c>
      <c r="V5534" t="s">
        <v>612</v>
      </c>
      <c r="W5534">
        <v>2275</v>
      </c>
      <c r="X5534" t="s">
        <v>11331</v>
      </c>
      <c r="Y5534" t="s">
        <v>11339</v>
      </c>
      <c r="Z5534" t="s">
        <v>14030</v>
      </c>
      <c r="AB5534" t="s">
        <v>15274</v>
      </c>
      <c r="AC5534">
        <v>232</v>
      </c>
      <c r="AD5534" t="s">
        <v>19566</v>
      </c>
      <c r="AE5534" t="s">
        <v>9144</v>
      </c>
      <c r="AF5534">
        <v>0</v>
      </c>
      <c r="AG5534">
        <v>4</v>
      </c>
      <c r="AH5534">
        <v>0</v>
      </c>
      <c r="AI5534">
        <v>272.62</v>
      </c>
      <c r="AL5534" t="s">
        <v>19615</v>
      </c>
      <c r="AM5534">
        <v>70200</v>
      </c>
      <c r="AS5534">
        <v>0.5</v>
      </c>
      <c r="AT5534" t="s">
        <v>612</v>
      </c>
      <c r="AU5534" t="s">
        <v>20620</v>
      </c>
      <c r="AV5534" t="s">
        <v>20733</v>
      </c>
    </row>
    <row r="5535" spans="1:48">
      <c r="A5535" s="1">
        <f>HYPERLINK("https://lsnyc.legalserver.org/matter/dynamic-profile/view/1886811","19-1886811")</f>
        <v>0</v>
      </c>
      <c r="B5535" t="s">
        <v>122</v>
      </c>
      <c r="C5535" t="s">
        <v>257</v>
      </c>
      <c r="D5535" t="s">
        <v>611</v>
      </c>
      <c r="E5535" t="s">
        <v>416</v>
      </c>
      <c r="F5535" t="s">
        <v>3112</v>
      </c>
      <c r="G5535" t="s">
        <v>5410</v>
      </c>
      <c r="H5535" t="s">
        <v>6660</v>
      </c>
      <c r="I5535" t="s">
        <v>8967</v>
      </c>
      <c r="J5535" t="s">
        <v>9066</v>
      </c>
      <c r="K5535">
        <v>10304</v>
      </c>
      <c r="L5535" t="s">
        <v>9094</v>
      </c>
      <c r="M5535" t="s">
        <v>9094</v>
      </c>
      <c r="N5535" t="s">
        <v>9102</v>
      </c>
      <c r="O5535" t="s">
        <v>11130</v>
      </c>
      <c r="P5535" t="s">
        <v>11167</v>
      </c>
      <c r="Q5535" t="s">
        <v>11173</v>
      </c>
      <c r="R5535" t="s">
        <v>11180</v>
      </c>
      <c r="S5535" t="s">
        <v>9096</v>
      </c>
      <c r="T5535" t="s">
        <v>11183</v>
      </c>
      <c r="U5535" t="s">
        <v>11201</v>
      </c>
      <c r="V5535" t="s">
        <v>611</v>
      </c>
      <c r="W5535">
        <v>1400</v>
      </c>
      <c r="X5535" t="s">
        <v>11334</v>
      </c>
      <c r="Y5535" t="s">
        <v>11340</v>
      </c>
      <c r="Z5535" t="s">
        <v>14837</v>
      </c>
      <c r="AB5535" t="s">
        <v>19158</v>
      </c>
      <c r="AC5535">
        <v>137</v>
      </c>
      <c r="AD5535" t="s">
        <v>19567</v>
      </c>
      <c r="AE5535" t="s">
        <v>19580</v>
      </c>
      <c r="AF5535">
        <v>9</v>
      </c>
      <c r="AG5535">
        <v>1</v>
      </c>
      <c r="AH5535">
        <v>1</v>
      </c>
      <c r="AI5535">
        <v>273.39</v>
      </c>
      <c r="AL5535" t="s">
        <v>19614</v>
      </c>
      <c r="AM5535">
        <v>45000</v>
      </c>
      <c r="AS5535">
        <v>3</v>
      </c>
      <c r="AT5535" t="s">
        <v>416</v>
      </c>
      <c r="AU5535" t="s">
        <v>122</v>
      </c>
      <c r="AV5535" t="s">
        <v>20733</v>
      </c>
    </row>
    <row r="5536" spans="1:48">
      <c r="A5536" s="1">
        <f>HYPERLINK("https://lsnyc.legalserver.org/matter/dynamic-profile/view/1877605","18-1877605")</f>
        <v>0</v>
      </c>
      <c r="B5536" t="s">
        <v>141</v>
      </c>
      <c r="C5536" t="s">
        <v>257</v>
      </c>
      <c r="D5536" t="s">
        <v>594</v>
      </c>
      <c r="E5536" t="s">
        <v>594</v>
      </c>
      <c r="F5536" t="s">
        <v>3113</v>
      </c>
      <c r="G5536" t="s">
        <v>3940</v>
      </c>
      <c r="H5536" t="s">
        <v>7988</v>
      </c>
      <c r="I5536" t="s">
        <v>8729</v>
      </c>
      <c r="J5536" t="s">
        <v>9067</v>
      </c>
      <c r="K5536">
        <v>10032</v>
      </c>
      <c r="L5536" t="s">
        <v>9094</v>
      </c>
      <c r="M5536" t="s">
        <v>9095</v>
      </c>
      <c r="N5536" t="s">
        <v>11015</v>
      </c>
      <c r="O5536" t="s">
        <v>11128</v>
      </c>
      <c r="P5536" t="s">
        <v>11164</v>
      </c>
      <c r="Q5536" t="s">
        <v>11172</v>
      </c>
      <c r="R5536" t="s">
        <v>11180</v>
      </c>
      <c r="S5536" t="s">
        <v>9096</v>
      </c>
      <c r="T5536" t="s">
        <v>11183</v>
      </c>
      <c r="W5536">
        <v>1584</v>
      </c>
      <c r="X5536" t="s">
        <v>11335</v>
      </c>
      <c r="Z5536" t="s">
        <v>14838</v>
      </c>
      <c r="AB5536" t="s">
        <v>19159</v>
      </c>
      <c r="AC5536">
        <v>0</v>
      </c>
      <c r="AD5536" t="s">
        <v>19570</v>
      </c>
      <c r="AF5536">
        <v>0</v>
      </c>
      <c r="AG5536">
        <v>2</v>
      </c>
      <c r="AH5536">
        <v>0</v>
      </c>
      <c r="AI5536">
        <v>273.39</v>
      </c>
      <c r="AL5536" t="s">
        <v>19615</v>
      </c>
      <c r="AM5536">
        <v>45000</v>
      </c>
      <c r="AS5536">
        <v>0.1</v>
      </c>
      <c r="AT5536" t="s">
        <v>958</v>
      </c>
      <c r="AU5536" t="s">
        <v>141</v>
      </c>
    </row>
    <row r="5537" spans="1:48">
      <c r="A5537" s="1">
        <f>HYPERLINK("https://lsnyc.legalserver.org/matter/dynamic-profile/view/0831083","17-0831083")</f>
        <v>0</v>
      </c>
      <c r="B5537" t="s">
        <v>139</v>
      </c>
      <c r="C5537" t="s">
        <v>256</v>
      </c>
      <c r="D5537" t="s">
        <v>655</v>
      </c>
      <c r="F5537" t="s">
        <v>3114</v>
      </c>
      <c r="G5537" t="s">
        <v>5411</v>
      </c>
      <c r="H5537" t="s">
        <v>6363</v>
      </c>
      <c r="I5537" t="s">
        <v>8153</v>
      </c>
      <c r="J5537" t="s">
        <v>9067</v>
      </c>
      <c r="K5537">
        <v>10040</v>
      </c>
      <c r="L5537" t="s">
        <v>9094</v>
      </c>
      <c r="M5537" t="s">
        <v>9095</v>
      </c>
      <c r="N5537" t="s">
        <v>10703</v>
      </c>
      <c r="O5537" t="s">
        <v>11130</v>
      </c>
      <c r="P5537" t="s">
        <v>11165</v>
      </c>
      <c r="R5537" t="s">
        <v>11180</v>
      </c>
      <c r="S5537" t="s">
        <v>9094</v>
      </c>
      <c r="T5537" t="s">
        <v>11183</v>
      </c>
      <c r="V5537" t="s">
        <v>11298</v>
      </c>
      <c r="W5537">
        <v>1850</v>
      </c>
      <c r="X5537" t="s">
        <v>11335</v>
      </c>
      <c r="Y5537" t="s">
        <v>11339</v>
      </c>
      <c r="Z5537" t="s">
        <v>14839</v>
      </c>
      <c r="AB5537" t="s">
        <v>19160</v>
      </c>
      <c r="AC5537">
        <v>83</v>
      </c>
      <c r="AD5537" t="s">
        <v>19566</v>
      </c>
      <c r="AE5537" t="s">
        <v>9144</v>
      </c>
      <c r="AF5537">
        <v>3</v>
      </c>
      <c r="AG5537">
        <v>2</v>
      </c>
      <c r="AH5537">
        <v>4</v>
      </c>
      <c r="AI5537">
        <v>273.67</v>
      </c>
      <c r="AJ5537" t="s">
        <v>11246</v>
      </c>
      <c r="AL5537" t="s">
        <v>19614</v>
      </c>
      <c r="AM5537">
        <v>90200</v>
      </c>
      <c r="AS5537">
        <v>0</v>
      </c>
      <c r="AT5537" t="s">
        <v>537</v>
      </c>
      <c r="AU5537" t="s">
        <v>20657</v>
      </c>
    </row>
    <row r="5538" spans="1:48">
      <c r="A5538" s="1">
        <f>HYPERLINK("https://lsnyc.legalserver.org/matter/dynamic-profile/view/0831091","17-0831091")</f>
        <v>0</v>
      </c>
      <c r="B5538" t="s">
        <v>139</v>
      </c>
      <c r="C5538" t="s">
        <v>256</v>
      </c>
      <c r="D5538" t="s">
        <v>655</v>
      </c>
      <c r="F5538" t="s">
        <v>3114</v>
      </c>
      <c r="G5538" t="s">
        <v>5411</v>
      </c>
      <c r="H5538" t="s">
        <v>6363</v>
      </c>
      <c r="I5538" t="s">
        <v>8153</v>
      </c>
      <c r="J5538" t="s">
        <v>9067</v>
      </c>
      <c r="K5538">
        <v>10040</v>
      </c>
      <c r="L5538" t="s">
        <v>9094</v>
      </c>
      <c r="M5538" t="s">
        <v>9095</v>
      </c>
      <c r="O5538" t="s">
        <v>9121</v>
      </c>
      <c r="P5538" t="s">
        <v>11166</v>
      </c>
      <c r="R5538" t="s">
        <v>11180</v>
      </c>
      <c r="S5538" t="s">
        <v>9094</v>
      </c>
      <c r="T5538" t="s">
        <v>11183</v>
      </c>
      <c r="V5538" t="s">
        <v>11298</v>
      </c>
      <c r="W5538">
        <v>1850</v>
      </c>
      <c r="X5538" t="s">
        <v>11335</v>
      </c>
      <c r="Z5538" t="s">
        <v>14839</v>
      </c>
      <c r="AB5538" t="s">
        <v>19160</v>
      </c>
      <c r="AC5538">
        <v>83</v>
      </c>
      <c r="AD5538" t="s">
        <v>19566</v>
      </c>
      <c r="AE5538" t="s">
        <v>9144</v>
      </c>
      <c r="AF5538">
        <v>3</v>
      </c>
      <c r="AG5538">
        <v>2</v>
      </c>
      <c r="AH5538">
        <v>4</v>
      </c>
      <c r="AI5538">
        <v>273.67</v>
      </c>
      <c r="AJ5538" t="s">
        <v>463</v>
      </c>
      <c r="AL5538" t="s">
        <v>19614</v>
      </c>
      <c r="AM5538">
        <v>124000</v>
      </c>
      <c r="AS5538">
        <v>0</v>
      </c>
      <c r="AU5538" t="s">
        <v>20657</v>
      </c>
    </row>
    <row r="5539" spans="1:48">
      <c r="A5539" s="1">
        <f>HYPERLINK("https://lsnyc.legalserver.org/matter/dynamic-profile/view/0830813","17-0830813")</f>
        <v>0</v>
      </c>
      <c r="B5539" t="s">
        <v>139</v>
      </c>
      <c r="C5539" t="s">
        <v>256</v>
      </c>
      <c r="D5539" t="s">
        <v>652</v>
      </c>
      <c r="F5539" t="s">
        <v>1183</v>
      </c>
      <c r="G5539" t="s">
        <v>3630</v>
      </c>
      <c r="H5539" t="s">
        <v>5959</v>
      </c>
      <c r="I5539">
        <v>25</v>
      </c>
      <c r="J5539" t="s">
        <v>9067</v>
      </c>
      <c r="K5539">
        <v>10032</v>
      </c>
      <c r="L5539" t="s">
        <v>9095</v>
      </c>
      <c r="M5539" t="s">
        <v>9095</v>
      </c>
      <c r="N5539" t="s">
        <v>11016</v>
      </c>
      <c r="O5539" t="s">
        <v>11130</v>
      </c>
      <c r="P5539" t="s">
        <v>11165</v>
      </c>
      <c r="R5539" t="s">
        <v>11180</v>
      </c>
      <c r="S5539" t="s">
        <v>9094</v>
      </c>
      <c r="T5539" t="s">
        <v>11183</v>
      </c>
      <c r="V5539" t="s">
        <v>1021</v>
      </c>
      <c r="W5539">
        <v>1021.83</v>
      </c>
      <c r="X5539" t="s">
        <v>11335</v>
      </c>
      <c r="Y5539" t="s">
        <v>11339</v>
      </c>
      <c r="Z5539" t="s">
        <v>14840</v>
      </c>
      <c r="AB5539" t="s">
        <v>19161</v>
      </c>
      <c r="AC5539">
        <v>35</v>
      </c>
      <c r="AD5539" t="s">
        <v>19566</v>
      </c>
      <c r="AE5539" t="s">
        <v>9144</v>
      </c>
      <c r="AF5539">
        <v>35</v>
      </c>
      <c r="AG5539">
        <v>4</v>
      </c>
      <c r="AH5539">
        <v>0</v>
      </c>
      <c r="AI5539">
        <v>274.8</v>
      </c>
      <c r="AJ5539" t="s">
        <v>704</v>
      </c>
      <c r="AL5539" t="s">
        <v>19615</v>
      </c>
      <c r="AM5539">
        <v>67600</v>
      </c>
      <c r="AS5539">
        <v>3.85</v>
      </c>
      <c r="AT5539" t="s">
        <v>688</v>
      </c>
      <c r="AU5539" t="s">
        <v>20657</v>
      </c>
    </row>
    <row r="5540" spans="1:48">
      <c r="A5540" s="1">
        <f>HYPERLINK("https://lsnyc.legalserver.org/matter/dynamic-profile/view/1871539","18-1871539")</f>
        <v>0</v>
      </c>
      <c r="B5540" t="s">
        <v>78</v>
      </c>
      <c r="C5540" t="s">
        <v>256</v>
      </c>
      <c r="D5540" t="s">
        <v>389</v>
      </c>
      <c r="F5540" t="s">
        <v>1238</v>
      </c>
      <c r="G5540" t="s">
        <v>4709</v>
      </c>
      <c r="H5540" t="s">
        <v>5809</v>
      </c>
      <c r="I5540" t="s">
        <v>8390</v>
      </c>
      <c r="J5540" t="s">
        <v>9059</v>
      </c>
      <c r="K5540">
        <v>11212</v>
      </c>
      <c r="L5540" t="s">
        <v>9094</v>
      </c>
      <c r="M5540" t="s">
        <v>9094</v>
      </c>
      <c r="O5540" t="s">
        <v>9121</v>
      </c>
      <c r="P5540" t="s">
        <v>11167</v>
      </c>
      <c r="R5540" t="s">
        <v>11180</v>
      </c>
      <c r="S5540" t="s">
        <v>9094</v>
      </c>
      <c r="T5540" t="s">
        <v>11183</v>
      </c>
      <c r="V5540" t="s">
        <v>11214</v>
      </c>
      <c r="W5540">
        <v>893.61</v>
      </c>
      <c r="X5540" t="s">
        <v>11332</v>
      </c>
      <c r="Y5540" t="s">
        <v>11157</v>
      </c>
      <c r="Z5540" t="s">
        <v>13547</v>
      </c>
      <c r="AB5540" t="s">
        <v>17883</v>
      </c>
      <c r="AC5540">
        <v>32</v>
      </c>
      <c r="AD5540" t="s">
        <v>19566</v>
      </c>
      <c r="AF5540">
        <v>8</v>
      </c>
      <c r="AG5540">
        <v>3</v>
      </c>
      <c r="AH5540">
        <v>0</v>
      </c>
      <c r="AI5540">
        <v>275.26</v>
      </c>
      <c r="AL5540" t="s">
        <v>19614</v>
      </c>
      <c r="AM5540">
        <v>57200</v>
      </c>
      <c r="AN5540" t="s">
        <v>19936</v>
      </c>
      <c r="AS5540">
        <v>0</v>
      </c>
      <c r="AU5540" t="s">
        <v>20637</v>
      </c>
    </row>
    <row r="5541" spans="1:48">
      <c r="A5541" s="1">
        <f>HYPERLINK("https://lsnyc.legalserver.org/matter/dynamic-profile/view/1908285","19-1908285")</f>
        <v>0</v>
      </c>
      <c r="B5541" t="s">
        <v>71</v>
      </c>
      <c r="C5541" t="s">
        <v>257</v>
      </c>
      <c r="D5541" t="s">
        <v>335</v>
      </c>
      <c r="E5541" t="s">
        <v>483</v>
      </c>
      <c r="F5541" t="s">
        <v>2279</v>
      </c>
      <c r="G5541" t="s">
        <v>3497</v>
      </c>
      <c r="H5541" t="s">
        <v>7989</v>
      </c>
      <c r="I5541" t="s">
        <v>8150</v>
      </c>
      <c r="J5541" t="s">
        <v>9059</v>
      </c>
      <c r="K5541">
        <v>11233</v>
      </c>
      <c r="L5541" t="s">
        <v>9094</v>
      </c>
      <c r="M5541" t="s">
        <v>9095</v>
      </c>
      <c r="N5541" t="s">
        <v>11017</v>
      </c>
      <c r="O5541" t="s">
        <v>11129</v>
      </c>
      <c r="P5541" t="s">
        <v>11165</v>
      </c>
      <c r="Q5541" t="s">
        <v>11174</v>
      </c>
      <c r="R5541" t="s">
        <v>11180</v>
      </c>
      <c r="S5541" t="s">
        <v>9096</v>
      </c>
      <c r="T5541" t="s">
        <v>11183</v>
      </c>
      <c r="U5541" t="s">
        <v>11201</v>
      </c>
      <c r="V5541" t="s">
        <v>728</v>
      </c>
      <c r="W5541">
        <v>1000</v>
      </c>
      <c r="X5541" t="s">
        <v>11332</v>
      </c>
      <c r="Y5541" t="s">
        <v>11340</v>
      </c>
      <c r="Z5541" t="s">
        <v>14841</v>
      </c>
      <c r="AA5541" t="s">
        <v>9144</v>
      </c>
      <c r="AB5541" t="s">
        <v>19162</v>
      </c>
      <c r="AC5541">
        <v>3</v>
      </c>
      <c r="AD5541" t="s">
        <v>19569</v>
      </c>
      <c r="AE5541" t="s">
        <v>9144</v>
      </c>
      <c r="AF5541">
        <v>7</v>
      </c>
      <c r="AG5541">
        <v>2</v>
      </c>
      <c r="AH5541">
        <v>2</v>
      </c>
      <c r="AI5541">
        <v>276.72</v>
      </c>
      <c r="AL5541" t="s">
        <v>19614</v>
      </c>
      <c r="AM5541">
        <v>71256</v>
      </c>
      <c r="AS5541">
        <v>2.5</v>
      </c>
      <c r="AT5541" t="s">
        <v>292</v>
      </c>
      <c r="AU5541" t="s">
        <v>79</v>
      </c>
      <c r="AV5541" t="s">
        <v>20733</v>
      </c>
    </row>
    <row r="5542" spans="1:48">
      <c r="A5542" s="1">
        <f>HYPERLINK("https://lsnyc.legalserver.org/matter/dynamic-profile/view/1897595","19-1897595")</f>
        <v>0</v>
      </c>
      <c r="B5542" t="s">
        <v>50</v>
      </c>
      <c r="C5542" t="s">
        <v>256</v>
      </c>
      <c r="D5542" t="s">
        <v>617</v>
      </c>
      <c r="F5542" t="s">
        <v>3115</v>
      </c>
      <c r="G5542" t="s">
        <v>3544</v>
      </c>
      <c r="H5542" t="s">
        <v>7990</v>
      </c>
      <c r="I5542" t="s">
        <v>8962</v>
      </c>
      <c r="J5542" t="s">
        <v>9054</v>
      </c>
      <c r="K5542">
        <v>11368</v>
      </c>
      <c r="L5542" t="s">
        <v>9094</v>
      </c>
      <c r="M5542" t="s">
        <v>9094</v>
      </c>
      <c r="N5542" t="s">
        <v>9126</v>
      </c>
      <c r="O5542" t="s">
        <v>11134</v>
      </c>
      <c r="P5542" t="s">
        <v>11168</v>
      </c>
      <c r="R5542" t="s">
        <v>11180</v>
      </c>
      <c r="S5542" t="s">
        <v>9094</v>
      </c>
      <c r="T5542" t="s">
        <v>11183</v>
      </c>
      <c r="U5542" t="s">
        <v>11201</v>
      </c>
      <c r="V5542" t="s">
        <v>426</v>
      </c>
      <c r="W5542">
        <v>1293</v>
      </c>
      <c r="X5542" t="s">
        <v>11331</v>
      </c>
      <c r="Y5542" t="s">
        <v>11157</v>
      </c>
      <c r="Z5542" t="s">
        <v>14842</v>
      </c>
      <c r="AB5542" t="s">
        <v>19163</v>
      </c>
      <c r="AC5542">
        <v>224</v>
      </c>
      <c r="AD5542" t="s">
        <v>19566</v>
      </c>
      <c r="AE5542" t="s">
        <v>9144</v>
      </c>
      <c r="AF5542">
        <v>30</v>
      </c>
      <c r="AG5542">
        <v>2</v>
      </c>
      <c r="AH5542">
        <v>0</v>
      </c>
      <c r="AI5542">
        <v>276.76</v>
      </c>
      <c r="AJ5542" t="s">
        <v>476</v>
      </c>
      <c r="AK5542" t="s">
        <v>19612</v>
      </c>
      <c r="AL5542" t="s">
        <v>19614</v>
      </c>
      <c r="AM5542">
        <v>46800</v>
      </c>
      <c r="AS5542">
        <v>0.66</v>
      </c>
      <c r="AT5542" t="s">
        <v>1136</v>
      </c>
      <c r="AU5542" t="s">
        <v>50</v>
      </c>
      <c r="AV5542" t="s">
        <v>20733</v>
      </c>
    </row>
    <row r="5543" spans="1:48">
      <c r="A5543" s="1">
        <f>HYPERLINK("https://lsnyc.legalserver.org/matter/dynamic-profile/view/1896083","19-1896083")</f>
        <v>0</v>
      </c>
      <c r="B5543" t="s">
        <v>55</v>
      </c>
      <c r="C5543" t="s">
        <v>256</v>
      </c>
      <c r="D5543" t="s">
        <v>545</v>
      </c>
      <c r="F5543" t="s">
        <v>3116</v>
      </c>
      <c r="G5543" t="s">
        <v>4797</v>
      </c>
      <c r="H5543" t="s">
        <v>7991</v>
      </c>
      <c r="I5543" t="s">
        <v>8743</v>
      </c>
      <c r="J5543" t="s">
        <v>9055</v>
      </c>
      <c r="K5543">
        <v>11354</v>
      </c>
      <c r="L5543" t="s">
        <v>9094</v>
      </c>
      <c r="M5543" t="s">
        <v>9095</v>
      </c>
      <c r="N5543" t="s">
        <v>11018</v>
      </c>
      <c r="O5543" t="s">
        <v>11128</v>
      </c>
      <c r="P5543" t="s">
        <v>11165</v>
      </c>
      <c r="R5543" t="s">
        <v>11180</v>
      </c>
      <c r="S5543" t="s">
        <v>9096</v>
      </c>
      <c r="T5543" t="s">
        <v>11183</v>
      </c>
      <c r="U5543" t="s">
        <v>11203</v>
      </c>
      <c r="W5543">
        <v>774</v>
      </c>
      <c r="X5543" t="s">
        <v>11331</v>
      </c>
      <c r="Y5543" t="s">
        <v>11336</v>
      </c>
      <c r="Z5543" t="s">
        <v>11588</v>
      </c>
      <c r="AA5543" t="s">
        <v>15274</v>
      </c>
      <c r="AB5543" t="s">
        <v>19164</v>
      </c>
      <c r="AC5543">
        <v>6</v>
      </c>
      <c r="AD5543" t="s">
        <v>19566</v>
      </c>
      <c r="AE5543" t="s">
        <v>9144</v>
      </c>
      <c r="AF5543">
        <v>39</v>
      </c>
      <c r="AG5543">
        <v>2</v>
      </c>
      <c r="AH5543">
        <v>0</v>
      </c>
      <c r="AI5543">
        <v>276.76</v>
      </c>
      <c r="AL5543" t="s">
        <v>19614</v>
      </c>
      <c r="AM5543">
        <v>46800</v>
      </c>
      <c r="AS5543">
        <v>7.4</v>
      </c>
      <c r="AT5543" t="s">
        <v>1136</v>
      </c>
      <c r="AU5543" t="s">
        <v>20660</v>
      </c>
      <c r="AV5543" t="s">
        <v>20733</v>
      </c>
    </row>
    <row r="5544" spans="1:48">
      <c r="A5544" s="1">
        <f>HYPERLINK("https://lsnyc.legalserver.org/matter/dynamic-profile/view/1903949","19-1903949")</f>
        <v>0</v>
      </c>
      <c r="B5544" t="s">
        <v>115</v>
      </c>
      <c r="C5544" t="s">
        <v>256</v>
      </c>
      <c r="D5544" t="s">
        <v>663</v>
      </c>
      <c r="F5544" t="s">
        <v>2132</v>
      </c>
      <c r="G5544" t="s">
        <v>5412</v>
      </c>
      <c r="H5544" t="s">
        <v>7992</v>
      </c>
      <c r="I5544" t="s">
        <v>8213</v>
      </c>
      <c r="J5544" t="s">
        <v>9065</v>
      </c>
      <c r="K5544">
        <v>10452</v>
      </c>
      <c r="L5544" t="s">
        <v>9094</v>
      </c>
      <c r="M5544" t="s">
        <v>9095</v>
      </c>
      <c r="O5544" t="s">
        <v>11134</v>
      </c>
      <c r="P5544" t="s">
        <v>11168</v>
      </c>
      <c r="R5544" t="s">
        <v>11180</v>
      </c>
      <c r="S5544" t="s">
        <v>9094</v>
      </c>
      <c r="T5544" t="s">
        <v>11183</v>
      </c>
      <c r="V5544" t="s">
        <v>11212</v>
      </c>
      <c r="W5544">
        <v>1382.25</v>
      </c>
      <c r="X5544" t="s">
        <v>11333</v>
      </c>
      <c r="Y5544" t="s">
        <v>11346</v>
      </c>
      <c r="Z5544" t="s">
        <v>14843</v>
      </c>
      <c r="AB5544" t="s">
        <v>19165</v>
      </c>
      <c r="AC5544">
        <v>52</v>
      </c>
      <c r="AD5544" t="s">
        <v>19566</v>
      </c>
      <c r="AE5544" t="s">
        <v>9144</v>
      </c>
      <c r="AF5544">
        <v>6</v>
      </c>
      <c r="AG5544">
        <v>2</v>
      </c>
      <c r="AH5544">
        <v>0</v>
      </c>
      <c r="AI5544">
        <v>276.76</v>
      </c>
      <c r="AL5544" t="s">
        <v>19614</v>
      </c>
      <c r="AM5544">
        <v>46800</v>
      </c>
      <c r="AS5544">
        <v>1.2</v>
      </c>
      <c r="AT5544" t="s">
        <v>663</v>
      </c>
      <c r="AU5544" t="s">
        <v>174</v>
      </c>
      <c r="AV5544" t="s">
        <v>20733</v>
      </c>
    </row>
    <row r="5545" spans="1:48">
      <c r="A5545" s="1">
        <f>HYPERLINK("https://lsnyc.legalserver.org/matter/dynamic-profile/view/1896786","19-1896786")</f>
        <v>0</v>
      </c>
      <c r="B5545" t="s">
        <v>147</v>
      </c>
      <c r="C5545" t="s">
        <v>257</v>
      </c>
      <c r="D5545" t="s">
        <v>499</v>
      </c>
      <c r="E5545" t="s">
        <v>314</v>
      </c>
      <c r="F5545" t="s">
        <v>3117</v>
      </c>
      <c r="G5545" t="s">
        <v>3564</v>
      </c>
      <c r="H5545" t="s">
        <v>6090</v>
      </c>
      <c r="I5545" t="s">
        <v>8348</v>
      </c>
      <c r="J5545" t="s">
        <v>9066</v>
      </c>
      <c r="K5545">
        <v>10304</v>
      </c>
      <c r="L5545" t="s">
        <v>9095</v>
      </c>
      <c r="M5545" t="s">
        <v>9095</v>
      </c>
      <c r="N5545" t="s">
        <v>11019</v>
      </c>
      <c r="O5545" t="s">
        <v>11129</v>
      </c>
      <c r="P5545" t="s">
        <v>11165</v>
      </c>
      <c r="Q5545" t="s">
        <v>11174</v>
      </c>
      <c r="R5545" t="s">
        <v>11180</v>
      </c>
      <c r="S5545" t="s">
        <v>9096</v>
      </c>
      <c r="T5545" t="s">
        <v>11183</v>
      </c>
      <c r="U5545" t="s">
        <v>11201</v>
      </c>
      <c r="V5545" t="s">
        <v>499</v>
      </c>
      <c r="W5545">
        <v>1570</v>
      </c>
      <c r="X5545" t="s">
        <v>11334</v>
      </c>
      <c r="Y5545" t="s">
        <v>11345</v>
      </c>
      <c r="Z5545" t="s">
        <v>13575</v>
      </c>
      <c r="AB5545" t="s">
        <v>19166</v>
      </c>
      <c r="AC5545">
        <v>0</v>
      </c>
      <c r="AD5545" t="s">
        <v>19567</v>
      </c>
      <c r="AE5545" t="s">
        <v>9144</v>
      </c>
      <c r="AF5545">
        <v>16</v>
      </c>
      <c r="AG5545">
        <v>1</v>
      </c>
      <c r="AH5545">
        <v>1</v>
      </c>
      <c r="AI5545">
        <v>276.76</v>
      </c>
      <c r="AK5545" t="s">
        <v>19612</v>
      </c>
      <c r="AL5545" t="s">
        <v>11157</v>
      </c>
      <c r="AM5545">
        <v>46800</v>
      </c>
      <c r="AS5545">
        <v>7.8</v>
      </c>
      <c r="AT5545" t="s">
        <v>314</v>
      </c>
      <c r="AU5545" t="s">
        <v>20653</v>
      </c>
    </row>
    <row r="5546" spans="1:48">
      <c r="A5546" s="1">
        <f>HYPERLINK("https://lsnyc.legalserver.org/matter/dynamic-profile/view/1883427","18-1883427")</f>
        <v>0</v>
      </c>
      <c r="B5546" t="s">
        <v>98</v>
      </c>
      <c r="C5546" t="s">
        <v>257</v>
      </c>
      <c r="D5546" t="s">
        <v>583</v>
      </c>
      <c r="E5546" t="s">
        <v>574</v>
      </c>
      <c r="F5546" t="s">
        <v>3104</v>
      </c>
      <c r="G5546" t="s">
        <v>3530</v>
      </c>
      <c r="H5546" t="s">
        <v>6081</v>
      </c>
      <c r="I5546" t="s">
        <v>8266</v>
      </c>
      <c r="J5546" t="s">
        <v>9065</v>
      </c>
      <c r="K5546">
        <v>10452</v>
      </c>
      <c r="L5546" t="s">
        <v>9094</v>
      </c>
      <c r="M5546" t="s">
        <v>9094</v>
      </c>
      <c r="N5546" t="s">
        <v>9397</v>
      </c>
      <c r="O5546" t="s">
        <v>11130</v>
      </c>
      <c r="P5546" t="s">
        <v>11165</v>
      </c>
      <c r="Q5546" t="s">
        <v>11174</v>
      </c>
      <c r="R5546" t="s">
        <v>11180</v>
      </c>
      <c r="S5546" t="s">
        <v>9094</v>
      </c>
      <c r="T5546" t="s">
        <v>11183</v>
      </c>
      <c r="V5546" t="s">
        <v>738</v>
      </c>
      <c r="W5546">
        <v>1800</v>
      </c>
      <c r="X5546" t="s">
        <v>11333</v>
      </c>
      <c r="Y5546" t="s">
        <v>11339</v>
      </c>
      <c r="Z5546" t="s">
        <v>14826</v>
      </c>
      <c r="AB5546" t="s">
        <v>19148</v>
      </c>
      <c r="AC5546">
        <v>41</v>
      </c>
      <c r="AD5546" t="s">
        <v>15441</v>
      </c>
      <c r="AE5546" t="s">
        <v>9144</v>
      </c>
      <c r="AF5546">
        <v>6</v>
      </c>
      <c r="AG5546">
        <v>3</v>
      </c>
      <c r="AH5546">
        <v>0</v>
      </c>
      <c r="AI5546">
        <v>277.19</v>
      </c>
      <c r="AL5546" t="s">
        <v>19615</v>
      </c>
      <c r="AM5546">
        <v>57600</v>
      </c>
      <c r="AS5546">
        <v>0.15</v>
      </c>
      <c r="AT5546" t="s">
        <v>335</v>
      </c>
      <c r="AU5546" t="s">
        <v>20642</v>
      </c>
    </row>
    <row r="5547" spans="1:48">
      <c r="A5547" s="1">
        <f>HYPERLINK("https://lsnyc.legalserver.org/matter/dynamic-profile/view/1894926","19-1894926")</f>
        <v>0</v>
      </c>
      <c r="B5547" t="s">
        <v>147</v>
      </c>
      <c r="C5547" t="s">
        <v>257</v>
      </c>
      <c r="D5547" t="s">
        <v>360</v>
      </c>
      <c r="E5547" t="s">
        <v>429</v>
      </c>
      <c r="F5547" t="s">
        <v>3118</v>
      </c>
      <c r="G5547" t="s">
        <v>3526</v>
      </c>
      <c r="H5547" t="s">
        <v>6769</v>
      </c>
      <c r="I5547" t="s">
        <v>8968</v>
      </c>
      <c r="J5547" t="s">
        <v>9066</v>
      </c>
      <c r="K5547">
        <v>10304</v>
      </c>
      <c r="L5547" t="s">
        <v>9094</v>
      </c>
      <c r="M5547" t="s">
        <v>9094</v>
      </c>
      <c r="N5547" t="s">
        <v>11020</v>
      </c>
      <c r="O5547" t="s">
        <v>11129</v>
      </c>
      <c r="P5547" t="s">
        <v>11165</v>
      </c>
      <c r="Q5547" t="s">
        <v>11174</v>
      </c>
      <c r="R5547" t="s">
        <v>11180</v>
      </c>
      <c r="S5547" t="s">
        <v>9096</v>
      </c>
      <c r="T5547" t="s">
        <v>11183</v>
      </c>
      <c r="U5547" t="s">
        <v>11201</v>
      </c>
      <c r="V5547" t="s">
        <v>360</v>
      </c>
      <c r="W5547">
        <v>843</v>
      </c>
      <c r="X5547" t="s">
        <v>11334</v>
      </c>
      <c r="Y5547" t="s">
        <v>11345</v>
      </c>
      <c r="Z5547" t="s">
        <v>14844</v>
      </c>
      <c r="AB5547" t="s">
        <v>19167</v>
      </c>
      <c r="AC5547">
        <v>72</v>
      </c>
      <c r="AD5547" t="s">
        <v>19567</v>
      </c>
      <c r="AE5547" t="s">
        <v>19580</v>
      </c>
      <c r="AF5547">
        <v>2</v>
      </c>
      <c r="AG5547">
        <v>1</v>
      </c>
      <c r="AH5547">
        <v>0</v>
      </c>
      <c r="AI5547">
        <v>277.28</v>
      </c>
      <c r="AJ5547" t="s">
        <v>512</v>
      </c>
      <c r="AK5547" t="s">
        <v>19612</v>
      </c>
      <c r="AL5547" t="s">
        <v>19614</v>
      </c>
      <c r="AM5547">
        <v>34632</v>
      </c>
      <c r="AS5547">
        <v>6.8</v>
      </c>
      <c r="AT5547" t="s">
        <v>660</v>
      </c>
      <c r="AU5547" t="s">
        <v>20653</v>
      </c>
      <c r="AV5547" t="s">
        <v>20733</v>
      </c>
    </row>
    <row r="5548" spans="1:48">
      <c r="A5548" s="1">
        <f>HYPERLINK("https://lsnyc.legalserver.org/matter/dynamic-profile/view/1900083","19-1900083")</f>
        <v>0</v>
      </c>
      <c r="B5548" t="s">
        <v>100</v>
      </c>
      <c r="C5548" t="s">
        <v>256</v>
      </c>
      <c r="D5548" t="s">
        <v>289</v>
      </c>
      <c r="F5548" t="s">
        <v>3119</v>
      </c>
      <c r="G5548" t="s">
        <v>1461</v>
      </c>
      <c r="H5548" t="s">
        <v>7993</v>
      </c>
      <c r="I5548" t="s">
        <v>8662</v>
      </c>
      <c r="J5548" t="s">
        <v>9065</v>
      </c>
      <c r="K5548">
        <v>10452</v>
      </c>
      <c r="L5548" t="s">
        <v>9094</v>
      </c>
      <c r="M5548" t="s">
        <v>9095</v>
      </c>
      <c r="N5548" t="s">
        <v>11021</v>
      </c>
      <c r="O5548" t="s">
        <v>11129</v>
      </c>
      <c r="P5548" t="s">
        <v>11165</v>
      </c>
      <c r="R5548" t="s">
        <v>11180</v>
      </c>
      <c r="S5548" t="s">
        <v>9096</v>
      </c>
      <c r="T5548" t="s">
        <v>11183</v>
      </c>
      <c r="U5548" t="s">
        <v>11201</v>
      </c>
      <c r="V5548" t="s">
        <v>11218</v>
      </c>
      <c r="W5548">
        <v>899.79</v>
      </c>
      <c r="X5548" t="s">
        <v>11333</v>
      </c>
      <c r="Y5548" t="s">
        <v>11340</v>
      </c>
      <c r="Z5548" t="s">
        <v>14845</v>
      </c>
      <c r="AB5548" t="s">
        <v>19168</v>
      </c>
      <c r="AC5548">
        <v>50</v>
      </c>
      <c r="AD5548" t="s">
        <v>19566</v>
      </c>
      <c r="AE5548" t="s">
        <v>9144</v>
      </c>
      <c r="AF5548">
        <v>43</v>
      </c>
      <c r="AG5548">
        <v>2</v>
      </c>
      <c r="AH5548">
        <v>0</v>
      </c>
      <c r="AI5548">
        <v>277.73</v>
      </c>
      <c r="AL5548" t="s">
        <v>19614</v>
      </c>
      <c r="AM5548">
        <v>46964</v>
      </c>
      <c r="AS5548">
        <v>1.1</v>
      </c>
      <c r="AT5548" t="s">
        <v>341</v>
      </c>
      <c r="AU5548" t="s">
        <v>20647</v>
      </c>
      <c r="AV5548" t="s">
        <v>20733</v>
      </c>
    </row>
    <row r="5549" spans="1:48">
      <c r="A5549" s="1">
        <f>HYPERLINK("https://lsnyc.legalserver.org/matter/dynamic-profile/view/1891284","19-1891284")</f>
        <v>0</v>
      </c>
      <c r="B5549" t="s">
        <v>66</v>
      </c>
      <c r="C5549" t="s">
        <v>256</v>
      </c>
      <c r="D5549" t="s">
        <v>491</v>
      </c>
      <c r="F5549" t="s">
        <v>2300</v>
      </c>
      <c r="G5549" t="s">
        <v>5413</v>
      </c>
      <c r="H5549" t="s">
        <v>7994</v>
      </c>
      <c r="I5549" t="s">
        <v>8273</v>
      </c>
      <c r="J5549" t="s">
        <v>9059</v>
      </c>
      <c r="K5549">
        <v>11220</v>
      </c>
      <c r="L5549" t="s">
        <v>9094</v>
      </c>
      <c r="M5549" t="s">
        <v>9094</v>
      </c>
      <c r="N5549" t="s">
        <v>11022</v>
      </c>
      <c r="O5549" t="s">
        <v>11128</v>
      </c>
      <c r="P5549" t="s">
        <v>11165</v>
      </c>
      <c r="R5549" t="s">
        <v>11180</v>
      </c>
      <c r="T5549" t="s">
        <v>11183</v>
      </c>
      <c r="V5549" t="s">
        <v>491</v>
      </c>
      <c r="W5549">
        <v>425.19</v>
      </c>
      <c r="X5549" t="s">
        <v>11332</v>
      </c>
      <c r="Z5549" t="s">
        <v>14846</v>
      </c>
      <c r="AC5549">
        <v>0</v>
      </c>
      <c r="AF5549">
        <v>50</v>
      </c>
      <c r="AG5549">
        <v>2</v>
      </c>
      <c r="AH5549">
        <v>0</v>
      </c>
      <c r="AI5549">
        <v>277.94</v>
      </c>
      <c r="AJ5549" t="s">
        <v>265</v>
      </c>
      <c r="AK5549" t="s">
        <v>19612</v>
      </c>
      <c r="AL5549" t="s">
        <v>19615</v>
      </c>
      <c r="AM5549">
        <v>47000</v>
      </c>
      <c r="AS5549">
        <v>1</v>
      </c>
      <c r="AT5549" t="s">
        <v>491</v>
      </c>
      <c r="AU5549" t="s">
        <v>215</v>
      </c>
    </row>
    <row r="5550" spans="1:48">
      <c r="A5550" s="1">
        <f>HYPERLINK("https://lsnyc.legalserver.org/matter/dynamic-profile/view/1902109","19-1902109")</f>
        <v>0</v>
      </c>
      <c r="B5550" t="s">
        <v>66</v>
      </c>
      <c r="C5550" t="s">
        <v>256</v>
      </c>
      <c r="D5550" t="s">
        <v>319</v>
      </c>
      <c r="F5550" t="s">
        <v>2300</v>
      </c>
      <c r="G5550" t="s">
        <v>5413</v>
      </c>
      <c r="H5550" t="s">
        <v>7994</v>
      </c>
      <c r="I5550" t="s">
        <v>8273</v>
      </c>
      <c r="J5550" t="s">
        <v>9059</v>
      </c>
      <c r="K5550">
        <v>11220</v>
      </c>
      <c r="L5550" t="s">
        <v>9094</v>
      </c>
      <c r="M5550" t="s">
        <v>9095</v>
      </c>
      <c r="O5550" t="s">
        <v>11137</v>
      </c>
      <c r="P5550" t="s">
        <v>11166</v>
      </c>
      <c r="R5550" t="s">
        <v>11180</v>
      </c>
      <c r="T5550" t="s">
        <v>11183</v>
      </c>
      <c r="V5550" t="s">
        <v>319</v>
      </c>
      <c r="W5550">
        <v>0</v>
      </c>
      <c r="X5550" t="s">
        <v>11332</v>
      </c>
      <c r="Z5550" t="s">
        <v>14846</v>
      </c>
      <c r="AC5550">
        <v>0</v>
      </c>
      <c r="AF5550">
        <v>0</v>
      </c>
      <c r="AG5550">
        <v>2</v>
      </c>
      <c r="AH5550">
        <v>0</v>
      </c>
      <c r="AI5550">
        <v>277.94</v>
      </c>
      <c r="AJ5550" t="s">
        <v>265</v>
      </c>
      <c r="AK5550" t="s">
        <v>19612</v>
      </c>
      <c r="AL5550" t="s">
        <v>19615</v>
      </c>
      <c r="AM5550">
        <v>47000</v>
      </c>
      <c r="AS5550">
        <v>0</v>
      </c>
      <c r="AU5550" t="s">
        <v>215</v>
      </c>
      <c r="AV5550" t="s">
        <v>20733</v>
      </c>
    </row>
    <row r="5551" spans="1:48">
      <c r="A5551" s="1">
        <f>HYPERLINK("https://lsnyc.legalserver.org/matter/dynamic-profile/view/0789070","15-0789070")</f>
        <v>0</v>
      </c>
      <c r="B5551" t="s">
        <v>119</v>
      </c>
      <c r="C5551" t="s">
        <v>256</v>
      </c>
      <c r="D5551" t="s">
        <v>1113</v>
      </c>
      <c r="F5551" t="s">
        <v>3105</v>
      </c>
      <c r="G5551" t="s">
        <v>4892</v>
      </c>
      <c r="H5551" t="s">
        <v>5897</v>
      </c>
      <c r="I5551" t="s">
        <v>8966</v>
      </c>
      <c r="J5551" t="s">
        <v>9065</v>
      </c>
      <c r="K5551">
        <v>10452</v>
      </c>
      <c r="L5551" t="s">
        <v>9096</v>
      </c>
      <c r="M5551" t="s">
        <v>9095</v>
      </c>
      <c r="N5551" t="s">
        <v>9250</v>
      </c>
      <c r="O5551" t="s">
        <v>11132</v>
      </c>
      <c r="P5551" t="s">
        <v>11165</v>
      </c>
      <c r="R5551" t="s">
        <v>11180</v>
      </c>
      <c r="S5551" t="s">
        <v>9094</v>
      </c>
      <c r="T5551" t="s">
        <v>11183</v>
      </c>
      <c r="W5551">
        <v>1050</v>
      </c>
      <c r="X5551" t="s">
        <v>11333</v>
      </c>
      <c r="Y5551" t="s">
        <v>11347</v>
      </c>
      <c r="Z5551" t="s">
        <v>13837</v>
      </c>
      <c r="AB5551" t="s">
        <v>19150</v>
      </c>
      <c r="AC5551">
        <v>122</v>
      </c>
      <c r="AD5551" t="s">
        <v>19566</v>
      </c>
      <c r="AE5551" t="s">
        <v>9144</v>
      </c>
      <c r="AF5551">
        <v>1</v>
      </c>
      <c r="AG5551">
        <v>1</v>
      </c>
      <c r="AH5551">
        <v>0</v>
      </c>
      <c r="AI5551">
        <v>278.33</v>
      </c>
      <c r="AL5551" t="s">
        <v>19614</v>
      </c>
      <c r="AM5551">
        <v>32760</v>
      </c>
      <c r="AS5551">
        <v>0.1</v>
      </c>
      <c r="AT5551" t="s">
        <v>965</v>
      </c>
      <c r="AU5551" t="s">
        <v>109</v>
      </c>
    </row>
    <row r="5552" spans="1:48">
      <c r="A5552" s="1">
        <f>HYPERLINK("https://lsnyc.legalserver.org/matter/dynamic-profile/view/1914537","19-1914537")</f>
        <v>0</v>
      </c>
      <c r="B5552" t="s">
        <v>103</v>
      </c>
      <c r="C5552" t="s">
        <v>257</v>
      </c>
      <c r="D5552" t="s">
        <v>612</v>
      </c>
      <c r="E5552" t="s">
        <v>612</v>
      </c>
      <c r="F5552" t="s">
        <v>1384</v>
      </c>
      <c r="G5552" t="s">
        <v>5414</v>
      </c>
      <c r="H5552" t="s">
        <v>5887</v>
      </c>
      <c r="I5552" t="s">
        <v>8969</v>
      </c>
      <c r="J5552" t="s">
        <v>9065</v>
      </c>
      <c r="K5552">
        <v>10453</v>
      </c>
      <c r="L5552" t="s">
        <v>9094</v>
      </c>
      <c r="M5552" t="s">
        <v>9095</v>
      </c>
      <c r="P5552" t="s">
        <v>11164</v>
      </c>
      <c r="Q5552" t="s">
        <v>11172</v>
      </c>
      <c r="R5552" t="s">
        <v>11180</v>
      </c>
      <c r="T5552" t="s">
        <v>11183</v>
      </c>
      <c r="W5552">
        <v>0</v>
      </c>
      <c r="X5552" t="s">
        <v>11333</v>
      </c>
      <c r="Z5552" t="s">
        <v>14847</v>
      </c>
      <c r="AB5552" t="s">
        <v>19169</v>
      </c>
      <c r="AC5552">
        <v>0</v>
      </c>
      <c r="AF5552">
        <v>0</v>
      </c>
      <c r="AG5552">
        <v>1</v>
      </c>
      <c r="AH5552">
        <v>0</v>
      </c>
      <c r="AI5552">
        <v>278.62</v>
      </c>
      <c r="AL5552" t="s">
        <v>19614</v>
      </c>
      <c r="AM5552">
        <v>34800</v>
      </c>
      <c r="AS5552">
        <v>0.8</v>
      </c>
      <c r="AT5552" t="s">
        <v>703</v>
      </c>
      <c r="AU5552" t="s">
        <v>103</v>
      </c>
      <c r="AV5552" t="s">
        <v>20733</v>
      </c>
    </row>
    <row r="5553" spans="1:48">
      <c r="A5553" s="1">
        <f>HYPERLINK("https://lsnyc.legalserver.org/matter/dynamic-profile/view/1913771","19-1913771")</f>
        <v>0</v>
      </c>
      <c r="B5553" t="s">
        <v>178</v>
      </c>
      <c r="C5553" t="s">
        <v>256</v>
      </c>
      <c r="D5553" t="s">
        <v>484</v>
      </c>
      <c r="F5553" t="s">
        <v>1886</v>
      </c>
      <c r="G5553" t="s">
        <v>5415</v>
      </c>
      <c r="H5553" t="s">
        <v>7995</v>
      </c>
      <c r="I5553" t="s">
        <v>8755</v>
      </c>
      <c r="J5553" t="s">
        <v>9065</v>
      </c>
      <c r="K5553">
        <v>10457</v>
      </c>
      <c r="L5553" t="s">
        <v>9094</v>
      </c>
      <c r="M5553" t="s">
        <v>9095</v>
      </c>
      <c r="N5553" t="s">
        <v>11023</v>
      </c>
      <c r="P5553" t="s">
        <v>11169</v>
      </c>
      <c r="R5553" t="s">
        <v>11180</v>
      </c>
      <c r="T5553" t="s">
        <v>11183</v>
      </c>
      <c r="W5553">
        <v>0</v>
      </c>
      <c r="X5553" t="s">
        <v>11333</v>
      </c>
      <c r="Z5553" t="s">
        <v>14848</v>
      </c>
      <c r="AB5553" t="s">
        <v>19170</v>
      </c>
      <c r="AC5553">
        <v>0</v>
      </c>
      <c r="AF5553">
        <v>0</v>
      </c>
      <c r="AG5553">
        <v>1</v>
      </c>
      <c r="AH5553">
        <v>0</v>
      </c>
      <c r="AI5553">
        <v>278.84</v>
      </c>
      <c r="AL5553" t="s">
        <v>19614</v>
      </c>
      <c r="AM5553">
        <v>34826.76</v>
      </c>
      <c r="AS5553">
        <v>2.25</v>
      </c>
      <c r="AT5553" t="s">
        <v>487</v>
      </c>
      <c r="AU5553" t="s">
        <v>178</v>
      </c>
    </row>
    <row r="5554" spans="1:48">
      <c r="A5554" s="1">
        <f>HYPERLINK("https://lsnyc.legalserver.org/matter/dynamic-profile/view/1862663","18-1862663")</f>
        <v>0</v>
      </c>
      <c r="B5554" t="s">
        <v>86</v>
      </c>
      <c r="C5554" t="s">
        <v>256</v>
      </c>
      <c r="D5554" t="s">
        <v>576</v>
      </c>
      <c r="F5554" t="s">
        <v>2701</v>
      </c>
      <c r="G5554" t="s">
        <v>5416</v>
      </c>
      <c r="H5554" t="s">
        <v>7040</v>
      </c>
      <c r="I5554" t="s">
        <v>8723</v>
      </c>
      <c r="J5554" t="s">
        <v>9059</v>
      </c>
      <c r="K5554">
        <v>11226</v>
      </c>
      <c r="L5554" t="s">
        <v>9094</v>
      </c>
      <c r="M5554" t="s">
        <v>9095</v>
      </c>
      <c r="N5554" t="s">
        <v>11024</v>
      </c>
      <c r="O5554" t="s">
        <v>11135</v>
      </c>
      <c r="P5554" t="s">
        <v>11165</v>
      </c>
      <c r="R5554" t="s">
        <v>11180</v>
      </c>
      <c r="S5554" t="s">
        <v>9094</v>
      </c>
      <c r="T5554" t="s">
        <v>11183</v>
      </c>
      <c r="V5554" t="s">
        <v>11212</v>
      </c>
      <c r="W5554">
        <v>0</v>
      </c>
      <c r="X5554" t="s">
        <v>11332</v>
      </c>
      <c r="Y5554" t="s">
        <v>11346</v>
      </c>
      <c r="Z5554" t="s">
        <v>14849</v>
      </c>
      <c r="AB5554" t="s">
        <v>19171</v>
      </c>
      <c r="AC5554">
        <v>61</v>
      </c>
      <c r="AD5554" t="s">
        <v>19566</v>
      </c>
      <c r="AF5554">
        <v>18</v>
      </c>
      <c r="AG5554">
        <v>2</v>
      </c>
      <c r="AH5554">
        <v>2</v>
      </c>
      <c r="AI5554">
        <v>278.88</v>
      </c>
      <c r="AL5554" t="s">
        <v>19614</v>
      </c>
      <c r="AM5554">
        <v>70000</v>
      </c>
      <c r="AS5554">
        <v>0</v>
      </c>
      <c r="AU5554" t="s">
        <v>20630</v>
      </c>
      <c r="AV5554" t="s">
        <v>20733</v>
      </c>
    </row>
    <row r="5555" spans="1:48">
      <c r="A5555" s="1">
        <f>HYPERLINK("https://lsnyc.legalserver.org/matter/dynamic-profile/view/1911197","19-1911197")</f>
        <v>0</v>
      </c>
      <c r="B5555" t="s">
        <v>135</v>
      </c>
      <c r="C5555" t="s">
        <v>257</v>
      </c>
      <c r="D5555" t="s">
        <v>336</v>
      </c>
      <c r="E5555" t="s">
        <v>484</v>
      </c>
      <c r="F5555" t="s">
        <v>3120</v>
      </c>
      <c r="G5555" t="s">
        <v>3639</v>
      </c>
      <c r="H5555" t="s">
        <v>7673</v>
      </c>
      <c r="I5555">
        <v>2504</v>
      </c>
      <c r="J5555" t="s">
        <v>9067</v>
      </c>
      <c r="K5555">
        <v>10035</v>
      </c>
      <c r="L5555" t="s">
        <v>9094</v>
      </c>
      <c r="M5555" t="s">
        <v>9095</v>
      </c>
      <c r="O5555" t="s">
        <v>9121</v>
      </c>
      <c r="P5555" t="s">
        <v>11164</v>
      </c>
      <c r="Q5555" t="s">
        <v>11172</v>
      </c>
      <c r="R5555" t="s">
        <v>11180</v>
      </c>
      <c r="S5555" t="s">
        <v>9096</v>
      </c>
      <c r="T5555" t="s">
        <v>11183</v>
      </c>
      <c r="U5555" t="s">
        <v>11201</v>
      </c>
      <c r="V5555" t="s">
        <v>290</v>
      </c>
      <c r="W5555">
        <v>1389</v>
      </c>
      <c r="X5555" t="s">
        <v>11335</v>
      </c>
      <c r="Y5555" t="s">
        <v>11340</v>
      </c>
      <c r="Z5555" t="s">
        <v>14850</v>
      </c>
      <c r="AB5555" t="s">
        <v>19172</v>
      </c>
      <c r="AC5555">
        <v>100</v>
      </c>
      <c r="AD5555" t="s">
        <v>15441</v>
      </c>
      <c r="AE5555" t="s">
        <v>19580</v>
      </c>
      <c r="AF5555">
        <v>32</v>
      </c>
      <c r="AG5555">
        <v>2</v>
      </c>
      <c r="AH5555">
        <v>0</v>
      </c>
      <c r="AI5555">
        <v>279.03</v>
      </c>
      <c r="AL5555" t="s">
        <v>19614</v>
      </c>
      <c r="AM5555">
        <v>47184</v>
      </c>
      <c r="AS5555">
        <v>2.75</v>
      </c>
      <c r="AT5555" t="s">
        <v>570</v>
      </c>
      <c r="AU5555" t="s">
        <v>20632</v>
      </c>
      <c r="AV5555" t="s">
        <v>20733</v>
      </c>
    </row>
    <row r="5556" spans="1:48">
      <c r="A5556" s="1">
        <f>HYPERLINK("https://lsnyc.legalserver.org/matter/dynamic-profile/view/1910539","19-1910539")</f>
        <v>0</v>
      </c>
      <c r="B5556" t="s">
        <v>84</v>
      </c>
      <c r="C5556" t="s">
        <v>256</v>
      </c>
      <c r="D5556" t="s">
        <v>320</v>
      </c>
      <c r="F5556" t="s">
        <v>1276</v>
      </c>
      <c r="G5556" t="s">
        <v>2578</v>
      </c>
      <c r="H5556" t="s">
        <v>7996</v>
      </c>
      <c r="I5556" t="s">
        <v>8128</v>
      </c>
      <c r="J5556" t="s">
        <v>9059</v>
      </c>
      <c r="K5556">
        <v>11203</v>
      </c>
      <c r="L5556" t="s">
        <v>9095</v>
      </c>
      <c r="M5556" t="s">
        <v>9095</v>
      </c>
      <c r="N5556" t="s">
        <v>11025</v>
      </c>
      <c r="O5556" t="s">
        <v>11128</v>
      </c>
      <c r="P5556" t="s">
        <v>11169</v>
      </c>
      <c r="R5556" t="s">
        <v>11180</v>
      </c>
      <c r="S5556" t="s">
        <v>9094</v>
      </c>
      <c r="T5556" t="s">
        <v>11183</v>
      </c>
      <c r="W5556">
        <v>1269</v>
      </c>
      <c r="X5556" t="s">
        <v>11332</v>
      </c>
      <c r="Z5556" t="s">
        <v>12690</v>
      </c>
      <c r="AB5556" t="s">
        <v>19173</v>
      </c>
      <c r="AC5556">
        <v>6</v>
      </c>
      <c r="AF5556">
        <v>8</v>
      </c>
      <c r="AG5556">
        <v>2</v>
      </c>
      <c r="AH5556">
        <v>0</v>
      </c>
      <c r="AI5556">
        <v>279.53</v>
      </c>
      <c r="AL5556" t="s">
        <v>19614</v>
      </c>
      <c r="AM5556">
        <v>47268</v>
      </c>
      <c r="AS5556">
        <v>2.5</v>
      </c>
      <c r="AT5556" t="s">
        <v>309</v>
      </c>
      <c r="AU5556" t="s">
        <v>20674</v>
      </c>
    </row>
    <row r="5557" spans="1:48">
      <c r="A5557" s="1">
        <f>HYPERLINK("https://lsnyc.legalserver.org/matter/dynamic-profile/view/1850100","17-1850100")</f>
        <v>0</v>
      </c>
      <c r="B5557" t="s">
        <v>138</v>
      </c>
      <c r="C5557" t="s">
        <v>256</v>
      </c>
      <c r="D5557" t="s">
        <v>877</v>
      </c>
      <c r="F5557" t="s">
        <v>3121</v>
      </c>
      <c r="G5557" t="s">
        <v>3497</v>
      </c>
      <c r="H5557" t="s">
        <v>7997</v>
      </c>
      <c r="I5557" t="s">
        <v>8970</v>
      </c>
      <c r="J5557" t="s">
        <v>9067</v>
      </c>
      <c r="K5557">
        <v>10034</v>
      </c>
      <c r="L5557" t="s">
        <v>9094</v>
      </c>
      <c r="M5557" t="s">
        <v>9095</v>
      </c>
      <c r="N5557" t="s">
        <v>11026</v>
      </c>
      <c r="O5557" t="s">
        <v>11128</v>
      </c>
      <c r="P5557" t="s">
        <v>11167</v>
      </c>
      <c r="R5557" t="s">
        <v>11180</v>
      </c>
      <c r="S5557" t="s">
        <v>9096</v>
      </c>
      <c r="T5557" t="s">
        <v>11183</v>
      </c>
      <c r="V5557" t="s">
        <v>856</v>
      </c>
      <c r="W5557">
        <v>894</v>
      </c>
      <c r="X5557" t="s">
        <v>11335</v>
      </c>
      <c r="Y5557" t="s">
        <v>11338</v>
      </c>
      <c r="Z5557" t="s">
        <v>14851</v>
      </c>
      <c r="AB5557" t="s">
        <v>19174</v>
      </c>
      <c r="AC5557">
        <v>180</v>
      </c>
      <c r="AD5557" t="s">
        <v>19568</v>
      </c>
      <c r="AE5557" t="s">
        <v>9144</v>
      </c>
      <c r="AF5557">
        <v>40</v>
      </c>
      <c r="AG5557">
        <v>1</v>
      </c>
      <c r="AH5557">
        <v>0</v>
      </c>
      <c r="AI5557">
        <v>279.6</v>
      </c>
      <c r="AJ5557" t="s">
        <v>595</v>
      </c>
      <c r="AL5557" t="s">
        <v>19614</v>
      </c>
      <c r="AM5557">
        <v>33720</v>
      </c>
      <c r="AS5557">
        <v>14.7</v>
      </c>
      <c r="AT5557" t="s">
        <v>721</v>
      </c>
      <c r="AU5557" t="s">
        <v>130</v>
      </c>
    </row>
    <row r="5558" spans="1:48">
      <c r="A5558" s="1">
        <f>HYPERLINK("https://lsnyc.legalserver.org/matter/dynamic-profile/view/1911581","19-1911581")</f>
        <v>0</v>
      </c>
      <c r="B5558" t="s">
        <v>134</v>
      </c>
      <c r="C5558" t="s">
        <v>256</v>
      </c>
      <c r="D5558" t="s">
        <v>728</v>
      </c>
      <c r="F5558" t="s">
        <v>3122</v>
      </c>
      <c r="G5558" t="s">
        <v>5417</v>
      </c>
      <c r="H5558" t="s">
        <v>6586</v>
      </c>
      <c r="I5558" t="s">
        <v>8149</v>
      </c>
      <c r="J5558" t="s">
        <v>9067</v>
      </c>
      <c r="K5558">
        <v>10034</v>
      </c>
      <c r="L5558" t="s">
        <v>9094</v>
      </c>
      <c r="M5558" t="s">
        <v>9095</v>
      </c>
      <c r="O5558" t="s">
        <v>11130</v>
      </c>
      <c r="P5558" t="s">
        <v>11165</v>
      </c>
      <c r="R5558" t="s">
        <v>11180</v>
      </c>
      <c r="S5558" t="s">
        <v>9094</v>
      </c>
      <c r="T5558" t="s">
        <v>11183</v>
      </c>
      <c r="V5558" t="s">
        <v>728</v>
      </c>
      <c r="W5558">
        <v>1500</v>
      </c>
      <c r="X5558" t="s">
        <v>11335</v>
      </c>
      <c r="Y5558" t="s">
        <v>11338</v>
      </c>
      <c r="Z5558" t="s">
        <v>14852</v>
      </c>
      <c r="AB5558" t="s">
        <v>19175</v>
      </c>
      <c r="AC5558">
        <v>43</v>
      </c>
      <c r="AD5558" t="s">
        <v>19566</v>
      </c>
      <c r="AE5558" t="s">
        <v>9144</v>
      </c>
      <c r="AF5558">
        <v>1</v>
      </c>
      <c r="AG5558">
        <v>2</v>
      </c>
      <c r="AH5558">
        <v>0</v>
      </c>
      <c r="AI5558">
        <v>279.91</v>
      </c>
      <c r="AJ5558" t="s">
        <v>476</v>
      </c>
      <c r="AK5558" t="s">
        <v>19612</v>
      </c>
      <c r="AL5558" t="s">
        <v>19614</v>
      </c>
      <c r="AM5558">
        <v>47333</v>
      </c>
      <c r="AS5558">
        <v>0.1</v>
      </c>
      <c r="AT5558" t="s">
        <v>292</v>
      </c>
      <c r="AU5558" t="s">
        <v>130</v>
      </c>
      <c r="AV5558" t="s">
        <v>20733</v>
      </c>
    </row>
    <row r="5559" spans="1:48">
      <c r="A5559" s="1">
        <f>HYPERLINK("https://lsnyc.legalserver.org/matter/dynamic-profile/view/1904067","19-1904067")</f>
        <v>0</v>
      </c>
      <c r="B5559" t="s">
        <v>174</v>
      </c>
      <c r="C5559" t="s">
        <v>257</v>
      </c>
      <c r="D5559" t="s">
        <v>750</v>
      </c>
      <c r="E5559" t="s">
        <v>370</v>
      </c>
      <c r="F5559" t="s">
        <v>3123</v>
      </c>
      <c r="G5559" t="s">
        <v>3677</v>
      </c>
      <c r="H5559" t="s">
        <v>7998</v>
      </c>
      <c r="I5559" t="s">
        <v>8971</v>
      </c>
      <c r="J5559" t="s">
        <v>9065</v>
      </c>
      <c r="K5559">
        <v>10468</v>
      </c>
      <c r="L5559" t="s">
        <v>9094</v>
      </c>
      <c r="M5559" t="s">
        <v>9095</v>
      </c>
      <c r="O5559" t="s">
        <v>9121</v>
      </c>
      <c r="P5559" t="s">
        <v>11164</v>
      </c>
      <c r="Q5559" t="s">
        <v>11172</v>
      </c>
      <c r="R5559" t="s">
        <v>11180</v>
      </c>
      <c r="S5559" t="s">
        <v>9096</v>
      </c>
      <c r="T5559" t="s">
        <v>11183</v>
      </c>
      <c r="V5559" t="s">
        <v>11218</v>
      </c>
      <c r="W5559">
        <v>905.48</v>
      </c>
      <c r="X5559" t="s">
        <v>11333</v>
      </c>
      <c r="Y5559" t="s">
        <v>11346</v>
      </c>
      <c r="Z5559" t="s">
        <v>14272</v>
      </c>
      <c r="AB5559" t="s">
        <v>19176</v>
      </c>
      <c r="AC5559">
        <v>0</v>
      </c>
      <c r="AD5559" t="s">
        <v>19566</v>
      </c>
      <c r="AE5559" t="s">
        <v>9144</v>
      </c>
      <c r="AF5559">
        <v>14</v>
      </c>
      <c r="AG5559">
        <v>1</v>
      </c>
      <c r="AH5559">
        <v>0</v>
      </c>
      <c r="AI5559">
        <v>280.03</v>
      </c>
      <c r="AL5559" t="s">
        <v>19614</v>
      </c>
      <c r="AM5559">
        <v>34976</v>
      </c>
      <c r="AS5559">
        <v>3.2</v>
      </c>
      <c r="AT5559" t="s">
        <v>370</v>
      </c>
      <c r="AU5559" t="s">
        <v>174</v>
      </c>
      <c r="AV5559" t="s">
        <v>20733</v>
      </c>
    </row>
    <row r="5560" spans="1:48">
      <c r="A5560" s="1">
        <f>HYPERLINK("https://lsnyc.legalserver.org/matter/dynamic-profile/view/1884268","18-1884268")</f>
        <v>0</v>
      </c>
      <c r="B5560" t="s">
        <v>64</v>
      </c>
      <c r="C5560" t="s">
        <v>257</v>
      </c>
      <c r="D5560" t="s">
        <v>343</v>
      </c>
      <c r="E5560" t="s">
        <v>446</v>
      </c>
      <c r="F5560" t="s">
        <v>2592</v>
      </c>
      <c r="G5560" t="s">
        <v>2732</v>
      </c>
      <c r="H5560" t="s">
        <v>6525</v>
      </c>
      <c r="J5560" t="s">
        <v>9059</v>
      </c>
      <c r="K5560">
        <v>11239</v>
      </c>
      <c r="L5560" t="s">
        <v>9094</v>
      </c>
      <c r="M5560" t="s">
        <v>9094</v>
      </c>
      <c r="N5560" t="s">
        <v>11027</v>
      </c>
      <c r="O5560" t="s">
        <v>11129</v>
      </c>
      <c r="P5560" t="s">
        <v>11165</v>
      </c>
      <c r="Q5560" t="s">
        <v>11174</v>
      </c>
      <c r="R5560" t="s">
        <v>11180</v>
      </c>
      <c r="S5560" t="s">
        <v>9096</v>
      </c>
      <c r="T5560" t="s">
        <v>11183</v>
      </c>
      <c r="U5560" t="s">
        <v>11202</v>
      </c>
      <c r="V5560" t="s">
        <v>358</v>
      </c>
      <c r="W5560">
        <v>793</v>
      </c>
      <c r="X5560" t="s">
        <v>11332</v>
      </c>
      <c r="Y5560" t="s">
        <v>11341</v>
      </c>
      <c r="Z5560" t="s">
        <v>14265</v>
      </c>
      <c r="AA5560" t="s">
        <v>9171</v>
      </c>
      <c r="AC5560">
        <v>1092</v>
      </c>
      <c r="AD5560" t="s">
        <v>15441</v>
      </c>
      <c r="AE5560" t="s">
        <v>19580</v>
      </c>
      <c r="AF5560">
        <v>30</v>
      </c>
      <c r="AG5560">
        <v>1</v>
      </c>
      <c r="AH5560">
        <v>0</v>
      </c>
      <c r="AI5560">
        <v>280.07</v>
      </c>
      <c r="AJ5560" t="s">
        <v>868</v>
      </c>
      <c r="AK5560" t="s">
        <v>19612</v>
      </c>
      <c r="AM5560">
        <v>34000</v>
      </c>
      <c r="AP5560" t="s">
        <v>20309</v>
      </c>
      <c r="AQ5560" t="s">
        <v>20369</v>
      </c>
      <c r="AR5560" t="s">
        <v>20573</v>
      </c>
      <c r="AS5560">
        <v>8.109999999999999</v>
      </c>
      <c r="AT5560" t="s">
        <v>308</v>
      </c>
      <c r="AU5560" t="s">
        <v>73</v>
      </c>
    </row>
    <row r="5561" spans="1:48">
      <c r="A5561" s="1">
        <f>HYPERLINK("https://lsnyc.legalserver.org/matter/dynamic-profile/view/1870821","18-1870821")</f>
        <v>0</v>
      </c>
      <c r="B5561" t="s">
        <v>145</v>
      </c>
      <c r="C5561" t="s">
        <v>256</v>
      </c>
      <c r="D5561" t="s">
        <v>943</v>
      </c>
      <c r="F5561" t="s">
        <v>3124</v>
      </c>
      <c r="G5561" t="s">
        <v>5418</v>
      </c>
      <c r="H5561" t="s">
        <v>7999</v>
      </c>
      <c r="I5561" t="s">
        <v>8153</v>
      </c>
      <c r="J5561" t="s">
        <v>9067</v>
      </c>
      <c r="K5561">
        <v>10029</v>
      </c>
      <c r="L5561" t="s">
        <v>9094</v>
      </c>
      <c r="M5561" t="s">
        <v>9094</v>
      </c>
      <c r="N5561" t="s">
        <v>11028</v>
      </c>
      <c r="O5561" t="s">
        <v>11128</v>
      </c>
      <c r="P5561" t="s">
        <v>11165</v>
      </c>
      <c r="R5561" t="s">
        <v>11180</v>
      </c>
      <c r="S5561" t="s">
        <v>9096</v>
      </c>
      <c r="T5561" t="s">
        <v>11183</v>
      </c>
      <c r="U5561" t="s">
        <v>11201</v>
      </c>
      <c r="V5561" t="s">
        <v>855</v>
      </c>
      <c r="W5561">
        <v>101</v>
      </c>
      <c r="X5561" t="s">
        <v>11335</v>
      </c>
      <c r="Y5561" t="s">
        <v>11354</v>
      </c>
      <c r="Z5561" t="s">
        <v>14853</v>
      </c>
      <c r="AB5561" t="s">
        <v>19177</v>
      </c>
      <c r="AC5561">
        <v>23</v>
      </c>
      <c r="AD5561" t="s">
        <v>19569</v>
      </c>
      <c r="AE5561" t="s">
        <v>9144</v>
      </c>
      <c r="AF5561">
        <v>36</v>
      </c>
      <c r="AG5561">
        <v>1</v>
      </c>
      <c r="AH5561">
        <v>0</v>
      </c>
      <c r="AI5561">
        <v>280.07</v>
      </c>
      <c r="AJ5561" t="s">
        <v>650</v>
      </c>
      <c r="AK5561" t="s">
        <v>19612</v>
      </c>
      <c r="AL5561" t="s">
        <v>19614</v>
      </c>
      <c r="AM5561">
        <v>34000</v>
      </c>
      <c r="AS5561">
        <v>18.6</v>
      </c>
      <c r="AT5561" t="s">
        <v>377</v>
      </c>
      <c r="AU5561" t="s">
        <v>20627</v>
      </c>
    </row>
    <row r="5562" spans="1:48">
      <c r="A5562" s="1">
        <f>HYPERLINK("https://lsnyc.legalserver.org/matter/dynamic-profile/view/1907628","19-1907628")</f>
        <v>0</v>
      </c>
      <c r="B5562" t="s">
        <v>50</v>
      </c>
      <c r="C5562" t="s">
        <v>256</v>
      </c>
      <c r="D5562" t="s">
        <v>429</v>
      </c>
      <c r="F5562" t="s">
        <v>1323</v>
      </c>
      <c r="G5562" t="s">
        <v>4845</v>
      </c>
      <c r="H5562" t="s">
        <v>8000</v>
      </c>
      <c r="I5562" t="s">
        <v>8972</v>
      </c>
      <c r="J5562" t="s">
        <v>9054</v>
      </c>
      <c r="K5562">
        <v>11368</v>
      </c>
      <c r="L5562" t="s">
        <v>9095</v>
      </c>
      <c r="M5562" t="s">
        <v>9095</v>
      </c>
      <c r="O5562" t="s">
        <v>11134</v>
      </c>
      <c r="R5562" t="s">
        <v>11180</v>
      </c>
      <c r="T5562" t="s">
        <v>11183</v>
      </c>
      <c r="W5562">
        <v>1240.73</v>
      </c>
      <c r="X5562" t="s">
        <v>11331</v>
      </c>
      <c r="AB5562" t="s">
        <v>19178</v>
      </c>
      <c r="AC5562">
        <v>0</v>
      </c>
      <c r="AE5562" t="s">
        <v>9144</v>
      </c>
      <c r="AF5562">
        <v>33</v>
      </c>
      <c r="AG5562">
        <v>1</v>
      </c>
      <c r="AH5562">
        <v>0</v>
      </c>
      <c r="AI5562">
        <v>280.22</v>
      </c>
      <c r="AL5562" t="s">
        <v>19614</v>
      </c>
      <c r="AM5562">
        <v>35000</v>
      </c>
      <c r="AS5562">
        <v>0</v>
      </c>
      <c r="AU5562" t="s">
        <v>20619</v>
      </c>
    </row>
    <row r="5563" spans="1:48">
      <c r="A5563" s="1">
        <f>HYPERLINK("https://lsnyc.legalserver.org/matter/dynamic-profile/view/1892521","19-1892521")</f>
        <v>0</v>
      </c>
      <c r="B5563" t="s">
        <v>70</v>
      </c>
      <c r="C5563" t="s">
        <v>256</v>
      </c>
      <c r="D5563" t="s">
        <v>311</v>
      </c>
      <c r="F5563" t="s">
        <v>1147</v>
      </c>
      <c r="G5563" t="s">
        <v>2903</v>
      </c>
      <c r="H5563" t="s">
        <v>5748</v>
      </c>
      <c r="I5563" t="s">
        <v>8744</v>
      </c>
      <c r="J5563" t="s">
        <v>9059</v>
      </c>
      <c r="K5563">
        <v>11233</v>
      </c>
      <c r="L5563" t="s">
        <v>9094</v>
      </c>
      <c r="M5563" t="s">
        <v>9096</v>
      </c>
      <c r="N5563" t="s">
        <v>9145</v>
      </c>
      <c r="O5563" t="s">
        <v>11134</v>
      </c>
      <c r="P5563" t="s">
        <v>11168</v>
      </c>
      <c r="R5563" t="s">
        <v>11180</v>
      </c>
      <c r="S5563" t="s">
        <v>9094</v>
      </c>
      <c r="T5563" t="s">
        <v>11183</v>
      </c>
      <c r="U5563" t="s">
        <v>11201</v>
      </c>
      <c r="V5563" t="s">
        <v>482</v>
      </c>
      <c r="W5563">
        <v>2500</v>
      </c>
      <c r="X5563" t="s">
        <v>11332</v>
      </c>
      <c r="Y5563" t="s">
        <v>11157</v>
      </c>
      <c r="Z5563" t="s">
        <v>14495</v>
      </c>
      <c r="AC5563">
        <v>359</v>
      </c>
      <c r="AD5563" t="s">
        <v>19566</v>
      </c>
      <c r="AF5563">
        <v>51</v>
      </c>
      <c r="AG5563">
        <v>1</v>
      </c>
      <c r="AH5563">
        <v>0</v>
      </c>
      <c r="AI5563">
        <v>280.22</v>
      </c>
      <c r="AL5563" t="s">
        <v>19614</v>
      </c>
      <c r="AM5563">
        <v>35000</v>
      </c>
      <c r="AN5563" t="s">
        <v>19846</v>
      </c>
      <c r="AS5563">
        <v>0</v>
      </c>
      <c r="AU5563" t="s">
        <v>79</v>
      </c>
    </row>
    <row r="5564" spans="1:48">
      <c r="A5564" s="1">
        <f>HYPERLINK("https://lsnyc.legalserver.org/matter/dynamic-profile/view/1892522","19-1892522")</f>
        <v>0</v>
      </c>
      <c r="B5564" t="s">
        <v>70</v>
      </c>
      <c r="C5564" t="s">
        <v>256</v>
      </c>
      <c r="D5564" t="s">
        <v>311</v>
      </c>
      <c r="F5564" t="s">
        <v>1147</v>
      </c>
      <c r="G5564" t="s">
        <v>2903</v>
      </c>
      <c r="H5564" t="s">
        <v>5748</v>
      </c>
      <c r="I5564" t="s">
        <v>8744</v>
      </c>
      <c r="J5564" t="s">
        <v>9059</v>
      </c>
      <c r="K5564">
        <v>11233</v>
      </c>
      <c r="L5564" t="s">
        <v>9094</v>
      </c>
      <c r="M5564" t="s">
        <v>9096</v>
      </c>
      <c r="O5564" t="s">
        <v>11137</v>
      </c>
      <c r="P5564" t="s">
        <v>11167</v>
      </c>
      <c r="R5564" t="s">
        <v>11180</v>
      </c>
      <c r="S5564" t="s">
        <v>9094</v>
      </c>
      <c r="T5564" t="s">
        <v>11183</v>
      </c>
      <c r="U5564" t="s">
        <v>11201</v>
      </c>
      <c r="V5564" t="s">
        <v>749</v>
      </c>
      <c r="W5564">
        <v>2500</v>
      </c>
      <c r="X5564" t="s">
        <v>11332</v>
      </c>
      <c r="Y5564" t="s">
        <v>11157</v>
      </c>
      <c r="Z5564" t="s">
        <v>14495</v>
      </c>
      <c r="AC5564">
        <v>359</v>
      </c>
      <c r="AD5564" t="s">
        <v>19566</v>
      </c>
      <c r="AF5564">
        <v>51</v>
      </c>
      <c r="AG5564">
        <v>1</v>
      </c>
      <c r="AH5564">
        <v>0</v>
      </c>
      <c r="AI5564">
        <v>280.22</v>
      </c>
      <c r="AL5564" t="s">
        <v>19614</v>
      </c>
      <c r="AM5564">
        <v>35000</v>
      </c>
      <c r="AN5564" t="s">
        <v>20141</v>
      </c>
      <c r="AS5564">
        <v>0</v>
      </c>
      <c r="AU5564" t="s">
        <v>79</v>
      </c>
    </row>
    <row r="5565" spans="1:48">
      <c r="A5565" s="1">
        <f>HYPERLINK("https://lsnyc.legalserver.org/matter/dynamic-profile/view/1893454","19-1893454")</f>
        <v>0</v>
      </c>
      <c r="B5565" t="s">
        <v>92</v>
      </c>
      <c r="C5565" t="s">
        <v>256</v>
      </c>
      <c r="D5565" t="s">
        <v>373</v>
      </c>
      <c r="F5565" t="s">
        <v>2223</v>
      </c>
      <c r="G5565" t="s">
        <v>3846</v>
      </c>
      <c r="H5565" t="s">
        <v>6908</v>
      </c>
      <c r="J5565" t="s">
        <v>9059</v>
      </c>
      <c r="K5565">
        <v>11208</v>
      </c>
      <c r="L5565" t="s">
        <v>9094</v>
      </c>
      <c r="M5565" t="s">
        <v>9094</v>
      </c>
      <c r="O5565" t="s">
        <v>11137</v>
      </c>
      <c r="P5565" t="s">
        <v>11167</v>
      </c>
      <c r="R5565" t="s">
        <v>11180</v>
      </c>
      <c r="S5565" t="s">
        <v>9094</v>
      </c>
      <c r="T5565" t="s">
        <v>11183</v>
      </c>
      <c r="U5565" t="s">
        <v>11201</v>
      </c>
      <c r="V5565" t="s">
        <v>589</v>
      </c>
      <c r="W5565">
        <v>400</v>
      </c>
      <c r="X5565" t="s">
        <v>11332</v>
      </c>
      <c r="Z5565" t="s">
        <v>14854</v>
      </c>
      <c r="AC5565">
        <v>0</v>
      </c>
      <c r="AF5565">
        <v>3</v>
      </c>
      <c r="AG5565">
        <v>1</v>
      </c>
      <c r="AH5565">
        <v>0</v>
      </c>
      <c r="AI5565">
        <v>280.22</v>
      </c>
      <c r="AJ5565" t="s">
        <v>624</v>
      </c>
      <c r="AK5565" t="s">
        <v>19612</v>
      </c>
      <c r="AM5565">
        <v>35000</v>
      </c>
      <c r="AN5565" t="s">
        <v>20142</v>
      </c>
      <c r="AS5565">
        <v>0</v>
      </c>
      <c r="AU5565" t="s">
        <v>95</v>
      </c>
    </row>
    <row r="5566" spans="1:48">
      <c r="A5566" s="1">
        <f>HYPERLINK("https://lsnyc.legalserver.org/matter/dynamic-profile/view/1895969","19-1895969")</f>
        <v>0</v>
      </c>
      <c r="B5566" t="s">
        <v>127</v>
      </c>
      <c r="C5566" t="s">
        <v>256</v>
      </c>
      <c r="D5566" t="s">
        <v>300</v>
      </c>
      <c r="F5566" t="s">
        <v>3125</v>
      </c>
      <c r="G5566" t="s">
        <v>5419</v>
      </c>
      <c r="H5566" t="s">
        <v>7961</v>
      </c>
      <c r="I5566" t="s">
        <v>8419</v>
      </c>
      <c r="J5566" t="s">
        <v>9066</v>
      </c>
      <c r="K5566">
        <v>10301</v>
      </c>
      <c r="L5566" t="s">
        <v>9094</v>
      </c>
      <c r="M5566" t="s">
        <v>9094</v>
      </c>
      <c r="P5566" t="s">
        <v>11164</v>
      </c>
      <c r="R5566" t="s">
        <v>11180</v>
      </c>
      <c r="T5566" t="s">
        <v>11183</v>
      </c>
      <c r="V5566" t="s">
        <v>421</v>
      </c>
      <c r="W5566">
        <v>0</v>
      </c>
      <c r="X5566" t="s">
        <v>11334</v>
      </c>
      <c r="Z5566" t="s">
        <v>14855</v>
      </c>
      <c r="AB5566" t="s">
        <v>19179</v>
      </c>
      <c r="AC5566">
        <v>0</v>
      </c>
      <c r="AF5566">
        <v>0</v>
      </c>
      <c r="AG5566">
        <v>1</v>
      </c>
      <c r="AH5566">
        <v>0</v>
      </c>
      <c r="AI5566">
        <v>280.22</v>
      </c>
      <c r="AL5566" t="s">
        <v>19614</v>
      </c>
      <c r="AM5566">
        <v>35000</v>
      </c>
      <c r="AS5566">
        <v>0</v>
      </c>
      <c r="AU5566" t="s">
        <v>215</v>
      </c>
    </row>
    <row r="5567" spans="1:48">
      <c r="A5567" s="1">
        <f>HYPERLINK("https://lsnyc.legalserver.org/matter/dynamic-profile/view/1899902","19-1899902")</f>
        <v>0</v>
      </c>
      <c r="B5567" t="s">
        <v>113</v>
      </c>
      <c r="C5567" t="s">
        <v>256</v>
      </c>
      <c r="D5567" t="s">
        <v>411</v>
      </c>
      <c r="F5567" t="s">
        <v>3126</v>
      </c>
      <c r="G5567" t="s">
        <v>3195</v>
      </c>
      <c r="H5567" t="s">
        <v>5864</v>
      </c>
      <c r="I5567" t="s">
        <v>8147</v>
      </c>
      <c r="J5567" t="s">
        <v>9065</v>
      </c>
      <c r="K5567">
        <v>10460</v>
      </c>
      <c r="L5567" t="s">
        <v>9094</v>
      </c>
      <c r="M5567" t="s">
        <v>9095</v>
      </c>
      <c r="N5567" t="s">
        <v>11029</v>
      </c>
      <c r="O5567" t="s">
        <v>9121</v>
      </c>
      <c r="P5567" t="s">
        <v>11166</v>
      </c>
      <c r="R5567" t="s">
        <v>11180</v>
      </c>
      <c r="S5567" t="s">
        <v>9094</v>
      </c>
      <c r="T5567" t="s">
        <v>11183</v>
      </c>
      <c r="V5567" t="s">
        <v>11218</v>
      </c>
      <c r="W5567">
        <v>1071</v>
      </c>
      <c r="X5567" t="s">
        <v>11333</v>
      </c>
      <c r="Y5567" t="s">
        <v>11346</v>
      </c>
      <c r="Z5567" t="s">
        <v>14856</v>
      </c>
      <c r="AB5567" t="s">
        <v>19180</v>
      </c>
      <c r="AC5567">
        <v>168</v>
      </c>
      <c r="AD5567" t="s">
        <v>15441</v>
      </c>
      <c r="AE5567" t="s">
        <v>19580</v>
      </c>
      <c r="AF5567">
        <v>10</v>
      </c>
      <c r="AG5567">
        <v>1</v>
      </c>
      <c r="AH5567">
        <v>1</v>
      </c>
      <c r="AI5567">
        <v>280.9</v>
      </c>
      <c r="AL5567" t="s">
        <v>19614</v>
      </c>
      <c r="AM5567">
        <v>47500</v>
      </c>
      <c r="AS5567">
        <v>0</v>
      </c>
      <c r="AU5567" t="s">
        <v>220</v>
      </c>
      <c r="AV5567" t="s">
        <v>20733</v>
      </c>
    </row>
    <row r="5568" spans="1:48">
      <c r="A5568" s="1">
        <f>HYPERLINK("https://lsnyc.legalserver.org/matter/dynamic-profile/view/1914502","19-1914502")</f>
        <v>0</v>
      </c>
      <c r="B5568" t="s">
        <v>143</v>
      </c>
      <c r="C5568" t="s">
        <v>256</v>
      </c>
      <c r="D5568" t="s">
        <v>612</v>
      </c>
      <c r="F5568" t="s">
        <v>2701</v>
      </c>
      <c r="G5568" t="s">
        <v>2903</v>
      </c>
      <c r="H5568" t="s">
        <v>7818</v>
      </c>
      <c r="I5568" t="s">
        <v>8270</v>
      </c>
      <c r="J5568" t="s">
        <v>9067</v>
      </c>
      <c r="K5568">
        <v>10039</v>
      </c>
      <c r="L5568" t="s">
        <v>9094</v>
      </c>
      <c r="M5568" t="s">
        <v>9095</v>
      </c>
      <c r="O5568" t="s">
        <v>11129</v>
      </c>
      <c r="P5568" t="s">
        <v>11169</v>
      </c>
      <c r="R5568" t="s">
        <v>11180</v>
      </c>
      <c r="S5568" t="s">
        <v>9096</v>
      </c>
      <c r="T5568" t="s">
        <v>11183</v>
      </c>
      <c r="U5568" t="s">
        <v>11201</v>
      </c>
      <c r="V5568" t="s">
        <v>612</v>
      </c>
      <c r="W5568">
        <v>1257.77</v>
      </c>
      <c r="X5568" t="s">
        <v>11335</v>
      </c>
      <c r="Y5568" t="s">
        <v>11346</v>
      </c>
      <c r="Z5568" t="s">
        <v>13217</v>
      </c>
      <c r="AB5568" t="s">
        <v>19181</v>
      </c>
      <c r="AC5568">
        <v>96</v>
      </c>
      <c r="AD5568" t="s">
        <v>19566</v>
      </c>
      <c r="AE5568" t="s">
        <v>19587</v>
      </c>
      <c r="AF5568">
        <v>13</v>
      </c>
      <c r="AG5568">
        <v>1</v>
      </c>
      <c r="AH5568">
        <v>0</v>
      </c>
      <c r="AI5568">
        <v>281.18</v>
      </c>
      <c r="AL5568" t="s">
        <v>19614</v>
      </c>
      <c r="AM5568">
        <v>35120</v>
      </c>
      <c r="AS5568">
        <v>0</v>
      </c>
      <c r="AU5568" t="s">
        <v>20657</v>
      </c>
      <c r="AV5568" t="s">
        <v>20733</v>
      </c>
    </row>
    <row r="5569" spans="1:48">
      <c r="A5569" s="1">
        <f>HYPERLINK("https://lsnyc.legalserver.org/matter/dynamic-profile/view/1891565","19-1891565")</f>
        <v>0</v>
      </c>
      <c r="B5569" t="s">
        <v>70</v>
      </c>
      <c r="C5569" t="s">
        <v>256</v>
      </c>
      <c r="D5569" t="s">
        <v>316</v>
      </c>
      <c r="F5569" t="s">
        <v>1534</v>
      </c>
      <c r="G5569" t="s">
        <v>1553</v>
      </c>
      <c r="H5569" t="s">
        <v>5749</v>
      </c>
      <c r="I5569" t="s">
        <v>8973</v>
      </c>
      <c r="J5569" t="s">
        <v>9059</v>
      </c>
      <c r="K5569">
        <v>11233</v>
      </c>
      <c r="L5569" t="s">
        <v>9094</v>
      </c>
      <c r="M5569" t="s">
        <v>9096</v>
      </c>
      <c r="N5569" t="s">
        <v>9146</v>
      </c>
      <c r="O5569" t="s">
        <v>11134</v>
      </c>
      <c r="P5569" t="s">
        <v>11168</v>
      </c>
      <c r="R5569" t="s">
        <v>11180</v>
      </c>
      <c r="S5569" t="s">
        <v>9094</v>
      </c>
      <c r="T5569" t="s">
        <v>11183</v>
      </c>
      <c r="U5569" t="s">
        <v>11201</v>
      </c>
      <c r="V5569" t="s">
        <v>482</v>
      </c>
      <c r="W5569">
        <v>1003</v>
      </c>
      <c r="X5569" t="s">
        <v>11332</v>
      </c>
      <c r="Z5569" t="s">
        <v>14857</v>
      </c>
      <c r="AC5569">
        <v>359</v>
      </c>
      <c r="AD5569" t="s">
        <v>19566</v>
      </c>
      <c r="AF5569">
        <v>13</v>
      </c>
      <c r="AG5569">
        <v>1</v>
      </c>
      <c r="AH5569">
        <v>2</v>
      </c>
      <c r="AI5569">
        <v>281.29</v>
      </c>
      <c r="AJ5569" t="s">
        <v>546</v>
      </c>
      <c r="AK5569" t="s">
        <v>19612</v>
      </c>
      <c r="AL5569" t="s">
        <v>19614</v>
      </c>
      <c r="AM5569">
        <v>60000</v>
      </c>
      <c r="AN5569" t="s">
        <v>19641</v>
      </c>
      <c r="AS5569">
        <v>0</v>
      </c>
      <c r="AU5569" t="s">
        <v>95</v>
      </c>
    </row>
    <row r="5570" spans="1:48">
      <c r="A5570" s="1">
        <f>HYPERLINK("https://lsnyc.legalserver.org/matter/dynamic-profile/view/1892069","19-1892069")</f>
        <v>0</v>
      </c>
      <c r="B5570" t="s">
        <v>70</v>
      </c>
      <c r="C5570" t="s">
        <v>256</v>
      </c>
      <c r="D5570" t="s">
        <v>428</v>
      </c>
      <c r="F5570" t="s">
        <v>3127</v>
      </c>
      <c r="G5570" t="s">
        <v>2162</v>
      </c>
      <c r="H5570" t="s">
        <v>5748</v>
      </c>
      <c r="I5570" t="s">
        <v>8140</v>
      </c>
      <c r="J5570" t="s">
        <v>9059</v>
      </c>
      <c r="K5570">
        <v>11233</v>
      </c>
      <c r="L5570" t="s">
        <v>9094</v>
      </c>
      <c r="M5570" t="s">
        <v>9096</v>
      </c>
      <c r="N5570" t="s">
        <v>9145</v>
      </c>
      <c r="O5570" t="s">
        <v>11134</v>
      </c>
      <c r="P5570" t="s">
        <v>11168</v>
      </c>
      <c r="R5570" t="s">
        <v>11180</v>
      </c>
      <c r="S5570" t="s">
        <v>9094</v>
      </c>
      <c r="T5570" t="s">
        <v>11183</v>
      </c>
      <c r="U5570" t="s">
        <v>11201</v>
      </c>
      <c r="V5570" t="s">
        <v>482</v>
      </c>
      <c r="W5570">
        <v>978</v>
      </c>
      <c r="X5570" t="s">
        <v>11332</v>
      </c>
      <c r="Y5570" t="s">
        <v>11157</v>
      </c>
      <c r="Z5570" t="s">
        <v>14858</v>
      </c>
      <c r="AC5570">
        <v>359</v>
      </c>
      <c r="AD5570" t="s">
        <v>19566</v>
      </c>
      <c r="AE5570" t="s">
        <v>9144</v>
      </c>
      <c r="AF5570">
        <v>3</v>
      </c>
      <c r="AG5570">
        <v>2</v>
      </c>
      <c r="AH5570">
        <v>1</v>
      </c>
      <c r="AI5570">
        <v>281.29</v>
      </c>
      <c r="AL5570" t="s">
        <v>19614</v>
      </c>
      <c r="AM5570">
        <v>60000</v>
      </c>
      <c r="AN5570" t="s">
        <v>19846</v>
      </c>
      <c r="AS5570">
        <v>0</v>
      </c>
      <c r="AU5570" t="s">
        <v>79</v>
      </c>
    </row>
    <row r="5571" spans="1:48">
      <c r="A5571" s="1">
        <f>HYPERLINK("https://lsnyc.legalserver.org/matter/dynamic-profile/view/1892764","19-1892764")</f>
        <v>0</v>
      </c>
      <c r="B5571" t="s">
        <v>70</v>
      </c>
      <c r="C5571" t="s">
        <v>256</v>
      </c>
      <c r="D5571" t="s">
        <v>553</v>
      </c>
      <c r="F5571" t="s">
        <v>3128</v>
      </c>
      <c r="G5571" t="s">
        <v>5420</v>
      </c>
      <c r="H5571" t="s">
        <v>5750</v>
      </c>
      <c r="I5571" t="s">
        <v>8189</v>
      </c>
      <c r="J5571" t="s">
        <v>9059</v>
      </c>
      <c r="K5571">
        <v>11233</v>
      </c>
      <c r="L5571" t="s">
        <v>9094</v>
      </c>
      <c r="M5571" t="s">
        <v>9096</v>
      </c>
      <c r="N5571" t="s">
        <v>9145</v>
      </c>
      <c r="O5571" t="s">
        <v>11134</v>
      </c>
      <c r="P5571" t="s">
        <v>11168</v>
      </c>
      <c r="R5571" t="s">
        <v>11180</v>
      </c>
      <c r="S5571" t="s">
        <v>9094</v>
      </c>
      <c r="T5571" t="s">
        <v>11183</v>
      </c>
      <c r="U5571" t="s">
        <v>11201</v>
      </c>
      <c r="V5571" t="s">
        <v>482</v>
      </c>
      <c r="W5571">
        <v>1200</v>
      </c>
      <c r="X5571" t="s">
        <v>11332</v>
      </c>
      <c r="Y5571" t="s">
        <v>11157</v>
      </c>
      <c r="Z5571" t="s">
        <v>14859</v>
      </c>
      <c r="AC5571">
        <v>359</v>
      </c>
      <c r="AD5571" t="s">
        <v>19566</v>
      </c>
      <c r="AF5571">
        <v>4</v>
      </c>
      <c r="AG5571">
        <v>2</v>
      </c>
      <c r="AH5571">
        <v>1</v>
      </c>
      <c r="AI5571">
        <v>281.29</v>
      </c>
      <c r="AL5571" t="s">
        <v>19614</v>
      </c>
      <c r="AM5571">
        <v>60000</v>
      </c>
      <c r="AN5571" t="s">
        <v>20143</v>
      </c>
      <c r="AS5571">
        <v>0</v>
      </c>
      <c r="AU5571" t="s">
        <v>79</v>
      </c>
    </row>
    <row r="5572" spans="1:48">
      <c r="A5572" s="1">
        <f>HYPERLINK("https://lsnyc.legalserver.org/matter/dynamic-profile/view/1891566","19-1891566")</f>
        <v>0</v>
      </c>
      <c r="B5572" t="s">
        <v>70</v>
      </c>
      <c r="C5572" t="s">
        <v>256</v>
      </c>
      <c r="D5572" t="s">
        <v>316</v>
      </c>
      <c r="F5572" t="s">
        <v>1534</v>
      </c>
      <c r="G5572" t="s">
        <v>1553</v>
      </c>
      <c r="H5572" t="s">
        <v>5749</v>
      </c>
      <c r="I5572" t="s">
        <v>8973</v>
      </c>
      <c r="J5572" t="s">
        <v>9059</v>
      </c>
      <c r="K5572">
        <v>11233</v>
      </c>
      <c r="L5572" t="s">
        <v>9094</v>
      </c>
      <c r="M5572" t="s">
        <v>9096</v>
      </c>
      <c r="N5572" t="s">
        <v>9171</v>
      </c>
      <c r="O5572" t="s">
        <v>11137</v>
      </c>
      <c r="P5572" t="s">
        <v>11167</v>
      </c>
      <c r="R5572" t="s">
        <v>11180</v>
      </c>
      <c r="S5572" t="s">
        <v>9094</v>
      </c>
      <c r="T5572" t="s">
        <v>11183</v>
      </c>
      <c r="U5572" t="s">
        <v>11201</v>
      </c>
      <c r="V5572" t="s">
        <v>749</v>
      </c>
      <c r="W5572">
        <v>1003</v>
      </c>
      <c r="X5572" t="s">
        <v>11332</v>
      </c>
      <c r="Z5572" t="s">
        <v>14857</v>
      </c>
      <c r="AC5572">
        <v>359</v>
      </c>
      <c r="AD5572" t="s">
        <v>19566</v>
      </c>
      <c r="AF5572">
        <v>13</v>
      </c>
      <c r="AG5572">
        <v>1</v>
      </c>
      <c r="AH5572">
        <v>2</v>
      </c>
      <c r="AI5572">
        <v>281.29</v>
      </c>
      <c r="AJ5572" t="s">
        <v>546</v>
      </c>
      <c r="AK5572" t="s">
        <v>19612</v>
      </c>
      <c r="AL5572" t="s">
        <v>19614</v>
      </c>
      <c r="AM5572">
        <v>60000</v>
      </c>
      <c r="AN5572" t="s">
        <v>20144</v>
      </c>
      <c r="AS5572">
        <v>0</v>
      </c>
      <c r="AU5572" t="s">
        <v>95</v>
      </c>
    </row>
    <row r="5573" spans="1:48">
      <c r="A5573" s="1">
        <f>HYPERLINK("https://lsnyc.legalserver.org/matter/dynamic-profile/view/1892076","19-1892076")</f>
        <v>0</v>
      </c>
      <c r="B5573" t="s">
        <v>70</v>
      </c>
      <c r="C5573" t="s">
        <v>256</v>
      </c>
      <c r="D5573" t="s">
        <v>428</v>
      </c>
      <c r="F5573" t="s">
        <v>3127</v>
      </c>
      <c r="G5573" t="s">
        <v>2162</v>
      </c>
      <c r="H5573" t="s">
        <v>5748</v>
      </c>
      <c r="I5573" t="s">
        <v>8140</v>
      </c>
      <c r="J5573" t="s">
        <v>9059</v>
      </c>
      <c r="K5573">
        <v>11233</v>
      </c>
      <c r="L5573" t="s">
        <v>9094</v>
      </c>
      <c r="M5573" t="s">
        <v>9096</v>
      </c>
      <c r="O5573" t="s">
        <v>11137</v>
      </c>
      <c r="P5573" t="s">
        <v>11167</v>
      </c>
      <c r="R5573" t="s">
        <v>11180</v>
      </c>
      <c r="S5573" t="s">
        <v>9094</v>
      </c>
      <c r="T5573" t="s">
        <v>11183</v>
      </c>
      <c r="U5573" t="s">
        <v>11201</v>
      </c>
      <c r="V5573" t="s">
        <v>749</v>
      </c>
      <c r="W5573">
        <v>978</v>
      </c>
      <c r="X5573" t="s">
        <v>11332</v>
      </c>
      <c r="Y5573" t="s">
        <v>11157</v>
      </c>
      <c r="Z5573" t="s">
        <v>14858</v>
      </c>
      <c r="AC5573">
        <v>359</v>
      </c>
      <c r="AD5573" t="s">
        <v>19566</v>
      </c>
      <c r="AE5573" t="s">
        <v>9144</v>
      </c>
      <c r="AF5573">
        <v>3</v>
      </c>
      <c r="AG5573">
        <v>2</v>
      </c>
      <c r="AH5573">
        <v>1</v>
      </c>
      <c r="AI5573">
        <v>281.29</v>
      </c>
      <c r="AL5573" t="s">
        <v>19614</v>
      </c>
      <c r="AM5573">
        <v>60000</v>
      </c>
      <c r="AN5573" t="s">
        <v>20145</v>
      </c>
      <c r="AS5573">
        <v>0</v>
      </c>
      <c r="AU5573" t="s">
        <v>79</v>
      </c>
    </row>
    <row r="5574" spans="1:48">
      <c r="A5574" s="1">
        <f>HYPERLINK("https://lsnyc.legalserver.org/matter/dynamic-profile/view/1892770","19-1892770")</f>
        <v>0</v>
      </c>
      <c r="B5574" t="s">
        <v>70</v>
      </c>
      <c r="C5574" t="s">
        <v>256</v>
      </c>
      <c r="D5574" t="s">
        <v>553</v>
      </c>
      <c r="F5574" t="s">
        <v>3128</v>
      </c>
      <c r="G5574" t="s">
        <v>5420</v>
      </c>
      <c r="H5574" t="s">
        <v>5750</v>
      </c>
      <c r="I5574" t="s">
        <v>8189</v>
      </c>
      <c r="J5574" t="s">
        <v>9059</v>
      </c>
      <c r="K5574">
        <v>11233</v>
      </c>
      <c r="L5574" t="s">
        <v>9094</v>
      </c>
      <c r="M5574" t="s">
        <v>9096</v>
      </c>
      <c r="O5574" t="s">
        <v>11137</v>
      </c>
      <c r="P5574" t="s">
        <v>11167</v>
      </c>
      <c r="R5574" t="s">
        <v>11180</v>
      </c>
      <c r="S5574" t="s">
        <v>9094</v>
      </c>
      <c r="T5574" t="s">
        <v>11183</v>
      </c>
      <c r="U5574" t="s">
        <v>11201</v>
      </c>
      <c r="V5574" t="s">
        <v>749</v>
      </c>
      <c r="W5574">
        <v>1200</v>
      </c>
      <c r="X5574" t="s">
        <v>11332</v>
      </c>
      <c r="Y5574" t="s">
        <v>11157</v>
      </c>
      <c r="Z5574" t="s">
        <v>14859</v>
      </c>
      <c r="AC5574">
        <v>359</v>
      </c>
      <c r="AD5574" t="s">
        <v>19566</v>
      </c>
      <c r="AF5574">
        <v>4</v>
      </c>
      <c r="AG5574">
        <v>2</v>
      </c>
      <c r="AH5574">
        <v>1</v>
      </c>
      <c r="AI5574">
        <v>281.29</v>
      </c>
      <c r="AL5574" t="s">
        <v>19614</v>
      </c>
      <c r="AM5574">
        <v>60000</v>
      </c>
      <c r="AN5574" t="s">
        <v>20146</v>
      </c>
      <c r="AS5574">
        <v>0</v>
      </c>
      <c r="AU5574" t="s">
        <v>79</v>
      </c>
    </row>
    <row r="5575" spans="1:48">
      <c r="A5575" s="1">
        <f>HYPERLINK("https://lsnyc.legalserver.org/matter/dynamic-profile/view/1896972","19-1896972")</f>
        <v>0</v>
      </c>
      <c r="B5575" t="s">
        <v>92</v>
      </c>
      <c r="C5575" t="s">
        <v>257</v>
      </c>
      <c r="D5575" t="s">
        <v>296</v>
      </c>
      <c r="E5575" t="s">
        <v>664</v>
      </c>
      <c r="F5575" t="s">
        <v>3129</v>
      </c>
      <c r="G5575" t="s">
        <v>1260</v>
      </c>
      <c r="H5575" t="s">
        <v>7985</v>
      </c>
      <c r="I5575" t="s">
        <v>8207</v>
      </c>
      <c r="J5575" t="s">
        <v>9059</v>
      </c>
      <c r="K5575">
        <v>11212</v>
      </c>
      <c r="L5575" t="s">
        <v>9094</v>
      </c>
      <c r="M5575" t="s">
        <v>9096</v>
      </c>
      <c r="N5575" t="s">
        <v>11030</v>
      </c>
      <c r="O5575" t="s">
        <v>11128</v>
      </c>
      <c r="P5575" t="s">
        <v>11165</v>
      </c>
      <c r="Q5575" t="s">
        <v>11174</v>
      </c>
      <c r="R5575" t="s">
        <v>11180</v>
      </c>
      <c r="S5575" t="s">
        <v>9096</v>
      </c>
      <c r="T5575" t="s">
        <v>11183</v>
      </c>
      <c r="U5575" t="s">
        <v>11201</v>
      </c>
      <c r="V5575" t="s">
        <v>296</v>
      </c>
      <c r="W5575">
        <v>1298.3</v>
      </c>
      <c r="X5575" t="s">
        <v>11332</v>
      </c>
      <c r="Y5575" t="s">
        <v>11346</v>
      </c>
      <c r="Z5575" t="s">
        <v>14860</v>
      </c>
      <c r="AA5575" t="s">
        <v>9144</v>
      </c>
      <c r="AB5575" t="s">
        <v>19182</v>
      </c>
      <c r="AC5575">
        <v>72</v>
      </c>
      <c r="AD5575" t="s">
        <v>19566</v>
      </c>
      <c r="AE5575" t="s">
        <v>9144</v>
      </c>
      <c r="AF5575">
        <v>11</v>
      </c>
      <c r="AG5575">
        <v>3</v>
      </c>
      <c r="AH5575">
        <v>0</v>
      </c>
      <c r="AI5575">
        <v>281.29</v>
      </c>
      <c r="AJ5575" t="s">
        <v>265</v>
      </c>
      <c r="AL5575" t="s">
        <v>19614</v>
      </c>
      <c r="AM5575">
        <v>60000</v>
      </c>
      <c r="AS5575">
        <v>27</v>
      </c>
      <c r="AT5575" t="s">
        <v>669</v>
      </c>
      <c r="AU5575" t="s">
        <v>95</v>
      </c>
      <c r="AV5575" t="s">
        <v>20733</v>
      </c>
    </row>
    <row r="5576" spans="1:48">
      <c r="A5576" s="1">
        <f>HYPERLINK("https://lsnyc.legalserver.org/matter/dynamic-profile/view/1851102","17-1851102")</f>
        <v>0</v>
      </c>
      <c r="B5576" t="s">
        <v>64</v>
      </c>
      <c r="C5576" t="s">
        <v>256</v>
      </c>
      <c r="D5576" t="s">
        <v>935</v>
      </c>
      <c r="F5576" t="s">
        <v>3130</v>
      </c>
      <c r="G5576" t="s">
        <v>1248</v>
      </c>
      <c r="H5576" t="s">
        <v>7754</v>
      </c>
      <c r="I5576" t="s">
        <v>8428</v>
      </c>
      <c r="J5576" t="s">
        <v>9059</v>
      </c>
      <c r="K5576">
        <v>11236</v>
      </c>
      <c r="L5576" t="s">
        <v>9094</v>
      </c>
      <c r="M5576" t="s">
        <v>9095</v>
      </c>
      <c r="N5576" t="s">
        <v>11031</v>
      </c>
      <c r="O5576" t="s">
        <v>11128</v>
      </c>
      <c r="P5576" t="s">
        <v>11165</v>
      </c>
      <c r="R5576" t="s">
        <v>11180</v>
      </c>
      <c r="S5576" t="s">
        <v>9094</v>
      </c>
      <c r="T5576" t="s">
        <v>11183</v>
      </c>
      <c r="V5576" t="s">
        <v>11320</v>
      </c>
      <c r="W5576">
        <v>869</v>
      </c>
      <c r="X5576" t="s">
        <v>11332</v>
      </c>
      <c r="Y5576" t="s">
        <v>11339</v>
      </c>
      <c r="Z5576" t="s">
        <v>14861</v>
      </c>
      <c r="AB5576" t="s">
        <v>19183</v>
      </c>
      <c r="AC5576">
        <v>113</v>
      </c>
      <c r="AD5576" t="s">
        <v>19566</v>
      </c>
      <c r="AE5576" t="s">
        <v>9144</v>
      </c>
      <c r="AF5576">
        <v>15</v>
      </c>
      <c r="AG5576">
        <v>1</v>
      </c>
      <c r="AH5576">
        <v>0</v>
      </c>
      <c r="AI5576">
        <v>281.92</v>
      </c>
      <c r="AJ5576" t="s">
        <v>11246</v>
      </c>
      <c r="AL5576" t="s">
        <v>19614</v>
      </c>
      <c r="AM5576">
        <v>34000</v>
      </c>
      <c r="AS5576">
        <v>83</v>
      </c>
      <c r="AT5576" t="s">
        <v>594</v>
      </c>
      <c r="AU5576" t="s">
        <v>95</v>
      </c>
    </row>
    <row r="5577" spans="1:48">
      <c r="A5577" s="1">
        <f>HYPERLINK("https://lsnyc.legalserver.org/matter/dynamic-profile/view/1911953","19-1911953")</f>
        <v>0</v>
      </c>
      <c r="B5577" t="s">
        <v>139</v>
      </c>
      <c r="C5577" t="s">
        <v>257</v>
      </c>
      <c r="D5577" t="s">
        <v>292</v>
      </c>
      <c r="E5577" t="s">
        <v>292</v>
      </c>
      <c r="F5577" t="s">
        <v>3131</v>
      </c>
      <c r="G5577" t="s">
        <v>5421</v>
      </c>
      <c r="H5577" t="s">
        <v>8001</v>
      </c>
      <c r="I5577">
        <v>31</v>
      </c>
      <c r="J5577" t="s">
        <v>9067</v>
      </c>
      <c r="K5577">
        <v>10040</v>
      </c>
      <c r="L5577" t="s">
        <v>9094</v>
      </c>
      <c r="M5577" t="s">
        <v>9095</v>
      </c>
      <c r="P5577" t="s">
        <v>11164</v>
      </c>
      <c r="Q5577" t="s">
        <v>11172</v>
      </c>
      <c r="R5577" t="s">
        <v>11180</v>
      </c>
      <c r="S5577" t="s">
        <v>9096</v>
      </c>
      <c r="T5577" t="s">
        <v>11183</v>
      </c>
      <c r="V5577" t="s">
        <v>292</v>
      </c>
      <c r="W5577">
        <v>1276.33</v>
      </c>
      <c r="X5577" t="s">
        <v>11335</v>
      </c>
      <c r="Y5577" t="s">
        <v>11340</v>
      </c>
      <c r="Z5577" t="s">
        <v>14862</v>
      </c>
      <c r="AB5577" t="s">
        <v>19184</v>
      </c>
      <c r="AC5577">
        <v>40</v>
      </c>
      <c r="AD5577" t="s">
        <v>19566</v>
      </c>
      <c r="AE5577" t="s">
        <v>9144</v>
      </c>
      <c r="AF5577">
        <v>32</v>
      </c>
      <c r="AG5577">
        <v>2</v>
      </c>
      <c r="AH5577">
        <v>0</v>
      </c>
      <c r="AI5577">
        <v>282.44</v>
      </c>
      <c r="AL5577" t="s">
        <v>19615</v>
      </c>
      <c r="AM5577">
        <v>47760</v>
      </c>
      <c r="AS5577">
        <v>0.5</v>
      </c>
      <c r="AT5577" t="s">
        <v>292</v>
      </c>
      <c r="AU5577" t="s">
        <v>130</v>
      </c>
      <c r="AV5577" t="s">
        <v>20733</v>
      </c>
    </row>
    <row r="5578" spans="1:48">
      <c r="A5578" s="1">
        <f>HYPERLINK("https://lsnyc.legalserver.org/matter/dynamic-profile/view/1882535","18-1882535")</f>
        <v>0</v>
      </c>
      <c r="B5578" t="s">
        <v>105</v>
      </c>
      <c r="C5578" t="s">
        <v>257</v>
      </c>
      <c r="D5578" t="s">
        <v>323</v>
      </c>
      <c r="E5578" t="s">
        <v>335</v>
      </c>
      <c r="F5578" t="s">
        <v>3132</v>
      </c>
      <c r="G5578" t="s">
        <v>4033</v>
      </c>
      <c r="H5578" t="s">
        <v>8002</v>
      </c>
      <c r="I5578" t="s">
        <v>8216</v>
      </c>
      <c r="J5578" t="s">
        <v>9065</v>
      </c>
      <c r="K5578">
        <v>10452</v>
      </c>
      <c r="L5578" t="s">
        <v>9094</v>
      </c>
      <c r="M5578" t="s">
        <v>9094</v>
      </c>
      <c r="N5578" t="s">
        <v>11032</v>
      </c>
      <c r="O5578" t="s">
        <v>11129</v>
      </c>
      <c r="P5578" t="s">
        <v>11165</v>
      </c>
      <c r="Q5578" t="s">
        <v>11174</v>
      </c>
      <c r="R5578" t="s">
        <v>11180</v>
      </c>
      <c r="S5578" t="s">
        <v>9096</v>
      </c>
      <c r="T5578" t="s">
        <v>11183</v>
      </c>
      <c r="U5578" t="s">
        <v>11200</v>
      </c>
      <c r="V5578" t="s">
        <v>424</v>
      </c>
      <c r="W5578">
        <v>1300</v>
      </c>
      <c r="X5578" t="s">
        <v>11333</v>
      </c>
      <c r="Y5578" t="s">
        <v>11346</v>
      </c>
      <c r="Z5578" t="s">
        <v>14863</v>
      </c>
      <c r="AB5578" t="s">
        <v>19185</v>
      </c>
      <c r="AC5578">
        <v>0</v>
      </c>
      <c r="AD5578" t="s">
        <v>19566</v>
      </c>
      <c r="AE5578" t="s">
        <v>9144</v>
      </c>
      <c r="AF5578">
        <v>4</v>
      </c>
      <c r="AG5578">
        <v>2</v>
      </c>
      <c r="AH5578">
        <v>1</v>
      </c>
      <c r="AI5578">
        <v>282.96</v>
      </c>
      <c r="AJ5578" t="s">
        <v>289</v>
      </c>
      <c r="AK5578" t="s">
        <v>19612</v>
      </c>
      <c r="AL5578" t="s">
        <v>19614</v>
      </c>
      <c r="AM5578">
        <v>58800</v>
      </c>
      <c r="AN5578" t="s">
        <v>20147</v>
      </c>
      <c r="AO5578" t="s">
        <v>20294</v>
      </c>
      <c r="AP5578" t="s">
        <v>20309</v>
      </c>
      <c r="AQ5578" t="s">
        <v>20368</v>
      </c>
      <c r="AR5578" t="s">
        <v>20574</v>
      </c>
      <c r="AS5578">
        <v>16.8</v>
      </c>
      <c r="AT5578" t="s">
        <v>335</v>
      </c>
      <c r="AU5578" t="s">
        <v>189</v>
      </c>
    </row>
    <row r="5579" spans="1:48">
      <c r="A5579" s="1">
        <f>HYPERLINK("https://lsnyc.legalserver.org/matter/dynamic-profile/view/1898058","19-1898058")</f>
        <v>0</v>
      </c>
      <c r="B5579" t="s">
        <v>65</v>
      </c>
      <c r="C5579" t="s">
        <v>257</v>
      </c>
      <c r="D5579" t="s">
        <v>598</v>
      </c>
      <c r="E5579" t="s">
        <v>474</v>
      </c>
      <c r="F5579" t="s">
        <v>1603</v>
      </c>
      <c r="G5579" t="s">
        <v>5310</v>
      </c>
      <c r="H5579" t="s">
        <v>7910</v>
      </c>
      <c r="I5579" t="s">
        <v>8137</v>
      </c>
      <c r="J5579" t="s">
        <v>9059</v>
      </c>
      <c r="K5579">
        <v>11203</v>
      </c>
      <c r="L5579" t="s">
        <v>9094</v>
      </c>
      <c r="M5579" t="s">
        <v>9095</v>
      </c>
      <c r="O5579" t="s">
        <v>11133</v>
      </c>
      <c r="P5579" t="s">
        <v>11166</v>
      </c>
      <c r="Q5579" t="s">
        <v>11173</v>
      </c>
      <c r="R5579" t="s">
        <v>11180</v>
      </c>
      <c r="T5579" t="s">
        <v>11183</v>
      </c>
      <c r="V5579" t="s">
        <v>598</v>
      </c>
      <c r="W5579">
        <v>1235.14</v>
      </c>
      <c r="X5579" t="s">
        <v>11332</v>
      </c>
      <c r="Y5579" t="s">
        <v>11340</v>
      </c>
      <c r="Z5579" t="s">
        <v>13694</v>
      </c>
      <c r="AB5579" t="s">
        <v>18978</v>
      </c>
      <c r="AC5579">
        <v>42</v>
      </c>
      <c r="AD5579" t="s">
        <v>19566</v>
      </c>
      <c r="AF5579">
        <v>13</v>
      </c>
      <c r="AG5579">
        <v>2</v>
      </c>
      <c r="AH5579">
        <v>0</v>
      </c>
      <c r="AI5579">
        <v>283.04</v>
      </c>
      <c r="AJ5579" t="s">
        <v>265</v>
      </c>
      <c r="AK5579" t="s">
        <v>19612</v>
      </c>
      <c r="AL5579" t="s">
        <v>19614</v>
      </c>
      <c r="AM5579">
        <v>47861.76</v>
      </c>
      <c r="AS5579">
        <v>13.75</v>
      </c>
      <c r="AT5579" t="s">
        <v>474</v>
      </c>
      <c r="AU5579" t="s">
        <v>65</v>
      </c>
      <c r="AV5579" t="s">
        <v>20733</v>
      </c>
    </row>
    <row r="5580" spans="1:48">
      <c r="A5580" s="1">
        <f>HYPERLINK("https://lsnyc.legalserver.org/matter/dynamic-profile/view/1898838","19-1898838")</f>
        <v>0</v>
      </c>
      <c r="B5580" t="s">
        <v>70</v>
      </c>
      <c r="C5580" t="s">
        <v>256</v>
      </c>
      <c r="D5580" t="s">
        <v>337</v>
      </c>
      <c r="F5580" t="s">
        <v>3093</v>
      </c>
      <c r="G5580" t="s">
        <v>3427</v>
      </c>
      <c r="H5580" t="s">
        <v>8003</v>
      </c>
      <c r="I5580" t="s">
        <v>8777</v>
      </c>
      <c r="J5580" t="s">
        <v>9059</v>
      </c>
      <c r="K5580">
        <v>11233</v>
      </c>
      <c r="L5580" t="s">
        <v>9094</v>
      </c>
      <c r="M5580" t="s">
        <v>9096</v>
      </c>
      <c r="N5580" t="s">
        <v>9146</v>
      </c>
      <c r="O5580" t="s">
        <v>11134</v>
      </c>
      <c r="P5580" t="s">
        <v>11168</v>
      </c>
      <c r="R5580" t="s">
        <v>11180</v>
      </c>
      <c r="S5580" t="s">
        <v>9094</v>
      </c>
      <c r="T5580" t="s">
        <v>11183</v>
      </c>
      <c r="U5580" t="s">
        <v>11201</v>
      </c>
      <c r="V5580" t="s">
        <v>482</v>
      </c>
      <c r="W5580">
        <v>0</v>
      </c>
      <c r="X5580" t="s">
        <v>11332</v>
      </c>
      <c r="Y5580" t="s">
        <v>11157</v>
      </c>
      <c r="Z5580" t="s">
        <v>14864</v>
      </c>
      <c r="AC5580">
        <v>359</v>
      </c>
      <c r="AD5580" t="s">
        <v>19566</v>
      </c>
      <c r="AF5580">
        <v>21</v>
      </c>
      <c r="AG5580">
        <v>1</v>
      </c>
      <c r="AH5580">
        <v>0</v>
      </c>
      <c r="AI5580">
        <v>283.43</v>
      </c>
      <c r="AL5580" t="s">
        <v>19614</v>
      </c>
      <c r="AM5580">
        <v>35400</v>
      </c>
      <c r="AN5580" t="s">
        <v>20148</v>
      </c>
      <c r="AS5580">
        <v>0</v>
      </c>
      <c r="AU5580" t="s">
        <v>79</v>
      </c>
      <c r="AV5580" t="s">
        <v>9144</v>
      </c>
    </row>
    <row r="5581" spans="1:48">
      <c r="A5581" s="1">
        <f>HYPERLINK("https://lsnyc.legalserver.org/matter/dynamic-profile/view/1898842","19-1898842")</f>
        <v>0</v>
      </c>
      <c r="B5581" t="s">
        <v>70</v>
      </c>
      <c r="C5581" t="s">
        <v>256</v>
      </c>
      <c r="D5581" t="s">
        <v>337</v>
      </c>
      <c r="F5581" t="s">
        <v>3093</v>
      </c>
      <c r="G5581" t="s">
        <v>3427</v>
      </c>
      <c r="H5581" t="s">
        <v>8003</v>
      </c>
      <c r="I5581" t="s">
        <v>8777</v>
      </c>
      <c r="J5581" t="s">
        <v>9059</v>
      </c>
      <c r="K5581">
        <v>11233</v>
      </c>
      <c r="L5581" t="s">
        <v>9094</v>
      </c>
      <c r="M5581" t="s">
        <v>9096</v>
      </c>
      <c r="N5581" t="s">
        <v>9144</v>
      </c>
      <c r="O5581" t="s">
        <v>11137</v>
      </c>
      <c r="P5581" t="s">
        <v>11167</v>
      </c>
      <c r="R5581" t="s">
        <v>11180</v>
      </c>
      <c r="S5581" t="s">
        <v>9094</v>
      </c>
      <c r="T5581" t="s">
        <v>11183</v>
      </c>
      <c r="U5581" t="s">
        <v>11201</v>
      </c>
      <c r="V5581" t="s">
        <v>749</v>
      </c>
      <c r="W5581">
        <v>0</v>
      </c>
      <c r="X5581" t="s">
        <v>11332</v>
      </c>
      <c r="Y5581" t="s">
        <v>11157</v>
      </c>
      <c r="Z5581" t="s">
        <v>14864</v>
      </c>
      <c r="AA5581" t="s">
        <v>9144</v>
      </c>
      <c r="AC5581">
        <v>359</v>
      </c>
      <c r="AD5581" t="s">
        <v>19566</v>
      </c>
      <c r="AE5581" t="s">
        <v>9144</v>
      </c>
      <c r="AF5581">
        <v>21</v>
      </c>
      <c r="AG5581">
        <v>1</v>
      </c>
      <c r="AH5581">
        <v>0</v>
      </c>
      <c r="AI5581">
        <v>283.43</v>
      </c>
      <c r="AL5581" t="s">
        <v>19614</v>
      </c>
      <c r="AM5581">
        <v>35400</v>
      </c>
      <c r="AN5581" t="s">
        <v>20149</v>
      </c>
      <c r="AS5581">
        <v>0</v>
      </c>
      <c r="AU5581" t="s">
        <v>79</v>
      </c>
      <c r="AV5581" t="s">
        <v>9144</v>
      </c>
    </row>
    <row r="5582" spans="1:48">
      <c r="A5582" s="1">
        <f>HYPERLINK("https://lsnyc.legalserver.org/matter/dynamic-profile/view/1892761","19-1892761")</f>
        <v>0</v>
      </c>
      <c r="B5582" t="s">
        <v>70</v>
      </c>
      <c r="C5582" t="s">
        <v>256</v>
      </c>
      <c r="D5582" t="s">
        <v>553</v>
      </c>
      <c r="F5582" t="s">
        <v>3133</v>
      </c>
      <c r="G5582" t="s">
        <v>5422</v>
      </c>
      <c r="H5582" t="s">
        <v>6474</v>
      </c>
      <c r="I5582" t="s">
        <v>8179</v>
      </c>
      <c r="J5582" t="s">
        <v>9059</v>
      </c>
      <c r="K5582">
        <v>11233</v>
      </c>
      <c r="L5582" t="s">
        <v>9094</v>
      </c>
      <c r="M5582" t="s">
        <v>9096</v>
      </c>
      <c r="N5582" t="s">
        <v>9146</v>
      </c>
      <c r="O5582" t="s">
        <v>11134</v>
      </c>
      <c r="P5582" t="s">
        <v>11168</v>
      </c>
      <c r="R5582" t="s">
        <v>11180</v>
      </c>
      <c r="S5582" t="s">
        <v>9094</v>
      </c>
      <c r="T5582" t="s">
        <v>11183</v>
      </c>
      <c r="U5582" t="s">
        <v>11201</v>
      </c>
      <c r="V5582" t="s">
        <v>482</v>
      </c>
      <c r="W5582">
        <v>1825</v>
      </c>
      <c r="X5582" t="s">
        <v>11332</v>
      </c>
      <c r="Y5582" t="s">
        <v>11157</v>
      </c>
      <c r="Z5582" t="s">
        <v>14865</v>
      </c>
      <c r="AC5582">
        <v>359</v>
      </c>
      <c r="AD5582" t="s">
        <v>19566</v>
      </c>
      <c r="AF5582">
        <v>1</v>
      </c>
      <c r="AG5582">
        <v>2</v>
      </c>
      <c r="AH5582">
        <v>0</v>
      </c>
      <c r="AI5582">
        <v>283.86</v>
      </c>
      <c r="AJ5582" t="s">
        <v>546</v>
      </c>
      <c r="AK5582" t="s">
        <v>19612</v>
      </c>
      <c r="AL5582" t="s">
        <v>19614</v>
      </c>
      <c r="AM5582">
        <v>48000</v>
      </c>
      <c r="AN5582" t="s">
        <v>20150</v>
      </c>
      <c r="AS5582">
        <v>0</v>
      </c>
      <c r="AU5582" t="s">
        <v>79</v>
      </c>
    </row>
    <row r="5583" spans="1:48">
      <c r="A5583" s="1">
        <f>HYPERLINK("https://lsnyc.legalserver.org/matter/dynamic-profile/view/1892762","19-1892762")</f>
        <v>0</v>
      </c>
      <c r="B5583" t="s">
        <v>70</v>
      </c>
      <c r="C5583" t="s">
        <v>256</v>
      </c>
      <c r="D5583" t="s">
        <v>553</v>
      </c>
      <c r="F5583" t="s">
        <v>3133</v>
      </c>
      <c r="G5583" t="s">
        <v>5422</v>
      </c>
      <c r="H5583" t="s">
        <v>6474</v>
      </c>
      <c r="I5583" t="s">
        <v>8179</v>
      </c>
      <c r="J5583" t="s">
        <v>9059</v>
      </c>
      <c r="K5583">
        <v>11233</v>
      </c>
      <c r="L5583" t="s">
        <v>9094</v>
      </c>
      <c r="M5583" t="s">
        <v>9096</v>
      </c>
      <c r="O5583" t="s">
        <v>11137</v>
      </c>
      <c r="P5583" t="s">
        <v>11167</v>
      </c>
      <c r="R5583" t="s">
        <v>11180</v>
      </c>
      <c r="S5583" t="s">
        <v>9094</v>
      </c>
      <c r="T5583" t="s">
        <v>11183</v>
      </c>
      <c r="U5583" t="s">
        <v>11201</v>
      </c>
      <c r="V5583" t="s">
        <v>749</v>
      </c>
      <c r="W5583">
        <v>1825</v>
      </c>
      <c r="X5583" t="s">
        <v>11332</v>
      </c>
      <c r="Y5583" t="s">
        <v>11157</v>
      </c>
      <c r="Z5583" t="s">
        <v>14865</v>
      </c>
      <c r="AC5583">
        <v>359</v>
      </c>
      <c r="AD5583" t="s">
        <v>19566</v>
      </c>
      <c r="AF5583">
        <v>1</v>
      </c>
      <c r="AG5583">
        <v>2</v>
      </c>
      <c r="AH5583">
        <v>0</v>
      </c>
      <c r="AI5583">
        <v>283.86</v>
      </c>
      <c r="AJ5583" t="s">
        <v>546</v>
      </c>
      <c r="AK5583" t="s">
        <v>19612</v>
      </c>
      <c r="AL5583" t="s">
        <v>19614</v>
      </c>
      <c r="AM5583">
        <v>48000</v>
      </c>
      <c r="AN5583" t="s">
        <v>20151</v>
      </c>
      <c r="AS5583">
        <v>0</v>
      </c>
      <c r="AU5583" t="s">
        <v>79</v>
      </c>
    </row>
    <row r="5584" spans="1:48">
      <c r="A5584" s="1">
        <f>HYPERLINK("https://lsnyc.legalserver.org/matter/dynamic-profile/view/1892410","19-1892410")</f>
        <v>0</v>
      </c>
      <c r="B5584" t="s">
        <v>103</v>
      </c>
      <c r="C5584" t="s">
        <v>256</v>
      </c>
      <c r="D5584" t="s">
        <v>635</v>
      </c>
      <c r="F5584" t="s">
        <v>3134</v>
      </c>
      <c r="G5584" t="s">
        <v>5423</v>
      </c>
      <c r="H5584" t="s">
        <v>6785</v>
      </c>
      <c r="I5584" t="s">
        <v>8221</v>
      </c>
      <c r="J5584" t="s">
        <v>9065</v>
      </c>
      <c r="K5584">
        <v>10453</v>
      </c>
      <c r="L5584" t="s">
        <v>9094</v>
      </c>
      <c r="M5584" t="s">
        <v>9094</v>
      </c>
      <c r="O5584" t="s">
        <v>11134</v>
      </c>
      <c r="P5584" t="s">
        <v>11168</v>
      </c>
      <c r="R5584" t="s">
        <v>11180</v>
      </c>
      <c r="S5584" t="s">
        <v>9094</v>
      </c>
      <c r="T5584" t="s">
        <v>11183</v>
      </c>
      <c r="V5584" t="s">
        <v>512</v>
      </c>
      <c r="W5584">
        <v>1081</v>
      </c>
      <c r="X5584" t="s">
        <v>11333</v>
      </c>
      <c r="Y5584" t="s">
        <v>11339</v>
      </c>
      <c r="Z5584" t="s">
        <v>14866</v>
      </c>
      <c r="AB5584" t="s">
        <v>19186</v>
      </c>
      <c r="AC5584">
        <v>170</v>
      </c>
      <c r="AD5584" t="s">
        <v>19566</v>
      </c>
      <c r="AE5584" t="s">
        <v>9144</v>
      </c>
      <c r="AF5584">
        <v>21</v>
      </c>
      <c r="AG5584">
        <v>2</v>
      </c>
      <c r="AH5584">
        <v>0</v>
      </c>
      <c r="AI5584">
        <v>283.86</v>
      </c>
      <c r="AL5584" t="s">
        <v>19614</v>
      </c>
      <c r="AM5584">
        <v>48000</v>
      </c>
      <c r="AS5584">
        <v>0</v>
      </c>
      <c r="AU5584" t="s">
        <v>220</v>
      </c>
    </row>
    <row r="5585" spans="1:48">
      <c r="A5585" s="1">
        <f>HYPERLINK("https://lsnyc.legalserver.org/matter/dynamic-profile/view/1892006","19-1892006")</f>
        <v>0</v>
      </c>
      <c r="B5585" t="s">
        <v>103</v>
      </c>
      <c r="C5585" t="s">
        <v>256</v>
      </c>
      <c r="D5585" t="s">
        <v>868</v>
      </c>
      <c r="F5585" t="s">
        <v>3134</v>
      </c>
      <c r="G5585" t="s">
        <v>5423</v>
      </c>
      <c r="H5585" t="s">
        <v>6785</v>
      </c>
      <c r="I5585" t="s">
        <v>8221</v>
      </c>
      <c r="J5585" t="s">
        <v>9065</v>
      </c>
      <c r="K5585">
        <v>10453</v>
      </c>
      <c r="L5585" t="s">
        <v>9094</v>
      </c>
      <c r="M5585" t="s">
        <v>9094</v>
      </c>
      <c r="N5585" t="s">
        <v>9352</v>
      </c>
      <c r="O5585" t="s">
        <v>11130</v>
      </c>
      <c r="P5585" t="s">
        <v>11165</v>
      </c>
      <c r="R5585" t="s">
        <v>11180</v>
      </c>
      <c r="S5585" t="s">
        <v>9094</v>
      </c>
      <c r="T5585" t="s">
        <v>11183</v>
      </c>
      <c r="V5585" t="s">
        <v>512</v>
      </c>
      <c r="W5585">
        <v>1081</v>
      </c>
      <c r="X5585" t="s">
        <v>11333</v>
      </c>
      <c r="Y5585" t="s">
        <v>11339</v>
      </c>
      <c r="Z5585" t="s">
        <v>14866</v>
      </c>
      <c r="AB5585" t="s">
        <v>19186</v>
      </c>
      <c r="AC5585">
        <v>170</v>
      </c>
      <c r="AD5585" t="s">
        <v>19566</v>
      </c>
      <c r="AE5585" t="s">
        <v>9144</v>
      </c>
      <c r="AF5585">
        <v>21</v>
      </c>
      <c r="AG5585">
        <v>2</v>
      </c>
      <c r="AH5585">
        <v>0</v>
      </c>
      <c r="AI5585">
        <v>283.86</v>
      </c>
      <c r="AL5585" t="s">
        <v>19614</v>
      </c>
      <c r="AM5585">
        <v>48000</v>
      </c>
      <c r="AS5585">
        <v>0</v>
      </c>
      <c r="AU5585" t="s">
        <v>220</v>
      </c>
    </row>
    <row r="5586" spans="1:48">
      <c r="A5586" s="1">
        <f>HYPERLINK("https://lsnyc.legalserver.org/matter/dynamic-profile/view/1894612","19-1894612")</f>
        <v>0</v>
      </c>
      <c r="B5586" t="s">
        <v>127</v>
      </c>
      <c r="C5586" t="s">
        <v>257</v>
      </c>
      <c r="D5586" t="s">
        <v>360</v>
      </c>
      <c r="E5586" t="s">
        <v>259</v>
      </c>
      <c r="F5586" t="s">
        <v>3135</v>
      </c>
      <c r="G5586" t="s">
        <v>3498</v>
      </c>
      <c r="H5586" t="s">
        <v>6669</v>
      </c>
      <c r="I5586" t="s">
        <v>8879</v>
      </c>
      <c r="J5586" t="s">
        <v>9066</v>
      </c>
      <c r="K5586">
        <v>10301</v>
      </c>
      <c r="L5586" t="s">
        <v>9094</v>
      </c>
      <c r="M5586" t="s">
        <v>9095</v>
      </c>
      <c r="N5586" t="s">
        <v>11033</v>
      </c>
      <c r="O5586" t="s">
        <v>11129</v>
      </c>
      <c r="P5586" t="s">
        <v>11165</v>
      </c>
      <c r="Q5586" t="s">
        <v>11174</v>
      </c>
      <c r="R5586" t="s">
        <v>11180</v>
      </c>
      <c r="S5586" t="s">
        <v>9096</v>
      </c>
      <c r="T5586" t="s">
        <v>11183</v>
      </c>
      <c r="U5586" t="s">
        <v>11201</v>
      </c>
      <c r="V5586" t="s">
        <v>512</v>
      </c>
      <c r="W5586">
        <v>1724</v>
      </c>
      <c r="X5586" t="s">
        <v>11334</v>
      </c>
      <c r="Y5586" t="s">
        <v>11345</v>
      </c>
      <c r="Z5586" t="s">
        <v>14867</v>
      </c>
      <c r="AB5586" t="s">
        <v>19187</v>
      </c>
      <c r="AC5586">
        <v>228</v>
      </c>
      <c r="AD5586" t="s">
        <v>19568</v>
      </c>
      <c r="AE5586" t="s">
        <v>19580</v>
      </c>
      <c r="AF5586">
        <v>7</v>
      </c>
      <c r="AG5586">
        <v>1</v>
      </c>
      <c r="AH5586">
        <v>1</v>
      </c>
      <c r="AI5586">
        <v>283.86</v>
      </c>
      <c r="AJ5586" t="s">
        <v>512</v>
      </c>
      <c r="AK5586" t="s">
        <v>19612</v>
      </c>
      <c r="AL5586" t="s">
        <v>19614</v>
      </c>
      <c r="AM5586">
        <v>48000</v>
      </c>
      <c r="AO5586" t="s">
        <v>20294</v>
      </c>
      <c r="AP5586" t="s">
        <v>20309</v>
      </c>
      <c r="AQ5586" t="s">
        <v>20369</v>
      </c>
      <c r="AR5586" t="s">
        <v>20523</v>
      </c>
      <c r="AS5586">
        <v>33.95</v>
      </c>
      <c r="AT5586" t="s">
        <v>728</v>
      </c>
      <c r="AU5586" t="s">
        <v>20653</v>
      </c>
      <c r="AV5586" t="s">
        <v>20733</v>
      </c>
    </row>
    <row r="5587" spans="1:48">
      <c r="A5587" s="1">
        <f>HYPERLINK("https://lsnyc.legalserver.org/matter/dynamic-profile/view/1887973","19-1887973")</f>
        <v>0</v>
      </c>
      <c r="B5587" t="s">
        <v>119</v>
      </c>
      <c r="C5587" t="s">
        <v>256</v>
      </c>
      <c r="D5587" t="s">
        <v>443</v>
      </c>
      <c r="F5587" t="s">
        <v>1518</v>
      </c>
      <c r="G5587" t="s">
        <v>5424</v>
      </c>
      <c r="H5587" t="s">
        <v>5880</v>
      </c>
      <c r="I5587" t="s">
        <v>8229</v>
      </c>
      <c r="J5587" t="s">
        <v>9065</v>
      </c>
      <c r="K5587">
        <v>10456</v>
      </c>
      <c r="L5587" t="s">
        <v>9094</v>
      </c>
      <c r="M5587" t="s">
        <v>9094</v>
      </c>
      <c r="N5587" t="s">
        <v>9234</v>
      </c>
      <c r="O5587" t="s">
        <v>11130</v>
      </c>
      <c r="P5587" t="s">
        <v>11165</v>
      </c>
      <c r="R5587" t="s">
        <v>11180</v>
      </c>
      <c r="S5587" t="s">
        <v>9094</v>
      </c>
      <c r="T5587" t="s">
        <v>11183</v>
      </c>
      <c r="V5587" t="s">
        <v>11218</v>
      </c>
      <c r="W5587">
        <v>1546</v>
      </c>
      <c r="X5587" t="s">
        <v>11333</v>
      </c>
      <c r="Y5587" t="s">
        <v>11347</v>
      </c>
      <c r="Z5587" t="s">
        <v>14868</v>
      </c>
      <c r="AB5587" t="s">
        <v>19188</v>
      </c>
      <c r="AC5587">
        <v>17</v>
      </c>
      <c r="AD5587" t="s">
        <v>19566</v>
      </c>
      <c r="AE5587" t="s">
        <v>19580</v>
      </c>
      <c r="AF5587">
        <v>21</v>
      </c>
      <c r="AG5587">
        <v>1</v>
      </c>
      <c r="AH5587">
        <v>1</v>
      </c>
      <c r="AI5587">
        <v>284.33</v>
      </c>
      <c r="AL5587" t="s">
        <v>19615</v>
      </c>
      <c r="AM5587">
        <v>46800</v>
      </c>
      <c r="AS5587">
        <v>1</v>
      </c>
      <c r="AT5587" t="s">
        <v>443</v>
      </c>
      <c r="AU5587" t="s">
        <v>174</v>
      </c>
      <c r="AV5587" t="s">
        <v>20733</v>
      </c>
    </row>
    <row r="5588" spans="1:48">
      <c r="A5588" s="1">
        <f>HYPERLINK("https://lsnyc.legalserver.org/matter/dynamic-profile/view/1868610","18-1868610")</f>
        <v>0</v>
      </c>
      <c r="B5588" t="s">
        <v>101</v>
      </c>
      <c r="C5588" t="s">
        <v>257</v>
      </c>
      <c r="D5588" t="s">
        <v>456</v>
      </c>
      <c r="E5588" t="s">
        <v>415</v>
      </c>
      <c r="F5588" t="s">
        <v>3136</v>
      </c>
      <c r="G5588" t="s">
        <v>3588</v>
      </c>
      <c r="H5588" t="s">
        <v>6262</v>
      </c>
      <c r="I5588" t="s">
        <v>8134</v>
      </c>
      <c r="J5588" t="s">
        <v>9065</v>
      </c>
      <c r="K5588">
        <v>10452</v>
      </c>
      <c r="L5588" t="s">
        <v>9094</v>
      </c>
      <c r="M5588" t="s">
        <v>9095</v>
      </c>
      <c r="O5588" t="s">
        <v>9121</v>
      </c>
      <c r="P5588" t="s">
        <v>11166</v>
      </c>
      <c r="Q5588" t="s">
        <v>11178</v>
      </c>
      <c r="R5588" t="s">
        <v>11180</v>
      </c>
      <c r="S5588" t="s">
        <v>9094</v>
      </c>
      <c r="T5588" t="s">
        <v>11183</v>
      </c>
      <c r="V5588" t="s">
        <v>675</v>
      </c>
      <c r="W5588">
        <v>1182</v>
      </c>
      <c r="X5588" t="s">
        <v>11333</v>
      </c>
      <c r="Y5588" t="s">
        <v>11347</v>
      </c>
      <c r="Z5588" t="s">
        <v>14869</v>
      </c>
      <c r="AB5588" t="s">
        <v>19189</v>
      </c>
      <c r="AC5588">
        <v>60</v>
      </c>
      <c r="AD5588" t="s">
        <v>19566</v>
      </c>
      <c r="AE5588" t="s">
        <v>9144</v>
      </c>
      <c r="AF5588">
        <v>1</v>
      </c>
      <c r="AG5588">
        <v>2</v>
      </c>
      <c r="AH5588">
        <v>0</v>
      </c>
      <c r="AI5588">
        <v>284.33</v>
      </c>
      <c r="AJ5588" t="s">
        <v>11246</v>
      </c>
      <c r="AL5588" t="s">
        <v>19615</v>
      </c>
      <c r="AM5588">
        <v>46800</v>
      </c>
      <c r="AS5588">
        <v>0.4</v>
      </c>
      <c r="AT5588" t="s">
        <v>415</v>
      </c>
      <c r="AU5588" t="s">
        <v>20647</v>
      </c>
    </row>
    <row r="5589" spans="1:48">
      <c r="A5589" s="1">
        <f>HYPERLINK("https://lsnyc.legalserver.org/matter/dynamic-profile/view/1909562","19-1909562")</f>
        <v>0</v>
      </c>
      <c r="B5589" t="s">
        <v>95</v>
      </c>
      <c r="C5589" t="s">
        <v>257</v>
      </c>
      <c r="D5589" t="s">
        <v>273</v>
      </c>
      <c r="E5589" t="s">
        <v>1130</v>
      </c>
      <c r="F5589" t="s">
        <v>1772</v>
      </c>
      <c r="G5589" t="s">
        <v>3497</v>
      </c>
      <c r="H5589" t="s">
        <v>8004</v>
      </c>
      <c r="I5589" t="s">
        <v>8245</v>
      </c>
      <c r="J5589" t="s">
        <v>9059</v>
      </c>
      <c r="K5589">
        <v>11212</v>
      </c>
      <c r="L5589" t="s">
        <v>9096</v>
      </c>
      <c r="M5589" t="s">
        <v>9095</v>
      </c>
      <c r="O5589" t="s">
        <v>9121</v>
      </c>
      <c r="Q5589" t="s">
        <v>11172</v>
      </c>
      <c r="R5589" t="s">
        <v>11180</v>
      </c>
      <c r="S5589" t="s">
        <v>9096</v>
      </c>
      <c r="T5589" t="s">
        <v>11183</v>
      </c>
      <c r="W5589">
        <v>1241.41</v>
      </c>
      <c r="X5589" t="s">
        <v>11332</v>
      </c>
      <c r="Y5589" t="s">
        <v>11342</v>
      </c>
      <c r="Z5589" t="s">
        <v>12205</v>
      </c>
      <c r="AB5589" t="s">
        <v>19190</v>
      </c>
      <c r="AC5589">
        <v>30</v>
      </c>
      <c r="AD5589" t="s">
        <v>19566</v>
      </c>
      <c r="AE5589" t="s">
        <v>9144</v>
      </c>
      <c r="AF5589">
        <v>6</v>
      </c>
      <c r="AG5589">
        <v>1</v>
      </c>
      <c r="AH5589">
        <v>0</v>
      </c>
      <c r="AI5589">
        <v>284.36</v>
      </c>
      <c r="AL5589" t="s">
        <v>19614</v>
      </c>
      <c r="AM5589">
        <v>35516</v>
      </c>
      <c r="AS5589">
        <v>1.25</v>
      </c>
      <c r="AT5589" t="s">
        <v>1130</v>
      </c>
      <c r="AU5589" t="s">
        <v>20639</v>
      </c>
      <c r="AV5589" t="s">
        <v>9144</v>
      </c>
    </row>
    <row r="5590" spans="1:48">
      <c r="A5590" s="1">
        <f>HYPERLINK("https://lsnyc.legalserver.org/matter/dynamic-profile/view/1915272","19-1915272")</f>
        <v>0</v>
      </c>
      <c r="B5590" t="s">
        <v>86</v>
      </c>
      <c r="C5590" t="s">
        <v>256</v>
      </c>
      <c r="D5590" t="s">
        <v>321</v>
      </c>
      <c r="F5590" t="s">
        <v>1749</v>
      </c>
      <c r="G5590" t="s">
        <v>5425</v>
      </c>
      <c r="H5590" t="s">
        <v>6097</v>
      </c>
      <c r="I5590" t="s">
        <v>8974</v>
      </c>
      <c r="J5590" t="s">
        <v>9059</v>
      </c>
      <c r="K5590">
        <v>11226</v>
      </c>
      <c r="L5590" t="s">
        <v>9094</v>
      </c>
      <c r="M5590" t="s">
        <v>9095</v>
      </c>
      <c r="N5590" t="s">
        <v>11034</v>
      </c>
      <c r="P5590" t="s">
        <v>11166</v>
      </c>
      <c r="R5590" t="s">
        <v>11180</v>
      </c>
      <c r="S5590" t="s">
        <v>9094</v>
      </c>
      <c r="T5590" t="s">
        <v>11183</v>
      </c>
      <c r="V5590" t="s">
        <v>377</v>
      </c>
      <c r="W5590">
        <v>1632</v>
      </c>
      <c r="X5590" t="s">
        <v>11332</v>
      </c>
      <c r="Y5590" t="s">
        <v>11340</v>
      </c>
      <c r="Z5590" t="s">
        <v>14870</v>
      </c>
      <c r="AB5590" t="s">
        <v>19191</v>
      </c>
      <c r="AC5590">
        <v>0</v>
      </c>
      <c r="AD5590" t="s">
        <v>19566</v>
      </c>
      <c r="AF5590">
        <v>2</v>
      </c>
      <c r="AG5590">
        <v>2</v>
      </c>
      <c r="AH5590">
        <v>0</v>
      </c>
      <c r="AI5590">
        <v>284.45</v>
      </c>
      <c r="AL5590" t="s">
        <v>19614</v>
      </c>
      <c r="AM5590">
        <v>48100</v>
      </c>
      <c r="AS5590">
        <v>0</v>
      </c>
      <c r="AU5590" t="s">
        <v>215</v>
      </c>
      <c r="AV5590" t="s">
        <v>20733</v>
      </c>
    </row>
    <row r="5591" spans="1:48">
      <c r="A5591" s="1">
        <f>HYPERLINK("https://lsnyc.legalserver.org/matter/dynamic-profile/view/0813524","16-0813524")</f>
        <v>0</v>
      </c>
      <c r="B5591" t="s">
        <v>58</v>
      </c>
      <c r="C5591" t="s">
        <v>256</v>
      </c>
      <c r="D5591" t="s">
        <v>1114</v>
      </c>
      <c r="F5591" t="s">
        <v>1404</v>
      </c>
      <c r="G5591" t="s">
        <v>3448</v>
      </c>
      <c r="H5591" t="s">
        <v>6204</v>
      </c>
      <c r="I5591">
        <v>3</v>
      </c>
      <c r="J5591" t="s">
        <v>9059</v>
      </c>
      <c r="K5591">
        <v>11225</v>
      </c>
      <c r="L5591" t="s">
        <v>9094</v>
      </c>
      <c r="M5591" t="s">
        <v>9095</v>
      </c>
      <c r="N5591" t="s">
        <v>9493</v>
      </c>
      <c r="O5591" t="s">
        <v>11132</v>
      </c>
      <c r="P5591" t="s">
        <v>11165</v>
      </c>
      <c r="R5591" t="s">
        <v>11180</v>
      </c>
      <c r="S5591" t="s">
        <v>9094</v>
      </c>
      <c r="T5591" t="s">
        <v>11183</v>
      </c>
      <c r="V5591" t="s">
        <v>1114</v>
      </c>
      <c r="W5591">
        <v>1958.98</v>
      </c>
      <c r="X5591" t="s">
        <v>11332</v>
      </c>
      <c r="Y5591" t="s">
        <v>11346</v>
      </c>
      <c r="Z5591" t="s">
        <v>14871</v>
      </c>
      <c r="AB5591" t="s">
        <v>19192</v>
      </c>
      <c r="AC5591">
        <v>3</v>
      </c>
      <c r="AD5591" t="s">
        <v>19566</v>
      </c>
      <c r="AE5591" t="s">
        <v>9144</v>
      </c>
      <c r="AF5591">
        <v>18</v>
      </c>
      <c r="AG5591">
        <v>1</v>
      </c>
      <c r="AH5591">
        <v>0</v>
      </c>
      <c r="AI5591">
        <v>284.51</v>
      </c>
      <c r="AJ5591" t="s">
        <v>19596</v>
      </c>
      <c r="AL5591" t="s">
        <v>19614</v>
      </c>
      <c r="AM5591">
        <v>33800</v>
      </c>
      <c r="AN5591" t="s">
        <v>20152</v>
      </c>
      <c r="AS5591">
        <v>1</v>
      </c>
      <c r="AT5591" t="s">
        <v>20616</v>
      </c>
      <c r="AU5591" t="s">
        <v>20637</v>
      </c>
    </row>
    <row r="5592" spans="1:48">
      <c r="A5592" s="1">
        <f>HYPERLINK("https://lsnyc.legalserver.org/matter/dynamic-profile/view/0824141","17-0824141")</f>
        <v>0</v>
      </c>
      <c r="B5592" t="s">
        <v>155</v>
      </c>
      <c r="C5592" t="s">
        <v>256</v>
      </c>
      <c r="D5592" t="s">
        <v>1065</v>
      </c>
      <c r="F5592" t="s">
        <v>1404</v>
      </c>
      <c r="G5592" t="s">
        <v>3448</v>
      </c>
      <c r="H5592" t="s">
        <v>6204</v>
      </c>
      <c r="I5592">
        <v>3</v>
      </c>
      <c r="J5592" t="s">
        <v>9059</v>
      </c>
      <c r="K5592">
        <v>11225</v>
      </c>
      <c r="L5592" t="s">
        <v>9094</v>
      </c>
      <c r="M5592" t="s">
        <v>9095</v>
      </c>
      <c r="O5592" t="s">
        <v>11137</v>
      </c>
      <c r="P5592" t="s">
        <v>11167</v>
      </c>
      <c r="R5592" t="s">
        <v>11180</v>
      </c>
      <c r="S5592" t="s">
        <v>9096</v>
      </c>
      <c r="T5592" t="s">
        <v>11183</v>
      </c>
      <c r="V5592" t="s">
        <v>1114</v>
      </c>
      <c r="W5592">
        <v>1958.98</v>
      </c>
      <c r="X5592" t="s">
        <v>11332</v>
      </c>
      <c r="Y5592" t="s">
        <v>11346</v>
      </c>
      <c r="Z5592" t="s">
        <v>14871</v>
      </c>
      <c r="AB5592" t="s">
        <v>19192</v>
      </c>
      <c r="AC5592">
        <v>3</v>
      </c>
      <c r="AD5592" t="s">
        <v>19566</v>
      </c>
      <c r="AF5592">
        <v>18</v>
      </c>
      <c r="AG5592">
        <v>1</v>
      </c>
      <c r="AH5592">
        <v>0</v>
      </c>
      <c r="AI5592">
        <v>284.51</v>
      </c>
      <c r="AJ5592" t="s">
        <v>19596</v>
      </c>
      <c r="AL5592" t="s">
        <v>19614</v>
      </c>
      <c r="AM5592">
        <v>33800</v>
      </c>
      <c r="AS5592">
        <v>0.25</v>
      </c>
      <c r="AT5592" t="s">
        <v>537</v>
      </c>
      <c r="AU5592" t="s">
        <v>20636</v>
      </c>
    </row>
    <row r="5593" spans="1:48">
      <c r="A5593" s="1">
        <f>HYPERLINK("https://lsnyc.legalserver.org/matter/dynamic-profile/view/0799967","16-0799967")</f>
        <v>0</v>
      </c>
      <c r="B5593" t="s">
        <v>118</v>
      </c>
      <c r="C5593" t="s">
        <v>257</v>
      </c>
      <c r="D5593" t="s">
        <v>1115</v>
      </c>
      <c r="E5593" t="s">
        <v>265</v>
      </c>
      <c r="F5593" t="s">
        <v>1461</v>
      </c>
      <c r="G5593" t="s">
        <v>3588</v>
      </c>
      <c r="H5593" t="s">
        <v>5908</v>
      </c>
      <c r="I5593" t="s">
        <v>8168</v>
      </c>
      <c r="J5593" t="s">
        <v>9065</v>
      </c>
      <c r="K5593">
        <v>10451</v>
      </c>
      <c r="L5593" t="s">
        <v>9094</v>
      </c>
      <c r="M5593" t="s">
        <v>9095</v>
      </c>
      <c r="O5593" t="s">
        <v>11148</v>
      </c>
      <c r="P5593" t="s">
        <v>11166</v>
      </c>
      <c r="Q5593" t="s">
        <v>11178</v>
      </c>
      <c r="R5593" t="s">
        <v>11180</v>
      </c>
      <c r="S5593" t="s">
        <v>9094</v>
      </c>
      <c r="T5593" t="s">
        <v>11183</v>
      </c>
      <c r="V5593" t="s">
        <v>11220</v>
      </c>
      <c r="W5593">
        <v>861.04</v>
      </c>
      <c r="X5593" t="s">
        <v>11333</v>
      </c>
      <c r="Y5593" t="s">
        <v>11346</v>
      </c>
      <c r="Z5593" t="s">
        <v>14872</v>
      </c>
      <c r="AB5593" t="s">
        <v>19193</v>
      </c>
      <c r="AC5593">
        <v>0</v>
      </c>
      <c r="AD5593" t="s">
        <v>19566</v>
      </c>
      <c r="AF5593">
        <v>20</v>
      </c>
      <c r="AG5593">
        <v>1</v>
      </c>
      <c r="AH5593">
        <v>0</v>
      </c>
      <c r="AI5593">
        <v>284.51</v>
      </c>
      <c r="AJ5593" t="s">
        <v>388</v>
      </c>
      <c r="AL5593" t="s">
        <v>19614</v>
      </c>
      <c r="AM5593">
        <v>33800</v>
      </c>
      <c r="AS5593">
        <v>2.8</v>
      </c>
      <c r="AT5593" t="s">
        <v>265</v>
      </c>
      <c r="AU5593" t="s">
        <v>20647</v>
      </c>
    </row>
    <row r="5594" spans="1:48">
      <c r="A5594" s="1">
        <f>HYPERLINK("https://lsnyc.legalserver.org/matter/dynamic-profile/view/1859972","18-1859972")</f>
        <v>0</v>
      </c>
      <c r="B5594" t="s">
        <v>86</v>
      </c>
      <c r="C5594" t="s">
        <v>256</v>
      </c>
      <c r="D5594" t="s">
        <v>843</v>
      </c>
      <c r="F5594" t="s">
        <v>2701</v>
      </c>
      <c r="G5594" t="s">
        <v>5416</v>
      </c>
      <c r="H5594" t="s">
        <v>7040</v>
      </c>
      <c r="I5594" t="s">
        <v>8723</v>
      </c>
      <c r="J5594" t="s">
        <v>9059</v>
      </c>
      <c r="K5594">
        <v>11226</v>
      </c>
      <c r="L5594" t="s">
        <v>9094</v>
      </c>
      <c r="M5594" t="s">
        <v>9095</v>
      </c>
      <c r="N5594" t="s">
        <v>10148</v>
      </c>
      <c r="O5594" t="s">
        <v>11152</v>
      </c>
      <c r="P5594" t="s">
        <v>11165</v>
      </c>
      <c r="R5594" t="s">
        <v>11180</v>
      </c>
      <c r="S5594" t="s">
        <v>9094</v>
      </c>
      <c r="T5594" t="s">
        <v>11183</v>
      </c>
      <c r="V5594" t="s">
        <v>11249</v>
      </c>
      <c r="W5594">
        <v>0</v>
      </c>
      <c r="X5594" t="s">
        <v>11332</v>
      </c>
      <c r="Y5594" t="s">
        <v>11346</v>
      </c>
      <c r="Z5594" t="s">
        <v>14849</v>
      </c>
      <c r="AB5594" t="s">
        <v>19171</v>
      </c>
      <c r="AC5594">
        <v>61</v>
      </c>
      <c r="AD5594" t="s">
        <v>19569</v>
      </c>
      <c r="AE5594" t="s">
        <v>9144</v>
      </c>
      <c r="AF5594">
        <v>18</v>
      </c>
      <c r="AG5594">
        <v>2</v>
      </c>
      <c r="AH5594">
        <v>2</v>
      </c>
      <c r="AI5594">
        <v>284.55</v>
      </c>
      <c r="AJ5594" t="s">
        <v>11246</v>
      </c>
      <c r="AL5594" t="s">
        <v>19614</v>
      </c>
      <c r="AM5594">
        <v>70000</v>
      </c>
      <c r="AS5594">
        <v>0.8</v>
      </c>
      <c r="AT5594" t="s">
        <v>1044</v>
      </c>
      <c r="AU5594" t="s">
        <v>20630</v>
      </c>
    </row>
    <row r="5595" spans="1:48">
      <c r="A5595" s="1">
        <f>HYPERLINK("https://lsnyc.legalserver.org/matter/dynamic-profile/view/1851302","17-1851302")</f>
        <v>0</v>
      </c>
      <c r="B5595" t="s">
        <v>111</v>
      </c>
      <c r="C5595" t="s">
        <v>256</v>
      </c>
      <c r="D5595" t="s">
        <v>1073</v>
      </c>
      <c r="F5595" t="s">
        <v>2508</v>
      </c>
      <c r="G5595" t="s">
        <v>4741</v>
      </c>
      <c r="H5595" t="s">
        <v>6895</v>
      </c>
      <c r="I5595" t="s">
        <v>8688</v>
      </c>
      <c r="J5595" t="s">
        <v>9065</v>
      </c>
      <c r="K5595">
        <v>10452</v>
      </c>
      <c r="L5595" t="s">
        <v>9094</v>
      </c>
      <c r="M5595" t="s">
        <v>9095</v>
      </c>
      <c r="N5595" t="s">
        <v>11035</v>
      </c>
      <c r="O5595" t="s">
        <v>11128</v>
      </c>
      <c r="P5595" t="s">
        <v>11165</v>
      </c>
      <c r="R5595" t="s">
        <v>11180</v>
      </c>
      <c r="S5595" t="s">
        <v>9096</v>
      </c>
      <c r="T5595" t="s">
        <v>11183</v>
      </c>
      <c r="V5595" t="s">
        <v>924</v>
      </c>
      <c r="W5595">
        <v>853.4400000000001</v>
      </c>
      <c r="X5595" t="s">
        <v>11333</v>
      </c>
      <c r="Y5595" t="s">
        <v>11340</v>
      </c>
      <c r="Z5595" t="s">
        <v>13613</v>
      </c>
      <c r="AB5595" t="s">
        <v>17949</v>
      </c>
      <c r="AC5595">
        <v>71</v>
      </c>
      <c r="AD5595" t="s">
        <v>19566</v>
      </c>
      <c r="AE5595" t="s">
        <v>9144</v>
      </c>
      <c r="AF5595">
        <v>14</v>
      </c>
      <c r="AG5595">
        <v>1</v>
      </c>
      <c r="AH5595">
        <v>0</v>
      </c>
      <c r="AI5595">
        <v>284.58</v>
      </c>
      <c r="AL5595" t="s">
        <v>19614</v>
      </c>
      <c r="AM5595">
        <v>34320</v>
      </c>
      <c r="AS5595">
        <v>197.3</v>
      </c>
      <c r="AT5595" t="s">
        <v>270</v>
      </c>
      <c r="AU5595" t="s">
        <v>111</v>
      </c>
    </row>
    <row r="5596" spans="1:48">
      <c r="A5596" s="1">
        <f>HYPERLINK("https://lsnyc.legalserver.org/matter/dynamic-profile/view/1837327","17-1837327")</f>
        <v>0</v>
      </c>
      <c r="B5596" t="s">
        <v>254</v>
      </c>
      <c r="C5596" t="s">
        <v>256</v>
      </c>
      <c r="D5596" t="s">
        <v>1048</v>
      </c>
      <c r="F5596" t="s">
        <v>1490</v>
      </c>
      <c r="G5596" t="s">
        <v>2994</v>
      </c>
      <c r="H5596" t="s">
        <v>8005</v>
      </c>
      <c r="I5596" t="s">
        <v>8884</v>
      </c>
      <c r="J5596" t="s">
        <v>9059</v>
      </c>
      <c r="K5596">
        <v>11238</v>
      </c>
      <c r="L5596" t="s">
        <v>9094</v>
      </c>
      <c r="M5596" t="s">
        <v>9095</v>
      </c>
      <c r="N5596" t="s">
        <v>11036</v>
      </c>
      <c r="O5596" t="s">
        <v>11128</v>
      </c>
      <c r="P5596" t="s">
        <v>11165</v>
      </c>
      <c r="R5596" t="s">
        <v>11180</v>
      </c>
      <c r="S5596" t="s">
        <v>9096</v>
      </c>
      <c r="T5596" t="s">
        <v>11183</v>
      </c>
      <c r="U5596" t="s">
        <v>11201</v>
      </c>
      <c r="V5596" t="s">
        <v>1064</v>
      </c>
      <c r="W5596">
        <v>718.22</v>
      </c>
      <c r="X5596" t="s">
        <v>11332</v>
      </c>
      <c r="Y5596" t="s">
        <v>11340</v>
      </c>
      <c r="Z5596" t="s">
        <v>14873</v>
      </c>
      <c r="AB5596" t="s">
        <v>19194</v>
      </c>
      <c r="AC5596">
        <v>8</v>
      </c>
      <c r="AD5596" t="s">
        <v>19566</v>
      </c>
      <c r="AE5596" t="s">
        <v>9144</v>
      </c>
      <c r="AF5596">
        <v>35</v>
      </c>
      <c r="AG5596">
        <v>3</v>
      </c>
      <c r="AH5596">
        <v>0</v>
      </c>
      <c r="AI5596">
        <v>285.01</v>
      </c>
      <c r="AJ5596" t="s">
        <v>11246</v>
      </c>
      <c r="AL5596" t="s">
        <v>19614</v>
      </c>
      <c r="AM5596">
        <v>58200</v>
      </c>
      <c r="AS5596">
        <v>199.75</v>
      </c>
      <c r="AT5596" t="s">
        <v>487</v>
      </c>
      <c r="AU5596" t="s">
        <v>20721</v>
      </c>
      <c r="AV5596" t="s">
        <v>20733</v>
      </c>
    </row>
    <row r="5597" spans="1:48">
      <c r="A5597" s="1">
        <f>HYPERLINK("https://lsnyc.legalserver.org/matter/dynamic-profile/view/1901618","19-1901618")</f>
        <v>0</v>
      </c>
      <c r="B5597" t="s">
        <v>64</v>
      </c>
      <c r="C5597" t="s">
        <v>256</v>
      </c>
      <c r="D5597" t="s">
        <v>988</v>
      </c>
      <c r="F5597" t="s">
        <v>1580</v>
      </c>
      <c r="G5597" t="s">
        <v>3615</v>
      </c>
      <c r="H5597" t="s">
        <v>8006</v>
      </c>
      <c r="I5597" t="s">
        <v>8229</v>
      </c>
      <c r="J5597" t="s">
        <v>9059</v>
      </c>
      <c r="K5597">
        <v>11233</v>
      </c>
      <c r="L5597" t="s">
        <v>9094</v>
      </c>
      <c r="M5597" t="s">
        <v>9095</v>
      </c>
      <c r="N5597" t="s">
        <v>11037</v>
      </c>
      <c r="O5597" t="s">
        <v>11129</v>
      </c>
      <c r="P5597" t="s">
        <v>11165</v>
      </c>
      <c r="R5597" t="s">
        <v>11180</v>
      </c>
      <c r="S5597" t="s">
        <v>9096</v>
      </c>
      <c r="T5597" t="s">
        <v>11183</v>
      </c>
      <c r="U5597" t="s">
        <v>11201</v>
      </c>
      <c r="V5597" t="s">
        <v>584</v>
      </c>
      <c r="W5597">
        <v>1585</v>
      </c>
      <c r="X5597" t="s">
        <v>11332</v>
      </c>
      <c r="Y5597" t="s">
        <v>11341</v>
      </c>
      <c r="Z5597" t="s">
        <v>14874</v>
      </c>
      <c r="AA5597" t="s">
        <v>9144</v>
      </c>
      <c r="AB5597" t="s">
        <v>19195</v>
      </c>
      <c r="AC5597">
        <v>8</v>
      </c>
      <c r="AD5597" t="s">
        <v>19566</v>
      </c>
      <c r="AE5597" t="s">
        <v>9144</v>
      </c>
      <c r="AF5597">
        <v>5</v>
      </c>
      <c r="AG5597">
        <v>2</v>
      </c>
      <c r="AH5597">
        <v>0</v>
      </c>
      <c r="AI5597">
        <v>285.04</v>
      </c>
      <c r="AL5597" t="s">
        <v>19614</v>
      </c>
      <c r="AM5597">
        <v>48200</v>
      </c>
      <c r="AN5597" t="s">
        <v>20153</v>
      </c>
      <c r="AS5597">
        <v>11.15</v>
      </c>
      <c r="AT5597" t="s">
        <v>331</v>
      </c>
      <c r="AU5597" t="s">
        <v>95</v>
      </c>
      <c r="AV5597" t="s">
        <v>20733</v>
      </c>
    </row>
    <row r="5598" spans="1:48">
      <c r="A5598" s="1">
        <f>HYPERLINK("https://lsnyc.legalserver.org/matter/dynamic-profile/view/0828933","17-0828933")</f>
        <v>0</v>
      </c>
      <c r="B5598" t="s">
        <v>101</v>
      </c>
      <c r="C5598" t="s">
        <v>256</v>
      </c>
      <c r="D5598" t="s">
        <v>981</v>
      </c>
      <c r="F5598" t="s">
        <v>2329</v>
      </c>
      <c r="G5598" t="s">
        <v>5426</v>
      </c>
      <c r="H5598" t="s">
        <v>5898</v>
      </c>
      <c r="I5598" t="s">
        <v>8576</v>
      </c>
      <c r="J5598" t="s">
        <v>9065</v>
      </c>
      <c r="K5598">
        <v>10452</v>
      </c>
      <c r="L5598" t="s">
        <v>9094</v>
      </c>
      <c r="M5598" t="s">
        <v>9095</v>
      </c>
      <c r="O5598" t="s">
        <v>9121</v>
      </c>
      <c r="P5598" t="s">
        <v>11166</v>
      </c>
      <c r="R5598" t="s">
        <v>11180</v>
      </c>
      <c r="S5598" t="s">
        <v>9094</v>
      </c>
      <c r="T5598" t="s">
        <v>11183</v>
      </c>
      <c r="V5598" t="s">
        <v>770</v>
      </c>
      <c r="W5598">
        <v>1038.95</v>
      </c>
      <c r="X5598" t="s">
        <v>11333</v>
      </c>
      <c r="Y5598" t="s">
        <v>11347</v>
      </c>
      <c r="Z5598" t="s">
        <v>14875</v>
      </c>
      <c r="AB5598" t="s">
        <v>19196</v>
      </c>
      <c r="AC5598">
        <v>0</v>
      </c>
      <c r="AD5598" t="s">
        <v>19566</v>
      </c>
      <c r="AE5598" t="s">
        <v>9144</v>
      </c>
      <c r="AF5598">
        <v>3</v>
      </c>
      <c r="AG5598">
        <v>1</v>
      </c>
      <c r="AH5598">
        <v>0</v>
      </c>
      <c r="AI5598">
        <v>286.57</v>
      </c>
      <c r="AL5598" t="s">
        <v>19615</v>
      </c>
      <c r="AM5598">
        <v>34560</v>
      </c>
      <c r="AS5598">
        <v>15</v>
      </c>
      <c r="AT5598" t="s">
        <v>313</v>
      </c>
      <c r="AU5598" t="s">
        <v>20643</v>
      </c>
    </row>
    <row r="5599" spans="1:48">
      <c r="A5599" s="1">
        <f>HYPERLINK("https://lsnyc.legalserver.org/matter/dynamic-profile/view/1906532","19-1906532")</f>
        <v>0</v>
      </c>
      <c r="B5599" t="s">
        <v>73</v>
      </c>
      <c r="C5599" t="s">
        <v>257</v>
      </c>
      <c r="D5599" t="s">
        <v>864</v>
      </c>
      <c r="E5599" t="s">
        <v>446</v>
      </c>
      <c r="F5599" t="s">
        <v>3137</v>
      </c>
      <c r="G5599" t="s">
        <v>5427</v>
      </c>
      <c r="H5599" t="s">
        <v>8007</v>
      </c>
      <c r="I5599" t="s">
        <v>8975</v>
      </c>
      <c r="J5599" t="s">
        <v>9059</v>
      </c>
      <c r="K5599">
        <v>11207</v>
      </c>
      <c r="L5599" t="s">
        <v>9094</v>
      </c>
      <c r="M5599" t="s">
        <v>9095</v>
      </c>
      <c r="N5599" t="s">
        <v>11038</v>
      </c>
      <c r="O5599" t="s">
        <v>11129</v>
      </c>
      <c r="P5599" t="s">
        <v>11164</v>
      </c>
      <c r="Q5599" t="s">
        <v>11172</v>
      </c>
      <c r="R5599" t="s">
        <v>11180</v>
      </c>
      <c r="S5599" t="s">
        <v>9096</v>
      </c>
      <c r="T5599" t="s">
        <v>11183</v>
      </c>
      <c r="U5599" t="s">
        <v>11200</v>
      </c>
      <c r="V5599" t="s">
        <v>275</v>
      </c>
      <c r="W5599">
        <v>1500</v>
      </c>
      <c r="X5599" t="s">
        <v>11332</v>
      </c>
      <c r="Y5599" t="s">
        <v>11157</v>
      </c>
      <c r="Z5599" t="s">
        <v>14876</v>
      </c>
      <c r="AA5599" t="s">
        <v>9121</v>
      </c>
      <c r="AB5599" t="s">
        <v>19197</v>
      </c>
      <c r="AC5599">
        <v>18</v>
      </c>
      <c r="AD5599" t="s">
        <v>19566</v>
      </c>
      <c r="AE5599" t="s">
        <v>9144</v>
      </c>
      <c r="AF5599">
        <v>1</v>
      </c>
      <c r="AG5599">
        <v>1</v>
      </c>
      <c r="AH5599">
        <v>1</v>
      </c>
      <c r="AI5599">
        <v>286.6</v>
      </c>
      <c r="AL5599" t="s">
        <v>19614</v>
      </c>
      <c r="AM5599">
        <v>48464</v>
      </c>
      <c r="AR5599" t="s">
        <v>20434</v>
      </c>
      <c r="AS5599">
        <v>1.1</v>
      </c>
      <c r="AT5599" t="s">
        <v>446</v>
      </c>
      <c r="AU5599" t="s">
        <v>79</v>
      </c>
      <c r="AV5599" t="s">
        <v>20733</v>
      </c>
    </row>
    <row r="5600" spans="1:48">
      <c r="A5600" s="1">
        <f>HYPERLINK("https://lsnyc.legalserver.org/matter/dynamic-profile/view/1905948","19-1905948")</f>
        <v>0</v>
      </c>
      <c r="B5600" t="s">
        <v>151</v>
      </c>
      <c r="C5600" t="s">
        <v>256</v>
      </c>
      <c r="D5600" t="s">
        <v>329</v>
      </c>
      <c r="F5600" t="s">
        <v>3138</v>
      </c>
      <c r="G5600" t="s">
        <v>2232</v>
      </c>
      <c r="H5600" t="s">
        <v>7008</v>
      </c>
      <c r="I5600" t="s">
        <v>8976</v>
      </c>
      <c r="J5600" t="s">
        <v>9059</v>
      </c>
      <c r="K5600">
        <v>11213</v>
      </c>
      <c r="L5600" t="s">
        <v>9094</v>
      </c>
      <c r="M5600" t="s">
        <v>9095</v>
      </c>
      <c r="N5600" t="s">
        <v>9154</v>
      </c>
      <c r="O5600" t="s">
        <v>9121</v>
      </c>
      <c r="P5600" t="s">
        <v>11169</v>
      </c>
      <c r="R5600" t="s">
        <v>11180</v>
      </c>
      <c r="S5600" t="s">
        <v>9094</v>
      </c>
      <c r="T5600" t="s">
        <v>11183</v>
      </c>
      <c r="U5600" t="s">
        <v>11201</v>
      </c>
      <c r="V5600" t="s">
        <v>328</v>
      </c>
      <c r="W5600">
        <v>1025.26</v>
      </c>
      <c r="X5600" t="s">
        <v>11332</v>
      </c>
      <c r="Y5600" t="s">
        <v>11346</v>
      </c>
      <c r="Z5600" t="s">
        <v>14877</v>
      </c>
      <c r="AA5600" t="s">
        <v>9171</v>
      </c>
      <c r="AC5600">
        <v>34</v>
      </c>
      <c r="AD5600" t="s">
        <v>19566</v>
      </c>
      <c r="AE5600" t="s">
        <v>9144</v>
      </c>
      <c r="AF5600">
        <v>9</v>
      </c>
      <c r="AG5600">
        <v>1</v>
      </c>
      <c r="AH5600">
        <v>0</v>
      </c>
      <c r="AI5600">
        <v>286.63</v>
      </c>
      <c r="AL5600" t="s">
        <v>19614</v>
      </c>
      <c r="AM5600">
        <v>35800</v>
      </c>
      <c r="AS5600">
        <v>1</v>
      </c>
      <c r="AT5600" t="s">
        <v>328</v>
      </c>
      <c r="AU5600" t="s">
        <v>95</v>
      </c>
      <c r="AV5600" t="s">
        <v>20733</v>
      </c>
    </row>
    <row r="5601" spans="1:48">
      <c r="A5601" s="1">
        <f>HYPERLINK("https://lsnyc.legalserver.org/matter/dynamic-profile/view/1854278","17-1854278")</f>
        <v>0</v>
      </c>
      <c r="B5601" t="s">
        <v>101</v>
      </c>
      <c r="C5601" t="s">
        <v>257</v>
      </c>
      <c r="D5601" t="s">
        <v>852</v>
      </c>
      <c r="E5601" t="s">
        <v>416</v>
      </c>
      <c r="F5601" t="s">
        <v>3139</v>
      </c>
      <c r="G5601" t="s">
        <v>3808</v>
      </c>
      <c r="H5601" t="s">
        <v>6262</v>
      </c>
      <c r="I5601" t="s">
        <v>8168</v>
      </c>
      <c r="J5601" t="s">
        <v>9065</v>
      </c>
      <c r="K5601">
        <v>10452</v>
      </c>
      <c r="L5601" t="s">
        <v>9094</v>
      </c>
      <c r="M5601" t="s">
        <v>9095</v>
      </c>
      <c r="N5601" t="s">
        <v>9537</v>
      </c>
      <c r="O5601" t="s">
        <v>11130</v>
      </c>
      <c r="P5601" t="s">
        <v>11165</v>
      </c>
      <c r="Q5601" t="s">
        <v>11174</v>
      </c>
      <c r="R5601" t="s">
        <v>11180</v>
      </c>
      <c r="S5601" t="s">
        <v>9094</v>
      </c>
      <c r="T5601" t="s">
        <v>11183</v>
      </c>
      <c r="V5601" t="s">
        <v>874</v>
      </c>
      <c r="W5601">
        <v>1112.67</v>
      </c>
      <c r="X5601" t="s">
        <v>11333</v>
      </c>
      <c r="Y5601" t="s">
        <v>11346</v>
      </c>
      <c r="Z5601" t="s">
        <v>14878</v>
      </c>
      <c r="AB5601" t="s">
        <v>19198</v>
      </c>
      <c r="AC5601">
        <v>60</v>
      </c>
      <c r="AD5601" t="s">
        <v>19566</v>
      </c>
      <c r="AE5601" t="s">
        <v>9144</v>
      </c>
      <c r="AF5601">
        <v>16</v>
      </c>
      <c r="AG5601">
        <v>3</v>
      </c>
      <c r="AH5601">
        <v>2</v>
      </c>
      <c r="AI5601">
        <v>287.82</v>
      </c>
      <c r="AL5601" t="s">
        <v>19614</v>
      </c>
      <c r="AM5601">
        <v>82836</v>
      </c>
      <c r="AS5601">
        <v>0.5</v>
      </c>
      <c r="AT5601" t="s">
        <v>416</v>
      </c>
      <c r="AU5601" t="s">
        <v>20650</v>
      </c>
    </row>
    <row r="5602" spans="1:48">
      <c r="A5602" s="1">
        <f>HYPERLINK("https://lsnyc.legalserver.org/matter/dynamic-profile/view/1867061","18-1867061")</f>
        <v>0</v>
      </c>
      <c r="B5602" t="s">
        <v>78</v>
      </c>
      <c r="C5602" t="s">
        <v>256</v>
      </c>
      <c r="D5602" t="s">
        <v>390</v>
      </c>
      <c r="F5602" t="s">
        <v>1252</v>
      </c>
      <c r="G5602" t="s">
        <v>4598</v>
      </c>
      <c r="H5602" t="s">
        <v>5809</v>
      </c>
      <c r="I5602" t="s">
        <v>8181</v>
      </c>
      <c r="J5602" t="s">
        <v>9059</v>
      </c>
      <c r="K5602">
        <v>11212</v>
      </c>
      <c r="L5602" t="s">
        <v>9094</v>
      </c>
      <c r="M5602" t="s">
        <v>9095</v>
      </c>
      <c r="O5602" t="s">
        <v>9121</v>
      </c>
      <c r="P5602" t="s">
        <v>11168</v>
      </c>
      <c r="R5602" t="s">
        <v>11180</v>
      </c>
      <c r="S5602" t="s">
        <v>9094</v>
      </c>
      <c r="T5602" t="s">
        <v>11183</v>
      </c>
      <c r="V5602" t="s">
        <v>11321</v>
      </c>
      <c r="W5602">
        <v>1248.12</v>
      </c>
      <c r="X5602" t="s">
        <v>11332</v>
      </c>
      <c r="Z5602" t="s">
        <v>14879</v>
      </c>
      <c r="AB5602" t="s">
        <v>19199</v>
      </c>
      <c r="AC5602">
        <v>0</v>
      </c>
      <c r="AD5602" t="s">
        <v>19566</v>
      </c>
      <c r="AF5602">
        <v>8</v>
      </c>
      <c r="AG5602">
        <v>2</v>
      </c>
      <c r="AH5602">
        <v>0</v>
      </c>
      <c r="AI5602">
        <v>288.18</v>
      </c>
      <c r="AJ5602" t="s">
        <v>11246</v>
      </c>
      <c r="AL5602" t="s">
        <v>19614</v>
      </c>
      <c r="AM5602">
        <v>46800</v>
      </c>
      <c r="AS5602">
        <v>0.25</v>
      </c>
      <c r="AT5602" t="s">
        <v>390</v>
      </c>
      <c r="AU5602" t="s">
        <v>78</v>
      </c>
    </row>
    <row r="5603" spans="1:48">
      <c r="A5603" s="1">
        <f>HYPERLINK("https://lsnyc.legalserver.org/matter/dynamic-profile/view/1856374","18-1856374")</f>
        <v>0</v>
      </c>
      <c r="B5603" t="s">
        <v>101</v>
      </c>
      <c r="C5603" t="s">
        <v>257</v>
      </c>
      <c r="D5603" t="s">
        <v>1103</v>
      </c>
      <c r="E5603" t="s">
        <v>416</v>
      </c>
      <c r="F5603" t="s">
        <v>3136</v>
      </c>
      <c r="G5603" t="s">
        <v>3588</v>
      </c>
      <c r="H5603" t="s">
        <v>6262</v>
      </c>
      <c r="I5603" t="s">
        <v>8134</v>
      </c>
      <c r="J5603" t="s">
        <v>9065</v>
      </c>
      <c r="K5603">
        <v>10452</v>
      </c>
      <c r="L5603" t="s">
        <v>9094</v>
      </c>
      <c r="M5603" t="s">
        <v>9095</v>
      </c>
      <c r="N5603" t="s">
        <v>9537</v>
      </c>
      <c r="O5603" t="s">
        <v>11130</v>
      </c>
      <c r="P5603" t="s">
        <v>11165</v>
      </c>
      <c r="Q5603" t="s">
        <v>11174</v>
      </c>
      <c r="R5603" t="s">
        <v>11180</v>
      </c>
      <c r="S5603" t="s">
        <v>9094</v>
      </c>
      <c r="T5603" t="s">
        <v>11183</v>
      </c>
      <c r="V5603" t="s">
        <v>874</v>
      </c>
      <c r="W5603">
        <v>1182</v>
      </c>
      <c r="X5603" t="s">
        <v>11333</v>
      </c>
      <c r="Y5603" t="s">
        <v>11346</v>
      </c>
      <c r="Z5603" t="s">
        <v>14869</v>
      </c>
      <c r="AB5603" t="s">
        <v>19189</v>
      </c>
      <c r="AC5603">
        <v>60</v>
      </c>
      <c r="AD5603" t="s">
        <v>19566</v>
      </c>
      <c r="AE5603" t="s">
        <v>9144</v>
      </c>
      <c r="AF5603">
        <v>1</v>
      </c>
      <c r="AG5603">
        <v>2</v>
      </c>
      <c r="AH5603">
        <v>0</v>
      </c>
      <c r="AI5603">
        <v>288.18</v>
      </c>
      <c r="AJ5603" t="s">
        <v>11246</v>
      </c>
      <c r="AL5603" t="s">
        <v>19615</v>
      </c>
      <c r="AM5603">
        <v>46800</v>
      </c>
      <c r="AS5603">
        <v>0.75</v>
      </c>
      <c r="AT5603" t="s">
        <v>416</v>
      </c>
      <c r="AU5603" t="s">
        <v>163</v>
      </c>
    </row>
    <row r="5604" spans="1:48">
      <c r="A5604" s="1">
        <f>HYPERLINK("https://lsnyc.legalserver.org/matter/dynamic-profile/view/1908423","19-1908423")</f>
        <v>0</v>
      </c>
      <c r="B5604" t="s">
        <v>95</v>
      </c>
      <c r="C5604" t="s">
        <v>257</v>
      </c>
      <c r="D5604" t="s">
        <v>314</v>
      </c>
      <c r="E5604" t="s">
        <v>339</v>
      </c>
      <c r="F5604" t="s">
        <v>1143</v>
      </c>
      <c r="G5604" t="s">
        <v>4598</v>
      </c>
      <c r="H5604" t="s">
        <v>8008</v>
      </c>
      <c r="I5604" t="s">
        <v>8141</v>
      </c>
      <c r="J5604" t="s">
        <v>9059</v>
      </c>
      <c r="K5604">
        <v>11207</v>
      </c>
      <c r="L5604" t="s">
        <v>9096</v>
      </c>
      <c r="M5604" t="s">
        <v>9095</v>
      </c>
      <c r="N5604" t="s">
        <v>9144</v>
      </c>
      <c r="O5604" t="s">
        <v>9121</v>
      </c>
      <c r="P5604" t="s">
        <v>11169</v>
      </c>
      <c r="Q5604" t="s">
        <v>11172</v>
      </c>
      <c r="R5604" t="s">
        <v>11180</v>
      </c>
      <c r="S5604" t="s">
        <v>9096</v>
      </c>
      <c r="T5604" t="s">
        <v>11183</v>
      </c>
      <c r="U5604" t="s">
        <v>11201</v>
      </c>
      <c r="W5604">
        <v>1000</v>
      </c>
      <c r="X5604" t="s">
        <v>11332</v>
      </c>
      <c r="Z5604" t="s">
        <v>14880</v>
      </c>
      <c r="AA5604" t="s">
        <v>9144</v>
      </c>
      <c r="AB5604" t="s">
        <v>19200</v>
      </c>
      <c r="AC5604">
        <v>6</v>
      </c>
      <c r="AD5604" t="s">
        <v>19565</v>
      </c>
      <c r="AE5604" t="s">
        <v>9144</v>
      </c>
      <c r="AF5604">
        <v>3</v>
      </c>
      <c r="AG5604">
        <v>1</v>
      </c>
      <c r="AH5604">
        <v>0</v>
      </c>
      <c r="AI5604">
        <v>288.23</v>
      </c>
      <c r="AL5604" t="s">
        <v>19614</v>
      </c>
      <c r="AM5604">
        <v>36000</v>
      </c>
      <c r="AN5604" t="s">
        <v>20154</v>
      </c>
      <c r="AS5604">
        <v>1</v>
      </c>
      <c r="AT5604" t="s">
        <v>314</v>
      </c>
      <c r="AU5604" t="s">
        <v>20660</v>
      </c>
      <c r="AV5604" t="s">
        <v>9144</v>
      </c>
    </row>
    <row r="5605" spans="1:48">
      <c r="A5605" s="1">
        <f>HYPERLINK("https://lsnyc.legalserver.org/matter/dynamic-profile/view/1889957","19-1889957")</f>
        <v>0</v>
      </c>
      <c r="B5605" t="s">
        <v>103</v>
      </c>
      <c r="C5605" t="s">
        <v>256</v>
      </c>
      <c r="D5605" t="s">
        <v>447</v>
      </c>
      <c r="F5605" t="s">
        <v>1303</v>
      </c>
      <c r="G5605" t="s">
        <v>5428</v>
      </c>
      <c r="H5605" t="s">
        <v>5887</v>
      </c>
      <c r="I5605" t="s">
        <v>8133</v>
      </c>
      <c r="J5605" t="s">
        <v>9065</v>
      </c>
      <c r="K5605">
        <v>10453</v>
      </c>
      <c r="L5605" t="s">
        <v>9094</v>
      </c>
      <c r="M5605" t="s">
        <v>9094</v>
      </c>
      <c r="O5605" t="s">
        <v>11134</v>
      </c>
      <c r="P5605" t="s">
        <v>11168</v>
      </c>
      <c r="R5605" t="s">
        <v>11180</v>
      </c>
      <c r="S5605" t="s">
        <v>9094</v>
      </c>
      <c r="T5605" t="s">
        <v>11183</v>
      </c>
      <c r="V5605" t="s">
        <v>512</v>
      </c>
      <c r="W5605">
        <v>1194</v>
      </c>
      <c r="X5605" t="s">
        <v>11333</v>
      </c>
      <c r="Y5605" t="s">
        <v>11346</v>
      </c>
      <c r="Z5605" t="s">
        <v>13069</v>
      </c>
      <c r="AB5605" t="s">
        <v>19201</v>
      </c>
      <c r="AC5605">
        <v>167</v>
      </c>
      <c r="AD5605" t="s">
        <v>19566</v>
      </c>
      <c r="AE5605" t="s">
        <v>9144</v>
      </c>
      <c r="AF5605">
        <v>12</v>
      </c>
      <c r="AG5605">
        <v>1</v>
      </c>
      <c r="AH5605">
        <v>0</v>
      </c>
      <c r="AI5605">
        <v>288.23</v>
      </c>
      <c r="AL5605" t="s">
        <v>19614</v>
      </c>
      <c r="AM5605">
        <v>36000</v>
      </c>
      <c r="AS5605">
        <v>0</v>
      </c>
      <c r="AU5605" t="s">
        <v>20642</v>
      </c>
    </row>
    <row r="5606" spans="1:48">
      <c r="A5606" s="1">
        <f>HYPERLINK("https://lsnyc.legalserver.org/matter/dynamic-profile/view/1889951","19-1889951")</f>
        <v>0</v>
      </c>
      <c r="B5606" t="s">
        <v>103</v>
      </c>
      <c r="C5606" t="s">
        <v>256</v>
      </c>
      <c r="D5606" t="s">
        <v>447</v>
      </c>
      <c r="F5606" t="s">
        <v>1303</v>
      </c>
      <c r="G5606" t="s">
        <v>5428</v>
      </c>
      <c r="H5606" t="s">
        <v>5887</v>
      </c>
      <c r="I5606" t="s">
        <v>8133</v>
      </c>
      <c r="J5606" t="s">
        <v>9065</v>
      </c>
      <c r="K5606">
        <v>10453</v>
      </c>
      <c r="L5606" t="s">
        <v>9094</v>
      </c>
      <c r="M5606" t="s">
        <v>9094</v>
      </c>
      <c r="N5606" t="s">
        <v>9352</v>
      </c>
      <c r="O5606" t="s">
        <v>11130</v>
      </c>
      <c r="P5606" t="s">
        <v>11165</v>
      </c>
      <c r="R5606" t="s">
        <v>11180</v>
      </c>
      <c r="S5606" t="s">
        <v>9094</v>
      </c>
      <c r="T5606" t="s">
        <v>11183</v>
      </c>
      <c r="V5606" t="s">
        <v>512</v>
      </c>
      <c r="W5606">
        <v>1194</v>
      </c>
      <c r="X5606" t="s">
        <v>11333</v>
      </c>
      <c r="Y5606" t="s">
        <v>11346</v>
      </c>
      <c r="Z5606" t="s">
        <v>13069</v>
      </c>
      <c r="AB5606" t="s">
        <v>19201</v>
      </c>
      <c r="AC5606">
        <v>167</v>
      </c>
      <c r="AD5606" t="s">
        <v>19566</v>
      </c>
      <c r="AE5606" t="s">
        <v>9144</v>
      </c>
      <c r="AF5606">
        <v>12</v>
      </c>
      <c r="AG5606">
        <v>1</v>
      </c>
      <c r="AH5606">
        <v>0</v>
      </c>
      <c r="AI5606">
        <v>288.23</v>
      </c>
      <c r="AL5606" t="s">
        <v>19614</v>
      </c>
      <c r="AM5606">
        <v>36000</v>
      </c>
      <c r="AS5606">
        <v>0</v>
      </c>
      <c r="AU5606" t="s">
        <v>20642</v>
      </c>
    </row>
    <row r="5607" spans="1:48">
      <c r="A5607" s="1">
        <f>HYPERLINK("https://lsnyc.legalserver.org/matter/dynamic-profile/view/1897806","19-1897806")</f>
        <v>0</v>
      </c>
      <c r="B5607" t="s">
        <v>189</v>
      </c>
      <c r="C5607" t="s">
        <v>256</v>
      </c>
      <c r="D5607" t="s">
        <v>291</v>
      </c>
      <c r="F5607" t="s">
        <v>3140</v>
      </c>
      <c r="G5607" t="s">
        <v>3650</v>
      </c>
      <c r="H5607" t="s">
        <v>7322</v>
      </c>
      <c r="I5607" t="s">
        <v>8218</v>
      </c>
      <c r="J5607" t="s">
        <v>9065</v>
      </c>
      <c r="K5607">
        <v>10453</v>
      </c>
      <c r="L5607" t="s">
        <v>9094</v>
      </c>
      <c r="M5607" t="s">
        <v>9095</v>
      </c>
      <c r="N5607" t="s">
        <v>11039</v>
      </c>
      <c r="O5607" t="s">
        <v>11129</v>
      </c>
      <c r="P5607" t="s">
        <v>11165</v>
      </c>
      <c r="R5607" t="s">
        <v>11180</v>
      </c>
      <c r="S5607" t="s">
        <v>9096</v>
      </c>
      <c r="T5607" t="s">
        <v>11184</v>
      </c>
      <c r="V5607" t="s">
        <v>418</v>
      </c>
      <c r="W5607">
        <v>1235</v>
      </c>
      <c r="X5607" t="s">
        <v>11333</v>
      </c>
      <c r="Z5607" t="s">
        <v>14881</v>
      </c>
      <c r="AB5607" t="s">
        <v>19202</v>
      </c>
      <c r="AC5607">
        <v>36</v>
      </c>
      <c r="AD5607" t="s">
        <v>19569</v>
      </c>
      <c r="AE5607" t="s">
        <v>9144</v>
      </c>
      <c r="AF5607">
        <v>3</v>
      </c>
      <c r="AG5607">
        <v>1</v>
      </c>
      <c r="AH5607">
        <v>0</v>
      </c>
      <c r="AI5607">
        <v>288.23</v>
      </c>
      <c r="AJ5607" t="s">
        <v>418</v>
      </c>
      <c r="AK5607" t="s">
        <v>19612</v>
      </c>
      <c r="AL5607" t="s">
        <v>19614</v>
      </c>
      <c r="AM5607">
        <v>36000</v>
      </c>
      <c r="AS5607">
        <v>1</v>
      </c>
      <c r="AT5607" t="s">
        <v>563</v>
      </c>
      <c r="AU5607" t="s">
        <v>20671</v>
      </c>
      <c r="AV5607" t="s">
        <v>20733</v>
      </c>
    </row>
    <row r="5608" spans="1:48">
      <c r="A5608" s="1">
        <f>HYPERLINK("https://lsnyc.legalserver.org/matter/dynamic-profile/view/1864170","18-1864170")</f>
        <v>0</v>
      </c>
      <c r="B5608" t="s">
        <v>132</v>
      </c>
      <c r="C5608" t="s">
        <v>256</v>
      </c>
      <c r="D5608" t="s">
        <v>505</v>
      </c>
      <c r="F5608" t="s">
        <v>2206</v>
      </c>
      <c r="G5608" t="s">
        <v>5429</v>
      </c>
      <c r="H5608" t="s">
        <v>5946</v>
      </c>
      <c r="I5608" t="s">
        <v>8690</v>
      </c>
      <c r="J5608" t="s">
        <v>9067</v>
      </c>
      <c r="K5608">
        <v>10034</v>
      </c>
      <c r="L5608" t="s">
        <v>9094</v>
      </c>
      <c r="M5608" t="s">
        <v>9095</v>
      </c>
      <c r="O5608" t="s">
        <v>11130</v>
      </c>
      <c r="P5608" t="s">
        <v>11167</v>
      </c>
      <c r="R5608" t="s">
        <v>11180</v>
      </c>
      <c r="S5608" t="s">
        <v>9096</v>
      </c>
      <c r="T5608" t="s">
        <v>11183</v>
      </c>
      <c r="V5608" t="s">
        <v>505</v>
      </c>
      <c r="W5608">
        <v>960</v>
      </c>
      <c r="X5608" t="s">
        <v>11335</v>
      </c>
      <c r="Y5608" t="s">
        <v>11338</v>
      </c>
      <c r="Z5608" t="s">
        <v>14882</v>
      </c>
      <c r="AB5608" t="s">
        <v>19203</v>
      </c>
      <c r="AC5608">
        <v>228</v>
      </c>
      <c r="AD5608" t="s">
        <v>19566</v>
      </c>
      <c r="AE5608" t="s">
        <v>9144</v>
      </c>
      <c r="AF5608">
        <v>18</v>
      </c>
      <c r="AG5608">
        <v>1</v>
      </c>
      <c r="AH5608">
        <v>0</v>
      </c>
      <c r="AI5608">
        <v>288.3</v>
      </c>
      <c r="AJ5608" t="s">
        <v>11246</v>
      </c>
      <c r="AL5608" t="s">
        <v>19614</v>
      </c>
      <c r="AM5608">
        <v>35000</v>
      </c>
      <c r="AS5608">
        <v>12.75</v>
      </c>
      <c r="AT5608" t="s">
        <v>551</v>
      </c>
      <c r="AU5608" t="s">
        <v>130</v>
      </c>
    </row>
    <row r="5609" spans="1:48">
      <c r="A5609" s="1">
        <f>HYPERLINK("https://lsnyc.legalserver.org/matter/dynamic-profile/view/1860891","18-1860891")</f>
        <v>0</v>
      </c>
      <c r="B5609" t="s">
        <v>101</v>
      </c>
      <c r="C5609" t="s">
        <v>256</v>
      </c>
      <c r="D5609" t="s">
        <v>450</v>
      </c>
      <c r="F5609" t="s">
        <v>3141</v>
      </c>
      <c r="G5609" t="s">
        <v>3699</v>
      </c>
      <c r="H5609" t="s">
        <v>5890</v>
      </c>
      <c r="I5609" t="s">
        <v>8304</v>
      </c>
      <c r="J5609" t="s">
        <v>9065</v>
      </c>
      <c r="K5609">
        <v>10453</v>
      </c>
      <c r="L5609" t="s">
        <v>9094</v>
      </c>
      <c r="M5609" t="s">
        <v>9095</v>
      </c>
      <c r="N5609" t="s">
        <v>9242</v>
      </c>
      <c r="O5609" t="s">
        <v>11130</v>
      </c>
      <c r="P5609" t="s">
        <v>11165</v>
      </c>
      <c r="R5609" t="s">
        <v>11180</v>
      </c>
      <c r="S5609" t="s">
        <v>9094</v>
      </c>
      <c r="T5609" t="s">
        <v>11183</v>
      </c>
      <c r="V5609" t="s">
        <v>874</v>
      </c>
      <c r="W5609">
        <v>1340</v>
      </c>
      <c r="X5609" t="s">
        <v>11333</v>
      </c>
      <c r="Y5609" t="s">
        <v>11338</v>
      </c>
      <c r="Z5609" t="s">
        <v>14883</v>
      </c>
      <c r="AB5609" t="s">
        <v>19204</v>
      </c>
      <c r="AC5609">
        <v>46</v>
      </c>
      <c r="AD5609" t="s">
        <v>19566</v>
      </c>
      <c r="AE5609" t="s">
        <v>9144</v>
      </c>
      <c r="AF5609">
        <v>5</v>
      </c>
      <c r="AG5609">
        <v>2</v>
      </c>
      <c r="AH5609">
        <v>3</v>
      </c>
      <c r="AI5609">
        <v>288.46</v>
      </c>
      <c r="AL5609" t="s">
        <v>19614</v>
      </c>
      <c r="AM5609">
        <v>106964</v>
      </c>
      <c r="AS5609">
        <v>1.3</v>
      </c>
      <c r="AT5609" t="s">
        <v>300</v>
      </c>
      <c r="AU5609" t="s">
        <v>174</v>
      </c>
    </row>
    <row r="5610" spans="1:48">
      <c r="A5610" s="1">
        <f>HYPERLINK("https://lsnyc.legalserver.org/matter/dynamic-profile/view/1885755","18-1885755")</f>
        <v>0</v>
      </c>
      <c r="B5610" t="s">
        <v>113</v>
      </c>
      <c r="C5610" t="s">
        <v>257</v>
      </c>
      <c r="D5610" t="s">
        <v>424</v>
      </c>
      <c r="E5610" t="s">
        <v>270</v>
      </c>
      <c r="F5610" t="s">
        <v>3126</v>
      </c>
      <c r="G5610" t="s">
        <v>3195</v>
      </c>
      <c r="H5610" t="s">
        <v>5864</v>
      </c>
      <c r="I5610" t="s">
        <v>8147</v>
      </c>
      <c r="J5610" t="s">
        <v>9065</v>
      </c>
      <c r="K5610">
        <v>10460</v>
      </c>
      <c r="L5610" t="s">
        <v>9094</v>
      </c>
      <c r="M5610" t="s">
        <v>9094</v>
      </c>
      <c r="N5610" t="s">
        <v>9222</v>
      </c>
      <c r="O5610" t="s">
        <v>11130</v>
      </c>
      <c r="P5610" t="s">
        <v>11165</v>
      </c>
      <c r="Q5610" t="s">
        <v>11174</v>
      </c>
      <c r="R5610" t="s">
        <v>11180</v>
      </c>
      <c r="S5610" t="s">
        <v>9094</v>
      </c>
      <c r="T5610" t="s">
        <v>11183</v>
      </c>
      <c r="V5610" t="s">
        <v>512</v>
      </c>
      <c r="W5610">
        <v>1071</v>
      </c>
      <c r="X5610" t="s">
        <v>11333</v>
      </c>
      <c r="Y5610" t="s">
        <v>11346</v>
      </c>
      <c r="Z5610" t="s">
        <v>14856</v>
      </c>
      <c r="AB5610" t="s">
        <v>19180</v>
      </c>
      <c r="AC5610">
        <v>168</v>
      </c>
      <c r="AD5610" t="s">
        <v>15441</v>
      </c>
      <c r="AE5610" t="s">
        <v>19580</v>
      </c>
      <c r="AF5610">
        <v>10</v>
      </c>
      <c r="AG5610">
        <v>1</v>
      </c>
      <c r="AH5610">
        <v>1</v>
      </c>
      <c r="AI5610">
        <v>288.58</v>
      </c>
      <c r="AL5610" t="s">
        <v>19614</v>
      </c>
      <c r="AM5610">
        <v>47500</v>
      </c>
      <c r="AS5610">
        <v>0.1</v>
      </c>
      <c r="AT5610" t="s">
        <v>270</v>
      </c>
      <c r="AU5610" t="s">
        <v>20642</v>
      </c>
    </row>
    <row r="5611" spans="1:48">
      <c r="A5611" s="1">
        <f>HYPERLINK("https://lsnyc.legalserver.org/matter/dynamic-profile/view/1915132","19-1915132")</f>
        <v>0</v>
      </c>
      <c r="B5611" t="s">
        <v>73</v>
      </c>
      <c r="C5611" t="s">
        <v>256</v>
      </c>
      <c r="D5611" t="s">
        <v>270</v>
      </c>
      <c r="F5611" t="s">
        <v>1171</v>
      </c>
      <c r="G5611" t="s">
        <v>3572</v>
      </c>
      <c r="H5611" t="s">
        <v>7823</v>
      </c>
      <c r="I5611" t="s">
        <v>8266</v>
      </c>
      <c r="J5611" t="s">
        <v>9059</v>
      </c>
      <c r="K5611">
        <v>11212</v>
      </c>
      <c r="L5611" t="s">
        <v>9096</v>
      </c>
      <c r="M5611" t="s">
        <v>9095</v>
      </c>
      <c r="N5611" t="s">
        <v>10263</v>
      </c>
      <c r="O5611" t="s">
        <v>11129</v>
      </c>
      <c r="R5611" t="s">
        <v>11180</v>
      </c>
      <c r="S5611" t="s">
        <v>9096</v>
      </c>
      <c r="T5611" t="s">
        <v>11183</v>
      </c>
      <c r="U5611" t="s">
        <v>11201</v>
      </c>
      <c r="W5611">
        <v>1225</v>
      </c>
      <c r="X5611" t="s">
        <v>11332</v>
      </c>
      <c r="Y5611" t="s">
        <v>11340</v>
      </c>
      <c r="Z5611" t="s">
        <v>14010</v>
      </c>
      <c r="AA5611" t="s">
        <v>9171</v>
      </c>
      <c r="AB5611" t="s">
        <v>18830</v>
      </c>
      <c r="AC5611">
        <v>32</v>
      </c>
      <c r="AD5611" t="s">
        <v>19566</v>
      </c>
      <c r="AE5611" t="s">
        <v>9144</v>
      </c>
      <c r="AF5611">
        <v>9</v>
      </c>
      <c r="AG5611">
        <v>1</v>
      </c>
      <c r="AH5611">
        <v>0</v>
      </c>
      <c r="AI5611">
        <v>289.19</v>
      </c>
      <c r="AL5611" t="s">
        <v>19614</v>
      </c>
      <c r="AM5611">
        <v>36120</v>
      </c>
      <c r="AS5611">
        <v>0</v>
      </c>
      <c r="AU5611" t="s">
        <v>95</v>
      </c>
      <c r="AV5611" t="s">
        <v>9144</v>
      </c>
    </row>
    <row r="5612" spans="1:48">
      <c r="A5612" s="1">
        <f>HYPERLINK("https://lsnyc.legalserver.org/matter/dynamic-profile/view/0789377","15-0789377")</f>
        <v>0</v>
      </c>
      <c r="B5612" t="s">
        <v>108</v>
      </c>
      <c r="C5612" t="s">
        <v>256</v>
      </c>
      <c r="D5612" t="s">
        <v>580</v>
      </c>
      <c r="F5612" t="s">
        <v>1248</v>
      </c>
      <c r="G5612" t="s">
        <v>5430</v>
      </c>
      <c r="H5612" t="s">
        <v>5897</v>
      </c>
      <c r="I5612" t="s">
        <v>8358</v>
      </c>
      <c r="J5612" t="s">
        <v>9065</v>
      </c>
      <c r="K5612">
        <v>10452</v>
      </c>
      <c r="L5612" t="s">
        <v>9094</v>
      </c>
      <c r="M5612" t="s">
        <v>9095</v>
      </c>
      <c r="N5612" t="s">
        <v>9250</v>
      </c>
      <c r="O5612" t="s">
        <v>11147</v>
      </c>
      <c r="P5612" t="s">
        <v>11165</v>
      </c>
      <c r="R5612" t="s">
        <v>11180</v>
      </c>
      <c r="S5612" t="s">
        <v>9094</v>
      </c>
      <c r="T5612" t="s">
        <v>11183</v>
      </c>
      <c r="V5612" t="s">
        <v>580</v>
      </c>
      <c r="W5612">
        <v>1175</v>
      </c>
      <c r="X5612" t="s">
        <v>11333</v>
      </c>
      <c r="Y5612" t="s">
        <v>11347</v>
      </c>
      <c r="Z5612" t="s">
        <v>14884</v>
      </c>
      <c r="AB5612" t="s">
        <v>19205</v>
      </c>
      <c r="AC5612">
        <v>0</v>
      </c>
      <c r="AD5612" t="s">
        <v>19566</v>
      </c>
      <c r="AF5612">
        <v>4</v>
      </c>
      <c r="AG5612">
        <v>2</v>
      </c>
      <c r="AH5612">
        <v>0</v>
      </c>
      <c r="AI5612">
        <v>289.36</v>
      </c>
      <c r="AL5612" t="s">
        <v>19614</v>
      </c>
      <c r="AM5612">
        <v>46095.2</v>
      </c>
      <c r="AS5612">
        <v>0.45</v>
      </c>
      <c r="AT5612" t="s">
        <v>507</v>
      </c>
      <c r="AU5612" t="s">
        <v>109</v>
      </c>
    </row>
    <row r="5613" spans="1:48">
      <c r="A5613" s="1">
        <f>HYPERLINK("https://lsnyc.legalserver.org/matter/dynamic-profile/view/1839011","17-1839011")</f>
        <v>0</v>
      </c>
      <c r="B5613" t="s">
        <v>103</v>
      </c>
      <c r="C5613" t="s">
        <v>256</v>
      </c>
      <c r="D5613" t="s">
        <v>1059</v>
      </c>
      <c r="F5613" t="s">
        <v>3142</v>
      </c>
      <c r="G5613" t="s">
        <v>5431</v>
      </c>
      <c r="H5613" t="s">
        <v>6915</v>
      </c>
      <c r="I5613" t="s">
        <v>8977</v>
      </c>
      <c r="J5613" t="s">
        <v>9065</v>
      </c>
      <c r="K5613">
        <v>10473</v>
      </c>
      <c r="L5613" t="s">
        <v>9094</v>
      </c>
      <c r="M5613" t="s">
        <v>9095</v>
      </c>
      <c r="N5613" t="s">
        <v>10039</v>
      </c>
      <c r="O5613" t="s">
        <v>11135</v>
      </c>
      <c r="P5613" t="s">
        <v>11168</v>
      </c>
      <c r="R5613" t="s">
        <v>11180</v>
      </c>
      <c r="S5613" t="s">
        <v>9094</v>
      </c>
      <c r="T5613" t="s">
        <v>11183</v>
      </c>
      <c r="V5613" t="s">
        <v>11223</v>
      </c>
      <c r="W5613">
        <v>1082</v>
      </c>
      <c r="X5613" t="s">
        <v>11333</v>
      </c>
      <c r="Y5613" t="s">
        <v>11351</v>
      </c>
      <c r="Z5613" t="s">
        <v>14885</v>
      </c>
      <c r="AC5613">
        <v>976</v>
      </c>
      <c r="AD5613" t="s">
        <v>19566</v>
      </c>
      <c r="AE5613" t="s">
        <v>19587</v>
      </c>
      <c r="AF5613">
        <v>40</v>
      </c>
      <c r="AG5613">
        <v>1</v>
      </c>
      <c r="AH5613">
        <v>0</v>
      </c>
      <c r="AI5613">
        <v>289.55</v>
      </c>
      <c r="AJ5613" t="s">
        <v>936</v>
      </c>
      <c r="AL5613" t="s">
        <v>19614</v>
      </c>
      <c r="AM5613">
        <v>34920</v>
      </c>
      <c r="AS5613">
        <v>0</v>
      </c>
      <c r="AU5613" t="s">
        <v>20643</v>
      </c>
    </row>
    <row r="5614" spans="1:48">
      <c r="A5614" s="1">
        <f>HYPERLINK("https://lsnyc.legalserver.org/matter/dynamic-profile/view/1895639","19-1895639")</f>
        <v>0</v>
      </c>
      <c r="B5614" t="s">
        <v>71</v>
      </c>
      <c r="C5614" t="s">
        <v>257</v>
      </c>
      <c r="D5614" t="s">
        <v>360</v>
      </c>
      <c r="E5614" t="s">
        <v>314</v>
      </c>
      <c r="F5614" t="s">
        <v>3143</v>
      </c>
      <c r="G5614" t="s">
        <v>5432</v>
      </c>
      <c r="H5614" t="s">
        <v>8009</v>
      </c>
      <c r="I5614" t="s">
        <v>8132</v>
      </c>
      <c r="J5614" t="s">
        <v>9059</v>
      </c>
      <c r="K5614">
        <v>11233</v>
      </c>
      <c r="L5614" t="s">
        <v>9094</v>
      </c>
      <c r="M5614" t="s">
        <v>9096</v>
      </c>
      <c r="N5614" t="s">
        <v>11040</v>
      </c>
      <c r="O5614" t="s">
        <v>11129</v>
      </c>
      <c r="P5614" t="s">
        <v>11165</v>
      </c>
      <c r="Q5614" t="s">
        <v>11178</v>
      </c>
      <c r="R5614" t="s">
        <v>11180</v>
      </c>
      <c r="S5614" t="s">
        <v>9096</v>
      </c>
      <c r="T5614" t="s">
        <v>11183</v>
      </c>
      <c r="U5614" t="s">
        <v>11199</v>
      </c>
      <c r="V5614" t="s">
        <v>310</v>
      </c>
      <c r="W5614">
        <v>1300</v>
      </c>
      <c r="X5614" t="s">
        <v>11332</v>
      </c>
      <c r="Y5614" t="s">
        <v>11339</v>
      </c>
      <c r="Z5614" t="s">
        <v>14849</v>
      </c>
      <c r="AB5614" t="s">
        <v>19206</v>
      </c>
      <c r="AC5614">
        <v>16</v>
      </c>
      <c r="AD5614" t="s">
        <v>19566</v>
      </c>
      <c r="AE5614" t="s">
        <v>9144</v>
      </c>
      <c r="AF5614">
        <v>0</v>
      </c>
      <c r="AG5614">
        <v>1</v>
      </c>
      <c r="AH5614">
        <v>0</v>
      </c>
      <c r="AI5614">
        <v>291.22</v>
      </c>
      <c r="AL5614" t="s">
        <v>19614</v>
      </c>
      <c r="AM5614">
        <v>36374</v>
      </c>
      <c r="AS5614">
        <v>22.6</v>
      </c>
      <c r="AT5614" t="s">
        <v>314</v>
      </c>
      <c r="AU5614" t="s">
        <v>79</v>
      </c>
      <c r="AV5614" t="s">
        <v>20733</v>
      </c>
    </row>
    <row r="5615" spans="1:48">
      <c r="A5615" s="1">
        <f>HYPERLINK("https://lsnyc.legalserver.org/matter/dynamic-profile/view/1890734","19-1890734")</f>
        <v>0</v>
      </c>
      <c r="B5615" t="s">
        <v>72</v>
      </c>
      <c r="C5615" t="s">
        <v>257</v>
      </c>
      <c r="D5615" t="s">
        <v>381</v>
      </c>
      <c r="E5615" t="s">
        <v>457</v>
      </c>
      <c r="F5615" t="s">
        <v>1211</v>
      </c>
      <c r="G5615" t="s">
        <v>5433</v>
      </c>
      <c r="H5615" t="s">
        <v>8010</v>
      </c>
      <c r="I5615">
        <v>3</v>
      </c>
      <c r="J5615" t="s">
        <v>9059</v>
      </c>
      <c r="K5615">
        <v>11233</v>
      </c>
      <c r="L5615" t="s">
        <v>9094</v>
      </c>
      <c r="M5615" t="s">
        <v>9094</v>
      </c>
      <c r="N5615" t="s">
        <v>11041</v>
      </c>
      <c r="O5615" t="s">
        <v>11128</v>
      </c>
      <c r="P5615" t="s">
        <v>11164</v>
      </c>
      <c r="Q5615" t="s">
        <v>11172</v>
      </c>
      <c r="R5615" t="s">
        <v>11180</v>
      </c>
      <c r="S5615" t="s">
        <v>9096</v>
      </c>
      <c r="T5615" t="s">
        <v>11183</v>
      </c>
      <c r="V5615" t="s">
        <v>381</v>
      </c>
      <c r="W5615">
        <v>0</v>
      </c>
      <c r="X5615" t="s">
        <v>11332</v>
      </c>
      <c r="Y5615" t="s">
        <v>11338</v>
      </c>
      <c r="Z5615" t="s">
        <v>14475</v>
      </c>
      <c r="AC5615">
        <v>14</v>
      </c>
      <c r="AD5615" t="s">
        <v>15441</v>
      </c>
      <c r="AE5615" t="s">
        <v>9144</v>
      </c>
      <c r="AF5615">
        <v>6</v>
      </c>
      <c r="AG5615">
        <v>3</v>
      </c>
      <c r="AH5615">
        <v>1</v>
      </c>
      <c r="AI5615">
        <v>291.26</v>
      </c>
      <c r="AL5615" t="s">
        <v>19614</v>
      </c>
      <c r="AM5615">
        <v>75000</v>
      </c>
      <c r="AS5615">
        <v>1.25</v>
      </c>
      <c r="AT5615" t="s">
        <v>523</v>
      </c>
      <c r="AU5615" t="s">
        <v>79</v>
      </c>
      <c r="AV5615" t="s">
        <v>20733</v>
      </c>
    </row>
    <row r="5616" spans="1:48">
      <c r="A5616" s="1">
        <f>HYPERLINK("https://lsnyc.legalserver.org/matter/dynamic-profile/view/1910919","19-1910919")</f>
        <v>0</v>
      </c>
      <c r="B5616" t="s">
        <v>102</v>
      </c>
      <c r="C5616" t="s">
        <v>256</v>
      </c>
      <c r="D5616" t="s">
        <v>295</v>
      </c>
      <c r="F5616" t="s">
        <v>3144</v>
      </c>
      <c r="G5616" t="s">
        <v>5434</v>
      </c>
      <c r="H5616" t="s">
        <v>8011</v>
      </c>
      <c r="I5616" t="s">
        <v>8129</v>
      </c>
      <c r="J5616" t="s">
        <v>9059</v>
      </c>
      <c r="K5616">
        <v>11208</v>
      </c>
      <c r="L5616" t="s">
        <v>9096</v>
      </c>
      <c r="M5616" t="s">
        <v>9095</v>
      </c>
      <c r="N5616" t="s">
        <v>11042</v>
      </c>
      <c r="O5616" t="s">
        <v>11128</v>
      </c>
      <c r="P5616" t="s">
        <v>11169</v>
      </c>
      <c r="R5616" t="s">
        <v>11180</v>
      </c>
      <c r="S5616" t="s">
        <v>9096</v>
      </c>
      <c r="T5616" t="s">
        <v>11183</v>
      </c>
      <c r="W5616">
        <v>1300</v>
      </c>
      <c r="X5616" t="s">
        <v>11332</v>
      </c>
      <c r="Y5616" t="s">
        <v>11342</v>
      </c>
      <c r="Z5616" t="s">
        <v>14886</v>
      </c>
      <c r="AA5616" t="s">
        <v>9144</v>
      </c>
      <c r="AB5616" t="s">
        <v>19207</v>
      </c>
      <c r="AC5616">
        <v>2</v>
      </c>
      <c r="AD5616" t="s">
        <v>19565</v>
      </c>
      <c r="AE5616" t="s">
        <v>9144</v>
      </c>
      <c r="AF5616">
        <v>1</v>
      </c>
      <c r="AG5616">
        <v>1</v>
      </c>
      <c r="AH5616">
        <v>0</v>
      </c>
      <c r="AI5616">
        <v>291.43</v>
      </c>
      <c r="AL5616" t="s">
        <v>19614</v>
      </c>
      <c r="AM5616">
        <v>36400</v>
      </c>
      <c r="AS5616">
        <v>0</v>
      </c>
      <c r="AU5616" t="s">
        <v>79</v>
      </c>
      <c r="AV5616" t="s">
        <v>9144</v>
      </c>
    </row>
    <row r="5617" spans="1:48">
      <c r="A5617" s="1">
        <f>HYPERLINK("https://lsnyc.legalserver.org/matter/dynamic-profile/view/1900060","19-1900060")</f>
        <v>0</v>
      </c>
      <c r="B5617" t="s">
        <v>104</v>
      </c>
      <c r="C5617" t="s">
        <v>257</v>
      </c>
      <c r="D5617" t="s">
        <v>293</v>
      </c>
      <c r="E5617" t="s">
        <v>663</v>
      </c>
      <c r="F5617" t="s">
        <v>3145</v>
      </c>
      <c r="G5617" t="s">
        <v>5189</v>
      </c>
      <c r="H5617" t="s">
        <v>8012</v>
      </c>
      <c r="I5617" t="s">
        <v>8193</v>
      </c>
      <c r="J5617" t="s">
        <v>9065</v>
      </c>
      <c r="K5617">
        <v>10458</v>
      </c>
      <c r="L5617" t="s">
        <v>9094</v>
      </c>
      <c r="M5617" t="s">
        <v>9095</v>
      </c>
      <c r="O5617" t="s">
        <v>9121</v>
      </c>
      <c r="P5617" t="s">
        <v>11167</v>
      </c>
      <c r="Q5617" t="s">
        <v>11173</v>
      </c>
      <c r="R5617" t="s">
        <v>11180</v>
      </c>
      <c r="S5617" t="s">
        <v>9096</v>
      </c>
      <c r="T5617" t="s">
        <v>11183</v>
      </c>
      <c r="V5617" t="s">
        <v>11218</v>
      </c>
      <c r="W5617">
        <v>1108</v>
      </c>
      <c r="X5617" t="s">
        <v>11333</v>
      </c>
      <c r="Y5617" t="s">
        <v>11338</v>
      </c>
      <c r="Z5617" t="s">
        <v>14887</v>
      </c>
      <c r="AB5617" t="s">
        <v>19208</v>
      </c>
      <c r="AC5617">
        <v>37</v>
      </c>
      <c r="AD5617" t="s">
        <v>19566</v>
      </c>
      <c r="AF5617">
        <v>9</v>
      </c>
      <c r="AG5617">
        <v>1</v>
      </c>
      <c r="AH5617">
        <v>0</v>
      </c>
      <c r="AI5617">
        <v>291.43</v>
      </c>
      <c r="AL5617" t="s">
        <v>19614</v>
      </c>
      <c r="AM5617">
        <v>36400</v>
      </c>
      <c r="AN5617" t="s">
        <v>20155</v>
      </c>
      <c r="AS5617">
        <v>1.2</v>
      </c>
      <c r="AT5617" t="s">
        <v>663</v>
      </c>
      <c r="AU5617" t="s">
        <v>104</v>
      </c>
      <c r="AV5617" t="s">
        <v>20733</v>
      </c>
    </row>
    <row r="5618" spans="1:48">
      <c r="A5618" s="1">
        <f>HYPERLINK("https://lsnyc.legalserver.org/matter/dynamic-profile/view/1913394","19-1913394")</f>
        <v>0</v>
      </c>
      <c r="B5618" t="s">
        <v>140</v>
      </c>
      <c r="C5618" t="s">
        <v>256</v>
      </c>
      <c r="D5618" t="s">
        <v>286</v>
      </c>
      <c r="F5618" t="s">
        <v>2300</v>
      </c>
      <c r="G5618" t="s">
        <v>3448</v>
      </c>
      <c r="H5618" t="s">
        <v>7524</v>
      </c>
      <c r="I5618">
        <v>42</v>
      </c>
      <c r="J5618" t="s">
        <v>9067</v>
      </c>
      <c r="K5618">
        <v>10034</v>
      </c>
      <c r="L5618" t="s">
        <v>9094</v>
      </c>
      <c r="M5618" t="s">
        <v>9095</v>
      </c>
      <c r="O5618" t="s">
        <v>11134</v>
      </c>
      <c r="P5618" t="s">
        <v>11168</v>
      </c>
      <c r="R5618" t="s">
        <v>11180</v>
      </c>
      <c r="S5618" t="s">
        <v>9094</v>
      </c>
      <c r="T5618" t="s">
        <v>11183</v>
      </c>
      <c r="V5618" t="s">
        <v>286</v>
      </c>
      <c r="W5618">
        <v>937.48</v>
      </c>
      <c r="X5618" t="s">
        <v>11335</v>
      </c>
      <c r="Y5618" t="s">
        <v>11340</v>
      </c>
      <c r="Z5618" t="s">
        <v>12959</v>
      </c>
      <c r="AB5618" t="s">
        <v>19044</v>
      </c>
      <c r="AC5618">
        <v>0</v>
      </c>
      <c r="AD5618" t="s">
        <v>19566</v>
      </c>
      <c r="AE5618" t="s">
        <v>9144</v>
      </c>
      <c r="AF5618">
        <v>45</v>
      </c>
      <c r="AG5618">
        <v>1</v>
      </c>
      <c r="AH5618">
        <v>0</v>
      </c>
      <c r="AI5618">
        <v>291.43</v>
      </c>
      <c r="AL5618" t="s">
        <v>19614</v>
      </c>
      <c r="AM5618">
        <v>36400</v>
      </c>
      <c r="AS5618">
        <v>41.4</v>
      </c>
      <c r="AT5618" t="s">
        <v>594</v>
      </c>
      <c r="AU5618" t="s">
        <v>130</v>
      </c>
      <c r="AV5618" t="s">
        <v>20733</v>
      </c>
    </row>
    <row r="5619" spans="1:48">
      <c r="A5619" s="1">
        <f>HYPERLINK("https://lsnyc.legalserver.org/matter/dynamic-profile/view/1887964","19-1887964")</f>
        <v>0</v>
      </c>
      <c r="B5619" t="s">
        <v>72</v>
      </c>
      <c r="C5619" t="s">
        <v>257</v>
      </c>
      <c r="D5619" t="s">
        <v>443</v>
      </c>
      <c r="E5619" t="s">
        <v>457</v>
      </c>
      <c r="F5619" t="s">
        <v>3146</v>
      </c>
      <c r="G5619" t="s">
        <v>1206</v>
      </c>
      <c r="H5619" t="s">
        <v>7021</v>
      </c>
      <c r="I5619" t="s">
        <v>8978</v>
      </c>
      <c r="J5619" t="s">
        <v>9059</v>
      </c>
      <c r="K5619">
        <v>11208</v>
      </c>
      <c r="L5619" t="s">
        <v>9094</v>
      </c>
      <c r="M5619" t="s">
        <v>9096</v>
      </c>
      <c r="N5619" t="s">
        <v>11043</v>
      </c>
      <c r="O5619" t="s">
        <v>11129</v>
      </c>
      <c r="P5619" t="s">
        <v>11164</v>
      </c>
      <c r="Q5619" t="s">
        <v>11172</v>
      </c>
      <c r="R5619" t="s">
        <v>11180</v>
      </c>
      <c r="S5619" t="s">
        <v>9096</v>
      </c>
      <c r="T5619" t="s">
        <v>11183</v>
      </c>
      <c r="U5619" t="s">
        <v>11201</v>
      </c>
      <c r="V5619" t="s">
        <v>749</v>
      </c>
      <c r="W5619">
        <v>1400</v>
      </c>
      <c r="X5619" t="s">
        <v>11332</v>
      </c>
      <c r="Y5619" t="s">
        <v>11350</v>
      </c>
      <c r="Z5619" t="s">
        <v>14888</v>
      </c>
      <c r="AB5619" t="s">
        <v>19209</v>
      </c>
      <c r="AC5619">
        <v>102</v>
      </c>
      <c r="AD5619" t="s">
        <v>19566</v>
      </c>
      <c r="AE5619" t="s">
        <v>19580</v>
      </c>
      <c r="AF5619">
        <v>1</v>
      </c>
      <c r="AG5619">
        <v>1</v>
      </c>
      <c r="AH5619">
        <v>0</v>
      </c>
      <c r="AI5619">
        <v>291.6</v>
      </c>
      <c r="AL5619" t="s">
        <v>19614</v>
      </c>
      <c r="AM5619">
        <v>35400</v>
      </c>
      <c r="AS5619">
        <v>5</v>
      </c>
      <c r="AT5619" t="s">
        <v>311</v>
      </c>
      <c r="AU5619" t="s">
        <v>20635</v>
      </c>
      <c r="AV5619" t="s">
        <v>20733</v>
      </c>
    </row>
    <row r="5620" spans="1:48">
      <c r="A5620" s="1">
        <f>HYPERLINK("https://lsnyc.legalserver.org/matter/dynamic-profile/view/1880411","18-1880411")</f>
        <v>0</v>
      </c>
      <c r="B5620" t="s">
        <v>106</v>
      </c>
      <c r="C5620" t="s">
        <v>257</v>
      </c>
      <c r="D5620" t="s">
        <v>355</v>
      </c>
      <c r="E5620" t="s">
        <v>551</v>
      </c>
      <c r="F5620" t="s">
        <v>1450</v>
      </c>
      <c r="G5620" t="s">
        <v>5435</v>
      </c>
      <c r="H5620" t="s">
        <v>5908</v>
      </c>
      <c r="I5620" t="s">
        <v>8112</v>
      </c>
      <c r="J5620" t="s">
        <v>9065</v>
      </c>
      <c r="K5620">
        <v>10451</v>
      </c>
      <c r="L5620" t="s">
        <v>9094</v>
      </c>
      <c r="M5620" t="s">
        <v>9094</v>
      </c>
      <c r="N5620" t="s">
        <v>11044</v>
      </c>
      <c r="O5620" t="s">
        <v>11134</v>
      </c>
      <c r="P5620" t="s">
        <v>11168</v>
      </c>
      <c r="Q5620" t="s">
        <v>11177</v>
      </c>
      <c r="R5620" t="s">
        <v>11180</v>
      </c>
      <c r="S5620" t="s">
        <v>9096</v>
      </c>
      <c r="T5620" t="s">
        <v>11183</v>
      </c>
      <c r="U5620" t="s">
        <v>11201</v>
      </c>
      <c r="V5620" t="s">
        <v>473</v>
      </c>
      <c r="W5620">
        <v>978</v>
      </c>
      <c r="X5620" t="s">
        <v>11333</v>
      </c>
      <c r="Y5620" t="s">
        <v>11340</v>
      </c>
      <c r="Z5620" t="s">
        <v>13135</v>
      </c>
      <c r="AB5620" t="s">
        <v>19210</v>
      </c>
      <c r="AC5620">
        <v>81</v>
      </c>
      <c r="AD5620" t="s">
        <v>19566</v>
      </c>
      <c r="AE5620" t="s">
        <v>9144</v>
      </c>
      <c r="AF5620">
        <v>37</v>
      </c>
      <c r="AG5620">
        <v>2</v>
      </c>
      <c r="AH5620">
        <v>0</v>
      </c>
      <c r="AI5620">
        <v>291.62</v>
      </c>
      <c r="AJ5620" t="s">
        <v>19606</v>
      </c>
      <c r="AK5620" t="s">
        <v>19612</v>
      </c>
      <c r="AL5620" t="s">
        <v>19614</v>
      </c>
      <c r="AM5620">
        <v>48000</v>
      </c>
      <c r="AS5620">
        <v>30.7</v>
      </c>
      <c r="AT5620" t="s">
        <v>329</v>
      </c>
      <c r="AU5620" t="s">
        <v>163</v>
      </c>
      <c r="AV5620" t="s">
        <v>20733</v>
      </c>
    </row>
    <row r="5621" spans="1:48">
      <c r="A5621" s="1">
        <f>HYPERLINK("https://lsnyc.legalserver.org/matter/dynamic-profile/view/1907523","19-1907523")</f>
        <v>0</v>
      </c>
      <c r="B5621" t="s">
        <v>110</v>
      </c>
      <c r="C5621" t="s">
        <v>256</v>
      </c>
      <c r="D5621" t="s">
        <v>275</v>
      </c>
      <c r="F5621" t="s">
        <v>3147</v>
      </c>
      <c r="G5621" t="s">
        <v>5436</v>
      </c>
      <c r="H5621" t="s">
        <v>5851</v>
      </c>
      <c r="I5621" t="s">
        <v>8187</v>
      </c>
      <c r="J5621" t="s">
        <v>9065</v>
      </c>
      <c r="K5621">
        <v>10474</v>
      </c>
      <c r="L5621" t="s">
        <v>9095</v>
      </c>
      <c r="M5621" t="s">
        <v>9095</v>
      </c>
      <c r="N5621" t="s">
        <v>9218</v>
      </c>
      <c r="O5621" t="s">
        <v>11134</v>
      </c>
      <c r="P5621" t="s">
        <v>11168</v>
      </c>
      <c r="R5621" t="s">
        <v>11180</v>
      </c>
      <c r="S5621" t="s">
        <v>9094</v>
      </c>
      <c r="T5621" t="s">
        <v>11183</v>
      </c>
      <c r="W5621">
        <v>1425</v>
      </c>
      <c r="X5621" t="s">
        <v>11333</v>
      </c>
      <c r="Y5621" t="s">
        <v>11346</v>
      </c>
      <c r="Z5621" t="s">
        <v>14889</v>
      </c>
      <c r="AB5621" t="s">
        <v>19211</v>
      </c>
      <c r="AC5621">
        <v>45</v>
      </c>
      <c r="AD5621" t="s">
        <v>19566</v>
      </c>
      <c r="AE5621" t="s">
        <v>9144</v>
      </c>
      <c r="AF5621">
        <v>4</v>
      </c>
      <c r="AG5621">
        <v>2</v>
      </c>
      <c r="AH5621">
        <v>0</v>
      </c>
      <c r="AI5621">
        <v>292.13</v>
      </c>
      <c r="AL5621" t="s">
        <v>19614</v>
      </c>
      <c r="AM5621">
        <v>49400</v>
      </c>
      <c r="AS5621">
        <v>9.5</v>
      </c>
      <c r="AT5621" t="s">
        <v>410</v>
      </c>
      <c r="AU5621" t="s">
        <v>98</v>
      </c>
    </row>
    <row r="5622" spans="1:48">
      <c r="A5622" s="1">
        <f>HYPERLINK("https://lsnyc.legalserver.org/matter/dynamic-profile/view/1906062","19-1906062")</f>
        <v>0</v>
      </c>
      <c r="B5622" t="s">
        <v>98</v>
      </c>
      <c r="C5622" t="s">
        <v>256</v>
      </c>
      <c r="D5622" t="s">
        <v>330</v>
      </c>
      <c r="F5622" t="s">
        <v>3147</v>
      </c>
      <c r="G5622" t="s">
        <v>5436</v>
      </c>
      <c r="H5622" t="s">
        <v>5851</v>
      </c>
      <c r="I5622" t="s">
        <v>8187</v>
      </c>
      <c r="J5622" t="s">
        <v>9065</v>
      </c>
      <c r="K5622">
        <v>10474</v>
      </c>
      <c r="L5622" t="s">
        <v>9094</v>
      </c>
      <c r="M5622" t="s">
        <v>9095</v>
      </c>
      <c r="N5622" t="s">
        <v>9536</v>
      </c>
      <c r="O5622" t="s">
        <v>11130</v>
      </c>
      <c r="P5622" t="s">
        <v>11165</v>
      </c>
      <c r="R5622" t="s">
        <v>11180</v>
      </c>
      <c r="S5622" t="s">
        <v>9094</v>
      </c>
      <c r="T5622" t="s">
        <v>11183</v>
      </c>
      <c r="W5622">
        <v>1425</v>
      </c>
      <c r="X5622" t="s">
        <v>11333</v>
      </c>
      <c r="Y5622" t="s">
        <v>11346</v>
      </c>
      <c r="Z5622" t="s">
        <v>14889</v>
      </c>
      <c r="AB5622" t="s">
        <v>19211</v>
      </c>
      <c r="AC5622">
        <v>45</v>
      </c>
      <c r="AD5622" t="s">
        <v>19566</v>
      </c>
      <c r="AE5622" t="s">
        <v>9144</v>
      </c>
      <c r="AF5622">
        <v>4</v>
      </c>
      <c r="AG5622">
        <v>2</v>
      </c>
      <c r="AH5622">
        <v>0</v>
      </c>
      <c r="AI5622">
        <v>292.13</v>
      </c>
      <c r="AL5622" t="s">
        <v>19614</v>
      </c>
      <c r="AM5622">
        <v>49400</v>
      </c>
      <c r="AS5622">
        <v>116.55</v>
      </c>
      <c r="AT5622" t="s">
        <v>1130</v>
      </c>
      <c r="AU5622" t="s">
        <v>220</v>
      </c>
    </row>
    <row r="5623" spans="1:48">
      <c r="A5623" s="1">
        <f>HYPERLINK("https://lsnyc.legalserver.org/matter/dynamic-profile/view/1863740","18-1863740")</f>
        <v>0</v>
      </c>
      <c r="B5623" t="s">
        <v>86</v>
      </c>
      <c r="C5623" t="s">
        <v>256</v>
      </c>
      <c r="D5623" t="s">
        <v>651</v>
      </c>
      <c r="F5623" t="s">
        <v>1749</v>
      </c>
      <c r="G5623" t="s">
        <v>5425</v>
      </c>
      <c r="H5623" t="s">
        <v>6097</v>
      </c>
      <c r="I5623" t="s">
        <v>8974</v>
      </c>
      <c r="J5623" t="s">
        <v>9059</v>
      </c>
      <c r="K5623">
        <v>11226</v>
      </c>
      <c r="L5623" t="s">
        <v>9094</v>
      </c>
      <c r="M5623" t="s">
        <v>9095</v>
      </c>
      <c r="N5623" t="s">
        <v>11045</v>
      </c>
      <c r="O5623" t="s">
        <v>11130</v>
      </c>
      <c r="P5623" t="s">
        <v>11165</v>
      </c>
      <c r="R5623" t="s">
        <v>11180</v>
      </c>
      <c r="S5623" t="s">
        <v>9094</v>
      </c>
      <c r="T5623" t="s">
        <v>11183</v>
      </c>
      <c r="V5623" t="s">
        <v>11212</v>
      </c>
      <c r="W5623">
        <v>1632</v>
      </c>
      <c r="X5623" t="s">
        <v>11332</v>
      </c>
      <c r="Y5623" t="s">
        <v>11338</v>
      </c>
      <c r="Z5623" t="s">
        <v>14870</v>
      </c>
      <c r="AB5623" t="s">
        <v>19191</v>
      </c>
      <c r="AC5623">
        <v>6</v>
      </c>
      <c r="AF5623">
        <v>2</v>
      </c>
      <c r="AG5623">
        <v>2</v>
      </c>
      <c r="AH5623">
        <v>0</v>
      </c>
      <c r="AI5623">
        <v>292.22</v>
      </c>
      <c r="AL5623" t="s">
        <v>19614</v>
      </c>
      <c r="AM5623">
        <v>48100</v>
      </c>
      <c r="AS5623">
        <v>3.6</v>
      </c>
      <c r="AT5623" t="s">
        <v>400</v>
      </c>
      <c r="AU5623" t="s">
        <v>20631</v>
      </c>
      <c r="AV5623" t="s">
        <v>20733</v>
      </c>
    </row>
    <row r="5624" spans="1:48">
      <c r="A5624" s="1">
        <f>HYPERLINK("https://lsnyc.legalserver.org/matter/dynamic-profile/view/1879561","18-1879561")</f>
        <v>0</v>
      </c>
      <c r="B5624" t="s">
        <v>86</v>
      </c>
      <c r="C5624" t="s">
        <v>256</v>
      </c>
      <c r="D5624" t="s">
        <v>452</v>
      </c>
      <c r="F5624" t="s">
        <v>1749</v>
      </c>
      <c r="G5624" t="s">
        <v>5425</v>
      </c>
      <c r="H5624" t="s">
        <v>6097</v>
      </c>
      <c r="I5624" t="s">
        <v>8974</v>
      </c>
      <c r="J5624" t="s">
        <v>9059</v>
      </c>
      <c r="K5624">
        <v>11226</v>
      </c>
      <c r="L5624" t="s">
        <v>9094</v>
      </c>
      <c r="M5624" t="s">
        <v>9094</v>
      </c>
      <c r="N5624" t="s">
        <v>11034</v>
      </c>
      <c r="O5624" t="s">
        <v>11130</v>
      </c>
      <c r="P5624" t="s">
        <v>11165</v>
      </c>
      <c r="R5624" t="s">
        <v>11180</v>
      </c>
      <c r="S5624" t="s">
        <v>9094</v>
      </c>
      <c r="T5624" t="s">
        <v>11183</v>
      </c>
      <c r="V5624" t="s">
        <v>906</v>
      </c>
      <c r="W5624">
        <v>1632</v>
      </c>
      <c r="X5624" t="s">
        <v>11332</v>
      </c>
      <c r="Y5624" t="s">
        <v>11340</v>
      </c>
      <c r="Z5624" t="s">
        <v>14870</v>
      </c>
      <c r="AB5624" t="s">
        <v>19191</v>
      </c>
      <c r="AC5624">
        <v>6</v>
      </c>
      <c r="AD5624" t="s">
        <v>19566</v>
      </c>
      <c r="AF5624">
        <v>2</v>
      </c>
      <c r="AG5624">
        <v>2</v>
      </c>
      <c r="AH5624">
        <v>0</v>
      </c>
      <c r="AI5624">
        <v>292.22</v>
      </c>
      <c r="AL5624" t="s">
        <v>19614</v>
      </c>
      <c r="AM5624">
        <v>48100</v>
      </c>
      <c r="AN5624" t="s">
        <v>20156</v>
      </c>
      <c r="AS5624">
        <v>0</v>
      </c>
      <c r="AU5624" t="s">
        <v>20628</v>
      </c>
    </row>
    <row r="5625" spans="1:48">
      <c r="A5625" s="1">
        <f>HYPERLINK("https://lsnyc.legalserver.org/matter/dynamic-profile/view/1870000","18-1870000")</f>
        <v>0</v>
      </c>
      <c r="B5625" t="s">
        <v>114</v>
      </c>
      <c r="C5625" t="s">
        <v>256</v>
      </c>
      <c r="D5625" t="s">
        <v>592</v>
      </c>
      <c r="F5625" t="s">
        <v>3148</v>
      </c>
      <c r="G5625" t="s">
        <v>5437</v>
      </c>
      <c r="H5625" t="s">
        <v>8013</v>
      </c>
      <c r="I5625" t="s">
        <v>8279</v>
      </c>
      <c r="J5625" t="s">
        <v>9065</v>
      </c>
      <c r="K5625">
        <v>10452</v>
      </c>
      <c r="L5625" t="s">
        <v>9094</v>
      </c>
      <c r="M5625" t="s">
        <v>9095</v>
      </c>
      <c r="O5625" t="s">
        <v>11133</v>
      </c>
      <c r="P5625" t="s">
        <v>11166</v>
      </c>
      <c r="R5625" t="s">
        <v>11180</v>
      </c>
      <c r="S5625" t="s">
        <v>9096</v>
      </c>
      <c r="T5625" t="s">
        <v>11189</v>
      </c>
      <c r="V5625" t="s">
        <v>675</v>
      </c>
      <c r="W5625">
        <v>1333.03</v>
      </c>
      <c r="X5625" t="s">
        <v>11333</v>
      </c>
      <c r="Z5625" t="s">
        <v>14890</v>
      </c>
      <c r="AB5625" t="s">
        <v>19212</v>
      </c>
      <c r="AC5625">
        <v>0</v>
      </c>
      <c r="AD5625" t="s">
        <v>19566</v>
      </c>
      <c r="AF5625">
        <v>20</v>
      </c>
      <c r="AG5625">
        <v>2</v>
      </c>
      <c r="AH5625">
        <v>0</v>
      </c>
      <c r="AI5625">
        <v>292.27</v>
      </c>
      <c r="AL5625" t="s">
        <v>19615</v>
      </c>
      <c r="AM5625">
        <v>48108</v>
      </c>
      <c r="AS5625">
        <v>0.6</v>
      </c>
      <c r="AT5625" t="s">
        <v>1096</v>
      </c>
      <c r="AU5625" t="s">
        <v>20708</v>
      </c>
    </row>
    <row r="5626" spans="1:48">
      <c r="A5626" s="1">
        <f>HYPERLINK("https://lsnyc.legalserver.org/matter/dynamic-profile/view/1915366","19-1915366")</f>
        <v>0</v>
      </c>
      <c r="B5626" t="s">
        <v>135</v>
      </c>
      <c r="C5626" t="s">
        <v>256</v>
      </c>
      <c r="D5626" t="s">
        <v>487</v>
      </c>
      <c r="F5626" t="s">
        <v>1381</v>
      </c>
      <c r="G5626" t="s">
        <v>5438</v>
      </c>
      <c r="H5626" t="s">
        <v>6637</v>
      </c>
      <c r="I5626" t="s">
        <v>8244</v>
      </c>
      <c r="J5626" t="s">
        <v>9067</v>
      </c>
      <c r="K5626">
        <v>10029</v>
      </c>
      <c r="L5626" t="s">
        <v>9094</v>
      </c>
      <c r="M5626" t="s">
        <v>9095</v>
      </c>
      <c r="O5626" t="s">
        <v>11134</v>
      </c>
      <c r="P5626" t="s">
        <v>11165</v>
      </c>
      <c r="R5626" t="s">
        <v>11180</v>
      </c>
      <c r="S5626" t="s">
        <v>9094</v>
      </c>
      <c r="T5626" t="s">
        <v>11183</v>
      </c>
      <c r="U5626" t="s">
        <v>11201</v>
      </c>
      <c r="V5626" t="s">
        <v>487</v>
      </c>
      <c r="W5626">
        <v>1160</v>
      </c>
      <c r="X5626" t="s">
        <v>11335</v>
      </c>
      <c r="Y5626" t="s">
        <v>11340</v>
      </c>
      <c r="Z5626" t="s">
        <v>14891</v>
      </c>
      <c r="AB5626" t="s">
        <v>19213</v>
      </c>
      <c r="AC5626">
        <v>11</v>
      </c>
      <c r="AD5626" t="s">
        <v>19566</v>
      </c>
      <c r="AE5626" t="s">
        <v>9144</v>
      </c>
      <c r="AF5626">
        <v>22</v>
      </c>
      <c r="AG5626">
        <v>5</v>
      </c>
      <c r="AH5626">
        <v>0</v>
      </c>
      <c r="AI5626">
        <v>293.01</v>
      </c>
      <c r="AL5626" t="s">
        <v>19614</v>
      </c>
      <c r="AM5626">
        <v>88400</v>
      </c>
      <c r="AS5626">
        <v>4.75</v>
      </c>
      <c r="AT5626" t="s">
        <v>487</v>
      </c>
      <c r="AU5626" t="s">
        <v>20657</v>
      </c>
      <c r="AV5626" t="s">
        <v>20733</v>
      </c>
    </row>
    <row r="5627" spans="1:48">
      <c r="A5627" s="1">
        <f>HYPERLINK("https://lsnyc.legalserver.org/matter/dynamic-profile/view/1913064","19-1913064")</f>
        <v>0</v>
      </c>
      <c r="B5627" t="s">
        <v>62</v>
      </c>
      <c r="C5627" t="s">
        <v>256</v>
      </c>
      <c r="D5627" t="s">
        <v>833</v>
      </c>
      <c r="F5627" t="s">
        <v>1227</v>
      </c>
      <c r="G5627" t="s">
        <v>5439</v>
      </c>
      <c r="H5627" t="s">
        <v>5725</v>
      </c>
      <c r="I5627" t="s">
        <v>8571</v>
      </c>
      <c r="J5627" t="s">
        <v>9054</v>
      </c>
      <c r="K5627">
        <v>11368</v>
      </c>
      <c r="L5627" t="s">
        <v>9094</v>
      </c>
      <c r="M5627" t="s">
        <v>9095</v>
      </c>
      <c r="N5627" t="s">
        <v>9126</v>
      </c>
      <c r="O5627" t="s">
        <v>11134</v>
      </c>
      <c r="P5627" t="s">
        <v>11168</v>
      </c>
      <c r="R5627" t="s">
        <v>11180</v>
      </c>
      <c r="S5627" t="s">
        <v>9094</v>
      </c>
      <c r="T5627" t="s">
        <v>11183</v>
      </c>
      <c r="U5627" t="s">
        <v>11201</v>
      </c>
      <c r="V5627" t="s">
        <v>833</v>
      </c>
      <c r="W5627">
        <v>994</v>
      </c>
      <c r="X5627" t="s">
        <v>11331</v>
      </c>
      <c r="Y5627" t="s">
        <v>11339</v>
      </c>
      <c r="Z5627" t="s">
        <v>14892</v>
      </c>
      <c r="AA5627" t="s">
        <v>15274</v>
      </c>
      <c r="AB5627" t="s">
        <v>19214</v>
      </c>
      <c r="AC5627">
        <v>0</v>
      </c>
      <c r="AD5627" t="s">
        <v>19566</v>
      </c>
      <c r="AE5627" t="s">
        <v>19587</v>
      </c>
      <c r="AF5627">
        <v>15</v>
      </c>
      <c r="AG5627">
        <v>1</v>
      </c>
      <c r="AH5627">
        <v>1</v>
      </c>
      <c r="AI5627">
        <v>293.32</v>
      </c>
      <c r="AL5627" t="s">
        <v>19614</v>
      </c>
      <c r="AM5627">
        <v>49600</v>
      </c>
      <c r="AP5627" t="s">
        <v>11157</v>
      </c>
      <c r="AS5627">
        <v>0.3</v>
      </c>
      <c r="AT5627" t="s">
        <v>833</v>
      </c>
      <c r="AU5627" t="s">
        <v>20620</v>
      </c>
      <c r="AV5627" t="s">
        <v>20733</v>
      </c>
    </row>
    <row r="5628" spans="1:48">
      <c r="A5628" s="1">
        <f>HYPERLINK("https://lsnyc.legalserver.org/matter/dynamic-profile/view/1888294","19-1888294")</f>
        <v>0</v>
      </c>
      <c r="B5628" t="s">
        <v>140</v>
      </c>
      <c r="C5628" t="s">
        <v>256</v>
      </c>
      <c r="D5628" t="s">
        <v>540</v>
      </c>
      <c r="F5628" t="s">
        <v>1162</v>
      </c>
      <c r="G5628" t="s">
        <v>5105</v>
      </c>
      <c r="H5628" t="s">
        <v>7735</v>
      </c>
      <c r="I5628" t="s">
        <v>8153</v>
      </c>
      <c r="J5628" t="s">
        <v>9067</v>
      </c>
      <c r="K5628">
        <v>10032</v>
      </c>
      <c r="L5628" t="s">
        <v>9094</v>
      </c>
      <c r="M5628" t="s">
        <v>9094</v>
      </c>
      <c r="O5628" t="s">
        <v>11129</v>
      </c>
      <c r="P5628" t="s">
        <v>11165</v>
      </c>
      <c r="R5628" t="s">
        <v>11180</v>
      </c>
      <c r="S5628" t="s">
        <v>9096</v>
      </c>
      <c r="T5628" t="s">
        <v>11183</v>
      </c>
      <c r="V5628" t="s">
        <v>510</v>
      </c>
      <c r="W5628">
        <v>799.9</v>
      </c>
      <c r="X5628" t="s">
        <v>11335</v>
      </c>
      <c r="Y5628" t="s">
        <v>11340</v>
      </c>
      <c r="Z5628" t="s">
        <v>14893</v>
      </c>
      <c r="AB5628" t="s">
        <v>19215</v>
      </c>
      <c r="AC5628">
        <v>115</v>
      </c>
      <c r="AD5628" t="s">
        <v>19566</v>
      </c>
      <c r="AE5628" t="s">
        <v>9144</v>
      </c>
      <c r="AF5628">
        <v>29</v>
      </c>
      <c r="AG5628">
        <v>4</v>
      </c>
      <c r="AH5628">
        <v>0</v>
      </c>
      <c r="AI5628">
        <v>294.82</v>
      </c>
      <c r="AJ5628" t="s">
        <v>689</v>
      </c>
      <c r="AK5628" t="s">
        <v>19612</v>
      </c>
      <c r="AL5628" t="s">
        <v>19615</v>
      </c>
      <c r="AM5628">
        <v>74000</v>
      </c>
      <c r="AS5628">
        <v>72.5</v>
      </c>
      <c r="AT5628" t="s">
        <v>270</v>
      </c>
      <c r="AU5628" t="s">
        <v>130</v>
      </c>
    </row>
    <row r="5629" spans="1:48">
      <c r="A5629" s="1">
        <f>HYPERLINK("https://lsnyc.legalserver.org/matter/dynamic-profile/view/1842847","17-1842847")</f>
        <v>0</v>
      </c>
      <c r="B5629" t="s">
        <v>122</v>
      </c>
      <c r="C5629" t="s">
        <v>257</v>
      </c>
      <c r="D5629" t="s">
        <v>480</v>
      </c>
      <c r="E5629" t="s">
        <v>414</v>
      </c>
      <c r="F5629" t="s">
        <v>1341</v>
      </c>
      <c r="G5629" t="s">
        <v>5440</v>
      </c>
      <c r="H5629" t="s">
        <v>7873</v>
      </c>
      <c r="J5629" t="s">
        <v>9066</v>
      </c>
      <c r="K5629">
        <v>10314</v>
      </c>
      <c r="L5629" t="s">
        <v>9094</v>
      </c>
      <c r="M5629" t="s">
        <v>9095</v>
      </c>
      <c r="N5629" t="s">
        <v>9260</v>
      </c>
      <c r="O5629" t="s">
        <v>11135</v>
      </c>
      <c r="P5629" t="s">
        <v>11168</v>
      </c>
      <c r="Q5629" t="s">
        <v>11177</v>
      </c>
      <c r="R5629" t="s">
        <v>11180</v>
      </c>
      <c r="S5629" t="s">
        <v>9094</v>
      </c>
      <c r="T5629" t="s">
        <v>11183</v>
      </c>
      <c r="U5629" t="s">
        <v>11201</v>
      </c>
      <c r="V5629" t="s">
        <v>712</v>
      </c>
      <c r="W5629">
        <v>1789.82</v>
      </c>
      <c r="X5629" t="s">
        <v>11334</v>
      </c>
      <c r="Y5629" t="s">
        <v>11339</v>
      </c>
      <c r="Z5629" t="s">
        <v>14894</v>
      </c>
      <c r="AB5629" t="s">
        <v>19216</v>
      </c>
      <c r="AC5629">
        <v>96</v>
      </c>
      <c r="AD5629" t="s">
        <v>19566</v>
      </c>
      <c r="AE5629" t="s">
        <v>9144</v>
      </c>
      <c r="AF5629">
        <v>8</v>
      </c>
      <c r="AG5629">
        <v>2</v>
      </c>
      <c r="AH5629">
        <v>0</v>
      </c>
      <c r="AI5629">
        <v>295.57</v>
      </c>
      <c r="AJ5629" t="s">
        <v>19594</v>
      </c>
      <c r="AL5629" t="s">
        <v>19614</v>
      </c>
      <c r="AM5629">
        <v>48000</v>
      </c>
      <c r="AO5629" t="s">
        <v>20293</v>
      </c>
      <c r="AP5629" t="s">
        <v>20316</v>
      </c>
      <c r="AQ5629" t="s">
        <v>20369</v>
      </c>
      <c r="AR5629" t="s">
        <v>20385</v>
      </c>
      <c r="AS5629">
        <v>0.8</v>
      </c>
      <c r="AT5629" t="s">
        <v>414</v>
      </c>
      <c r="AU5629" t="s">
        <v>20651</v>
      </c>
      <c r="AV5629" t="s">
        <v>20733</v>
      </c>
    </row>
    <row r="5630" spans="1:48">
      <c r="A5630" s="1">
        <f>HYPERLINK("https://lsnyc.legalserver.org/matter/dynamic-profile/view/1914969","19-1914969")</f>
        <v>0</v>
      </c>
      <c r="B5630" t="s">
        <v>115</v>
      </c>
      <c r="C5630" t="s">
        <v>256</v>
      </c>
      <c r="D5630" t="s">
        <v>377</v>
      </c>
      <c r="F5630" t="s">
        <v>3149</v>
      </c>
      <c r="G5630" t="s">
        <v>3411</v>
      </c>
      <c r="H5630" t="s">
        <v>6039</v>
      </c>
      <c r="I5630" t="s">
        <v>8244</v>
      </c>
      <c r="J5630" t="s">
        <v>9065</v>
      </c>
      <c r="K5630">
        <v>10459</v>
      </c>
      <c r="L5630" t="s">
        <v>9094</v>
      </c>
      <c r="M5630" t="s">
        <v>9095</v>
      </c>
      <c r="R5630" t="s">
        <v>11180</v>
      </c>
      <c r="S5630" t="s">
        <v>9096</v>
      </c>
      <c r="T5630" t="s">
        <v>11183</v>
      </c>
      <c r="W5630">
        <v>1115.94</v>
      </c>
      <c r="X5630" t="s">
        <v>11333</v>
      </c>
      <c r="Y5630" t="s">
        <v>11346</v>
      </c>
      <c r="Z5630" t="s">
        <v>14895</v>
      </c>
      <c r="AB5630" t="s">
        <v>19217</v>
      </c>
      <c r="AC5630">
        <v>370</v>
      </c>
      <c r="AD5630" t="s">
        <v>19566</v>
      </c>
      <c r="AE5630" t="s">
        <v>9144</v>
      </c>
      <c r="AF5630">
        <v>8</v>
      </c>
      <c r="AG5630">
        <v>1</v>
      </c>
      <c r="AH5630">
        <v>1</v>
      </c>
      <c r="AI5630">
        <v>295.68</v>
      </c>
      <c r="AL5630" t="s">
        <v>19614</v>
      </c>
      <c r="AM5630">
        <v>50000</v>
      </c>
      <c r="AS5630">
        <v>9.6</v>
      </c>
      <c r="AT5630" t="s">
        <v>1135</v>
      </c>
      <c r="AU5630" t="s">
        <v>220</v>
      </c>
    </row>
    <row r="5631" spans="1:48">
      <c r="A5631" s="1">
        <f>HYPERLINK("https://lsnyc.legalserver.org/matter/dynamic-profile/view/1889916","19-1889916")</f>
        <v>0</v>
      </c>
      <c r="B5631" t="s">
        <v>103</v>
      </c>
      <c r="C5631" t="s">
        <v>256</v>
      </c>
      <c r="D5631" t="s">
        <v>447</v>
      </c>
      <c r="F5631" t="s">
        <v>3150</v>
      </c>
      <c r="G5631" t="s">
        <v>5441</v>
      </c>
      <c r="H5631" t="s">
        <v>5887</v>
      </c>
      <c r="I5631" t="s">
        <v>8119</v>
      </c>
      <c r="J5631" t="s">
        <v>9065</v>
      </c>
      <c r="K5631">
        <v>10453</v>
      </c>
      <c r="L5631" t="s">
        <v>9094</v>
      </c>
      <c r="M5631" t="s">
        <v>9094</v>
      </c>
      <c r="O5631" t="s">
        <v>11134</v>
      </c>
      <c r="P5631" t="s">
        <v>11168</v>
      </c>
      <c r="R5631" t="s">
        <v>11180</v>
      </c>
      <c r="S5631" t="s">
        <v>9094</v>
      </c>
      <c r="T5631" t="s">
        <v>11183</v>
      </c>
      <c r="V5631" t="s">
        <v>512</v>
      </c>
      <c r="W5631">
        <v>736</v>
      </c>
      <c r="X5631" t="s">
        <v>11333</v>
      </c>
      <c r="Y5631" t="s">
        <v>11346</v>
      </c>
      <c r="Z5631" t="s">
        <v>14896</v>
      </c>
      <c r="AB5631" t="s">
        <v>19218</v>
      </c>
      <c r="AC5631">
        <v>167</v>
      </c>
      <c r="AD5631" t="s">
        <v>19566</v>
      </c>
      <c r="AE5631" t="s">
        <v>9144</v>
      </c>
      <c r="AF5631">
        <v>37</v>
      </c>
      <c r="AG5631">
        <v>2</v>
      </c>
      <c r="AH5631">
        <v>0</v>
      </c>
      <c r="AI5631">
        <v>295.68</v>
      </c>
      <c r="AL5631" t="s">
        <v>19614</v>
      </c>
      <c r="AM5631">
        <v>50000</v>
      </c>
      <c r="AS5631">
        <v>0</v>
      </c>
      <c r="AU5631" t="s">
        <v>20642</v>
      </c>
    </row>
    <row r="5632" spans="1:48">
      <c r="A5632" s="1">
        <f>HYPERLINK("https://lsnyc.legalserver.org/matter/dynamic-profile/view/1891413","19-1891413")</f>
        <v>0</v>
      </c>
      <c r="B5632" t="s">
        <v>103</v>
      </c>
      <c r="C5632" t="s">
        <v>256</v>
      </c>
      <c r="D5632" t="s">
        <v>543</v>
      </c>
      <c r="F5632" t="s">
        <v>1144</v>
      </c>
      <c r="G5632" t="s">
        <v>5307</v>
      </c>
      <c r="H5632" t="s">
        <v>5887</v>
      </c>
      <c r="I5632" t="s">
        <v>8961</v>
      </c>
      <c r="J5632" t="s">
        <v>9065</v>
      </c>
      <c r="K5632">
        <v>10453</v>
      </c>
      <c r="L5632" t="s">
        <v>9094</v>
      </c>
      <c r="M5632" t="s">
        <v>9094</v>
      </c>
      <c r="O5632" t="s">
        <v>11134</v>
      </c>
      <c r="P5632" t="s">
        <v>11168</v>
      </c>
      <c r="R5632" t="s">
        <v>11180</v>
      </c>
      <c r="S5632" t="s">
        <v>9094</v>
      </c>
      <c r="T5632" t="s">
        <v>11183</v>
      </c>
      <c r="V5632" t="s">
        <v>512</v>
      </c>
      <c r="W5632">
        <v>873.27</v>
      </c>
      <c r="X5632" t="s">
        <v>11333</v>
      </c>
      <c r="Y5632" t="s">
        <v>11346</v>
      </c>
      <c r="Z5632" t="s">
        <v>14897</v>
      </c>
      <c r="AB5632" t="s">
        <v>19219</v>
      </c>
      <c r="AC5632">
        <v>170</v>
      </c>
      <c r="AD5632" t="s">
        <v>19566</v>
      </c>
      <c r="AE5632" t="s">
        <v>9144</v>
      </c>
      <c r="AF5632">
        <v>28</v>
      </c>
      <c r="AG5632">
        <v>1</v>
      </c>
      <c r="AH5632">
        <v>1</v>
      </c>
      <c r="AI5632">
        <v>295.68</v>
      </c>
      <c r="AL5632" t="s">
        <v>19614</v>
      </c>
      <c r="AM5632">
        <v>50000</v>
      </c>
      <c r="AS5632">
        <v>0</v>
      </c>
      <c r="AU5632" t="s">
        <v>163</v>
      </c>
    </row>
    <row r="5633" spans="1:48">
      <c r="A5633" s="1">
        <f>HYPERLINK("https://lsnyc.legalserver.org/matter/dynamic-profile/view/1905186","19-1905186")</f>
        <v>0</v>
      </c>
      <c r="B5633" t="s">
        <v>103</v>
      </c>
      <c r="C5633" t="s">
        <v>256</v>
      </c>
      <c r="D5633" t="s">
        <v>414</v>
      </c>
      <c r="F5633" t="s">
        <v>1144</v>
      </c>
      <c r="G5633" t="s">
        <v>5307</v>
      </c>
      <c r="H5633" t="s">
        <v>5887</v>
      </c>
      <c r="I5633" t="s">
        <v>8961</v>
      </c>
      <c r="J5633" t="s">
        <v>9065</v>
      </c>
      <c r="K5633">
        <v>10453</v>
      </c>
      <c r="L5633" t="s">
        <v>9094</v>
      </c>
      <c r="M5633" t="s">
        <v>9095</v>
      </c>
      <c r="N5633" t="s">
        <v>9239</v>
      </c>
      <c r="O5633" t="s">
        <v>11134</v>
      </c>
      <c r="P5633" t="s">
        <v>11168</v>
      </c>
      <c r="R5633" t="s">
        <v>11180</v>
      </c>
      <c r="S5633" t="s">
        <v>9094</v>
      </c>
      <c r="T5633" t="s">
        <v>11183</v>
      </c>
      <c r="V5633" t="s">
        <v>1061</v>
      </c>
      <c r="W5633">
        <v>873.27</v>
      </c>
      <c r="X5633" t="s">
        <v>11333</v>
      </c>
      <c r="Y5633" t="s">
        <v>11346</v>
      </c>
      <c r="Z5633" t="s">
        <v>14897</v>
      </c>
      <c r="AB5633" t="s">
        <v>19219</v>
      </c>
      <c r="AC5633">
        <v>170</v>
      </c>
      <c r="AD5633" t="s">
        <v>19566</v>
      </c>
      <c r="AE5633" t="s">
        <v>9144</v>
      </c>
      <c r="AF5633">
        <v>28</v>
      </c>
      <c r="AG5633">
        <v>2</v>
      </c>
      <c r="AH5633">
        <v>0</v>
      </c>
      <c r="AI5633">
        <v>295.68</v>
      </c>
      <c r="AL5633" t="s">
        <v>19614</v>
      </c>
      <c r="AM5633">
        <v>50000</v>
      </c>
      <c r="AS5633">
        <v>0</v>
      </c>
      <c r="AU5633" t="s">
        <v>20642</v>
      </c>
      <c r="AV5633" t="s">
        <v>20733</v>
      </c>
    </row>
    <row r="5634" spans="1:48">
      <c r="A5634" s="1">
        <f>HYPERLINK("https://lsnyc.legalserver.org/matter/dynamic-profile/view/1905187","19-1905187")</f>
        <v>0</v>
      </c>
      <c r="B5634" t="s">
        <v>103</v>
      </c>
      <c r="C5634" t="s">
        <v>256</v>
      </c>
      <c r="D5634" t="s">
        <v>414</v>
      </c>
      <c r="F5634" t="s">
        <v>1144</v>
      </c>
      <c r="G5634" t="s">
        <v>5307</v>
      </c>
      <c r="H5634" t="s">
        <v>5887</v>
      </c>
      <c r="I5634" t="s">
        <v>8961</v>
      </c>
      <c r="J5634" t="s">
        <v>9065</v>
      </c>
      <c r="K5634">
        <v>10453</v>
      </c>
      <c r="L5634" t="s">
        <v>9094</v>
      </c>
      <c r="M5634" t="s">
        <v>9095</v>
      </c>
      <c r="N5634" t="s">
        <v>9240</v>
      </c>
      <c r="O5634" t="s">
        <v>11134</v>
      </c>
      <c r="P5634" t="s">
        <v>11168</v>
      </c>
      <c r="R5634" t="s">
        <v>11180</v>
      </c>
      <c r="S5634" t="s">
        <v>9094</v>
      </c>
      <c r="T5634" t="s">
        <v>11183</v>
      </c>
      <c r="V5634" t="s">
        <v>422</v>
      </c>
      <c r="W5634">
        <v>873.27</v>
      </c>
      <c r="X5634" t="s">
        <v>11333</v>
      </c>
      <c r="Y5634" t="s">
        <v>11346</v>
      </c>
      <c r="Z5634" t="s">
        <v>14897</v>
      </c>
      <c r="AB5634" t="s">
        <v>19219</v>
      </c>
      <c r="AC5634">
        <v>170</v>
      </c>
      <c r="AD5634" t="s">
        <v>19566</v>
      </c>
      <c r="AE5634" t="s">
        <v>9144</v>
      </c>
      <c r="AF5634">
        <v>28</v>
      </c>
      <c r="AG5634">
        <v>2</v>
      </c>
      <c r="AH5634">
        <v>0</v>
      </c>
      <c r="AI5634">
        <v>295.68</v>
      </c>
      <c r="AL5634" t="s">
        <v>19614</v>
      </c>
      <c r="AM5634">
        <v>50000</v>
      </c>
      <c r="AS5634">
        <v>0</v>
      </c>
      <c r="AU5634" t="s">
        <v>20642</v>
      </c>
      <c r="AV5634" t="s">
        <v>20733</v>
      </c>
    </row>
    <row r="5635" spans="1:48">
      <c r="A5635" s="1">
        <f>HYPERLINK("https://lsnyc.legalserver.org/matter/dynamic-profile/view/1905192","19-1905192")</f>
        <v>0</v>
      </c>
      <c r="B5635" t="s">
        <v>103</v>
      </c>
      <c r="C5635" t="s">
        <v>256</v>
      </c>
      <c r="D5635" t="s">
        <v>414</v>
      </c>
      <c r="F5635" t="s">
        <v>3150</v>
      </c>
      <c r="G5635" t="s">
        <v>5441</v>
      </c>
      <c r="H5635" t="s">
        <v>5887</v>
      </c>
      <c r="I5635" t="s">
        <v>8119</v>
      </c>
      <c r="J5635" t="s">
        <v>9065</v>
      </c>
      <c r="K5635">
        <v>10453</v>
      </c>
      <c r="L5635" t="s">
        <v>9094</v>
      </c>
      <c r="M5635" t="s">
        <v>9095</v>
      </c>
      <c r="N5635" t="s">
        <v>9239</v>
      </c>
      <c r="O5635" t="s">
        <v>11134</v>
      </c>
      <c r="P5635" t="s">
        <v>11168</v>
      </c>
      <c r="R5635" t="s">
        <v>11180</v>
      </c>
      <c r="S5635" t="s">
        <v>9094</v>
      </c>
      <c r="T5635" t="s">
        <v>11183</v>
      </c>
      <c r="V5635" t="s">
        <v>1061</v>
      </c>
      <c r="W5635">
        <v>736</v>
      </c>
      <c r="X5635" t="s">
        <v>11333</v>
      </c>
      <c r="Y5635" t="s">
        <v>11346</v>
      </c>
      <c r="Z5635" t="s">
        <v>14896</v>
      </c>
      <c r="AB5635" t="s">
        <v>19218</v>
      </c>
      <c r="AC5635">
        <v>170</v>
      </c>
      <c r="AD5635" t="s">
        <v>19566</v>
      </c>
      <c r="AF5635">
        <v>37</v>
      </c>
      <c r="AG5635">
        <v>2</v>
      </c>
      <c r="AH5635">
        <v>0</v>
      </c>
      <c r="AI5635">
        <v>295.68</v>
      </c>
      <c r="AL5635" t="s">
        <v>19614</v>
      </c>
      <c r="AM5635">
        <v>50000</v>
      </c>
      <c r="AS5635">
        <v>0</v>
      </c>
      <c r="AU5635" t="s">
        <v>20642</v>
      </c>
      <c r="AV5635" t="s">
        <v>20733</v>
      </c>
    </row>
    <row r="5636" spans="1:48">
      <c r="A5636" s="1">
        <f>HYPERLINK("https://lsnyc.legalserver.org/matter/dynamic-profile/view/1889911","19-1889911")</f>
        <v>0</v>
      </c>
      <c r="B5636" t="s">
        <v>103</v>
      </c>
      <c r="C5636" t="s">
        <v>256</v>
      </c>
      <c r="D5636" t="s">
        <v>447</v>
      </c>
      <c r="F5636" t="s">
        <v>3150</v>
      </c>
      <c r="G5636" t="s">
        <v>5441</v>
      </c>
      <c r="H5636" t="s">
        <v>5887</v>
      </c>
      <c r="I5636" t="s">
        <v>8119</v>
      </c>
      <c r="J5636" t="s">
        <v>9065</v>
      </c>
      <c r="K5636">
        <v>10453</v>
      </c>
      <c r="L5636" t="s">
        <v>9094</v>
      </c>
      <c r="M5636" t="s">
        <v>9094</v>
      </c>
      <c r="N5636" t="s">
        <v>9352</v>
      </c>
      <c r="O5636" t="s">
        <v>11130</v>
      </c>
      <c r="P5636" t="s">
        <v>11165</v>
      </c>
      <c r="R5636" t="s">
        <v>11180</v>
      </c>
      <c r="S5636" t="s">
        <v>9094</v>
      </c>
      <c r="T5636" t="s">
        <v>11183</v>
      </c>
      <c r="V5636" t="s">
        <v>512</v>
      </c>
      <c r="W5636">
        <v>736</v>
      </c>
      <c r="X5636" t="s">
        <v>11333</v>
      </c>
      <c r="Y5636" t="s">
        <v>11346</v>
      </c>
      <c r="Z5636" t="s">
        <v>14896</v>
      </c>
      <c r="AB5636" t="s">
        <v>19218</v>
      </c>
      <c r="AC5636">
        <v>167</v>
      </c>
      <c r="AD5636" t="s">
        <v>19566</v>
      </c>
      <c r="AE5636" t="s">
        <v>9144</v>
      </c>
      <c r="AF5636">
        <v>37</v>
      </c>
      <c r="AG5636">
        <v>2</v>
      </c>
      <c r="AH5636">
        <v>0</v>
      </c>
      <c r="AI5636">
        <v>295.68</v>
      </c>
      <c r="AL5636" t="s">
        <v>19614</v>
      </c>
      <c r="AM5636">
        <v>50000</v>
      </c>
      <c r="AS5636">
        <v>0</v>
      </c>
      <c r="AU5636" t="s">
        <v>20642</v>
      </c>
    </row>
    <row r="5637" spans="1:48">
      <c r="A5637" s="1">
        <f>HYPERLINK("https://lsnyc.legalserver.org/matter/dynamic-profile/view/1891412","19-1891412")</f>
        <v>0</v>
      </c>
      <c r="B5637" t="s">
        <v>103</v>
      </c>
      <c r="C5637" t="s">
        <v>256</v>
      </c>
      <c r="D5637" t="s">
        <v>543</v>
      </c>
      <c r="F5637" t="s">
        <v>1144</v>
      </c>
      <c r="G5637" t="s">
        <v>5307</v>
      </c>
      <c r="H5637" t="s">
        <v>5887</v>
      </c>
      <c r="I5637" t="s">
        <v>8961</v>
      </c>
      <c r="J5637" t="s">
        <v>9065</v>
      </c>
      <c r="K5637">
        <v>10453</v>
      </c>
      <c r="L5637" t="s">
        <v>9094</v>
      </c>
      <c r="M5637" t="s">
        <v>9094</v>
      </c>
      <c r="N5637" t="s">
        <v>9352</v>
      </c>
      <c r="O5637" t="s">
        <v>11130</v>
      </c>
      <c r="P5637" t="s">
        <v>11165</v>
      </c>
      <c r="R5637" t="s">
        <v>11180</v>
      </c>
      <c r="S5637" t="s">
        <v>9094</v>
      </c>
      <c r="T5637" t="s">
        <v>11183</v>
      </c>
      <c r="V5637" t="s">
        <v>512</v>
      </c>
      <c r="W5637">
        <v>87327</v>
      </c>
      <c r="X5637" t="s">
        <v>11333</v>
      </c>
      <c r="Y5637" t="s">
        <v>11346</v>
      </c>
      <c r="Z5637" t="s">
        <v>14897</v>
      </c>
      <c r="AB5637" t="s">
        <v>19219</v>
      </c>
      <c r="AC5637">
        <v>170</v>
      </c>
      <c r="AD5637" t="s">
        <v>19566</v>
      </c>
      <c r="AE5637" t="s">
        <v>9144</v>
      </c>
      <c r="AF5637">
        <v>28</v>
      </c>
      <c r="AG5637">
        <v>1</v>
      </c>
      <c r="AH5637">
        <v>1</v>
      </c>
      <c r="AI5637">
        <v>295.68</v>
      </c>
      <c r="AL5637" t="s">
        <v>19614</v>
      </c>
      <c r="AM5637">
        <v>50000</v>
      </c>
      <c r="AS5637">
        <v>0</v>
      </c>
      <c r="AU5637" t="s">
        <v>163</v>
      </c>
    </row>
    <row r="5638" spans="1:48">
      <c r="A5638" s="1">
        <f>HYPERLINK("https://lsnyc.legalserver.org/matter/dynamic-profile/view/1891010","19-1891010")</f>
        <v>0</v>
      </c>
      <c r="B5638" t="s">
        <v>139</v>
      </c>
      <c r="C5638" t="s">
        <v>256</v>
      </c>
      <c r="D5638" t="s">
        <v>554</v>
      </c>
      <c r="F5638" t="s">
        <v>1450</v>
      </c>
      <c r="G5638" t="s">
        <v>3818</v>
      </c>
      <c r="H5638" t="s">
        <v>8014</v>
      </c>
      <c r="I5638" t="s">
        <v>8279</v>
      </c>
      <c r="J5638" t="s">
        <v>9067</v>
      </c>
      <c r="K5638">
        <v>10034</v>
      </c>
      <c r="L5638" t="s">
        <v>9094</v>
      </c>
      <c r="M5638" t="s">
        <v>9094</v>
      </c>
      <c r="O5638" t="s">
        <v>11132</v>
      </c>
      <c r="P5638" t="s">
        <v>11165</v>
      </c>
      <c r="R5638" t="s">
        <v>11180</v>
      </c>
      <c r="S5638" t="s">
        <v>9096</v>
      </c>
      <c r="T5638" t="s">
        <v>11183</v>
      </c>
      <c r="U5638" t="s">
        <v>11201</v>
      </c>
      <c r="V5638" t="s">
        <v>823</v>
      </c>
      <c r="W5638">
        <v>1321</v>
      </c>
      <c r="X5638" t="s">
        <v>11335</v>
      </c>
      <c r="Y5638" t="s">
        <v>11338</v>
      </c>
      <c r="Z5638" t="s">
        <v>14898</v>
      </c>
      <c r="AB5638" t="s">
        <v>19220</v>
      </c>
      <c r="AC5638">
        <v>50</v>
      </c>
      <c r="AD5638" t="s">
        <v>19566</v>
      </c>
      <c r="AF5638">
        <v>40</v>
      </c>
      <c r="AG5638">
        <v>2</v>
      </c>
      <c r="AH5638">
        <v>0</v>
      </c>
      <c r="AI5638">
        <v>295.68</v>
      </c>
      <c r="AL5638" t="s">
        <v>19615</v>
      </c>
      <c r="AM5638">
        <v>50000</v>
      </c>
      <c r="AS5638">
        <v>46.05</v>
      </c>
      <c r="AT5638" t="s">
        <v>395</v>
      </c>
      <c r="AU5638" t="s">
        <v>139</v>
      </c>
    </row>
    <row r="5639" spans="1:48">
      <c r="A5639" s="1">
        <f>HYPERLINK("https://lsnyc.legalserver.org/matter/dynamic-profile/view/1894526","19-1894526")</f>
        <v>0</v>
      </c>
      <c r="B5639" t="s">
        <v>71</v>
      </c>
      <c r="C5639" t="s">
        <v>257</v>
      </c>
      <c r="D5639" t="s">
        <v>421</v>
      </c>
      <c r="E5639" t="s">
        <v>457</v>
      </c>
      <c r="F5639" t="s">
        <v>3151</v>
      </c>
      <c r="G5639" t="s">
        <v>5442</v>
      </c>
      <c r="H5639" t="s">
        <v>8015</v>
      </c>
      <c r="I5639" t="s">
        <v>8149</v>
      </c>
      <c r="J5639" t="s">
        <v>9059</v>
      </c>
      <c r="K5639">
        <v>11207</v>
      </c>
      <c r="L5639" t="s">
        <v>9094</v>
      </c>
      <c r="M5639" t="s">
        <v>9094</v>
      </c>
      <c r="N5639" t="s">
        <v>11046</v>
      </c>
      <c r="O5639" t="s">
        <v>11129</v>
      </c>
      <c r="P5639" t="s">
        <v>11164</v>
      </c>
      <c r="Q5639" t="s">
        <v>11172</v>
      </c>
      <c r="R5639" t="s">
        <v>11180</v>
      </c>
      <c r="S5639" t="s">
        <v>9096</v>
      </c>
      <c r="T5639" t="s">
        <v>11183</v>
      </c>
      <c r="V5639" t="s">
        <v>394</v>
      </c>
      <c r="W5639">
        <v>1400</v>
      </c>
      <c r="X5639" t="s">
        <v>11332</v>
      </c>
      <c r="Z5639" t="s">
        <v>14899</v>
      </c>
      <c r="AB5639" t="s">
        <v>19221</v>
      </c>
      <c r="AC5639">
        <v>0</v>
      </c>
      <c r="AD5639" t="s">
        <v>19566</v>
      </c>
      <c r="AE5639" t="s">
        <v>9144</v>
      </c>
      <c r="AF5639">
        <v>1</v>
      </c>
      <c r="AG5639">
        <v>1</v>
      </c>
      <c r="AH5639">
        <v>0</v>
      </c>
      <c r="AI5639">
        <v>296.24</v>
      </c>
      <c r="AL5639" t="s">
        <v>19614</v>
      </c>
      <c r="AM5639">
        <v>37000</v>
      </c>
      <c r="AS5639">
        <v>1</v>
      </c>
      <c r="AT5639" t="s">
        <v>360</v>
      </c>
      <c r="AU5639" t="s">
        <v>79</v>
      </c>
    </row>
    <row r="5640" spans="1:48">
      <c r="A5640" s="1">
        <f>HYPERLINK("https://lsnyc.legalserver.org/matter/dynamic-profile/view/1898404","19-1898404")</f>
        <v>0</v>
      </c>
      <c r="B5640" t="s">
        <v>70</v>
      </c>
      <c r="C5640" t="s">
        <v>256</v>
      </c>
      <c r="D5640" t="s">
        <v>299</v>
      </c>
      <c r="F5640" t="s">
        <v>3152</v>
      </c>
      <c r="G5640" t="s">
        <v>5238</v>
      </c>
      <c r="H5640" t="s">
        <v>5749</v>
      </c>
      <c r="I5640" t="s">
        <v>8721</v>
      </c>
      <c r="J5640" t="s">
        <v>9059</v>
      </c>
      <c r="K5640">
        <v>11233</v>
      </c>
      <c r="L5640" t="s">
        <v>9094</v>
      </c>
      <c r="M5640" t="s">
        <v>9096</v>
      </c>
      <c r="N5640" t="s">
        <v>9146</v>
      </c>
      <c r="O5640" t="s">
        <v>11134</v>
      </c>
      <c r="P5640" t="s">
        <v>11168</v>
      </c>
      <c r="R5640" t="s">
        <v>11180</v>
      </c>
      <c r="S5640" t="s">
        <v>9094</v>
      </c>
      <c r="T5640" t="s">
        <v>11183</v>
      </c>
      <c r="U5640" t="s">
        <v>11201</v>
      </c>
      <c r="V5640" t="s">
        <v>482</v>
      </c>
      <c r="W5640">
        <v>1160</v>
      </c>
      <c r="X5640" t="s">
        <v>11332</v>
      </c>
      <c r="Y5640" t="s">
        <v>11157</v>
      </c>
      <c r="Z5640" t="s">
        <v>14900</v>
      </c>
      <c r="AC5640">
        <v>359</v>
      </c>
      <c r="AD5640" t="s">
        <v>19566</v>
      </c>
      <c r="AF5640">
        <v>37</v>
      </c>
      <c r="AG5640">
        <v>2</v>
      </c>
      <c r="AH5640">
        <v>3</v>
      </c>
      <c r="AI5640">
        <v>298.31</v>
      </c>
      <c r="AL5640" t="s">
        <v>19614</v>
      </c>
      <c r="AM5640">
        <v>90000</v>
      </c>
      <c r="AN5640" t="s">
        <v>19642</v>
      </c>
      <c r="AS5640">
        <v>0</v>
      </c>
      <c r="AU5640" t="s">
        <v>79</v>
      </c>
    </row>
    <row r="5641" spans="1:48">
      <c r="A5641" s="1">
        <f>HYPERLINK("https://lsnyc.legalserver.org/matter/dynamic-profile/view/1898406","19-1898406")</f>
        <v>0</v>
      </c>
      <c r="B5641" t="s">
        <v>70</v>
      </c>
      <c r="C5641" t="s">
        <v>256</v>
      </c>
      <c r="D5641" t="s">
        <v>299</v>
      </c>
      <c r="F5641" t="s">
        <v>3152</v>
      </c>
      <c r="G5641" t="s">
        <v>5238</v>
      </c>
      <c r="H5641" t="s">
        <v>5749</v>
      </c>
      <c r="I5641" t="s">
        <v>8721</v>
      </c>
      <c r="J5641" t="s">
        <v>9059</v>
      </c>
      <c r="K5641">
        <v>11233</v>
      </c>
      <c r="L5641" t="s">
        <v>9094</v>
      </c>
      <c r="M5641" t="s">
        <v>9096</v>
      </c>
      <c r="O5641" t="s">
        <v>11137</v>
      </c>
      <c r="P5641" t="s">
        <v>11167</v>
      </c>
      <c r="R5641" t="s">
        <v>11180</v>
      </c>
      <c r="S5641" t="s">
        <v>9094</v>
      </c>
      <c r="T5641" t="s">
        <v>11183</v>
      </c>
      <c r="U5641" t="s">
        <v>11201</v>
      </c>
      <c r="V5641" t="s">
        <v>749</v>
      </c>
      <c r="W5641">
        <v>1160</v>
      </c>
      <c r="X5641" t="s">
        <v>11332</v>
      </c>
      <c r="Y5641" t="s">
        <v>11157</v>
      </c>
      <c r="Z5641" t="s">
        <v>14900</v>
      </c>
      <c r="AC5641">
        <v>359</v>
      </c>
      <c r="AD5641" t="s">
        <v>19566</v>
      </c>
      <c r="AF5641">
        <v>37</v>
      </c>
      <c r="AG5641">
        <v>2</v>
      </c>
      <c r="AH5641">
        <v>3</v>
      </c>
      <c r="AI5641">
        <v>298.31</v>
      </c>
      <c r="AL5641" t="s">
        <v>19614</v>
      </c>
      <c r="AM5641">
        <v>90000</v>
      </c>
      <c r="AN5641" t="s">
        <v>20157</v>
      </c>
      <c r="AS5641">
        <v>0</v>
      </c>
      <c r="AU5641" t="s">
        <v>79</v>
      </c>
    </row>
    <row r="5642" spans="1:48">
      <c r="A5642" s="1">
        <f>HYPERLINK("https://lsnyc.legalserver.org/matter/dynamic-profile/view/1882266","18-1882266")</f>
        <v>0</v>
      </c>
      <c r="B5642" t="s">
        <v>83</v>
      </c>
      <c r="C5642" t="s">
        <v>256</v>
      </c>
      <c r="D5642" t="s">
        <v>353</v>
      </c>
      <c r="F5642" t="s">
        <v>3153</v>
      </c>
      <c r="G5642" t="s">
        <v>5443</v>
      </c>
      <c r="H5642" t="s">
        <v>6552</v>
      </c>
      <c r="I5642" t="s">
        <v>8132</v>
      </c>
      <c r="J5642" t="s">
        <v>9059</v>
      </c>
      <c r="K5642">
        <v>11220</v>
      </c>
      <c r="L5642" t="s">
        <v>9094</v>
      </c>
      <c r="M5642" t="s">
        <v>9094</v>
      </c>
      <c r="O5642" t="s">
        <v>11134</v>
      </c>
      <c r="P5642" t="s">
        <v>11168</v>
      </c>
      <c r="R5642" t="s">
        <v>11180</v>
      </c>
      <c r="S5642" t="s">
        <v>9094</v>
      </c>
      <c r="T5642" t="s">
        <v>11183</v>
      </c>
      <c r="V5642" t="s">
        <v>353</v>
      </c>
      <c r="W5642">
        <v>0</v>
      </c>
      <c r="X5642" t="s">
        <v>11332</v>
      </c>
      <c r="Z5642" t="s">
        <v>11464</v>
      </c>
      <c r="AB5642" t="s">
        <v>19222</v>
      </c>
      <c r="AC5642">
        <v>28</v>
      </c>
      <c r="AD5642" t="s">
        <v>19566</v>
      </c>
      <c r="AF5642">
        <v>0</v>
      </c>
      <c r="AG5642">
        <v>2</v>
      </c>
      <c r="AH5642">
        <v>1</v>
      </c>
      <c r="AI5642">
        <v>298.36</v>
      </c>
      <c r="AL5642" t="s">
        <v>19615</v>
      </c>
      <c r="AM5642">
        <v>62000</v>
      </c>
      <c r="AS5642">
        <v>1.2</v>
      </c>
      <c r="AT5642" t="s">
        <v>426</v>
      </c>
      <c r="AU5642" t="s">
        <v>168</v>
      </c>
    </row>
    <row r="5643" spans="1:48">
      <c r="A5643" s="1">
        <f>HYPERLINK("https://lsnyc.legalserver.org/matter/dynamic-profile/view/1896465","19-1896465")</f>
        <v>0</v>
      </c>
      <c r="B5643" t="s">
        <v>52</v>
      </c>
      <c r="C5643" t="s">
        <v>257</v>
      </c>
      <c r="D5643" t="s">
        <v>384</v>
      </c>
      <c r="E5643" t="s">
        <v>1016</v>
      </c>
      <c r="F5643" t="s">
        <v>2213</v>
      </c>
      <c r="G5643" t="s">
        <v>5056</v>
      </c>
      <c r="H5643" t="s">
        <v>5692</v>
      </c>
      <c r="I5643" t="s">
        <v>8491</v>
      </c>
      <c r="J5643" t="s">
        <v>9038</v>
      </c>
      <c r="K5643">
        <v>11691</v>
      </c>
      <c r="L5643" t="s">
        <v>9094</v>
      </c>
      <c r="M5643" t="s">
        <v>9094</v>
      </c>
      <c r="O5643" t="s">
        <v>11134</v>
      </c>
      <c r="P5643" t="s">
        <v>11167</v>
      </c>
      <c r="Q5643" t="s">
        <v>11173</v>
      </c>
      <c r="R5643" t="s">
        <v>11180</v>
      </c>
      <c r="S5643" t="s">
        <v>9094</v>
      </c>
      <c r="T5643" t="s">
        <v>11183</v>
      </c>
      <c r="U5643" t="s">
        <v>11201</v>
      </c>
      <c r="V5643" t="s">
        <v>384</v>
      </c>
      <c r="W5643">
        <v>540</v>
      </c>
      <c r="X5643" t="s">
        <v>11331</v>
      </c>
      <c r="Y5643" t="s">
        <v>11339</v>
      </c>
      <c r="Z5643" t="s">
        <v>14166</v>
      </c>
      <c r="AA5643" t="s">
        <v>15274</v>
      </c>
      <c r="AB5643" t="s">
        <v>18490</v>
      </c>
      <c r="AC5643">
        <v>43</v>
      </c>
      <c r="AD5643" t="s">
        <v>19566</v>
      </c>
      <c r="AE5643" t="s">
        <v>9144</v>
      </c>
      <c r="AF5643">
        <v>40</v>
      </c>
      <c r="AG5643">
        <v>2</v>
      </c>
      <c r="AH5643">
        <v>0</v>
      </c>
      <c r="AI5643">
        <v>299.49</v>
      </c>
      <c r="AL5643" t="s">
        <v>19614</v>
      </c>
      <c r="AM5643">
        <v>50644</v>
      </c>
      <c r="AS5643">
        <v>0.2</v>
      </c>
      <c r="AT5643" t="s">
        <v>1016</v>
      </c>
      <c r="AU5643" t="s">
        <v>20622</v>
      </c>
      <c r="AV5643" t="s">
        <v>20733</v>
      </c>
    </row>
    <row r="5644" spans="1:48">
      <c r="A5644" s="1">
        <f>HYPERLINK("https://lsnyc.legalserver.org/matter/dynamic-profile/view/1896466","19-1896466")</f>
        <v>0</v>
      </c>
      <c r="B5644" t="s">
        <v>52</v>
      </c>
      <c r="C5644" t="s">
        <v>256</v>
      </c>
      <c r="D5644" t="s">
        <v>384</v>
      </c>
      <c r="F5644" t="s">
        <v>2213</v>
      </c>
      <c r="G5644" t="s">
        <v>5056</v>
      </c>
      <c r="H5644" t="s">
        <v>5692</v>
      </c>
      <c r="I5644" t="s">
        <v>8491</v>
      </c>
      <c r="J5644" t="s">
        <v>9038</v>
      </c>
      <c r="K5644">
        <v>11691</v>
      </c>
      <c r="L5644" t="s">
        <v>9094</v>
      </c>
      <c r="M5644" t="s">
        <v>9094</v>
      </c>
      <c r="O5644" t="s">
        <v>11136</v>
      </c>
      <c r="P5644" t="s">
        <v>11167</v>
      </c>
      <c r="R5644" t="s">
        <v>11180</v>
      </c>
      <c r="S5644" t="s">
        <v>9094</v>
      </c>
      <c r="T5644" t="s">
        <v>11183</v>
      </c>
      <c r="V5644" t="s">
        <v>384</v>
      </c>
      <c r="W5644">
        <v>540</v>
      </c>
      <c r="X5644" t="s">
        <v>11331</v>
      </c>
      <c r="Y5644" t="s">
        <v>11339</v>
      </c>
      <c r="Z5644" t="s">
        <v>14166</v>
      </c>
      <c r="AA5644" t="s">
        <v>15274</v>
      </c>
      <c r="AB5644" t="s">
        <v>18490</v>
      </c>
      <c r="AC5644">
        <v>43</v>
      </c>
      <c r="AD5644" t="s">
        <v>19566</v>
      </c>
      <c r="AE5644" t="s">
        <v>9144</v>
      </c>
      <c r="AF5644">
        <v>40</v>
      </c>
      <c r="AG5644">
        <v>2</v>
      </c>
      <c r="AH5644">
        <v>0</v>
      </c>
      <c r="AI5644">
        <v>299.49</v>
      </c>
      <c r="AL5644" t="s">
        <v>19614</v>
      </c>
      <c r="AM5644">
        <v>50644</v>
      </c>
      <c r="AS5644">
        <v>0.1</v>
      </c>
      <c r="AT5644" t="s">
        <v>736</v>
      </c>
      <c r="AU5644" t="s">
        <v>20622</v>
      </c>
    </row>
    <row r="5645" spans="1:48">
      <c r="A5645" s="1">
        <f>HYPERLINK("https://lsnyc.legalserver.org/matter/dynamic-profile/view/1891559","19-1891559")</f>
        <v>0</v>
      </c>
      <c r="B5645" t="s">
        <v>70</v>
      </c>
      <c r="C5645" t="s">
        <v>256</v>
      </c>
      <c r="D5645" t="s">
        <v>316</v>
      </c>
      <c r="F5645" t="s">
        <v>1171</v>
      </c>
      <c r="G5645" t="s">
        <v>5444</v>
      </c>
      <c r="H5645" t="s">
        <v>5749</v>
      </c>
      <c r="I5645" t="s">
        <v>8897</v>
      </c>
      <c r="J5645" t="s">
        <v>9059</v>
      </c>
      <c r="K5645">
        <v>11233</v>
      </c>
      <c r="L5645" t="s">
        <v>9094</v>
      </c>
      <c r="M5645" t="s">
        <v>9096</v>
      </c>
      <c r="N5645" t="s">
        <v>9146</v>
      </c>
      <c r="O5645" t="s">
        <v>11134</v>
      </c>
      <c r="P5645" t="s">
        <v>11168</v>
      </c>
      <c r="R5645" t="s">
        <v>11180</v>
      </c>
      <c r="S5645" t="s">
        <v>9094</v>
      </c>
      <c r="T5645" t="s">
        <v>11183</v>
      </c>
      <c r="U5645" t="s">
        <v>11201</v>
      </c>
      <c r="V5645" t="s">
        <v>482</v>
      </c>
      <c r="W5645">
        <v>1040</v>
      </c>
      <c r="X5645" t="s">
        <v>11332</v>
      </c>
      <c r="Z5645" t="s">
        <v>14901</v>
      </c>
      <c r="AC5645">
        <v>359</v>
      </c>
      <c r="AD5645" t="s">
        <v>19566</v>
      </c>
      <c r="AF5645">
        <v>32</v>
      </c>
      <c r="AG5645">
        <v>3</v>
      </c>
      <c r="AH5645">
        <v>0</v>
      </c>
      <c r="AI5645">
        <v>300.05</v>
      </c>
      <c r="AJ5645" t="s">
        <v>546</v>
      </c>
      <c r="AK5645" t="s">
        <v>19612</v>
      </c>
      <c r="AL5645" t="s">
        <v>19614</v>
      </c>
      <c r="AM5645">
        <v>64000</v>
      </c>
      <c r="AN5645" t="s">
        <v>19641</v>
      </c>
      <c r="AS5645">
        <v>0</v>
      </c>
      <c r="AU5645" t="s">
        <v>95</v>
      </c>
    </row>
    <row r="5646" spans="1:48">
      <c r="A5646" s="1">
        <f>HYPERLINK("https://lsnyc.legalserver.org/matter/dynamic-profile/view/1891560","19-1891560")</f>
        <v>0</v>
      </c>
      <c r="B5646" t="s">
        <v>70</v>
      </c>
      <c r="C5646" t="s">
        <v>256</v>
      </c>
      <c r="D5646" t="s">
        <v>316</v>
      </c>
      <c r="F5646" t="s">
        <v>1171</v>
      </c>
      <c r="G5646" t="s">
        <v>5444</v>
      </c>
      <c r="H5646" t="s">
        <v>5749</v>
      </c>
      <c r="I5646" t="s">
        <v>8897</v>
      </c>
      <c r="J5646" t="s">
        <v>9059</v>
      </c>
      <c r="K5646">
        <v>11233</v>
      </c>
      <c r="L5646" t="s">
        <v>9094</v>
      </c>
      <c r="M5646" t="s">
        <v>9096</v>
      </c>
      <c r="N5646" t="s">
        <v>9144</v>
      </c>
      <c r="O5646" t="s">
        <v>11137</v>
      </c>
      <c r="P5646" t="s">
        <v>11167</v>
      </c>
      <c r="R5646" t="s">
        <v>11180</v>
      </c>
      <c r="S5646" t="s">
        <v>9094</v>
      </c>
      <c r="T5646" t="s">
        <v>11183</v>
      </c>
      <c r="U5646" t="s">
        <v>11201</v>
      </c>
      <c r="V5646" t="s">
        <v>749</v>
      </c>
      <c r="W5646">
        <v>1040</v>
      </c>
      <c r="X5646" t="s">
        <v>11332</v>
      </c>
      <c r="Z5646" t="s">
        <v>14901</v>
      </c>
      <c r="AC5646">
        <v>359</v>
      </c>
      <c r="AD5646" t="s">
        <v>19566</v>
      </c>
      <c r="AF5646">
        <v>32</v>
      </c>
      <c r="AG5646">
        <v>3</v>
      </c>
      <c r="AH5646">
        <v>0</v>
      </c>
      <c r="AI5646">
        <v>300.05</v>
      </c>
      <c r="AJ5646" t="s">
        <v>546</v>
      </c>
      <c r="AK5646" t="s">
        <v>19612</v>
      </c>
      <c r="AL5646" t="s">
        <v>19614</v>
      </c>
      <c r="AM5646">
        <v>64000</v>
      </c>
      <c r="AN5646" t="s">
        <v>20158</v>
      </c>
      <c r="AS5646">
        <v>0</v>
      </c>
      <c r="AU5646" t="s">
        <v>95</v>
      </c>
    </row>
    <row r="5647" spans="1:48">
      <c r="A5647" s="1">
        <f>HYPERLINK("https://lsnyc.legalserver.org/matter/dynamic-profile/view/1887111","19-1887111")</f>
        <v>0</v>
      </c>
      <c r="B5647" t="s">
        <v>119</v>
      </c>
      <c r="C5647" t="s">
        <v>257</v>
      </c>
      <c r="D5647" t="s">
        <v>324</v>
      </c>
      <c r="E5647" t="s">
        <v>664</v>
      </c>
      <c r="F5647" t="s">
        <v>1976</v>
      </c>
      <c r="G5647" t="s">
        <v>3429</v>
      </c>
      <c r="H5647" t="s">
        <v>8016</v>
      </c>
      <c r="I5647" t="s">
        <v>8108</v>
      </c>
      <c r="J5647" t="s">
        <v>9065</v>
      </c>
      <c r="K5647">
        <v>10469</v>
      </c>
      <c r="L5647" t="s">
        <v>9094</v>
      </c>
      <c r="M5647" t="s">
        <v>9094</v>
      </c>
      <c r="O5647" t="s">
        <v>9121</v>
      </c>
      <c r="P5647" t="s">
        <v>11164</v>
      </c>
      <c r="Q5647" t="s">
        <v>11172</v>
      </c>
      <c r="R5647" t="s">
        <v>11180</v>
      </c>
      <c r="S5647" t="s">
        <v>9096</v>
      </c>
      <c r="T5647" t="s">
        <v>11183</v>
      </c>
      <c r="V5647" t="s">
        <v>324</v>
      </c>
      <c r="W5647">
        <v>1534</v>
      </c>
      <c r="X5647" t="s">
        <v>11333</v>
      </c>
      <c r="Y5647" t="s">
        <v>11336</v>
      </c>
      <c r="Z5647" t="s">
        <v>14902</v>
      </c>
      <c r="AB5647" t="s">
        <v>19223</v>
      </c>
      <c r="AC5647">
        <v>3</v>
      </c>
      <c r="AD5647" t="s">
        <v>19566</v>
      </c>
      <c r="AE5647" t="s">
        <v>9144</v>
      </c>
      <c r="AF5647">
        <v>1</v>
      </c>
      <c r="AG5647">
        <v>1</v>
      </c>
      <c r="AH5647">
        <v>2</v>
      </c>
      <c r="AI5647">
        <v>300.29</v>
      </c>
      <c r="AL5647" t="s">
        <v>19614</v>
      </c>
      <c r="AM5647">
        <v>62400</v>
      </c>
      <c r="AS5647">
        <v>3</v>
      </c>
      <c r="AT5647" t="s">
        <v>664</v>
      </c>
      <c r="AU5647" t="s">
        <v>20642</v>
      </c>
    </row>
    <row r="5648" spans="1:48">
      <c r="A5648" s="1">
        <f>HYPERLINK("https://lsnyc.legalserver.org/matter/dynamic-profile/view/1886680","18-1886680")</f>
        <v>0</v>
      </c>
      <c r="B5648" t="s">
        <v>135</v>
      </c>
      <c r="C5648" t="s">
        <v>256</v>
      </c>
      <c r="D5648" t="s">
        <v>753</v>
      </c>
      <c r="F5648" t="s">
        <v>1381</v>
      </c>
      <c r="G5648" t="s">
        <v>5438</v>
      </c>
      <c r="H5648" t="s">
        <v>6637</v>
      </c>
      <c r="I5648" t="s">
        <v>8244</v>
      </c>
      <c r="J5648" t="s">
        <v>9067</v>
      </c>
      <c r="K5648">
        <v>10029</v>
      </c>
      <c r="L5648" t="s">
        <v>9094</v>
      </c>
      <c r="M5648" t="s">
        <v>9094</v>
      </c>
      <c r="O5648" t="s">
        <v>11130</v>
      </c>
      <c r="P5648" t="s">
        <v>11165</v>
      </c>
      <c r="R5648" t="s">
        <v>11180</v>
      </c>
      <c r="S5648" t="s">
        <v>9094</v>
      </c>
      <c r="T5648" t="s">
        <v>11183</v>
      </c>
      <c r="U5648" t="s">
        <v>11201</v>
      </c>
      <c r="V5648" t="s">
        <v>753</v>
      </c>
      <c r="W5648">
        <v>1160</v>
      </c>
      <c r="X5648" t="s">
        <v>11335</v>
      </c>
      <c r="Y5648" t="s">
        <v>11339</v>
      </c>
      <c r="Z5648" t="s">
        <v>14891</v>
      </c>
      <c r="AB5648" t="s">
        <v>19213</v>
      </c>
      <c r="AC5648">
        <v>11</v>
      </c>
      <c r="AD5648" t="s">
        <v>19566</v>
      </c>
      <c r="AE5648" t="s">
        <v>9144</v>
      </c>
      <c r="AF5648">
        <v>22</v>
      </c>
      <c r="AG5648">
        <v>5</v>
      </c>
      <c r="AH5648">
        <v>0</v>
      </c>
      <c r="AI5648">
        <v>300.48</v>
      </c>
      <c r="AL5648" t="s">
        <v>19614</v>
      </c>
      <c r="AM5648">
        <v>88400</v>
      </c>
      <c r="AS5648">
        <v>5.5</v>
      </c>
      <c r="AT5648" t="s">
        <v>270</v>
      </c>
      <c r="AU5648" t="s">
        <v>20657</v>
      </c>
      <c r="AV5648" t="s">
        <v>20733</v>
      </c>
    </row>
    <row r="5649" spans="1:48">
      <c r="A5649" s="1">
        <f>HYPERLINK("https://lsnyc.legalserver.org/matter/dynamic-profile/view/0832237","17-0832237")</f>
        <v>0</v>
      </c>
      <c r="B5649" t="s">
        <v>131</v>
      </c>
      <c r="C5649" t="s">
        <v>256</v>
      </c>
      <c r="D5649" t="s">
        <v>1116</v>
      </c>
      <c r="F5649" t="s">
        <v>1146</v>
      </c>
      <c r="G5649" t="s">
        <v>4576</v>
      </c>
      <c r="H5649" t="s">
        <v>8017</v>
      </c>
      <c r="I5649">
        <v>1</v>
      </c>
      <c r="J5649" t="s">
        <v>9067</v>
      </c>
      <c r="K5649">
        <v>10032</v>
      </c>
      <c r="L5649" t="s">
        <v>9094</v>
      </c>
      <c r="M5649" t="s">
        <v>9095</v>
      </c>
      <c r="O5649" t="s">
        <v>11128</v>
      </c>
      <c r="P5649" t="s">
        <v>11165</v>
      </c>
      <c r="R5649" t="s">
        <v>11180</v>
      </c>
      <c r="T5649" t="s">
        <v>11183</v>
      </c>
      <c r="V5649" t="s">
        <v>673</v>
      </c>
      <c r="W5649">
        <v>0</v>
      </c>
      <c r="X5649" t="s">
        <v>11335</v>
      </c>
      <c r="Y5649" t="s">
        <v>11338</v>
      </c>
      <c r="Z5649" t="s">
        <v>14903</v>
      </c>
      <c r="AB5649" t="s">
        <v>19224</v>
      </c>
      <c r="AC5649">
        <v>0</v>
      </c>
      <c r="AF5649">
        <v>5</v>
      </c>
      <c r="AG5649">
        <v>3</v>
      </c>
      <c r="AH5649">
        <v>0</v>
      </c>
      <c r="AI5649">
        <v>300.49</v>
      </c>
      <c r="AJ5649" t="s">
        <v>11246</v>
      </c>
      <c r="AL5649" t="s">
        <v>19614</v>
      </c>
      <c r="AM5649">
        <v>61360</v>
      </c>
      <c r="AS5649">
        <v>11.1</v>
      </c>
      <c r="AT5649" t="s">
        <v>419</v>
      </c>
      <c r="AU5649" t="s">
        <v>20663</v>
      </c>
    </row>
    <row r="5650" spans="1:48">
      <c r="A5650" s="1">
        <f>HYPERLINK("https://lsnyc.legalserver.org/matter/dynamic-profile/view/1907479","19-1907479")</f>
        <v>0</v>
      </c>
      <c r="B5650" t="s">
        <v>119</v>
      </c>
      <c r="C5650" t="s">
        <v>256</v>
      </c>
      <c r="D5650" t="s">
        <v>676</v>
      </c>
      <c r="F5650" t="s">
        <v>1884</v>
      </c>
      <c r="G5650" t="s">
        <v>5445</v>
      </c>
      <c r="H5650" t="s">
        <v>8018</v>
      </c>
      <c r="I5650" t="s">
        <v>8140</v>
      </c>
      <c r="J5650" t="s">
        <v>9065</v>
      </c>
      <c r="K5650">
        <v>10452</v>
      </c>
      <c r="L5650" t="s">
        <v>9094</v>
      </c>
      <c r="M5650" t="s">
        <v>9095</v>
      </c>
      <c r="R5650" t="s">
        <v>11181</v>
      </c>
      <c r="S5650" t="s">
        <v>9096</v>
      </c>
      <c r="T5650" t="s">
        <v>11183</v>
      </c>
      <c r="W5650">
        <v>1400</v>
      </c>
      <c r="X5650" t="s">
        <v>11333</v>
      </c>
      <c r="Y5650" t="s">
        <v>11337</v>
      </c>
      <c r="Z5650" t="s">
        <v>14904</v>
      </c>
      <c r="AB5650" t="s">
        <v>19225</v>
      </c>
      <c r="AC5650">
        <v>0</v>
      </c>
      <c r="AD5650" t="s">
        <v>19566</v>
      </c>
      <c r="AE5650" t="s">
        <v>9144</v>
      </c>
      <c r="AF5650">
        <v>9</v>
      </c>
      <c r="AG5650">
        <v>3</v>
      </c>
      <c r="AH5650">
        <v>0</v>
      </c>
      <c r="AI5650">
        <v>301.23</v>
      </c>
      <c r="AJ5650" t="s">
        <v>19591</v>
      </c>
      <c r="AK5650" t="s">
        <v>19608</v>
      </c>
      <c r="AL5650" t="s">
        <v>19614</v>
      </c>
      <c r="AM5650">
        <v>64252</v>
      </c>
      <c r="AS5650">
        <v>0</v>
      </c>
      <c r="AU5650" t="s">
        <v>20647</v>
      </c>
      <c r="AV5650" t="s">
        <v>20733</v>
      </c>
    </row>
    <row r="5651" spans="1:48">
      <c r="A5651" s="1">
        <f>HYPERLINK("https://lsnyc.legalserver.org/matter/dynamic-profile/view/1842901","17-1842901")</f>
        <v>0</v>
      </c>
      <c r="B5651" t="s">
        <v>71</v>
      </c>
      <c r="C5651" t="s">
        <v>256</v>
      </c>
      <c r="D5651" t="s">
        <v>480</v>
      </c>
      <c r="F5651" t="s">
        <v>3154</v>
      </c>
      <c r="G5651" t="s">
        <v>4009</v>
      </c>
      <c r="H5651" t="s">
        <v>8019</v>
      </c>
      <c r="I5651" t="s">
        <v>8979</v>
      </c>
      <c r="J5651" t="s">
        <v>9059</v>
      </c>
      <c r="K5651">
        <v>11218</v>
      </c>
      <c r="L5651" t="s">
        <v>9094</v>
      </c>
      <c r="M5651" t="s">
        <v>9094</v>
      </c>
      <c r="N5651" t="s">
        <v>11047</v>
      </c>
      <c r="O5651" t="s">
        <v>11128</v>
      </c>
      <c r="P5651" t="s">
        <v>11165</v>
      </c>
      <c r="R5651" t="s">
        <v>11180</v>
      </c>
      <c r="T5651" t="s">
        <v>11183</v>
      </c>
      <c r="V5651" t="s">
        <v>480</v>
      </c>
      <c r="W5651">
        <v>1064.93</v>
      </c>
      <c r="X5651" t="s">
        <v>11332</v>
      </c>
      <c r="Z5651" t="s">
        <v>14905</v>
      </c>
      <c r="AB5651" t="s">
        <v>19226</v>
      </c>
      <c r="AC5651">
        <v>46</v>
      </c>
      <c r="AD5651" t="s">
        <v>19566</v>
      </c>
      <c r="AF5651">
        <v>14</v>
      </c>
      <c r="AG5651">
        <v>1</v>
      </c>
      <c r="AH5651">
        <v>0</v>
      </c>
      <c r="AI5651">
        <v>301.82</v>
      </c>
      <c r="AJ5651" t="s">
        <v>11246</v>
      </c>
      <c r="AK5651" t="s">
        <v>19612</v>
      </c>
      <c r="AL5651" t="s">
        <v>19614</v>
      </c>
      <c r="AM5651">
        <v>36400</v>
      </c>
      <c r="AS5651">
        <v>45.85</v>
      </c>
      <c r="AT5651" t="s">
        <v>1032</v>
      </c>
      <c r="AU5651" t="s">
        <v>20636</v>
      </c>
    </row>
    <row r="5652" spans="1:48">
      <c r="A5652" s="1">
        <f>HYPERLINK("https://lsnyc.legalserver.org/matter/dynamic-profile/view/1886103","18-1886103")</f>
        <v>0</v>
      </c>
      <c r="B5652" t="s">
        <v>195</v>
      </c>
      <c r="C5652" t="s">
        <v>256</v>
      </c>
      <c r="D5652" t="s">
        <v>397</v>
      </c>
      <c r="F5652" t="s">
        <v>3155</v>
      </c>
      <c r="G5652" t="s">
        <v>5446</v>
      </c>
      <c r="H5652" t="s">
        <v>8020</v>
      </c>
      <c r="I5652">
        <v>202</v>
      </c>
      <c r="J5652" t="s">
        <v>9067</v>
      </c>
      <c r="K5652">
        <v>10027</v>
      </c>
      <c r="L5652" t="s">
        <v>9094</v>
      </c>
      <c r="M5652" t="s">
        <v>9094</v>
      </c>
      <c r="N5652" t="s">
        <v>11048</v>
      </c>
      <c r="O5652" t="s">
        <v>11128</v>
      </c>
      <c r="P5652" t="s">
        <v>11165</v>
      </c>
      <c r="R5652" t="s">
        <v>11180</v>
      </c>
      <c r="S5652" t="s">
        <v>9096</v>
      </c>
      <c r="T5652" t="s">
        <v>11183</v>
      </c>
      <c r="U5652" t="s">
        <v>11199</v>
      </c>
      <c r="V5652" t="s">
        <v>397</v>
      </c>
      <c r="W5652">
        <v>734</v>
      </c>
      <c r="X5652" t="s">
        <v>11335</v>
      </c>
      <c r="Y5652" t="s">
        <v>11345</v>
      </c>
      <c r="Z5652" t="s">
        <v>14906</v>
      </c>
      <c r="AB5652" t="s">
        <v>19227</v>
      </c>
      <c r="AC5652">
        <v>27</v>
      </c>
      <c r="AD5652" t="s">
        <v>19566</v>
      </c>
      <c r="AE5652" t="s">
        <v>9144</v>
      </c>
      <c r="AF5652">
        <v>10</v>
      </c>
      <c r="AG5652">
        <v>1</v>
      </c>
      <c r="AH5652">
        <v>3</v>
      </c>
      <c r="AI5652">
        <v>302.79</v>
      </c>
      <c r="AL5652" t="s">
        <v>19614</v>
      </c>
      <c r="AM5652">
        <v>76000</v>
      </c>
      <c r="AS5652">
        <v>5.75</v>
      </c>
      <c r="AT5652" t="s">
        <v>553</v>
      </c>
      <c r="AU5652" t="s">
        <v>20659</v>
      </c>
    </row>
    <row r="5653" spans="1:48">
      <c r="A5653" s="1">
        <f>HYPERLINK("https://lsnyc.legalserver.org/matter/dynamic-profile/view/1896013","19-1896013")</f>
        <v>0</v>
      </c>
      <c r="B5653" t="s">
        <v>106</v>
      </c>
      <c r="C5653" t="s">
        <v>256</v>
      </c>
      <c r="D5653" t="s">
        <v>545</v>
      </c>
      <c r="F5653" t="s">
        <v>1203</v>
      </c>
      <c r="G5653" t="s">
        <v>3220</v>
      </c>
      <c r="H5653" t="s">
        <v>6624</v>
      </c>
      <c r="I5653" t="s">
        <v>8959</v>
      </c>
      <c r="J5653" t="s">
        <v>9065</v>
      </c>
      <c r="K5653">
        <v>10458</v>
      </c>
      <c r="L5653" t="s">
        <v>9094</v>
      </c>
      <c r="M5653" t="s">
        <v>9094</v>
      </c>
      <c r="N5653" t="s">
        <v>9819</v>
      </c>
      <c r="O5653" t="s">
        <v>11134</v>
      </c>
      <c r="P5653" t="s">
        <v>11168</v>
      </c>
      <c r="R5653" t="s">
        <v>11180</v>
      </c>
      <c r="S5653" t="s">
        <v>9094</v>
      </c>
      <c r="T5653" t="s">
        <v>11183</v>
      </c>
      <c r="V5653" t="s">
        <v>11212</v>
      </c>
      <c r="W5653">
        <v>1071</v>
      </c>
      <c r="X5653" t="s">
        <v>11333</v>
      </c>
      <c r="Y5653" t="s">
        <v>11346</v>
      </c>
      <c r="Z5653" t="s">
        <v>14799</v>
      </c>
      <c r="AB5653" t="s">
        <v>19124</v>
      </c>
      <c r="AC5653">
        <v>142</v>
      </c>
      <c r="AD5653" t="s">
        <v>19566</v>
      </c>
      <c r="AE5653" t="s">
        <v>9144</v>
      </c>
      <c r="AF5653">
        <v>18</v>
      </c>
      <c r="AG5653">
        <v>5</v>
      </c>
      <c r="AH5653">
        <v>0</v>
      </c>
      <c r="AI5653">
        <v>303.13</v>
      </c>
      <c r="AL5653" t="s">
        <v>19615</v>
      </c>
      <c r="AM5653">
        <v>89180</v>
      </c>
      <c r="AS5653">
        <v>0</v>
      </c>
      <c r="AU5653" t="s">
        <v>220</v>
      </c>
      <c r="AV5653" t="s">
        <v>20733</v>
      </c>
    </row>
    <row r="5654" spans="1:48">
      <c r="A5654" s="1">
        <f>HYPERLINK("https://lsnyc.legalserver.org/matter/dynamic-profile/view/1882951","18-1882951")</f>
        <v>0</v>
      </c>
      <c r="B5654" t="s">
        <v>106</v>
      </c>
      <c r="C5654" t="s">
        <v>257</v>
      </c>
      <c r="D5654" t="s">
        <v>831</v>
      </c>
      <c r="E5654" t="s">
        <v>429</v>
      </c>
      <c r="F5654" t="s">
        <v>1203</v>
      </c>
      <c r="G5654" t="s">
        <v>3220</v>
      </c>
      <c r="H5654" t="s">
        <v>6624</v>
      </c>
      <c r="I5654" t="s">
        <v>8959</v>
      </c>
      <c r="J5654" t="s">
        <v>9065</v>
      </c>
      <c r="K5654">
        <v>10458</v>
      </c>
      <c r="L5654" t="s">
        <v>9094</v>
      </c>
      <c r="M5654" t="s">
        <v>9094</v>
      </c>
      <c r="N5654" t="s">
        <v>9825</v>
      </c>
      <c r="O5654" t="s">
        <v>11130</v>
      </c>
      <c r="P5654" t="s">
        <v>11165</v>
      </c>
      <c r="Q5654" t="s">
        <v>11175</v>
      </c>
      <c r="R5654" t="s">
        <v>11180</v>
      </c>
      <c r="S5654" t="s">
        <v>9094</v>
      </c>
      <c r="T5654" t="s">
        <v>11183</v>
      </c>
      <c r="V5654" t="s">
        <v>11212</v>
      </c>
      <c r="W5654">
        <v>1071</v>
      </c>
      <c r="X5654" t="s">
        <v>11333</v>
      </c>
      <c r="Y5654" t="s">
        <v>11346</v>
      </c>
      <c r="Z5654" t="s">
        <v>14799</v>
      </c>
      <c r="AB5654" t="s">
        <v>19124</v>
      </c>
      <c r="AC5654">
        <v>0</v>
      </c>
      <c r="AD5654" t="s">
        <v>19566</v>
      </c>
      <c r="AE5654" t="s">
        <v>9144</v>
      </c>
      <c r="AF5654">
        <v>18</v>
      </c>
      <c r="AG5654">
        <v>5</v>
      </c>
      <c r="AH5654">
        <v>0</v>
      </c>
      <c r="AI5654">
        <v>303.13</v>
      </c>
      <c r="AL5654" t="s">
        <v>19615</v>
      </c>
      <c r="AM5654">
        <v>89180</v>
      </c>
      <c r="AS5654">
        <v>1.9</v>
      </c>
      <c r="AT5654" t="s">
        <v>429</v>
      </c>
      <c r="AU5654" t="s">
        <v>163</v>
      </c>
      <c r="AV5654" t="s">
        <v>20733</v>
      </c>
    </row>
    <row r="5655" spans="1:48">
      <c r="A5655" s="1">
        <f>HYPERLINK("https://lsnyc.legalserver.org/matter/dynamic-profile/view/1903947","19-1903947")</f>
        <v>0</v>
      </c>
      <c r="B5655" t="s">
        <v>115</v>
      </c>
      <c r="C5655" t="s">
        <v>256</v>
      </c>
      <c r="D5655" t="s">
        <v>663</v>
      </c>
      <c r="F5655" t="s">
        <v>3156</v>
      </c>
      <c r="G5655" t="s">
        <v>5447</v>
      </c>
      <c r="H5655" t="s">
        <v>6051</v>
      </c>
      <c r="I5655" t="s">
        <v>8217</v>
      </c>
      <c r="J5655" t="s">
        <v>9065</v>
      </c>
      <c r="K5655">
        <v>10452</v>
      </c>
      <c r="L5655" t="s">
        <v>9094</v>
      </c>
      <c r="M5655" t="s">
        <v>9095</v>
      </c>
      <c r="O5655" t="s">
        <v>11134</v>
      </c>
      <c r="P5655" t="s">
        <v>11168</v>
      </c>
      <c r="R5655" t="s">
        <v>11180</v>
      </c>
      <c r="S5655" t="s">
        <v>9094</v>
      </c>
      <c r="T5655" t="s">
        <v>11183</v>
      </c>
      <c r="V5655" t="s">
        <v>11212</v>
      </c>
      <c r="W5655">
        <v>1208.34</v>
      </c>
      <c r="X5655" t="s">
        <v>11333</v>
      </c>
      <c r="Y5655" t="s">
        <v>11346</v>
      </c>
      <c r="Z5655" t="s">
        <v>14907</v>
      </c>
      <c r="AB5655" t="s">
        <v>19228</v>
      </c>
      <c r="AC5655">
        <v>52</v>
      </c>
      <c r="AD5655" t="s">
        <v>19566</v>
      </c>
      <c r="AE5655" t="s">
        <v>9144</v>
      </c>
      <c r="AF5655">
        <v>20</v>
      </c>
      <c r="AG5655">
        <v>2</v>
      </c>
      <c r="AH5655">
        <v>0</v>
      </c>
      <c r="AI5655">
        <v>303.96</v>
      </c>
      <c r="AL5655" t="s">
        <v>19614</v>
      </c>
      <c r="AM5655">
        <v>51400</v>
      </c>
      <c r="AS5655">
        <v>1.2</v>
      </c>
      <c r="AT5655" t="s">
        <v>663</v>
      </c>
      <c r="AU5655" t="s">
        <v>174</v>
      </c>
      <c r="AV5655" t="s">
        <v>20733</v>
      </c>
    </row>
    <row r="5656" spans="1:48">
      <c r="A5656" s="1">
        <f>HYPERLINK("https://lsnyc.legalserver.org/matter/dynamic-profile/view/1911839","19-1911839")</f>
        <v>0</v>
      </c>
      <c r="B5656" t="s">
        <v>115</v>
      </c>
      <c r="C5656" t="s">
        <v>256</v>
      </c>
      <c r="D5656" t="s">
        <v>284</v>
      </c>
      <c r="F5656" t="s">
        <v>3156</v>
      </c>
      <c r="G5656" t="s">
        <v>5447</v>
      </c>
      <c r="H5656" t="s">
        <v>6051</v>
      </c>
      <c r="I5656" t="s">
        <v>8217</v>
      </c>
      <c r="J5656" t="s">
        <v>9065</v>
      </c>
      <c r="K5656">
        <v>10452</v>
      </c>
      <c r="L5656" t="s">
        <v>9094</v>
      </c>
      <c r="M5656" t="s">
        <v>9095</v>
      </c>
      <c r="O5656" t="s">
        <v>11134</v>
      </c>
      <c r="P5656" t="s">
        <v>11168</v>
      </c>
      <c r="R5656" t="s">
        <v>11180</v>
      </c>
      <c r="S5656" t="s">
        <v>9094</v>
      </c>
      <c r="T5656" t="s">
        <v>11183</v>
      </c>
      <c r="W5656">
        <v>1208.34</v>
      </c>
      <c r="X5656" t="s">
        <v>11333</v>
      </c>
      <c r="Y5656" t="s">
        <v>11346</v>
      </c>
      <c r="Z5656" t="s">
        <v>14907</v>
      </c>
      <c r="AB5656" t="s">
        <v>19228</v>
      </c>
      <c r="AC5656">
        <v>52</v>
      </c>
      <c r="AD5656" t="s">
        <v>19566</v>
      </c>
      <c r="AE5656" t="s">
        <v>9144</v>
      </c>
      <c r="AF5656">
        <v>20</v>
      </c>
      <c r="AG5656">
        <v>2</v>
      </c>
      <c r="AH5656">
        <v>0</v>
      </c>
      <c r="AI5656">
        <v>303.96</v>
      </c>
      <c r="AL5656" t="s">
        <v>19614</v>
      </c>
      <c r="AM5656">
        <v>51400</v>
      </c>
      <c r="AS5656">
        <v>0.4</v>
      </c>
      <c r="AT5656" t="s">
        <v>284</v>
      </c>
      <c r="AU5656" t="s">
        <v>174</v>
      </c>
      <c r="AV5656" t="s">
        <v>20733</v>
      </c>
    </row>
    <row r="5657" spans="1:48">
      <c r="A5657" s="1">
        <f>HYPERLINK("https://lsnyc.legalserver.org/matter/dynamic-profile/view/1844244","17-1844244")</f>
        <v>0</v>
      </c>
      <c r="B5657" t="s">
        <v>103</v>
      </c>
      <c r="C5657" t="s">
        <v>256</v>
      </c>
      <c r="D5657" t="s">
        <v>879</v>
      </c>
      <c r="F5657" t="s">
        <v>3157</v>
      </c>
      <c r="G5657" t="s">
        <v>5448</v>
      </c>
      <c r="H5657" t="s">
        <v>7246</v>
      </c>
      <c r="I5657" t="s">
        <v>8206</v>
      </c>
      <c r="J5657" t="s">
        <v>9065</v>
      </c>
      <c r="K5657">
        <v>10473</v>
      </c>
      <c r="L5657" t="s">
        <v>9094</v>
      </c>
      <c r="M5657" t="s">
        <v>9095</v>
      </c>
      <c r="O5657" t="s">
        <v>11135</v>
      </c>
      <c r="P5657" t="s">
        <v>11168</v>
      </c>
      <c r="R5657" t="s">
        <v>11180</v>
      </c>
      <c r="S5657" t="s">
        <v>9094</v>
      </c>
      <c r="T5657" t="s">
        <v>11183</v>
      </c>
      <c r="V5657" t="s">
        <v>765</v>
      </c>
      <c r="W5657">
        <v>902</v>
      </c>
      <c r="X5657" t="s">
        <v>11333</v>
      </c>
      <c r="Z5657" t="s">
        <v>14908</v>
      </c>
      <c r="AB5657" t="s">
        <v>19229</v>
      </c>
      <c r="AC5657">
        <v>976</v>
      </c>
      <c r="AD5657" t="s">
        <v>19566</v>
      </c>
      <c r="AF5657">
        <v>16</v>
      </c>
      <c r="AG5657">
        <v>2</v>
      </c>
      <c r="AH5657">
        <v>0</v>
      </c>
      <c r="AI5657">
        <v>304.19</v>
      </c>
      <c r="AJ5657" t="s">
        <v>936</v>
      </c>
      <c r="AL5657" t="s">
        <v>19614</v>
      </c>
      <c r="AM5657">
        <v>49400</v>
      </c>
      <c r="AS5657">
        <v>0</v>
      </c>
      <c r="AU5657" t="s">
        <v>20650</v>
      </c>
    </row>
    <row r="5658" spans="1:48">
      <c r="A5658" s="1">
        <f>HYPERLINK("https://lsnyc.legalserver.org/matter/dynamic-profile/view/1907266","19-1907266")</f>
        <v>0</v>
      </c>
      <c r="B5658" t="s">
        <v>79</v>
      </c>
      <c r="C5658" t="s">
        <v>257</v>
      </c>
      <c r="D5658" t="s">
        <v>415</v>
      </c>
      <c r="E5658" t="s">
        <v>334</v>
      </c>
      <c r="F5658" t="s">
        <v>3158</v>
      </c>
      <c r="G5658" t="s">
        <v>5449</v>
      </c>
      <c r="H5658" t="s">
        <v>8021</v>
      </c>
      <c r="I5658" t="s">
        <v>8187</v>
      </c>
      <c r="J5658" t="s">
        <v>9059</v>
      </c>
      <c r="K5658">
        <v>11212</v>
      </c>
      <c r="L5658" t="s">
        <v>9096</v>
      </c>
      <c r="M5658" t="s">
        <v>9095</v>
      </c>
      <c r="N5658" t="s">
        <v>9144</v>
      </c>
      <c r="O5658" t="s">
        <v>9121</v>
      </c>
      <c r="P5658" t="s">
        <v>11164</v>
      </c>
      <c r="Q5658" t="s">
        <v>11172</v>
      </c>
      <c r="R5658" t="s">
        <v>11180</v>
      </c>
      <c r="S5658" t="s">
        <v>9096</v>
      </c>
      <c r="T5658" t="s">
        <v>11183</v>
      </c>
      <c r="W5658">
        <v>1627</v>
      </c>
      <c r="X5658" t="s">
        <v>11332</v>
      </c>
      <c r="Y5658" t="s">
        <v>11350</v>
      </c>
      <c r="Z5658" t="s">
        <v>14909</v>
      </c>
      <c r="AC5658">
        <v>109</v>
      </c>
      <c r="AD5658" t="s">
        <v>19572</v>
      </c>
      <c r="AE5658" t="s">
        <v>9144</v>
      </c>
      <c r="AF5658">
        <v>1</v>
      </c>
      <c r="AG5658">
        <v>2</v>
      </c>
      <c r="AH5658">
        <v>1</v>
      </c>
      <c r="AI5658">
        <v>304.74</v>
      </c>
      <c r="AL5658" t="s">
        <v>19614</v>
      </c>
      <c r="AM5658">
        <v>65000</v>
      </c>
      <c r="AN5658" t="s">
        <v>19681</v>
      </c>
      <c r="AS5658">
        <v>0.6</v>
      </c>
      <c r="AT5658" t="s">
        <v>415</v>
      </c>
      <c r="AU5658" t="s">
        <v>20629</v>
      </c>
      <c r="AV5658" t="s">
        <v>9144</v>
      </c>
    </row>
    <row r="5659" spans="1:48">
      <c r="A5659" s="1">
        <f>HYPERLINK("https://lsnyc.legalserver.org/matter/dynamic-profile/view/1882194","18-1882194")</f>
        <v>0</v>
      </c>
      <c r="B5659" t="s">
        <v>92</v>
      </c>
      <c r="C5659" t="s">
        <v>256</v>
      </c>
      <c r="D5659" t="s">
        <v>697</v>
      </c>
      <c r="F5659" t="s">
        <v>2067</v>
      </c>
      <c r="G5659" t="s">
        <v>5450</v>
      </c>
      <c r="H5659" t="s">
        <v>6919</v>
      </c>
      <c r="I5659" t="s">
        <v>8142</v>
      </c>
      <c r="J5659" t="s">
        <v>9059</v>
      </c>
      <c r="K5659">
        <v>11233</v>
      </c>
      <c r="L5659" t="s">
        <v>9094</v>
      </c>
      <c r="M5659" t="s">
        <v>9094</v>
      </c>
      <c r="N5659" t="s">
        <v>9121</v>
      </c>
      <c r="O5659" t="s">
        <v>11137</v>
      </c>
      <c r="P5659" t="s">
        <v>11167</v>
      </c>
      <c r="R5659" t="s">
        <v>11180</v>
      </c>
      <c r="S5659" t="s">
        <v>9094</v>
      </c>
      <c r="T5659" t="s">
        <v>11183</v>
      </c>
      <c r="U5659" t="s">
        <v>11201</v>
      </c>
      <c r="V5659" t="s">
        <v>11208</v>
      </c>
      <c r="W5659">
        <v>623</v>
      </c>
      <c r="X5659" t="s">
        <v>11332</v>
      </c>
      <c r="Y5659" t="s">
        <v>11340</v>
      </c>
      <c r="Z5659" t="s">
        <v>14910</v>
      </c>
      <c r="AA5659" t="s">
        <v>9144</v>
      </c>
      <c r="AB5659" t="s">
        <v>19230</v>
      </c>
      <c r="AC5659">
        <v>6</v>
      </c>
      <c r="AD5659" t="s">
        <v>19566</v>
      </c>
      <c r="AE5659" t="s">
        <v>9144</v>
      </c>
      <c r="AF5659">
        <v>38</v>
      </c>
      <c r="AG5659">
        <v>1</v>
      </c>
      <c r="AH5659">
        <v>0</v>
      </c>
      <c r="AI5659">
        <v>304.78</v>
      </c>
      <c r="AJ5659" t="s">
        <v>458</v>
      </c>
      <c r="AK5659" t="s">
        <v>19612</v>
      </c>
      <c r="AL5659" t="s">
        <v>19614</v>
      </c>
      <c r="AM5659">
        <v>37000</v>
      </c>
      <c r="AN5659" t="s">
        <v>20159</v>
      </c>
      <c r="AS5659">
        <v>92.59999999999999</v>
      </c>
      <c r="AT5659" t="s">
        <v>321</v>
      </c>
      <c r="AU5659" t="s">
        <v>95</v>
      </c>
    </row>
    <row r="5660" spans="1:48">
      <c r="A5660" s="1">
        <f>HYPERLINK("https://lsnyc.legalserver.org/matter/dynamic-profile/view/1871756","18-1871756")</f>
        <v>0</v>
      </c>
      <c r="B5660" t="s">
        <v>78</v>
      </c>
      <c r="C5660" t="s">
        <v>256</v>
      </c>
      <c r="D5660" t="s">
        <v>686</v>
      </c>
      <c r="F5660" t="s">
        <v>3159</v>
      </c>
      <c r="G5660" t="s">
        <v>3971</v>
      </c>
      <c r="H5660" t="s">
        <v>6453</v>
      </c>
      <c r="I5660" t="s">
        <v>8225</v>
      </c>
      <c r="J5660" t="s">
        <v>9059</v>
      </c>
      <c r="K5660">
        <v>11206</v>
      </c>
      <c r="L5660" t="s">
        <v>9094</v>
      </c>
      <c r="M5660" t="s">
        <v>9095</v>
      </c>
      <c r="N5660" t="s">
        <v>9972</v>
      </c>
      <c r="O5660" t="s">
        <v>11134</v>
      </c>
      <c r="P5660" t="s">
        <v>11168</v>
      </c>
      <c r="R5660" t="s">
        <v>11180</v>
      </c>
      <c r="S5660" t="s">
        <v>9094</v>
      </c>
      <c r="T5660" t="s">
        <v>11183</v>
      </c>
      <c r="V5660" t="s">
        <v>11253</v>
      </c>
      <c r="W5660">
        <v>955</v>
      </c>
      <c r="X5660" t="s">
        <v>11332</v>
      </c>
      <c r="Z5660" t="s">
        <v>14911</v>
      </c>
      <c r="AC5660">
        <v>29</v>
      </c>
      <c r="AD5660" t="s">
        <v>19566</v>
      </c>
      <c r="AF5660">
        <v>17</v>
      </c>
      <c r="AG5660">
        <v>1</v>
      </c>
      <c r="AH5660">
        <v>0</v>
      </c>
      <c r="AI5660">
        <v>304.78</v>
      </c>
      <c r="AJ5660" t="s">
        <v>11246</v>
      </c>
      <c r="AL5660" t="s">
        <v>19614</v>
      </c>
      <c r="AM5660">
        <v>37000</v>
      </c>
      <c r="AS5660">
        <v>0</v>
      </c>
      <c r="AU5660" t="s">
        <v>20637</v>
      </c>
    </row>
    <row r="5661" spans="1:48">
      <c r="A5661" s="1">
        <f>HYPERLINK("https://lsnyc.legalserver.org/matter/dynamic-profile/view/1870851","18-1870851")</f>
        <v>0</v>
      </c>
      <c r="B5661" t="s">
        <v>101</v>
      </c>
      <c r="C5661" t="s">
        <v>257</v>
      </c>
      <c r="D5661" t="s">
        <v>943</v>
      </c>
      <c r="E5661" t="s">
        <v>415</v>
      </c>
      <c r="F5661" t="s">
        <v>3139</v>
      </c>
      <c r="G5661" t="s">
        <v>3808</v>
      </c>
      <c r="H5661" t="s">
        <v>6262</v>
      </c>
      <c r="I5661" t="s">
        <v>8168</v>
      </c>
      <c r="J5661" t="s">
        <v>9065</v>
      </c>
      <c r="K5661">
        <v>10452</v>
      </c>
      <c r="L5661" t="s">
        <v>9094</v>
      </c>
      <c r="M5661" t="s">
        <v>9094</v>
      </c>
      <c r="O5661" t="s">
        <v>9121</v>
      </c>
      <c r="P5661" t="s">
        <v>11166</v>
      </c>
      <c r="Q5661" t="s">
        <v>11178</v>
      </c>
      <c r="R5661" t="s">
        <v>11180</v>
      </c>
      <c r="S5661" t="s">
        <v>9094</v>
      </c>
      <c r="T5661" t="s">
        <v>11183</v>
      </c>
      <c r="V5661" t="s">
        <v>675</v>
      </c>
      <c r="W5661">
        <v>1112.67</v>
      </c>
      <c r="X5661" t="s">
        <v>11333</v>
      </c>
      <c r="Y5661" t="s">
        <v>11340</v>
      </c>
      <c r="Z5661" t="s">
        <v>14878</v>
      </c>
      <c r="AB5661" t="s">
        <v>19198</v>
      </c>
      <c r="AC5661">
        <v>60</v>
      </c>
      <c r="AD5661" t="s">
        <v>19566</v>
      </c>
      <c r="AE5661" t="s">
        <v>9144</v>
      </c>
      <c r="AF5661">
        <v>16</v>
      </c>
      <c r="AG5661">
        <v>3</v>
      </c>
      <c r="AH5661">
        <v>2</v>
      </c>
      <c r="AI5661">
        <v>305.06</v>
      </c>
      <c r="AL5661" t="s">
        <v>19614</v>
      </c>
      <c r="AM5661">
        <v>89750</v>
      </c>
      <c r="AS5661">
        <v>0.3</v>
      </c>
      <c r="AT5661" t="s">
        <v>415</v>
      </c>
      <c r="AU5661" t="s">
        <v>20647</v>
      </c>
    </row>
    <row r="5662" spans="1:48">
      <c r="A5662" s="1">
        <f>HYPERLINK("https://lsnyc.legalserver.org/matter/dynamic-profile/view/1907581","19-1907581")</f>
        <v>0</v>
      </c>
      <c r="B5662" t="s">
        <v>138</v>
      </c>
      <c r="C5662" t="s">
        <v>256</v>
      </c>
      <c r="D5662" t="s">
        <v>416</v>
      </c>
      <c r="F5662" t="s">
        <v>1984</v>
      </c>
      <c r="G5662" t="s">
        <v>5451</v>
      </c>
      <c r="H5662" t="s">
        <v>6274</v>
      </c>
      <c r="I5662" t="s">
        <v>8980</v>
      </c>
      <c r="J5662" t="s">
        <v>9067</v>
      </c>
      <c r="K5662">
        <v>10034</v>
      </c>
      <c r="L5662" t="s">
        <v>9094</v>
      </c>
      <c r="M5662" t="s">
        <v>9095</v>
      </c>
      <c r="O5662" t="s">
        <v>11136</v>
      </c>
      <c r="P5662" t="s">
        <v>11164</v>
      </c>
      <c r="R5662" t="s">
        <v>11180</v>
      </c>
      <c r="S5662" t="s">
        <v>9096</v>
      </c>
      <c r="T5662" t="s">
        <v>11183</v>
      </c>
      <c r="V5662" t="s">
        <v>416</v>
      </c>
      <c r="W5662">
        <v>2700</v>
      </c>
      <c r="X5662" t="s">
        <v>11335</v>
      </c>
      <c r="Y5662" t="s">
        <v>11338</v>
      </c>
      <c r="Z5662" t="s">
        <v>14912</v>
      </c>
      <c r="AC5662">
        <v>69</v>
      </c>
      <c r="AD5662" t="s">
        <v>19566</v>
      </c>
      <c r="AE5662" t="s">
        <v>9144</v>
      </c>
      <c r="AF5662">
        <v>25</v>
      </c>
      <c r="AG5662">
        <v>2</v>
      </c>
      <c r="AH5662">
        <v>0</v>
      </c>
      <c r="AI5662">
        <v>305.14</v>
      </c>
      <c r="AL5662" t="s">
        <v>19627</v>
      </c>
      <c r="AM5662">
        <v>51600</v>
      </c>
      <c r="AS5662">
        <v>1.4</v>
      </c>
      <c r="AT5662" t="s">
        <v>334</v>
      </c>
      <c r="AU5662" t="s">
        <v>130</v>
      </c>
      <c r="AV5662" t="s">
        <v>20733</v>
      </c>
    </row>
    <row r="5663" spans="1:48">
      <c r="A5663" s="1">
        <f>HYPERLINK("https://lsnyc.legalserver.org/matter/dynamic-profile/view/1911744","19-1911744")</f>
        <v>0</v>
      </c>
      <c r="B5663" t="s">
        <v>101</v>
      </c>
      <c r="C5663" t="s">
        <v>257</v>
      </c>
      <c r="D5663" t="s">
        <v>290</v>
      </c>
      <c r="E5663" t="s">
        <v>290</v>
      </c>
      <c r="F5663" t="s">
        <v>1145</v>
      </c>
      <c r="G5663" t="s">
        <v>5452</v>
      </c>
      <c r="H5663" t="s">
        <v>8022</v>
      </c>
      <c r="I5663" t="s">
        <v>8218</v>
      </c>
      <c r="J5663" t="s">
        <v>9065</v>
      </c>
      <c r="K5663">
        <v>10452</v>
      </c>
      <c r="L5663" t="s">
        <v>9094</v>
      </c>
      <c r="M5663" t="s">
        <v>9095</v>
      </c>
      <c r="O5663" t="s">
        <v>11137</v>
      </c>
      <c r="P5663" t="s">
        <v>11167</v>
      </c>
      <c r="Q5663" t="s">
        <v>11173</v>
      </c>
      <c r="R5663" t="s">
        <v>11180</v>
      </c>
      <c r="S5663" t="s">
        <v>9096</v>
      </c>
      <c r="T5663" t="s">
        <v>11183</v>
      </c>
      <c r="W5663">
        <v>1038</v>
      </c>
      <c r="X5663" t="s">
        <v>11333</v>
      </c>
      <c r="Y5663" t="s">
        <v>11338</v>
      </c>
      <c r="Z5663" t="s">
        <v>14913</v>
      </c>
      <c r="AC5663">
        <v>0</v>
      </c>
      <c r="AD5663" t="s">
        <v>19566</v>
      </c>
      <c r="AF5663">
        <v>17</v>
      </c>
      <c r="AG5663">
        <v>3</v>
      </c>
      <c r="AH5663">
        <v>0</v>
      </c>
      <c r="AI5663">
        <v>305.91</v>
      </c>
      <c r="AL5663" t="s">
        <v>19614</v>
      </c>
      <c r="AM5663">
        <v>65250</v>
      </c>
      <c r="AS5663">
        <v>2.4</v>
      </c>
      <c r="AT5663" t="s">
        <v>290</v>
      </c>
      <c r="AU5663" t="s">
        <v>101</v>
      </c>
      <c r="AV5663" t="s">
        <v>20733</v>
      </c>
    </row>
    <row r="5664" spans="1:48">
      <c r="A5664" s="1">
        <f>HYPERLINK("https://lsnyc.legalserver.org/matter/dynamic-profile/view/1899820","19-1899820")</f>
        <v>0</v>
      </c>
      <c r="B5664" t="s">
        <v>113</v>
      </c>
      <c r="C5664" t="s">
        <v>256</v>
      </c>
      <c r="D5664" t="s">
        <v>411</v>
      </c>
      <c r="F5664" t="s">
        <v>2411</v>
      </c>
      <c r="G5664" t="s">
        <v>3533</v>
      </c>
      <c r="H5664" t="s">
        <v>5864</v>
      </c>
      <c r="I5664" t="s">
        <v>8981</v>
      </c>
      <c r="J5664" t="s">
        <v>9065</v>
      </c>
      <c r="K5664">
        <v>10460</v>
      </c>
      <c r="L5664" t="s">
        <v>9094</v>
      </c>
      <c r="M5664" t="s">
        <v>9095</v>
      </c>
      <c r="N5664" t="s">
        <v>9171</v>
      </c>
      <c r="O5664" t="s">
        <v>9121</v>
      </c>
      <c r="P5664" t="s">
        <v>11166</v>
      </c>
      <c r="R5664" t="s">
        <v>11180</v>
      </c>
      <c r="S5664" t="s">
        <v>9094</v>
      </c>
      <c r="T5664" t="s">
        <v>11183</v>
      </c>
      <c r="V5664" t="s">
        <v>11218</v>
      </c>
      <c r="W5664">
        <v>378</v>
      </c>
      <c r="X5664" t="s">
        <v>11333</v>
      </c>
      <c r="Y5664" t="s">
        <v>11346</v>
      </c>
      <c r="Z5664" t="s">
        <v>14914</v>
      </c>
      <c r="AC5664">
        <v>168</v>
      </c>
      <c r="AD5664" t="s">
        <v>19567</v>
      </c>
      <c r="AE5664" t="s">
        <v>19580</v>
      </c>
      <c r="AF5664">
        <v>14</v>
      </c>
      <c r="AG5664">
        <v>2</v>
      </c>
      <c r="AH5664">
        <v>1</v>
      </c>
      <c r="AI5664">
        <v>306.14</v>
      </c>
      <c r="AL5664" t="s">
        <v>19614</v>
      </c>
      <c r="AM5664">
        <v>65300</v>
      </c>
      <c r="AS5664">
        <v>0</v>
      </c>
      <c r="AU5664" t="s">
        <v>163</v>
      </c>
      <c r="AV5664" t="s">
        <v>20733</v>
      </c>
    </row>
    <row r="5665" spans="1:48">
      <c r="A5665" s="1">
        <f>HYPERLINK("https://lsnyc.legalserver.org/matter/dynamic-profile/view/1884464","18-1884464")</f>
        <v>0</v>
      </c>
      <c r="B5665" t="s">
        <v>71</v>
      </c>
      <c r="C5665" t="s">
        <v>256</v>
      </c>
      <c r="D5665" t="s">
        <v>511</v>
      </c>
      <c r="F5665" t="s">
        <v>3160</v>
      </c>
      <c r="G5665" t="s">
        <v>5453</v>
      </c>
      <c r="H5665" t="s">
        <v>8023</v>
      </c>
      <c r="I5665" t="s">
        <v>8734</v>
      </c>
      <c r="J5665" t="s">
        <v>9059</v>
      </c>
      <c r="K5665">
        <v>11233</v>
      </c>
      <c r="L5665" t="s">
        <v>9094</v>
      </c>
      <c r="M5665" t="s">
        <v>9094</v>
      </c>
      <c r="N5665" t="s">
        <v>11049</v>
      </c>
      <c r="O5665" t="s">
        <v>11129</v>
      </c>
      <c r="P5665" t="s">
        <v>11165</v>
      </c>
      <c r="R5665" t="s">
        <v>11180</v>
      </c>
      <c r="S5665" t="s">
        <v>9096</v>
      </c>
      <c r="T5665" t="s">
        <v>11183</v>
      </c>
      <c r="U5665" t="s">
        <v>11201</v>
      </c>
      <c r="V5665" t="s">
        <v>511</v>
      </c>
      <c r="W5665">
        <v>2050</v>
      </c>
      <c r="X5665" t="s">
        <v>11332</v>
      </c>
      <c r="Y5665" t="s">
        <v>11345</v>
      </c>
      <c r="Z5665" t="s">
        <v>14915</v>
      </c>
      <c r="AA5665" t="s">
        <v>9144</v>
      </c>
      <c r="AB5665" t="s">
        <v>19231</v>
      </c>
      <c r="AC5665">
        <v>6</v>
      </c>
      <c r="AD5665" t="s">
        <v>19566</v>
      </c>
      <c r="AE5665" t="s">
        <v>9144</v>
      </c>
      <c r="AF5665">
        <v>0</v>
      </c>
      <c r="AG5665">
        <v>1</v>
      </c>
      <c r="AH5665">
        <v>0</v>
      </c>
      <c r="AI5665">
        <v>306.43</v>
      </c>
      <c r="AJ5665" t="s">
        <v>289</v>
      </c>
      <c r="AK5665" t="s">
        <v>19612</v>
      </c>
      <c r="AL5665" t="s">
        <v>19614</v>
      </c>
      <c r="AM5665">
        <v>37200</v>
      </c>
      <c r="AN5665" t="s">
        <v>19680</v>
      </c>
      <c r="AS5665">
        <v>71.90000000000001</v>
      </c>
      <c r="AT5665" t="s">
        <v>331</v>
      </c>
      <c r="AU5665" t="s">
        <v>20631</v>
      </c>
    </row>
    <row r="5666" spans="1:48">
      <c r="A5666" s="1">
        <f>HYPERLINK("https://lsnyc.legalserver.org/matter/dynamic-profile/view/1896355","19-1896355")</f>
        <v>0</v>
      </c>
      <c r="B5666" t="s">
        <v>137</v>
      </c>
      <c r="C5666" t="s">
        <v>256</v>
      </c>
      <c r="D5666" t="s">
        <v>350</v>
      </c>
      <c r="F5666" t="s">
        <v>3161</v>
      </c>
      <c r="G5666" t="s">
        <v>5454</v>
      </c>
      <c r="H5666" t="s">
        <v>8024</v>
      </c>
      <c r="I5666" t="s">
        <v>8170</v>
      </c>
      <c r="J5666" t="s">
        <v>9067</v>
      </c>
      <c r="K5666">
        <v>10034</v>
      </c>
      <c r="L5666" t="s">
        <v>9094</v>
      </c>
      <c r="M5666" t="s">
        <v>9095</v>
      </c>
      <c r="N5666">
        <v>51766</v>
      </c>
      <c r="O5666" t="s">
        <v>11129</v>
      </c>
      <c r="P5666" t="s">
        <v>11169</v>
      </c>
      <c r="R5666" t="s">
        <v>11180</v>
      </c>
      <c r="S5666" t="s">
        <v>9096</v>
      </c>
      <c r="T5666" t="s">
        <v>11183</v>
      </c>
      <c r="V5666" t="s">
        <v>350</v>
      </c>
      <c r="W5666">
        <v>1470</v>
      </c>
      <c r="X5666" t="s">
        <v>11335</v>
      </c>
      <c r="Y5666" t="s">
        <v>11338</v>
      </c>
      <c r="Z5666" t="s">
        <v>14916</v>
      </c>
      <c r="AB5666" t="s">
        <v>19232</v>
      </c>
      <c r="AC5666">
        <v>41</v>
      </c>
      <c r="AD5666" t="s">
        <v>19566</v>
      </c>
      <c r="AE5666" t="s">
        <v>9144</v>
      </c>
      <c r="AF5666">
        <v>5</v>
      </c>
      <c r="AG5666">
        <v>2</v>
      </c>
      <c r="AH5666">
        <v>2</v>
      </c>
      <c r="AI5666">
        <v>306.45</v>
      </c>
      <c r="AL5666" t="s">
        <v>19614</v>
      </c>
      <c r="AM5666">
        <v>78910</v>
      </c>
      <c r="AS5666">
        <v>1</v>
      </c>
      <c r="AT5666" t="s">
        <v>318</v>
      </c>
      <c r="AU5666" t="s">
        <v>20658</v>
      </c>
      <c r="AV5666" t="s">
        <v>20733</v>
      </c>
    </row>
    <row r="5667" spans="1:48">
      <c r="A5667" s="1">
        <f>HYPERLINK("https://lsnyc.legalserver.org/matter/dynamic-profile/view/0826190","17-0826190")</f>
        <v>0</v>
      </c>
      <c r="B5667" t="s">
        <v>136</v>
      </c>
      <c r="C5667" t="s">
        <v>256</v>
      </c>
      <c r="D5667" t="s">
        <v>876</v>
      </c>
      <c r="F5667" t="s">
        <v>3162</v>
      </c>
      <c r="G5667" t="s">
        <v>5455</v>
      </c>
      <c r="H5667" t="s">
        <v>7148</v>
      </c>
      <c r="I5667" t="s">
        <v>8160</v>
      </c>
      <c r="J5667" t="s">
        <v>9067</v>
      </c>
      <c r="K5667">
        <v>10034</v>
      </c>
      <c r="L5667" t="s">
        <v>9094</v>
      </c>
      <c r="M5667" t="s">
        <v>9095</v>
      </c>
      <c r="O5667" t="s">
        <v>11135</v>
      </c>
      <c r="P5667" t="s">
        <v>11168</v>
      </c>
      <c r="R5667" t="s">
        <v>11180</v>
      </c>
      <c r="S5667" t="s">
        <v>9094</v>
      </c>
      <c r="T5667" t="s">
        <v>11183</v>
      </c>
      <c r="V5667" t="s">
        <v>438</v>
      </c>
      <c r="W5667">
        <v>769.23</v>
      </c>
      <c r="X5667" t="s">
        <v>11335</v>
      </c>
      <c r="Y5667" t="s">
        <v>11339</v>
      </c>
      <c r="Z5667" t="s">
        <v>13146</v>
      </c>
      <c r="AB5667" t="s">
        <v>19233</v>
      </c>
      <c r="AC5667">
        <v>26</v>
      </c>
      <c r="AD5667" t="s">
        <v>19566</v>
      </c>
      <c r="AE5667" t="s">
        <v>9144</v>
      </c>
      <c r="AF5667">
        <v>39</v>
      </c>
      <c r="AG5667">
        <v>1</v>
      </c>
      <c r="AH5667">
        <v>0</v>
      </c>
      <c r="AI5667">
        <v>306.97</v>
      </c>
      <c r="AJ5667" t="s">
        <v>11246</v>
      </c>
      <c r="AL5667" t="s">
        <v>19615</v>
      </c>
      <c r="AM5667">
        <v>36468</v>
      </c>
      <c r="AS5667">
        <v>1</v>
      </c>
      <c r="AT5667" t="s">
        <v>346</v>
      </c>
      <c r="AU5667" t="s">
        <v>20657</v>
      </c>
    </row>
    <row r="5668" spans="1:48">
      <c r="A5668" s="1">
        <f>HYPERLINK("https://lsnyc.legalserver.org/matter/dynamic-profile/view/1889991","19-1889991")</f>
        <v>0</v>
      </c>
      <c r="B5668" t="s">
        <v>103</v>
      </c>
      <c r="C5668" t="s">
        <v>256</v>
      </c>
      <c r="D5668" t="s">
        <v>447</v>
      </c>
      <c r="F5668" t="s">
        <v>1384</v>
      </c>
      <c r="G5668" t="s">
        <v>5414</v>
      </c>
      <c r="H5668" t="s">
        <v>5887</v>
      </c>
      <c r="I5668" t="s">
        <v>8969</v>
      </c>
      <c r="J5668" t="s">
        <v>9065</v>
      </c>
      <c r="K5668">
        <v>10453</v>
      </c>
      <c r="L5668" t="s">
        <v>9094</v>
      </c>
      <c r="M5668" t="s">
        <v>9094</v>
      </c>
      <c r="O5668" t="s">
        <v>11134</v>
      </c>
      <c r="P5668" t="s">
        <v>11168</v>
      </c>
      <c r="R5668" t="s">
        <v>11180</v>
      </c>
      <c r="S5668" t="s">
        <v>9094</v>
      </c>
      <c r="T5668" t="s">
        <v>11183</v>
      </c>
      <c r="V5668" t="s">
        <v>512</v>
      </c>
      <c r="W5668">
        <v>836</v>
      </c>
      <c r="X5668" t="s">
        <v>11333</v>
      </c>
      <c r="Y5668" t="s">
        <v>11346</v>
      </c>
      <c r="Z5668" t="s">
        <v>14847</v>
      </c>
      <c r="AB5668" t="s">
        <v>19169</v>
      </c>
      <c r="AC5668">
        <v>167</v>
      </c>
      <c r="AD5668" t="s">
        <v>19566</v>
      </c>
      <c r="AE5668" t="s">
        <v>19587</v>
      </c>
      <c r="AF5668">
        <v>34</v>
      </c>
      <c r="AG5668">
        <v>1</v>
      </c>
      <c r="AH5668">
        <v>0</v>
      </c>
      <c r="AI5668">
        <v>307.45</v>
      </c>
      <c r="AL5668" t="s">
        <v>19614</v>
      </c>
      <c r="AM5668">
        <v>38400</v>
      </c>
      <c r="AS5668">
        <v>0</v>
      </c>
      <c r="AU5668" t="s">
        <v>20642</v>
      </c>
    </row>
    <row r="5669" spans="1:48">
      <c r="A5669" s="1">
        <f>HYPERLINK("https://lsnyc.legalserver.org/matter/dynamic-profile/view/1889986","19-1889986")</f>
        <v>0</v>
      </c>
      <c r="B5669" t="s">
        <v>103</v>
      </c>
      <c r="C5669" t="s">
        <v>256</v>
      </c>
      <c r="D5669" t="s">
        <v>447</v>
      </c>
      <c r="F5669" t="s">
        <v>1384</v>
      </c>
      <c r="G5669" t="s">
        <v>5414</v>
      </c>
      <c r="H5669" t="s">
        <v>5887</v>
      </c>
      <c r="I5669" t="s">
        <v>8969</v>
      </c>
      <c r="J5669" t="s">
        <v>9065</v>
      </c>
      <c r="K5669">
        <v>10453</v>
      </c>
      <c r="L5669" t="s">
        <v>9094</v>
      </c>
      <c r="M5669" t="s">
        <v>9094</v>
      </c>
      <c r="N5669" t="s">
        <v>9352</v>
      </c>
      <c r="O5669" t="s">
        <v>11130</v>
      </c>
      <c r="P5669" t="s">
        <v>11165</v>
      </c>
      <c r="R5669" t="s">
        <v>11180</v>
      </c>
      <c r="S5669" t="s">
        <v>9094</v>
      </c>
      <c r="T5669" t="s">
        <v>11183</v>
      </c>
      <c r="V5669" t="s">
        <v>512</v>
      </c>
      <c r="W5669">
        <v>836</v>
      </c>
      <c r="X5669" t="s">
        <v>11333</v>
      </c>
      <c r="Y5669" t="s">
        <v>11346</v>
      </c>
      <c r="Z5669" t="s">
        <v>14847</v>
      </c>
      <c r="AB5669" t="s">
        <v>19169</v>
      </c>
      <c r="AC5669">
        <v>167</v>
      </c>
      <c r="AD5669" t="s">
        <v>19566</v>
      </c>
      <c r="AE5669" t="s">
        <v>19587</v>
      </c>
      <c r="AF5669">
        <v>34</v>
      </c>
      <c r="AG5669">
        <v>1</v>
      </c>
      <c r="AH5669">
        <v>0</v>
      </c>
      <c r="AI5669">
        <v>307.45</v>
      </c>
      <c r="AL5669" t="s">
        <v>19614</v>
      </c>
      <c r="AM5669">
        <v>38400</v>
      </c>
      <c r="AS5669">
        <v>0</v>
      </c>
      <c r="AU5669" t="s">
        <v>20642</v>
      </c>
    </row>
    <row r="5670" spans="1:48">
      <c r="A5670" s="1">
        <f>HYPERLINK("https://lsnyc.legalserver.org/matter/dynamic-profile/view/1849799","17-1849799")</f>
        <v>0</v>
      </c>
      <c r="B5670" t="s">
        <v>139</v>
      </c>
      <c r="C5670" t="s">
        <v>256</v>
      </c>
      <c r="D5670" t="s">
        <v>823</v>
      </c>
      <c r="F5670" t="s">
        <v>1450</v>
      </c>
      <c r="G5670" t="s">
        <v>3818</v>
      </c>
      <c r="H5670" t="s">
        <v>8014</v>
      </c>
      <c r="I5670" t="s">
        <v>8279</v>
      </c>
      <c r="J5670" t="s">
        <v>9067</v>
      </c>
      <c r="K5670">
        <v>10034</v>
      </c>
      <c r="L5670" t="s">
        <v>9094</v>
      </c>
      <c r="M5670" t="s">
        <v>9095</v>
      </c>
      <c r="O5670" t="s">
        <v>11130</v>
      </c>
      <c r="P5670" t="s">
        <v>11165</v>
      </c>
      <c r="R5670" t="s">
        <v>11180</v>
      </c>
      <c r="S5670" t="s">
        <v>9094</v>
      </c>
      <c r="T5670" t="s">
        <v>11183</v>
      </c>
      <c r="V5670" t="s">
        <v>823</v>
      </c>
      <c r="W5670">
        <v>1300</v>
      </c>
      <c r="X5670" t="s">
        <v>11335</v>
      </c>
      <c r="Y5670" t="s">
        <v>11338</v>
      </c>
      <c r="Z5670" t="s">
        <v>14898</v>
      </c>
      <c r="AB5670" t="s">
        <v>19220</v>
      </c>
      <c r="AC5670">
        <v>50</v>
      </c>
      <c r="AD5670" t="s">
        <v>19566</v>
      </c>
      <c r="AE5670" t="s">
        <v>9144</v>
      </c>
      <c r="AF5670">
        <v>40</v>
      </c>
      <c r="AG5670">
        <v>2</v>
      </c>
      <c r="AH5670">
        <v>0</v>
      </c>
      <c r="AI5670">
        <v>307.88</v>
      </c>
      <c r="AL5670" t="s">
        <v>19615</v>
      </c>
      <c r="AM5670">
        <v>50000</v>
      </c>
      <c r="AS5670">
        <v>12.5</v>
      </c>
      <c r="AT5670" t="s">
        <v>381</v>
      </c>
      <c r="AU5670" t="s">
        <v>130</v>
      </c>
    </row>
    <row r="5671" spans="1:48">
      <c r="A5671" s="1">
        <f>HYPERLINK("https://lsnyc.legalserver.org/matter/dynamic-profile/view/1849246","17-1849246")</f>
        <v>0</v>
      </c>
      <c r="B5671" t="s">
        <v>172</v>
      </c>
      <c r="C5671" t="s">
        <v>256</v>
      </c>
      <c r="D5671" t="s">
        <v>1117</v>
      </c>
      <c r="F5671" t="s">
        <v>1659</v>
      </c>
      <c r="G5671" t="s">
        <v>5456</v>
      </c>
      <c r="H5671" t="s">
        <v>8025</v>
      </c>
      <c r="I5671" t="s">
        <v>8982</v>
      </c>
      <c r="J5671" t="s">
        <v>9067</v>
      </c>
      <c r="K5671">
        <v>10019</v>
      </c>
      <c r="L5671" t="s">
        <v>9094</v>
      </c>
      <c r="M5671" t="s">
        <v>9095</v>
      </c>
      <c r="N5671" t="s">
        <v>11050</v>
      </c>
      <c r="O5671" t="s">
        <v>11128</v>
      </c>
      <c r="P5671" t="s">
        <v>11164</v>
      </c>
      <c r="R5671" t="s">
        <v>11180</v>
      </c>
      <c r="S5671" t="s">
        <v>9096</v>
      </c>
      <c r="T5671" t="s">
        <v>11183</v>
      </c>
      <c r="V5671" t="s">
        <v>364</v>
      </c>
      <c r="W5671">
        <v>564</v>
      </c>
      <c r="X5671" t="s">
        <v>11335</v>
      </c>
      <c r="Y5671" t="s">
        <v>11338</v>
      </c>
      <c r="Z5671" t="s">
        <v>14917</v>
      </c>
      <c r="AB5671" t="s">
        <v>19234</v>
      </c>
      <c r="AC5671">
        <v>597</v>
      </c>
      <c r="AD5671" t="s">
        <v>19566</v>
      </c>
      <c r="AE5671" t="s">
        <v>9144</v>
      </c>
      <c r="AF5671">
        <v>7</v>
      </c>
      <c r="AG5671">
        <v>1</v>
      </c>
      <c r="AH5671">
        <v>1</v>
      </c>
      <c r="AI5671">
        <v>307.88</v>
      </c>
      <c r="AJ5671" t="s">
        <v>11246</v>
      </c>
      <c r="AL5671" t="s">
        <v>19614</v>
      </c>
      <c r="AM5671">
        <v>50000</v>
      </c>
      <c r="AS5671">
        <v>0</v>
      </c>
      <c r="AU5671" t="s">
        <v>20655</v>
      </c>
    </row>
    <row r="5672" spans="1:48">
      <c r="A5672" s="1">
        <f>HYPERLINK("https://lsnyc.legalserver.org/matter/dynamic-profile/view/1888915","19-1888915")</f>
        <v>0</v>
      </c>
      <c r="B5672" t="s">
        <v>72</v>
      </c>
      <c r="C5672" t="s">
        <v>256</v>
      </c>
      <c r="D5672" t="s">
        <v>616</v>
      </c>
      <c r="F5672" t="s">
        <v>2214</v>
      </c>
      <c r="G5672" t="s">
        <v>1193</v>
      </c>
      <c r="H5672" t="s">
        <v>8026</v>
      </c>
      <c r="I5672">
        <v>14</v>
      </c>
      <c r="J5672" t="s">
        <v>9059</v>
      </c>
      <c r="K5672">
        <v>11212</v>
      </c>
      <c r="L5672" t="s">
        <v>9094</v>
      </c>
      <c r="M5672" t="s">
        <v>9094</v>
      </c>
      <c r="N5672" t="s">
        <v>11051</v>
      </c>
      <c r="O5672" t="s">
        <v>11128</v>
      </c>
      <c r="P5672" t="s">
        <v>11165</v>
      </c>
      <c r="R5672" t="s">
        <v>11180</v>
      </c>
      <c r="S5672" t="s">
        <v>9096</v>
      </c>
      <c r="T5672" t="s">
        <v>11183</v>
      </c>
      <c r="U5672" t="s">
        <v>11201</v>
      </c>
      <c r="V5672" t="s">
        <v>577</v>
      </c>
      <c r="W5672">
        <v>1078</v>
      </c>
      <c r="X5672" t="s">
        <v>11332</v>
      </c>
      <c r="Y5672" t="s">
        <v>11338</v>
      </c>
      <c r="Z5672" t="s">
        <v>14918</v>
      </c>
      <c r="AA5672" t="s">
        <v>9144</v>
      </c>
      <c r="AB5672" t="s">
        <v>19235</v>
      </c>
      <c r="AC5672">
        <v>15</v>
      </c>
      <c r="AD5672" t="s">
        <v>19566</v>
      </c>
      <c r="AE5672" t="s">
        <v>9144</v>
      </c>
      <c r="AF5672">
        <v>8</v>
      </c>
      <c r="AG5672">
        <v>2</v>
      </c>
      <c r="AH5672">
        <v>3</v>
      </c>
      <c r="AI5672">
        <v>308.25</v>
      </c>
      <c r="AL5672" t="s">
        <v>19614</v>
      </c>
      <c r="AM5672">
        <v>93000</v>
      </c>
      <c r="AN5672" t="s">
        <v>20160</v>
      </c>
      <c r="AS5672">
        <v>43.6</v>
      </c>
      <c r="AT5672" t="s">
        <v>779</v>
      </c>
      <c r="AU5672" t="s">
        <v>20629</v>
      </c>
      <c r="AV5672" t="s">
        <v>20733</v>
      </c>
    </row>
    <row r="5673" spans="1:48">
      <c r="A5673" s="1">
        <f>HYPERLINK("https://lsnyc.legalserver.org/matter/dynamic-profile/view/1875658","18-1875658")</f>
        <v>0</v>
      </c>
      <c r="B5673" t="s">
        <v>103</v>
      </c>
      <c r="C5673" t="s">
        <v>257</v>
      </c>
      <c r="D5673" t="s">
        <v>419</v>
      </c>
      <c r="E5673" t="s">
        <v>275</v>
      </c>
      <c r="F5673" t="s">
        <v>1740</v>
      </c>
      <c r="G5673" t="s">
        <v>3340</v>
      </c>
      <c r="H5673" t="s">
        <v>5854</v>
      </c>
      <c r="I5673" t="s">
        <v>8178</v>
      </c>
      <c r="J5673" t="s">
        <v>9065</v>
      </c>
      <c r="K5673">
        <v>10468</v>
      </c>
      <c r="L5673" t="s">
        <v>9094</v>
      </c>
      <c r="M5673" t="s">
        <v>9094</v>
      </c>
      <c r="O5673" t="s">
        <v>11134</v>
      </c>
      <c r="P5673" t="s">
        <v>11168</v>
      </c>
      <c r="Q5673" t="s">
        <v>11176</v>
      </c>
      <c r="R5673" t="s">
        <v>11180</v>
      </c>
      <c r="S5673" t="s">
        <v>9096</v>
      </c>
      <c r="T5673" t="s">
        <v>11183</v>
      </c>
      <c r="V5673" t="s">
        <v>572</v>
      </c>
      <c r="W5673">
        <v>1313</v>
      </c>
      <c r="X5673" t="s">
        <v>11333</v>
      </c>
      <c r="Y5673" t="s">
        <v>11346</v>
      </c>
      <c r="Z5673" t="s">
        <v>14919</v>
      </c>
      <c r="AB5673" t="s">
        <v>19236</v>
      </c>
      <c r="AC5673">
        <v>58</v>
      </c>
      <c r="AD5673" t="s">
        <v>19566</v>
      </c>
      <c r="AE5673" t="s">
        <v>9144</v>
      </c>
      <c r="AF5673">
        <v>25</v>
      </c>
      <c r="AG5673">
        <v>2</v>
      </c>
      <c r="AH5673">
        <v>0</v>
      </c>
      <c r="AI5673">
        <v>308.63</v>
      </c>
      <c r="AL5673" t="s">
        <v>19615</v>
      </c>
      <c r="AM5673">
        <v>50800</v>
      </c>
      <c r="AS5673">
        <v>3.7</v>
      </c>
      <c r="AT5673" t="s">
        <v>275</v>
      </c>
      <c r="AU5673" t="s">
        <v>20642</v>
      </c>
    </row>
    <row r="5674" spans="1:48">
      <c r="A5674" s="1">
        <f>HYPERLINK("https://lsnyc.legalserver.org/matter/dynamic-profile/view/1875655","18-1875655")</f>
        <v>0</v>
      </c>
      <c r="B5674" t="s">
        <v>103</v>
      </c>
      <c r="C5674" t="s">
        <v>257</v>
      </c>
      <c r="D5674" t="s">
        <v>419</v>
      </c>
      <c r="E5674" t="s">
        <v>275</v>
      </c>
      <c r="F5674" t="s">
        <v>1740</v>
      </c>
      <c r="G5674" t="s">
        <v>3340</v>
      </c>
      <c r="H5674" t="s">
        <v>5854</v>
      </c>
      <c r="I5674" t="s">
        <v>8178</v>
      </c>
      <c r="J5674" t="s">
        <v>9065</v>
      </c>
      <c r="K5674">
        <v>10468</v>
      </c>
      <c r="L5674" t="s">
        <v>9094</v>
      </c>
      <c r="M5674" t="s">
        <v>9094</v>
      </c>
      <c r="N5674" t="s">
        <v>9219</v>
      </c>
      <c r="O5674" t="s">
        <v>11130</v>
      </c>
      <c r="P5674" t="s">
        <v>11165</v>
      </c>
      <c r="Q5674" t="s">
        <v>11174</v>
      </c>
      <c r="R5674" t="s">
        <v>11180</v>
      </c>
      <c r="S5674" t="s">
        <v>9094</v>
      </c>
      <c r="T5674" t="s">
        <v>11183</v>
      </c>
      <c r="V5674" t="s">
        <v>540</v>
      </c>
      <c r="W5674">
        <v>1313</v>
      </c>
      <c r="X5674" t="s">
        <v>11333</v>
      </c>
      <c r="Y5674" t="s">
        <v>11346</v>
      </c>
      <c r="Z5674" t="s">
        <v>14919</v>
      </c>
      <c r="AB5674" t="s">
        <v>19236</v>
      </c>
      <c r="AC5674">
        <v>58</v>
      </c>
      <c r="AD5674" t="s">
        <v>19566</v>
      </c>
      <c r="AE5674" t="s">
        <v>9144</v>
      </c>
      <c r="AF5674">
        <v>25</v>
      </c>
      <c r="AG5674">
        <v>2</v>
      </c>
      <c r="AH5674">
        <v>0</v>
      </c>
      <c r="AI5674">
        <v>308.63</v>
      </c>
      <c r="AL5674" t="s">
        <v>19615</v>
      </c>
      <c r="AM5674">
        <v>50800</v>
      </c>
      <c r="AS5674">
        <v>0.3</v>
      </c>
      <c r="AT5674" t="s">
        <v>275</v>
      </c>
      <c r="AU5674" t="s">
        <v>20642</v>
      </c>
    </row>
    <row r="5675" spans="1:48">
      <c r="A5675" s="1">
        <f>HYPERLINK("https://lsnyc.legalserver.org/matter/dynamic-profile/view/0806286","16-0806286")</f>
        <v>0</v>
      </c>
      <c r="B5675" t="s">
        <v>93</v>
      </c>
      <c r="C5675" t="s">
        <v>256</v>
      </c>
      <c r="D5675" t="s">
        <v>932</v>
      </c>
      <c r="F5675" t="s">
        <v>1442</v>
      </c>
      <c r="G5675" t="s">
        <v>3770</v>
      </c>
      <c r="H5675" t="s">
        <v>8027</v>
      </c>
      <c r="I5675" t="s">
        <v>8128</v>
      </c>
      <c r="J5675" t="s">
        <v>9059</v>
      </c>
      <c r="K5675">
        <v>11213</v>
      </c>
      <c r="L5675" t="s">
        <v>9094</v>
      </c>
      <c r="M5675" t="s">
        <v>9095</v>
      </c>
      <c r="N5675" t="s">
        <v>11052</v>
      </c>
      <c r="O5675" t="s">
        <v>11128</v>
      </c>
      <c r="P5675" t="s">
        <v>11165</v>
      </c>
      <c r="R5675" t="s">
        <v>11180</v>
      </c>
      <c r="S5675" t="s">
        <v>9094</v>
      </c>
      <c r="T5675" t="s">
        <v>11183</v>
      </c>
      <c r="V5675" t="s">
        <v>932</v>
      </c>
      <c r="W5675">
        <v>850</v>
      </c>
      <c r="X5675" t="s">
        <v>11332</v>
      </c>
      <c r="Y5675" t="s">
        <v>11339</v>
      </c>
      <c r="Z5675" t="s">
        <v>14920</v>
      </c>
      <c r="AB5675" t="s">
        <v>19237</v>
      </c>
      <c r="AC5675">
        <v>5</v>
      </c>
      <c r="AD5675" t="s">
        <v>19565</v>
      </c>
      <c r="AE5675" t="s">
        <v>9144</v>
      </c>
      <c r="AF5675">
        <v>32</v>
      </c>
      <c r="AG5675">
        <v>1</v>
      </c>
      <c r="AH5675">
        <v>0</v>
      </c>
      <c r="AI5675">
        <v>309.01</v>
      </c>
      <c r="AJ5675" t="s">
        <v>11307</v>
      </c>
      <c r="AL5675" t="s">
        <v>19614</v>
      </c>
      <c r="AM5675">
        <v>36710</v>
      </c>
      <c r="AS5675">
        <v>254.25</v>
      </c>
      <c r="AT5675" t="s">
        <v>484</v>
      </c>
      <c r="AU5675" t="s">
        <v>20730</v>
      </c>
    </row>
    <row r="5676" spans="1:48">
      <c r="A5676" s="1">
        <f>HYPERLINK("https://lsnyc.legalserver.org/matter/dynamic-profile/view/1913928","19-1913928")</f>
        <v>0</v>
      </c>
      <c r="B5676" t="s">
        <v>215</v>
      </c>
      <c r="C5676" t="s">
        <v>256</v>
      </c>
      <c r="D5676" t="s">
        <v>556</v>
      </c>
      <c r="F5676" t="s">
        <v>3163</v>
      </c>
      <c r="G5676" t="s">
        <v>5457</v>
      </c>
      <c r="H5676" t="s">
        <v>8028</v>
      </c>
      <c r="I5676" t="s">
        <v>8291</v>
      </c>
      <c r="J5676" t="s">
        <v>9059</v>
      </c>
      <c r="K5676">
        <v>11203</v>
      </c>
      <c r="L5676" t="s">
        <v>9094</v>
      </c>
      <c r="M5676" t="s">
        <v>9095</v>
      </c>
      <c r="P5676" t="s">
        <v>11166</v>
      </c>
      <c r="R5676" t="s">
        <v>11180</v>
      </c>
      <c r="T5676" t="s">
        <v>11183</v>
      </c>
      <c r="V5676" t="s">
        <v>703</v>
      </c>
      <c r="W5676">
        <v>658</v>
      </c>
      <c r="X5676" t="s">
        <v>11332</v>
      </c>
      <c r="Y5676" t="s">
        <v>11341</v>
      </c>
      <c r="Z5676" t="s">
        <v>14921</v>
      </c>
      <c r="AB5676" t="s">
        <v>19238</v>
      </c>
      <c r="AC5676">
        <v>66</v>
      </c>
      <c r="AF5676">
        <v>22</v>
      </c>
      <c r="AG5676">
        <v>1</v>
      </c>
      <c r="AH5676">
        <v>0</v>
      </c>
      <c r="AI5676">
        <v>309.46</v>
      </c>
      <c r="AL5676" t="s">
        <v>19614</v>
      </c>
      <c r="AM5676">
        <v>38651</v>
      </c>
      <c r="AS5676">
        <v>0.95</v>
      </c>
      <c r="AT5676" t="s">
        <v>395</v>
      </c>
      <c r="AU5676" t="s">
        <v>20731</v>
      </c>
    </row>
    <row r="5677" spans="1:48">
      <c r="A5677" s="1">
        <f>HYPERLINK("https://lsnyc.legalserver.org/matter/dynamic-profile/view/1887829","19-1887829")</f>
        <v>0</v>
      </c>
      <c r="B5677" t="s">
        <v>78</v>
      </c>
      <c r="C5677" t="s">
        <v>256</v>
      </c>
      <c r="D5677" t="s">
        <v>363</v>
      </c>
      <c r="F5677" t="s">
        <v>1276</v>
      </c>
      <c r="G5677" t="s">
        <v>5458</v>
      </c>
      <c r="H5677" t="s">
        <v>5785</v>
      </c>
      <c r="I5677" t="s">
        <v>8983</v>
      </c>
      <c r="J5677" t="s">
        <v>9059</v>
      </c>
      <c r="K5677">
        <v>11225</v>
      </c>
      <c r="L5677" t="s">
        <v>9094</v>
      </c>
      <c r="M5677" t="s">
        <v>9095</v>
      </c>
      <c r="O5677" t="s">
        <v>11134</v>
      </c>
      <c r="P5677" t="s">
        <v>11168</v>
      </c>
      <c r="R5677" t="s">
        <v>11180</v>
      </c>
      <c r="S5677" t="s">
        <v>9094</v>
      </c>
      <c r="T5677" t="s">
        <v>11183</v>
      </c>
      <c r="V5677" t="s">
        <v>412</v>
      </c>
      <c r="W5677">
        <v>744</v>
      </c>
      <c r="X5677" t="s">
        <v>11332</v>
      </c>
      <c r="Y5677" t="s">
        <v>11339</v>
      </c>
      <c r="Z5677" t="s">
        <v>14922</v>
      </c>
      <c r="AB5677" t="s">
        <v>19239</v>
      </c>
      <c r="AC5677">
        <v>89</v>
      </c>
      <c r="AD5677" t="s">
        <v>19566</v>
      </c>
      <c r="AE5677" t="s">
        <v>9144</v>
      </c>
      <c r="AF5677">
        <v>38</v>
      </c>
      <c r="AG5677">
        <v>2</v>
      </c>
      <c r="AH5677">
        <v>0</v>
      </c>
      <c r="AI5677">
        <v>309.84</v>
      </c>
      <c r="AL5677" t="s">
        <v>19614</v>
      </c>
      <c r="AM5677">
        <v>51000.01</v>
      </c>
      <c r="AS5677">
        <v>0</v>
      </c>
      <c r="AU5677" t="s">
        <v>79</v>
      </c>
    </row>
    <row r="5678" spans="1:48">
      <c r="A5678" s="1">
        <f>HYPERLINK("https://lsnyc.legalserver.org/matter/dynamic-profile/view/1895447","19-1895447")</f>
        <v>0</v>
      </c>
      <c r="B5678" t="s">
        <v>69</v>
      </c>
      <c r="C5678" t="s">
        <v>257</v>
      </c>
      <c r="D5678" t="s">
        <v>512</v>
      </c>
      <c r="E5678" t="s">
        <v>326</v>
      </c>
      <c r="F5678" t="s">
        <v>1186</v>
      </c>
      <c r="G5678" t="s">
        <v>2930</v>
      </c>
      <c r="H5678" t="s">
        <v>6266</v>
      </c>
      <c r="I5678" t="s">
        <v>8984</v>
      </c>
      <c r="J5678" t="s">
        <v>9059</v>
      </c>
      <c r="K5678">
        <v>11208</v>
      </c>
      <c r="L5678" t="s">
        <v>9094</v>
      </c>
      <c r="M5678" t="s">
        <v>9094</v>
      </c>
      <c r="N5678" t="s">
        <v>11053</v>
      </c>
      <c r="O5678" t="s">
        <v>11131</v>
      </c>
      <c r="P5678" t="s">
        <v>11168</v>
      </c>
      <c r="Q5678" t="s">
        <v>11178</v>
      </c>
      <c r="R5678" t="s">
        <v>11180</v>
      </c>
      <c r="S5678" t="s">
        <v>9096</v>
      </c>
      <c r="T5678" t="s">
        <v>11184</v>
      </c>
      <c r="V5678" t="s">
        <v>350</v>
      </c>
      <c r="W5678">
        <v>1255</v>
      </c>
      <c r="X5678" t="s">
        <v>11332</v>
      </c>
      <c r="Y5678" t="s">
        <v>11340</v>
      </c>
      <c r="Z5678" t="s">
        <v>14923</v>
      </c>
      <c r="AB5678" t="s">
        <v>19240</v>
      </c>
      <c r="AC5678">
        <v>272</v>
      </c>
      <c r="AD5678" t="s">
        <v>19566</v>
      </c>
      <c r="AE5678" t="s">
        <v>19587</v>
      </c>
      <c r="AF5678">
        <v>7</v>
      </c>
      <c r="AG5678">
        <v>1</v>
      </c>
      <c r="AH5678">
        <v>0</v>
      </c>
      <c r="AI5678">
        <v>310.04</v>
      </c>
      <c r="AL5678" t="s">
        <v>19614</v>
      </c>
      <c r="AM5678">
        <v>38724</v>
      </c>
      <c r="AS5678">
        <v>6.75</v>
      </c>
      <c r="AT5678" t="s">
        <v>326</v>
      </c>
      <c r="AU5678" t="s">
        <v>79</v>
      </c>
    </row>
    <row r="5679" spans="1:48">
      <c r="A5679" s="1">
        <f>HYPERLINK("https://lsnyc.legalserver.org/matter/dynamic-profile/view/0810502","16-0810502")</f>
        <v>0</v>
      </c>
      <c r="B5679" t="s">
        <v>85</v>
      </c>
      <c r="C5679" t="s">
        <v>256</v>
      </c>
      <c r="D5679" t="s">
        <v>1118</v>
      </c>
      <c r="F5679" t="s">
        <v>3164</v>
      </c>
      <c r="G5679" t="s">
        <v>5459</v>
      </c>
      <c r="H5679" t="s">
        <v>7981</v>
      </c>
      <c r="J5679" t="s">
        <v>9059</v>
      </c>
      <c r="K5679">
        <v>11217</v>
      </c>
      <c r="L5679" t="s">
        <v>9094</v>
      </c>
      <c r="M5679" t="s">
        <v>9095</v>
      </c>
      <c r="N5679" t="s">
        <v>11054</v>
      </c>
      <c r="O5679" t="s">
        <v>11128</v>
      </c>
      <c r="P5679" t="s">
        <v>11165</v>
      </c>
      <c r="R5679" t="s">
        <v>11180</v>
      </c>
      <c r="T5679" t="s">
        <v>11183</v>
      </c>
      <c r="W5679">
        <v>270</v>
      </c>
      <c r="X5679" t="s">
        <v>11332</v>
      </c>
      <c r="Y5679" t="s">
        <v>11346</v>
      </c>
      <c r="Z5679" t="s">
        <v>14434</v>
      </c>
      <c r="AC5679">
        <v>6</v>
      </c>
      <c r="AD5679" t="s">
        <v>19566</v>
      </c>
      <c r="AE5679" t="s">
        <v>9144</v>
      </c>
      <c r="AF5679">
        <v>6</v>
      </c>
      <c r="AG5679">
        <v>1</v>
      </c>
      <c r="AH5679">
        <v>0</v>
      </c>
      <c r="AI5679">
        <v>311.45</v>
      </c>
      <c r="AL5679" t="s">
        <v>19614</v>
      </c>
      <c r="AM5679">
        <v>37000</v>
      </c>
      <c r="AS5679">
        <v>237.3</v>
      </c>
      <c r="AT5679" t="s">
        <v>703</v>
      </c>
      <c r="AU5679" t="s">
        <v>20630</v>
      </c>
    </row>
    <row r="5680" spans="1:48">
      <c r="A5680" s="1">
        <f>HYPERLINK("https://lsnyc.legalserver.org/matter/dynamic-profile/view/1836760","17-1836760")</f>
        <v>0</v>
      </c>
      <c r="B5680" t="s">
        <v>139</v>
      </c>
      <c r="C5680" t="s">
        <v>256</v>
      </c>
      <c r="D5680" t="s">
        <v>740</v>
      </c>
      <c r="F5680" t="s">
        <v>1693</v>
      </c>
      <c r="G5680" t="s">
        <v>3448</v>
      </c>
      <c r="H5680" t="s">
        <v>6363</v>
      </c>
      <c r="I5680" t="s">
        <v>8446</v>
      </c>
      <c r="J5680" t="s">
        <v>9067</v>
      </c>
      <c r="K5680">
        <v>10040</v>
      </c>
      <c r="L5680" t="s">
        <v>9094</v>
      </c>
      <c r="M5680" t="s">
        <v>9095</v>
      </c>
      <c r="N5680">
        <v>34134667</v>
      </c>
      <c r="O5680" t="s">
        <v>11130</v>
      </c>
      <c r="P5680" t="s">
        <v>11165</v>
      </c>
      <c r="R5680" t="s">
        <v>11180</v>
      </c>
      <c r="S5680" t="s">
        <v>9094</v>
      </c>
      <c r="T5680" t="s">
        <v>11183</v>
      </c>
      <c r="V5680" t="s">
        <v>837</v>
      </c>
      <c r="W5680">
        <v>1333.78</v>
      </c>
      <c r="X5680" t="s">
        <v>11335</v>
      </c>
      <c r="Y5680" t="s">
        <v>11339</v>
      </c>
      <c r="Z5680" t="s">
        <v>13168</v>
      </c>
      <c r="AB5680" t="s">
        <v>19241</v>
      </c>
      <c r="AC5680">
        <v>83</v>
      </c>
      <c r="AD5680" t="s">
        <v>19566</v>
      </c>
      <c r="AE5680" t="s">
        <v>9144</v>
      </c>
      <c r="AF5680">
        <v>40</v>
      </c>
      <c r="AG5680">
        <v>2</v>
      </c>
      <c r="AH5680">
        <v>0</v>
      </c>
      <c r="AI5680">
        <v>311.58</v>
      </c>
      <c r="AJ5680" t="s">
        <v>463</v>
      </c>
      <c r="AL5680" t="s">
        <v>19615</v>
      </c>
      <c r="AM5680">
        <v>50600</v>
      </c>
      <c r="AS5680">
        <v>0</v>
      </c>
      <c r="AU5680" t="s">
        <v>20657</v>
      </c>
    </row>
    <row r="5681" spans="1:48">
      <c r="A5681" s="1">
        <f>HYPERLINK("https://lsnyc.legalserver.org/matter/dynamic-profile/view/1915315","19-1915315")</f>
        <v>0</v>
      </c>
      <c r="B5681" t="s">
        <v>70</v>
      </c>
      <c r="C5681" t="s">
        <v>256</v>
      </c>
      <c r="D5681" t="s">
        <v>321</v>
      </c>
      <c r="F5681" t="s">
        <v>1523</v>
      </c>
      <c r="G5681" t="s">
        <v>1260</v>
      </c>
      <c r="H5681" t="s">
        <v>6621</v>
      </c>
      <c r="I5681">
        <v>38</v>
      </c>
      <c r="J5681" t="s">
        <v>9059</v>
      </c>
      <c r="K5681">
        <v>11213</v>
      </c>
      <c r="L5681" t="s">
        <v>9094</v>
      </c>
      <c r="M5681" t="s">
        <v>9095</v>
      </c>
      <c r="N5681" t="s">
        <v>10392</v>
      </c>
      <c r="O5681" t="s">
        <v>11132</v>
      </c>
      <c r="P5681" t="s">
        <v>11165</v>
      </c>
      <c r="R5681" t="s">
        <v>11180</v>
      </c>
      <c r="S5681" t="s">
        <v>9094</v>
      </c>
      <c r="T5681" t="s">
        <v>11183</v>
      </c>
      <c r="U5681" t="s">
        <v>11201</v>
      </c>
      <c r="V5681" t="s">
        <v>377</v>
      </c>
      <c r="W5681">
        <v>1161.8</v>
      </c>
      <c r="X5681" t="s">
        <v>11332</v>
      </c>
      <c r="Y5681" t="s">
        <v>11339</v>
      </c>
      <c r="Z5681" t="s">
        <v>14924</v>
      </c>
      <c r="AA5681" t="s">
        <v>9171</v>
      </c>
      <c r="AC5681">
        <v>31</v>
      </c>
      <c r="AD5681" t="s">
        <v>19566</v>
      </c>
      <c r="AE5681" t="s">
        <v>9144</v>
      </c>
      <c r="AF5681">
        <v>8</v>
      </c>
      <c r="AG5681">
        <v>2</v>
      </c>
      <c r="AH5681">
        <v>0</v>
      </c>
      <c r="AI5681">
        <v>312.24</v>
      </c>
      <c r="AL5681" t="s">
        <v>19614</v>
      </c>
      <c r="AM5681">
        <v>52800</v>
      </c>
      <c r="AN5681" t="s">
        <v>20161</v>
      </c>
      <c r="AS5681">
        <v>0</v>
      </c>
      <c r="AU5681" t="s">
        <v>95</v>
      </c>
      <c r="AV5681" t="s">
        <v>20733</v>
      </c>
    </row>
    <row r="5682" spans="1:48">
      <c r="A5682" s="1">
        <f>HYPERLINK("https://lsnyc.legalserver.org/matter/dynamic-profile/view/1915317","19-1915317")</f>
        <v>0</v>
      </c>
      <c r="B5682" t="s">
        <v>202</v>
      </c>
      <c r="C5682" t="s">
        <v>256</v>
      </c>
      <c r="D5682" t="s">
        <v>321</v>
      </c>
      <c r="F5682" t="s">
        <v>1523</v>
      </c>
      <c r="G5682" t="s">
        <v>1260</v>
      </c>
      <c r="H5682" t="s">
        <v>6621</v>
      </c>
      <c r="I5682">
        <v>38</v>
      </c>
      <c r="J5682" t="s">
        <v>9059</v>
      </c>
      <c r="K5682">
        <v>11213</v>
      </c>
      <c r="L5682" t="s">
        <v>9094</v>
      </c>
      <c r="M5682" t="s">
        <v>9095</v>
      </c>
      <c r="N5682" t="s">
        <v>9171</v>
      </c>
      <c r="O5682" t="s">
        <v>9121</v>
      </c>
      <c r="P5682" t="s">
        <v>11167</v>
      </c>
      <c r="R5682" t="s">
        <v>11180</v>
      </c>
      <c r="S5682" t="s">
        <v>9094</v>
      </c>
      <c r="T5682" t="s">
        <v>11183</v>
      </c>
      <c r="U5682" t="s">
        <v>11201</v>
      </c>
      <c r="V5682" t="s">
        <v>377</v>
      </c>
      <c r="W5682">
        <v>1161.8</v>
      </c>
      <c r="X5682" t="s">
        <v>11332</v>
      </c>
      <c r="Y5682" t="s">
        <v>11339</v>
      </c>
      <c r="Z5682" t="s">
        <v>14924</v>
      </c>
      <c r="AA5682" t="s">
        <v>9171</v>
      </c>
      <c r="AC5682">
        <v>31</v>
      </c>
      <c r="AD5682" t="s">
        <v>19566</v>
      </c>
      <c r="AE5682" t="s">
        <v>9144</v>
      </c>
      <c r="AF5682">
        <v>8</v>
      </c>
      <c r="AG5682">
        <v>2</v>
      </c>
      <c r="AH5682">
        <v>0</v>
      </c>
      <c r="AI5682">
        <v>312.24</v>
      </c>
      <c r="AL5682" t="s">
        <v>19614</v>
      </c>
      <c r="AM5682">
        <v>52800</v>
      </c>
      <c r="AN5682" t="s">
        <v>20161</v>
      </c>
      <c r="AS5682">
        <v>0</v>
      </c>
      <c r="AU5682" t="s">
        <v>95</v>
      </c>
      <c r="AV5682" t="s">
        <v>20733</v>
      </c>
    </row>
    <row r="5683" spans="1:48">
      <c r="A5683" s="1">
        <f>HYPERLINK("https://lsnyc.legalserver.org/matter/dynamic-profile/view/1896309","19-1896309")</f>
        <v>0</v>
      </c>
      <c r="B5683" t="s">
        <v>52</v>
      </c>
      <c r="C5683" t="s">
        <v>257</v>
      </c>
      <c r="D5683" t="s">
        <v>350</v>
      </c>
      <c r="E5683" t="s">
        <v>1016</v>
      </c>
      <c r="F5683" t="s">
        <v>3165</v>
      </c>
      <c r="G5683" t="s">
        <v>3650</v>
      </c>
      <c r="H5683" t="s">
        <v>5692</v>
      </c>
      <c r="I5683" t="s">
        <v>8747</v>
      </c>
      <c r="J5683" t="s">
        <v>9038</v>
      </c>
      <c r="K5683">
        <v>11691</v>
      </c>
      <c r="L5683" t="s">
        <v>9094</v>
      </c>
      <c r="M5683" t="s">
        <v>9094</v>
      </c>
      <c r="O5683" t="s">
        <v>11134</v>
      </c>
      <c r="P5683" t="s">
        <v>11167</v>
      </c>
      <c r="Q5683" t="s">
        <v>11173</v>
      </c>
      <c r="R5683" t="s">
        <v>11180</v>
      </c>
      <c r="S5683" t="s">
        <v>9094</v>
      </c>
      <c r="T5683" t="s">
        <v>11183</v>
      </c>
      <c r="U5683" t="s">
        <v>11201</v>
      </c>
      <c r="V5683" t="s">
        <v>350</v>
      </c>
      <c r="W5683">
        <v>637</v>
      </c>
      <c r="X5683" t="s">
        <v>11331</v>
      </c>
      <c r="Y5683" t="s">
        <v>11339</v>
      </c>
      <c r="Z5683" t="s">
        <v>14925</v>
      </c>
      <c r="AA5683" t="s">
        <v>15274</v>
      </c>
      <c r="AB5683" t="s">
        <v>19242</v>
      </c>
      <c r="AC5683">
        <v>43</v>
      </c>
      <c r="AD5683" t="s">
        <v>19566</v>
      </c>
      <c r="AE5683" t="s">
        <v>9144</v>
      </c>
      <c r="AF5683">
        <v>28</v>
      </c>
      <c r="AG5683">
        <v>1</v>
      </c>
      <c r="AH5683">
        <v>0</v>
      </c>
      <c r="AI5683">
        <v>312.25</v>
      </c>
      <c r="AL5683" t="s">
        <v>19614</v>
      </c>
      <c r="AM5683">
        <v>39000</v>
      </c>
      <c r="AS5683">
        <v>0.1</v>
      </c>
      <c r="AT5683" t="s">
        <v>1016</v>
      </c>
      <c r="AU5683" t="s">
        <v>20622</v>
      </c>
      <c r="AV5683" t="s">
        <v>20733</v>
      </c>
    </row>
    <row r="5684" spans="1:48">
      <c r="A5684" s="1">
        <f>HYPERLINK("https://lsnyc.legalserver.org/matter/dynamic-profile/view/1896320","19-1896320")</f>
        <v>0</v>
      </c>
      <c r="B5684" t="s">
        <v>52</v>
      </c>
      <c r="C5684" t="s">
        <v>256</v>
      </c>
      <c r="D5684" t="s">
        <v>350</v>
      </c>
      <c r="F5684" t="s">
        <v>3165</v>
      </c>
      <c r="G5684" t="s">
        <v>3650</v>
      </c>
      <c r="H5684" t="s">
        <v>5692</v>
      </c>
      <c r="I5684" t="s">
        <v>8747</v>
      </c>
      <c r="J5684" t="s">
        <v>9038</v>
      </c>
      <c r="K5684">
        <v>11691</v>
      </c>
      <c r="L5684" t="s">
        <v>9094</v>
      </c>
      <c r="M5684" t="s">
        <v>9094</v>
      </c>
      <c r="O5684" t="s">
        <v>11136</v>
      </c>
      <c r="P5684" t="s">
        <v>11167</v>
      </c>
      <c r="R5684" t="s">
        <v>11180</v>
      </c>
      <c r="S5684" t="s">
        <v>9094</v>
      </c>
      <c r="T5684" t="s">
        <v>11183</v>
      </c>
      <c r="V5684" t="s">
        <v>350</v>
      </c>
      <c r="W5684">
        <v>637</v>
      </c>
      <c r="X5684" t="s">
        <v>11331</v>
      </c>
      <c r="Y5684" t="s">
        <v>11339</v>
      </c>
      <c r="Z5684" t="s">
        <v>14925</v>
      </c>
      <c r="AA5684" t="s">
        <v>15274</v>
      </c>
      <c r="AB5684" t="s">
        <v>19242</v>
      </c>
      <c r="AC5684">
        <v>43</v>
      </c>
      <c r="AD5684" t="s">
        <v>19566</v>
      </c>
      <c r="AE5684" t="s">
        <v>9144</v>
      </c>
      <c r="AF5684">
        <v>28</v>
      </c>
      <c r="AG5684">
        <v>1</v>
      </c>
      <c r="AH5684">
        <v>0</v>
      </c>
      <c r="AI5684">
        <v>312.25</v>
      </c>
      <c r="AL5684" t="s">
        <v>19614</v>
      </c>
      <c r="AM5684">
        <v>39000</v>
      </c>
      <c r="AS5684">
        <v>0</v>
      </c>
      <c r="AU5684" t="s">
        <v>20622</v>
      </c>
    </row>
    <row r="5685" spans="1:48">
      <c r="A5685" s="1">
        <f>HYPERLINK("https://lsnyc.legalserver.org/matter/dynamic-profile/view/1898259","19-1898259")</f>
        <v>0</v>
      </c>
      <c r="B5685" t="s">
        <v>70</v>
      </c>
      <c r="C5685" t="s">
        <v>256</v>
      </c>
      <c r="D5685" t="s">
        <v>596</v>
      </c>
      <c r="F5685" t="s">
        <v>3166</v>
      </c>
      <c r="G5685" t="s">
        <v>5460</v>
      </c>
      <c r="H5685" t="s">
        <v>5748</v>
      </c>
      <c r="I5685" t="s">
        <v>8139</v>
      </c>
      <c r="J5685" t="s">
        <v>9059</v>
      </c>
      <c r="K5685">
        <v>11233</v>
      </c>
      <c r="L5685" t="s">
        <v>9094</v>
      </c>
      <c r="M5685" t="s">
        <v>9096</v>
      </c>
      <c r="N5685" t="s">
        <v>9145</v>
      </c>
      <c r="O5685" t="s">
        <v>11134</v>
      </c>
      <c r="P5685" t="s">
        <v>11168</v>
      </c>
      <c r="R5685" t="s">
        <v>11180</v>
      </c>
      <c r="S5685" t="s">
        <v>9094</v>
      </c>
      <c r="T5685" t="s">
        <v>11183</v>
      </c>
      <c r="U5685" t="s">
        <v>11201</v>
      </c>
      <c r="V5685" t="s">
        <v>482</v>
      </c>
      <c r="W5685">
        <v>1872.98</v>
      </c>
      <c r="X5685" t="s">
        <v>11332</v>
      </c>
      <c r="Y5685" t="s">
        <v>11157</v>
      </c>
      <c r="Z5685" t="s">
        <v>11422</v>
      </c>
      <c r="AC5685">
        <v>359</v>
      </c>
      <c r="AD5685" t="s">
        <v>19566</v>
      </c>
      <c r="AF5685">
        <v>2</v>
      </c>
      <c r="AG5685">
        <v>1</v>
      </c>
      <c r="AH5685">
        <v>0</v>
      </c>
      <c r="AI5685">
        <v>312.25</v>
      </c>
      <c r="AL5685" t="s">
        <v>19614</v>
      </c>
      <c r="AM5685">
        <v>39000</v>
      </c>
      <c r="AN5685" t="s">
        <v>19885</v>
      </c>
      <c r="AS5685">
        <v>0</v>
      </c>
      <c r="AU5685" t="s">
        <v>79</v>
      </c>
    </row>
    <row r="5686" spans="1:48">
      <c r="A5686" s="1">
        <f>HYPERLINK("https://lsnyc.legalserver.org/matter/dynamic-profile/view/1898848","19-1898848")</f>
        <v>0</v>
      </c>
      <c r="B5686" t="s">
        <v>70</v>
      </c>
      <c r="C5686" t="s">
        <v>256</v>
      </c>
      <c r="D5686" t="s">
        <v>337</v>
      </c>
      <c r="F5686" t="s">
        <v>1450</v>
      </c>
      <c r="G5686" t="s">
        <v>5461</v>
      </c>
      <c r="H5686" t="s">
        <v>5748</v>
      </c>
      <c r="I5686" t="s">
        <v>8985</v>
      </c>
      <c r="J5686" t="s">
        <v>9059</v>
      </c>
      <c r="K5686">
        <v>11233</v>
      </c>
      <c r="L5686" t="s">
        <v>9094</v>
      </c>
      <c r="M5686" t="s">
        <v>9096</v>
      </c>
      <c r="N5686" t="s">
        <v>9145</v>
      </c>
      <c r="O5686" t="s">
        <v>11134</v>
      </c>
      <c r="P5686" t="s">
        <v>11168</v>
      </c>
      <c r="R5686" t="s">
        <v>11180</v>
      </c>
      <c r="S5686" t="s">
        <v>9094</v>
      </c>
      <c r="T5686" t="s">
        <v>11183</v>
      </c>
      <c r="U5686" t="s">
        <v>11201</v>
      </c>
      <c r="V5686" t="s">
        <v>482</v>
      </c>
      <c r="W5686">
        <v>628.51</v>
      </c>
      <c r="X5686" t="s">
        <v>11332</v>
      </c>
      <c r="Y5686" t="s">
        <v>11157</v>
      </c>
      <c r="Z5686" t="s">
        <v>13311</v>
      </c>
      <c r="AC5686">
        <v>359</v>
      </c>
      <c r="AD5686" t="s">
        <v>19566</v>
      </c>
      <c r="AF5686">
        <v>3</v>
      </c>
      <c r="AG5686">
        <v>1</v>
      </c>
      <c r="AH5686">
        <v>0</v>
      </c>
      <c r="AI5686">
        <v>312.25</v>
      </c>
      <c r="AL5686" t="s">
        <v>19614</v>
      </c>
      <c r="AM5686">
        <v>39000</v>
      </c>
      <c r="AN5686" t="s">
        <v>19642</v>
      </c>
      <c r="AS5686">
        <v>0</v>
      </c>
      <c r="AU5686" t="s">
        <v>79</v>
      </c>
    </row>
    <row r="5687" spans="1:48">
      <c r="A5687" s="1">
        <f>HYPERLINK("https://lsnyc.legalserver.org/matter/dynamic-profile/view/1898851","19-1898851")</f>
        <v>0</v>
      </c>
      <c r="B5687" t="s">
        <v>70</v>
      </c>
      <c r="C5687" t="s">
        <v>256</v>
      </c>
      <c r="D5687" t="s">
        <v>337</v>
      </c>
      <c r="F5687" t="s">
        <v>1450</v>
      </c>
      <c r="G5687" t="s">
        <v>5461</v>
      </c>
      <c r="H5687" t="s">
        <v>5748</v>
      </c>
      <c r="I5687" t="s">
        <v>8985</v>
      </c>
      <c r="J5687" t="s">
        <v>9059</v>
      </c>
      <c r="K5687">
        <v>11233</v>
      </c>
      <c r="L5687" t="s">
        <v>9094</v>
      </c>
      <c r="M5687" t="s">
        <v>9096</v>
      </c>
      <c r="O5687" t="s">
        <v>11137</v>
      </c>
      <c r="P5687" t="s">
        <v>11167</v>
      </c>
      <c r="R5687" t="s">
        <v>11180</v>
      </c>
      <c r="S5687" t="s">
        <v>9094</v>
      </c>
      <c r="T5687" t="s">
        <v>11183</v>
      </c>
      <c r="U5687" t="s">
        <v>11201</v>
      </c>
      <c r="V5687" t="s">
        <v>749</v>
      </c>
      <c r="W5687">
        <v>628.51</v>
      </c>
      <c r="X5687" t="s">
        <v>11332</v>
      </c>
      <c r="Y5687" t="s">
        <v>11157</v>
      </c>
      <c r="Z5687" t="s">
        <v>13311</v>
      </c>
      <c r="AC5687">
        <v>359</v>
      </c>
      <c r="AD5687" t="s">
        <v>19566</v>
      </c>
      <c r="AF5687">
        <v>3</v>
      </c>
      <c r="AG5687">
        <v>1</v>
      </c>
      <c r="AH5687">
        <v>0</v>
      </c>
      <c r="AI5687">
        <v>312.25</v>
      </c>
      <c r="AL5687" t="s">
        <v>19614</v>
      </c>
      <c r="AM5687">
        <v>39000</v>
      </c>
      <c r="AN5687" t="s">
        <v>20162</v>
      </c>
      <c r="AS5687">
        <v>0</v>
      </c>
      <c r="AU5687" t="s">
        <v>79</v>
      </c>
    </row>
    <row r="5688" spans="1:48">
      <c r="A5688" s="1">
        <f>HYPERLINK("https://lsnyc.legalserver.org/matter/dynamic-profile/view/1905072","19-1905072")</f>
        <v>0</v>
      </c>
      <c r="B5688" t="s">
        <v>215</v>
      </c>
      <c r="C5688" t="s">
        <v>256</v>
      </c>
      <c r="D5688" t="s">
        <v>367</v>
      </c>
      <c r="F5688" t="s">
        <v>3167</v>
      </c>
      <c r="G5688" t="s">
        <v>5462</v>
      </c>
      <c r="H5688" t="s">
        <v>8029</v>
      </c>
      <c r="I5688" t="s">
        <v>8119</v>
      </c>
      <c r="J5688" t="s">
        <v>9059</v>
      </c>
      <c r="K5688">
        <v>11226</v>
      </c>
      <c r="L5688" t="s">
        <v>9095</v>
      </c>
      <c r="M5688" t="s">
        <v>9095</v>
      </c>
      <c r="O5688" t="s">
        <v>11129</v>
      </c>
      <c r="R5688" t="s">
        <v>11180</v>
      </c>
      <c r="S5688" t="s">
        <v>9096</v>
      </c>
      <c r="T5688" t="s">
        <v>11183</v>
      </c>
      <c r="W5688">
        <v>762</v>
      </c>
      <c r="X5688" t="s">
        <v>11332</v>
      </c>
      <c r="Y5688" t="s">
        <v>11338</v>
      </c>
      <c r="Z5688" t="s">
        <v>14926</v>
      </c>
      <c r="AB5688" t="s">
        <v>19243</v>
      </c>
      <c r="AC5688">
        <v>42</v>
      </c>
      <c r="AE5688" t="s">
        <v>9144</v>
      </c>
      <c r="AF5688">
        <v>21</v>
      </c>
      <c r="AG5688">
        <v>1</v>
      </c>
      <c r="AH5688">
        <v>0</v>
      </c>
      <c r="AI5688">
        <v>312.25</v>
      </c>
      <c r="AL5688" t="s">
        <v>19614</v>
      </c>
      <c r="AM5688">
        <v>39000</v>
      </c>
      <c r="AN5688" t="s">
        <v>20163</v>
      </c>
      <c r="AS5688">
        <v>0.5</v>
      </c>
      <c r="AT5688" t="s">
        <v>367</v>
      </c>
      <c r="AU5688" t="s">
        <v>20635</v>
      </c>
    </row>
    <row r="5689" spans="1:48">
      <c r="A5689" s="1">
        <f>HYPERLINK("https://lsnyc.legalserver.org/matter/dynamic-profile/view/1911843","19-1911843")</f>
        <v>0</v>
      </c>
      <c r="B5689" t="s">
        <v>115</v>
      </c>
      <c r="C5689" t="s">
        <v>256</v>
      </c>
      <c r="D5689" t="s">
        <v>284</v>
      </c>
      <c r="F5689" t="s">
        <v>3168</v>
      </c>
      <c r="G5689" t="s">
        <v>5463</v>
      </c>
      <c r="H5689" t="s">
        <v>6051</v>
      </c>
      <c r="I5689" t="s">
        <v>8279</v>
      </c>
      <c r="J5689" t="s">
        <v>9065</v>
      </c>
      <c r="K5689">
        <v>10452</v>
      </c>
      <c r="L5689" t="s">
        <v>9094</v>
      </c>
      <c r="M5689" t="s">
        <v>9095</v>
      </c>
      <c r="O5689" t="s">
        <v>11134</v>
      </c>
      <c r="P5689" t="s">
        <v>11168</v>
      </c>
      <c r="R5689" t="s">
        <v>11180</v>
      </c>
      <c r="S5689" t="s">
        <v>9094</v>
      </c>
      <c r="T5689" t="s">
        <v>11183</v>
      </c>
      <c r="W5689">
        <v>1182</v>
      </c>
      <c r="X5689" t="s">
        <v>11333</v>
      </c>
      <c r="Y5689" t="s">
        <v>11346</v>
      </c>
      <c r="Z5689" t="s">
        <v>14927</v>
      </c>
      <c r="AB5689" t="s">
        <v>19244</v>
      </c>
      <c r="AC5689">
        <v>52</v>
      </c>
      <c r="AD5689" t="s">
        <v>19566</v>
      </c>
      <c r="AE5689" t="s">
        <v>9144</v>
      </c>
      <c r="AF5689">
        <v>4</v>
      </c>
      <c r="AG5689">
        <v>1</v>
      </c>
      <c r="AH5689">
        <v>0</v>
      </c>
      <c r="AI5689">
        <v>312.25</v>
      </c>
      <c r="AL5689" t="s">
        <v>19614</v>
      </c>
      <c r="AM5689">
        <v>39000</v>
      </c>
      <c r="AS5689">
        <v>0.4</v>
      </c>
      <c r="AT5689" t="s">
        <v>284</v>
      </c>
      <c r="AU5689" t="s">
        <v>174</v>
      </c>
      <c r="AV5689" t="s">
        <v>20733</v>
      </c>
    </row>
    <row r="5690" spans="1:48">
      <c r="A5690" s="1">
        <f>HYPERLINK("https://lsnyc.legalserver.org/matter/dynamic-profile/view/1911847","19-1911847")</f>
        <v>0</v>
      </c>
      <c r="B5690" t="s">
        <v>115</v>
      </c>
      <c r="C5690" t="s">
        <v>256</v>
      </c>
      <c r="D5690" t="s">
        <v>284</v>
      </c>
      <c r="F5690" t="s">
        <v>3168</v>
      </c>
      <c r="G5690" t="s">
        <v>5463</v>
      </c>
      <c r="H5690" t="s">
        <v>6051</v>
      </c>
      <c r="I5690" t="s">
        <v>8279</v>
      </c>
      <c r="J5690" t="s">
        <v>9065</v>
      </c>
      <c r="K5690">
        <v>10452</v>
      </c>
      <c r="L5690" t="s">
        <v>9094</v>
      </c>
      <c r="M5690" t="s">
        <v>9095</v>
      </c>
      <c r="O5690" t="s">
        <v>11134</v>
      </c>
      <c r="P5690" t="s">
        <v>11168</v>
      </c>
      <c r="R5690" t="s">
        <v>11180</v>
      </c>
      <c r="S5690" t="s">
        <v>9094</v>
      </c>
      <c r="T5690" t="s">
        <v>11183</v>
      </c>
      <c r="W5690">
        <v>1182</v>
      </c>
      <c r="X5690" t="s">
        <v>11333</v>
      </c>
      <c r="Y5690" t="s">
        <v>11346</v>
      </c>
      <c r="Z5690" t="s">
        <v>14927</v>
      </c>
      <c r="AB5690" t="s">
        <v>19244</v>
      </c>
      <c r="AC5690">
        <v>52</v>
      </c>
      <c r="AD5690" t="s">
        <v>19566</v>
      </c>
      <c r="AE5690" t="s">
        <v>9144</v>
      </c>
      <c r="AF5690">
        <v>4</v>
      </c>
      <c r="AG5690">
        <v>1</v>
      </c>
      <c r="AH5690">
        <v>0</v>
      </c>
      <c r="AI5690">
        <v>312.25</v>
      </c>
      <c r="AL5690" t="s">
        <v>19614</v>
      </c>
      <c r="AM5690">
        <v>39000</v>
      </c>
      <c r="AS5690">
        <v>0.4</v>
      </c>
      <c r="AT5690" t="s">
        <v>284</v>
      </c>
      <c r="AU5690" t="s">
        <v>174</v>
      </c>
      <c r="AV5690" t="s">
        <v>20733</v>
      </c>
    </row>
    <row r="5691" spans="1:48">
      <c r="A5691" s="1">
        <f>HYPERLINK("https://lsnyc.legalserver.org/matter/dynamic-profile/view/1865455","18-1865455")</f>
        <v>0</v>
      </c>
      <c r="B5691" t="s">
        <v>143</v>
      </c>
      <c r="C5691" t="s">
        <v>256</v>
      </c>
      <c r="D5691" t="s">
        <v>1032</v>
      </c>
      <c r="F5691" t="s">
        <v>3169</v>
      </c>
      <c r="G5691" t="s">
        <v>5464</v>
      </c>
      <c r="H5691" t="s">
        <v>8030</v>
      </c>
      <c r="I5691" t="s">
        <v>8149</v>
      </c>
      <c r="J5691" t="s">
        <v>9067</v>
      </c>
      <c r="K5691">
        <v>10027</v>
      </c>
      <c r="L5691" t="s">
        <v>9094</v>
      </c>
      <c r="M5691" t="s">
        <v>9095</v>
      </c>
      <c r="N5691" t="s">
        <v>11055</v>
      </c>
      <c r="O5691" t="s">
        <v>11143</v>
      </c>
      <c r="P5691" t="s">
        <v>11165</v>
      </c>
      <c r="R5691" t="s">
        <v>11180</v>
      </c>
      <c r="S5691" t="s">
        <v>9094</v>
      </c>
      <c r="T5691" t="s">
        <v>11183</v>
      </c>
      <c r="V5691" t="s">
        <v>1032</v>
      </c>
      <c r="W5691">
        <v>0</v>
      </c>
      <c r="X5691" t="s">
        <v>11335</v>
      </c>
      <c r="Y5691" t="s">
        <v>11340</v>
      </c>
      <c r="Z5691" t="s">
        <v>14928</v>
      </c>
      <c r="AB5691" t="s">
        <v>19245</v>
      </c>
      <c r="AC5691">
        <v>17</v>
      </c>
      <c r="AD5691" t="s">
        <v>19566</v>
      </c>
      <c r="AE5691" t="s">
        <v>9144</v>
      </c>
      <c r="AF5691">
        <v>25</v>
      </c>
      <c r="AG5691">
        <v>2</v>
      </c>
      <c r="AH5691">
        <v>1</v>
      </c>
      <c r="AI5691">
        <v>312.8</v>
      </c>
      <c r="AJ5691" t="s">
        <v>11246</v>
      </c>
      <c r="AL5691" t="s">
        <v>19614</v>
      </c>
      <c r="AM5691">
        <v>80600</v>
      </c>
      <c r="AS5691">
        <v>11.1</v>
      </c>
      <c r="AT5691" t="s">
        <v>832</v>
      </c>
      <c r="AU5691" t="s">
        <v>20655</v>
      </c>
    </row>
    <row r="5692" spans="1:48">
      <c r="A5692" s="1">
        <f>HYPERLINK("https://lsnyc.legalserver.org/matter/dynamic-profile/view/1906964","19-1906964")</f>
        <v>0</v>
      </c>
      <c r="B5692" t="s">
        <v>67</v>
      </c>
      <c r="C5692" t="s">
        <v>257</v>
      </c>
      <c r="D5692" t="s">
        <v>370</v>
      </c>
      <c r="E5692" t="s">
        <v>648</v>
      </c>
      <c r="F5692" t="s">
        <v>3170</v>
      </c>
      <c r="G5692" t="s">
        <v>4197</v>
      </c>
      <c r="H5692" t="s">
        <v>8031</v>
      </c>
      <c r="J5692" t="s">
        <v>9067</v>
      </c>
      <c r="K5692">
        <v>10009</v>
      </c>
      <c r="L5692" t="s">
        <v>9094</v>
      </c>
      <c r="M5692" t="s">
        <v>9095</v>
      </c>
      <c r="O5692" t="s">
        <v>11137</v>
      </c>
      <c r="P5692" t="s">
        <v>11166</v>
      </c>
      <c r="Q5692" t="s">
        <v>11173</v>
      </c>
      <c r="R5692" t="s">
        <v>11180</v>
      </c>
      <c r="T5692" t="s">
        <v>11183</v>
      </c>
      <c r="V5692" t="s">
        <v>370</v>
      </c>
      <c r="W5692">
        <v>0</v>
      </c>
      <c r="X5692" t="s">
        <v>11332</v>
      </c>
      <c r="Z5692" t="s">
        <v>14929</v>
      </c>
      <c r="AB5692" t="s">
        <v>19246</v>
      </c>
      <c r="AC5692">
        <v>88</v>
      </c>
      <c r="AF5692">
        <v>0</v>
      </c>
      <c r="AG5692">
        <v>2</v>
      </c>
      <c r="AH5692">
        <v>0</v>
      </c>
      <c r="AI5692">
        <v>313.02</v>
      </c>
      <c r="AL5692" t="s">
        <v>19614</v>
      </c>
      <c r="AM5692">
        <v>52932</v>
      </c>
      <c r="AN5692" t="s">
        <v>20164</v>
      </c>
      <c r="AS5692">
        <v>42</v>
      </c>
      <c r="AT5692" t="s">
        <v>648</v>
      </c>
      <c r="AU5692" t="s">
        <v>67</v>
      </c>
      <c r="AV5692" t="s">
        <v>20733</v>
      </c>
    </row>
    <row r="5693" spans="1:48">
      <c r="A5693" s="1">
        <f>HYPERLINK("https://lsnyc.legalserver.org/matter/dynamic-profile/view/1913835","19-1913835")</f>
        <v>0</v>
      </c>
      <c r="B5693" t="s">
        <v>65</v>
      </c>
      <c r="C5693" t="s">
        <v>256</v>
      </c>
      <c r="D5693" t="s">
        <v>301</v>
      </c>
      <c r="F5693" t="s">
        <v>3171</v>
      </c>
      <c r="G5693" t="s">
        <v>3513</v>
      </c>
      <c r="H5693" t="s">
        <v>5742</v>
      </c>
      <c r="I5693" t="s">
        <v>8170</v>
      </c>
      <c r="J5693" t="s">
        <v>9059</v>
      </c>
      <c r="K5693">
        <v>11238</v>
      </c>
      <c r="L5693" t="s">
        <v>9094</v>
      </c>
      <c r="M5693" t="s">
        <v>9095</v>
      </c>
      <c r="P5693" t="s">
        <v>11165</v>
      </c>
      <c r="R5693" t="s">
        <v>11180</v>
      </c>
      <c r="S5693" t="s">
        <v>9094</v>
      </c>
      <c r="T5693" t="s">
        <v>11183</v>
      </c>
      <c r="V5693" t="s">
        <v>301</v>
      </c>
      <c r="W5693">
        <v>0</v>
      </c>
      <c r="X5693" t="s">
        <v>11332</v>
      </c>
      <c r="Y5693" t="s">
        <v>11342</v>
      </c>
      <c r="Z5693" t="s">
        <v>14930</v>
      </c>
      <c r="AC5693">
        <v>29</v>
      </c>
      <c r="AD5693" t="s">
        <v>19566</v>
      </c>
      <c r="AF5693">
        <v>0</v>
      </c>
      <c r="AG5693">
        <v>2</v>
      </c>
      <c r="AH5693">
        <v>0</v>
      </c>
      <c r="AI5693">
        <v>313.42</v>
      </c>
      <c r="AL5693" t="s">
        <v>19615</v>
      </c>
      <c r="AM5693">
        <v>53000</v>
      </c>
      <c r="AS5693">
        <v>0.5</v>
      </c>
      <c r="AT5693" t="s">
        <v>301</v>
      </c>
      <c r="AU5693" t="s">
        <v>67</v>
      </c>
    </row>
    <row r="5694" spans="1:48">
      <c r="A5694" s="1">
        <f>HYPERLINK("https://lsnyc.legalserver.org/matter/dynamic-profile/view/1915061","19-1915061")</f>
        <v>0</v>
      </c>
      <c r="B5694" t="s">
        <v>142</v>
      </c>
      <c r="C5694" t="s">
        <v>256</v>
      </c>
      <c r="D5694" t="s">
        <v>377</v>
      </c>
      <c r="F5694" t="s">
        <v>3172</v>
      </c>
      <c r="G5694" t="s">
        <v>3444</v>
      </c>
      <c r="H5694" t="s">
        <v>8032</v>
      </c>
      <c r="I5694" t="s">
        <v>8229</v>
      </c>
      <c r="J5694" t="s">
        <v>9067</v>
      </c>
      <c r="K5694">
        <v>10035</v>
      </c>
      <c r="L5694" t="s">
        <v>9094</v>
      </c>
      <c r="M5694" t="s">
        <v>9095</v>
      </c>
      <c r="O5694" t="s">
        <v>11134</v>
      </c>
      <c r="P5694" t="s">
        <v>11165</v>
      </c>
      <c r="R5694" t="s">
        <v>11180</v>
      </c>
      <c r="S5694" t="s">
        <v>9094</v>
      </c>
      <c r="T5694" t="s">
        <v>11183</v>
      </c>
      <c r="U5694" t="s">
        <v>11201</v>
      </c>
      <c r="V5694" t="s">
        <v>377</v>
      </c>
      <c r="W5694">
        <v>1065</v>
      </c>
      <c r="X5694" t="s">
        <v>11335</v>
      </c>
      <c r="Y5694" t="s">
        <v>11340</v>
      </c>
      <c r="Z5694" t="s">
        <v>14931</v>
      </c>
      <c r="AC5694">
        <v>60</v>
      </c>
      <c r="AD5694" t="s">
        <v>19566</v>
      </c>
      <c r="AE5694" t="s">
        <v>9144</v>
      </c>
      <c r="AF5694">
        <v>14</v>
      </c>
      <c r="AG5694">
        <v>2</v>
      </c>
      <c r="AH5694">
        <v>0</v>
      </c>
      <c r="AI5694">
        <v>313.42</v>
      </c>
      <c r="AL5694" t="s">
        <v>19614</v>
      </c>
      <c r="AM5694">
        <v>53000</v>
      </c>
      <c r="AS5694">
        <v>0</v>
      </c>
      <c r="AU5694" t="s">
        <v>20657</v>
      </c>
      <c r="AV5694" t="s">
        <v>20733</v>
      </c>
    </row>
    <row r="5695" spans="1:48">
      <c r="A5695" s="1">
        <f>HYPERLINK("https://lsnyc.legalserver.org/matter/dynamic-profile/view/1914775","19-1914775")</f>
        <v>0</v>
      </c>
      <c r="B5695" t="s">
        <v>142</v>
      </c>
      <c r="C5695" t="s">
        <v>256</v>
      </c>
      <c r="D5695" t="s">
        <v>632</v>
      </c>
      <c r="F5695" t="s">
        <v>3172</v>
      </c>
      <c r="G5695" t="s">
        <v>3444</v>
      </c>
      <c r="H5695" t="s">
        <v>8032</v>
      </c>
      <c r="I5695" t="s">
        <v>8229</v>
      </c>
      <c r="J5695" t="s">
        <v>9067</v>
      </c>
      <c r="K5695">
        <v>10035</v>
      </c>
      <c r="L5695" t="s">
        <v>9094</v>
      </c>
      <c r="M5695" t="s">
        <v>9095</v>
      </c>
      <c r="O5695" t="s">
        <v>11130</v>
      </c>
      <c r="P5695" t="s">
        <v>11165</v>
      </c>
      <c r="R5695" t="s">
        <v>11180</v>
      </c>
      <c r="S5695" t="s">
        <v>9094</v>
      </c>
      <c r="T5695" t="s">
        <v>11183</v>
      </c>
      <c r="U5695" t="s">
        <v>11201</v>
      </c>
      <c r="V5695" t="s">
        <v>632</v>
      </c>
      <c r="W5695">
        <v>1065</v>
      </c>
      <c r="X5695" t="s">
        <v>11335</v>
      </c>
      <c r="Y5695" t="s">
        <v>11340</v>
      </c>
      <c r="Z5695" t="s">
        <v>14931</v>
      </c>
      <c r="AC5695">
        <v>60</v>
      </c>
      <c r="AD5695" t="s">
        <v>19566</v>
      </c>
      <c r="AE5695" t="s">
        <v>9144</v>
      </c>
      <c r="AF5695">
        <v>14</v>
      </c>
      <c r="AG5695">
        <v>2</v>
      </c>
      <c r="AH5695">
        <v>0</v>
      </c>
      <c r="AI5695">
        <v>313.42</v>
      </c>
      <c r="AL5695" t="s">
        <v>19614</v>
      </c>
      <c r="AM5695">
        <v>53000</v>
      </c>
      <c r="AS5695">
        <v>0</v>
      </c>
      <c r="AU5695" t="s">
        <v>20657</v>
      </c>
      <c r="AV5695" t="s">
        <v>20733</v>
      </c>
    </row>
    <row r="5696" spans="1:48">
      <c r="A5696" s="1">
        <f>HYPERLINK("https://lsnyc.legalserver.org/matter/dynamic-profile/view/1897721","19-1897721")</f>
        <v>0</v>
      </c>
      <c r="B5696" t="s">
        <v>142</v>
      </c>
      <c r="C5696" t="s">
        <v>256</v>
      </c>
      <c r="D5696" t="s">
        <v>291</v>
      </c>
      <c r="F5696" t="s">
        <v>3172</v>
      </c>
      <c r="G5696" t="s">
        <v>3444</v>
      </c>
      <c r="H5696" t="s">
        <v>8032</v>
      </c>
      <c r="I5696" t="s">
        <v>8229</v>
      </c>
      <c r="J5696" t="s">
        <v>9067</v>
      </c>
      <c r="K5696">
        <v>10035</v>
      </c>
      <c r="L5696" t="s">
        <v>9094</v>
      </c>
      <c r="M5696" t="s">
        <v>9094</v>
      </c>
      <c r="O5696" t="s">
        <v>9121</v>
      </c>
      <c r="P5696" t="s">
        <v>11167</v>
      </c>
      <c r="R5696" t="s">
        <v>11180</v>
      </c>
      <c r="S5696" t="s">
        <v>9094</v>
      </c>
      <c r="T5696" t="s">
        <v>11183</v>
      </c>
      <c r="U5696" t="s">
        <v>11201</v>
      </c>
      <c r="V5696" t="s">
        <v>317</v>
      </c>
      <c r="W5696">
        <v>1065</v>
      </c>
      <c r="X5696" t="s">
        <v>11335</v>
      </c>
      <c r="Y5696" t="s">
        <v>11350</v>
      </c>
      <c r="Z5696" t="s">
        <v>14931</v>
      </c>
      <c r="AC5696">
        <v>60</v>
      </c>
      <c r="AD5696" t="s">
        <v>19566</v>
      </c>
      <c r="AE5696" t="s">
        <v>9144</v>
      </c>
      <c r="AF5696">
        <v>14</v>
      </c>
      <c r="AG5696">
        <v>2</v>
      </c>
      <c r="AH5696">
        <v>0</v>
      </c>
      <c r="AI5696">
        <v>313.42</v>
      </c>
      <c r="AL5696" t="s">
        <v>19614</v>
      </c>
      <c r="AM5696">
        <v>53000</v>
      </c>
      <c r="AN5696" t="s">
        <v>19728</v>
      </c>
      <c r="AS5696">
        <v>0.75</v>
      </c>
      <c r="AT5696" t="s">
        <v>496</v>
      </c>
      <c r="AU5696" t="s">
        <v>20657</v>
      </c>
      <c r="AV5696" t="s">
        <v>20733</v>
      </c>
    </row>
    <row r="5697" spans="1:48">
      <c r="A5697" s="1">
        <f>HYPERLINK("https://lsnyc.legalserver.org/matter/dynamic-profile/view/1912103","19-1912103")</f>
        <v>0</v>
      </c>
      <c r="B5697" t="s">
        <v>140</v>
      </c>
      <c r="C5697" t="s">
        <v>256</v>
      </c>
      <c r="D5697" t="s">
        <v>404</v>
      </c>
      <c r="F5697" t="s">
        <v>3173</v>
      </c>
      <c r="G5697" t="s">
        <v>5465</v>
      </c>
      <c r="H5697" t="s">
        <v>8033</v>
      </c>
      <c r="I5697" t="s">
        <v>8170</v>
      </c>
      <c r="J5697" t="s">
        <v>9067</v>
      </c>
      <c r="K5697">
        <v>10034</v>
      </c>
      <c r="L5697" t="s">
        <v>9094</v>
      </c>
      <c r="M5697" t="s">
        <v>9095</v>
      </c>
      <c r="P5697" t="s">
        <v>11165</v>
      </c>
      <c r="R5697" t="s">
        <v>11180</v>
      </c>
      <c r="S5697" t="s">
        <v>9096</v>
      </c>
      <c r="T5697" t="s">
        <v>11183</v>
      </c>
      <c r="V5697" t="s">
        <v>404</v>
      </c>
      <c r="W5697">
        <v>2300</v>
      </c>
      <c r="X5697" t="s">
        <v>11335</v>
      </c>
      <c r="Y5697" t="s">
        <v>11340</v>
      </c>
      <c r="Z5697" t="s">
        <v>11889</v>
      </c>
      <c r="AB5697" t="s">
        <v>19247</v>
      </c>
      <c r="AC5697">
        <v>20</v>
      </c>
      <c r="AD5697" t="s">
        <v>19566</v>
      </c>
      <c r="AE5697" t="s">
        <v>9144</v>
      </c>
      <c r="AF5697">
        <v>11</v>
      </c>
      <c r="AG5697">
        <v>2</v>
      </c>
      <c r="AH5697">
        <v>0</v>
      </c>
      <c r="AI5697">
        <v>313.42</v>
      </c>
      <c r="AJ5697" t="s">
        <v>595</v>
      </c>
      <c r="AK5697" t="s">
        <v>19612</v>
      </c>
      <c r="AL5697" t="s">
        <v>19614</v>
      </c>
      <c r="AM5697">
        <v>53000</v>
      </c>
      <c r="AS5697">
        <v>18.25</v>
      </c>
      <c r="AT5697" t="s">
        <v>703</v>
      </c>
      <c r="AU5697" t="s">
        <v>130</v>
      </c>
      <c r="AV5697" t="s">
        <v>20733</v>
      </c>
    </row>
    <row r="5698" spans="1:48">
      <c r="A5698" s="1">
        <f>HYPERLINK("https://lsnyc.legalserver.org/matter/dynamic-profile/view/1880432","18-1880432")</f>
        <v>0</v>
      </c>
      <c r="B5698" t="s">
        <v>147</v>
      </c>
      <c r="C5698" t="s">
        <v>256</v>
      </c>
      <c r="D5698" t="s">
        <v>355</v>
      </c>
      <c r="F5698" t="s">
        <v>3174</v>
      </c>
      <c r="G5698" t="s">
        <v>5466</v>
      </c>
      <c r="H5698" t="s">
        <v>5931</v>
      </c>
      <c r="I5698" t="s">
        <v>8348</v>
      </c>
      <c r="J5698" t="s">
        <v>9066</v>
      </c>
      <c r="K5698">
        <v>10301</v>
      </c>
      <c r="L5698" t="s">
        <v>9094</v>
      </c>
      <c r="M5698" t="s">
        <v>9094</v>
      </c>
      <c r="N5698" t="s">
        <v>11056</v>
      </c>
      <c r="O5698" t="s">
        <v>11129</v>
      </c>
      <c r="P5698" t="s">
        <v>11165</v>
      </c>
      <c r="R5698" t="s">
        <v>11180</v>
      </c>
      <c r="S5698" t="s">
        <v>9096</v>
      </c>
      <c r="T5698" t="s">
        <v>11183</v>
      </c>
      <c r="U5698" t="s">
        <v>11201</v>
      </c>
      <c r="V5698" t="s">
        <v>355</v>
      </c>
      <c r="W5698">
        <v>1215</v>
      </c>
      <c r="X5698" t="s">
        <v>11334</v>
      </c>
      <c r="Y5698" t="s">
        <v>11340</v>
      </c>
      <c r="Z5698" t="s">
        <v>14932</v>
      </c>
      <c r="AB5698" t="s">
        <v>19248</v>
      </c>
      <c r="AC5698">
        <v>122</v>
      </c>
      <c r="AD5698" t="s">
        <v>19566</v>
      </c>
      <c r="AE5698" t="s">
        <v>9144</v>
      </c>
      <c r="AF5698">
        <v>5</v>
      </c>
      <c r="AG5698">
        <v>1</v>
      </c>
      <c r="AH5698">
        <v>0</v>
      </c>
      <c r="AI5698">
        <v>313.79</v>
      </c>
      <c r="AJ5698" t="s">
        <v>868</v>
      </c>
      <c r="AK5698" t="s">
        <v>19612</v>
      </c>
      <c r="AL5698" t="s">
        <v>19614</v>
      </c>
      <c r="AM5698">
        <v>38094</v>
      </c>
      <c r="AO5698" t="s">
        <v>20304</v>
      </c>
      <c r="AP5698" t="s">
        <v>20309</v>
      </c>
      <c r="AQ5698" t="s">
        <v>20369</v>
      </c>
      <c r="AR5698" t="s">
        <v>20575</v>
      </c>
      <c r="AS5698">
        <v>47</v>
      </c>
      <c r="AT5698" t="s">
        <v>377</v>
      </c>
      <c r="AU5698" t="s">
        <v>20654</v>
      </c>
      <c r="AV5698" t="s">
        <v>20733</v>
      </c>
    </row>
    <row r="5699" spans="1:48">
      <c r="A5699" s="1">
        <f>HYPERLINK("https://lsnyc.legalserver.org/matter/dynamic-profile/view/1879530","18-1879530")</f>
        <v>0</v>
      </c>
      <c r="B5699" t="s">
        <v>165</v>
      </c>
      <c r="C5699" t="s">
        <v>256</v>
      </c>
      <c r="D5699" t="s">
        <v>452</v>
      </c>
      <c r="F5699" t="s">
        <v>3175</v>
      </c>
      <c r="G5699" t="s">
        <v>3761</v>
      </c>
      <c r="H5699" t="s">
        <v>6934</v>
      </c>
      <c r="I5699" t="s">
        <v>8446</v>
      </c>
      <c r="J5699" t="s">
        <v>9059</v>
      </c>
      <c r="K5699">
        <v>11216</v>
      </c>
      <c r="L5699" t="s">
        <v>9094</v>
      </c>
      <c r="M5699" t="s">
        <v>9094</v>
      </c>
      <c r="N5699" t="s">
        <v>10050</v>
      </c>
      <c r="O5699" t="s">
        <v>11132</v>
      </c>
      <c r="P5699" t="s">
        <v>11165</v>
      </c>
      <c r="R5699" t="s">
        <v>11180</v>
      </c>
      <c r="S5699" t="s">
        <v>9094</v>
      </c>
      <c r="T5699" t="s">
        <v>11183</v>
      </c>
      <c r="U5699" t="s">
        <v>11201</v>
      </c>
      <c r="V5699" t="s">
        <v>565</v>
      </c>
      <c r="W5699">
        <v>2200</v>
      </c>
      <c r="X5699" t="s">
        <v>11332</v>
      </c>
      <c r="Y5699" t="s">
        <v>11339</v>
      </c>
      <c r="Z5699" t="s">
        <v>14171</v>
      </c>
      <c r="AB5699" t="s">
        <v>19249</v>
      </c>
      <c r="AC5699">
        <v>82</v>
      </c>
      <c r="AD5699" t="s">
        <v>19566</v>
      </c>
      <c r="AE5699" t="s">
        <v>9144</v>
      </c>
      <c r="AF5699">
        <v>5</v>
      </c>
      <c r="AG5699">
        <v>2</v>
      </c>
      <c r="AH5699">
        <v>5</v>
      </c>
      <c r="AI5699">
        <v>315.29</v>
      </c>
      <c r="AJ5699" t="s">
        <v>440</v>
      </c>
      <c r="AK5699" t="s">
        <v>19612</v>
      </c>
      <c r="AL5699" t="s">
        <v>19614</v>
      </c>
      <c r="AM5699">
        <v>120000</v>
      </c>
      <c r="AN5699" t="s">
        <v>19720</v>
      </c>
      <c r="AS5699">
        <v>0</v>
      </c>
      <c r="AU5699" t="s">
        <v>95</v>
      </c>
    </row>
    <row r="5700" spans="1:48">
      <c r="A5700" s="1">
        <f>HYPERLINK("https://lsnyc.legalserver.org/matter/dynamic-profile/view/1879525","18-1879525")</f>
        <v>0</v>
      </c>
      <c r="B5700" t="s">
        <v>165</v>
      </c>
      <c r="C5700" t="s">
        <v>256</v>
      </c>
      <c r="D5700" t="s">
        <v>452</v>
      </c>
      <c r="F5700" t="s">
        <v>3175</v>
      </c>
      <c r="G5700" t="s">
        <v>3761</v>
      </c>
      <c r="H5700" t="s">
        <v>6934</v>
      </c>
      <c r="I5700" t="s">
        <v>8446</v>
      </c>
      <c r="J5700" t="s">
        <v>9059</v>
      </c>
      <c r="K5700">
        <v>11216</v>
      </c>
      <c r="L5700" t="s">
        <v>9094</v>
      </c>
      <c r="M5700" t="s">
        <v>9094</v>
      </c>
      <c r="N5700" t="s">
        <v>9121</v>
      </c>
      <c r="O5700" t="s">
        <v>11137</v>
      </c>
      <c r="P5700" t="s">
        <v>11167</v>
      </c>
      <c r="R5700" t="s">
        <v>11180</v>
      </c>
      <c r="S5700" t="s">
        <v>9094</v>
      </c>
      <c r="T5700" t="s">
        <v>11183</v>
      </c>
      <c r="V5700" t="s">
        <v>565</v>
      </c>
      <c r="W5700">
        <v>2200</v>
      </c>
      <c r="X5700" t="s">
        <v>11332</v>
      </c>
      <c r="Y5700" t="s">
        <v>11339</v>
      </c>
      <c r="Z5700" t="s">
        <v>14171</v>
      </c>
      <c r="AB5700" t="s">
        <v>19249</v>
      </c>
      <c r="AC5700">
        <v>82</v>
      </c>
      <c r="AD5700" t="s">
        <v>19566</v>
      </c>
      <c r="AE5700" t="s">
        <v>9144</v>
      </c>
      <c r="AF5700">
        <v>5</v>
      </c>
      <c r="AG5700">
        <v>2</v>
      </c>
      <c r="AH5700">
        <v>5</v>
      </c>
      <c r="AI5700">
        <v>315.29</v>
      </c>
      <c r="AJ5700" t="s">
        <v>440</v>
      </c>
      <c r="AK5700" t="s">
        <v>19612</v>
      </c>
      <c r="AL5700" t="s">
        <v>19614</v>
      </c>
      <c r="AM5700">
        <v>120000</v>
      </c>
      <c r="AN5700" t="s">
        <v>19720</v>
      </c>
      <c r="AS5700">
        <v>0</v>
      </c>
      <c r="AU5700" t="s">
        <v>95</v>
      </c>
    </row>
    <row r="5701" spans="1:48">
      <c r="A5701" s="1">
        <f>HYPERLINK("https://lsnyc.legalserver.org/matter/dynamic-profile/view/1908649","19-1908649")</f>
        <v>0</v>
      </c>
      <c r="B5701" t="s">
        <v>98</v>
      </c>
      <c r="C5701" t="s">
        <v>256</v>
      </c>
      <c r="D5701" t="s">
        <v>574</v>
      </c>
      <c r="F5701" t="s">
        <v>3176</v>
      </c>
      <c r="G5701" t="s">
        <v>3861</v>
      </c>
      <c r="H5701" t="s">
        <v>5851</v>
      </c>
      <c r="I5701" t="s">
        <v>8140</v>
      </c>
      <c r="J5701" t="s">
        <v>9065</v>
      </c>
      <c r="K5701">
        <v>10474</v>
      </c>
      <c r="L5701" t="s">
        <v>9095</v>
      </c>
      <c r="M5701" t="s">
        <v>9095</v>
      </c>
      <c r="N5701" t="s">
        <v>9218</v>
      </c>
      <c r="O5701" t="s">
        <v>11134</v>
      </c>
      <c r="P5701" t="s">
        <v>11168</v>
      </c>
      <c r="R5701" t="s">
        <v>11180</v>
      </c>
      <c r="S5701" t="s">
        <v>9094</v>
      </c>
      <c r="T5701" t="s">
        <v>11183</v>
      </c>
      <c r="W5701">
        <v>0</v>
      </c>
      <c r="X5701" t="s">
        <v>11333</v>
      </c>
      <c r="Z5701" t="s">
        <v>14933</v>
      </c>
      <c r="AB5701" t="s">
        <v>19250</v>
      </c>
      <c r="AC5701">
        <v>0</v>
      </c>
      <c r="AF5701">
        <v>0</v>
      </c>
      <c r="AG5701">
        <v>1</v>
      </c>
      <c r="AH5701">
        <v>0</v>
      </c>
      <c r="AI5701">
        <v>316.41</v>
      </c>
      <c r="AL5701" t="s">
        <v>19614</v>
      </c>
      <c r="AM5701">
        <v>39520</v>
      </c>
      <c r="AS5701">
        <v>0</v>
      </c>
      <c r="AU5701" t="s">
        <v>98</v>
      </c>
    </row>
    <row r="5702" spans="1:48">
      <c r="A5702" s="1">
        <f>HYPERLINK("https://lsnyc.legalserver.org/matter/dynamic-profile/view/1907861","19-1907861")</f>
        <v>0</v>
      </c>
      <c r="B5702" t="s">
        <v>98</v>
      </c>
      <c r="C5702" t="s">
        <v>256</v>
      </c>
      <c r="D5702" t="s">
        <v>396</v>
      </c>
      <c r="F5702" t="s">
        <v>3176</v>
      </c>
      <c r="G5702" t="s">
        <v>3861</v>
      </c>
      <c r="H5702" t="s">
        <v>5851</v>
      </c>
      <c r="I5702" t="s">
        <v>8140</v>
      </c>
      <c r="J5702" t="s">
        <v>9065</v>
      </c>
      <c r="K5702">
        <v>10474</v>
      </c>
      <c r="L5702" t="s">
        <v>9094</v>
      </c>
      <c r="M5702" t="s">
        <v>9095</v>
      </c>
      <c r="O5702" t="s">
        <v>11130</v>
      </c>
      <c r="P5702" t="s">
        <v>11165</v>
      </c>
      <c r="R5702" t="s">
        <v>11180</v>
      </c>
      <c r="S5702" t="s">
        <v>9094</v>
      </c>
      <c r="T5702" t="s">
        <v>11183</v>
      </c>
      <c r="W5702">
        <v>1450</v>
      </c>
      <c r="X5702" t="s">
        <v>11333</v>
      </c>
      <c r="Y5702" t="s">
        <v>11346</v>
      </c>
      <c r="Z5702" t="s">
        <v>14933</v>
      </c>
      <c r="AB5702" t="s">
        <v>19250</v>
      </c>
      <c r="AC5702">
        <v>40</v>
      </c>
      <c r="AD5702" t="s">
        <v>19566</v>
      </c>
      <c r="AE5702" t="s">
        <v>9144</v>
      </c>
      <c r="AF5702">
        <v>2</v>
      </c>
      <c r="AG5702">
        <v>1</v>
      </c>
      <c r="AH5702">
        <v>0</v>
      </c>
      <c r="AI5702">
        <v>316.41</v>
      </c>
      <c r="AL5702" t="s">
        <v>19614</v>
      </c>
      <c r="AM5702">
        <v>39520</v>
      </c>
      <c r="AS5702">
        <v>0</v>
      </c>
      <c r="AU5702" t="s">
        <v>110</v>
      </c>
      <c r="AV5702" t="s">
        <v>20733</v>
      </c>
    </row>
    <row r="5703" spans="1:48">
      <c r="A5703" s="1">
        <f>HYPERLINK("https://lsnyc.legalserver.org/matter/dynamic-profile/view/1912602","19-1912602")</f>
        <v>0</v>
      </c>
      <c r="B5703" t="s">
        <v>231</v>
      </c>
      <c r="C5703" t="s">
        <v>256</v>
      </c>
      <c r="D5703" t="s">
        <v>263</v>
      </c>
      <c r="F5703" t="s">
        <v>1264</v>
      </c>
      <c r="G5703" t="s">
        <v>2681</v>
      </c>
      <c r="H5703" t="s">
        <v>6943</v>
      </c>
      <c r="I5703" t="s">
        <v>8169</v>
      </c>
      <c r="J5703" t="s">
        <v>9067</v>
      </c>
      <c r="K5703">
        <v>10040</v>
      </c>
      <c r="L5703" t="s">
        <v>9094</v>
      </c>
      <c r="M5703" t="s">
        <v>9095</v>
      </c>
      <c r="O5703" t="s">
        <v>11128</v>
      </c>
      <c r="P5703" t="s">
        <v>11169</v>
      </c>
      <c r="R5703" t="s">
        <v>11180</v>
      </c>
      <c r="S5703" t="s">
        <v>9096</v>
      </c>
      <c r="T5703" t="s">
        <v>11183</v>
      </c>
      <c r="V5703" t="s">
        <v>263</v>
      </c>
      <c r="W5703">
        <v>1020</v>
      </c>
      <c r="X5703" t="s">
        <v>11335</v>
      </c>
      <c r="Y5703" t="s">
        <v>11338</v>
      </c>
      <c r="Z5703" t="s">
        <v>14934</v>
      </c>
      <c r="AB5703" t="s">
        <v>19251</v>
      </c>
      <c r="AC5703">
        <v>186</v>
      </c>
      <c r="AD5703" t="s">
        <v>19566</v>
      </c>
      <c r="AE5703" t="s">
        <v>9144</v>
      </c>
      <c r="AF5703">
        <v>34</v>
      </c>
      <c r="AG5703">
        <v>3</v>
      </c>
      <c r="AH5703">
        <v>0</v>
      </c>
      <c r="AI5703">
        <v>316.92</v>
      </c>
      <c r="AL5703" t="s">
        <v>19615</v>
      </c>
      <c r="AM5703">
        <v>67600</v>
      </c>
      <c r="AS5703">
        <v>14</v>
      </c>
      <c r="AT5703" t="s">
        <v>487</v>
      </c>
      <c r="AU5703" t="s">
        <v>130</v>
      </c>
      <c r="AV5703" t="s">
        <v>20733</v>
      </c>
    </row>
    <row r="5704" spans="1:48">
      <c r="A5704" s="1">
        <f>HYPERLINK("https://lsnyc.legalserver.org/matter/dynamic-profile/view/1861146","18-1861146")</f>
        <v>0</v>
      </c>
      <c r="B5704" t="s">
        <v>86</v>
      </c>
      <c r="C5704" t="s">
        <v>256</v>
      </c>
      <c r="D5704" t="s">
        <v>721</v>
      </c>
      <c r="F5704" t="s">
        <v>1220</v>
      </c>
      <c r="G5704" t="s">
        <v>5467</v>
      </c>
      <c r="H5704" t="s">
        <v>7040</v>
      </c>
      <c r="I5704" t="s">
        <v>8986</v>
      </c>
      <c r="J5704" t="s">
        <v>9059</v>
      </c>
      <c r="K5704">
        <v>11226</v>
      </c>
      <c r="L5704" t="s">
        <v>9094</v>
      </c>
      <c r="M5704" t="s">
        <v>9095</v>
      </c>
      <c r="N5704" t="s">
        <v>10148</v>
      </c>
      <c r="O5704" t="s">
        <v>11152</v>
      </c>
      <c r="P5704" t="s">
        <v>11165</v>
      </c>
      <c r="R5704" t="s">
        <v>11180</v>
      </c>
      <c r="S5704" t="s">
        <v>9094</v>
      </c>
      <c r="T5704" t="s">
        <v>11183</v>
      </c>
      <c r="V5704" t="s">
        <v>11249</v>
      </c>
      <c r="W5704">
        <v>0</v>
      </c>
      <c r="X5704" t="s">
        <v>11332</v>
      </c>
      <c r="Y5704" t="s">
        <v>11346</v>
      </c>
      <c r="Z5704" t="s">
        <v>12111</v>
      </c>
      <c r="AB5704" t="s">
        <v>19252</v>
      </c>
      <c r="AC5704">
        <v>61</v>
      </c>
      <c r="AD5704" t="s">
        <v>19566</v>
      </c>
      <c r="AE5704" t="s">
        <v>9144</v>
      </c>
      <c r="AF5704">
        <v>22</v>
      </c>
      <c r="AG5704">
        <v>2</v>
      </c>
      <c r="AH5704">
        <v>1</v>
      </c>
      <c r="AI5704">
        <v>317.61</v>
      </c>
      <c r="AJ5704" t="s">
        <v>11246</v>
      </c>
      <c r="AL5704" t="s">
        <v>19614</v>
      </c>
      <c r="AM5704">
        <v>66000</v>
      </c>
      <c r="AS5704">
        <v>0</v>
      </c>
      <c r="AU5704" t="s">
        <v>20630</v>
      </c>
    </row>
    <row r="5705" spans="1:48">
      <c r="A5705" s="1">
        <f>HYPERLINK("https://lsnyc.legalserver.org/matter/dynamic-profile/view/1862652","18-1862652")</f>
        <v>0</v>
      </c>
      <c r="B5705" t="s">
        <v>86</v>
      </c>
      <c r="C5705" t="s">
        <v>256</v>
      </c>
      <c r="D5705" t="s">
        <v>576</v>
      </c>
      <c r="F5705" t="s">
        <v>1220</v>
      </c>
      <c r="G5705" t="s">
        <v>5467</v>
      </c>
      <c r="H5705" t="s">
        <v>7040</v>
      </c>
      <c r="I5705" t="s">
        <v>8986</v>
      </c>
      <c r="J5705" t="s">
        <v>9059</v>
      </c>
      <c r="K5705">
        <v>11226</v>
      </c>
      <c r="L5705" t="s">
        <v>9094</v>
      </c>
      <c r="M5705" t="s">
        <v>9095</v>
      </c>
      <c r="N5705" t="s">
        <v>11057</v>
      </c>
      <c r="O5705" t="s">
        <v>11135</v>
      </c>
      <c r="P5705" t="s">
        <v>11165</v>
      </c>
      <c r="R5705" t="s">
        <v>11180</v>
      </c>
      <c r="S5705" t="s">
        <v>9094</v>
      </c>
      <c r="T5705" t="s">
        <v>11183</v>
      </c>
      <c r="V5705" t="s">
        <v>675</v>
      </c>
      <c r="W5705">
        <v>0</v>
      </c>
      <c r="X5705" t="s">
        <v>11332</v>
      </c>
      <c r="Y5705" t="s">
        <v>11346</v>
      </c>
      <c r="Z5705" t="s">
        <v>12111</v>
      </c>
      <c r="AB5705" t="s">
        <v>19252</v>
      </c>
      <c r="AC5705">
        <v>61</v>
      </c>
      <c r="AD5705" t="s">
        <v>19566</v>
      </c>
      <c r="AF5705">
        <v>22</v>
      </c>
      <c r="AG5705">
        <v>2</v>
      </c>
      <c r="AH5705">
        <v>1</v>
      </c>
      <c r="AI5705">
        <v>317.61</v>
      </c>
      <c r="AL5705" t="s">
        <v>19614</v>
      </c>
      <c r="AM5705">
        <v>99000</v>
      </c>
      <c r="AS5705">
        <v>0.5</v>
      </c>
      <c r="AT5705" t="s">
        <v>504</v>
      </c>
      <c r="AU5705" t="s">
        <v>20630</v>
      </c>
    </row>
    <row r="5706" spans="1:48">
      <c r="A5706" s="1">
        <f>HYPERLINK("https://lsnyc.legalserver.org/matter/dynamic-profile/view/1910921","19-1910921")</f>
        <v>0</v>
      </c>
      <c r="B5706" t="s">
        <v>65</v>
      </c>
      <c r="C5706" t="s">
        <v>256</v>
      </c>
      <c r="D5706" t="s">
        <v>295</v>
      </c>
      <c r="F5706" t="s">
        <v>3171</v>
      </c>
      <c r="G5706" t="s">
        <v>1538</v>
      </c>
      <c r="H5706" t="s">
        <v>5742</v>
      </c>
      <c r="I5706" t="s">
        <v>8170</v>
      </c>
      <c r="J5706" t="s">
        <v>9059</v>
      </c>
      <c r="K5706">
        <v>11238</v>
      </c>
      <c r="L5706" t="s">
        <v>9094</v>
      </c>
      <c r="M5706" t="s">
        <v>9095</v>
      </c>
      <c r="N5706" t="s">
        <v>11058</v>
      </c>
      <c r="O5706" t="s">
        <v>11129</v>
      </c>
      <c r="P5706" t="s">
        <v>11165</v>
      </c>
      <c r="R5706" t="s">
        <v>11180</v>
      </c>
      <c r="S5706" t="s">
        <v>9094</v>
      </c>
      <c r="T5706" t="s">
        <v>11183</v>
      </c>
      <c r="U5706" t="s">
        <v>11202</v>
      </c>
      <c r="V5706" t="s">
        <v>11322</v>
      </c>
      <c r="W5706">
        <v>0</v>
      </c>
      <c r="X5706" t="s">
        <v>11332</v>
      </c>
      <c r="Y5706" t="s">
        <v>11342</v>
      </c>
      <c r="Z5706" t="s">
        <v>14935</v>
      </c>
      <c r="AC5706">
        <v>29</v>
      </c>
      <c r="AD5706" t="s">
        <v>19566</v>
      </c>
      <c r="AE5706" t="s">
        <v>9144</v>
      </c>
      <c r="AF5706">
        <v>0</v>
      </c>
      <c r="AG5706">
        <v>2</v>
      </c>
      <c r="AH5706">
        <v>0</v>
      </c>
      <c r="AI5706">
        <v>317.94</v>
      </c>
      <c r="AJ5706" t="s">
        <v>19607</v>
      </c>
      <c r="AK5706" t="s">
        <v>19612</v>
      </c>
      <c r="AL5706" t="s">
        <v>19615</v>
      </c>
      <c r="AM5706">
        <v>53762.88</v>
      </c>
      <c r="AS5706">
        <v>13</v>
      </c>
      <c r="AT5706" t="s">
        <v>483</v>
      </c>
      <c r="AU5706" t="s">
        <v>65</v>
      </c>
      <c r="AV5706" t="s">
        <v>20733</v>
      </c>
    </row>
    <row r="5707" spans="1:48">
      <c r="A5707" s="1">
        <f>HYPERLINK("https://lsnyc.legalserver.org/matter/dynamic-profile/view/1855069","18-1855069")</f>
        <v>0</v>
      </c>
      <c r="B5707" t="s">
        <v>101</v>
      </c>
      <c r="C5707" t="s">
        <v>256</v>
      </c>
      <c r="D5707" t="s">
        <v>266</v>
      </c>
      <c r="F5707" t="s">
        <v>1750</v>
      </c>
      <c r="G5707" t="s">
        <v>3510</v>
      </c>
      <c r="H5707" t="s">
        <v>6041</v>
      </c>
      <c r="I5707" t="s">
        <v>8229</v>
      </c>
      <c r="J5707" t="s">
        <v>9065</v>
      </c>
      <c r="K5707">
        <v>10452</v>
      </c>
      <c r="L5707" t="s">
        <v>9094</v>
      </c>
      <c r="M5707" t="s">
        <v>9095</v>
      </c>
      <c r="N5707" t="s">
        <v>9496</v>
      </c>
      <c r="O5707" t="s">
        <v>11135</v>
      </c>
      <c r="P5707" t="s">
        <v>11168</v>
      </c>
      <c r="R5707" t="s">
        <v>11180</v>
      </c>
      <c r="S5707" t="s">
        <v>9094</v>
      </c>
      <c r="T5707" t="s">
        <v>11183</v>
      </c>
      <c r="V5707" t="s">
        <v>1122</v>
      </c>
      <c r="W5707">
        <v>1642.54</v>
      </c>
      <c r="X5707" t="s">
        <v>11333</v>
      </c>
      <c r="Y5707" t="s">
        <v>11346</v>
      </c>
      <c r="Z5707" t="s">
        <v>14207</v>
      </c>
      <c r="AB5707" t="s">
        <v>18531</v>
      </c>
      <c r="AC5707">
        <v>62</v>
      </c>
      <c r="AD5707" t="s">
        <v>19566</v>
      </c>
      <c r="AE5707" t="s">
        <v>19580</v>
      </c>
      <c r="AF5707">
        <v>15</v>
      </c>
      <c r="AG5707">
        <v>3</v>
      </c>
      <c r="AH5707">
        <v>0</v>
      </c>
      <c r="AI5707">
        <v>318.32</v>
      </c>
      <c r="AL5707" t="s">
        <v>19615</v>
      </c>
      <c r="AM5707">
        <v>65000</v>
      </c>
      <c r="AS5707">
        <v>0</v>
      </c>
      <c r="AU5707" t="s">
        <v>20643</v>
      </c>
    </row>
    <row r="5708" spans="1:48">
      <c r="A5708" s="1">
        <f>HYPERLINK("https://lsnyc.legalserver.org/matter/dynamic-profile/view/1892523","19-1892523")</f>
        <v>0</v>
      </c>
      <c r="B5708" t="s">
        <v>147</v>
      </c>
      <c r="C5708" t="s">
        <v>257</v>
      </c>
      <c r="D5708" t="s">
        <v>423</v>
      </c>
      <c r="E5708" t="s">
        <v>563</v>
      </c>
      <c r="F5708" t="s">
        <v>1724</v>
      </c>
      <c r="G5708" t="s">
        <v>4737</v>
      </c>
      <c r="H5708" t="s">
        <v>8034</v>
      </c>
      <c r="I5708" t="s">
        <v>8264</v>
      </c>
      <c r="J5708" t="s">
        <v>9066</v>
      </c>
      <c r="K5708">
        <v>10304</v>
      </c>
      <c r="L5708" t="s">
        <v>9096</v>
      </c>
      <c r="M5708" t="s">
        <v>9095</v>
      </c>
      <c r="N5708" t="s">
        <v>11059</v>
      </c>
      <c r="O5708" t="s">
        <v>11129</v>
      </c>
      <c r="P5708" t="s">
        <v>11165</v>
      </c>
      <c r="Q5708" t="s">
        <v>11174</v>
      </c>
      <c r="R5708" t="s">
        <v>11180</v>
      </c>
      <c r="S5708" t="s">
        <v>9096</v>
      </c>
      <c r="T5708" t="s">
        <v>11183</v>
      </c>
      <c r="U5708" t="s">
        <v>11200</v>
      </c>
      <c r="V5708" t="s">
        <v>11323</v>
      </c>
      <c r="W5708">
        <v>1250</v>
      </c>
      <c r="X5708" t="s">
        <v>11334</v>
      </c>
      <c r="Y5708" t="s">
        <v>11338</v>
      </c>
      <c r="Z5708" t="s">
        <v>14936</v>
      </c>
      <c r="AA5708" t="s">
        <v>15901</v>
      </c>
      <c r="AB5708" t="s">
        <v>19253</v>
      </c>
      <c r="AC5708">
        <v>34</v>
      </c>
      <c r="AD5708" t="s">
        <v>15441</v>
      </c>
      <c r="AE5708" t="s">
        <v>19581</v>
      </c>
      <c r="AF5708">
        <v>5</v>
      </c>
      <c r="AG5708">
        <v>1</v>
      </c>
      <c r="AH5708">
        <v>0</v>
      </c>
      <c r="AI5708">
        <v>318.88</v>
      </c>
      <c r="AL5708" t="s">
        <v>19614</v>
      </c>
      <c r="AM5708">
        <v>39828</v>
      </c>
      <c r="AO5708" t="s">
        <v>20294</v>
      </c>
      <c r="AP5708" t="s">
        <v>20365</v>
      </c>
      <c r="AQ5708" t="s">
        <v>20369</v>
      </c>
      <c r="AR5708" t="s">
        <v>20383</v>
      </c>
      <c r="AS5708">
        <v>55.95</v>
      </c>
      <c r="AT5708" t="s">
        <v>744</v>
      </c>
      <c r="AU5708" t="s">
        <v>20654</v>
      </c>
      <c r="AV5708" t="s">
        <v>20733</v>
      </c>
    </row>
    <row r="5709" spans="1:48">
      <c r="A5709" s="1">
        <f>HYPERLINK("https://lsnyc.legalserver.org/matter/dynamic-profile/view/1912929","19-1912929")</f>
        <v>0</v>
      </c>
      <c r="B5709" t="s">
        <v>62</v>
      </c>
      <c r="C5709" t="s">
        <v>256</v>
      </c>
      <c r="D5709" t="s">
        <v>294</v>
      </c>
      <c r="F5709" t="s">
        <v>1330</v>
      </c>
      <c r="G5709" t="s">
        <v>5038</v>
      </c>
      <c r="H5709" t="s">
        <v>7990</v>
      </c>
      <c r="I5709" t="s">
        <v>8296</v>
      </c>
      <c r="J5709" t="s">
        <v>9054</v>
      </c>
      <c r="K5709">
        <v>11368</v>
      </c>
      <c r="L5709" t="s">
        <v>9094</v>
      </c>
      <c r="M5709" t="s">
        <v>9095</v>
      </c>
      <c r="N5709" t="s">
        <v>9126</v>
      </c>
      <c r="O5709" t="s">
        <v>11134</v>
      </c>
      <c r="P5709" t="s">
        <v>11168</v>
      </c>
      <c r="R5709" t="s">
        <v>11180</v>
      </c>
      <c r="S5709" t="s">
        <v>9094</v>
      </c>
      <c r="T5709" t="s">
        <v>11183</v>
      </c>
      <c r="U5709" t="s">
        <v>11201</v>
      </c>
      <c r="V5709" t="s">
        <v>294</v>
      </c>
      <c r="W5709">
        <v>1000</v>
      </c>
      <c r="X5709" t="s">
        <v>11331</v>
      </c>
      <c r="Y5709" t="s">
        <v>11339</v>
      </c>
      <c r="Z5709" t="s">
        <v>14937</v>
      </c>
      <c r="AA5709" t="s">
        <v>15274</v>
      </c>
      <c r="AB5709" t="s">
        <v>15274</v>
      </c>
      <c r="AC5709">
        <v>0</v>
      </c>
      <c r="AD5709" t="s">
        <v>19566</v>
      </c>
      <c r="AE5709" t="s">
        <v>9144</v>
      </c>
      <c r="AF5709">
        <v>40</v>
      </c>
      <c r="AG5709">
        <v>1</v>
      </c>
      <c r="AH5709">
        <v>0</v>
      </c>
      <c r="AI5709">
        <v>320.26</v>
      </c>
      <c r="AL5709" t="s">
        <v>19614</v>
      </c>
      <c r="AM5709">
        <v>40000</v>
      </c>
      <c r="AP5709" t="s">
        <v>11157</v>
      </c>
      <c r="AS5709">
        <v>0.3</v>
      </c>
      <c r="AT5709" t="s">
        <v>294</v>
      </c>
      <c r="AU5709" t="s">
        <v>20620</v>
      </c>
      <c r="AV5709" t="s">
        <v>20733</v>
      </c>
    </row>
    <row r="5710" spans="1:48">
      <c r="A5710" s="1">
        <f>HYPERLINK("https://lsnyc.legalserver.org/matter/dynamic-profile/view/1892641","19-1892641")</f>
        <v>0</v>
      </c>
      <c r="B5710" t="s">
        <v>70</v>
      </c>
      <c r="C5710" t="s">
        <v>256</v>
      </c>
      <c r="D5710" t="s">
        <v>553</v>
      </c>
      <c r="F5710" t="s">
        <v>1707</v>
      </c>
      <c r="G5710" t="s">
        <v>3650</v>
      </c>
      <c r="H5710" t="s">
        <v>5750</v>
      </c>
      <c r="I5710" t="s">
        <v>8987</v>
      </c>
      <c r="J5710" t="s">
        <v>9059</v>
      </c>
      <c r="K5710">
        <v>11233</v>
      </c>
      <c r="L5710" t="s">
        <v>9094</v>
      </c>
      <c r="M5710" t="s">
        <v>9096</v>
      </c>
      <c r="N5710" t="s">
        <v>9145</v>
      </c>
      <c r="O5710" t="s">
        <v>11134</v>
      </c>
      <c r="P5710" t="s">
        <v>11168</v>
      </c>
      <c r="R5710" t="s">
        <v>11180</v>
      </c>
      <c r="S5710" t="s">
        <v>9094</v>
      </c>
      <c r="T5710" t="s">
        <v>11183</v>
      </c>
      <c r="U5710" t="s">
        <v>11201</v>
      </c>
      <c r="V5710" t="s">
        <v>482</v>
      </c>
      <c r="W5710">
        <v>812</v>
      </c>
      <c r="X5710" t="s">
        <v>11332</v>
      </c>
      <c r="Y5710" t="s">
        <v>11157</v>
      </c>
      <c r="Z5710" t="s">
        <v>14938</v>
      </c>
      <c r="AC5710">
        <v>359</v>
      </c>
      <c r="AD5710" t="s">
        <v>19566</v>
      </c>
      <c r="AF5710">
        <v>18</v>
      </c>
      <c r="AG5710">
        <v>1</v>
      </c>
      <c r="AH5710">
        <v>0</v>
      </c>
      <c r="AI5710">
        <v>320.26</v>
      </c>
      <c r="AL5710" t="s">
        <v>19614</v>
      </c>
      <c r="AM5710">
        <v>40000</v>
      </c>
      <c r="AN5710" t="s">
        <v>19846</v>
      </c>
      <c r="AS5710">
        <v>0</v>
      </c>
      <c r="AU5710" t="s">
        <v>79</v>
      </c>
    </row>
    <row r="5711" spans="1:48">
      <c r="A5711" s="1">
        <f>HYPERLINK("https://lsnyc.legalserver.org/matter/dynamic-profile/view/1897392","19-1897392")</f>
        <v>0</v>
      </c>
      <c r="B5711" t="s">
        <v>70</v>
      </c>
      <c r="C5711" t="s">
        <v>256</v>
      </c>
      <c r="D5711" t="s">
        <v>434</v>
      </c>
      <c r="F5711" t="s">
        <v>1833</v>
      </c>
      <c r="G5711" t="s">
        <v>5468</v>
      </c>
      <c r="H5711" t="s">
        <v>5749</v>
      </c>
      <c r="I5711" t="s">
        <v>8649</v>
      </c>
      <c r="J5711" t="s">
        <v>9059</v>
      </c>
      <c r="K5711">
        <v>11233</v>
      </c>
      <c r="L5711" t="s">
        <v>9094</v>
      </c>
      <c r="M5711" t="s">
        <v>9096</v>
      </c>
      <c r="N5711" t="s">
        <v>9146</v>
      </c>
      <c r="O5711" t="s">
        <v>11134</v>
      </c>
      <c r="P5711" t="s">
        <v>11168</v>
      </c>
      <c r="R5711" t="s">
        <v>11180</v>
      </c>
      <c r="S5711" t="s">
        <v>9094</v>
      </c>
      <c r="T5711" t="s">
        <v>11183</v>
      </c>
      <c r="U5711" t="s">
        <v>11201</v>
      </c>
      <c r="V5711" t="s">
        <v>482</v>
      </c>
      <c r="W5711">
        <v>1162</v>
      </c>
      <c r="X5711" t="s">
        <v>11332</v>
      </c>
      <c r="Y5711" t="s">
        <v>11342</v>
      </c>
      <c r="Z5711" t="s">
        <v>14939</v>
      </c>
      <c r="AC5711">
        <v>359</v>
      </c>
      <c r="AD5711" t="s">
        <v>19566</v>
      </c>
      <c r="AF5711">
        <v>30</v>
      </c>
      <c r="AG5711">
        <v>1</v>
      </c>
      <c r="AH5711">
        <v>0</v>
      </c>
      <c r="AI5711">
        <v>320.26</v>
      </c>
      <c r="AL5711" t="s">
        <v>19614</v>
      </c>
      <c r="AM5711">
        <v>40000</v>
      </c>
      <c r="AN5711" t="s">
        <v>20165</v>
      </c>
      <c r="AS5711">
        <v>0</v>
      </c>
      <c r="AU5711" t="s">
        <v>95</v>
      </c>
    </row>
    <row r="5712" spans="1:48">
      <c r="A5712" s="1">
        <f>HYPERLINK("https://lsnyc.legalserver.org/matter/dynamic-profile/view/1902536","19-1902536")</f>
        <v>0</v>
      </c>
      <c r="B5712" t="s">
        <v>165</v>
      </c>
      <c r="C5712" t="s">
        <v>257</v>
      </c>
      <c r="D5712" t="s">
        <v>993</v>
      </c>
      <c r="E5712" t="s">
        <v>864</v>
      </c>
      <c r="F5712" t="s">
        <v>3177</v>
      </c>
      <c r="G5712" t="s">
        <v>5469</v>
      </c>
      <c r="H5712" t="s">
        <v>7874</v>
      </c>
      <c r="I5712" t="s">
        <v>8655</v>
      </c>
      <c r="J5712" t="s">
        <v>9059</v>
      </c>
      <c r="K5712">
        <v>11233</v>
      </c>
      <c r="L5712" t="s">
        <v>9094</v>
      </c>
      <c r="M5712" t="s">
        <v>9095</v>
      </c>
      <c r="N5712" t="s">
        <v>9102</v>
      </c>
      <c r="O5712" t="s">
        <v>9121</v>
      </c>
      <c r="P5712" t="s">
        <v>11164</v>
      </c>
      <c r="Q5712" t="s">
        <v>11172</v>
      </c>
      <c r="R5712" t="s">
        <v>11180</v>
      </c>
      <c r="S5712" t="s">
        <v>9096</v>
      </c>
      <c r="T5712" t="s">
        <v>11183</v>
      </c>
      <c r="U5712" t="s">
        <v>11201</v>
      </c>
      <c r="V5712" t="s">
        <v>319</v>
      </c>
      <c r="W5712">
        <v>1581</v>
      </c>
      <c r="X5712" t="s">
        <v>11332</v>
      </c>
      <c r="Y5712" t="s">
        <v>11339</v>
      </c>
      <c r="Z5712" t="s">
        <v>14940</v>
      </c>
      <c r="AB5712" t="s">
        <v>19254</v>
      </c>
      <c r="AC5712">
        <v>8</v>
      </c>
      <c r="AD5712" t="s">
        <v>19566</v>
      </c>
      <c r="AE5712" t="s">
        <v>9144</v>
      </c>
      <c r="AF5712">
        <v>5</v>
      </c>
      <c r="AG5712">
        <v>1</v>
      </c>
      <c r="AH5712">
        <v>0</v>
      </c>
      <c r="AI5712">
        <v>320.26</v>
      </c>
      <c r="AL5712" t="s">
        <v>19614</v>
      </c>
      <c r="AM5712">
        <v>40000</v>
      </c>
      <c r="AS5712">
        <v>2</v>
      </c>
      <c r="AT5712" t="s">
        <v>993</v>
      </c>
      <c r="AU5712" t="s">
        <v>165</v>
      </c>
      <c r="AV5712" t="s">
        <v>20733</v>
      </c>
    </row>
    <row r="5713" spans="1:48">
      <c r="A5713" s="1">
        <f>HYPERLINK("https://lsnyc.legalserver.org/matter/dynamic-profile/view/1891444","19-1891444")</f>
        <v>0</v>
      </c>
      <c r="B5713" t="s">
        <v>70</v>
      </c>
      <c r="C5713" t="s">
        <v>256</v>
      </c>
      <c r="D5713" t="s">
        <v>316</v>
      </c>
      <c r="F5713" t="s">
        <v>3178</v>
      </c>
      <c r="G5713" t="s">
        <v>3767</v>
      </c>
      <c r="H5713" t="s">
        <v>5749</v>
      </c>
      <c r="I5713" t="s">
        <v>8147</v>
      </c>
      <c r="J5713" t="s">
        <v>9059</v>
      </c>
      <c r="K5713">
        <v>11233</v>
      </c>
      <c r="L5713" t="s">
        <v>9094</v>
      </c>
      <c r="M5713" t="s">
        <v>9094</v>
      </c>
      <c r="O5713" t="s">
        <v>11137</v>
      </c>
      <c r="P5713" t="s">
        <v>11167</v>
      </c>
      <c r="R5713" t="s">
        <v>11180</v>
      </c>
      <c r="S5713" t="s">
        <v>9094</v>
      </c>
      <c r="T5713" t="s">
        <v>11183</v>
      </c>
      <c r="U5713" t="s">
        <v>11201</v>
      </c>
      <c r="V5713" t="s">
        <v>749</v>
      </c>
      <c r="W5713">
        <v>628</v>
      </c>
      <c r="X5713" t="s">
        <v>11332</v>
      </c>
      <c r="Y5713" t="s">
        <v>11339</v>
      </c>
      <c r="Z5713" t="s">
        <v>14067</v>
      </c>
      <c r="AB5713" t="s">
        <v>19255</v>
      </c>
      <c r="AC5713">
        <v>764</v>
      </c>
      <c r="AD5713" t="s">
        <v>19566</v>
      </c>
      <c r="AE5713" t="s">
        <v>9144</v>
      </c>
      <c r="AF5713">
        <v>18</v>
      </c>
      <c r="AG5713">
        <v>1</v>
      </c>
      <c r="AH5713">
        <v>0</v>
      </c>
      <c r="AI5713">
        <v>320.26</v>
      </c>
      <c r="AJ5713" t="s">
        <v>546</v>
      </c>
      <c r="AK5713" t="s">
        <v>19612</v>
      </c>
      <c r="AL5713" t="s">
        <v>19614</v>
      </c>
      <c r="AM5713">
        <v>40000</v>
      </c>
      <c r="AN5713" t="s">
        <v>20166</v>
      </c>
      <c r="AS5713">
        <v>0</v>
      </c>
      <c r="AU5713" t="s">
        <v>79</v>
      </c>
    </row>
    <row r="5714" spans="1:48">
      <c r="A5714" s="1">
        <f>HYPERLINK("https://lsnyc.legalserver.org/matter/dynamic-profile/view/1891556","19-1891556")</f>
        <v>0</v>
      </c>
      <c r="B5714" t="s">
        <v>70</v>
      </c>
      <c r="C5714" t="s">
        <v>256</v>
      </c>
      <c r="D5714" t="s">
        <v>316</v>
      </c>
      <c r="F5714" t="s">
        <v>1212</v>
      </c>
      <c r="G5714" t="s">
        <v>5470</v>
      </c>
      <c r="H5714" t="s">
        <v>5748</v>
      </c>
      <c r="I5714" t="s">
        <v>8115</v>
      </c>
      <c r="J5714" t="s">
        <v>9059</v>
      </c>
      <c r="K5714">
        <v>11233</v>
      </c>
      <c r="L5714" t="s">
        <v>9094</v>
      </c>
      <c r="M5714" t="s">
        <v>9096</v>
      </c>
      <c r="N5714" t="s">
        <v>9171</v>
      </c>
      <c r="O5714" t="s">
        <v>11137</v>
      </c>
      <c r="P5714" t="s">
        <v>11167</v>
      </c>
      <c r="R5714" t="s">
        <v>11180</v>
      </c>
      <c r="S5714" t="s">
        <v>9094</v>
      </c>
      <c r="T5714" t="s">
        <v>11183</v>
      </c>
      <c r="U5714" t="s">
        <v>11201</v>
      </c>
      <c r="V5714" t="s">
        <v>749</v>
      </c>
      <c r="W5714">
        <v>1000</v>
      </c>
      <c r="X5714" t="s">
        <v>11332</v>
      </c>
      <c r="Z5714" t="s">
        <v>14941</v>
      </c>
      <c r="AC5714">
        <v>359</v>
      </c>
      <c r="AD5714" t="s">
        <v>19566</v>
      </c>
      <c r="AF5714">
        <v>50</v>
      </c>
      <c r="AG5714">
        <v>1</v>
      </c>
      <c r="AH5714">
        <v>0</v>
      </c>
      <c r="AI5714">
        <v>320.26</v>
      </c>
      <c r="AL5714" t="s">
        <v>19614</v>
      </c>
      <c r="AM5714">
        <v>40000</v>
      </c>
      <c r="AN5714" t="s">
        <v>20167</v>
      </c>
      <c r="AS5714">
        <v>0</v>
      </c>
      <c r="AU5714" t="s">
        <v>95</v>
      </c>
    </row>
    <row r="5715" spans="1:48">
      <c r="A5715" s="1">
        <f>HYPERLINK("https://lsnyc.legalserver.org/matter/dynamic-profile/view/1892643","19-1892643")</f>
        <v>0</v>
      </c>
      <c r="B5715" t="s">
        <v>70</v>
      </c>
      <c r="C5715" t="s">
        <v>256</v>
      </c>
      <c r="D5715" t="s">
        <v>553</v>
      </c>
      <c r="F5715" t="s">
        <v>1707</v>
      </c>
      <c r="G5715" t="s">
        <v>3650</v>
      </c>
      <c r="H5715" t="s">
        <v>5750</v>
      </c>
      <c r="I5715" t="s">
        <v>8987</v>
      </c>
      <c r="J5715" t="s">
        <v>9059</v>
      </c>
      <c r="K5715">
        <v>11233</v>
      </c>
      <c r="L5715" t="s">
        <v>9094</v>
      </c>
      <c r="M5715" t="s">
        <v>9096</v>
      </c>
      <c r="O5715" t="s">
        <v>11137</v>
      </c>
      <c r="P5715" t="s">
        <v>11167</v>
      </c>
      <c r="R5715" t="s">
        <v>11180</v>
      </c>
      <c r="S5715" t="s">
        <v>9094</v>
      </c>
      <c r="T5715" t="s">
        <v>11183</v>
      </c>
      <c r="U5715" t="s">
        <v>11201</v>
      </c>
      <c r="V5715" t="s">
        <v>749</v>
      </c>
      <c r="W5715">
        <v>812</v>
      </c>
      <c r="X5715" t="s">
        <v>11332</v>
      </c>
      <c r="Y5715" t="s">
        <v>11157</v>
      </c>
      <c r="Z5715" t="s">
        <v>14938</v>
      </c>
      <c r="AC5715">
        <v>359</v>
      </c>
      <c r="AD5715" t="s">
        <v>19566</v>
      </c>
      <c r="AF5715">
        <v>18</v>
      </c>
      <c r="AG5715">
        <v>1</v>
      </c>
      <c r="AH5715">
        <v>0</v>
      </c>
      <c r="AI5715">
        <v>320.26</v>
      </c>
      <c r="AL5715" t="s">
        <v>19614</v>
      </c>
      <c r="AM5715">
        <v>40000</v>
      </c>
      <c r="AN5715" t="s">
        <v>20168</v>
      </c>
      <c r="AS5715">
        <v>0</v>
      </c>
      <c r="AU5715" t="s">
        <v>79</v>
      </c>
    </row>
    <row r="5716" spans="1:48">
      <c r="A5716" s="1">
        <f>HYPERLINK("https://lsnyc.legalserver.org/matter/dynamic-profile/view/1897393","19-1897393")</f>
        <v>0</v>
      </c>
      <c r="B5716" t="s">
        <v>70</v>
      </c>
      <c r="C5716" t="s">
        <v>256</v>
      </c>
      <c r="D5716" t="s">
        <v>434</v>
      </c>
      <c r="F5716" t="s">
        <v>1833</v>
      </c>
      <c r="G5716" t="s">
        <v>5468</v>
      </c>
      <c r="H5716" t="s">
        <v>5749</v>
      </c>
      <c r="I5716" t="s">
        <v>8649</v>
      </c>
      <c r="J5716" t="s">
        <v>9059</v>
      </c>
      <c r="K5716">
        <v>11233</v>
      </c>
      <c r="L5716" t="s">
        <v>9094</v>
      </c>
      <c r="M5716" t="s">
        <v>9096</v>
      </c>
      <c r="O5716" t="s">
        <v>11137</v>
      </c>
      <c r="P5716" t="s">
        <v>11167</v>
      </c>
      <c r="R5716" t="s">
        <v>11180</v>
      </c>
      <c r="S5716" t="s">
        <v>9094</v>
      </c>
      <c r="T5716" t="s">
        <v>11183</v>
      </c>
      <c r="U5716" t="s">
        <v>11201</v>
      </c>
      <c r="V5716" t="s">
        <v>749</v>
      </c>
      <c r="W5716">
        <v>1162</v>
      </c>
      <c r="X5716" t="s">
        <v>11332</v>
      </c>
      <c r="Y5716" t="s">
        <v>11342</v>
      </c>
      <c r="Z5716" t="s">
        <v>14939</v>
      </c>
      <c r="AC5716">
        <v>359</v>
      </c>
      <c r="AD5716" t="s">
        <v>19566</v>
      </c>
      <c r="AF5716">
        <v>30</v>
      </c>
      <c r="AG5716">
        <v>1</v>
      </c>
      <c r="AH5716">
        <v>0</v>
      </c>
      <c r="AI5716">
        <v>320.26</v>
      </c>
      <c r="AL5716" t="s">
        <v>19614</v>
      </c>
      <c r="AM5716">
        <v>40000</v>
      </c>
      <c r="AN5716" t="s">
        <v>19644</v>
      </c>
      <c r="AS5716">
        <v>0</v>
      </c>
      <c r="AU5716" t="s">
        <v>95</v>
      </c>
    </row>
    <row r="5717" spans="1:48">
      <c r="A5717" s="1">
        <f>HYPERLINK("https://lsnyc.legalserver.org/matter/dynamic-profile/view/1891367","19-1891367")</f>
        <v>0</v>
      </c>
      <c r="B5717" t="s">
        <v>82</v>
      </c>
      <c r="C5717" t="s">
        <v>256</v>
      </c>
      <c r="D5717" t="s">
        <v>383</v>
      </c>
      <c r="F5717" t="s">
        <v>1725</v>
      </c>
      <c r="G5717" t="s">
        <v>5471</v>
      </c>
      <c r="H5717" t="s">
        <v>5785</v>
      </c>
      <c r="I5717" t="s">
        <v>8988</v>
      </c>
      <c r="J5717" t="s">
        <v>9059</v>
      </c>
      <c r="K5717">
        <v>11225</v>
      </c>
      <c r="L5717" t="s">
        <v>9094</v>
      </c>
      <c r="M5717" t="s">
        <v>9094</v>
      </c>
      <c r="N5717" t="s">
        <v>11060</v>
      </c>
      <c r="O5717" t="s">
        <v>11134</v>
      </c>
      <c r="P5717" t="s">
        <v>11168</v>
      </c>
      <c r="R5717" t="s">
        <v>11180</v>
      </c>
      <c r="S5717" t="s">
        <v>9094</v>
      </c>
      <c r="T5717" t="s">
        <v>11183</v>
      </c>
      <c r="V5717" t="s">
        <v>381</v>
      </c>
      <c r="W5717">
        <v>856</v>
      </c>
      <c r="X5717" t="s">
        <v>11332</v>
      </c>
      <c r="Y5717" t="s">
        <v>11346</v>
      </c>
      <c r="Z5717" t="s">
        <v>14942</v>
      </c>
      <c r="AB5717" t="s">
        <v>19256</v>
      </c>
      <c r="AC5717">
        <v>89</v>
      </c>
      <c r="AD5717" t="s">
        <v>19566</v>
      </c>
      <c r="AF5717">
        <v>16</v>
      </c>
      <c r="AG5717">
        <v>1</v>
      </c>
      <c r="AH5717">
        <v>0</v>
      </c>
      <c r="AI5717">
        <v>320.26</v>
      </c>
      <c r="AL5717" t="s">
        <v>19614</v>
      </c>
      <c r="AM5717">
        <v>40000</v>
      </c>
      <c r="AS5717">
        <v>4.1</v>
      </c>
      <c r="AT5717" t="s">
        <v>487</v>
      </c>
      <c r="AU5717" t="s">
        <v>215</v>
      </c>
    </row>
    <row r="5718" spans="1:48">
      <c r="A5718" s="1">
        <f>HYPERLINK("https://lsnyc.legalserver.org/matter/dynamic-profile/view/1892931","19-1892931")</f>
        <v>0</v>
      </c>
      <c r="B5718" t="s">
        <v>82</v>
      </c>
      <c r="C5718" t="s">
        <v>256</v>
      </c>
      <c r="D5718" t="s">
        <v>523</v>
      </c>
      <c r="F5718" t="s">
        <v>1725</v>
      </c>
      <c r="G5718" t="s">
        <v>5471</v>
      </c>
      <c r="H5718" t="s">
        <v>5785</v>
      </c>
      <c r="I5718" t="s">
        <v>8988</v>
      </c>
      <c r="J5718" t="s">
        <v>9059</v>
      </c>
      <c r="K5718">
        <v>11225</v>
      </c>
      <c r="L5718" t="s">
        <v>9094</v>
      </c>
      <c r="M5718" t="s">
        <v>9094</v>
      </c>
      <c r="N5718" t="s">
        <v>11061</v>
      </c>
      <c r="O5718" t="s">
        <v>11134</v>
      </c>
      <c r="P5718" t="s">
        <v>11168</v>
      </c>
      <c r="R5718" t="s">
        <v>11180</v>
      </c>
      <c r="S5718" t="s">
        <v>9094</v>
      </c>
      <c r="T5718" t="s">
        <v>11183</v>
      </c>
      <c r="V5718" t="s">
        <v>381</v>
      </c>
      <c r="W5718">
        <v>0</v>
      </c>
      <c r="X5718" t="s">
        <v>11332</v>
      </c>
      <c r="Y5718" t="s">
        <v>11346</v>
      </c>
      <c r="Z5718" t="s">
        <v>14942</v>
      </c>
      <c r="AB5718" t="s">
        <v>19256</v>
      </c>
      <c r="AC5718">
        <v>86</v>
      </c>
      <c r="AD5718" t="s">
        <v>19566</v>
      </c>
      <c r="AF5718">
        <v>16</v>
      </c>
      <c r="AG5718">
        <v>1</v>
      </c>
      <c r="AH5718">
        <v>0</v>
      </c>
      <c r="AI5718">
        <v>320.26</v>
      </c>
      <c r="AL5718" t="s">
        <v>19614</v>
      </c>
      <c r="AM5718">
        <v>40000</v>
      </c>
      <c r="AS5718">
        <v>6.2</v>
      </c>
      <c r="AT5718" t="s">
        <v>280</v>
      </c>
      <c r="AU5718" t="s">
        <v>215</v>
      </c>
    </row>
    <row r="5719" spans="1:48">
      <c r="A5719" s="1">
        <f>HYPERLINK("https://lsnyc.legalserver.org/matter/dynamic-profile/view/1909999","19-1909999")</f>
        <v>0</v>
      </c>
      <c r="B5719" t="s">
        <v>73</v>
      </c>
      <c r="C5719" t="s">
        <v>256</v>
      </c>
      <c r="D5719" t="s">
        <v>992</v>
      </c>
      <c r="F5719" t="s">
        <v>3179</v>
      </c>
      <c r="G5719" t="s">
        <v>5472</v>
      </c>
      <c r="H5719" t="s">
        <v>8035</v>
      </c>
      <c r="I5719" t="s">
        <v>8361</v>
      </c>
      <c r="J5719" t="s">
        <v>9059</v>
      </c>
      <c r="K5719">
        <v>11207</v>
      </c>
      <c r="L5719" t="s">
        <v>9095</v>
      </c>
      <c r="M5719" t="s">
        <v>9095</v>
      </c>
      <c r="N5719" t="s">
        <v>11062</v>
      </c>
      <c r="O5719" t="s">
        <v>11129</v>
      </c>
      <c r="P5719" t="s">
        <v>11165</v>
      </c>
      <c r="R5719" t="s">
        <v>11180</v>
      </c>
      <c r="S5719" t="s">
        <v>9096</v>
      </c>
      <c r="T5719" t="s">
        <v>11183</v>
      </c>
      <c r="V5719" t="s">
        <v>292</v>
      </c>
      <c r="W5719">
        <v>584</v>
      </c>
      <c r="X5719" t="s">
        <v>11332</v>
      </c>
      <c r="Y5719" t="s">
        <v>11340</v>
      </c>
      <c r="Z5719" t="s">
        <v>14943</v>
      </c>
      <c r="AA5719" t="s">
        <v>9121</v>
      </c>
      <c r="AB5719" t="s">
        <v>19257</v>
      </c>
      <c r="AC5719">
        <v>16</v>
      </c>
      <c r="AD5719" t="s">
        <v>19566</v>
      </c>
      <c r="AE5719" t="s">
        <v>9144</v>
      </c>
      <c r="AF5719">
        <v>8</v>
      </c>
      <c r="AG5719">
        <v>1</v>
      </c>
      <c r="AH5719">
        <v>0</v>
      </c>
      <c r="AI5719">
        <v>320.26</v>
      </c>
      <c r="AL5719" t="s">
        <v>19614</v>
      </c>
      <c r="AM5719">
        <v>40000</v>
      </c>
      <c r="AS5719">
        <v>5.5</v>
      </c>
      <c r="AT5719" t="s">
        <v>487</v>
      </c>
      <c r="AU5719" t="s">
        <v>79</v>
      </c>
    </row>
    <row r="5720" spans="1:48">
      <c r="A5720" s="1">
        <f>HYPERLINK("https://lsnyc.legalserver.org/matter/dynamic-profile/view/1891037","19-1891037")</f>
        <v>0</v>
      </c>
      <c r="B5720" t="s">
        <v>98</v>
      </c>
      <c r="C5720" t="s">
        <v>257</v>
      </c>
      <c r="D5720" t="s">
        <v>554</v>
      </c>
      <c r="E5720" t="s">
        <v>676</v>
      </c>
      <c r="F5720" t="s">
        <v>3180</v>
      </c>
      <c r="G5720" t="s">
        <v>3499</v>
      </c>
      <c r="H5720" t="s">
        <v>7643</v>
      </c>
      <c r="I5720" t="s">
        <v>8187</v>
      </c>
      <c r="J5720" t="s">
        <v>9065</v>
      </c>
      <c r="K5720">
        <v>10461</v>
      </c>
      <c r="L5720" t="s">
        <v>9094</v>
      </c>
      <c r="M5720" t="s">
        <v>9094</v>
      </c>
      <c r="O5720" t="s">
        <v>11134</v>
      </c>
      <c r="P5720" t="s">
        <v>11167</v>
      </c>
      <c r="Q5720" t="s">
        <v>11173</v>
      </c>
      <c r="R5720" t="s">
        <v>11180</v>
      </c>
      <c r="S5720" t="s">
        <v>9096</v>
      </c>
      <c r="T5720" t="s">
        <v>11183</v>
      </c>
      <c r="V5720" t="s">
        <v>299</v>
      </c>
      <c r="W5720">
        <v>1265</v>
      </c>
      <c r="X5720" t="s">
        <v>11333</v>
      </c>
      <c r="Y5720" t="s">
        <v>11346</v>
      </c>
      <c r="Z5720" t="s">
        <v>14944</v>
      </c>
      <c r="AC5720">
        <v>125</v>
      </c>
      <c r="AD5720" t="s">
        <v>19565</v>
      </c>
      <c r="AE5720" t="s">
        <v>9144</v>
      </c>
      <c r="AF5720">
        <v>4</v>
      </c>
      <c r="AG5720">
        <v>1</v>
      </c>
      <c r="AH5720">
        <v>0</v>
      </c>
      <c r="AI5720">
        <v>320.26</v>
      </c>
      <c r="AL5720" t="s">
        <v>19614</v>
      </c>
      <c r="AM5720">
        <v>40000</v>
      </c>
      <c r="AN5720" t="s">
        <v>20169</v>
      </c>
      <c r="AS5720">
        <v>0.06</v>
      </c>
      <c r="AT5720" t="s">
        <v>676</v>
      </c>
      <c r="AU5720" t="s">
        <v>20642</v>
      </c>
    </row>
    <row r="5721" spans="1:48">
      <c r="A5721" s="1">
        <f>HYPERLINK("https://lsnyc.legalserver.org/matter/dynamic-profile/view/1893132","19-1893132")</f>
        <v>0</v>
      </c>
      <c r="B5721" t="s">
        <v>108</v>
      </c>
      <c r="C5721" t="s">
        <v>257</v>
      </c>
      <c r="D5721" t="s">
        <v>423</v>
      </c>
      <c r="E5721" t="s">
        <v>483</v>
      </c>
      <c r="F5721" t="s">
        <v>3181</v>
      </c>
      <c r="G5721" t="s">
        <v>3551</v>
      </c>
      <c r="H5721" t="s">
        <v>8036</v>
      </c>
      <c r="I5721" t="s">
        <v>8117</v>
      </c>
      <c r="J5721" t="s">
        <v>9065</v>
      </c>
      <c r="K5721">
        <v>10455</v>
      </c>
      <c r="L5721" t="s">
        <v>9094</v>
      </c>
      <c r="M5721" t="s">
        <v>9095</v>
      </c>
      <c r="N5721" t="s">
        <v>11063</v>
      </c>
      <c r="O5721" t="s">
        <v>11129</v>
      </c>
      <c r="P5721" t="s">
        <v>11164</v>
      </c>
      <c r="Q5721" t="s">
        <v>11172</v>
      </c>
      <c r="R5721" t="s">
        <v>11180</v>
      </c>
      <c r="S5721" t="s">
        <v>9096</v>
      </c>
      <c r="T5721" t="s">
        <v>11183</v>
      </c>
      <c r="V5721" t="s">
        <v>268</v>
      </c>
      <c r="W5721">
        <v>0</v>
      </c>
      <c r="X5721" t="s">
        <v>11333</v>
      </c>
      <c r="Z5721" t="s">
        <v>12178</v>
      </c>
      <c r="AB5721" t="s">
        <v>19258</v>
      </c>
      <c r="AC5721">
        <v>0</v>
      </c>
      <c r="AF5721">
        <v>0</v>
      </c>
      <c r="AG5721">
        <v>1</v>
      </c>
      <c r="AH5721">
        <v>0</v>
      </c>
      <c r="AI5721">
        <v>320.26</v>
      </c>
      <c r="AL5721" t="s">
        <v>19614</v>
      </c>
      <c r="AM5721">
        <v>40000</v>
      </c>
      <c r="AS5721">
        <v>0.5</v>
      </c>
      <c r="AT5721" t="s">
        <v>483</v>
      </c>
      <c r="AU5721" t="s">
        <v>108</v>
      </c>
      <c r="AV5721" t="s">
        <v>20733</v>
      </c>
    </row>
    <row r="5722" spans="1:48">
      <c r="A5722" s="1">
        <f>HYPERLINK("https://lsnyc.legalserver.org/matter/dynamic-profile/view/1901431","19-1901431")</f>
        <v>0</v>
      </c>
      <c r="B5722" t="s">
        <v>101</v>
      </c>
      <c r="C5722" t="s">
        <v>256</v>
      </c>
      <c r="D5722" t="s">
        <v>559</v>
      </c>
      <c r="F5722" t="s">
        <v>3182</v>
      </c>
      <c r="G5722" t="s">
        <v>2119</v>
      </c>
      <c r="H5722" t="s">
        <v>6113</v>
      </c>
      <c r="I5722" t="s">
        <v>8171</v>
      </c>
      <c r="J5722" t="s">
        <v>9065</v>
      </c>
      <c r="K5722">
        <v>10452</v>
      </c>
      <c r="L5722" t="s">
        <v>9094</v>
      </c>
      <c r="M5722" t="s">
        <v>9095</v>
      </c>
      <c r="O5722" t="s">
        <v>11134</v>
      </c>
      <c r="P5722" t="s">
        <v>11168</v>
      </c>
      <c r="R5722" t="s">
        <v>11180</v>
      </c>
      <c r="S5722" t="s">
        <v>9094</v>
      </c>
      <c r="T5722" t="s">
        <v>11183</v>
      </c>
      <c r="V5722" t="s">
        <v>11218</v>
      </c>
      <c r="W5722">
        <v>783.86</v>
      </c>
      <c r="X5722" t="s">
        <v>11333</v>
      </c>
      <c r="Y5722" t="s">
        <v>11339</v>
      </c>
      <c r="Z5722" t="s">
        <v>14945</v>
      </c>
      <c r="AB5722" t="s">
        <v>19259</v>
      </c>
      <c r="AC5722">
        <v>52</v>
      </c>
      <c r="AD5722" t="s">
        <v>19566</v>
      </c>
      <c r="AE5722" t="s">
        <v>9144</v>
      </c>
      <c r="AF5722">
        <v>20</v>
      </c>
      <c r="AG5722">
        <v>1</v>
      </c>
      <c r="AH5722">
        <v>0</v>
      </c>
      <c r="AI5722">
        <v>320.26</v>
      </c>
      <c r="AL5722" t="s">
        <v>19614</v>
      </c>
      <c r="AM5722">
        <v>40000</v>
      </c>
      <c r="AS5722">
        <v>0</v>
      </c>
      <c r="AU5722" t="s">
        <v>220</v>
      </c>
      <c r="AV5722" t="s">
        <v>20733</v>
      </c>
    </row>
    <row r="5723" spans="1:48">
      <c r="A5723" s="1">
        <f>HYPERLINK("https://lsnyc.legalserver.org/matter/dynamic-profile/view/1895540","19-1895540")</f>
        <v>0</v>
      </c>
      <c r="B5723" t="s">
        <v>138</v>
      </c>
      <c r="C5723" t="s">
        <v>256</v>
      </c>
      <c r="D5723" t="s">
        <v>512</v>
      </c>
      <c r="F5723" t="s">
        <v>3183</v>
      </c>
      <c r="G5723" t="s">
        <v>5473</v>
      </c>
      <c r="H5723" t="s">
        <v>6093</v>
      </c>
      <c r="I5723">
        <v>23</v>
      </c>
      <c r="J5723" t="s">
        <v>9067</v>
      </c>
      <c r="K5723">
        <v>10034</v>
      </c>
      <c r="L5723" t="s">
        <v>9094</v>
      </c>
      <c r="M5723" t="s">
        <v>9094</v>
      </c>
      <c r="N5723" t="s">
        <v>11064</v>
      </c>
      <c r="O5723" t="s">
        <v>11130</v>
      </c>
      <c r="P5723" t="s">
        <v>11165</v>
      </c>
      <c r="R5723" t="s">
        <v>11180</v>
      </c>
      <c r="S5723" t="s">
        <v>9094</v>
      </c>
      <c r="T5723" t="s">
        <v>11183</v>
      </c>
      <c r="U5723" t="s">
        <v>11201</v>
      </c>
      <c r="V5723" t="s">
        <v>512</v>
      </c>
      <c r="W5723">
        <v>2000</v>
      </c>
      <c r="X5723" t="s">
        <v>11335</v>
      </c>
      <c r="Y5723" t="s">
        <v>11157</v>
      </c>
      <c r="Z5723" t="s">
        <v>14946</v>
      </c>
      <c r="AB5723" t="s">
        <v>19260</v>
      </c>
      <c r="AC5723">
        <v>25</v>
      </c>
      <c r="AD5723" t="s">
        <v>19566</v>
      </c>
      <c r="AE5723" t="s">
        <v>9144</v>
      </c>
      <c r="AF5723">
        <v>0</v>
      </c>
      <c r="AG5723">
        <v>1</v>
      </c>
      <c r="AH5723">
        <v>0</v>
      </c>
      <c r="AI5723">
        <v>320.26</v>
      </c>
      <c r="AL5723" t="s">
        <v>19614</v>
      </c>
      <c r="AM5723">
        <v>40000</v>
      </c>
      <c r="AS5723">
        <v>3.7</v>
      </c>
      <c r="AT5723" t="s">
        <v>1135</v>
      </c>
      <c r="AU5723" t="s">
        <v>20657</v>
      </c>
      <c r="AV5723" t="s">
        <v>20733</v>
      </c>
    </row>
    <row r="5724" spans="1:48">
      <c r="A5724" s="1">
        <f>HYPERLINK("https://lsnyc.legalserver.org/matter/dynamic-profile/view/1890455","19-1890455")</f>
        <v>0</v>
      </c>
      <c r="B5724" t="s">
        <v>122</v>
      </c>
      <c r="C5724" t="s">
        <v>257</v>
      </c>
      <c r="D5724" t="s">
        <v>482</v>
      </c>
      <c r="E5724" t="s">
        <v>292</v>
      </c>
      <c r="F5724" t="s">
        <v>3184</v>
      </c>
      <c r="G5724" t="s">
        <v>4475</v>
      </c>
      <c r="H5724" t="s">
        <v>8037</v>
      </c>
      <c r="I5724" t="s">
        <v>8989</v>
      </c>
      <c r="J5724" t="s">
        <v>9066</v>
      </c>
      <c r="K5724">
        <v>10301</v>
      </c>
      <c r="L5724" t="s">
        <v>9094</v>
      </c>
      <c r="M5724" t="s">
        <v>9094</v>
      </c>
      <c r="N5724" t="s">
        <v>11065</v>
      </c>
      <c r="O5724" t="s">
        <v>11129</v>
      </c>
      <c r="P5724" t="s">
        <v>11165</v>
      </c>
      <c r="Q5724" t="s">
        <v>11174</v>
      </c>
      <c r="R5724" t="s">
        <v>11180</v>
      </c>
      <c r="S5724" t="s">
        <v>9096</v>
      </c>
      <c r="T5724" t="s">
        <v>11183</v>
      </c>
      <c r="U5724" t="s">
        <v>11200</v>
      </c>
      <c r="V5724" t="s">
        <v>381</v>
      </c>
      <c r="W5724">
        <v>1492</v>
      </c>
      <c r="X5724" t="s">
        <v>11334</v>
      </c>
      <c r="Y5724" t="s">
        <v>11338</v>
      </c>
      <c r="Z5724" t="s">
        <v>14947</v>
      </c>
      <c r="AB5724" t="s">
        <v>19261</v>
      </c>
      <c r="AC5724">
        <v>70</v>
      </c>
      <c r="AD5724" t="s">
        <v>19566</v>
      </c>
      <c r="AE5724" t="s">
        <v>9144</v>
      </c>
      <c r="AF5724">
        <v>5</v>
      </c>
      <c r="AG5724">
        <v>1</v>
      </c>
      <c r="AH5724">
        <v>0</v>
      </c>
      <c r="AI5724">
        <v>320.58</v>
      </c>
      <c r="AJ5724" t="s">
        <v>289</v>
      </c>
      <c r="AK5724" t="s">
        <v>19612</v>
      </c>
      <c r="AL5724" t="s">
        <v>19614</v>
      </c>
      <c r="AM5724">
        <v>40040</v>
      </c>
      <c r="AO5724" t="s">
        <v>20294</v>
      </c>
      <c r="AP5724" t="s">
        <v>20309</v>
      </c>
      <c r="AQ5724" t="s">
        <v>20369</v>
      </c>
      <c r="AR5724" t="s">
        <v>20576</v>
      </c>
      <c r="AS5724">
        <v>54.5</v>
      </c>
      <c r="AT5724" t="s">
        <v>404</v>
      </c>
      <c r="AU5724" t="s">
        <v>20638</v>
      </c>
      <c r="AV5724" t="s">
        <v>20733</v>
      </c>
    </row>
    <row r="5725" spans="1:48">
      <c r="A5725" s="1">
        <f>HYPERLINK("https://lsnyc.legalserver.org/matter/dynamic-profile/view/1907690","19-1907690")</f>
        <v>0</v>
      </c>
      <c r="B5725" t="s">
        <v>55</v>
      </c>
      <c r="C5725" t="s">
        <v>256</v>
      </c>
      <c r="D5725" t="s">
        <v>429</v>
      </c>
      <c r="F5725" t="s">
        <v>3185</v>
      </c>
      <c r="G5725" t="s">
        <v>5474</v>
      </c>
      <c r="H5725" t="s">
        <v>7925</v>
      </c>
      <c r="I5725" t="s">
        <v>8168</v>
      </c>
      <c r="J5725" t="s">
        <v>9050</v>
      </c>
      <c r="K5725">
        <v>11377</v>
      </c>
      <c r="L5725" t="s">
        <v>9094</v>
      </c>
      <c r="M5725" t="s">
        <v>9095</v>
      </c>
      <c r="N5725" t="s">
        <v>10947</v>
      </c>
      <c r="O5725" t="s">
        <v>11134</v>
      </c>
      <c r="P5725" t="s">
        <v>11168</v>
      </c>
      <c r="R5725" t="s">
        <v>11180</v>
      </c>
      <c r="S5725" t="s">
        <v>9094</v>
      </c>
      <c r="T5725" t="s">
        <v>11183</v>
      </c>
      <c r="U5725" t="s">
        <v>11201</v>
      </c>
      <c r="V5725" t="s">
        <v>429</v>
      </c>
      <c r="W5725">
        <v>1635.49</v>
      </c>
      <c r="X5725" t="s">
        <v>11331</v>
      </c>
      <c r="Y5725" t="s">
        <v>11346</v>
      </c>
      <c r="Z5725" t="s">
        <v>14948</v>
      </c>
      <c r="AB5725" t="s">
        <v>19262</v>
      </c>
      <c r="AC5725">
        <v>390</v>
      </c>
      <c r="AD5725" t="s">
        <v>19566</v>
      </c>
      <c r="AE5725" t="s">
        <v>9144</v>
      </c>
      <c r="AF5725">
        <v>5</v>
      </c>
      <c r="AG5725">
        <v>3</v>
      </c>
      <c r="AH5725">
        <v>1</v>
      </c>
      <c r="AI5725">
        <v>322.33</v>
      </c>
      <c r="AJ5725" t="s">
        <v>476</v>
      </c>
      <c r="AK5725" t="s">
        <v>19612</v>
      </c>
      <c r="AL5725" t="s">
        <v>19614</v>
      </c>
      <c r="AM5725">
        <v>83000</v>
      </c>
      <c r="AP5725" t="s">
        <v>11157</v>
      </c>
      <c r="AS5725">
        <v>0.4</v>
      </c>
      <c r="AT5725" t="s">
        <v>429</v>
      </c>
      <c r="AU5725" t="s">
        <v>20620</v>
      </c>
      <c r="AV5725" t="s">
        <v>20733</v>
      </c>
    </row>
    <row r="5726" spans="1:48">
      <c r="A5726" s="1">
        <f>HYPERLINK("https://lsnyc.legalserver.org/matter/dynamic-profile/view/1885636","18-1885636")</f>
        <v>0</v>
      </c>
      <c r="B5726" t="s">
        <v>111</v>
      </c>
      <c r="C5726" t="s">
        <v>256</v>
      </c>
      <c r="D5726" t="s">
        <v>634</v>
      </c>
      <c r="F5726" t="s">
        <v>3186</v>
      </c>
      <c r="G5726" t="s">
        <v>3981</v>
      </c>
      <c r="H5726" t="s">
        <v>6370</v>
      </c>
      <c r="I5726" t="s">
        <v>8745</v>
      </c>
      <c r="J5726" t="s">
        <v>9065</v>
      </c>
      <c r="K5726">
        <v>10463</v>
      </c>
      <c r="L5726" t="s">
        <v>9094</v>
      </c>
      <c r="M5726" t="s">
        <v>9094</v>
      </c>
      <c r="O5726" t="s">
        <v>11130</v>
      </c>
      <c r="P5726" t="s">
        <v>11164</v>
      </c>
      <c r="R5726" t="s">
        <v>11180</v>
      </c>
      <c r="S5726" t="s">
        <v>9094</v>
      </c>
      <c r="T5726" t="s">
        <v>11183</v>
      </c>
      <c r="V5726" t="s">
        <v>738</v>
      </c>
      <c r="W5726">
        <v>1300</v>
      </c>
      <c r="X5726" t="s">
        <v>11333</v>
      </c>
      <c r="Y5726" t="s">
        <v>11346</v>
      </c>
      <c r="Z5726" t="s">
        <v>14949</v>
      </c>
      <c r="AC5726">
        <v>55</v>
      </c>
      <c r="AD5726" t="s">
        <v>19566</v>
      </c>
      <c r="AE5726" t="s">
        <v>9144</v>
      </c>
      <c r="AF5726">
        <v>3</v>
      </c>
      <c r="AG5726">
        <v>2</v>
      </c>
      <c r="AH5726">
        <v>1</v>
      </c>
      <c r="AI5726">
        <v>322.43</v>
      </c>
      <c r="AL5726" t="s">
        <v>19614</v>
      </c>
      <c r="AM5726">
        <v>67000</v>
      </c>
      <c r="AN5726" t="s">
        <v>19819</v>
      </c>
      <c r="AS5726">
        <v>0</v>
      </c>
      <c r="AU5726" t="s">
        <v>20647</v>
      </c>
    </row>
    <row r="5727" spans="1:48">
      <c r="A5727" s="1">
        <f>HYPERLINK("https://lsnyc.legalserver.org/matter/dynamic-profile/view/1877920","18-1877920")</f>
        <v>0</v>
      </c>
      <c r="B5727" t="s">
        <v>138</v>
      </c>
      <c r="C5727" t="s">
        <v>256</v>
      </c>
      <c r="D5727" t="s">
        <v>931</v>
      </c>
      <c r="F5727" t="s">
        <v>3187</v>
      </c>
      <c r="G5727" t="s">
        <v>5475</v>
      </c>
      <c r="H5727" t="s">
        <v>8038</v>
      </c>
      <c r="I5727" t="s">
        <v>8138</v>
      </c>
      <c r="J5727" t="s">
        <v>9067</v>
      </c>
      <c r="K5727">
        <v>10033</v>
      </c>
      <c r="L5727" t="s">
        <v>9094</v>
      </c>
      <c r="M5727" t="s">
        <v>9094</v>
      </c>
      <c r="O5727" t="s">
        <v>11141</v>
      </c>
      <c r="P5727" t="s">
        <v>11167</v>
      </c>
      <c r="R5727" t="s">
        <v>11180</v>
      </c>
      <c r="S5727" t="s">
        <v>9096</v>
      </c>
      <c r="T5727" t="s">
        <v>11183</v>
      </c>
      <c r="V5727" t="s">
        <v>931</v>
      </c>
      <c r="W5727">
        <v>2334.37</v>
      </c>
      <c r="X5727" t="s">
        <v>11335</v>
      </c>
      <c r="Y5727" t="s">
        <v>11339</v>
      </c>
      <c r="Z5727" t="s">
        <v>14950</v>
      </c>
      <c r="AC5727">
        <v>35</v>
      </c>
      <c r="AD5727" t="s">
        <v>19566</v>
      </c>
      <c r="AE5727" t="s">
        <v>9144</v>
      </c>
      <c r="AF5727">
        <v>3</v>
      </c>
      <c r="AG5727">
        <v>3</v>
      </c>
      <c r="AH5727">
        <v>0</v>
      </c>
      <c r="AI5727">
        <v>323.39</v>
      </c>
      <c r="AJ5727" t="s">
        <v>458</v>
      </c>
      <c r="AK5727" t="s">
        <v>19612</v>
      </c>
      <c r="AL5727" t="s">
        <v>19614</v>
      </c>
      <c r="AM5727">
        <v>67200</v>
      </c>
      <c r="AS5727">
        <v>3.6</v>
      </c>
      <c r="AT5727" t="s">
        <v>282</v>
      </c>
      <c r="AU5727" t="s">
        <v>130</v>
      </c>
      <c r="AV5727" t="s">
        <v>20733</v>
      </c>
    </row>
    <row r="5728" spans="1:48">
      <c r="A5728" s="1">
        <f>HYPERLINK("https://lsnyc.legalserver.org/matter/dynamic-profile/view/1898334","19-1898334")</f>
        <v>0</v>
      </c>
      <c r="B5728" t="s">
        <v>165</v>
      </c>
      <c r="C5728" t="s">
        <v>256</v>
      </c>
      <c r="D5728" t="s">
        <v>596</v>
      </c>
      <c r="F5728" t="s">
        <v>2068</v>
      </c>
      <c r="G5728" t="s">
        <v>5476</v>
      </c>
      <c r="H5728" t="s">
        <v>6934</v>
      </c>
      <c r="I5728" t="s">
        <v>8132</v>
      </c>
      <c r="J5728" t="s">
        <v>9059</v>
      </c>
      <c r="K5728">
        <v>11216</v>
      </c>
      <c r="L5728" t="s">
        <v>9094</v>
      </c>
      <c r="M5728" t="s">
        <v>9094</v>
      </c>
      <c r="N5728" t="s">
        <v>10050</v>
      </c>
      <c r="O5728" t="s">
        <v>11132</v>
      </c>
      <c r="P5728" t="s">
        <v>11165</v>
      </c>
      <c r="R5728" t="s">
        <v>11180</v>
      </c>
      <c r="S5728" t="s">
        <v>9094</v>
      </c>
      <c r="T5728" t="s">
        <v>11183</v>
      </c>
      <c r="U5728" t="s">
        <v>11201</v>
      </c>
      <c r="V5728" t="s">
        <v>614</v>
      </c>
      <c r="W5728">
        <v>2075</v>
      </c>
      <c r="X5728" t="s">
        <v>11332</v>
      </c>
      <c r="Y5728" t="s">
        <v>11339</v>
      </c>
      <c r="Z5728" t="s">
        <v>14677</v>
      </c>
      <c r="AB5728" t="s">
        <v>19263</v>
      </c>
      <c r="AC5728">
        <v>82</v>
      </c>
      <c r="AD5728" t="s">
        <v>19566</v>
      </c>
      <c r="AE5728" t="s">
        <v>9144</v>
      </c>
      <c r="AF5728">
        <v>2</v>
      </c>
      <c r="AG5728">
        <v>2</v>
      </c>
      <c r="AH5728">
        <v>0</v>
      </c>
      <c r="AI5728">
        <v>324.01</v>
      </c>
      <c r="AL5728" t="s">
        <v>19614</v>
      </c>
      <c r="AM5728">
        <v>54790.06</v>
      </c>
      <c r="AN5728" t="s">
        <v>20170</v>
      </c>
      <c r="AS5728">
        <v>0</v>
      </c>
      <c r="AU5728" t="s">
        <v>95</v>
      </c>
      <c r="AV5728" t="s">
        <v>20733</v>
      </c>
    </row>
    <row r="5729" spans="1:48">
      <c r="A5729" s="1">
        <f>HYPERLINK("https://lsnyc.legalserver.org/matter/dynamic-profile/view/1898336","19-1898336")</f>
        <v>0</v>
      </c>
      <c r="B5729" t="s">
        <v>165</v>
      </c>
      <c r="C5729" t="s">
        <v>256</v>
      </c>
      <c r="D5729" t="s">
        <v>596</v>
      </c>
      <c r="F5729" t="s">
        <v>2068</v>
      </c>
      <c r="G5729" t="s">
        <v>5476</v>
      </c>
      <c r="H5729" t="s">
        <v>6934</v>
      </c>
      <c r="I5729" t="s">
        <v>8132</v>
      </c>
      <c r="J5729" t="s">
        <v>9059</v>
      </c>
      <c r="K5729">
        <v>11216</v>
      </c>
      <c r="L5729" t="s">
        <v>9094</v>
      </c>
      <c r="M5729" t="s">
        <v>9094</v>
      </c>
      <c r="O5729" t="s">
        <v>11137</v>
      </c>
      <c r="P5729" t="s">
        <v>11167</v>
      </c>
      <c r="R5729" t="s">
        <v>11180</v>
      </c>
      <c r="S5729" t="s">
        <v>9094</v>
      </c>
      <c r="T5729" t="s">
        <v>11183</v>
      </c>
      <c r="U5729" t="s">
        <v>11201</v>
      </c>
      <c r="V5729" t="s">
        <v>596</v>
      </c>
      <c r="W5729">
        <v>2075</v>
      </c>
      <c r="X5729" t="s">
        <v>11332</v>
      </c>
      <c r="Y5729" t="s">
        <v>11339</v>
      </c>
      <c r="Z5729" t="s">
        <v>14677</v>
      </c>
      <c r="AB5729" t="s">
        <v>19263</v>
      </c>
      <c r="AC5729">
        <v>82</v>
      </c>
      <c r="AD5729" t="s">
        <v>19566</v>
      </c>
      <c r="AE5729" t="s">
        <v>9144</v>
      </c>
      <c r="AF5729">
        <v>2</v>
      </c>
      <c r="AG5729">
        <v>2</v>
      </c>
      <c r="AH5729">
        <v>0</v>
      </c>
      <c r="AI5729">
        <v>324.01</v>
      </c>
      <c r="AL5729" t="s">
        <v>19614</v>
      </c>
      <c r="AM5729">
        <v>54790.06</v>
      </c>
      <c r="AN5729" t="s">
        <v>20171</v>
      </c>
      <c r="AS5729">
        <v>0</v>
      </c>
      <c r="AU5729" t="s">
        <v>95</v>
      </c>
    </row>
    <row r="5730" spans="1:48">
      <c r="A5730" s="1">
        <f>HYPERLINK("https://lsnyc.legalserver.org/matter/dynamic-profile/view/1913534","19-1913534")</f>
        <v>0</v>
      </c>
      <c r="B5730" t="s">
        <v>98</v>
      </c>
      <c r="C5730" t="s">
        <v>256</v>
      </c>
      <c r="D5730" t="s">
        <v>521</v>
      </c>
      <c r="F5730" t="s">
        <v>1293</v>
      </c>
      <c r="G5730" t="s">
        <v>3411</v>
      </c>
      <c r="H5730" t="s">
        <v>6216</v>
      </c>
      <c r="I5730" t="s">
        <v>8270</v>
      </c>
      <c r="J5730" t="s">
        <v>9065</v>
      </c>
      <c r="K5730">
        <v>10452</v>
      </c>
      <c r="L5730" t="s">
        <v>9094</v>
      </c>
      <c r="M5730" t="s">
        <v>9095</v>
      </c>
      <c r="N5730" t="s">
        <v>9497</v>
      </c>
      <c r="O5730" t="s">
        <v>11134</v>
      </c>
      <c r="P5730" t="s">
        <v>11168</v>
      </c>
      <c r="R5730" t="s">
        <v>11180</v>
      </c>
      <c r="S5730" t="s">
        <v>9094</v>
      </c>
      <c r="T5730" t="s">
        <v>11183</v>
      </c>
      <c r="W5730">
        <v>485</v>
      </c>
      <c r="X5730" t="s">
        <v>11333</v>
      </c>
      <c r="Y5730" t="s">
        <v>11346</v>
      </c>
      <c r="Z5730" t="s">
        <v>14951</v>
      </c>
      <c r="AA5730" t="s">
        <v>15902</v>
      </c>
      <c r="AB5730" t="s">
        <v>19264</v>
      </c>
      <c r="AC5730">
        <v>67</v>
      </c>
      <c r="AD5730" t="s">
        <v>19566</v>
      </c>
      <c r="AE5730" t="s">
        <v>9144</v>
      </c>
      <c r="AF5730">
        <v>51</v>
      </c>
      <c r="AG5730">
        <v>2</v>
      </c>
      <c r="AH5730">
        <v>0</v>
      </c>
      <c r="AI5730">
        <v>324.94</v>
      </c>
      <c r="AL5730" t="s">
        <v>19614</v>
      </c>
      <c r="AM5730">
        <v>54948</v>
      </c>
      <c r="AS5730">
        <v>0</v>
      </c>
      <c r="AU5730" t="s">
        <v>20642</v>
      </c>
      <c r="AV5730" t="s">
        <v>20733</v>
      </c>
    </row>
    <row r="5731" spans="1:48">
      <c r="A5731" s="1">
        <f>HYPERLINK("https://lsnyc.legalserver.org/matter/dynamic-profile/view/1882385","18-1882385")</f>
        <v>0</v>
      </c>
      <c r="B5731" t="s">
        <v>113</v>
      </c>
      <c r="C5731" t="s">
        <v>256</v>
      </c>
      <c r="D5731" t="s">
        <v>697</v>
      </c>
      <c r="F5731" t="s">
        <v>1158</v>
      </c>
      <c r="G5731" t="s">
        <v>5178</v>
      </c>
      <c r="H5731" t="s">
        <v>5892</v>
      </c>
      <c r="I5731" t="s">
        <v>8945</v>
      </c>
      <c r="J5731" t="s">
        <v>9065</v>
      </c>
      <c r="K5731">
        <v>10453</v>
      </c>
      <c r="L5731" t="s">
        <v>9094</v>
      </c>
      <c r="M5731" t="s">
        <v>9094</v>
      </c>
      <c r="O5731" t="s">
        <v>9121</v>
      </c>
      <c r="P5731" t="s">
        <v>11167</v>
      </c>
      <c r="R5731" t="s">
        <v>11180</v>
      </c>
      <c r="T5731" t="s">
        <v>11183</v>
      </c>
      <c r="V5731" t="s">
        <v>11218</v>
      </c>
      <c r="W5731">
        <v>1450</v>
      </c>
      <c r="X5731" t="s">
        <v>11333</v>
      </c>
      <c r="Y5731" t="s">
        <v>11346</v>
      </c>
      <c r="Z5731" t="s">
        <v>14952</v>
      </c>
      <c r="AB5731" t="s">
        <v>19265</v>
      </c>
      <c r="AC5731">
        <v>99</v>
      </c>
      <c r="AD5731" t="s">
        <v>19566</v>
      </c>
      <c r="AF5731">
        <v>1</v>
      </c>
      <c r="AG5731">
        <v>2</v>
      </c>
      <c r="AH5731">
        <v>1</v>
      </c>
      <c r="AI5731">
        <v>325.19</v>
      </c>
      <c r="AL5731" t="s">
        <v>19614</v>
      </c>
      <c r="AM5731">
        <v>67574</v>
      </c>
      <c r="AN5731" t="s">
        <v>19802</v>
      </c>
      <c r="AS5731">
        <v>0</v>
      </c>
      <c r="AU5731" t="s">
        <v>163</v>
      </c>
      <c r="AV5731" t="s">
        <v>20733</v>
      </c>
    </row>
    <row r="5732" spans="1:48">
      <c r="A5732" s="1">
        <f>HYPERLINK("https://lsnyc.legalserver.org/matter/dynamic-profile/view/1887025","19-1887025")</f>
        <v>0</v>
      </c>
      <c r="B5732" t="s">
        <v>113</v>
      </c>
      <c r="C5732" t="s">
        <v>257</v>
      </c>
      <c r="D5732" t="s">
        <v>582</v>
      </c>
      <c r="E5732" t="s">
        <v>326</v>
      </c>
      <c r="F5732" t="s">
        <v>1158</v>
      </c>
      <c r="G5732" t="s">
        <v>5178</v>
      </c>
      <c r="H5732" t="s">
        <v>5892</v>
      </c>
      <c r="I5732" t="s">
        <v>8945</v>
      </c>
      <c r="J5732" t="s">
        <v>9065</v>
      </c>
      <c r="K5732">
        <v>10453</v>
      </c>
      <c r="L5732" t="s">
        <v>9094</v>
      </c>
      <c r="M5732" t="s">
        <v>9095</v>
      </c>
      <c r="O5732" t="s">
        <v>9121</v>
      </c>
      <c r="P5732" t="s">
        <v>11166</v>
      </c>
      <c r="Q5732" t="s">
        <v>11173</v>
      </c>
      <c r="R5732" t="s">
        <v>11180</v>
      </c>
      <c r="S5732" t="s">
        <v>9094</v>
      </c>
      <c r="T5732" t="s">
        <v>11183</v>
      </c>
      <c r="V5732" t="s">
        <v>441</v>
      </c>
      <c r="W5732">
        <v>1450</v>
      </c>
      <c r="X5732" t="s">
        <v>11333</v>
      </c>
      <c r="Y5732" t="s">
        <v>11346</v>
      </c>
      <c r="Z5732" t="s">
        <v>14952</v>
      </c>
      <c r="AB5732" t="s">
        <v>19265</v>
      </c>
      <c r="AC5732">
        <v>99</v>
      </c>
      <c r="AD5732" t="s">
        <v>19566</v>
      </c>
      <c r="AE5732" t="s">
        <v>9144</v>
      </c>
      <c r="AF5732">
        <v>1</v>
      </c>
      <c r="AG5732">
        <v>2</v>
      </c>
      <c r="AH5732">
        <v>1</v>
      </c>
      <c r="AI5732">
        <v>325.19</v>
      </c>
      <c r="AL5732" t="s">
        <v>19614</v>
      </c>
      <c r="AM5732">
        <v>67574</v>
      </c>
      <c r="AN5732" t="s">
        <v>20172</v>
      </c>
      <c r="AS5732">
        <v>0.5</v>
      </c>
      <c r="AT5732" t="s">
        <v>326</v>
      </c>
      <c r="AU5732" t="s">
        <v>20647</v>
      </c>
      <c r="AV5732" t="s">
        <v>20733</v>
      </c>
    </row>
    <row r="5733" spans="1:48">
      <c r="A5733" s="1">
        <f>HYPERLINK("https://lsnyc.legalserver.org/matter/dynamic-profile/view/1903494","19-1903494")</f>
        <v>0</v>
      </c>
      <c r="B5733" t="s">
        <v>59</v>
      </c>
      <c r="C5733" t="s">
        <v>256</v>
      </c>
      <c r="D5733" t="s">
        <v>302</v>
      </c>
      <c r="F5733" t="s">
        <v>1457</v>
      </c>
      <c r="G5733" t="s">
        <v>3674</v>
      </c>
      <c r="H5733" t="s">
        <v>6367</v>
      </c>
      <c r="I5733" t="s">
        <v>8381</v>
      </c>
      <c r="J5733" t="s">
        <v>9055</v>
      </c>
      <c r="K5733">
        <v>11354</v>
      </c>
      <c r="L5733" t="s">
        <v>9094</v>
      </c>
      <c r="M5733" t="s">
        <v>9095</v>
      </c>
      <c r="N5733" t="s">
        <v>9135</v>
      </c>
      <c r="O5733" t="s">
        <v>11134</v>
      </c>
      <c r="P5733" t="s">
        <v>11168</v>
      </c>
      <c r="R5733" t="s">
        <v>11180</v>
      </c>
      <c r="S5733" t="s">
        <v>9094</v>
      </c>
      <c r="T5733" t="s">
        <v>11183</v>
      </c>
      <c r="U5733" t="s">
        <v>11201</v>
      </c>
      <c r="V5733" t="s">
        <v>302</v>
      </c>
      <c r="W5733">
        <v>1800</v>
      </c>
      <c r="X5733" t="s">
        <v>11331</v>
      </c>
      <c r="Y5733" t="s">
        <v>11341</v>
      </c>
      <c r="Z5733" t="s">
        <v>14953</v>
      </c>
      <c r="AB5733" t="s">
        <v>19266</v>
      </c>
      <c r="AC5733">
        <v>91</v>
      </c>
      <c r="AD5733" t="s">
        <v>19566</v>
      </c>
      <c r="AE5733" t="s">
        <v>9144</v>
      </c>
      <c r="AF5733">
        <v>1</v>
      </c>
      <c r="AG5733">
        <v>2</v>
      </c>
      <c r="AH5733">
        <v>0</v>
      </c>
      <c r="AI5733">
        <v>325.25</v>
      </c>
      <c r="AK5733" t="s">
        <v>19612</v>
      </c>
      <c r="AL5733" t="s">
        <v>19614</v>
      </c>
      <c r="AM5733">
        <v>55000</v>
      </c>
      <c r="AS5733">
        <v>0.15</v>
      </c>
      <c r="AT5733" t="s">
        <v>302</v>
      </c>
      <c r="AU5733" t="s">
        <v>59</v>
      </c>
      <c r="AV5733" t="s">
        <v>20733</v>
      </c>
    </row>
    <row r="5734" spans="1:48">
      <c r="A5734" s="1">
        <f>HYPERLINK("https://lsnyc.legalserver.org/matter/dynamic-profile/view/1890584","19-1890584")</f>
        <v>0</v>
      </c>
      <c r="B5734" t="s">
        <v>70</v>
      </c>
      <c r="C5734" t="s">
        <v>256</v>
      </c>
      <c r="D5734" t="s">
        <v>695</v>
      </c>
      <c r="F5734" t="s">
        <v>2067</v>
      </c>
      <c r="G5734" t="s">
        <v>5477</v>
      </c>
      <c r="H5734" t="s">
        <v>5749</v>
      </c>
      <c r="I5734" t="s">
        <v>8501</v>
      </c>
      <c r="J5734" t="s">
        <v>9059</v>
      </c>
      <c r="K5734">
        <v>11233</v>
      </c>
      <c r="L5734" t="s">
        <v>9094</v>
      </c>
      <c r="M5734" t="s">
        <v>9096</v>
      </c>
      <c r="N5734" t="s">
        <v>9146</v>
      </c>
      <c r="O5734" t="s">
        <v>11134</v>
      </c>
      <c r="P5734" t="s">
        <v>11168</v>
      </c>
      <c r="R5734" t="s">
        <v>11180</v>
      </c>
      <c r="S5734" t="s">
        <v>9094</v>
      </c>
      <c r="T5734" t="s">
        <v>11183</v>
      </c>
      <c r="U5734" t="s">
        <v>11201</v>
      </c>
      <c r="V5734" t="s">
        <v>482</v>
      </c>
      <c r="W5734">
        <v>1189.18</v>
      </c>
      <c r="X5734" t="s">
        <v>11332</v>
      </c>
      <c r="Y5734" t="s">
        <v>11157</v>
      </c>
      <c r="Z5734" t="s">
        <v>14954</v>
      </c>
      <c r="AC5734">
        <v>359</v>
      </c>
      <c r="AD5734" t="s">
        <v>19566</v>
      </c>
      <c r="AE5734" t="s">
        <v>9144</v>
      </c>
      <c r="AF5734">
        <v>44</v>
      </c>
      <c r="AG5734">
        <v>2</v>
      </c>
      <c r="AH5734">
        <v>0</v>
      </c>
      <c r="AI5734">
        <v>325.25</v>
      </c>
      <c r="AL5734" t="s">
        <v>19614</v>
      </c>
      <c r="AM5734">
        <v>55000</v>
      </c>
      <c r="AN5734" t="s">
        <v>19642</v>
      </c>
      <c r="AS5734">
        <v>0</v>
      </c>
      <c r="AU5734" t="s">
        <v>79</v>
      </c>
    </row>
    <row r="5735" spans="1:48">
      <c r="A5735" s="1">
        <f>HYPERLINK("https://lsnyc.legalserver.org/matter/dynamic-profile/view/1891600","19-1891600")</f>
        <v>0</v>
      </c>
      <c r="B5735" t="s">
        <v>70</v>
      </c>
      <c r="C5735" t="s">
        <v>256</v>
      </c>
      <c r="D5735" t="s">
        <v>788</v>
      </c>
      <c r="F5735" t="s">
        <v>2067</v>
      </c>
      <c r="G5735" t="s">
        <v>5477</v>
      </c>
      <c r="H5735" t="s">
        <v>5749</v>
      </c>
      <c r="I5735" t="s">
        <v>8501</v>
      </c>
      <c r="J5735" t="s">
        <v>9059</v>
      </c>
      <c r="K5735">
        <v>11233</v>
      </c>
      <c r="L5735" t="s">
        <v>9094</v>
      </c>
      <c r="M5735" t="s">
        <v>9096</v>
      </c>
      <c r="O5735" t="s">
        <v>11137</v>
      </c>
      <c r="P5735" t="s">
        <v>11167</v>
      </c>
      <c r="R5735" t="s">
        <v>11180</v>
      </c>
      <c r="S5735" t="s">
        <v>9094</v>
      </c>
      <c r="T5735" t="s">
        <v>11183</v>
      </c>
      <c r="U5735" t="s">
        <v>11201</v>
      </c>
      <c r="V5735" t="s">
        <v>749</v>
      </c>
      <c r="W5735">
        <v>1189.1</v>
      </c>
      <c r="X5735" t="s">
        <v>11332</v>
      </c>
      <c r="Y5735" t="s">
        <v>11157</v>
      </c>
      <c r="Z5735" t="s">
        <v>14954</v>
      </c>
      <c r="AC5735">
        <v>359</v>
      </c>
      <c r="AD5735" t="s">
        <v>19566</v>
      </c>
      <c r="AE5735" t="s">
        <v>9144</v>
      </c>
      <c r="AF5735">
        <v>44</v>
      </c>
      <c r="AG5735">
        <v>2</v>
      </c>
      <c r="AH5735">
        <v>0</v>
      </c>
      <c r="AI5735">
        <v>325.25</v>
      </c>
      <c r="AL5735" t="s">
        <v>19614</v>
      </c>
      <c r="AM5735">
        <v>55000</v>
      </c>
      <c r="AN5735" t="s">
        <v>20173</v>
      </c>
      <c r="AS5735">
        <v>0</v>
      </c>
      <c r="AU5735" t="s">
        <v>79</v>
      </c>
    </row>
    <row r="5736" spans="1:48">
      <c r="A5736" s="1">
        <f>HYPERLINK("https://lsnyc.legalserver.org/matter/dynamic-profile/view/1914137","19-1914137")</f>
        <v>0</v>
      </c>
      <c r="B5736" t="s">
        <v>135</v>
      </c>
      <c r="C5736" t="s">
        <v>256</v>
      </c>
      <c r="D5736" t="s">
        <v>395</v>
      </c>
      <c r="F5736" t="s">
        <v>2149</v>
      </c>
      <c r="G5736" t="s">
        <v>3491</v>
      </c>
      <c r="H5736" t="s">
        <v>8039</v>
      </c>
      <c r="I5736" t="s">
        <v>8140</v>
      </c>
      <c r="J5736" t="s">
        <v>9067</v>
      </c>
      <c r="K5736">
        <v>10035</v>
      </c>
      <c r="L5736" t="s">
        <v>9094</v>
      </c>
      <c r="M5736" t="s">
        <v>9095</v>
      </c>
      <c r="O5736" t="s">
        <v>9121</v>
      </c>
      <c r="P5736" t="s">
        <v>11166</v>
      </c>
      <c r="R5736" t="s">
        <v>11180</v>
      </c>
      <c r="S5736" t="s">
        <v>9094</v>
      </c>
      <c r="T5736" t="s">
        <v>11183</v>
      </c>
      <c r="U5736" t="s">
        <v>11201</v>
      </c>
      <c r="V5736" t="s">
        <v>556</v>
      </c>
      <c r="W5736">
        <v>1625</v>
      </c>
      <c r="X5736" t="s">
        <v>11335</v>
      </c>
      <c r="Y5736" t="s">
        <v>11339</v>
      </c>
      <c r="Z5736" t="s">
        <v>14955</v>
      </c>
      <c r="AB5736" t="s">
        <v>19267</v>
      </c>
      <c r="AC5736">
        <v>41</v>
      </c>
      <c r="AD5736" t="s">
        <v>19566</v>
      </c>
      <c r="AE5736" t="s">
        <v>9144</v>
      </c>
      <c r="AF5736">
        <v>5</v>
      </c>
      <c r="AG5736">
        <v>2</v>
      </c>
      <c r="AH5736">
        <v>0</v>
      </c>
      <c r="AI5736">
        <v>325.25</v>
      </c>
      <c r="AL5736" t="s">
        <v>19614</v>
      </c>
      <c r="AM5736">
        <v>55000</v>
      </c>
      <c r="AS5736">
        <v>2.25</v>
      </c>
      <c r="AT5736" t="s">
        <v>556</v>
      </c>
      <c r="AU5736" t="s">
        <v>20657</v>
      </c>
      <c r="AV5736" t="s">
        <v>20733</v>
      </c>
    </row>
    <row r="5737" spans="1:48">
      <c r="A5737" s="1">
        <f>HYPERLINK("https://lsnyc.legalserver.org/matter/dynamic-profile/view/1905488","19-1905488")</f>
        <v>0</v>
      </c>
      <c r="B5737" t="s">
        <v>140</v>
      </c>
      <c r="C5737" t="s">
        <v>256</v>
      </c>
      <c r="D5737" t="s">
        <v>408</v>
      </c>
      <c r="F5737" t="s">
        <v>2972</v>
      </c>
      <c r="G5737" t="s">
        <v>5478</v>
      </c>
      <c r="H5737" t="s">
        <v>6466</v>
      </c>
      <c r="I5737" t="s">
        <v>8270</v>
      </c>
      <c r="J5737" t="s">
        <v>9067</v>
      </c>
      <c r="K5737">
        <v>10034</v>
      </c>
      <c r="L5737" t="s">
        <v>9094</v>
      </c>
      <c r="M5737" t="s">
        <v>9095</v>
      </c>
      <c r="O5737" t="s">
        <v>11130</v>
      </c>
      <c r="P5737" t="s">
        <v>11165</v>
      </c>
      <c r="R5737" t="s">
        <v>11180</v>
      </c>
      <c r="S5737" t="s">
        <v>9096</v>
      </c>
      <c r="T5737" t="s">
        <v>11183</v>
      </c>
      <c r="V5737" t="s">
        <v>408</v>
      </c>
      <c r="W5737">
        <v>1550</v>
      </c>
      <c r="X5737" t="s">
        <v>11335</v>
      </c>
      <c r="Y5737" t="s">
        <v>11338</v>
      </c>
      <c r="Z5737" t="s">
        <v>14956</v>
      </c>
      <c r="AB5737" t="s">
        <v>19268</v>
      </c>
      <c r="AC5737">
        <v>44</v>
      </c>
      <c r="AD5737" t="s">
        <v>19566</v>
      </c>
      <c r="AE5737" t="s">
        <v>9144</v>
      </c>
      <c r="AF5737">
        <v>3</v>
      </c>
      <c r="AG5737">
        <v>1</v>
      </c>
      <c r="AH5737">
        <v>1</v>
      </c>
      <c r="AI5737">
        <v>325.25</v>
      </c>
      <c r="AJ5737" t="s">
        <v>404</v>
      </c>
      <c r="AK5737" t="s">
        <v>19612</v>
      </c>
      <c r="AL5737" t="s">
        <v>19614</v>
      </c>
      <c r="AM5737">
        <v>55000</v>
      </c>
      <c r="AS5737">
        <v>0</v>
      </c>
      <c r="AU5737" t="s">
        <v>130</v>
      </c>
      <c r="AV5737" t="s">
        <v>20733</v>
      </c>
    </row>
    <row r="5738" spans="1:48">
      <c r="A5738" s="1">
        <f>HYPERLINK("https://lsnyc.legalserver.org/matter/dynamic-profile/view/1913177","19-1913177")</f>
        <v>0</v>
      </c>
      <c r="B5738" t="s">
        <v>134</v>
      </c>
      <c r="C5738" t="s">
        <v>256</v>
      </c>
      <c r="D5738" t="s">
        <v>276</v>
      </c>
      <c r="F5738" t="s">
        <v>1666</v>
      </c>
      <c r="G5738" t="s">
        <v>5479</v>
      </c>
      <c r="H5738" t="s">
        <v>5957</v>
      </c>
      <c r="I5738" t="s">
        <v>8419</v>
      </c>
      <c r="J5738" t="s">
        <v>9067</v>
      </c>
      <c r="K5738">
        <v>10032</v>
      </c>
      <c r="L5738" t="s">
        <v>9094</v>
      </c>
      <c r="M5738" t="s">
        <v>9095</v>
      </c>
      <c r="O5738" t="s">
        <v>11130</v>
      </c>
      <c r="P5738" t="s">
        <v>11165</v>
      </c>
      <c r="R5738" t="s">
        <v>11180</v>
      </c>
      <c r="S5738" t="s">
        <v>9094</v>
      </c>
      <c r="T5738" t="s">
        <v>11183</v>
      </c>
      <c r="V5738" t="s">
        <v>276</v>
      </c>
      <c r="W5738">
        <v>894.05</v>
      </c>
      <c r="X5738" t="s">
        <v>11335</v>
      </c>
      <c r="Y5738" t="s">
        <v>11340</v>
      </c>
      <c r="Z5738" t="s">
        <v>14957</v>
      </c>
      <c r="AB5738" t="s">
        <v>19269</v>
      </c>
      <c r="AC5738">
        <v>48</v>
      </c>
      <c r="AD5738" t="s">
        <v>19566</v>
      </c>
      <c r="AE5738" t="s">
        <v>9144</v>
      </c>
      <c r="AF5738">
        <v>19</v>
      </c>
      <c r="AG5738">
        <v>2</v>
      </c>
      <c r="AH5738">
        <v>3</v>
      </c>
      <c r="AI5738">
        <v>326.15</v>
      </c>
      <c r="AJ5738" t="s">
        <v>476</v>
      </c>
      <c r="AK5738" t="s">
        <v>19612</v>
      </c>
      <c r="AL5738" t="s">
        <v>19614</v>
      </c>
      <c r="AM5738">
        <v>98400</v>
      </c>
      <c r="AS5738">
        <v>0.4</v>
      </c>
      <c r="AT5738" t="s">
        <v>476</v>
      </c>
      <c r="AU5738" t="s">
        <v>130</v>
      </c>
      <c r="AV5738" t="s">
        <v>20733</v>
      </c>
    </row>
    <row r="5739" spans="1:48">
      <c r="A5739" s="1">
        <f>HYPERLINK("https://lsnyc.legalserver.org/matter/dynamic-profile/view/1897759","19-1897759")</f>
        <v>0</v>
      </c>
      <c r="B5739" t="s">
        <v>134</v>
      </c>
      <c r="C5739" t="s">
        <v>256</v>
      </c>
      <c r="D5739" t="s">
        <v>291</v>
      </c>
      <c r="F5739" t="s">
        <v>1666</v>
      </c>
      <c r="G5739" t="s">
        <v>5479</v>
      </c>
      <c r="H5739" t="s">
        <v>5957</v>
      </c>
      <c r="I5739" t="s">
        <v>8419</v>
      </c>
      <c r="J5739" t="s">
        <v>9067</v>
      </c>
      <c r="K5739">
        <v>10032</v>
      </c>
      <c r="L5739" t="s">
        <v>9094</v>
      </c>
      <c r="M5739" t="s">
        <v>9094</v>
      </c>
      <c r="O5739" t="s">
        <v>11136</v>
      </c>
      <c r="P5739" t="s">
        <v>11165</v>
      </c>
      <c r="R5739" t="s">
        <v>11180</v>
      </c>
      <c r="S5739" t="s">
        <v>9096</v>
      </c>
      <c r="T5739" t="s">
        <v>11183</v>
      </c>
      <c r="V5739" t="s">
        <v>291</v>
      </c>
      <c r="W5739">
        <v>894.05</v>
      </c>
      <c r="X5739" t="s">
        <v>11335</v>
      </c>
      <c r="Y5739" t="s">
        <v>11338</v>
      </c>
      <c r="Z5739" t="s">
        <v>14957</v>
      </c>
      <c r="AB5739" t="s">
        <v>19269</v>
      </c>
      <c r="AC5739">
        <v>48</v>
      </c>
      <c r="AD5739" t="s">
        <v>19566</v>
      </c>
      <c r="AE5739" t="s">
        <v>9144</v>
      </c>
      <c r="AF5739">
        <v>19</v>
      </c>
      <c r="AG5739">
        <v>2</v>
      </c>
      <c r="AH5739">
        <v>3</v>
      </c>
      <c r="AI5739">
        <v>326.15</v>
      </c>
      <c r="AL5739" t="s">
        <v>19614</v>
      </c>
      <c r="AM5739">
        <v>98400</v>
      </c>
      <c r="AS5739">
        <v>3.55</v>
      </c>
      <c r="AT5739" t="s">
        <v>268</v>
      </c>
      <c r="AU5739" t="s">
        <v>130</v>
      </c>
      <c r="AV5739" t="s">
        <v>20733</v>
      </c>
    </row>
    <row r="5740" spans="1:48">
      <c r="A5740" s="1">
        <f>HYPERLINK("https://lsnyc.legalserver.org/matter/dynamic-profile/view/1882754","18-1882754")</f>
        <v>0</v>
      </c>
      <c r="B5740" t="s">
        <v>106</v>
      </c>
      <c r="C5740" t="s">
        <v>256</v>
      </c>
      <c r="D5740" t="s">
        <v>433</v>
      </c>
      <c r="F5740" t="s">
        <v>1260</v>
      </c>
      <c r="G5740" t="s">
        <v>5466</v>
      </c>
      <c r="H5740" t="s">
        <v>5874</v>
      </c>
      <c r="I5740" t="s">
        <v>8419</v>
      </c>
      <c r="J5740" t="s">
        <v>9065</v>
      </c>
      <c r="K5740">
        <v>10457</v>
      </c>
      <c r="L5740" t="s">
        <v>9094</v>
      </c>
      <c r="M5740" t="s">
        <v>9094</v>
      </c>
      <c r="N5740" t="s">
        <v>9230</v>
      </c>
      <c r="O5740" t="s">
        <v>11134</v>
      </c>
      <c r="P5740" t="s">
        <v>11168</v>
      </c>
      <c r="R5740" t="s">
        <v>11180</v>
      </c>
      <c r="S5740" t="s">
        <v>9094</v>
      </c>
      <c r="T5740" t="s">
        <v>11183</v>
      </c>
      <c r="V5740" t="s">
        <v>738</v>
      </c>
      <c r="W5740">
        <v>997</v>
      </c>
      <c r="X5740" t="s">
        <v>11333</v>
      </c>
      <c r="Y5740" t="s">
        <v>11346</v>
      </c>
      <c r="Z5740" t="s">
        <v>14958</v>
      </c>
      <c r="AB5740" t="s">
        <v>19270</v>
      </c>
      <c r="AC5740">
        <v>47</v>
      </c>
      <c r="AD5740" t="s">
        <v>15441</v>
      </c>
      <c r="AE5740" t="s">
        <v>9144</v>
      </c>
      <c r="AF5740">
        <v>9</v>
      </c>
      <c r="AG5740">
        <v>1</v>
      </c>
      <c r="AH5740">
        <v>0</v>
      </c>
      <c r="AI5740">
        <v>326.19</v>
      </c>
      <c r="AL5740" t="s">
        <v>19614</v>
      </c>
      <c r="AM5740">
        <v>39600</v>
      </c>
      <c r="AS5740">
        <v>0.6</v>
      </c>
      <c r="AT5740" t="s">
        <v>608</v>
      </c>
      <c r="AU5740" t="s">
        <v>20642</v>
      </c>
    </row>
    <row r="5741" spans="1:48">
      <c r="A5741" s="1">
        <f>HYPERLINK("https://lsnyc.legalserver.org/matter/dynamic-profile/view/1882738","18-1882738")</f>
        <v>0</v>
      </c>
      <c r="B5741" t="s">
        <v>106</v>
      </c>
      <c r="C5741" t="s">
        <v>256</v>
      </c>
      <c r="D5741" t="s">
        <v>433</v>
      </c>
      <c r="F5741" t="s">
        <v>1260</v>
      </c>
      <c r="G5741" t="s">
        <v>5466</v>
      </c>
      <c r="H5741" t="s">
        <v>5874</v>
      </c>
      <c r="I5741" t="s">
        <v>8419</v>
      </c>
      <c r="J5741" t="s">
        <v>9065</v>
      </c>
      <c r="K5741">
        <v>10457</v>
      </c>
      <c r="L5741" t="s">
        <v>9094</v>
      </c>
      <c r="M5741" t="s">
        <v>9094</v>
      </c>
      <c r="N5741" t="s">
        <v>9231</v>
      </c>
      <c r="O5741" t="s">
        <v>11130</v>
      </c>
      <c r="P5741" t="s">
        <v>11165</v>
      </c>
      <c r="R5741" t="s">
        <v>11180</v>
      </c>
      <c r="S5741" t="s">
        <v>9094</v>
      </c>
      <c r="T5741" t="s">
        <v>11183</v>
      </c>
      <c r="V5741" t="s">
        <v>738</v>
      </c>
      <c r="W5741">
        <v>997</v>
      </c>
      <c r="X5741" t="s">
        <v>11333</v>
      </c>
      <c r="Y5741" t="s">
        <v>11346</v>
      </c>
      <c r="Z5741" t="s">
        <v>14958</v>
      </c>
      <c r="AB5741" t="s">
        <v>19270</v>
      </c>
      <c r="AC5741">
        <v>47</v>
      </c>
      <c r="AD5741" t="s">
        <v>15441</v>
      </c>
      <c r="AE5741" t="s">
        <v>9144</v>
      </c>
      <c r="AF5741">
        <v>9</v>
      </c>
      <c r="AG5741">
        <v>1</v>
      </c>
      <c r="AH5741">
        <v>0</v>
      </c>
      <c r="AI5741">
        <v>326.19</v>
      </c>
      <c r="AL5741" t="s">
        <v>19614</v>
      </c>
      <c r="AM5741">
        <v>39600</v>
      </c>
      <c r="AS5741">
        <v>0.5</v>
      </c>
      <c r="AT5741" t="s">
        <v>617</v>
      </c>
      <c r="AU5741" t="s">
        <v>20642</v>
      </c>
    </row>
    <row r="5742" spans="1:48">
      <c r="A5742" s="1">
        <f>HYPERLINK("https://lsnyc.legalserver.org/matter/dynamic-profile/view/1914803","19-1914803")</f>
        <v>0</v>
      </c>
      <c r="B5742" t="s">
        <v>176</v>
      </c>
      <c r="C5742" t="s">
        <v>256</v>
      </c>
      <c r="D5742" t="s">
        <v>632</v>
      </c>
      <c r="F5742" t="s">
        <v>2532</v>
      </c>
      <c r="G5742" t="s">
        <v>4065</v>
      </c>
      <c r="H5742" t="s">
        <v>5897</v>
      </c>
      <c r="I5742" t="s">
        <v>8175</v>
      </c>
      <c r="J5742" t="s">
        <v>9065</v>
      </c>
      <c r="K5742">
        <v>10452</v>
      </c>
      <c r="L5742" t="s">
        <v>9094</v>
      </c>
      <c r="M5742" t="s">
        <v>9095</v>
      </c>
      <c r="N5742" t="s">
        <v>11066</v>
      </c>
      <c r="O5742" t="s">
        <v>11129</v>
      </c>
      <c r="P5742" t="s">
        <v>11165</v>
      </c>
      <c r="R5742" t="s">
        <v>11180</v>
      </c>
      <c r="S5742" t="s">
        <v>9096</v>
      </c>
      <c r="T5742" t="s">
        <v>11183</v>
      </c>
      <c r="U5742" t="s">
        <v>11201</v>
      </c>
      <c r="V5742" t="s">
        <v>11324</v>
      </c>
      <c r="W5742">
        <v>849</v>
      </c>
      <c r="X5742" t="s">
        <v>11333</v>
      </c>
      <c r="Y5742" t="s">
        <v>11340</v>
      </c>
      <c r="Z5742" t="s">
        <v>14959</v>
      </c>
      <c r="AB5742" t="s">
        <v>19271</v>
      </c>
      <c r="AC5742">
        <v>60</v>
      </c>
      <c r="AD5742" t="s">
        <v>19566</v>
      </c>
      <c r="AF5742">
        <v>28</v>
      </c>
      <c r="AG5742">
        <v>1</v>
      </c>
      <c r="AH5742">
        <v>0</v>
      </c>
      <c r="AI5742">
        <v>326.41</v>
      </c>
      <c r="AL5742" t="s">
        <v>19614</v>
      </c>
      <c r="AM5742">
        <v>40768</v>
      </c>
      <c r="AS5742">
        <v>2</v>
      </c>
      <c r="AT5742" t="s">
        <v>321</v>
      </c>
      <c r="AU5742" t="s">
        <v>20647</v>
      </c>
      <c r="AV5742" t="s">
        <v>20733</v>
      </c>
    </row>
    <row r="5743" spans="1:48">
      <c r="A5743" s="1">
        <f>HYPERLINK("https://lsnyc.legalserver.org/matter/dynamic-profile/view/1900719","19-1900719")</f>
        <v>0</v>
      </c>
      <c r="B5743" t="s">
        <v>76</v>
      </c>
      <c r="C5743" t="s">
        <v>256</v>
      </c>
      <c r="D5743" t="s">
        <v>338</v>
      </c>
      <c r="F5743" t="s">
        <v>3188</v>
      </c>
      <c r="G5743" t="s">
        <v>5480</v>
      </c>
      <c r="H5743" t="s">
        <v>7008</v>
      </c>
      <c r="I5743" t="s">
        <v>8990</v>
      </c>
      <c r="J5743" t="s">
        <v>9059</v>
      </c>
      <c r="K5743">
        <v>11213</v>
      </c>
      <c r="L5743" t="s">
        <v>9094</v>
      </c>
      <c r="M5743" t="s">
        <v>9095</v>
      </c>
      <c r="O5743" t="s">
        <v>9121</v>
      </c>
      <c r="P5743" t="s">
        <v>11166</v>
      </c>
      <c r="R5743" t="s">
        <v>11180</v>
      </c>
      <c r="S5743" t="s">
        <v>9094</v>
      </c>
      <c r="T5743" t="s">
        <v>11183</v>
      </c>
      <c r="U5743" t="s">
        <v>11201</v>
      </c>
      <c r="V5743" t="s">
        <v>291</v>
      </c>
      <c r="W5743">
        <v>756</v>
      </c>
      <c r="X5743" t="s">
        <v>11332</v>
      </c>
      <c r="Y5743" t="s">
        <v>11346</v>
      </c>
      <c r="Z5743" t="s">
        <v>14960</v>
      </c>
      <c r="AB5743" t="s">
        <v>19272</v>
      </c>
      <c r="AC5743">
        <v>34</v>
      </c>
      <c r="AD5743" t="s">
        <v>19566</v>
      </c>
      <c r="AE5743" t="s">
        <v>9144</v>
      </c>
      <c r="AF5743">
        <v>40</v>
      </c>
      <c r="AG5743">
        <v>2</v>
      </c>
      <c r="AH5743">
        <v>0</v>
      </c>
      <c r="AI5743">
        <v>326.43</v>
      </c>
      <c r="AL5743" t="s">
        <v>19614</v>
      </c>
      <c r="AM5743">
        <v>55200</v>
      </c>
      <c r="AN5743" t="s">
        <v>20174</v>
      </c>
      <c r="AS5743">
        <v>0</v>
      </c>
      <c r="AU5743" t="s">
        <v>95</v>
      </c>
      <c r="AV5743" t="s">
        <v>20733</v>
      </c>
    </row>
    <row r="5744" spans="1:48">
      <c r="A5744" s="1">
        <f>HYPERLINK("https://lsnyc.legalserver.org/matter/dynamic-profile/view/1914518","19-1914518")</f>
        <v>0</v>
      </c>
      <c r="B5744" t="s">
        <v>117</v>
      </c>
      <c r="C5744" t="s">
        <v>256</v>
      </c>
      <c r="D5744" t="s">
        <v>301</v>
      </c>
      <c r="F5744" t="s">
        <v>1264</v>
      </c>
      <c r="G5744" t="s">
        <v>3529</v>
      </c>
      <c r="H5744" t="s">
        <v>5899</v>
      </c>
      <c r="I5744" t="s">
        <v>8175</v>
      </c>
      <c r="J5744" t="s">
        <v>9065</v>
      </c>
      <c r="K5744">
        <v>10452</v>
      </c>
      <c r="L5744" t="s">
        <v>9094</v>
      </c>
      <c r="M5744" t="s">
        <v>9095</v>
      </c>
      <c r="R5744" t="s">
        <v>11180</v>
      </c>
      <c r="S5744" t="s">
        <v>9094</v>
      </c>
      <c r="T5744" t="s">
        <v>11183</v>
      </c>
      <c r="W5744">
        <v>851.47</v>
      </c>
      <c r="X5744" t="s">
        <v>11333</v>
      </c>
      <c r="Y5744" t="s">
        <v>11346</v>
      </c>
      <c r="Z5744" t="s">
        <v>14961</v>
      </c>
      <c r="AB5744" t="s">
        <v>19273</v>
      </c>
      <c r="AC5744">
        <v>63</v>
      </c>
      <c r="AD5744" t="s">
        <v>19566</v>
      </c>
      <c r="AE5744" t="s">
        <v>9144</v>
      </c>
      <c r="AF5744">
        <v>45</v>
      </c>
      <c r="AG5744">
        <v>1</v>
      </c>
      <c r="AH5744">
        <v>0</v>
      </c>
      <c r="AI5744">
        <v>326.66</v>
      </c>
      <c r="AL5744" t="s">
        <v>19614</v>
      </c>
      <c r="AM5744">
        <v>40800</v>
      </c>
      <c r="AS5744">
        <v>0.75</v>
      </c>
      <c r="AT5744" t="s">
        <v>476</v>
      </c>
      <c r="AU5744" t="s">
        <v>163</v>
      </c>
      <c r="AV5744" t="s">
        <v>20733</v>
      </c>
    </row>
    <row r="5745" spans="1:48">
      <c r="A5745" s="1">
        <f>HYPERLINK("https://lsnyc.legalserver.org/matter/dynamic-profile/view/1914698","19-1914698")</f>
        <v>0</v>
      </c>
      <c r="B5745" t="s">
        <v>255</v>
      </c>
      <c r="C5745" t="s">
        <v>256</v>
      </c>
      <c r="D5745" t="s">
        <v>476</v>
      </c>
      <c r="F5745" t="s">
        <v>1264</v>
      </c>
      <c r="G5745" t="s">
        <v>3529</v>
      </c>
      <c r="H5745" t="s">
        <v>5899</v>
      </c>
      <c r="I5745" t="s">
        <v>8175</v>
      </c>
      <c r="J5745" t="s">
        <v>9065</v>
      </c>
      <c r="K5745">
        <v>10452</v>
      </c>
      <c r="L5745" t="s">
        <v>9094</v>
      </c>
      <c r="M5745" t="s">
        <v>9095</v>
      </c>
      <c r="R5745" t="s">
        <v>11180</v>
      </c>
      <c r="S5745" t="s">
        <v>9094</v>
      </c>
      <c r="T5745" t="s">
        <v>11183</v>
      </c>
      <c r="W5745">
        <v>851.47</v>
      </c>
      <c r="X5745" t="s">
        <v>11333</v>
      </c>
      <c r="Y5745" t="s">
        <v>11346</v>
      </c>
      <c r="Z5745" t="s">
        <v>14961</v>
      </c>
      <c r="AB5745" t="s">
        <v>19273</v>
      </c>
      <c r="AC5745">
        <v>63</v>
      </c>
      <c r="AD5745" t="s">
        <v>19566</v>
      </c>
      <c r="AE5745" t="s">
        <v>9144</v>
      </c>
      <c r="AF5745">
        <v>45</v>
      </c>
      <c r="AG5745">
        <v>1</v>
      </c>
      <c r="AH5745">
        <v>0</v>
      </c>
      <c r="AI5745">
        <v>326.66</v>
      </c>
      <c r="AL5745" t="s">
        <v>19614</v>
      </c>
      <c r="AM5745">
        <v>40800</v>
      </c>
      <c r="AS5745">
        <v>0</v>
      </c>
      <c r="AU5745" t="s">
        <v>20642</v>
      </c>
      <c r="AV5745" t="s">
        <v>20733</v>
      </c>
    </row>
    <row r="5746" spans="1:48">
      <c r="A5746" s="1">
        <f>HYPERLINK("https://lsnyc.legalserver.org/matter/dynamic-profile/view/1861203","18-1861203")</f>
        <v>0</v>
      </c>
      <c r="B5746" t="s">
        <v>86</v>
      </c>
      <c r="C5746" t="s">
        <v>256</v>
      </c>
      <c r="D5746" t="s">
        <v>721</v>
      </c>
      <c r="F5746" t="s">
        <v>3189</v>
      </c>
      <c r="G5746" t="s">
        <v>3398</v>
      </c>
      <c r="H5746" t="s">
        <v>7040</v>
      </c>
      <c r="I5746" t="s">
        <v>8957</v>
      </c>
      <c r="J5746" t="s">
        <v>9059</v>
      </c>
      <c r="K5746">
        <v>11226</v>
      </c>
      <c r="L5746" t="s">
        <v>9094</v>
      </c>
      <c r="M5746" t="s">
        <v>9095</v>
      </c>
      <c r="N5746" t="s">
        <v>10148</v>
      </c>
      <c r="O5746" t="s">
        <v>11152</v>
      </c>
      <c r="P5746" t="s">
        <v>11165</v>
      </c>
      <c r="R5746" t="s">
        <v>11180</v>
      </c>
      <c r="S5746" t="s">
        <v>9094</v>
      </c>
      <c r="T5746" t="s">
        <v>11183</v>
      </c>
      <c r="V5746" t="s">
        <v>11249</v>
      </c>
      <c r="W5746">
        <v>0</v>
      </c>
      <c r="X5746" t="s">
        <v>11332</v>
      </c>
      <c r="Y5746" t="s">
        <v>11346</v>
      </c>
      <c r="Z5746" t="s">
        <v>14962</v>
      </c>
      <c r="AB5746" t="s">
        <v>19274</v>
      </c>
      <c r="AC5746">
        <v>61</v>
      </c>
      <c r="AD5746" t="s">
        <v>19566</v>
      </c>
      <c r="AF5746">
        <v>41</v>
      </c>
      <c r="AG5746">
        <v>3</v>
      </c>
      <c r="AH5746">
        <v>0</v>
      </c>
      <c r="AI5746">
        <v>327.24</v>
      </c>
      <c r="AJ5746" t="s">
        <v>11246</v>
      </c>
      <c r="AL5746" t="s">
        <v>19614</v>
      </c>
      <c r="AM5746">
        <v>68000</v>
      </c>
      <c r="AS5746">
        <v>0</v>
      </c>
      <c r="AU5746" t="s">
        <v>20630</v>
      </c>
    </row>
    <row r="5747" spans="1:48">
      <c r="A5747" s="1">
        <f>HYPERLINK("https://lsnyc.legalserver.org/matter/dynamic-profile/view/1862641","18-1862641")</f>
        <v>0</v>
      </c>
      <c r="B5747" t="s">
        <v>86</v>
      </c>
      <c r="C5747" t="s">
        <v>256</v>
      </c>
      <c r="D5747" t="s">
        <v>576</v>
      </c>
      <c r="F5747" t="s">
        <v>3189</v>
      </c>
      <c r="G5747" t="s">
        <v>3398</v>
      </c>
      <c r="H5747" t="s">
        <v>7040</v>
      </c>
      <c r="I5747" t="s">
        <v>8957</v>
      </c>
      <c r="J5747" t="s">
        <v>9059</v>
      </c>
      <c r="K5747">
        <v>11226</v>
      </c>
      <c r="L5747" t="s">
        <v>9094</v>
      </c>
      <c r="M5747" t="s">
        <v>9095</v>
      </c>
      <c r="N5747" t="s">
        <v>11067</v>
      </c>
      <c r="O5747" t="s">
        <v>11135</v>
      </c>
      <c r="P5747" t="s">
        <v>11165</v>
      </c>
      <c r="R5747" t="s">
        <v>11180</v>
      </c>
      <c r="S5747" t="s">
        <v>9094</v>
      </c>
      <c r="T5747" t="s">
        <v>11183</v>
      </c>
      <c r="V5747" t="s">
        <v>576</v>
      </c>
      <c r="W5747">
        <v>0</v>
      </c>
      <c r="X5747" t="s">
        <v>11332</v>
      </c>
      <c r="Y5747" t="s">
        <v>11346</v>
      </c>
      <c r="Z5747" t="s">
        <v>14962</v>
      </c>
      <c r="AB5747" t="s">
        <v>19274</v>
      </c>
      <c r="AC5747">
        <v>61</v>
      </c>
      <c r="AD5747" t="s">
        <v>19566</v>
      </c>
      <c r="AF5747">
        <v>41</v>
      </c>
      <c r="AG5747">
        <v>3</v>
      </c>
      <c r="AH5747">
        <v>0</v>
      </c>
      <c r="AI5747">
        <v>327.24</v>
      </c>
      <c r="AJ5747" t="s">
        <v>11246</v>
      </c>
      <c r="AL5747" t="s">
        <v>19614</v>
      </c>
      <c r="AM5747">
        <v>77000</v>
      </c>
      <c r="AS5747">
        <v>0.5</v>
      </c>
      <c r="AT5747" t="s">
        <v>504</v>
      </c>
      <c r="AU5747" t="s">
        <v>20630</v>
      </c>
    </row>
    <row r="5748" spans="1:48">
      <c r="A5748" s="1">
        <f>HYPERLINK("https://lsnyc.legalserver.org/matter/dynamic-profile/view/1850555","17-1850555")</f>
        <v>0</v>
      </c>
      <c r="B5748" t="s">
        <v>138</v>
      </c>
      <c r="C5748" t="s">
        <v>256</v>
      </c>
      <c r="D5748" t="s">
        <v>937</v>
      </c>
      <c r="F5748" t="s">
        <v>1318</v>
      </c>
      <c r="G5748" t="s">
        <v>5481</v>
      </c>
      <c r="H5748" t="s">
        <v>7243</v>
      </c>
      <c r="I5748">
        <v>55</v>
      </c>
      <c r="J5748" t="s">
        <v>9067</v>
      </c>
      <c r="K5748">
        <v>10034</v>
      </c>
      <c r="L5748" t="s">
        <v>9094</v>
      </c>
      <c r="M5748" t="s">
        <v>9095</v>
      </c>
      <c r="O5748" t="s">
        <v>11128</v>
      </c>
      <c r="P5748" t="s">
        <v>11165</v>
      </c>
      <c r="R5748" t="s">
        <v>11180</v>
      </c>
      <c r="S5748" t="s">
        <v>9096</v>
      </c>
      <c r="T5748" t="s">
        <v>11183</v>
      </c>
      <c r="V5748" t="s">
        <v>856</v>
      </c>
      <c r="W5748">
        <v>743.1</v>
      </c>
      <c r="X5748" t="s">
        <v>11335</v>
      </c>
      <c r="Y5748" t="s">
        <v>11340</v>
      </c>
      <c r="Z5748" t="s">
        <v>14963</v>
      </c>
      <c r="AB5748" t="s">
        <v>19275</v>
      </c>
      <c r="AC5748">
        <v>30</v>
      </c>
      <c r="AD5748" t="s">
        <v>19569</v>
      </c>
      <c r="AE5748" t="s">
        <v>9144</v>
      </c>
      <c r="AF5748">
        <v>34</v>
      </c>
      <c r="AG5748">
        <v>1</v>
      </c>
      <c r="AH5748">
        <v>0</v>
      </c>
      <c r="AI5748">
        <v>327.36</v>
      </c>
      <c r="AJ5748" t="s">
        <v>11246</v>
      </c>
      <c r="AL5748" t="s">
        <v>19615</v>
      </c>
      <c r="AM5748">
        <v>39480</v>
      </c>
      <c r="AS5748">
        <v>23.4</v>
      </c>
      <c r="AT5748" t="s">
        <v>727</v>
      </c>
      <c r="AU5748" t="s">
        <v>130</v>
      </c>
    </row>
    <row r="5749" spans="1:48">
      <c r="A5749" s="1">
        <f>HYPERLINK("https://lsnyc.legalserver.org/matter/dynamic-profile/view/1833138","17-1833138")</f>
        <v>0</v>
      </c>
      <c r="B5749" t="s">
        <v>138</v>
      </c>
      <c r="C5749" t="s">
        <v>256</v>
      </c>
      <c r="D5749" t="s">
        <v>905</v>
      </c>
      <c r="F5749" t="s">
        <v>1318</v>
      </c>
      <c r="G5749" t="s">
        <v>5481</v>
      </c>
      <c r="H5749" t="s">
        <v>7243</v>
      </c>
      <c r="I5749">
        <v>55</v>
      </c>
      <c r="J5749" t="s">
        <v>9067</v>
      </c>
      <c r="K5749">
        <v>10034</v>
      </c>
      <c r="L5749" t="s">
        <v>9094</v>
      </c>
      <c r="M5749" t="s">
        <v>9094</v>
      </c>
      <c r="O5749" t="s">
        <v>9121</v>
      </c>
      <c r="P5749" t="s">
        <v>11166</v>
      </c>
      <c r="R5749" t="s">
        <v>11180</v>
      </c>
      <c r="S5749" t="s">
        <v>9096</v>
      </c>
      <c r="T5749" t="s">
        <v>11183</v>
      </c>
      <c r="V5749" t="s">
        <v>11229</v>
      </c>
      <c r="W5749">
        <v>743.1</v>
      </c>
      <c r="X5749" t="s">
        <v>11335</v>
      </c>
      <c r="Y5749" t="s">
        <v>11338</v>
      </c>
      <c r="Z5749" t="s">
        <v>14963</v>
      </c>
      <c r="AB5749" t="s">
        <v>19275</v>
      </c>
      <c r="AC5749">
        <v>26</v>
      </c>
      <c r="AD5749" t="s">
        <v>19566</v>
      </c>
      <c r="AE5749" t="s">
        <v>9144</v>
      </c>
      <c r="AF5749">
        <v>34</v>
      </c>
      <c r="AG5749">
        <v>1</v>
      </c>
      <c r="AH5749">
        <v>0</v>
      </c>
      <c r="AI5749">
        <v>327.36</v>
      </c>
      <c r="AJ5749" t="s">
        <v>11246</v>
      </c>
      <c r="AL5749" t="s">
        <v>19615</v>
      </c>
      <c r="AM5749">
        <v>39480</v>
      </c>
      <c r="AS5749">
        <v>24.3</v>
      </c>
      <c r="AT5749" t="s">
        <v>721</v>
      </c>
      <c r="AU5749" t="s">
        <v>20657</v>
      </c>
      <c r="AV5749" t="s">
        <v>20733</v>
      </c>
    </row>
    <row r="5750" spans="1:48">
      <c r="A5750" s="1">
        <f>HYPERLINK("https://lsnyc.legalserver.org/matter/dynamic-profile/view/1885256","18-1885256")</f>
        <v>0</v>
      </c>
      <c r="B5750" t="s">
        <v>136</v>
      </c>
      <c r="C5750" t="s">
        <v>256</v>
      </c>
      <c r="D5750" t="s">
        <v>448</v>
      </c>
      <c r="F5750" t="s">
        <v>3190</v>
      </c>
      <c r="G5750" t="s">
        <v>4174</v>
      </c>
      <c r="H5750" t="s">
        <v>6670</v>
      </c>
      <c r="I5750">
        <v>24</v>
      </c>
      <c r="J5750" t="s">
        <v>9067</v>
      </c>
      <c r="K5750">
        <v>10039</v>
      </c>
      <c r="L5750" t="s">
        <v>9094</v>
      </c>
      <c r="M5750" t="s">
        <v>9094</v>
      </c>
      <c r="N5750" t="s">
        <v>9851</v>
      </c>
      <c r="O5750" t="s">
        <v>11130</v>
      </c>
      <c r="P5750" t="s">
        <v>11165</v>
      </c>
      <c r="R5750" t="s">
        <v>11180</v>
      </c>
      <c r="S5750" t="s">
        <v>9094</v>
      </c>
      <c r="T5750" t="s">
        <v>11183</v>
      </c>
      <c r="U5750" t="s">
        <v>11201</v>
      </c>
      <c r="V5750" t="s">
        <v>448</v>
      </c>
      <c r="W5750">
        <v>1475</v>
      </c>
      <c r="X5750" t="s">
        <v>11335</v>
      </c>
      <c r="Y5750" t="s">
        <v>11339</v>
      </c>
      <c r="Z5750" t="s">
        <v>14964</v>
      </c>
      <c r="AB5750" t="s">
        <v>19276</v>
      </c>
      <c r="AC5750">
        <v>24</v>
      </c>
      <c r="AD5750" t="s">
        <v>19566</v>
      </c>
      <c r="AE5750" t="s">
        <v>9144</v>
      </c>
      <c r="AF5750">
        <v>8</v>
      </c>
      <c r="AG5750">
        <v>2</v>
      </c>
      <c r="AH5750">
        <v>0</v>
      </c>
      <c r="AI5750">
        <v>327.76</v>
      </c>
      <c r="AL5750" t="s">
        <v>19614</v>
      </c>
      <c r="AM5750">
        <v>53950</v>
      </c>
      <c r="AO5750" t="s">
        <v>20293</v>
      </c>
      <c r="AP5750" t="s">
        <v>20323</v>
      </c>
      <c r="AR5750" t="s">
        <v>20457</v>
      </c>
      <c r="AS5750">
        <v>0</v>
      </c>
      <c r="AU5750" t="s">
        <v>20657</v>
      </c>
      <c r="AV5750" t="s">
        <v>20733</v>
      </c>
    </row>
    <row r="5751" spans="1:48">
      <c r="A5751" s="1">
        <f>HYPERLINK("https://lsnyc.legalserver.org/matter/dynamic-profile/view/1905149","19-1905149")</f>
        <v>0</v>
      </c>
      <c r="B5751" t="s">
        <v>57</v>
      </c>
      <c r="C5751" t="s">
        <v>256</v>
      </c>
      <c r="D5751" t="s">
        <v>367</v>
      </c>
      <c r="F5751" t="s">
        <v>2493</v>
      </c>
      <c r="G5751" t="s">
        <v>3503</v>
      </c>
      <c r="H5751" t="s">
        <v>8040</v>
      </c>
      <c r="I5751" t="s">
        <v>8117</v>
      </c>
      <c r="J5751" t="s">
        <v>9048</v>
      </c>
      <c r="K5751">
        <v>11385</v>
      </c>
      <c r="L5751" t="s">
        <v>9094</v>
      </c>
      <c r="M5751" t="s">
        <v>9095</v>
      </c>
      <c r="N5751" t="s">
        <v>11068</v>
      </c>
      <c r="O5751" t="s">
        <v>11129</v>
      </c>
      <c r="P5751" t="s">
        <v>11165</v>
      </c>
      <c r="R5751" t="s">
        <v>11180</v>
      </c>
      <c r="S5751" t="s">
        <v>9096</v>
      </c>
      <c r="T5751" t="s">
        <v>11183</v>
      </c>
      <c r="U5751" t="s">
        <v>11201</v>
      </c>
      <c r="V5751" t="s">
        <v>367</v>
      </c>
      <c r="W5751">
        <v>1050</v>
      </c>
      <c r="X5751" t="s">
        <v>11331</v>
      </c>
      <c r="Y5751" t="s">
        <v>11346</v>
      </c>
      <c r="Z5751" t="s">
        <v>14965</v>
      </c>
      <c r="AB5751" t="s">
        <v>19277</v>
      </c>
      <c r="AC5751">
        <v>6</v>
      </c>
      <c r="AD5751" t="s">
        <v>19566</v>
      </c>
      <c r="AE5751" t="s">
        <v>9144</v>
      </c>
      <c r="AF5751">
        <v>14</v>
      </c>
      <c r="AG5751">
        <v>1</v>
      </c>
      <c r="AH5751">
        <v>2</v>
      </c>
      <c r="AI5751">
        <v>327.79</v>
      </c>
      <c r="AJ5751" t="s">
        <v>472</v>
      </c>
      <c r="AK5751" t="s">
        <v>19612</v>
      </c>
      <c r="AL5751" t="s">
        <v>19614</v>
      </c>
      <c r="AM5751">
        <v>69918</v>
      </c>
      <c r="AP5751" t="s">
        <v>20346</v>
      </c>
      <c r="AS5751">
        <v>17.61</v>
      </c>
      <c r="AT5751" t="s">
        <v>594</v>
      </c>
      <c r="AU5751" t="s">
        <v>57</v>
      </c>
      <c r="AV5751" t="s">
        <v>20733</v>
      </c>
    </row>
    <row r="5752" spans="1:48">
      <c r="A5752" s="1">
        <f>HYPERLINK("https://lsnyc.legalserver.org/matter/dynamic-profile/view/1887499","19-1887499")</f>
        <v>0</v>
      </c>
      <c r="B5752" t="s">
        <v>103</v>
      </c>
      <c r="C5752" t="s">
        <v>256</v>
      </c>
      <c r="D5752" t="s">
        <v>604</v>
      </c>
      <c r="F5752" t="s">
        <v>3191</v>
      </c>
      <c r="G5752" t="s">
        <v>3584</v>
      </c>
      <c r="H5752" t="s">
        <v>5886</v>
      </c>
      <c r="I5752">
        <v>54</v>
      </c>
      <c r="J5752" t="s">
        <v>9065</v>
      </c>
      <c r="K5752">
        <v>10453</v>
      </c>
      <c r="L5752" t="s">
        <v>9094</v>
      </c>
      <c r="M5752" t="s">
        <v>9094</v>
      </c>
      <c r="N5752" t="s">
        <v>9238</v>
      </c>
      <c r="O5752" t="s">
        <v>11134</v>
      </c>
      <c r="P5752" t="s">
        <v>11168</v>
      </c>
      <c r="R5752" t="s">
        <v>11180</v>
      </c>
      <c r="S5752" t="s">
        <v>9094</v>
      </c>
      <c r="T5752" t="s">
        <v>11183</v>
      </c>
      <c r="V5752" t="s">
        <v>512</v>
      </c>
      <c r="W5752">
        <v>1339</v>
      </c>
      <c r="X5752" t="s">
        <v>11333</v>
      </c>
      <c r="Y5752" t="s">
        <v>11339</v>
      </c>
      <c r="Z5752" t="s">
        <v>13752</v>
      </c>
      <c r="AB5752" t="s">
        <v>19278</v>
      </c>
      <c r="AC5752">
        <v>46</v>
      </c>
      <c r="AD5752" t="s">
        <v>19566</v>
      </c>
      <c r="AE5752" t="s">
        <v>9144</v>
      </c>
      <c r="AF5752">
        <v>5</v>
      </c>
      <c r="AG5752">
        <v>2</v>
      </c>
      <c r="AH5752">
        <v>0</v>
      </c>
      <c r="AI5752">
        <v>328.07</v>
      </c>
      <c r="AL5752" t="s">
        <v>19615</v>
      </c>
      <c r="AM5752">
        <v>54000</v>
      </c>
      <c r="AS5752">
        <v>0</v>
      </c>
      <c r="AU5752" t="s">
        <v>20647</v>
      </c>
    </row>
    <row r="5753" spans="1:48">
      <c r="A5753" s="1">
        <f>HYPERLINK("https://lsnyc.legalserver.org/matter/dynamic-profile/view/0829631","17-0829631")</f>
        <v>0</v>
      </c>
      <c r="B5753" t="s">
        <v>148</v>
      </c>
      <c r="C5753" t="s">
        <v>256</v>
      </c>
      <c r="D5753" t="s">
        <v>1119</v>
      </c>
      <c r="F5753" t="s">
        <v>1700</v>
      </c>
      <c r="G5753" t="s">
        <v>3571</v>
      </c>
      <c r="H5753" t="s">
        <v>8041</v>
      </c>
      <c r="I5753" t="s">
        <v>8991</v>
      </c>
      <c r="J5753" t="s">
        <v>9067</v>
      </c>
      <c r="K5753">
        <v>10024</v>
      </c>
      <c r="L5753" t="s">
        <v>9096</v>
      </c>
      <c r="M5753" t="s">
        <v>9095</v>
      </c>
      <c r="N5753" t="s">
        <v>11069</v>
      </c>
      <c r="O5753" t="s">
        <v>11130</v>
      </c>
      <c r="P5753" t="s">
        <v>11165</v>
      </c>
      <c r="R5753" t="s">
        <v>11180</v>
      </c>
      <c r="S5753" t="s">
        <v>9094</v>
      </c>
      <c r="T5753" t="s">
        <v>11183</v>
      </c>
      <c r="V5753" t="s">
        <v>11248</v>
      </c>
      <c r="W5753">
        <v>869</v>
      </c>
      <c r="X5753" t="s">
        <v>11335</v>
      </c>
      <c r="Y5753" t="s">
        <v>11339</v>
      </c>
      <c r="Z5753" t="s">
        <v>14966</v>
      </c>
      <c r="AC5753">
        <v>12</v>
      </c>
      <c r="AD5753" t="s">
        <v>19566</v>
      </c>
      <c r="AE5753" t="s">
        <v>9144</v>
      </c>
      <c r="AF5753">
        <v>40</v>
      </c>
      <c r="AG5753">
        <v>3</v>
      </c>
      <c r="AH5753">
        <v>0</v>
      </c>
      <c r="AI5753">
        <v>328.11</v>
      </c>
      <c r="AJ5753" t="s">
        <v>655</v>
      </c>
      <c r="AL5753" t="s">
        <v>19614</v>
      </c>
      <c r="AM5753">
        <v>67000</v>
      </c>
      <c r="AS5753">
        <v>580.05</v>
      </c>
      <c r="AT5753" t="s">
        <v>596</v>
      </c>
      <c r="AU5753" t="s">
        <v>20657</v>
      </c>
    </row>
    <row r="5754" spans="1:48">
      <c r="A5754" s="1">
        <f>HYPERLINK("https://lsnyc.legalserver.org/matter/dynamic-profile/view/1902056","19-1902056")</f>
        <v>0</v>
      </c>
      <c r="B5754" t="s">
        <v>70</v>
      </c>
      <c r="C5754" t="s">
        <v>256</v>
      </c>
      <c r="D5754" t="s">
        <v>584</v>
      </c>
      <c r="F5754" t="s">
        <v>2842</v>
      </c>
      <c r="G5754" t="s">
        <v>5482</v>
      </c>
      <c r="H5754" t="s">
        <v>5748</v>
      </c>
      <c r="I5754" t="s">
        <v>8180</v>
      </c>
      <c r="J5754" t="s">
        <v>9059</v>
      </c>
      <c r="K5754">
        <v>11233</v>
      </c>
      <c r="L5754" t="s">
        <v>9094</v>
      </c>
      <c r="M5754" t="s">
        <v>9095</v>
      </c>
      <c r="N5754" t="s">
        <v>9145</v>
      </c>
      <c r="O5754" t="s">
        <v>11134</v>
      </c>
      <c r="P5754" t="s">
        <v>11168</v>
      </c>
      <c r="R5754" t="s">
        <v>11180</v>
      </c>
      <c r="S5754" t="s">
        <v>9094</v>
      </c>
      <c r="T5754" t="s">
        <v>11183</v>
      </c>
      <c r="U5754" t="s">
        <v>11201</v>
      </c>
      <c r="V5754" t="s">
        <v>482</v>
      </c>
      <c r="W5754">
        <v>1200</v>
      </c>
      <c r="X5754" t="s">
        <v>11332</v>
      </c>
      <c r="Y5754" t="s">
        <v>11157</v>
      </c>
      <c r="Z5754" t="s">
        <v>14967</v>
      </c>
      <c r="AC5754">
        <v>359</v>
      </c>
      <c r="AD5754" t="s">
        <v>19566</v>
      </c>
      <c r="AF5754">
        <v>20</v>
      </c>
      <c r="AG5754">
        <v>3</v>
      </c>
      <c r="AH5754">
        <v>0</v>
      </c>
      <c r="AI5754">
        <v>328.18</v>
      </c>
      <c r="AL5754" t="s">
        <v>19614</v>
      </c>
      <c r="AM5754">
        <v>70000</v>
      </c>
      <c r="AN5754" t="s">
        <v>19885</v>
      </c>
      <c r="AS5754">
        <v>0</v>
      </c>
      <c r="AU5754" t="s">
        <v>79</v>
      </c>
      <c r="AV5754" t="s">
        <v>9144</v>
      </c>
    </row>
    <row r="5755" spans="1:48">
      <c r="A5755" s="1">
        <f>HYPERLINK("https://lsnyc.legalserver.org/matter/dynamic-profile/view/1902152","19-1902152")</f>
        <v>0</v>
      </c>
      <c r="B5755" t="s">
        <v>70</v>
      </c>
      <c r="C5755" t="s">
        <v>256</v>
      </c>
      <c r="D5755" t="s">
        <v>584</v>
      </c>
      <c r="F5755" t="s">
        <v>2842</v>
      </c>
      <c r="G5755" t="s">
        <v>5482</v>
      </c>
      <c r="H5755" t="s">
        <v>5748</v>
      </c>
      <c r="I5755" t="s">
        <v>8180</v>
      </c>
      <c r="J5755" t="s">
        <v>9059</v>
      </c>
      <c r="K5755">
        <v>11233</v>
      </c>
      <c r="L5755" t="s">
        <v>9094</v>
      </c>
      <c r="M5755" t="s">
        <v>9095</v>
      </c>
      <c r="N5755" t="s">
        <v>9121</v>
      </c>
      <c r="O5755" t="s">
        <v>11137</v>
      </c>
      <c r="P5755" t="s">
        <v>11167</v>
      </c>
      <c r="R5755" t="s">
        <v>11180</v>
      </c>
      <c r="S5755" t="s">
        <v>9094</v>
      </c>
      <c r="T5755" t="s">
        <v>11183</v>
      </c>
      <c r="U5755" t="s">
        <v>11201</v>
      </c>
      <c r="V5755" t="s">
        <v>749</v>
      </c>
      <c r="W5755">
        <v>1200</v>
      </c>
      <c r="X5755" t="s">
        <v>11332</v>
      </c>
      <c r="Y5755" t="s">
        <v>11157</v>
      </c>
      <c r="Z5755" t="s">
        <v>14967</v>
      </c>
      <c r="AC5755">
        <v>359</v>
      </c>
      <c r="AD5755" t="s">
        <v>19566</v>
      </c>
      <c r="AF5755">
        <v>20</v>
      </c>
      <c r="AG5755">
        <v>3</v>
      </c>
      <c r="AH5755">
        <v>0</v>
      </c>
      <c r="AI5755">
        <v>328.18</v>
      </c>
      <c r="AL5755" t="s">
        <v>19614</v>
      </c>
      <c r="AM5755">
        <v>70000</v>
      </c>
      <c r="AN5755" t="s">
        <v>20175</v>
      </c>
      <c r="AS5755">
        <v>0</v>
      </c>
      <c r="AU5755" t="s">
        <v>79</v>
      </c>
      <c r="AV5755" t="s">
        <v>9144</v>
      </c>
    </row>
    <row r="5756" spans="1:48">
      <c r="A5756" s="1">
        <f>HYPERLINK("https://lsnyc.legalserver.org/matter/dynamic-profile/view/1896710","19-1896710")</f>
        <v>0</v>
      </c>
      <c r="B5756" t="s">
        <v>84</v>
      </c>
      <c r="C5756" t="s">
        <v>256</v>
      </c>
      <c r="D5756" t="s">
        <v>454</v>
      </c>
      <c r="F5756" t="s">
        <v>2434</v>
      </c>
      <c r="G5756" t="s">
        <v>1299</v>
      </c>
      <c r="H5756" t="s">
        <v>7429</v>
      </c>
      <c r="I5756">
        <v>15</v>
      </c>
      <c r="J5756" t="s">
        <v>9059</v>
      </c>
      <c r="K5756">
        <v>11226</v>
      </c>
      <c r="L5756" t="s">
        <v>9094</v>
      </c>
      <c r="M5756" t="s">
        <v>9094</v>
      </c>
      <c r="O5756" t="s">
        <v>11130</v>
      </c>
      <c r="P5756" t="s">
        <v>11165</v>
      </c>
      <c r="R5756" t="s">
        <v>11180</v>
      </c>
      <c r="S5756" t="s">
        <v>9094</v>
      </c>
      <c r="T5756" t="s">
        <v>11183</v>
      </c>
      <c r="V5756" t="s">
        <v>421</v>
      </c>
      <c r="W5756">
        <v>717</v>
      </c>
      <c r="X5756" t="s">
        <v>11332</v>
      </c>
      <c r="Z5756" t="s">
        <v>14968</v>
      </c>
      <c r="AB5756" t="s">
        <v>19279</v>
      </c>
      <c r="AC5756">
        <v>0</v>
      </c>
      <c r="AF5756">
        <v>14</v>
      </c>
      <c r="AG5756">
        <v>3</v>
      </c>
      <c r="AH5756">
        <v>0</v>
      </c>
      <c r="AI5756">
        <v>328.18</v>
      </c>
      <c r="AL5756" t="s">
        <v>19614</v>
      </c>
      <c r="AM5756">
        <v>70000</v>
      </c>
      <c r="AN5756" t="s">
        <v>20176</v>
      </c>
      <c r="AS5756">
        <v>0.1</v>
      </c>
      <c r="AT5756" t="s">
        <v>268</v>
      </c>
      <c r="AU5756" t="s">
        <v>215</v>
      </c>
    </row>
    <row r="5757" spans="1:48">
      <c r="A5757" s="1">
        <f>HYPERLINK("https://lsnyc.legalserver.org/matter/dynamic-profile/view/1898066","19-1898066")</f>
        <v>0</v>
      </c>
      <c r="B5757" t="s">
        <v>84</v>
      </c>
      <c r="C5757" t="s">
        <v>256</v>
      </c>
      <c r="D5757" t="s">
        <v>282</v>
      </c>
      <c r="F5757" t="s">
        <v>2434</v>
      </c>
      <c r="G5757" t="s">
        <v>1299</v>
      </c>
      <c r="H5757" t="s">
        <v>7429</v>
      </c>
      <c r="I5757">
        <v>15</v>
      </c>
      <c r="J5757" t="s">
        <v>9059</v>
      </c>
      <c r="K5757">
        <v>11226</v>
      </c>
      <c r="L5757" t="s">
        <v>9094</v>
      </c>
      <c r="M5757" t="s">
        <v>9095</v>
      </c>
      <c r="O5757" t="s">
        <v>11130</v>
      </c>
      <c r="P5757" t="s">
        <v>11165</v>
      </c>
      <c r="R5757" t="s">
        <v>11180</v>
      </c>
      <c r="S5757" t="s">
        <v>9094</v>
      </c>
      <c r="T5757" t="s">
        <v>11183</v>
      </c>
      <c r="V5757" t="s">
        <v>282</v>
      </c>
      <c r="W5757">
        <v>717</v>
      </c>
      <c r="X5757" t="s">
        <v>11332</v>
      </c>
      <c r="Z5757" t="s">
        <v>14968</v>
      </c>
      <c r="AB5757" t="s">
        <v>19279</v>
      </c>
      <c r="AC5757">
        <v>16</v>
      </c>
      <c r="AF5757">
        <v>14</v>
      </c>
      <c r="AG5757">
        <v>3</v>
      </c>
      <c r="AH5757">
        <v>0</v>
      </c>
      <c r="AI5757">
        <v>328.18</v>
      </c>
      <c r="AJ5757" t="s">
        <v>404</v>
      </c>
      <c r="AK5757" t="s">
        <v>19612</v>
      </c>
      <c r="AL5757" t="s">
        <v>19614</v>
      </c>
      <c r="AM5757">
        <v>70000</v>
      </c>
      <c r="AS5757">
        <v>0</v>
      </c>
      <c r="AU5757" t="s">
        <v>215</v>
      </c>
      <c r="AV5757" t="s">
        <v>20733</v>
      </c>
    </row>
    <row r="5758" spans="1:48">
      <c r="A5758" s="1">
        <f>HYPERLINK("https://lsnyc.legalserver.org/matter/dynamic-profile/view/1893001","19-1893001")</f>
        <v>0</v>
      </c>
      <c r="B5758" t="s">
        <v>108</v>
      </c>
      <c r="C5758" t="s">
        <v>256</v>
      </c>
      <c r="D5758" t="s">
        <v>423</v>
      </c>
      <c r="F5758" t="s">
        <v>3192</v>
      </c>
      <c r="G5758" t="s">
        <v>3699</v>
      </c>
      <c r="H5758" t="s">
        <v>7248</v>
      </c>
      <c r="I5758" t="s">
        <v>8475</v>
      </c>
      <c r="J5758" t="s">
        <v>9065</v>
      </c>
      <c r="K5758">
        <v>10467</v>
      </c>
      <c r="L5758" t="s">
        <v>9094</v>
      </c>
      <c r="M5758" t="s">
        <v>9094</v>
      </c>
      <c r="P5758" t="s">
        <v>11166</v>
      </c>
      <c r="R5758" t="s">
        <v>11180</v>
      </c>
      <c r="S5758" t="s">
        <v>9094</v>
      </c>
      <c r="T5758" t="s">
        <v>11183</v>
      </c>
      <c r="V5758" t="s">
        <v>11218</v>
      </c>
      <c r="W5758">
        <v>1350</v>
      </c>
      <c r="X5758" t="s">
        <v>11333</v>
      </c>
      <c r="Y5758" t="s">
        <v>11339</v>
      </c>
      <c r="Z5758" t="s">
        <v>14969</v>
      </c>
      <c r="AB5758" t="s">
        <v>19280</v>
      </c>
      <c r="AC5758">
        <v>0</v>
      </c>
      <c r="AD5758" t="s">
        <v>19565</v>
      </c>
      <c r="AE5758" t="s">
        <v>9144</v>
      </c>
      <c r="AF5758">
        <v>18</v>
      </c>
      <c r="AG5758">
        <v>1</v>
      </c>
      <c r="AH5758">
        <v>0</v>
      </c>
      <c r="AI5758">
        <v>328.26</v>
      </c>
      <c r="AJ5758" t="s">
        <v>265</v>
      </c>
      <c r="AL5758" t="s">
        <v>19614</v>
      </c>
      <c r="AM5758">
        <v>41000</v>
      </c>
      <c r="AS5758">
        <v>6.6</v>
      </c>
      <c r="AT5758" t="s">
        <v>414</v>
      </c>
      <c r="AU5758" t="s">
        <v>220</v>
      </c>
      <c r="AV5758" t="s">
        <v>20733</v>
      </c>
    </row>
    <row r="5759" spans="1:48">
      <c r="A5759" s="1">
        <f>HYPERLINK("https://lsnyc.legalserver.org/matter/dynamic-profile/view/1889904","19-1889904")</f>
        <v>0</v>
      </c>
      <c r="B5759" t="s">
        <v>103</v>
      </c>
      <c r="C5759" t="s">
        <v>256</v>
      </c>
      <c r="D5759" t="s">
        <v>540</v>
      </c>
      <c r="F5759" t="s">
        <v>3193</v>
      </c>
      <c r="G5759" t="s">
        <v>3763</v>
      </c>
      <c r="H5759" t="s">
        <v>5887</v>
      </c>
      <c r="I5759" t="s">
        <v>8288</v>
      </c>
      <c r="J5759" t="s">
        <v>9065</v>
      </c>
      <c r="K5759">
        <v>10453</v>
      </c>
      <c r="L5759" t="s">
        <v>9094</v>
      </c>
      <c r="M5759" t="s">
        <v>9095</v>
      </c>
      <c r="O5759" t="s">
        <v>11134</v>
      </c>
      <c r="P5759" t="s">
        <v>11166</v>
      </c>
      <c r="R5759" t="s">
        <v>11180</v>
      </c>
      <c r="S5759" t="s">
        <v>9094</v>
      </c>
      <c r="T5759" t="s">
        <v>11183</v>
      </c>
      <c r="V5759" t="s">
        <v>512</v>
      </c>
      <c r="W5759">
        <v>949</v>
      </c>
      <c r="X5759" t="s">
        <v>11333</v>
      </c>
      <c r="Y5759" t="s">
        <v>11346</v>
      </c>
      <c r="Z5759" t="s">
        <v>13729</v>
      </c>
      <c r="AB5759" t="s">
        <v>19281</v>
      </c>
      <c r="AC5759">
        <v>0</v>
      </c>
      <c r="AD5759" t="s">
        <v>19566</v>
      </c>
      <c r="AE5759" t="s">
        <v>19587</v>
      </c>
      <c r="AF5759">
        <v>39</v>
      </c>
      <c r="AG5759">
        <v>1</v>
      </c>
      <c r="AH5759">
        <v>0</v>
      </c>
      <c r="AI5759">
        <v>328.52</v>
      </c>
      <c r="AL5759" t="s">
        <v>19614</v>
      </c>
      <c r="AM5759">
        <v>41032</v>
      </c>
      <c r="AN5759" t="s">
        <v>20177</v>
      </c>
      <c r="AS5759">
        <v>0</v>
      </c>
      <c r="AU5759" t="s">
        <v>20646</v>
      </c>
      <c r="AV5759" t="s">
        <v>20733</v>
      </c>
    </row>
    <row r="5760" spans="1:48">
      <c r="A5760" s="1">
        <f>HYPERLINK("https://lsnyc.legalserver.org/matter/dynamic-profile/view/1905183","19-1905183")</f>
        <v>0</v>
      </c>
      <c r="B5760" t="s">
        <v>103</v>
      </c>
      <c r="C5760" t="s">
        <v>256</v>
      </c>
      <c r="D5760" t="s">
        <v>414</v>
      </c>
      <c r="F5760" t="s">
        <v>3193</v>
      </c>
      <c r="G5760" t="s">
        <v>3763</v>
      </c>
      <c r="H5760" t="s">
        <v>5887</v>
      </c>
      <c r="I5760" t="s">
        <v>8288</v>
      </c>
      <c r="J5760" t="s">
        <v>9065</v>
      </c>
      <c r="K5760">
        <v>10453</v>
      </c>
      <c r="L5760" t="s">
        <v>9094</v>
      </c>
      <c r="M5760" t="s">
        <v>9095</v>
      </c>
      <c r="N5760" t="s">
        <v>9239</v>
      </c>
      <c r="O5760" t="s">
        <v>11134</v>
      </c>
      <c r="P5760" t="s">
        <v>11168</v>
      </c>
      <c r="R5760" t="s">
        <v>11180</v>
      </c>
      <c r="S5760" t="s">
        <v>9094</v>
      </c>
      <c r="T5760" t="s">
        <v>11183</v>
      </c>
      <c r="V5760" t="s">
        <v>1061</v>
      </c>
      <c r="W5760">
        <v>949</v>
      </c>
      <c r="X5760" t="s">
        <v>11333</v>
      </c>
      <c r="Y5760" t="s">
        <v>11346</v>
      </c>
      <c r="Z5760" t="s">
        <v>13729</v>
      </c>
      <c r="AB5760" t="s">
        <v>19281</v>
      </c>
      <c r="AC5760">
        <v>170</v>
      </c>
      <c r="AD5760" t="s">
        <v>19566</v>
      </c>
      <c r="AE5760" t="s">
        <v>19587</v>
      </c>
      <c r="AF5760">
        <v>39</v>
      </c>
      <c r="AG5760">
        <v>1</v>
      </c>
      <c r="AH5760">
        <v>0</v>
      </c>
      <c r="AI5760">
        <v>328.52</v>
      </c>
      <c r="AL5760" t="s">
        <v>19614</v>
      </c>
      <c r="AM5760">
        <v>41032</v>
      </c>
      <c r="AS5760">
        <v>0</v>
      </c>
      <c r="AU5760" t="s">
        <v>20642</v>
      </c>
      <c r="AV5760" t="s">
        <v>20733</v>
      </c>
    </row>
    <row r="5761" spans="1:48">
      <c r="A5761" s="1">
        <f>HYPERLINK("https://lsnyc.legalserver.org/matter/dynamic-profile/view/1905184","19-1905184")</f>
        <v>0</v>
      </c>
      <c r="B5761" t="s">
        <v>103</v>
      </c>
      <c r="C5761" t="s">
        <v>256</v>
      </c>
      <c r="D5761" t="s">
        <v>414</v>
      </c>
      <c r="F5761" t="s">
        <v>3193</v>
      </c>
      <c r="G5761" t="s">
        <v>3763</v>
      </c>
      <c r="H5761" t="s">
        <v>5887</v>
      </c>
      <c r="I5761" t="s">
        <v>8288</v>
      </c>
      <c r="J5761" t="s">
        <v>9065</v>
      </c>
      <c r="K5761">
        <v>10453</v>
      </c>
      <c r="L5761" t="s">
        <v>9094</v>
      </c>
      <c r="M5761" t="s">
        <v>9095</v>
      </c>
      <c r="N5761" t="s">
        <v>9240</v>
      </c>
      <c r="O5761" t="s">
        <v>11134</v>
      </c>
      <c r="P5761" t="s">
        <v>11168</v>
      </c>
      <c r="R5761" t="s">
        <v>11180</v>
      </c>
      <c r="S5761" t="s">
        <v>9094</v>
      </c>
      <c r="T5761" t="s">
        <v>11183</v>
      </c>
      <c r="V5761" t="s">
        <v>422</v>
      </c>
      <c r="W5761">
        <v>949</v>
      </c>
      <c r="X5761" t="s">
        <v>11333</v>
      </c>
      <c r="Y5761" t="s">
        <v>11346</v>
      </c>
      <c r="Z5761" t="s">
        <v>13729</v>
      </c>
      <c r="AB5761" t="s">
        <v>19281</v>
      </c>
      <c r="AC5761">
        <v>1770</v>
      </c>
      <c r="AD5761" t="s">
        <v>19566</v>
      </c>
      <c r="AE5761" t="s">
        <v>19587</v>
      </c>
      <c r="AF5761">
        <v>39</v>
      </c>
      <c r="AG5761">
        <v>1</v>
      </c>
      <c r="AH5761">
        <v>0</v>
      </c>
      <c r="AI5761">
        <v>328.52</v>
      </c>
      <c r="AL5761" t="s">
        <v>19614</v>
      </c>
      <c r="AM5761">
        <v>41032</v>
      </c>
      <c r="AS5761">
        <v>0</v>
      </c>
      <c r="AU5761" t="s">
        <v>20642</v>
      </c>
      <c r="AV5761" t="s">
        <v>20733</v>
      </c>
    </row>
    <row r="5762" spans="1:48">
      <c r="A5762" s="1">
        <f>HYPERLINK("https://lsnyc.legalserver.org/matter/dynamic-profile/view/1889883","19-1889883")</f>
        <v>0</v>
      </c>
      <c r="B5762" t="s">
        <v>103</v>
      </c>
      <c r="C5762" t="s">
        <v>256</v>
      </c>
      <c r="D5762" t="s">
        <v>540</v>
      </c>
      <c r="F5762" t="s">
        <v>3193</v>
      </c>
      <c r="G5762" t="s">
        <v>3763</v>
      </c>
      <c r="H5762" t="s">
        <v>5887</v>
      </c>
      <c r="I5762" t="s">
        <v>8288</v>
      </c>
      <c r="J5762" t="s">
        <v>9065</v>
      </c>
      <c r="K5762">
        <v>10453</v>
      </c>
      <c r="L5762" t="s">
        <v>9094</v>
      </c>
      <c r="M5762" t="s">
        <v>9096</v>
      </c>
      <c r="N5762" t="s">
        <v>9352</v>
      </c>
      <c r="O5762" t="s">
        <v>11130</v>
      </c>
      <c r="P5762" t="s">
        <v>11165</v>
      </c>
      <c r="R5762" t="s">
        <v>11180</v>
      </c>
      <c r="S5762" t="s">
        <v>9094</v>
      </c>
      <c r="T5762" t="s">
        <v>11183</v>
      </c>
      <c r="V5762" t="s">
        <v>512</v>
      </c>
      <c r="W5762">
        <v>949</v>
      </c>
      <c r="X5762" t="s">
        <v>11333</v>
      </c>
      <c r="Y5762" t="s">
        <v>11346</v>
      </c>
      <c r="Z5762" t="s">
        <v>13729</v>
      </c>
      <c r="AB5762" t="s">
        <v>19281</v>
      </c>
      <c r="AC5762">
        <v>0</v>
      </c>
      <c r="AD5762" t="s">
        <v>19566</v>
      </c>
      <c r="AE5762" t="s">
        <v>19587</v>
      </c>
      <c r="AF5762">
        <v>39</v>
      </c>
      <c r="AG5762">
        <v>1</v>
      </c>
      <c r="AH5762">
        <v>0</v>
      </c>
      <c r="AI5762">
        <v>328.52</v>
      </c>
      <c r="AL5762" t="s">
        <v>19614</v>
      </c>
      <c r="AM5762">
        <v>41032</v>
      </c>
      <c r="AS5762">
        <v>0</v>
      </c>
      <c r="AU5762" t="s">
        <v>20646</v>
      </c>
    </row>
    <row r="5763" spans="1:48">
      <c r="A5763" s="1">
        <f>HYPERLINK("https://lsnyc.legalserver.org/matter/dynamic-profile/view/1886109","18-1886109")</f>
        <v>0</v>
      </c>
      <c r="B5763" t="s">
        <v>70</v>
      </c>
      <c r="C5763" t="s">
        <v>256</v>
      </c>
      <c r="D5763" t="s">
        <v>397</v>
      </c>
      <c r="F5763" t="s">
        <v>3178</v>
      </c>
      <c r="G5763" t="s">
        <v>3767</v>
      </c>
      <c r="H5763" t="s">
        <v>5749</v>
      </c>
      <c r="I5763" t="s">
        <v>8147</v>
      </c>
      <c r="J5763" t="s">
        <v>9059</v>
      </c>
      <c r="K5763">
        <v>11233</v>
      </c>
      <c r="L5763" t="s">
        <v>9094</v>
      </c>
      <c r="M5763" t="s">
        <v>9094</v>
      </c>
      <c r="N5763" t="s">
        <v>9146</v>
      </c>
      <c r="O5763" t="s">
        <v>11134</v>
      </c>
      <c r="P5763" t="s">
        <v>11168</v>
      </c>
      <c r="R5763" t="s">
        <v>11180</v>
      </c>
      <c r="S5763" t="s">
        <v>9094</v>
      </c>
      <c r="T5763" t="s">
        <v>11183</v>
      </c>
      <c r="U5763" t="s">
        <v>11201</v>
      </c>
      <c r="V5763" t="s">
        <v>746</v>
      </c>
      <c r="W5763">
        <v>628</v>
      </c>
      <c r="X5763" t="s">
        <v>11332</v>
      </c>
      <c r="Y5763" t="s">
        <v>11339</v>
      </c>
      <c r="Z5763" t="s">
        <v>14067</v>
      </c>
      <c r="AA5763" t="s">
        <v>9144</v>
      </c>
      <c r="AB5763" t="s">
        <v>19255</v>
      </c>
      <c r="AC5763">
        <v>764</v>
      </c>
      <c r="AD5763" t="s">
        <v>19566</v>
      </c>
      <c r="AE5763" t="s">
        <v>9144</v>
      </c>
      <c r="AF5763">
        <v>18</v>
      </c>
      <c r="AG5763">
        <v>1</v>
      </c>
      <c r="AH5763">
        <v>0</v>
      </c>
      <c r="AI5763">
        <v>329.49</v>
      </c>
      <c r="AJ5763" t="s">
        <v>546</v>
      </c>
      <c r="AK5763" t="s">
        <v>19612</v>
      </c>
      <c r="AL5763" t="s">
        <v>19614</v>
      </c>
      <c r="AM5763">
        <v>40000</v>
      </c>
      <c r="AS5763">
        <v>0</v>
      </c>
      <c r="AU5763" t="s">
        <v>95</v>
      </c>
    </row>
    <row r="5764" spans="1:48">
      <c r="A5764" s="1">
        <f>HYPERLINK("https://lsnyc.legalserver.org/matter/dynamic-profile/view/1887156","19-1887156")</f>
        <v>0</v>
      </c>
      <c r="B5764" t="s">
        <v>70</v>
      </c>
      <c r="C5764" t="s">
        <v>256</v>
      </c>
      <c r="D5764" t="s">
        <v>324</v>
      </c>
      <c r="F5764" t="s">
        <v>1212</v>
      </c>
      <c r="G5764" t="s">
        <v>5470</v>
      </c>
      <c r="H5764" t="s">
        <v>5748</v>
      </c>
      <c r="I5764" t="s">
        <v>8115</v>
      </c>
      <c r="J5764" t="s">
        <v>9059</v>
      </c>
      <c r="K5764">
        <v>11233</v>
      </c>
      <c r="L5764" t="s">
        <v>9094</v>
      </c>
      <c r="M5764" t="s">
        <v>9094</v>
      </c>
      <c r="N5764" t="s">
        <v>9145</v>
      </c>
      <c r="O5764" t="s">
        <v>11134</v>
      </c>
      <c r="P5764" t="s">
        <v>11168</v>
      </c>
      <c r="R5764" t="s">
        <v>11180</v>
      </c>
      <c r="S5764" t="s">
        <v>9094</v>
      </c>
      <c r="T5764" t="s">
        <v>11183</v>
      </c>
      <c r="U5764" t="s">
        <v>11201</v>
      </c>
      <c r="V5764" t="s">
        <v>482</v>
      </c>
      <c r="W5764">
        <v>0</v>
      </c>
      <c r="X5764" t="s">
        <v>11332</v>
      </c>
      <c r="Z5764" t="s">
        <v>11422</v>
      </c>
      <c r="AA5764" t="s">
        <v>9144</v>
      </c>
      <c r="AC5764">
        <v>0</v>
      </c>
      <c r="AD5764" t="s">
        <v>19566</v>
      </c>
      <c r="AE5764" t="s">
        <v>9144</v>
      </c>
      <c r="AF5764">
        <v>0</v>
      </c>
      <c r="AG5764">
        <v>1</v>
      </c>
      <c r="AH5764">
        <v>0</v>
      </c>
      <c r="AI5764">
        <v>329.49</v>
      </c>
      <c r="AL5764" t="s">
        <v>19614</v>
      </c>
      <c r="AM5764">
        <v>40000</v>
      </c>
      <c r="AS5764">
        <v>0</v>
      </c>
      <c r="AU5764" t="s">
        <v>95</v>
      </c>
    </row>
    <row r="5765" spans="1:48">
      <c r="A5765" s="1">
        <f>HYPERLINK("https://lsnyc.legalserver.org/matter/dynamic-profile/view/1890567","19-1890567")</f>
        <v>0</v>
      </c>
      <c r="B5765" t="s">
        <v>70</v>
      </c>
      <c r="C5765" t="s">
        <v>256</v>
      </c>
      <c r="D5765" t="s">
        <v>695</v>
      </c>
      <c r="F5765" t="s">
        <v>1374</v>
      </c>
      <c r="G5765" t="s">
        <v>3632</v>
      </c>
      <c r="H5765" t="s">
        <v>5748</v>
      </c>
      <c r="I5765" t="s">
        <v>8925</v>
      </c>
      <c r="J5765" t="s">
        <v>9059</v>
      </c>
      <c r="K5765">
        <v>11233</v>
      </c>
      <c r="L5765" t="s">
        <v>9094</v>
      </c>
      <c r="M5765" t="s">
        <v>9096</v>
      </c>
      <c r="N5765" t="s">
        <v>9145</v>
      </c>
      <c r="O5765" t="s">
        <v>11134</v>
      </c>
      <c r="P5765" t="s">
        <v>11168</v>
      </c>
      <c r="R5765" t="s">
        <v>11180</v>
      </c>
      <c r="S5765" t="s">
        <v>9094</v>
      </c>
      <c r="T5765" t="s">
        <v>11183</v>
      </c>
      <c r="U5765" t="s">
        <v>11201</v>
      </c>
      <c r="V5765" t="s">
        <v>482</v>
      </c>
      <c r="W5765">
        <v>1108.41</v>
      </c>
      <c r="X5765" t="s">
        <v>11332</v>
      </c>
      <c r="Y5765" t="s">
        <v>11157</v>
      </c>
      <c r="Z5765" t="s">
        <v>11462</v>
      </c>
      <c r="AC5765">
        <v>359</v>
      </c>
      <c r="AD5765" t="s">
        <v>19566</v>
      </c>
      <c r="AE5765" t="s">
        <v>9144</v>
      </c>
      <c r="AF5765">
        <v>38</v>
      </c>
      <c r="AG5765">
        <v>2</v>
      </c>
      <c r="AH5765">
        <v>0</v>
      </c>
      <c r="AI5765">
        <v>329.64</v>
      </c>
      <c r="AL5765" t="s">
        <v>19614</v>
      </c>
      <c r="AM5765">
        <v>55742</v>
      </c>
      <c r="AN5765" t="s">
        <v>19642</v>
      </c>
      <c r="AS5765">
        <v>0</v>
      </c>
      <c r="AU5765" t="s">
        <v>79</v>
      </c>
    </row>
    <row r="5766" spans="1:48">
      <c r="A5766" s="1">
        <f>HYPERLINK("https://lsnyc.legalserver.org/matter/dynamic-profile/view/1891869","19-1891869")</f>
        <v>0</v>
      </c>
      <c r="B5766" t="s">
        <v>70</v>
      </c>
      <c r="C5766" t="s">
        <v>256</v>
      </c>
      <c r="D5766" t="s">
        <v>383</v>
      </c>
      <c r="F5766" t="s">
        <v>1374</v>
      </c>
      <c r="G5766" t="s">
        <v>3632</v>
      </c>
      <c r="H5766" t="s">
        <v>5748</v>
      </c>
      <c r="I5766" t="s">
        <v>8925</v>
      </c>
      <c r="J5766" t="s">
        <v>9059</v>
      </c>
      <c r="K5766">
        <v>11233</v>
      </c>
      <c r="L5766" t="s">
        <v>9094</v>
      </c>
      <c r="M5766" t="s">
        <v>9096</v>
      </c>
      <c r="N5766" t="s">
        <v>9144</v>
      </c>
      <c r="O5766" t="s">
        <v>11137</v>
      </c>
      <c r="P5766" t="s">
        <v>11167</v>
      </c>
      <c r="R5766" t="s">
        <v>11180</v>
      </c>
      <c r="S5766" t="s">
        <v>9094</v>
      </c>
      <c r="T5766" t="s">
        <v>11183</v>
      </c>
      <c r="U5766" t="s">
        <v>11201</v>
      </c>
      <c r="V5766" t="s">
        <v>749</v>
      </c>
      <c r="W5766">
        <v>1108.41</v>
      </c>
      <c r="X5766" t="s">
        <v>11332</v>
      </c>
      <c r="Z5766" t="s">
        <v>11462</v>
      </c>
      <c r="AC5766">
        <v>359</v>
      </c>
      <c r="AD5766" t="s">
        <v>19566</v>
      </c>
      <c r="AE5766" t="s">
        <v>9144</v>
      </c>
      <c r="AF5766">
        <v>38</v>
      </c>
      <c r="AG5766">
        <v>2</v>
      </c>
      <c r="AH5766">
        <v>0</v>
      </c>
      <c r="AI5766">
        <v>329.64</v>
      </c>
      <c r="AL5766" t="s">
        <v>19614</v>
      </c>
      <c r="AM5766">
        <v>55742</v>
      </c>
      <c r="AN5766" t="s">
        <v>20178</v>
      </c>
      <c r="AS5766">
        <v>0</v>
      </c>
      <c r="AU5766" t="s">
        <v>95</v>
      </c>
    </row>
    <row r="5767" spans="1:48">
      <c r="A5767" s="1">
        <f>HYPERLINK("https://lsnyc.legalserver.org/matter/dynamic-profile/view/1901214","19-1901214")</f>
        <v>0</v>
      </c>
      <c r="B5767" t="s">
        <v>138</v>
      </c>
      <c r="C5767" t="s">
        <v>256</v>
      </c>
      <c r="D5767" t="s">
        <v>422</v>
      </c>
      <c r="F5767" t="s">
        <v>3194</v>
      </c>
      <c r="G5767" t="s">
        <v>5483</v>
      </c>
      <c r="H5767" t="s">
        <v>8042</v>
      </c>
      <c r="I5767" t="s">
        <v>8266</v>
      </c>
      <c r="J5767" t="s">
        <v>9067</v>
      </c>
      <c r="K5767">
        <v>10032</v>
      </c>
      <c r="L5767" t="s">
        <v>9094</v>
      </c>
      <c r="M5767" t="s">
        <v>9095</v>
      </c>
      <c r="O5767" t="s">
        <v>11136</v>
      </c>
      <c r="P5767" t="s">
        <v>11164</v>
      </c>
      <c r="R5767" t="s">
        <v>11180</v>
      </c>
      <c r="S5767" t="s">
        <v>9096</v>
      </c>
      <c r="T5767" t="s">
        <v>11183</v>
      </c>
      <c r="V5767" t="s">
        <v>422</v>
      </c>
      <c r="W5767">
        <v>3445</v>
      </c>
      <c r="X5767" t="s">
        <v>11335</v>
      </c>
      <c r="Y5767" t="s">
        <v>11338</v>
      </c>
      <c r="Z5767" t="s">
        <v>14970</v>
      </c>
      <c r="AC5767">
        <v>48</v>
      </c>
      <c r="AD5767" t="s">
        <v>19566</v>
      </c>
      <c r="AE5767" t="s">
        <v>9144</v>
      </c>
      <c r="AF5767">
        <v>2</v>
      </c>
      <c r="AG5767">
        <v>2</v>
      </c>
      <c r="AH5767">
        <v>0</v>
      </c>
      <c r="AI5767">
        <v>330.1</v>
      </c>
      <c r="AL5767" t="s">
        <v>19614</v>
      </c>
      <c r="AM5767">
        <v>55820</v>
      </c>
      <c r="AS5767">
        <v>1</v>
      </c>
      <c r="AT5767" t="s">
        <v>445</v>
      </c>
      <c r="AU5767" t="s">
        <v>130</v>
      </c>
      <c r="AV5767" t="s">
        <v>20733</v>
      </c>
    </row>
    <row r="5768" spans="1:48">
      <c r="A5768" s="1">
        <f>HYPERLINK("https://lsnyc.legalserver.org/matter/dynamic-profile/view/1895818","19-1895818")</f>
        <v>0</v>
      </c>
      <c r="B5768" t="s">
        <v>84</v>
      </c>
      <c r="C5768" t="s">
        <v>256</v>
      </c>
      <c r="D5768" t="s">
        <v>376</v>
      </c>
      <c r="F5768" t="s">
        <v>3195</v>
      </c>
      <c r="G5768" t="s">
        <v>5484</v>
      </c>
      <c r="H5768" t="s">
        <v>5794</v>
      </c>
      <c r="I5768" t="s">
        <v>8354</v>
      </c>
      <c r="J5768" t="s">
        <v>9059</v>
      </c>
      <c r="K5768">
        <v>11217</v>
      </c>
      <c r="L5768" t="s">
        <v>9094</v>
      </c>
      <c r="M5768" t="s">
        <v>9095</v>
      </c>
      <c r="O5768" t="s">
        <v>11136</v>
      </c>
      <c r="P5768" t="s">
        <v>11167</v>
      </c>
      <c r="R5768" t="s">
        <v>11180</v>
      </c>
      <c r="T5768" t="s">
        <v>11183</v>
      </c>
      <c r="V5768" t="s">
        <v>376</v>
      </c>
      <c r="W5768">
        <v>880.58</v>
      </c>
      <c r="X5768" t="s">
        <v>11332</v>
      </c>
      <c r="Z5768" t="s">
        <v>14971</v>
      </c>
      <c r="AB5768" t="s">
        <v>19282</v>
      </c>
      <c r="AC5768">
        <v>0</v>
      </c>
      <c r="AF5768">
        <v>7</v>
      </c>
      <c r="AG5768">
        <v>2</v>
      </c>
      <c r="AH5768">
        <v>0</v>
      </c>
      <c r="AI5768">
        <v>330.73</v>
      </c>
      <c r="AK5768" t="s">
        <v>19612</v>
      </c>
      <c r="AL5768" t="s">
        <v>19614</v>
      </c>
      <c r="AM5768">
        <v>55927</v>
      </c>
      <c r="AS5768">
        <v>3</v>
      </c>
      <c r="AT5768" t="s">
        <v>636</v>
      </c>
      <c r="AU5768" t="s">
        <v>67</v>
      </c>
      <c r="AV5768" t="s">
        <v>20733</v>
      </c>
    </row>
    <row r="5769" spans="1:48">
      <c r="A5769" s="1">
        <f>HYPERLINK("https://lsnyc.legalserver.org/matter/dynamic-profile/view/1902327","19-1902327")</f>
        <v>0</v>
      </c>
      <c r="B5769" t="s">
        <v>64</v>
      </c>
      <c r="C5769" t="s">
        <v>256</v>
      </c>
      <c r="D5769" t="s">
        <v>268</v>
      </c>
      <c r="F5769" t="s">
        <v>1523</v>
      </c>
      <c r="G5769" t="s">
        <v>3588</v>
      </c>
      <c r="H5769" t="s">
        <v>7599</v>
      </c>
      <c r="I5769" t="s">
        <v>8816</v>
      </c>
      <c r="J5769" t="s">
        <v>9059</v>
      </c>
      <c r="K5769">
        <v>11233</v>
      </c>
      <c r="L5769" t="s">
        <v>9094</v>
      </c>
      <c r="M5769" t="s">
        <v>9095</v>
      </c>
      <c r="O5769" t="s">
        <v>11129</v>
      </c>
      <c r="P5769" t="s">
        <v>11169</v>
      </c>
      <c r="R5769" t="s">
        <v>11180</v>
      </c>
      <c r="S5769" t="s">
        <v>9096</v>
      </c>
      <c r="T5769" t="s">
        <v>11183</v>
      </c>
      <c r="U5769" t="s">
        <v>11201</v>
      </c>
      <c r="V5769" t="s">
        <v>394</v>
      </c>
      <c r="W5769">
        <v>1365</v>
      </c>
      <c r="X5769" t="s">
        <v>11332</v>
      </c>
      <c r="Y5769" t="s">
        <v>11157</v>
      </c>
      <c r="Z5769" t="s">
        <v>14101</v>
      </c>
      <c r="AA5769" t="s">
        <v>9144</v>
      </c>
      <c r="AB5769" t="s">
        <v>18424</v>
      </c>
      <c r="AC5769">
        <v>8</v>
      </c>
      <c r="AD5769" t="s">
        <v>19566</v>
      </c>
      <c r="AE5769" t="s">
        <v>19580</v>
      </c>
      <c r="AF5769">
        <v>23</v>
      </c>
      <c r="AG5769">
        <v>2</v>
      </c>
      <c r="AH5769">
        <v>0</v>
      </c>
      <c r="AI5769">
        <v>331.16</v>
      </c>
      <c r="AL5769" t="s">
        <v>19615</v>
      </c>
      <c r="AM5769">
        <v>56000</v>
      </c>
      <c r="AN5769" t="s">
        <v>20179</v>
      </c>
      <c r="AS5769">
        <v>0.1</v>
      </c>
      <c r="AT5769" t="s">
        <v>408</v>
      </c>
      <c r="AU5769" t="s">
        <v>95</v>
      </c>
      <c r="AV5769" t="s">
        <v>20733</v>
      </c>
    </row>
    <row r="5770" spans="1:48">
      <c r="A5770" s="1">
        <f>HYPERLINK("https://lsnyc.legalserver.org/matter/dynamic-profile/view/1888758","19-1888758")</f>
        <v>0</v>
      </c>
      <c r="B5770" t="s">
        <v>65</v>
      </c>
      <c r="C5770" t="s">
        <v>256</v>
      </c>
      <c r="D5770" t="s">
        <v>325</v>
      </c>
      <c r="F5770" t="s">
        <v>3196</v>
      </c>
      <c r="G5770" t="s">
        <v>5485</v>
      </c>
      <c r="H5770" t="s">
        <v>5774</v>
      </c>
      <c r="I5770" t="s">
        <v>8171</v>
      </c>
      <c r="J5770" t="s">
        <v>9059</v>
      </c>
      <c r="K5770">
        <v>11226</v>
      </c>
      <c r="L5770" t="s">
        <v>9096</v>
      </c>
      <c r="M5770" t="s">
        <v>9094</v>
      </c>
      <c r="O5770" t="s">
        <v>11134</v>
      </c>
      <c r="P5770" t="s">
        <v>11168</v>
      </c>
      <c r="R5770" t="s">
        <v>11180</v>
      </c>
      <c r="S5770" t="s">
        <v>9094</v>
      </c>
      <c r="T5770" t="s">
        <v>11183</v>
      </c>
      <c r="V5770" t="s">
        <v>516</v>
      </c>
      <c r="W5770">
        <v>904.1900000000001</v>
      </c>
      <c r="X5770" t="s">
        <v>11332</v>
      </c>
      <c r="Z5770" t="s">
        <v>11422</v>
      </c>
      <c r="AC5770">
        <v>0</v>
      </c>
      <c r="AF5770">
        <v>38</v>
      </c>
      <c r="AG5770">
        <v>1</v>
      </c>
      <c r="AH5770">
        <v>0</v>
      </c>
      <c r="AI5770">
        <v>331.18</v>
      </c>
      <c r="AL5770" t="s">
        <v>19614</v>
      </c>
      <c r="AM5770">
        <v>41364.96</v>
      </c>
      <c r="AS5770">
        <v>0.2</v>
      </c>
      <c r="AT5770" t="s">
        <v>288</v>
      </c>
      <c r="AU5770" t="s">
        <v>215</v>
      </c>
    </row>
    <row r="5771" spans="1:48">
      <c r="A5771" s="1">
        <f>HYPERLINK("https://lsnyc.legalserver.org/matter/dynamic-profile/view/1889342","19-1889342")</f>
        <v>0</v>
      </c>
      <c r="B5771" t="s">
        <v>66</v>
      </c>
      <c r="C5771" t="s">
        <v>256</v>
      </c>
      <c r="D5771" t="s">
        <v>348</v>
      </c>
      <c r="F5771" t="s">
        <v>3196</v>
      </c>
      <c r="G5771" t="s">
        <v>5485</v>
      </c>
      <c r="H5771" t="s">
        <v>5774</v>
      </c>
      <c r="I5771" t="s">
        <v>8171</v>
      </c>
      <c r="J5771" t="s">
        <v>9059</v>
      </c>
      <c r="K5771">
        <v>11226</v>
      </c>
      <c r="L5771" t="s">
        <v>9096</v>
      </c>
      <c r="M5771" t="s">
        <v>9094</v>
      </c>
      <c r="O5771" t="s">
        <v>11134</v>
      </c>
      <c r="P5771" t="s">
        <v>11168</v>
      </c>
      <c r="R5771" t="s">
        <v>11180</v>
      </c>
      <c r="S5771" t="s">
        <v>9094</v>
      </c>
      <c r="T5771" t="s">
        <v>11183</v>
      </c>
      <c r="V5771" t="s">
        <v>402</v>
      </c>
      <c r="W5771">
        <v>904.1900000000001</v>
      </c>
      <c r="X5771" t="s">
        <v>11332</v>
      </c>
      <c r="Z5771" t="s">
        <v>11422</v>
      </c>
      <c r="AC5771">
        <v>0</v>
      </c>
      <c r="AF5771">
        <v>38</v>
      </c>
      <c r="AG5771">
        <v>1</v>
      </c>
      <c r="AH5771">
        <v>0</v>
      </c>
      <c r="AI5771">
        <v>331.18</v>
      </c>
      <c r="AL5771" t="s">
        <v>19614</v>
      </c>
      <c r="AM5771">
        <v>41364</v>
      </c>
      <c r="AS5771">
        <v>0</v>
      </c>
      <c r="AU5771" t="s">
        <v>215</v>
      </c>
    </row>
    <row r="5772" spans="1:48">
      <c r="A5772" s="1">
        <f>HYPERLINK("https://lsnyc.legalserver.org/matter/dynamic-profile/view/1904484","19-1904484")</f>
        <v>0</v>
      </c>
      <c r="B5772" t="s">
        <v>114</v>
      </c>
      <c r="C5772" t="s">
        <v>257</v>
      </c>
      <c r="D5772" t="s">
        <v>615</v>
      </c>
      <c r="E5772" t="s">
        <v>476</v>
      </c>
      <c r="F5772" t="s">
        <v>3197</v>
      </c>
      <c r="G5772" t="s">
        <v>3364</v>
      </c>
      <c r="H5772" t="s">
        <v>6132</v>
      </c>
      <c r="I5772" t="s">
        <v>8170</v>
      </c>
      <c r="J5772" t="s">
        <v>9065</v>
      </c>
      <c r="K5772">
        <v>10470</v>
      </c>
      <c r="L5772" t="s">
        <v>9096</v>
      </c>
      <c r="M5772" t="s">
        <v>9095</v>
      </c>
      <c r="N5772" t="s">
        <v>9426</v>
      </c>
      <c r="O5772" t="s">
        <v>11130</v>
      </c>
      <c r="P5772" t="s">
        <v>11165</v>
      </c>
      <c r="Q5772" t="s">
        <v>11174</v>
      </c>
      <c r="R5772" t="s">
        <v>11180</v>
      </c>
      <c r="S5772" t="s">
        <v>9096</v>
      </c>
      <c r="T5772" t="s">
        <v>11183</v>
      </c>
      <c r="W5772">
        <v>966.6</v>
      </c>
      <c r="X5772" t="s">
        <v>11333</v>
      </c>
      <c r="Y5772" t="s">
        <v>11346</v>
      </c>
      <c r="Z5772" t="s">
        <v>14972</v>
      </c>
      <c r="AB5772" t="s">
        <v>19283</v>
      </c>
      <c r="AC5772">
        <v>63</v>
      </c>
      <c r="AD5772" t="s">
        <v>19566</v>
      </c>
      <c r="AE5772" t="s">
        <v>9144</v>
      </c>
      <c r="AF5772">
        <v>10</v>
      </c>
      <c r="AG5772">
        <v>2</v>
      </c>
      <c r="AH5772">
        <v>0</v>
      </c>
      <c r="AI5772">
        <v>331.28</v>
      </c>
      <c r="AL5772" t="s">
        <v>19614</v>
      </c>
      <c r="AM5772">
        <v>56020</v>
      </c>
      <c r="AN5772" t="s">
        <v>20180</v>
      </c>
      <c r="AS5772">
        <v>60</v>
      </c>
      <c r="AT5772" t="s">
        <v>476</v>
      </c>
      <c r="AU5772" t="s">
        <v>20642</v>
      </c>
      <c r="AV5772" t="s">
        <v>20733</v>
      </c>
    </row>
    <row r="5773" spans="1:48">
      <c r="A5773" s="1">
        <f>HYPERLINK("https://lsnyc.legalserver.org/matter/dynamic-profile/view/1838220","17-1838220")</f>
        <v>0</v>
      </c>
      <c r="B5773" t="s">
        <v>103</v>
      </c>
      <c r="C5773" t="s">
        <v>256</v>
      </c>
      <c r="D5773" t="s">
        <v>1120</v>
      </c>
      <c r="F5773" t="s">
        <v>3198</v>
      </c>
      <c r="G5773" t="s">
        <v>3398</v>
      </c>
      <c r="H5773" t="s">
        <v>7822</v>
      </c>
      <c r="I5773" t="s">
        <v>8160</v>
      </c>
      <c r="J5773" t="s">
        <v>9065</v>
      </c>
      <c r="K5773">
        <v>10473</v>
      </c>
      <c r="L5773" t="s">
        <v>9094</v>
      </c>
      <c r="M5773" t="s">
        <v>9095</v>
      </c>
      <c r="N5773" t="s">
        <v>10045</v>
      </c>
      <c r="O5773" t="s">
        <v>11135</v>
      </c>
      <c r="P5773" t="s">
        <v>11168</v>
      </c>
      <c r="R5773" t="s">
        <v>11180</v>
      </c>
      <c r="S5773" t="s">
        <v>9094</v>
      </c>
      <c r="T5773" t="s">
        <v>11183</v>
      </c>
      <c r="V5773" t="s">
        <v>705</v>
      </c>
      <c r="W5773">
        <v>918.8099999999999</v>
      </c>
      <c r="X5773" t="s">
        <v>11333</v>
      </c>
      <c r="Z5773" t="s">
        <v>14973</v>
      </c>
      <c r="AB5773" t="s">
        <v>19284</v>
      </c>
      <c r="AC5773">
        <v>225</v>
      </c>
      <c r="AD5773" t="s">
        <v>19566</v>
      </c>
      <c r="AE5773" t="s">
        <v>9144</v>
      </c>
      <c r="AF5773">
        <v>17</v>
      </c>
      <c r="AG5773">
        <v>1</v>
      </c>
      <c r="AH5773">
        <v>0</v>
      </c>
      <c r="AI5773">
        <v>331.67</v>
      </c>
      <c r="AL5773" t="s">
        <v>19614</v>
      </c>
      <c r="AM5773">
        <v>40000</v>
      </c>
      <c r="AS5773">
        <v>0</v>
      </c>
      <c r="AU5773" t="s">
        <v>20643</v>
      </c>
    </row>
    <row r="5774" spans="1:48">
      <c r="A5774" s="1">
        <f>HYPERLINK("https://lsnyc.legalserver.org/matter/dynamic-profile/view/1851960","17-1851960")</f>
        <v>0</v>
      </c>
      <c r="B5774" t="s">
        <v>108</v>
      </c>
      <c r="C5774" t="s">
        <v>256</v>
      </c>
      <c r="D5774" t="s">
        <v>340</v>
      </c>
      <c r="F5774" t="s">
        <v>2956</v>
      </c>
      <c r="G5774" t="s">
        <v>5486</v>
      </c>
      <c r="H5774" t="s">
        <v>5897</v>
      </c>
      <c r="J5774" t="s">
        <v>9065</v>
      </c>
      <c r="K5774">
        <v>10452</v>
      </c>
      <c r="L5774" t="s">
        <v>9094</v>
      </c>
      <c r="M5774" t="s">
        <v>9095</v>
      </c>
      <c r="O5774" t="s">
        <v>11132</v>
      </c>
      <c r="P5774" t="s">
        <v>11165</v>
      </c>
      <c r="R5774" t="s">
        <v>11180</v>
      </c>
      <c r="S5774" t="s">
        <v>9094</v>
      </c>
      <c r="T5774" t="s">
        <v>11183</v>
      </c>
      <c r="V5774" t="s">
        <v>874</v>
      </c>
      <c r="W5774">
        <v>1329.18</v>
      </c>
      <c r="X5774" t="s">
        <v>11333</v>
      </c>
      <c r="Y5774" t="s">
        <v>11157</v>
      </c>
      <c r="Z5774" t="s">
        <v>14974</v>
      </c>
      <c r="AB5774" t="s">
        <v>19285</v>
      </c>
      <c r="AC5774">
        <v>122</v>
      </c>
      <c r="AD5774" t="s">
        <v>19566</v>
      </c>
      <c r="AE5774" t="s">
        <v>9144</v>
      </c>
      <c r="AF5774">
        <v>9</v>
      </c>
      <c r="AG5774">
        <v>1</v>
      </c>
      <c r="AH5774">
        <v>0</v>
      </c>
      <c r="AI5774">
        <v>331.67</v>
      </c>
      <c r="AK5774" t="s">
        <v>19610</v>
      </c>
      <c r="AL5774" t="s">
        <v>19614</v>
      </c>
      <c r="AM5774">
        <v>40000</v>
      </c>
      <c r="AS5774">
        <v>2.55</v>
      </c>
      <c r="AT5774" t="s">
        <v>779</v>
      </c>
      <c r="AU5774" t="s">
        <v>109</v>
      </c>
    </row>
    <row r="5775" spans="1:48">
      <c r="A5775" s="1">
        <f>HYPERLINK("https://lsnyc.legalserver.org/matter/dynamic-profile/view/1911485","19-1911485")</f>
        <v>0</v>
      </c>
      <c r="B5775" t="s">
        <v>71</v>
      </c>
      <c r="C5775" t="s">
        <v>256</v>
      </c>
      <c r="D5775" t="s">
        <v>362</v>
      </c>
      <c r="F5775" t="s">
        <v>1434</v>
      </c>
      <c r="G5775" t="s">
        <v>5487</v>
      </c>
      <c r="H5775" t="s">
        <v>8043</v>
      </c>
      <c r="I5775" t="s">
        <v>8305</v>
      </c>
      <c r="J5775" t="s">
        <v>9059</v>
      </c>
      <c r="K5775">
        <v>11212</v>
      </c>
      <c r="L5775" t="s">
        <v>9094</v>
      </c>
      <c r="M5775" t="s">
        <v>9095</v>
      </c>
      <c r="N5775" t="s">
        <v>11070</v>
      </c>
      <c r="O5775" t="s">
        <v>11129</v>
      </c>
      <c r="P5775" t="s">
        <v>11164</v>
      </c>
      <c r="R5775" t="s">
        <v>11180</v>
      </c>
      <c r="S5775" t="s">
        <v>9096</v>
      </c>
      <c r="T5775" t="s">
        <v>11183</v>
      </c>
      <c r="U5775" t="s">
        <v>11199</v>
      </c>
      <c r="V5775" t="s">
        <v>290</v>
      </c>
      <c r="W5775">
        <v>1217</v>
      </c>
      <c r="X5775" t="s">
        <v>11332</v>
      </c>
      <c r="Y5775" t="s">
        <v>11352</v>
      </c>
      <c r="Z5775" t="s">
        <v>14975</v>
      </c>
      <c r="AA5775" t="s">
        <v>9171</v>
      </c>
      <c r="AB5775" t="s">
        <v>19286</v>
      </c>
      <c r="AC5775">
        <v>26</v>
      </c>
      <c r="AD5775" t="s">
        <v>19566</v>
      </c>
      <c r="AE5775" t="s">
        <v>9144</v>
      </c>
      <c r="AF5775">
        <v>11</v>
      </c>
      <c r="AG5775">
        <v>1</v>
      </c>
      <c r="AH5775">
        <v>0</v>
      </c>
      <c r="AI5775">
        <v>332.23</v>
      </c>
      <c r="AL5775" t="s">
        <v>19614</v>
      </c>
      <c r="AM5775">
        <v>41496</v>
      </c>
      <c r="AS5775">
        <v>2</v>
      </c>
      <c r="AT5775" t="s">
        <v>290</v>
      </c>
      <c r="AU5775" t="s">
        <v>20640</v>
      </c>
      <c r="AV5775" t="s">
        <v>20733</v>
      </c>
    </row>
    <row r="5776" spans="1:48">
      <c r="A5776" s="1">
        <f>HYPERLINK("https://lsnyc.legalserver.org/matter/dynamic-profile/view/1906454","19-1906454")</f>
        <v>0</v>
      </c>
      <c r="B5776" t="s">
        <v>109</v>
      </c>
      <c r="C5776" t="s">
        <v>257</v>
      </c>
      <c r="D5776" t="s">
        <v>899</v>
      </c>
      <c r="E5776" t="s">
        <v>335</v>
      </c>
      <c r="F5776" t="s">
        <v>1264</v>
      </c>
      <c r="G5776" t="s">
        <v>4219</v>
      </c>
      <c r="H5776" t="s">
        <v>8044</v>
      </c>
      <c r="J5776" t="s">
        <v>9065</v>
      </c>
      <c r="K5776">
        <v>10452</v>
      </c>
      <c r="L5776" t="s">
        <v>9094</v>
      </c>
      <c r="M5776" t="s">
        <v>9095</v>
      </c>
      <c r="P5776" t="s">
        <v>11167</v>
      </c>
      <c r="Q5776" t="s">
        <v>11172</v>
      </c>
      <c r="R5776" t="s">
        <v>11180</v>
      </c>
      <c r="T5776" t="s">
        <v>11183</v>
      </c>
      <c r="W5776">
        <v>1550</v>
      </c>
      <c r="X5776" t="s">
        <v>11333</v>
      </c>
      <c r="Y5776" t="s">
        <v>11339</v>
      </c>
      <c r="Z5776" t="s">
        <v>14976</v>
      </c>
      <c r="AB5776" t="s">
        <v>19287</v>
      </c>
      <c r="AC5776">
        <v>0</v>
      </c>
      <c r="AF5776">
        <v>0</v>
      </c>
      <c r="AG5776">
        <v>1</v>
      </c>
      <c r="AH5776">
        <v>0</v>
      </c>
      <c r="AI5776">
        <v>333</v>
      </c>
      <c r="AL5776" t="s">
        <v>19614</v>
      </c>
      <c r="AM5776">
        <v>41592</v>
      </c>
      <c r="AS5776">
        <v>1.5</v>
      </c>
      <c r="AT5776" t="s">
        <v>370</v>
      </c>
      <c r="AU5776" t="s">
        <v>109</v>
      </c>
      <c r="AV5776" t="s">
        <v>20733</v>
      </c>
    </row>
    <row r="5777" spans="1:48">
      <c r="A5777" s="1">
        <f>HYPERLINK("https://lsnyc.legalserver.org/matter/dynamic-profile/view/1905193","19-1905193")</f>
        <v>0</v>
      </c>
      <c r="B5777" t="s">
        <v>86</v>
      </c>
      <c r="C5777" t="s">
        <v>256</v>
      </c>
      <c r="D5777" t="s">
        <v>414</v>
      </c>
      <c r="F5777" t="s">
        <v>2701</v>
      </c>
      <c r="G5777" t="s">
        <v>2681</v>
      </c>
      <c r="H5777" t="s">
        <v>7032</v>
      </c>
      <c r="I5777" t="s">
        <v>8139</v>
      </c>
      <c r="J5777" t="s">
        <v>9059</v>
      </c>
      <c r="K5777">
        <v>11220</v>
      </c>
      <c r="L5777" t="s">
        <v>9094</v>
      </c>
      <c r="M5777" t="s">
        <v>9095</v>
      </c>
      <c r="O5777" t="s">
        <v>11130</v>
      </c>
      <c r="P5777" t="s">
        <v>11165</v>
      </c>
      <c r="R5777" t="s">
        <v>11180</v>
      </c>
      <c r="S5777" t="s">
        <v>9094</v>
      </c>
      <c r="T5777" t="s">
        <v>11183</v>
      </c>
      <c r="V5777" t="s">
        <v>660</v>
      </c>
      <c r="W5777">
        <v>0</v>
      </c>
      <c r="X5777" t="s">
        <v>11332</v>
      </c>
      <c r="Z5777" t="s">
        <v>14977</v>
      </c>
      <c r="AB5777" t="s">
        <v>19288</v>
      </c>
      <c r="AC5777">
        <v>54</v>
      </c>
      <c r="AF5777">
        <v>0</v>
      </c>
      <c r="AG5777">
        <v>1</v>
      </c>
      <c r="AH5777">
        <v>0</v>
      </c>
      <c r="AI5777">
        <v>333.07</v>
      </c>
      <c r="AL5777" t="s">
        <v>19614</v>
      </c>
      <c r="AM5777">
        <v>41600</v>
      </c>
      <c r="AS5777">
        <v>0.2</v>
      </c>
      <c r="AT5777" t="s">
        <v>414</v>
      </c>
      <c r="AU5777" t="s">
        <v>67</v>
      </c>
      <c r="AV5777" t="s">
        <v>20733</v>
      </c>
    </row>
    <row r="5778" spans="1:48">
      <c r="A5778" s="1">
        <f>HYPERLINK("https://lsnyc.legalserver.org/matter/dynamic-profile/view/1904419","19-1904419")</f>
        <v>0</v>
      </c>
      <c r="B5778" t="s">
        <v>72</v>
      </c>
      <c r="C5778" t="s">
        <v>256</v>
      </c>
      <c r="D5778" t="s">
        <v>736</v>
      </c>
      <c r="F5778" t="s">
        <v>2023</v>
      </c>
      <c r="G5778" t="s">
        <v>5488</v>
      </c>
      <c r="H5778" t="s">
        <v>5997</v>
      </c>
      <c r="I5778" t="s">
        <v>8348</v>
      </c>
      <c r="J5778" t="s">
        <v>9059</v>
      </c>
      <c r="K5778">
        <v>11213</v>
      </c>
      <c r="L5778" t="s">
        <v>9094</v>
      </c>
      <c r="M5778" t="s">
        <v>9095</v>
      </c>
      <c r="N5778" t="s">
        <v>11071</v>
      </c>
      <c r="O5778" t="s">
        <v>11128</v>
      </c>
      <c r="P5778" t="s">
        <v>11165</v>
      </c>
      <c r="R5778" t="s">
        <v>11180</v>
      </c>
      <c r="S5778" t="s">
        <v>9096</v>
      </c>
      <c r="T5778" t="s">
        <v>11183</v>
      </c>
      <c r="U5778" t="s">
        <v>11201</v>
      </c>
      <c r="V5778" t="s">
        <v>736</v>
      </c>
      <c r="W5778">
        <v>876</v>
      </c>
      <c r="X5778" t="s">
        <v>11332</v>
      </c>
      <c r="Y5778" t="s">
        <v>11341</v>
      </c>
      <c r="Z5778" t="s">
        <v>14978</v>
      </c>
      <c r="AA5778" t="s">
        <v>9144</v>
      </c>
      <c r="AB5778" t="s">
        <v>19289</v>
      </c>
      <c r="AC5778">
        <v>107</v>
      </c>
      <c r="AD5778" t="s">
        <v>19566</v>
      </c>
      <c r="AE5778" t="s">
        <v>9144</v>
      </c>
      <c r="AF5778">
        <v>35</v>
      </c>
      <c r="AG5778">
        <v>1</v>
      </c>
      <c r="AH5778">
        <v>0</v>
      </c>
      <c r="AI5778">
        <v>333.07</v>
      </c>
      <c r="AL5778" t="s">
        <v>19614</v>
      </c>
      <c r="AM5778">
        <v>41600</v>
      </c>
      <c r="AS5778">
        <v>16.6</v>
      </c>
      <c r="AT5778" t="s">
        <v>496</v>
      </c>
      <c r="AU5778" t="s">
        <v>95</v>
      </c>
      <c r="AV5778" t="s">
        <v>20733</v>
      </c>
    </row>
    <row r="5779" spans="1:48">
      <c r="A5779" s="1">
        <f>HYPERLINK("https://lsnyc.legalserver.org/matter/dynamic-profile/view/1902627","19-1902627")</f>
        <v>0</v>
      </c>
      <c r="B5779" t="s">
        <v>64</v>
      </c>
      <c r="C5779" t="s">
        <v>257</v>
      </c>
      <c r="D5779" t="s">
        <v>327</v>
      </c>
      <c r="E5779" t="s">
        <v>339</v>
      </c>
      <c r="F5779" t="s">
        <v>3199</v>
      </c>
      <c r="G5779" t="s">
        <v>5489</v>
      </c>
      <c r="H5779" t="s">
        <v>8045</v>
      </c>
      <c r="I5779" t="s">
        <v>8992</v>
      </c>
      <c r="J5779" t="s">
        <v>9059</v>
      </c>
      <c r="K5779">
        <v>11210</v>
      </c>
      <c r="L5779" t="s">
        <v>9094</v>
      </c>
      <c r="M5779" t="s">
        <v>9095</v>
      </c>
      <c r="N5779" t="s">
        <v>9121</v>
      </c>
      <c r="O5779" t="s">
        <v>9121</v>
      </c>
      <c r="P5779" t="s">
        <v>11164</v>
      </c>
      <c r="Q5779" t="s">
        <v>11172</v>
      </c>
      <c r="R5779" t="s">
        <v>11180</v>
      </c>
      <c r="S5779" t="s">
        <v>9096</v>
      </c>
      <c r="T5779" t="s">
        <v>11183</v>
      </c>
      <c r="V5779" t="s">
        <v>706</v>
      </c>
      <c r="W5779">
        <v>800</v>
      </c>
      <c r="X5779" t="s">
        <v>11332</v>
      </c>
      <c r="Y5779" t="s">
        <v>11346</v>
      </c>
      <c r="Z5779" t="s">
        <v>14979</v>
      </c>
      <c r="AB5779" t="s">
        <v>19290</v>
      </c>
      <c r="AC5779">
        <v>3</v>
      </c>
      <c r="AD5779" t="s">
        <v>19565</v>
      </c>
      <c r="AE5779" t="s">
        <v>9144</v>
      </c>
      <c r="AF5779">
        <v>0</v>
      </c>
      <c r="AG5779">
        <v>1</v>
      </c>
      <c r="AH5779">
        <v>0</v>
      </c>
      <c r="AI5779">
        <v>333.07</v>
      </c>
      <c r="AL5779" t="s">
        <v>19614</v>
      </c>
      <c r="AM5779">
        <v>41600</v>
      </c>
      <c r="AS5779">
        <v>1.1</v>
      </c>
      <c r="AT5779" t="s">
        <v>663</v>
      </c>
      <c r="AU5779" t="s">
        <v>20628</v>
      </c>
      <c r="AV5779" t="s">
        <v>20733</v>
      </c>
    </row>
    <row r="5780" spans="1:48">
      <c r="A5780" s="1">
        <f>HYPERLINK("https://lsnyc.legalserver.org/matter/dynamic-profile/view/1893003","19-1893003")</f>
        <v>0</v>
      </c>
      <c r="B5780" t="s">
        <v>138</v>
      </c>
      <c r="C5780" t="s">
        <v>256</v>
      </c>
      <c r="D5780" t="s">
        <v>423</v>
      </c>
      <c r="F5780" t="s">
        <v>1432</v>
      </c>
      <c r="G5780" t="s">
        <v>3571</v>
      </c>
      <c r="H5780" t="s">
        <v>6004</v>
      </c>
      <c r="I5780">
        <v>34</v>
      </c>
      <c r="J5780" t="s">
        <v>9067</v>
      </c>
      <c r="K5780">
        <v>10034</v>
      </c>
      <c r="L5780" t="s">
        <v>9094</v>
      </c>
      <c r="M5780" t="s">
        <v>9094</v>
      </c>
      <c r="N5780" t="s">
        <v>11072</v>
      </c>
      <c r="O5780" t="s">
        <v>11129</v>
      </c>
      <c r="P5780" t="s">
        <v>11165</v>
      </c>
      <c r="R5780" t="s">
        <v>11180</v>
      </c>
      <c r="S5780" t="s">
        <v>9096</v>
      </c>
      <c r="T5780" t="s">
        <v>11183</v>
      </c>
      <c r="V5780" t="s">
        <v>573</v>
      </c>
      <c r="W5780">
        <v>1450</v>
      </c>
      <c r="X5780" t="s">
        <v>11335</v>
      </c>
      <c r="Y5780" t="s">
        <v>11352</v>
      </c>
      <c r="Z5780" t="s">
        <v>14980</v>
      </c>
      <c r="AB5780" t="s">
        <v>19291</v>
      </c>
      <c r="AC5780">
        <v>55</v>
      </c>
      <c r="AD5780" t="s">
        <v>19566</v>
      </c>
      <c r="AE5780" t="s">
        <v>9144</v>
      </c>
      <c r="AF5780">
        <v>3</v>
      </c>
      <c r="AG5780">
        <v>1</v>
      </c>
      <c r="AH5780">
        <v>0</v>
      </c>
      <c r="AI5780">
        <v>333.07</v>
      </c>
      <c r="AL5780" t="s">
        <v>19615</v>
      </c>
      <c r="AM5780">
        <v>41600</v>
      </c>
      <c r="AS5780">
        <v>15.3</v>
      </c>
      <c r="AT5780" t="s">
        <v>486</v>
      </c>
      <c r="AU5780" t="s">
        <v>20640</v>
      </c>
      <c r="AV5780" t="s">
        <v>20733</v>
      </c>
    </row>
    <row r="5781" spans="1:48">
      <c r="A5781" s="1">
        <f>HYPERLINK("https://lsnyc.legalserver.org/matter/dynamic-profile/view/1915158","19-1915158")</f>
        <v>0</v>
      </c>
      <c r="B5781" t="s">
        <v>132</v>
      </c>
      <c r="C5781" t="s">
        <v>256</v>
      </c>
      <c r="D5781" t="s">
        <v>270</v>
      </c>
      <c r="F5781" t="s">
        <v>3200</v>
      </c>
      <c r="G5781" t="s">
        <v>4143</v>
      </c>
      <c r="H5781" t="s">
        <v>5942</v>
      </c>
      <c r="I5781" t="s">
        <v>8151</v>
      </c>
      <c r="J5781" t="s">
        <v>9067</v>
      </c>
      <c r="K5781">
        <v>10034</v>
      </c>
      <c r="L5781" t="s">
        <v>9094</v>
      </c>
      <c r="M5781" t="s">
        <v>9095</v>
      </c>
      <c r="O5781" t="s">
        <v>11136</v>
      </c>
      <c r="P5781" t="s">
        <v>11169</v>
      </c>
      <c r="R5781" t="s">
        <v>11180</v>
      </c>
      <c r="S5781" t="s">
        <v>9096</v>
      </c>
      <c r="T5781" t="s">
        <v>11183</v>
      </c>
      <c r="V5781" t="s">
        <v>270</v>
      </c>
      <c r="W5781">
        <v>1421</v>
      </c>
      <c r="X5781" t="s">
        <v>11335</v>
      </c>
      <c r="Y5781" t="s">
        <v>11338</v>
      </c>
      <c r="Z5781" t="s">
        <v>14981</v>
      </c>
      <c r="AB5781" t="s">
        <v>19292</v>
      </c>
      <c r="AC5781">
        <v>0</v>
      </c>
      <c r="AD5781" t="s">
        <v>19566</v>
      </c>
      <c r="AE5781" t="s">
        <v>9144</v>
      </c>
      <c r="AF5781">
        <v>3</v>
      </c>
      <c r="AG5781">
        <v>1</v>
      </c>
      <c r="AH5781">
        <v>0</v>
      </c>
      <c r="AI5781">
        <v>333.07</v>
      </c>
      <c r="AL5781" t="s">
        <v>19614</v>
      </c>
      <c r="AM5781">
        <v>41600</v>
      </c>
      <c r="AS5781">
        <v>2</v>
      </c>
      <c r="AT5781" t="s">
        <v>1130</v>
      </c>
      <c r="AU5781" t="s">
        <v>130</v>
      </c>
      <c r="AV5781" t="s">
        <v>20733</v>
      </c>
    </row>
    <row r="5782" spans="1:48">
      <c r="A5782" s="1">
        <f>HYPERLINK("https://lsnyc.legalserver.org/matter/dynamic-profile/view/1915118","19-1915118")</f>
        <v>0</v>
      </c>
      <c r="B5782" t="s">
        <v>132</v>
      </c>
      <c r="C5782" t="s">
        <v>257</v>
      </c>
      <c r="D5782" t="s">
        <v>270</v>
      </c>
      <c r="E5782" t="s">
        <v>487</v>
      </c>
      <c r="F5782" t="s">
        <v>2793</v>
      </c>
      <c r="G5782" t="s">
        <v>5490</v>
      </c>
      <c r="H5782" t="s">
        <v>8046</v>
      </c>
      <c r="I5782" t="s">
        <v>8193</v>
      </c>
      <c r="J5782" t="s">
        <v>9067</v>
      </c>
      <c r="K5782">
        <v>10032</v>
      </c>
      <c r="L5782" t="s">
        <v>9094</v>
      </c>
      <c r="M5782" t="s">
        <v>9095</v>
      </c>
      <c r="O5782" t="s">
        <v>9121</v>
      </c>
      <c r="P5782" t="s">
        <v>11164</v>
      </c>
      <c r="Q5782" t="s">
        <v>11172</v>
      </c>
      <c r="R5782" t="s">
        <v>11180</v>
      </c>
      <c r="S5782" t="s">
        <v>9096</v>
      </c>
      <c r="T5782" t="s">
        <v>11183</v>
      </c>
      <c r="V5782" t="s">
        <v>270</v>
      </c>
      <c r="W5782">
        <v>2091.32</v>
      </c>
      <c r="X5782" t="s">
        <v>11335</v>
      </c>
      <c r="Y5782" t="s">
        <v>11338</v>
      </c>
      <c r="Z5782" t="s">
        <v>14982</v>
      </c>
      <c r="AB5782" t="s">
        <v>19293</v>
      </c>
      <c r="AC5782">
        <v>37</v>
      </c>
      <c r="AD5782" t="s">
        <v>19566</v>
      </c>
      <c r="AE5782" t="s">
        <v>9144</v>
      </c>
      <c r="AF5782">
        <v>9</v>
      </c>
      <c r="AG5782">
        <v>1</v>
      </c>
      <c r="AH5782">
        <v>0</v>
      </c>
      <c r="AI5782">
        <v>333.07</v>
      </c>
      <c r="AL5782" t="s">
        <v>19614</v>
      </c>
      <c r="AM5782">
        <v>41600</v>
      </c>
      <c r="AQ5782" t="s">
        <v>20369</v>
      </c>
      <c r="AR5782" t="s">
        <v>20445</v>
      </c>
      <c r="AS5782">
        <v>1.5</v>
      </c>
      <c r="AT5782" t="s">
        <v>270</v>
      </c>
      <c r="AU5782" t="s">
        <v>130</v>
      </c>
      <c r="AV5782" t="s">
        <v>20733</v>
      </c>
    </row>
    <row r="5783" spans="1:48">
      <c r="A5783" s="1">
        <f>HYPERLINK("https://lsnyc.legalserver.org/matter/dynamic-profile/view/1842036","17-1842036")</f>
        <v>0</v>
      </c>
      <c r="B5783" t="s">
        <v>136</v>
      </c>
      <c r="C5783" t="s">
        <v>257</v>
      </c>
      <c r="D5783" t="s">
        <v>1121</v>
      </c>
      <c r="E5783" t="s">
        <v>331</v>
      </c>
      <c r="F5783" t="s">
        <v>2187</v>
      </c>
      <c r="G5783" t="s">
        <v>5491</v>
      </c>
      <c r="H5783" t="s">
        <v>6146</v>
      </c>
      <c r="I5783" t="s">
        <v>8409</v>
      </c>
      <c r="J5783" t="s">
        <v>9067</v>
      </c>
      <c r="K5783">
        <v>10029</v>
      </c>
      <c r="L5783" t="s">
        <v>9094</v>
      </c>
      <c r="M5783" t="s">
        <v>9095</v>
      </c>
      <c r="O5783" t="s">
        <v>9121</v>
      </c>
      <c r="P5783" t="s">
        <v>11167</v>
      </c>
      <c r="Q5783" t="s">
        <v>11173</v>
      </c>
      <c r="R5783" t="s">
        <v>11180</v>
      </c>
      <c r="S5783" t="s">
        <v>9094</v>
      </c>
      <c r="T5783" t="s">
        <v>11183</v>
      </c>
      <c r="U5783" t="s">
        <v>11201</v>
      </c>
      <c r="V5783" t="s">
        <v>837</v>
      </c>
      <c r="W5783">
        <v>1043</v>
      </c>
      <c r="X5783" t="s">
        <v>11335</v>
      </c>
      <c r="Y5783" t="s">
        <v>11339</v>
      </c>
      <c r="Z5783" t="s">
        <v>12432</v>
      </c>
      <c r="AB5783" t="s">
        <v>19294</v>
      </c>
      <c r="AC5783">
        <v>13</v>
      </c>
      <c r="AD5783" t="s">
        <v>19566</v>
      </c>
      <c r="AE5783" t="s">
        <v>9144</v>
      </c>
      <c r="AF5783">
        <v>20</v>
      </c>
      <c r="AG5783">
        <v>1</v>
      </c>
      <c r="AH5783">
        <v>0</v>
      </c>
      <c r="AI5783">
        <v>333.33</v>
      </c>
      <c r="AJ5783" t="s">
        <v>11246</v>
      </c>
      <c r="AL5783" t="s">
        <v>19614</v>
      </c>
      <c r="AM5783">
        <v>40200</v>
      </c>
      <c r="AS5783">
        <v>2.25</v>
      </c>
      <c r="AT5783" t="s">
        <v>693</v>
      </c>
      <c r="AU5783" t="s">
        <v>20657</v>
      </c>
      <c r="AV5783" t="s">
        <v>20733</v>
      </c>
    </row>
    <row r="5784" spans="1:48">
      <c r="A5784" s="1">
        <f>HYPERLINK("https://lsnyc.legalserver.org/matter/dynamic-profile/view/1901175","19-1901175")</f>
        <v>0</v>
      </c>
      <c r="B5784" t="s">
        <v>138</v>
      </c>
      <c r="C5784" t="s">
        <v>256</v>
      </c>
      <c r="D5784" t="s">
        <v>394</v>
      </c>
      <c r="F5784" t="s">
        <v>3201</v>
      </c>
      <c r="G5784" t="s">
        <v>5492</v>
      </c>
      <c r="H5784" t="s">
        <v>7389</v>
      </c>
      <c r="I5784" t="s">
        <v>8189</v>
      </c>
      <c r="J5784" t="s">
        <v>9067</v>
      </c>
      <c r="K5784">
        <v>10033</v>
      </c>
      <c r="L5784" t="s">
        <v>9094</v>
      </c>
      <c r="M5784" t="s">
        <v>9095</v>
      </c>
      <c r="O5784" t="s">
        <v>11136</v>
      </c>
      <c r="P5784" t="s">
        <v>11164</v>
      </c>
      <c r="R5784" t="s">
        <v>11180</v>
      </c>
      <c r="S5784" t="s">
        <v>9096</v>
      </c>
      <c r="T5784" t="s">
        <v>11183</v>
      </c>
      <c r="V5784" t="s">
        <v>394</v>
      </c>
      <c r="W5784">
        <v>1850</v>
      </c>
      <c r="X5784" t="s">
        <v>11335</v>
      </c>
      <c r="Y5784" t="s">
        <v>11338</v>
      </c>
      <c r="Z5784" t="s">
        <v>12940</v>
      </c>
      <c r="AC5784">
        <v>53</v>
      </c>
      <c r="AD5784" t="s">
        <v>19566</v>
      </c>
      <c r="AE5784" t="s">
        <v>9144</v>
      </c>
      <c r="AF5784">
        <v>4</v>
      </c>
      <c r="AG5784">
        <v>2</v>
      </c>
      <c r="AH5784">
        <v>1</v>
      </c>
      <c r="AI5784">
        <v>334.23</v>
      </c>
      <c r="AL5784" t="s">
        <v>19615</v>
      </c>
      <c r="AM5784">
        <v>71292</v>
      </c>
      <c r="AS5784">
        <v>1</v>
      </c>
      <c r="AT5784" t="s">
        <v>445</v>
      </c>
      <c r="AU5784" t="s">
        <v>130</v>
      </c>
      <c r="AV5784" t="s">
        <v>20733</v>
      </c>
    </row>
    <row r="5785" spans="1:48">
      <c r="A5785" s="1">
        <f>HYPERLINK("https://lsnyc.legalserver.org/matter/dynamic-profile/view/1876511","18-1876511")</f>
        <v>0</v>
      </c>
      <c r="B5785" t="s">
        <v>76</v>
      </c>
      <c r="C5785" t="s">
        <v>256</v>
      </c>
      <c r="D5785" t="s">
        <v>1061</v>
      </c>
      <c r="F5785" t="s">
        <v>3188</v>
      </c>
      <c r="G5785" t="s">
        <v>5480</v>
      </c>
      <c r="H5785" t="s">
        <v>7008</v>
      </c>
      <c r="I5785" t="s">
        <v>8990</v>
      </c>
      <c r="J5785" t="s">
        <v>9059</v>
      </c>
      <c r="K5785">
        <v>11213</v>
      </c>
      <c r="L5785" t="s">
        <v>9094</v>
      </c>
      <c r="M5785" t="s">
        <v>9094</v>
      </c>
      <c r="N5785" t="s">
        <v>9179</v>
      </c>
      <c r="O5785" t="s">
        <v>11130</v>
      </c>
      <c r="P5785" t="s">
        <v>11165</v>
      </c>
      <c r="R5785" t="s">
        <v>11180</v>
      </c>
      <c r="S5785" t="s">
        <v>9094</v>
      </c>
      <c r="T5785" t="s">
        <v>11183</v>
      </c>
      <c r="V5785" t="s">
        <v>479</v>
      </c>
      <c r="W5785">
        <v>756</v>
      </c>
      <c r="X5785" t="s">
        <v>11332</v>
      </c>
      <c r="Y5785" t="s">
        <v>11346</v>
      </c>
      <c r="Z5785" t="s">
        <v>14960</v>
      </c>
      <c r="AB5785" t="s">
        <v>19272</v>
      </c>
      <c r="AC5785">
        <v>34</v>
      </c>
      <c r="AD5785" t="s">
        <v>19566</v>
      </c>
      <c r="AE5785" t="s">
        <v>9144</v>
      </c>
      <c r="AF5785">
        <v>40</v>
      </c>
      <c r="AG5785">
        <v>2</v>
      </c>
      <c r="AH5785">
        <v>0</v>
      </c>
      <c r="AI5785">
        <v>335.36</v>
      </c>
      <c r="AL5785" t="s">
        <v>19614</v>
      </c>
      <c r="AM5785">
        <v>55200</v>
      </c>
      <c r="AP5785" t="s">
        <v>20323</v>
      </c>
      <c r="AR5785" t="s">
        <v>20577</v>
      </c>
      <c r="AS5785">
        <v>0.85</v>
      </c>
      <c r="AT5785" t="s">
        <v>314</v>
      </c>
      <c r="AU5785" t="s">
        <v>95</v>
      </c>
      <c r="AV5785" t="s">
        <v>20733</v>
      </c>
    </row>
    <row r="5786" spans="1:48">
      <c r="A5786" s="1">
        <f>HYPERLINK("https://lsnyc.legalserver.org/matter/dynamic-profile/view/1897828","19-1897828")</f>
        <v>0</v>
      </c>
      <c r="B5786" t="s">
        <v>136</v>
      </c>
      <c r="C5786" t="s">
        <v>256</v>
      </c>
      <c r="D5786" t="s">
        <v>499</v>
      </c>
      <c r="F5786" t="s">
        <v>1358</v>
      </c>
      <c r="G5786" t="s">
        <v>4299</v>
      </c>
      <c r="H5786" t="s">
        <v>6596</v>
      </c>
      <c r="I5786" t="s">
        <v>8218</v>
      </c>
      <c r="J5786" t="s">
        <v>9067</v>
      </c>
      <c r="K5786">
        <v>10035</v>
      </c>
      <c r="L5786" t="s">
        <v>9094</v>
      </c>
      <c r="M5786" t="s">
        <v>9094</v>
      </c>
      <c r="O5786" t="s">
        <v>9121</v>
      </c>
      <c r="P5786" t="s">
        <v>11167</v>
      </c>
      <c r="R5786" t="s">
        <v>11180</v>
      </c>
      <c r="S5786" t="s">
        <v>9094</v>
      </c>
      <c r="T5786" t="s">
        <v>11183</v>
      </c>
      <c r="U5786" t="s">
        <v>11201</v>
      </c>
      <c r="V5786" t="s">
        <v>499</v>
      </c>
      <c r="W5786">
        <v>1066.31</v>
      </c>
      <c r="X5786" t="s">
        <v>11335</v>
      </c>
      <c r="Y5786" t="s">
        <v>11350</v>
      </c>
      <c r="Z5786" t="s">
        <v>14983</v>
      </c>
      <c r="AC5786">
        <v>60</v>
      </c>
      <c r="AD5786" t="s">
        <v>19566</v>
      </c>
      <c r="AE5786" t="s">
        <v>9144</v>
      </c>
      <c r="AF5786">
        <v>15</v>
      </c>
      <c r="AG5786">
        <v>3</v>
      </c>
      <c r="AH5786">
        <v>0</v>
      </c>
      <c r="AI5786">
        <v>335.68</v>
      </c>
      <c r="AL5786" t="s">
        <v>19614</v>
      </c>
      <c r="AM5786">
        <v>71600</v>
      </c>
      <c r="AN5786" t="s">
        <v>19728</v>
      </c>
      <c r="AS5786">
        <v>0</v>
      </c>
      <c r="AU5786" t="s">
        <v>20657</v>
      </c>
      <c r="AV5786" t="s">
        <v>20733</v>
      </c>
    </row>
    <row r="5787" spans="1:48">
      <c r="A5787" s="1">
        <f>HYPERLINK("https://lsnyc.legalserver.org/matter/dynamic-profile/view/1881561","18-1881561")</f>
        <v>0</v>
      </c>
      <c r="B5787" t="s">
        <v>83</v>
      </c>
      <c r="C5787" t="s">
        <v>256</v>
      </c>
      <c r="D5787" t="s">
        <v>834</v>
      </c>
      <c r="F5787" t="s">
        <v>3202</v>
      </c>
      <c r="G5787" t="s">
        <v>3720</v>
      </c>
      <c r="H5787" t="s">
        <v>6552</v>
      </c>
      <c r="J5787" t="s">
        <v>9059</v>
      </c>
      <c r="K5787">
        <v>11220</v>
      </c>
      <c r="L5787" t="s">
        <v>9094</v>
      </c>
      <c r="M5787" t="s">
        <v>9095</v>
      </c>
      <c r="N5787" t="s">
        <v>11073</v>
      </c>
      <c r="O5787" t="s">
        <v>11134</v>
      </c>
      <c r="P5787" t="s">
        <v>11168</v>
      </c>
      <c r="R5787" t="s">
        <v>11180</v>
      </c>
      <c r="S5787" t="s">
        <v>9094</v>
      </c>
      <c r="T5787" t="s">
        <v>11183</v>
      </c>
      <c r="V5787" t="s">
        <v>490</v>
      </c>
      <c r="W5787">
        <v>1560</v>
      </c>
      <c r="X5787" t="s">
        <v>11332</v>
      </c>
      <c r="Y5787" t="s">
        <v>11346</v>
      </c>
      <c r="Z5787" t="s">
        <v>14984</v>
      </c>
      <c r="AC5787">
        <v>12</v>
      </c>
      <c r="AD5787" t="s">
        <v>19566</v>
      </c>
      <c r="AE5787" t="s">
        <v>19580</v>
      </c>
      <c r="AF5787">
        <v>34</v>
      </c>
      <c r="AG5787">
        <v>1</v>
      </c>
      <c r="AH5787">
        <v>0</v>
      </c>
      <c r="AI5787">
        <v>336.08</v>
      </c>
      <c r="AL5787" t="s">
        <v>19614</v>
      </c>
      <c r="AM5787">
        <v>40800</v>
      </c>
      <c r="AS5787">
        <v>5.85</v>
      </c>
      <c r="AT5787" t="s">
        <v>396</v>
      </c>
      <c r="AU5787" t="s">
        <v>85</v>
      </c>
      <c r="AV5787" t="s">
        <v>20733</v>
      </c>
    </row>
    <row r="5788" spans="1:48">
      <c r="A5788" s="1">
        <f>HYPERLINK("https://lsnyc.legalserver.org/matter/dynamic-profile/view/1857861","18-1857861")</f>
        <v>0</v>
      </c>
      <c r="B5788" t="s">
        <v>120</v>
      </c>
      <c r="C5788" t="s">
        <v>256</v>
      </c>
      <c r="D5788" t="s">
        <v>1122</v>
      </c>
      <c r="F5788" t="s">
        <v>3057</v>
      </c>
      <c r="G5788" t="s">
        <v>5493</v>
      </c>
      <c r="H5788" t="s">
        <v>8047</v>
      </c>
      <c r="I5788" t="s">
        <v>8993</v>
      </c>
      <c r="J5788" t="s">
        <v>9065</v>
      </c>
      <c r="K5788">
        <v>10460</v>
      </c>
      <c r="L5788" t="s">
        <v>9094</v>
      </c>
      <c r="M5788" t="s">
        <v>9095</v>
      </c>
      <c r="N5788" t="s">
        <v>11074</v>
      </c>
      <c r="O5788" t="s">
        <v>11129</v>
      </c>
      <c r="P5788" t="s">
        <v>11165</v>
      </c>
      <c r="R5788" t="s">
        <v>11180</v>
      </c>
      <c r="T5788" t="s">
        <v>11183</v>
      </c>
      <c r="V5788" t="s">
        <v>626</v>
      </c>
      <c r="W5788">
        <v>1375</v>
      </c>
      <c r="X5788" t="s">
        <v>11333</v>
      </c>
      <c r="Y5788" t="s">
        <v>11342</v>
      </c>
      <c r="Z5788" t="s">
        <v>14985</v>
      </c>
      <c r="AA5788" t="s">
        <v>15903</v>
      </c>
      <c r="AB5788" t="s">
        <v>19295</v>
      </c>
      <c r="AC5788">
        <v>73</v>
      </c>
      <c r="AD5788" t="s">
        <v>19566</v>
      </c>
      <c r="AE5788" t="s">
        <v>9144</v>
      </c>
      <c r="AF5788">
        <v>2</v>
      </c>
      <c r="AG5788">
        <v>2</v>
      </c>
      <c r="AH5788">
        <v>0</v>
      </c>
      <c r="AI5788">
        <v>336.21</v>
      </c>
      <c r="AJ5788" t="s">
        <v>11246</v>
      </c>
      <c r="AL5788" t="s">
        <v>19614</v>
      </c>
      <c r="AM5788">
        <v>54600</v>
      </c>
      <c r="AN5788" t="s">
        <v>20181</v>
      </c>
      <c r="AS5788">
        <v>84.25</v>
      </c>
      <c r="AT5788" t="s">
        <v>594</v>
      </c>
      <c r="AU5788" t="s">
        <v>20645</v>
      </c>
    </row>
    <row r="5789" spans="1:48">
      <c r="A5789" s="1">
        <f>HYPERLINK("https://lsnyc.legalserver.org/matter/dynamic-profile/view/1891710","19-1891710")</f>
        <v>0</v>
      </c>
      <c r="B5789" t="s">
        <v>70</v>
      </c>
      <c r="C5789" t="s">
        <v>256</v>
      </c>
      <c r="D5789" t="s">
        <v>788</v>
      </c>
      <c r="F5789" t="s">
        <v>3203</v>
      </c>
      <c r="G5789" t="s">
        <v>5494</v>
      </c>
      <c r="H5789" t="s">
        <v>5748</v>
      </c>
      <c r="I5789" t="s">
        <v>8576</v>
      </c>
      <c r="J5789" t="s">
        <v>9059</v>
      </c>
      <c r="K5789">
        <v>11233</v>
      </c>
      <c r="L5789" t="s">
        <v>9094</v>
      </c>
      <c r="M5789" t="s">
        <v>9094</v>
      </c>
      <c r="N5789" t="s">
        <v>9144</v>
      </c>
      <c r="O5789" t="s">
        <v>11137</v>
      </c>
      <c r="P5789" t="s">
        <v>11167</v>
      </c>
      <c r="R5789" t="s">
        <v>11180</v>
      </c>
      <c r="S5789" t="s">
        <v>9094</v>
      </c>
      <c r="T5789" t="s">
        <v>11183</v>
      </c>
      <c r="U5789" t="s">
        <v>11201</v>
      </c>
      <c r="V5789" t="s">
        <v>749</v>
      </c>
      <c r="W5789">
        <v>583.25</v>
      </c>
      <c r="X5789" t="s">
        <v>11332</v>
      </c>
      <c r="Z5789" t="s">
        <v>14986</v>
      </c>
      <c r="AB5789" t="s">
        <v>19296</v>
      </c>
      <c r="AC5789">
        <v>359</v>
      </c>
      <c r="AD5789" t="s">
        <v>19566</v>
      </c>
      <c r="AE5789" t="s">
        <v>9144</v>
      </c>
      <c r="AF5789">
        <v>0</v>
      </c>
      <c r="AG5789">
        <v>1</v>
      </c>
      <c r="AH5789">
        <v>0</v>
      </c>
      <c r="AI5789">
        <v>336.27</v>
      </c>
      <c r="AL5789" t="s">
        <v>19614</v>
      </c>
      <c r="AM5789">
        <v>42000</v>
      </c>
      <c r="AN5789" t="s">
        <v>20182</v>
      </c>
      <c r="AS5789">
        <v>0</v>
      </c>
      <c r="AU5789" t="s">
        <v>95</v>
      </c>
    </row>
    <row r="5790" spans="1:48">
      <c r="A5790" s="1">
        <f>HYPERLINK("https://lsnyc.legalserver.org/matter/dynamic-profile/view/1894143","19-1894143")</f>
        <v>0</v>
      </c>
      <c r="B5790" t="s">
        <v>157</v>
      </c>
      <c r="C5790" t="s">
        <v>257</v>
      </c>
      <c r="D5790" t="s">
        <v>507</v>
      </c>
      <c r="E5790" t="s">
        <v>273</v>
      </c>
      <c r="F5790" t="s">
        <v>3204</v>
      </c>
      <c r="G5790" t="s">
        <v>5495</v>
      </c>
      <c r="H5790" t="s">
        <v>8048</v>
      </c>
      <c r="I5790" t="s">
        <v>8729</v>
      </c>
      <c r="J5790" t="s">
        <v>9059</v>
      </c>
      <c r="K5790">
        <v>11215</v>
      </c>
      <c r="L5790" t="s">
        <v>9094</v>
      </c>
      <c r="M5790" t="s">
        <v>9095</v>
      </c>
      <c r="P5790" t="s">
        <v>11164</v>
      </c>
      <c r="Q5790" t="s">
        <v>11172</v>
      </c>
      <c r="R5790" t="s">
        <v>11180</v>
      </c>
      <c r="T5790" t="s">
        <v>11193</v>
      </c>
      <c r="V5790" t="s">
        <v>507</v>
      </c>
      <c r="W5790">
        <v>0</v>
      </c>
      <c r="X5790" t="s">
        <v>11332</v>
      </c>
      <c r="Z5790" t="s">
        <v>14987</v>
      </c>
      <c r="AB5790" t="s">
        <v>19297</v>
      </c>
      <c r="AC5790">
        <v>0</v>
      </c>
      <c r="AF5790">
        <v>0</v>
      </c>
      <c r="AG5790">
        <v>1</v>
      </c>
      <c r="AH5790">
        <v>0</v>
      </c>
      <c r="AI5790">
        <v>336.27</v>
      </c>
      <c r="AL5790" t="s">
        <v>19614</v>
      </c>
      <c r="AM5790">
        <v>42000</v>
      </c>
      <c r="AS5790">
        <v>3.2</v>
      </c>
      <c r="AT5790" t="s">
        <v>617</v>
      </c>
      <c r="AU5790" t="s">
        <v>20632</v>
      </c>
      <c r="AV5790" t="s">
        <v>20733</v>
      </c>
    </row>
    <row r="5791" spans="1:48">
      <c r="A5791" s="1">
        <f>HYPERLINK("https://lsnyc.legalserver.org/matter/dynamic-profile/view/1905809","19-1905809")</f>
        <v>0</v>
      </c>
      <c r="B5791" t="s">
        <v>93</v>
      </c>
      <c r="C5791" t="s">
        <v>256</v>
      </c>
      <c r="D5791" t="s">
        <v>426</v>
      </c>
      <c r="F5791" t="s">
        <v>1180</v>
      </c>
      <c r="G5791" t="s">
        <v>3332</v>
      </c>
      <c r="H5791" t="s">
        <v>6059</v>
      </c>
      <c r="I5791" t="s">
        <v>8160</v>
      </c>
      <c r="J5791" t="s">
        <v>9059</v>
      </c>
      <c r="K5791">
        <v>11212</v>
      </c>
      <c r="L5791" t="s">
        <v>9094</v>
      </c>
      <c r="M5791" t="s">
        <v>9095</v>
      </c>
      <c r="N5791" t="s">
        <v>9184</v>
      </c>
      <c r="O5791" t="s">
        <v>11132</v>
      </c>
      <c r="P5791" t="s">
        <v>11167</v>
      </c>
      <c r="R5791" t="s">
        <v>11180</v>
      </c>
      <c r="S5791" t="s">
        <v>9094</v>
      </c>
      <c r="T5791" t="s">
        <v>11186</v>
      </c>
      <c r="U5791" t="s">
        <v>11201</v>
      </c>
      <c r="V5791" t="s">
        <v>512</v>
      </c>
      <c r="W5791">
        <v>1122</v>
      </c>
      <c r="X5791" t="s">
        <v>11332</v>
      </c>
      <c r="Y5791" t="s">
        <v>11340</v>
      </c>
      <c r="Z5791" t="s">
        <v>14881</v>
      </c>
      <c r="AA5791" t="s">
        <v>9171</v>
      </c>
      <c r="AC5791">
        <v>10</v>
      </c>
      <c r="AD5791" t="s">
        <v>19566</v>
      </c>
      <c r="AE5791" t="s">
        <v>9144</v>
      </c>
      <c r="AF5791">
        <v>3</v>
      </c>
      <c r="AG5791">
        <v>2</v>
      </c>
      <c r="AH5791">
        <v>0</v>
      </c>
      <c r="AI5791">
        <v>336.72</v>
      </c>
      <c r="AK5791" t="s">
        <v>19612</v>
      </c>
      <c r="AL5791" t="s">
        <v>19614</v>
      </c>
      <c r="AM5791">
        <v>56940</v>
      </c>
      <c r="AN5791" t="s">
        <v>20183</v>
      </c>
      <c r="AS5791">
        <v>0</v>
      </c>
      <c r="AU5791" t="s">
        <v>95</v>
      </c>
      <c r="AV5791" t="s">
        <v>20733</v>
      </c>
    </row>
    <row r="5792" spans="1:48">
      <c r="A5792" s="1">
        <f>HYPERLINK("https://lsnyc.legalserver.org/matter/dynamic-profile/view/1905818","19-1905818")</f>
        <v>0</v>
      </c>
      <c r="B5792" t="s">
        <v>93</v>
      </c>
      <c r="C5792" t="s">
        <v>256</v>
      </c>
      <c r="D5792" t="s">
        <v>426</v>
      </c>
      <c r="F5792" t="s">
        <v>1180</v>
      </c>
      <c r="G5792" t="s">
        <v>3332</v>
      </c>
      <c r="H5792" t="s">
        <v>6059</v>
      </c>
      <c r="I5792" t="s">
        <v>8160</v>
      </c>
      <c r="J5792" t="s">
        <v>9059</v>
      </c>
      <c r="K5792">
        <v>11212</v>
      </c>
      <c r="L5792" t="s">
        <v>9094</v>
      </c>
      <c r="M5792" t="s">
        <v>9095</v>
      </c>
      <c r="N5792" t="s">
        <v>11075</v>
      </c>
      <c r="O5792" t="s">
        <v>11129</v>
      </c>
      <c r="P5792" t="s">
        <v>11165</v>
      </c>
      <c r="R5792" t="s">
        <v>11180</v>
      </c>
      <c r="S5792" t="s">
        <v>9094</v>
      </c>
      <c r="T5792" t="s">
        <v>11183</v>
      </c>
      <c r="U5792" t="s">
        <v>11201</v>
      </c>
      <c r="V5792" t="s">
        <v>411</v>
      </c>
      <c r="W5792">
        <v>1122</v>
      </c>
      <c r="X5792" t="s">
        <v>11332</v>
      </c>
      <c r="Y5792" t="s">
        <v>11340</v>
      </c>
      <c r="Z5792" t="s">
        <v>14881</v>
      </c>
      <c r="AA5792" t="s">
        <v>9171</v>
      </c>
      <c r="AC5792">
        <v>10</v>
      </c>
      <c r="AD5792" t="s">
        <v>19566</v>
      </c>
      <c r="AE5792" t="s">
        <v>9144</v>
      </c>
      <c r="AF5792">
        <v>3</v>
      </c>
      <c r="AG5792">
        <v>2</v>
      </c>
      <c r="AH5792">
        <v>0</v>
      </c>
      <c r="AI5792">
        <v>336.72</v>
      </c>
      <c r="AL5792" t="s">
        <v>19614</v>
      </c>
      <c r="AM5792">
        <v>56940</v>
      </c>
      <c r="AN5792" t="s">
        <v>20184</v>
      </c>
      <c r="AS5792">
        <v>0.5</v>
      </c>
      <c r="AT5792" t="s">
        <v>676</v>
      </c>
      <c r="AU5792" t="s">
        <v>95</v>
      </c>
      <c r="AV5792" t="s">
        <v>20733</v>
      </c>
    </row>
    <row r="5793" spans="1:48">
      <c r="A5793" s="1">
        <f>HYPERLINK("https://lsnyc.legalserver.org/matter/dynamic-profile/view/1895374","19-1895374")</f>
        <v>0</v>
      </c>
      <c r="B5793" t="s">
        <v>93</v>
      </c>
      <c r="C5793" t="s">
        <v>256</v>
      </c>
      <c r="D5793" t="s">
        <v>264</v>
      </c>
      <c r="F5793" t="s">
        <v>1180</v>
      </c>
      <c r="G5793" t="s">
        <v>3332</v>
      </c>
      <c r="H5793" t="s">
        <v>6059</v>
      </c>
      <c r="I5793" t="s">
        <v>8160</v>
      </c>
      <c r="J5793" t="s">
        <v>9059</v>
      </c>
      <c r="K5793">
        <v>11212</v>
      </c>
      <c r="L5793" t="s">
        <v>9094</v>
      </c>
      <c r="M5793" t="s">
        <v>9094</v>
      </c>
      <c r="N5793" t="s">
        <v>9182</v>
      </c>
      <c r="O5793" t="s">
        <v>11141</v>
      </c>
      <c r="P5793" t="s">
        <v>11170</v>
      </c>
      <c r="R5793" t="s">
        <v>11180</v>
      </c>
      <c r="S5793" t="s">
        <v>9094</v>
      </c>
      <c r="T5793" t="s">
        <v>11183</v>
      </c>
      <c r="V5793" t="s">
        <v>264</v>
      </c>
      <c r="W5793">
        <v>1122</v>
      </c>
      <c r="X5793" t="s">
        <v>11332</v>
      </c>
      <c r="Y5793" t="s">
        <v>11339</v>
      </c>
      <c r="Z5793" t="s">
        <v>14881</v>
      </c>
      <c r="AC5793">
        <v>0</v>
      </c>
      <c r="AD5793" t="s">
        <v>19566</v>
      </c>
      <c r="AF5793">
        <v>3</v>
      </c>
      <c r="AG5793">
        <v>2</v>
      </c>
      <c r="AH5793">
        <v>0</v>
      </c>
      <c r="AI5793">
        <v>336.72</v>
      </c>
      <c r="AJ5793" t="s">
        <v>265</v>
      </c>
      <c r="AK5793" t="s">
        <v>19612</v>
      </c>
      <c r="AL5793" t="s">
        <v>19614</v>
      </c>
      <c r="AM5793">
        <v>56940</v>
      </c>
      <c r="AS5793">
        <v>0</v>
      </c>
      <c r="AU5793" t="s">
        <v>79</v>
      </c>
    </row>
    <row r="5794" spans="1:48">
      <c r="A5794" s="1">
        <f>HYPERLINK("https://lsnyc.legalserver.org/matter/dynamic-profile/view/1887834","19-1887834")</f>
        <v>0</v>
      </c>
      <c r="B5794" t="s">
        <v>78</v>
      </c>
      <c r="C5794" t="s">
        <v>256</v>
      </c>
      <c r="D5794" t="s">
        <v>363</v>
      </c>
      <c r="F5794" t="s">
        <v>1238</v>
      </c>
      <c r="G5794" t="s">
        <v>4851</v>
      </c>
      <c r="H5794" t="s">
        <v>5785</v>
      </c>
      <c r="I5794" t="s">
        <v>8650</v>
      </c>
      <c r="J5794" t="s">
        <v>9059</v>
      </c>
      <c r="K5794">
        <v>11225</v>
      </c>
      <c r="L5794" t="s">
        <v>9094</v>
      </c>
      <c r="M5794" t="s">
        <v>9095</v>
      </c>
      <c r="O5794" t="s">
        <v>11134</v>
      </c>
      <c r="P5794" t="s">
        <v>11168</v>
      </c>
      <c r="R5794" t="s">
        <v>11180</v>
      </c>
      <c r="S5794" t="s">
        <v>9094</v>
      </c>
      <c r="T5794" t="s">
        <v>11183</v>
      </c>
      <c r="V5794" t="s">
        <v>412</v>
      </c>
      <c r="W5794">
        <v>2725</v>
      </c>
      <c r="X5794" t="s">
        <v>11332</v>
      </c>
      <c r="Z5794" t="s">
        <v>11535</v>
      </c>
      <c r="AB5794" t="s">
        <v>19298</v>
      </c>
      <c r="AC5794">
        <v>89</v>
      </c>
      <c r="AD5794" t="s">
        <v>19566</v>
      </c>
      <c r="AE5794" t="s">
        <v>9144</v>
      </c>
      <c r="AF5794">
        <v>1</v>
      </c>
      <c r="AG5794">
        <v>2</v>
      </c>
      <c r="AH5794">
        <v>1</v>
      </c>
      <c r="AI5794">
        <v>336.86</v>
      </c>
      <c r="AM5794">
        <v>70000</v>
      </c>
      <c r="AS5794">
        <v>0</v>
      </c>
      <c r="AU5794" t="s">
        <v>79</v>
      </c>
    </row>
    <row r="5795" spans="1:48">
      <c r="A5795" s="1">
        <f>HYPERLINK("https://lsnyc.legalserver.org/matter/dynamic-profile/view/1889772","19-1889772")</f>
        <v>0</v>
      </c>
      <c r="B5795" t="s">
        <v>111</v>
      </c>
      <c r="C5795" t="s">
        <v>256</v>
      </c>
      <c r="D5795" t="s">
        <v>413</v>
      </c>
      <c r="F5795" t="s">
        <v>3168</v>
      </c>
      <c r="G5795" t="s">
        <v>5463</v>
      </c>
      <c r="H5795" t="s">
        <v>6051</v>
      </c>
      <c r="I5795" t="s">
        <v>8279</v>
      </c>
      <c r="J5795" t="s">
        <v>9065</v>
      </c>
      <c r="K5795">
        <v>10452</v>
      </c>
      <c r="L5795" t="s">
        <v>9094</v>
      </c>
      <c r="M5795" t="s">
        <v>9094</v>
      </c>
      <c r="O5795" t="s">
        <v>11128</v>
      </c>
      <c r="P5795" t="s">
        <v>11167</v>
      </c>
      <c r="R5795" t="s">
        <v>11180</v>
      </c>
      <c r="S5795" t="s">
        <v>9096</v>
      </c>
      <c r="T5795" t="s">
        <v>11183</v>
      </c>
      <c r="V5795" t="s">
        <v>11218</v>
      </c>
      <c r="W5795">
        <v>1181.64</v>
      </c>
      <c r="X5795" t="s">
        <v>11333</v>
      </c>
      <c r="Y5795" t="s">
        <v>11346</v>
      </c>
      <c r="Z5795" t="s">
        <v>14927</v>
      </c>
      <c r="AC5795">
        <v>52</v>
      </c>
      <c r="AD5795" t="s">
        <v>19566</v>
      </c>
      <c r="AE5795" t="s">
        <v>9144</v>
      </c>
      <c r="AF5795">
        <v>4</v>
      </c>
      <c r="AG5795">
        <v>1</v>
      </c>
      <c r="AH5795">
        <v>0</v>
      </c>
      <c r="AI5795">
        <v>337.07</v>
      </c>
      <c r="AL5795" t="s">
        <v>19614</v>
      </c>
      <c r="AM5795">
        <v>42100</v>
      </c>
      <c r="AN5795" t="s">
        <v>19724</v>
      </c>
      <c r="AS5795">
        <v>23.2</v>
      </c>
      <c r="AT5795" t="s">
        <v>484</v>
      </c>
      <c r="AU5795" t="s">
        <v>20642</v>
      </c>
      <c r="AV5795" t="s">
        <v>20733</v>
      </c>
    </row>
    <row r="5796" spans="1:48">
      <c r="A5796" s="1">
        <f>HYPERLINK("https://lsnyc.legalserver.org/matter/dynamic-profile/view/1913897","19-1913897")</f>
        <v>0</v>
      </c>
      <c r="B5796" t="s">
        <v>86</v>
      </c>
      <c r="C5796" t="s">
        <v>256</v>
      </c>
      <c r="D5796" t="s">
        <v>301</v>
      </c>
      <c r="F5796" t="s">
        <v>2484</v>
      </c>
      <c r="G5796" t="s">
        <v>1215</v>
      </c>
      <c r="H5796" t="s">
        <v>7787</v>
      </c>
      <c r="I5796" t="s">
        <v>8193</v>
      </c>
      <c r="J5796" t="s">
        <v>9059</v>
      </c>
      <c r="K5796">
        <v>11213</v>
      </c>
      <c r="L5796" t="s">
        <v>9094</v>
      </c>
      <c r="M5796" t="s">
        <v>9095</v>
      </c>
      <c r="P5796" t="s">
        <v>11165</v>
      </c>
      <c r="R5796" t="s">
        <v>11180</v>
      </c>
      <c r="T5796" t="s">
        <v>11183</v>
      </c>
      <c r="V5796" t="s">
        <v>301</v>
      </c>
      <c r="W5796">
        <v>1207.2</v>
      </c>
      <c r="X5796" t="s">
        <v>11332</v>
      </c>
      <c r="Z5796" t="s">
        <v>14988</v>
      </c>
      <c r="AB5796" t="s">
        <v>19299</v>
      </c>
      <c r="AC5796">
        <v>23</v>
      </c>
      <c r="AF5796">
        <v>21</v>
      </c>
      <c r="AG5796">
        <v>2</v>
      </c>
      <c r="AH5796">
        <v>0</v>
      </c>
      <c r="AI5796">
        <v>337.08</v>
      </c>
      <c r="AL5796" t="s">
        <v>19614</v>
      </c>
      <c r="AM5796">
        <v>57000</v>
      </c>
      <c r="AS5796">
        <v>0</v>
      </c>
      <c r="AU5796" t="s">
        <v>215</v>
      </c>
      <c r="AV5796" t="s">
        <v>20733</v>
      </c>
    </row>
    <row r="5797" spans="1:48">
      <c r="A5797" s="1">
        <f>HYPERLINK("https://lsnyc.legalserver.org/matter/dynamic-profile/view/1904731","19-1904731")</f>
        <v>0</v>
      </c>
      <c r="B5797" t="s">
        <v>119</v>
      </c>
      <c r="C5797" t="s">
        <v>256</v>
      </c>
      <c r="D5797" t="s">
        <v>497</v>
      </c>
      <c r="F5797" t="s">
        <v>1255</v>
      </c>
      <c r="G5797" t="s">
        <v>4203</v>
      </c>
      <c r="H5797" t="s">
        <v>6095</v>
      </c>
      <c r="I5797" t="s">
        <v>8109</v>
      </c>
      <c r="J5797" t="s">
        <v>9065</v>
      </c>
      <c r="K5797">
        <v>10456</v>
      </c>
      <c r="L5797" t="s">
        <v>9094</v>
      </c>
      <c r="M5797" t="s">
        <v>9095</v>
      </c>
      <c r="N5797" t="s">
        <v>9401</v>
      </c>
      <c r="O5797" t="s">
        <v>11134</v>
      </c>
      <c r="P5797" t="s">
        <v>11168</v>
      </c>
      <c r="R5797" t="s">
        <v>11180</v>
      </c>
      <c r="S5797" t="s">
        <v>9094</v>
      </c>
      <c r="T5797" t="s">
        <v>11183</v>
      </c>
      <c r="V5797" t="s">
        <v>11218</v>
      </c>
      <c r="W5797">
        <v>1035</v>
      </c>
      <c r="X5797" t="s">
        <v>11333</v>
      </c>
      <c r="Y5797" t="s">
        <v>11346</v>
      </c>
      <c r="Z5797" t="s">
        <v>14989</v>
      </c>
      <c r="AB5797" t="s">
        <v>19300</v>
      </c>
      <c r="AC5797">
        <v>131</v>
      </c>
      <c r="AD5797" t="s">
        <v>19566</v>
      </c>
      <c r="AE5797" t="s">
        <v>9144</v>
      </c>
      <c r="AF5797">
        <v>20</v>
      </c>
      <c r="AG5797">
        <v>3</v>
      </c>
      <c r="AH5797">
        <v>0</v>
      </c>
      <c r="AI5797">
        <v>337.55</v>
      </c>
      <c r="AL5797" t="s">
        <v>19614</v>
      </c>
      <c r="AM5797">
        <v>72000</v>
      </c>
      <c r="AS5797">
        <v>0</v>
      </c>
      <c r="AU5797" t="s">
        <v>163</v>
      </c>
      <c r="AV5797" t="s">
        <v>20733</v>
      </c>
    </row>
    <row r="5798" spans="1:48">
      <c r="A5798" s="1">
        <f>HYPERLINK("https://lsnyc.legalserver.org/matter/dynamic-profile/view/1842840","17-1842840")</f>
        <v>0</v>
      </c>
      <c r="B5798" t="s">
        <v>122</v>
      </c>
      <c r="C5798" t="s">
        <v>257</v>
      </c>
      <c r="D5798" t="s">
        <v>480</v>
      </c>
      <c r="E5798" t="s">
        <v>414</v>
      </c>
      <c r="F5798" t="s">
        <v>2107</v>
      </c>
      <c r="G5798" t="s">
        <v>5496</v>
      </c>
      <c r="H5798" t="s">
        <v>5911</v>
      </c>
      <c r="I5798" t="s">
        <v>8994</v>
      </c>
      <c r="J5798" t="s">
        <v>9066</v>
      </c>
      <c r="K5798">
        <v>10314</v>
      </c>
      <c r="L5798" t="s">
        <v>9094</v>
      </c>
      <c r="M5798" t="s">
        <v>9095</v>
      </c>
      <c r="N5798" t="s">
        <v>9260</v>
      </c>
      <c r="O5798" t="s">
        <v>11135</v>
      </c>
      <c r="P5798" t="s">
        <v>11168</v>
      </c>
      <c r="Q5798" t="s">
        <v>11177</v>
      </c>
      <c r="R5798" t="s">
        <v>11180</v>
      </c>
      <c r="S5798" t="s">
        <v>9094</v>
      </c>
      <c r="T5798" t="s">
        <v>11183</v>
      </c>
      <c r="U5798" t="s">
        <v>11201</v>
      </c>
      <c r="V5798" t="s">
        <v>712</v>
      </c>
      <c r="W5798">
        <v>1500</v>
      </c>
      <c r="X5798" t="s">
        <v>11334</v>
      </c>
      <c r="Y5798" t="s">
        <v>11339</v>
      </c>
      <c r="Z5798" t="s">
        <v>12935</v>
      </c>
      <c r="AB5798" t="s">
        <v>19301</v>
      </c>
      <c r="AC5798">
        <v>96</v>
      </c>
      <c r="AD5798" t="s">
        <v>19566</v>
      </c>
      <c r="AE5798" t="s">
        <v>9144</v>
      </c>
      <c r="AF5798">
        <v>4</v>
      </c>
      <c r="AG5798">
        <v>1</v>
      </c>
      <c r="AH5798">
        <v>0</v>
      </c>
      <c r="AI5798">
        <v>338.31</v>
      </c>
      <c r="AJ5798" t="s">
        <v>19603</v>
      </c>
      <c r="AL5798" t="s">
        <v>19614</v>
      </c>
      <c r="AM5798">
        <v>40800</v>
      </c>
      <c r="AO5798" t="s">
        <v>20293</v>
      </c>
      <c r="AP5798" t="s">
        <v>20316</v>
      </c>
      <c r="AQ5798" t="s">
        <v>20369</v>
      </c>
      <c r="AR5798" t="s">
        <v>20385</v>
      </c>
      <c r="AS5798">
        <v>0.8</v>
      </c>
      <c r="AT5798" t="s">
        <v>414</v>
      </c>
      <c r="AU5798" t="s">
        <v>20651</v>
      </c>
      <c r="AV5798" t="s">
        <v>20733</v>
      </c>
    </row>
    <row r="5799" spans="1:48">
      <c r="A5799" s="1">
        <f>HYPERLINK("https://lsnyc.legalserver.org/matter/dynamic-profile/view/0831584","17-0831584")</f>
        <v>0</v>
      </c>
      <c r="B5799" t="s">
        <v>136</v>
      </c>
      <c r="C5799" t="s">
        <v>257</v>
      </c>
      <c r="D5799" t="s">
        <v>661</v>
      </c>
      <c r="E5799" t="s">
        <v>377</v>
      </c>
      <c r="F5799" t="s">
        <v>1883</v>
      </c>
      <c r="G5799" t="s">
        <v>4660</v>
      </c>
      <c r="H5799" t="s">
        <v>7686</v>
      </c>
      <c r="I5799" t="s">
        <v>8119</v>
      </c>
      <c r="J5799" t="s">
        <v>9067</v>
      </c>
      <c r="K5799">
        <v>10034</v>
      </c>
      <c r="L5799" t="s">
        <v>9095</v>
      </c>
      <c r="M5799" t="s">
        <v>9095</v>
      </c>
      <c r="O5799" t="s">
        <v>9121</v>
      </c>
      <c r="P5799" t="s">
        <v>11164</v>
      </c>
      <c r="Q5799" t="s">
        <v>11172</v>
      </c>
      <c r="R5799" t="s">
        <v>11180</v>
      </c>
      <c r="S5799" t="s">
        <v>9096</v>
      </c>
      <c r="T5799" t="s">
        <v>11183</v>
      </c>
      <c r="V5799" t="s">
        <v>661</v>
      </c>
      <c r="W5799">
        <v>884</v>
      </c>
      <c r="X5799" t="s">
        <v>11335</v>
      </c>
      <c r="Y5799" t="s">
        <v>11346</v>
      </c>
      <c r="Z5799" t="s">
        <v>14990</v>
      </c>
      <c r="AB5799" t="s">
        <v>19302</v>
      </c>
      <c r="AC5799">
        <v>256</v>
      </c>
      <c r="AD5799" t="s">
        <v>19566</v>
      </c>
      <c r="AE5799" t="s">
        <v>9144</v>
      </c>
      <c r="AF5799">
        <v>4</v>
      </c>
      <c r="AG5799">
        <v>1</v>
      </c>
      <c r="AH5799">
        <v>0</v>
      </c>
      <c r="AI5799">
        <v>339</v>
      </c>
      <c r="AL5799" t="s">
        <v>19614</v>
      </c>
      <c r="AM5799">
        <v>40884</v>
      </c>
      <c r="AS5799">
        <v>0.8</v>
      </c>
      <c r="AT5799" t="s">
        <v>1106</v>
      </c>
      <c r="AU5799" t="s">
        <v>20627</v>
      </c>
    </row>
    <row r="5800" spans="1:48">
      <c r="A5800" s="1">
        <f>HYPERLINK("https://lsnyc.legalserver.org/matter/dynamic-profile/view/1898330","19-1898330")</f>
        <v>0</v>
      </c>
      <c r="B5800" t="s">
        <v>101</v>
      </c>
      <c r="C5800" t="s">
        <v>256</v>
      </c>
      <c r="D5800" t="s">
        <v>596</v>
      </c>
      <c r="F5800" t="s">
        <v>1370</v>
      </c>
      <c r="G5800" t="s">
        <v>5497</v>
      </c>
      <c r="H5800" t="s">
        <v>6383</v>
      </c>
      <c r="I5800" t="s">
        <v>8140</v>
      </c>
      <c r="J5800" t="s">
        <v>9065</v>
      </c>
      <c r="K5800">
        <v>10467</v>
      </c>
      <c r="L5800" t="s">
        <v>9094</v>
      </c>
      <c r="M5800" t="s">
        <v>9094</v>
      </c>
      <c r="N5800" t="s">
        <v>11076</v>
      </c>
      <c r="O5800" t="s">
        <v>11134</v>
      </c>
      <c r="P5800" t="s">
        <v>11168</v>
      </c>
      <c r="R5800" t="s">
        <v>11180</v>
      </c>
      <c r="S5800" t="s">
        <v>9094</v>
      </c>
      <c r="T5800" t="s">
        <v>11183</v>
      </c>
      <c r="W5800">
        <v>752</v>
      </c>
      <c r="X5800" t="s">
        <v>11333</v>
      </c>
      <c r="Y5800" t="s">
        <v>11346</v>
      </c>
      <c r="Z5800" t="s">
        <v>14991</v>
      </c>
      <c r="AB5800" t="s">
        <v>19303</v>
      </c>
      <c r="AC5800">
        <v>60</v>
      </c>
      <c r="AD5800" t="s">
        <v>19566</v>
      </c>
      <c r="AE5800" t="s">
        <v>9144</v>
      </c>
      <c r="AF5800">
        <v>19</v>
      </c>
      <c r="AG5800">
        <v>1</v>
      </c>
      <c r="AH5800">
        <v>0</v>
      </c>
      <c r="AI5800">
        <v>340.27</v>
      </c>
      <c r="AL5800" t="s">
        <v>19614</v>
      </c>
      <c r="AM5800">
        <v>42500</v>
      </c>
      <c r="AN5800" t="s">
        <v>20185</v>
      </c>
      <c r="AS5800">
        <v>0</v>
      </c>
      <c r="AU5800" t="s">
        <v>20642</v>
      </c>
      <c r="AV5800" t="s">
        <v>20733</v>
      </c>
    </row>
    <row r="5801" spans="1:48">
      <c r="A5801" s="1">
        <f>HYPERLINK("https://lsnyc.legalserver.org/matter/dynamic-profile/view/1910518","19-1910518")</f>
        <v>0</v>
      </c>
      <c r="B5801" t="s">
        <v>114</v>
      </c>
      <c r="C5801" t="s">
        <v>256</v>
      </c>
      <c r="D5801" t="s">
        <v>320</v>
      </c>
      <c r="F5801" t="s">
        <v>1370</v>
      </c>
      <c r="G5801" t="s">
        <v>5497</v>
      </c>
      <c r="H5801" t="s">
        <v>6383</v>
      </c>
      <c r="I5801" t="s">
        <v>8140</v>
      </c>
      <c r="J5801" t="s">
        <v>9065</v>
      </c>
      <c r="K5801">
        <v>10467</v>
      </c>
      <c r="L5801" t="s">
        <v>9094</v>
      </c>
      <c r="M5801" t="s">
        <v>9095</v>
      </c>
      <c r="N5801" t="s">
        <v>11077</v>
      </c>
      <c r="O5801" t="s">
        <v>11128</v>
      </c>
      <c r="R5801" t="s">
        <v>11180</v>
      </c>
      <c r="S5801" t="s">
        <v>9096</v>
      </c>
      <c r="T5801" t="s">
        <v>11183</v>
      </c>
      <c r="W5801">
        <v>752</v>
      </c>
      <c r="X5801" t="s">
        <v>11333</v>
      </c>
      <c r="Y5801" t="s">
        <v>11340</v>
      </c>
      <c r="Z5801" t="s">
        <v>14991</v>
      </c>
      <c r="AB5801" t="s">
        <v>19303</v>
      </c>
      <c r="AC5801">
        <v>59</v>
      </c>
      <c r="AD5801" t="s">
        <v>19566</v>
      </c>
      <c r="AE5801" t="s">
        <v>9144</v>
      </c>
      <c r="AF5801">
        <v>19</v>
      </c>
      <c r="AG5801">
        <v>1</v>
      </c>
      <c r="AH5801">
        <v>0</v>
      </c>
      <c r="AI5801">
        <v>340.27</v>
      </c>
      <c r="AL5801" t="s">
        <v>19614</v>
      </c>
      <c r="AM5801">
        <v>42500</v>
      </c>
      <c r="AS5801">
        <v>6.1</v>
      </c>
      <c r="AT5801" t="s">
        <v>487</v>
      </c>
      <c r="AU5801" t="s">
        <v>20642</v>
      </c>
      <c r="AV5801" t="s">
        <v>20733</v>
      </c>
    </row>
    <row r="5802" spans="1:48">
      <c r="A5802" s="1">
        <f>HYPERLINK("https://lsnyc.legalserver.org/matter/dynamic-profile/view/1898235","19-1898235")</f>
        <v>0</v>
      </c>
      <c r="B5802" t="s">
        <v>101</v>
      </c>
      <c r="C5802" t="s">
        <v>256</v>
      </c>
      <c r="D5802" t="s">
        <v>596</v>
      </c>
      <c r="F5802" t="s">
        <v>1370</v>
      </c>
      <c r="G5802" t="s">
        <v>5497</v>
      </c>
      <c r="H5802" t="s">
        <v>6383</v>
      </c>
      <c r="I5802" t="s">
        <v>8140</v>
      </c>
      <c r="J5802" t="s">
        <v>9065</v>
      </c>
      <c r="K5802">
        <v>10467</v>
      </c>
      <c r="L5802" t="s">
        <v>9094</v>
      </c>
      <c r="M5802" t="s">
        <v>9094</v>
      </c>
      <c r="O5802" t="s">
        <v>11137</v>
      </c>
      <c r="P5802" t="s">
        <v>11166</v>
      </c>
      <c r="R5802" t="s">
        <v>11180</v>
      </c>
      <c r="S5802" t="s">
        <v>9094</v>
      </c>
      <c r="T5802" t="s">
        <v>11183</v>
      </c>
      <c r="V5802" t="s">
        <v>286</v>
      </c>
      <c r="W5802">
        <v>752</v>
      </c>
      <c r="X5802" t="s">
        <v>11333</v>
      </c>
      <c r="Y5802" t="s">
        <v>11340</v>
      </c>
      <c r="Z5802" t="s">
        <v>14991</v>
      </c>
      <c r="AB5802" t="s">
        <v>19303</v>
      </c>
      <c r="AC5802">
        <v>59</v>
      </c>
      <c r="AD5802" t="s">
        <v>19566</v>
      </c>
      <c r="AE5802" t="s">
        <v>9144</v>
      </c>
      <c r="AF5802">
        <v>19</v>
      </c>
      <c r="AG5802">
        <v>1</v>
      </c>
      <c r="AH5802">
        <v>0</v>
      </c>
      <c r="AI5802">
        <v>340.27</v>
      </c>
      <c r="AL5802" t="s">
        <v>19614</v>
      </c>
      <c r="AM5802">
        <v>42500</v>
      </c>
      <c r="AN5802" t="s">
        <v>20186</v>
      </c>
      <c r="AS5802">
        <v>0</v>
      </c>
      <c r="AU5802" t="s">
        <v>20642</v>
      </c>
      <c r="AV5802" t="s">
        <v>20733</v>
      </c>
    </row>
    <row r="5803" spans="1:48">
      <c r="A5803" s="1">
        <f>HYPERLINK("https://lsnyc.legalserver.org/matter/dynamic-profile/view/1901021","19-1901021")</f>
        <v>0</v>
      </c>
      <c r="B5803" t="s">
        <v>240</v>
      </c>
      <c r="C5803" t="s">
        <v>256</v>
      </c>
      <c r="D5803" t="s">
        <v>445</v>
      </c>
      <c r="F5803" t="s">
        <v>1777</v>
      </c>
      <c r="G5803" t="s">
        <v>5498</v>
      </c>
      <c r="H5803" t="s">
        <v>5961</v>
      </c>
      <c r="I5803">
        <v>801</v>
      </c>
      <c r="J5803" t="s">
        <v>9067</v>
      </c>
      <c r="K5803">
        <v>10029</v>
      </c>
      <c r="L5803" t="s">
        <v>9094</v>
      </c>
      <c r="M5803" t="s">
        <v>9095</v>
      </c>
      <c r="O5803" t="s">
        <v>11131</v>
      </c>
      <c r="P5803" t="s">
        <v>11166</v>
      </c>
      <c r="R5803" t="s">
        <v>11180</v>
      </c>
      <c r="S5803" t="s">
        <v>9096</v>
      </c>
      <c r="T5803" t="s">
        <v>11191</v>
      </c>
      <c r="U5803" t="s">
        <v>11201</v>
      </c>
      <c r="V5803" t="s">
        <v>445</v>
      </c>
      <c r="W5803">
        <v>987</v>
      </c>
      <c r="X5803" t="s">
        <v>11335</v>
      </c>
      <c r="Y5803" t="s">
        <v>11347</v>
      </c>
      <c r="Z5803" t="s">
        <v>14992</v>
      </c>
      <c r="AB5803" t="s">
        <v>19304</v>
      </c>
      <c r="AC5803">
        <v>108</v>
      </c>
      <c r="AD5803" t="s">
        <v>19567</v>
      </c>
      <c r="AE5803" t="s">
        <v>19580</v>
      </c>
      <c r="AF5803">
        <v>20</v>
      </c>
      <c r="AG5803">
        <v>1</v>
      </c>
      <c r="AH5803">
        <v>0</v>
      </c>
      <c r="AI5803">
        <v>340.27</v>
      </c>
      <c r="AL5803" t="s">
        <v>19614</v>
      </c>
      <c r="AM5803">
        <v>42500</v>
      </c>
      <c r="AS5803">
        <v>8.5</v>
      </c>
      <c r="AT5803" t="s">
        <v>457</v>
      </c>
      <c r="AU5803" t="s">
        <v>20657</v>
      </c>
      <c r="AV5803" t="s">
        <v>20733</v>
      </c>
    </row>
    <row r="5804" spans="1:48">
      <c r="A5804" s="1">
        <f>HYPERLINK("https://lsnyc.legalserver.org/matter/dynamic-profile/view/1896342","19-1896342")</f>
        <v>0</v>
      </c>
      <c r="B5804" t="s">
        <v>52</v>
      </c>
      <c r="C5804" t="s">
        <v>257</v>
      </c>
      <c r="D5804" t="s">
        <v>350</v>
      </c>
      <c r="E5804" t="s">
        <v>1016</v>
      </c>
      <c r="F5804" t="s">
        <v>1247</v>
      </c>
      <c r="G5804" t="s">
        <v>3332</v>
      </c>
      <c r="H5804" t="s">
        <v>5692</v>
      </c>
      <c r="I5804">
        <v>10</v>
      </c>
      <c r="J5804" t="s">
        <v>9038</v>
      </c>
      <c r="K5804">
        <v>11691</v>
      </c>
      <c r="L5804" t="s">
        <v>9094</v>
      </c>
      <c r="M5804" t="s">
        <v>9094</v>
      </c>
      <c r="O5804" t="s">
        <v>11134</v>
      </c>
      <c r="P5804" t="s">
        <v>11167</v>
      </c>
      <c r="Q5804" t="s">
        <v>11173</v>
      </c>
      <c r="R5804" t="s">
        <v>11180</v>
      </c>
      <c r="S5804" t="s">
        <v>9094</v>
      </c>
      <c r="T5804" t="s">
        <v>11183</v>
      </c>
      <c r="U5804" t="s">
        <v>11201</v>
      </c>
      <c r="V5804" t="s">
        <v>350</v>
      </c>
      <c r="W5804">
        <v>660</v>
      </c>
      <c r="X5804" t="s">
        <v>11331</v>
      </c>
      <c r="Y5804" t="s">
        <v>11339</v>
      </c>
      <c r="Z5804" t="s">
        <v>14993</v>
      </c>
      <c r="AA5804" t="s">
        <v>15274</v>
      </c>
      <c r="AB5804" t="s">
        <v>19305</v>
      </c>
      <c r="AC5804">
        <v>43</v>
      </c>
      <c r="AD5804" t="s">
        <v>19566</v>
      </c>
      <c r="AE5804" t="s">
        <v>9144</v>
      </c>
      <c r="AF5804">
        <v>10</v>
      </c>
      <c r="AG5804">
        <v>2</v>
      </c>
      <c r="AH5804">
        <v>0</v>
      </c>
      <c r="AI5804">
        <v>340.63</v>
      </c>
      <c r="AL5804" t="s">
        <v>19614</v>
      </c>
      <c r="AM5804">
        <v>57600</v>
      </c>
      <c r="AS5804">
        <v>0.1</v>
      </c>
      <c r="AT5804" t="s">
        <v>1016</v>
      </c>
      <c r="AU5804" t="s">
        <v>20622</v>
      </c>
      <c r="AV5804" t="s">
        <v>20733</v>
      </c>
    </row>
    <row r="5805" spans="1:48">
      <c r="A5805" s="1">
        <f>HYPERLINK("https://lsnyc.legalserver.org/matter/dynamic-profile/view/1896347","19-1896347")</f>
        <v>0</v>
      </c>
      <c r="B5805" t="s">
        <v>52</v>
      </c>
      <c r="C5805" t="s">
        <v>256</v>
      </c>
      <c r="D5805" t="s">
        <v>350</v>
      </c>
      <c r="F5805" t="s">
        <v>1247</v>
      </c>
      <c r="G5805" t="s">
        <v>3332</v>
      </c>
      <c r="H5805" t="s">
        <v>5692</v>
      </c>
      <c r="I5805">
        <v>10</v>
      </c>
      <c r="J5805" t="s">
        <v>9038</v>
      </c>
      <c r="K5805">
        <v>11691</v>
      </c>
      <c r="L5805" t="s">
        <v>9094</v>
      </c>
      <c r="M5805" t="s">
        <v>9094</v>
      </c>
      <c r="O5805" t="s">
        <v>11136</v>
      </c>
      <c r="P5805" t="s">
        <v>11167</v>
      </c>
      <c r="R5805" t="s">
        <v>11180</v>
      </c>
      <c r="S5805" t="s">
        <v>9094</v>
      </c>
      <c r="T5805" t="s">
        <v>11183</v>
      </c>
      <c r="V5805" t="s">
        <v>350</v>
      </c>
      <c r="W5805">
        <v>660</v>
      </c>
      <c r="X5805" t="s">
        <v>11331</v>
      </c>
      <c r="Y5805" t="s">
        <v>11339</v>
      </c>
      <c r="Z5805" t="s">
        <v>14993</v>
      </c>
      <c r="AA5805" t="s">
        <v>15274</v>
      </c>
      <c r="AB5805" t="s">
        <v>19305</v>
      </c>
      <c r="AC5805">
        <v>43</v>
      </c>
      <c r="AD5805" t="s">
        <v>19566</v>
      </c>
      <c r="AE5805" t="s">
        <v>9144</v>
      </c>
      <c r="AF5805">
        <v>10</v>
      </c>
      <c r="AG5805">
        <v>2</v>
      </c>
      <c r="AH5805">
        <v>0</v>
      </c>
      <c r="AI5805">
        <v>340.63</v>
      </c>
      <c r="AL5805" t="s">
        <v>19614</v>
      </c>
      <c r="AM5805">
        <v>57600</v>
      </c>
      <c r="AS5805">
        <v>0</v>
      </c>
      <c r="AU5805" t="s">
        <v>20622</v>
      </c>
    </row>
    <row r="5806" spans="1:48">
      <c r="A5806" s="1">
        <f>HYPERLINK("https://lsnyc.legalserver.org/matter/dynamic-profile/view/1915501","19-1915501")</f>
        <v>0</v>
      </c>
      <c r="B5806" t="s">
        <v>86</v>
      </c>
      <c r="C5806" t="s">
        <v>256</v>
      </c>
      <c r="D5806" t="s">
        <v>1123</v>
      </c>
      <c r="F5806" t="s">
        <v>1963</v>
      </c>
      <c r="G5806" t="s">
        <v>4658</v>
      </c>
      <c r="H5806" t="s">
        <v>6097</v>
      </c>
      <c r="I5806" t="s">
        <v>8135</v>
      </c>
      <c r="J5806" t="s">
        <v>9059</v>
      </c>
      <c r="K5806">
        <v>11226</v>
      </c>
      <c r="L5806" t="s">
        <v>9094</v>
      </c>
      <c r="M5806" t="s">
        <v>9095</v>
      </c>
      <c r="O5806" t="s">
        <v>11137</v>
      </c>
      <c r="P5806" t="s">
        <v>11166</v>
      </c>
      <c r="R5806" t="s">
        <v>11180</v>
      </c>
      <c r="S5806" t="s">
        <v>9094</v>
      </c>
      <c r="T5806" t="s">
        <v>11183</v>
      </c>
      <c r="V5806" t="s">
        <v>377</v>
      </c>
      <c r="W5806">
        <v>0</v>
      </c>
      <c r="X5806" t="s">
        <v>11332</v>
      </c>
      <c r="Z5806" t="s">
        <v>13426</v>
      </c>
      <c r="AC5806">
        <v>0</v>
      </c>
      <c r="AF5806">
        <v>0</v>
      </c>
      <c r="AG5806">
        <v>2</v>
      </c>
      <c r="AH5806">
        <v>0</v>
      </c>
      <c r="AI5806">
        <v>340.8</v>
      </c>
      <c r="AM5806">
        <v>57630</v>
      </c>
      <c r="AS5806">
        <v>0</v>
      </c>
      <c r="AU5806" t="s">
        <v>215</v>
      </c>
      <c r="AV5806" t="s">
        <v>20733</v>
      </c>
    </row>
    <row r="5807" spans="1:48">
      <c r="A5807" s="1">
        <f>HYPERLINK("https://lsnyc.legalserver.org/matter/dynamic-profile/view/1899910","19-1899910")</f>
        <v>0</v>
      </c>
      <c r="B5807" t="s">
        <v>108</v>
      </c>
      <c r="C5807" t="s">
        <v>256</v>
      </c>
      <c r="D5807" t="s">
        <v>411</v>
      </c>
      <c r="F5807" t="s">
        <v>3192</v>
      </c>
      <c r="G5807" t="s">
        <v>3699</v>
      </c>
      <c r="H5807" t="s">
        <v>7248</v>
      </c>
      <c r="I5807" t="s">
        <v>8475</v>
      </c>
      <c r="J5807" t="s">
        <v>9065</v>
      </c>
      <c r="K5807">
        <v>10467</v>
      </c>
      <c r="L5807" t="s">
        <v>9094</v>
      </c>
      <c r="M5807" t="s">
        <v>9095</v>
      </c>
      <c r="N5807" t="s">
        <v>11078</v>
      </c>
      <c r="O5807" t="s">
        <v>11151</v>
      </c>
      <c r="P5807" t="s">
        <v>11168</v>
      </c>
      <c r="R5807" t="s">
        <v>11180</v>
      </c>
      <c r="S5807" t="s">
        <v>9096</v>
      </c>
      <c r="T5807" t="s">
        <v>11190</v>
      </c>
      <c r="V5807" t="s">
        <v>411</v>
      </c>
      <c r="W5807">
        <v>1350</v>
      </c>
      <c r="X5807" t="s">
        <v>11333</v>
      </c>
      <c r="Y5807" t="s">
        <v>11338</v>
      </c>
      <c r="Z5807" t="s">
        <v>14969</v>
      </c>
      <c r="AB5807" t="s">
        <v>19280</v>
      </c>
      <c r="AC5807">
        <v>0</v>
      </c>
      <c r="AD5807" t="s">
        <v>19565</v>
      </c>
      <c r="AE5807" t="s">
        <v>19580</v>
      </c>
      <c r="AF5807">
        <v>18</v>
      </c>
      <c r="AG5807">
        <v>1</v>
      </c>
      <c r="AH5807">
        <v>0</v>
      </c>
      <c r="AI5807">
        <v>340.83</v>
      </c>
      <c r="AJ5807" t="s">
        <v>265</v>
      </c>
      <c r="AK5807" t="s">
        <v>19612</v>
      </c>
      <c r="AL5807" t="s">
        <v>19614</v>
      </c>
      <c r="AM5807">
        <v>42570</v>
      </c>
      <c r="AN5807" t="s">
        <v>20187</v>
      </c>
      <c r="AS5807">
        <v>2.6</v>
      </c>
      <c r="AT5807" t="s">
        <v>265</v>
      </c>
      <c r="AU5807" t="s">
        <v>108</v>
      </c>
      <c r="AV5807" t="s">
        <v>20733</v>
      </c>
    </row>
    <row r="5808" spans="1:48">
      <c r="A5808" s="1">
        <f>HYPERLINK("https://lsnyc.legalserver.org/matter/dynamic-profile/view/1884532","18-1884532")</f>
        <v>0</v>
      </c>
      <c r="B5808" t="s">
        <v>114</v>
      </c>
      <c r="C5808" t="s">
        <v>257</v>
      </c>
      <c r="D5808" t="s">
        <v>1111</v>
      </c>
      <c r="E5808" t="s">
        <v>263</v>
      </c>
      <c r="F5808" t="s">
        <v>1370</v>
      </c>
      <c r="G5808" t="s">
        <v>4143</v>
      </c>
      <c r="H5808" t="s">
        <v>5907</v>
      </c>
      <c r="I5808" t="s">
        <v>8995</v>
      </c>
      <c r="J5808" t="s">
        <v>9065</v>
      </c>
      <c r="K5808">
        <v>10451</v>
      </c>
      <c r="L5808" t="s">
        <v>9094</v>
      </c>
      <c r="M5808" t="s">
        <v>9094</v>
      </c>
      <c r="N5808" t="s">
        <v>9259</v>
      </c>
      <c r="O5808" t="s">
        <v>11130</v>
      </c>
      <c r="P5808" t="s">
        <v>11165</v>
      </c>
      <c r="Q5808" t="s">
        <v>11174</v>
      </c>
      <c r="R5808" t="s">
        <v>11180</v>
      </c>
      <c r="S5808" t="s">
        <v>9094</v>
      </c>
      <c r="T5808" t="s">
        <v>11183</v>
      </c>
      <c r="V5808" t="s">
        <v>738</v>
      </c>
      <c r="W5808">
        <v>1750</v>
      </c>
      <c r="X5808" t="s">
        <v>11333</v>
      </c>
      <c r="Y5808" t="s">
        <v>11346</v>
      </c>
      <c r="Z5808" t="s">
        <v>14170</v>
      </c>
      <c r="AB5808" t="s">
        <v>19306</v>
      </c>
      <c r="AC5808">
        <v>100</v>
      </c>
      <c r="AD5808" t="s">
        <v>19569</v>
      </c>
      <c r="AE5808" t="s">
        <v>9144</v>
      </c>
      <c r="AF5808">
        <v>2</v>
      </c>
      <c r="AG5808">
        <v>4</v>
      </c>
      <c r="AH5808">
        <v>0</v>
      </c>
      <c r="AI5808">
        <v>341.04</v>
      </c>
      <c r="AL5808" t="s">
        <v>19615</v>
      </c>
      <c r="AM5808">
        <v>85600</v>
      </c>
      <c r="AS5808">
        <v>0.25</v>
      </c>
      <c r="AT5808" t="s">
        <v>263</v>
      </c>
      <c r="AU5808" t="s">
        <v>163</v>
      </c>
    </row>
    <row r="5809" spans="1:48">
      <c r="A5809" s="1">
        <f>HYPERLINK("https://lsnyc.legalserver.org/matter/dynamic-profile/view/1885359","18-1885359")</f>
        <v>0</v>
      </c>
      <c r="B5809" t="s">
        <v>111</v>
      </c>
      <c r="C5809" t="s">
        <v>256</v>
      </c>
      <c r="D5809" t="s">
        <v>848</v>
      </c>
      <c r="F5809" t="s">
        <v>1891</v>
      </c>
      <c r="G5809" t="s">
        <v>3686</v>
      </c>
      <c r="H5809" t="s">
        <v>6370</v>
      </c>
      <c r="I5809" t="s">
        <v>8419</v>
      </c>
      <c r="J5809" t="s">
        <v>9065</v>
      </c>
      <c r="K5809">
        <v>10463</v>
      </c>
      <c r="L5809" t="s">
        <v>9094</v>
      </c>
      <c r="M5809" t="s">
        <v>9094</v>
      </c>
      <c r="N5809" t="s">
        <v>9673</v>
      </c>
      <c r="O5809" t="s">
        <v>11130</v>
      </c>
      <c r="P5809" t="s">
        <v>11165</v>
      </c>
      <c r="R5809" t="s">
        <v>11180</v>
      </c>
      <c r="S5809" t="s">
        <v>9094</v>
      </c>
      <c r="T5809" t="s">
        <v>11183</v>
      </c>
      <c r="V5809" t="s">
        <v>738</v>
      </c>
      <c r="W5809">
        <v>1047.38</v>
      </c>
      <c r="X5809" t="s">
        <v>11333</v>
      </c>
      <c r="Y5809" t="s">
        <v>11346</v>
      </c>
      <c r="Z5809" t="s">
        <v>14069</v>
      </c>
      <c r="AC5809">
        <v>55</v>
      </c>
      <c r="AD5809" t="s">
        <v>19566</v>
      </c>
      <c r="AE5809" t="s">
        <v>9144</v>
      </c>
      <c r="AF5809">
        <v>4</v>
      </c>
      <c r="AG5809">
        <v>1</v>
      </c>
      <c r="AH5809">
        <v>0</v>
      </c>
      <c r="AI5809">
        <v>342.77</v>
      </c>
      <c r="AL5809" t="s">
        <v>19614</v>
      </c>
      <c r="AM5809">
        <v>41611.74</v>
      </c>
      <c r="AN5809" t="s">
        <v>19819</v>
      </c>
      <c r="AS5809">
        <v>0</v>
      </c>
      <c r="AU5809" t="s">
        <v>20647</v>
      </c>
    </row>
    <row r="5810" spans="1:48">
      <c r="A5810" s="1">
        <f>HYPERLINK("https://lsnyc.legalserver.org/matter/dynamic-profile/view/1847006","17-1847006")</f>
        <v>0</v>
      </c>
      <c r="B5810" t="s">
        <v>122</v>
      </c>
      <c r="C5810" t="s">
        <v>256</v>
      </c>
      <c r="D5810" t="s">
        <v>587</v>
      </c>
      <c r="F5810" t="s">
        <v>2107</v>
      </c>
      <c r="G5810" t="s">
        <v>3802</v>
      </c>
      <c r="H5810" t="s">
        <v>7125</v>
      </c>
      <c r="I5810" t="s">
        <v>8191</v>
      </c>
      <c r="J5810" t="s">
        <v>9066</v>
      </c>
      <c r="K5810">
        <v>10301</v>
      </c>
      <c r="L5810" t="s">
        <v>9094</v>
      </c>
      <c r="M5810" t="s">
        <v>9094</v>
      </c>
      <c r="N5810" t="s">
        <v>9102</v>
      </c>
      <c r="O5810" t="s">
        <v>11137</v>
      </c>
      <c r="P5810" t="s">
        <v>11166</v>
      </c>
      <c r="R5810" t="s">
        <v>11180</v>
      </c>
      <c r="S5810" t="s">
        <v>9094</v>
      </c>
      <c r="T5810" t="s">
        <v>11183</v>
      </c>
      <c r="U5810" t="s">
        <v>11201</v>
      </c>
      <c r="V5810" t="s">
        <v>452</v>
      </c>
      <c r="W5810">
        <v>0</v>
      </c>
      <c r="X5810" t="s">
        <v>11334</v>
      </c>
      <c r="Y5810" t="s">
        <v>11340</v>
      </c>
      <c r="Z5810" t="s">
        <v>14994</v>
      </c>
      <c r="AB5810" t="s">
        <v>19307</v>
      </c>
      <c r="AC5810">
        <v>100</v>
      </c>
      <c r="AD5810" t="s">
        <v>19566</v>
      </c>
      <c r="AE5810" t="s">
        <v>9144</v>
      </c>
      <c r="AF5810">
        <v>3</v>
      </c>
      <c r="AG5810">
        <v>2</v>
      </c>
      <c r="AH5810">
        <v>1</v>
      </c>
      <c r="AI5810">
        <v>342.8</v>
      </c>
      <c r="AJ5810" t="s">
        <v>530</v>
      </c>
      <c r="AK5810" t="s">
        <v>19612</v>
      </c>
      <c r="AL5810" t="s">
        <v>19614</v>
      </c>
      <c r="AM5810">
        <v>70000</v>
      </c>
      <c r="AS5810">
        <v>2.2</v>
      </c>
      <c r="AT5810" t="s">
        <v>695</v>
      </c>
      <c r="AU5810" t="s">
        <v>128</v>
      </c>
    </row>
    <row r="5811" spans="1:48">
      <c r="A5811" s="1">
        <f>HYPERLINK("https://lsnyc.legalserver.org/matter/dynamic-profile/view/1892850","19-1892850")</f>
        <v>0</v>
      </c>
      <c r="B5811" t="s">
        <v>70</v>
      </c>
      <c r="C5811" t="s">
        <v>256</v>
      </c>
      <c r="D5811" t="s">
        <v>523</v>
      </c>
      <c r="F5811" t="s">
        <v>3205</v>
      </c>
      <c r="G5811" t="s">
        <v>3427</v>
      </c>
      <c r="H5811" t="s">
        <v>6474</v>
      </c>
      <c r="I5811" t="s">
        <v>8996</v>
      </c>
      <c r="J5811" t="s">
        <v>9059</v>
      </c>
      <c r="K5811">
        <v>11233</v>
      </c>
      <c r="L5811" t="s">
        <v>9094</v>
      </c>
      <c r="M5811" t="s">
        <v>9096</v>
      </c>
      <c r="N5811" t="s">
        <v>9146</v>
      </c>
      <c r="O5811" t="s">
        <v>11134</v>
      </c>
      <c r="P5811" t="s">
        <v>11168</v>
      </c>
      <c r="R5811" t="s">
        <v>11180</v>
      </c>
      <c r="S5811" t="s">
        <v>9094</v>
      </c>
      <c r="T5811" t="s">
        <v>11183</v>
      </c>
      <c r="U5811" t="s">
        <v>11201</v>
      </c>
      <c r="V5811" t="s">
        <v>482</v>
      </c>
      <c r="W5811">
        <v>833</v>
      </c>
      <c r="X5811" t="s">
        <v>11332</v>
      </c>
      <c r="Y5811" t="s">
        <v>11157</v>
      </c>
      <c r="Z5811" t="s">
        <v>14540</v>
      </c>
      <c r="AC5811">
        <v>359</v>
      </c>
      <c r="AD5811" t="s">
        <v>19566</v>
      </c>
      <c r="AF5811">
        <v>1</v>
      </c>
      <c r="AG5811">
        <v>1</v>
      </c>
      <c r="AH5811">
        <v>0</v>
      </c>
      <c r="AI5811">
        <v>344.28</v>
      </c>
      <c r="AJ5811" t="s">
        <v>546</v>
      </c>
      <c r="AK5811" t="s">
        <v>19612</v>
      </c>
      <c r="AL5811" t="s">
        <v>19614</v>
      </c>
      <c r="AM5811">
        <v>43000</v>
      </c>
      <c r="AN5811" t="s">
        <v>19642</v>
      </c>
      <c r="AS5811">
        <v>0</v>
      </c>
      <c r="AU5811" t="s">
        <v>79</v>
      </c>
    </row>
    <row r="5812" spans="1:48">
      <c r="A5812" s="1">
        <f>HYPERLINK("https://lsnyc.legalserver.org/matter/dynamic-profile/view/1892854","19-1892854")</f>
        <v>0</v>
      </c>
      <c r="B5812" t="s">
        <v>70</v>
      </c>
      <c r="C5812" t="s">
        <v>256</v>
      </c>
      <c r="D5812" t="s">
        <v>523</v>
      </c>
      <c r="F5812" t="s">
        <v>3205</v>
      </c>
      <c r="G5812" t="s">
        <v>3427</v>
      </c>
      <c r="H5812" t="s">
        <v>6474</v>
      </c>
      <c r="I5812" t="s">
        <v>8996</v>
      </c>
      <c r="J5812" t="s">
        <v>9059</v>
      </c>
      <c r="K5812">
        <v>11233</v>
      </c>
      <c r="L5812" t="s">
        <v>9094</v>
      </c>
      <c r="M5812" t="s">
        <v>9096</v>
      </c>
      <c r="O5812" t="s">
        <v>11137</v>
      </c>
      <c r="P5812" t="s">
        <v>11167</v>
      </c>
      <c r="R5812" t="s">
        <v>11180</v>
      </c>
      <c r="S5812" t="s">
        <v>9094</v>
      </c>
      <c r="T5812" t="s">
        <v>11183</v>
      </c>
      <c r="U5812" t="s">
        <v>11201</v>
      </c>
      <c r="V5812" t="s">
        <v>749</v>
      </c>
      <c r="W5812">
        <v>833</v>
      </c>
      <c r="X5812" t="s">
        <v>11332</v>
      </c>
      <c r="Y5812" t="s">
        <v>11157</v>
      </c>
      <c r="Z5812" t="s">
        <v>14540</v>
      </c>
      <c r="AC5812">
        <v>0</v>
      </c>
      <c r="AD5812" t="s">
        <v>19566</v>
      </c>
      <c r="AF5812">
        <v>1</v>
      </c>
      <c r="AG5812">
        <v>1</v>
      </c>
      <c r="AH5812">
        <v>0</v>
      </c>
      <c r="AI5812">
        <v>344.28</v>
      </c>
      <c r="AJ5812" t="s">
        <v>546</v>
      </c>
      <c r="AK5812" t="s">
        <v>19612</v>
      </c>
      <c r="AL5812" t="s">
        <v>19614</v>
      </c>
      <c r="AM5812">
        <v>43000</v>
      </c>
      <c r="AN5812" t="s">
        <v>20188</v>
      </c>
      <c r="AS5812">
        <v>0</v>
      </c>
      <c r="AU5812" t="s">
        <v>79</v>
      </c>
    </row>
    <row r="5813" spans="1:48">
      <c r="A5813" s="1">
        <f>HYPERLINK("https://lsnyc.legalserver.org/matter/dynamic-profile/view/1890779","19-1890779")</f>
        <v>0</v>
      </c>
      <c r="B5813" t="s">
        <v>119</v>
      </c>
      <c r="C5813" t="s">
        <v>256</v>
      </c>
      <c r="D5813" t="s">
        <v>381</v>
      </c>
      <c r="F5813" t="s">
        <v>1875</v>
      </c>
      <c r="G5813" t="s">
        <v>4022</v>
      </c>
      <c r="H5813" t="s">
        <v>5880</v>
      </c>
      <c r="I5813" t="s">
        <v>8160</v>
      </c>
      <c r="J5813" t="s">
        <v>9065</v>
      </c>
      <c r="K5813">
        <v>10456</v>
      </c>
      <c r="L5813" t="s">
        <v>9094</v>
      </c>
      <c r="M5813" t="s">
        <v>9094</v>
      </c>
      <c r="O5813" t="s">
        <v>9121</v>
      </c>
      <c r="P5813" t="s">
        <v>11164</v>
      </c>
      <c r="R5813" t="s">
        <v>11180</v>
      </c>
      <c r="S5813" t="s">
        <v>9094</v>
      </c>
      <c r="T5813" t="s">
        <v>11183</v>
      </c>
      <c r="V5813" t="s">
        <v>11218</v>
      </c>
      <c r="W5813">
        <v>1800</v>
      </c>
      <c r="X5813" t="s">
        <v>11333</v>
      </c>
      <c r="Y5813" t="s">
        <v>11347</v>
      </c>
      <c r="Z5813" t="s">
        <v>14995</v>
      </c>
      <c r="AC5813">
        <v>0</v>
      </c>
      <c r="AD5813" t="s">
        <v>19566</v>
      </c>
      <c r="AE5813" t="s">
        <v>9144</v>
      </c>
      <c r="AF5813">
        <v>28</v>
      </c>
      <c r="AG5813">
        <v>3</v>
      </c>
      <c r="AH5813">
        <v>0</v>
      </c>
      <c r="AI5813">
        <v>344.96</v>
      </c>
      <c r="AL5813" t="s">
        <v>19615</v>
      </c>
      <c r="AM5813">
        <v>73580</v>
      </c>
      <c r="AS5813">
        <v>0</v>
      </c>
      <c r="AU5813" t="s">
        <v>174</v>
      </c>
      <c r="AV5813" t="s">
        <v>20733</v>
      </c>
    </row>
    <row r="5814" spans="1:48">
      <c r="A5814" s="1">
        <f>HYPERLINK("https://lsnyc.legalserver.org/matter/dynamic-profile/view/1838143","17-1838143")</f>
        <v>0</v>
      </c>
      <c r="B5814" t="s">
        <v>103</v>
      </c>
      <c r="C5814" t="s">
        <v>256</v>
      </c>
      <c r="D5814" t="s">
        <v>277</v>
      </c>
      <c r="F5814" t="s">
        <v>1421</v>
      </c>
      <c r="G5814" t="s">
        <v>5499</v>
      </c>
      <c r="H5814" t="s">
        <v>6927</v>
      </c>
      <c r="I5814" t="s">
        <v>8997</v>
      </c>
      <c r="J5814" t="s">
        <v>9065</v>
      </c>
      <c r="K5814">
        <v>10473</v>
      </c>
      <c r="L5814" t="s">
        <v>9094</v>
      </c>
      <c r="M5814" t="s">
        <v>9095</v>
      </c>
      <c r="N5814" t="s">
        <v>10045</v>
      </c>
      <c r="O5814" t="s">
        <v>11135</v>
      </c>
      <c r="P5814" t="s">
        <v>11168</v>
      </c>
      <c r="R5814" t="s">
        <v>11180</v>
      </c>
      <c r="S5814" t="s">
        <v>9094</v>
      </c>
      <c r="T5814" t="s">
        <v>11183</v>
      </c>
      <c r="V5814" t="s">
        <v>11223</v>
      </c>
      <c r="W5814">
        <v>1137</v>
      </c>
      <c r="X5814" t="s">
        <v>11333</v>
      </c>
      <c r="Y5814" t="s">
        <v>11351</v>
      </c>
      <c r="Z5814" t="s">
        <v>14996</v>
      </c>
      <c r="AB5814" t="s">
        <v>19308</v>
      </c>
      <c r="AC5814">
        <v>976</v>
      </c>
      <c r="AD5814" t="s">
        <v>19566</v>
      </c>
      <c r="AE5814" t="s">
        <v>9144</v>
      </c>
      <c r="AF5814">
        <v>43</v>
      </c>
      <c r="AG5814">
        <v>3</v>
      </c>
      <c r="AH5814">
        <v>0</v>
      </c>
      <c r="AI5814">
        <v>345.54</v>
      </c>
      <c r="AJ5814" t="s">
        <v>936</v>
      </c>
      <c r="AL5814" t="s">
        <v>19614</v>
      </c>
      <c r="AM5814">
        <v>70560</v>
      </c>
      <c r="AS5814">
        <v>0</v>
      </c>
      <c r="AU5814" t="s">
        <v>20643</v>
      </c>
    </row>
    <row r="5815" spans="1:48">
      <c r="A5815" s="1">
        <f>HYPERLINK("https://lsnyc.legalserver.org/matter/dynamic-profile/view/1902986","19-1902986")</f>
        <v>0</v>
      </c>
      <c r="B5815" t="s">
        <v>157</v>
      </c>
      <c r="C5815" t="s">
        <v>257</v>
      </c>
      <c r="D5815" t="s">
        <v>403</v>
      </c>
      <c r="E5815" t="s">
        <v>297</v>
      </c>
      <c r="F5815" t="s">
        <v>1145</v>
      </c>
      <c r="G5815" t="s">
        <v>3473</v>
      </c>
      <c r="H5815" t="s">
        <v>8049</v>
      </c>
      <c r="I5815" t="s">
        <v>8475</v>
      </c>
      <c r="J5815" t="s">
        <v>9059</v>
      </c>
      <c r="K5815">
        <v>11216</v>
      </c>
      <c r="L5815" t="s">
        <v>9094</v>
      </c>
      <c r="M5815" t="s">
        <v>9095</v>
      </c>
      <c r="N5815" t="s">
        <v>11079</v>
      </c>
      <c r="O5815" t="s">
        <v>11141</v>
      </c>
      <c r="P5815" t="s">
        <v>11164</v>
      </c>
      <c r="Q5815" t="s">
        <v>11172</v>
      </c>
      <c r="R5815" t="s">
        <v>11180</v>
      </c>
      <c r="S5815" t="s">
        <v>9096</v>
      </c>
      <c r="T5815" t="s">
        <v>11193</v>
      </c>
      <c r="V5815" t="s">
        <v>497</v>
      </c>
      <c r="W5815">
        <v>0</v>
      </c>
      <c r="X5815" t="s">
        <v>11332</v>
      </c>
      <c r="Z5815" t="s">
        <v>14997</v>
      </c>
      <c r="AB5815" t="s">
        <v>19309</v>
      </c>
      <c r="AC5815">
        <v>65</v>
      </c>
      <c r="AF5815">
        <v>0</v>
      </c>
      <c r="AG5815">
        <v>1</v>
      </c>
      <c r="AH5815">
        <v>0</v>
      </c>
      <c r="AI5815">
        <v>345.88</v>
      </c>
      <c r="AL5815" t="s">
        <v>19614</v>
      </c>
      <c r="AM5815">
        <v>43200</v>
      </c>
      <c r="AS5815">
        <v>6.9</v>
      </c>
      <c r="AT5815" t="s">
        <v>297</v>
      </c>
      <c r="AU5815" t="s">
        <v>20660</v>
      </c>
      <c r="AV5815" t="s">
        <v>20733</v>
      </c>
    </row>
    <row r="5816" spans="1:48">
      <c r="A5816" s="1">
        <f>HYPERLINK("https://lsnyc.legalserver.org/matter/dynamic-profile/view/1887160","19-1887160")</f>
        <v>0</v>
      </c>
      <c r="B5816" t="s">
        <v>94</v>
      </c>
      <c r="C5816" t="s">
        <v>257</v>
      </c>
      <c r="D5816" t="s">
        <v>1124</v>
      </c>
      <c r="E5816" t="s">
        <v>333</v>
      </c>
      <c r="F5816" t="s">
        <v>1180</v>
      </c>
      <c r="G5816" t="s">
        <v>3332</v>
      </c>
      <c r="H5816" t="s">
        <v>6059</v>
      </c>
      <c r="I5816" t="s">
        <v>8160</v>
      </c>
      <c r="J5816" t="s">
        <v>9059</v>
      </c>
      <c r="K5816">
        <v>11212</v>
      </c>
      <c r="L5816" t="s">
        <v>9094</v>
      </c>
      <c r="M5816" t="s">
        <v>9094</v>
      </c>
      <c r="N5816" t="s">
        <v>11080</v>
      </c>
      <c r="O5816" t="s">
        <v>11129</v>
      </c>
      <c r="P5816" t="s">
        <v>11165</v>
      </c>
      <c r="Q5816" t="s">
        <v>11172</v>
      </c>
      <c r="R5816" t="s">
        <v>11180</v>
      </c>
      <c r="S5816" t="s">
        <v>9094</v>
      </c>
      <c r="T5816" t="s">
        <v>11183</v>
      </c>
      <c r="U5816" t="s">
        <v>11201</v>
      </c>
      <c r="V5816" t="s">
        <v>11325</v>
      </c>
      <c r="W5816">
        <v>1122</v>
      </c>
      <c r="X5816" t="s">
        <v>11332</v>
      </c>
      <c r="Y5816" t="s">
        <v>11339</v>
      </c>
      <c r="Z5816" t="s">
        <v>14881</v>
      </c>
      <c r="AC5816">
        <v>0</v>
      </c>
      <c r="AD5816" t="s">
        <v>19566</v>
      </c>
      <c r="AF5816">
        <v>3</v>
      </c>
      <c r="AG5816">
        <v>2</v>
      </c>
      <c r="AH5816">
        <v>0</v>
      </c>
      <c r="AI5816">
        <v>345.93</v>
      </c>
      <c r="AJ5816" t="s">
        <v>265</v>
      </c>
      <c r="AK5816" t="s">
        <v>19612</v>
      </c>
      <c r="AL5816" t="s">
        <v>19614</v>
      </c>
      <c r="AM5816">
        <v>56940</v>
      </c>
      <c r="AS5816">
        <v>26.3</v>
      </c>
      <c r="AT5816" t="s">
        <v>333</v>
      </c>
      <c r="AU5816" t="s">
        <v>75</v>
      </c>
    </row>
    <row r="5817" spans="1:48">
      <c r="A5817" s="1">
        <f>HYPERLINK("https://lsnyc.legalserver.org/matter/dynamic-profile/view/1886163","18-1886163")</f>
        <v>0</v>
      </c>
      <c r="B5817" t="s">
        <v>70</v>
      </c>
      <c r="C5817" t="s">
        <v>256</v>
      </c>
      <c r="D5817" t="s">
        <v>397</v>
      </c>
      <c r="F5817" t="s">
        <v>3203</v>
      </c>
      <c r="G5817" t="s">
        <v>5494</v>
      </c>
      <c r="H5817" t="s">
        <v>5748</v>
      </c>
      <c r="I5817" t="s">
        <v>8576</v>
      </c>
      <c r="J5817" t="s">
        <v>9059</v>
      </c>
      <c r="K5817">
        <v>11233</v>
      </c>
      <c r="L5817" t="s">
        <v>9094</v>
      </c>
      <c r="M5817" t="s">
        <v>9094</v>
      </c>
      <c r="N5817" t="s">
        <v>9145</v>
      </c>
      <c r="O5817" t="s">
        <v>11134</v>
      </c>
      <c r="P5817" t="s">
        <v>11168</v>
      </c>
      <c r="R5817" t="s">
        <v>11180</v>
      </c>
      <c r="S5817" t="s">
        <v>9094</v>
      </c>
      <c r="T5817" t="s">
        <v>11183</v>
      </c>
      <c r="U5817" t="s">
        <v>11201</v>
      </c>
      <c r="V5817" t="s">
        <v>746</v>
      </c>
      <c r="W5817">
        <v>583.25</v>
      </c>
      <c r="X5817" t="s">
        <v>11332</v>
      </c>
      <c r="Z5817" t="s">
        <v>14986</v>
      </c>
      <c r="AA5817" t="s">
        <v>9144</v>
      </c>
      <c r="AB5817" t="s">
        <v>19296</v>
      </c>
      <c r="AC5817">
        <v>764</v>
      </c>
      <c r="AD5817" t="s">
        <v>19566</v>
      </c>
      <c r="AE5817" t="s">
        <v>9144</v>
      </c>
      <c r="AF5817">
        <v>0</v>
      </c>
      <c r="AG5817">
        <v>1</v>
      </c>
      <c r="AH5817">
        <v>0</v>
      </c>
      <c r="AI5817">
        <v>345.96</v>
      </c>
      <c r="AL5817" t="s">
        <v>19614</v>
      </c>
      <c r="AM5817">
        <v>42000</v>
      </c>
      <c r="AS5817">
        <v>0</v>
      </c>
      <c r="AU5817" t="s">
        <v>95</v>
      </c>
    </row>
    <row r="5818" spans="1:48">
      <c r="A5818" s="1">
        <f>HYPERLINK("https://lsnyc.legalserver.org/matter/dynamic-profile/view/1885014","18-1885014")</f>
        <v>0</v>
      </c>
      <c r="B5818" t="s">
        <v>82</v>
      </c>
      <c r="C5818" t="s">
        <v>256</v>
      </c>
      <c r="D5818" t="s">
        <v>375</v>
      </c>
      <c r="F5818" t="s">
        <v>2594</v>
      </c>
      <c r="G5818" t="s">
        <v>3344</v>
      </c>
      <c r="H5818" t="s">
        <v>7157</v>
      </c>
      <c r="I5818" t="s">
        <v>8189</v>
      </c>
      <c r="J5818" t="s">
        <v>9059</v>
      </c>
      <c r="K5818">
        <v>11226</v>
      </c>
      <c r="L5818" t="s">
        <v>9094</v>
      </c>
      <c r="M5818" t="s">
        <v>9094</v>
      </c>
      <c r="N5818" t="s">
        <v>10532</v>
      </c>
      <c r="O5818" t="s">
        <v>11134</v>
      </c>
      <c r="P5818" t="s">
        <v>11169</v>
      </c>
      <c r="R5818" t="s">
        <v>11180</v>
      </c>
      <c r="S5818" t="s">
        <v>9094</v>
      </c>
      <c r="T5818" t="s">
        <v>11183</v>
      </c>
      <c r="V5818" t="s">
        <v>11236</v>
      </c>
      <c r="W5818">
        <v>1350</v>
      </c>
      <c r="X5818" t="s">
        <v>11332</v>
      </c>
      <c r="Y5818" t="s">
        <v>11346</v>
      </c>
      <c r="Z5818" t="s">
        <v>13724</v>
      </c>
      <c r="AC5818">
        <v>48</v>
      </c>
      <c r="AD5818" t="s">
        <v>19566</v>
      </c>
      <c r="AF5818">
        <v>10</v>
      </c>
      <c r="AG5818">
        <v>1</v>
      </c>
      <c r="AH5818">
        <v>2</v>
      </c>
      <c r="AI5818">
        <v>346.01</v>
      </c>
      <c r="AL5818" t="s">
        <v>19614</v>
      </c>
      <c r="AM5818">
        <v>71900</v>
      </c>
      <c r="AS5818">
        <v>0.4</v>
      </c>
      <c r="AT5818" t="s">
        <v>375</v>
      </c>
      <c r="AU5818" t="s">
        <v>215</v>
      </c>
    </row>
    <row r="5819" spans="1:48">
      <c r="A5819" s="1">
        <f>HYPERLINK("https://lsnyc.legalserver.org/matter/dynamic-profile/view/1886867","19-1886867")</f>
        <v>0</v>
      </c>
      <c r="B5819" t="s">
        <v>119</v>
      </c>
      <c r="C5819" t="s">
        <v>256</v>
      </c>
      <c r="D5819" t="s">
        <v>611</v>
      </c>
      <c r="F5819" t="s">
        <v>1255</v>
      </c>
      <c r="G5819" t="s">
        <v>4203</v>
      </c>
      <c r="H5819" t="s">
        <v>6095</v>
      </c>
      <c r="I5819" t="s">
        <v>8109</v>
      </c>
      <c r="J5819" t="s">
        <v>9065</v>
      </c>
      <c r="K5819">
        <v>10456</v>
      </c>
      <c r="L5819" t="s">
        <v>9094</v>
      </c>
      <c r="M5819" t="s">
        <v>9094</v>
      </c>
      <c r="N5819" t="s">
        <v>9401</v>
      </c>
      <c r="O5819" t="s">
        <v>11134</v>
      </c>
      <c r="P5819" t="s">
        <v>11168</v>
      </c>
      <c r="R5819" t="s">
        <v>11180</v>
      </c>
      <c r="S5819" t="s">
        <v>9094</v>
      </c>
      <c r="T5819" t="s">
        <v>11183</v>
      </c>
      <c r="V5819" t="s">
        <v>512</v>
      </c>
      <c r="W5819">
        <v>1035</v>
      </c>
      <c r="X5819" t="s">
        <v>11333</v>
      </c>
      <c r="Y5819" t="s">
        <v>11346</v>
      </c>
      <c r="Z5819" t="s">
        <v>14989</v>
      </c>
      <c r="AB5819" t="s">
        <v>19300</v>
      </c>
      <c r="AC5819">
        <v>131</v>
      </c>
      <c r="AD5819" t="s">
        <v>19566</v>
      </c>
      <c r="AE5819" t="s">
        <v>9144</v>
      </c>
      <c r="AF5819">
        <v>20</v>
      </c>
      <c r="AG5819">
        <v>3</v>
      </c>
      <c r="AH5819">
        <v>0</v>
      </c>
      <c r="AI5819">
        <v>346.49</v>
      </c>
      <c r="AL5819" t="s">
        <v>19614</v>
      </c>
      <c r="AM5819">
        <v>72000</v>
      </c>
      <c r="AS5819">
        <v>0</v>
      </c>
      <c r="AU5819" t="s">
        <v>163</v>
      </c>
    </row>
    <row r="5820" spans="1:48">
      <c r="A5820" s="1">
        <f>HYPERLINK("https://lsnyc.legalserver.org/matter/dynamic-profile/view/1870530","18-1870530")</f>
        <v>0</v>
      </c>
      <c r="B5820" t="s">
        <v>119</v>
      </c>
      <c r="C5820" t="s">
        <v>256</v>
      </c>
      <c r="D5820" t="s">
        <v>400</v>
      </c>
      <c r="F5820" t="s">
        <v>1255</v>
      </c>
      <c r="G5820" t="s">
        <v>4203</v>
      </c>
      <c r="H5820" t="s">
        <v>6095</v>
      </c>
      <c r="I5820" t="s">
        <v>8109</v>
      </c>
      <c r="J5820" t="s">
        <v>9065</v>
      </c>
      <c r="K5820">
        <v>10456</v>
      </c>
      <c r="L5820" t="s">
        <v>9094</v>
      </c>
      <c r="M5820" t="s">
        <v>9095</v>
      </c>
      <c r="N5820" t="s">
        <v>9401</v>
      </c>
      <c r="O5820" t="s">
        <v>11135</v>
      </c>
      <c r="P5820" t="s">
        <v>11168</v>
      </c>
      <c r="R5820" t="s">
        <v>11180</v>
      </c>
      <c r="S5820" t="s">
        <v>9094</v>
      </c>
      <c r="T5820" t="s">
        <v>11183</v>
      </c>
      <c r="V5820" t="s">
        <v>675</v>
      </c>
      <c r="W5820">
        <v>1035</v>
      </c>
      <c r="X5820" t="s">
        <v>11333</v>
      </c>
      <c r="Y5820" t="s">
        <v>11346</v>
      </c>
      <c r="Z5820" t="s">
        <v>14989</v>
      </c>
      <c r="AB5820" t="s">
        <v>19300</v>
      </c>
      <c r="AC5820">
        <v>131</v>
      </c>
      <c r="AD5820" t="s">
        <v>19566</v>
      </c>
      <c r="AE5820" t="s">
        <v>9144</v>
      </c>
      <c r="AF5820">
        <v>20</v>
      </c>
      <c r="AG5820">
        <v>3</v>
      </c>
      <c r="AH5820">
        <v>0</v>
      </c>
      <c r="AI5820">
        <v>346.49</v>
      </c>
      <c r="AL5820" t="s">
        <v>19614</v>
      </c>
      <c r="AM5820">
        <v>72000</v>
      </c>
      <c r="AS5820">
        <v>0</v>
      </c>
      <c r="AU5820" t="s">
        <v>163</v>
      </c>
    </row>
    <row r="5821" spans="1:48">
      <c r="A5821" s="1">
        <f>HYPERLINK("https://lsnyc.legalserver.org/matter/dynamic-profile/view/1870528","18-1870528")</f>
        <v>0</v>
      </c>
      <c r="B5821" t="s">
        <v>119</v>
      </c>
      <c r="C5821" t="s">
        <v>256</v>
      </c>
      <c r="D5821" t="s">
        <v>400</v>
      </c>
      <c r="F5821" t="s">
        <v>1255</v>
      </c>
      <c r="G5821" t="s">
        <v>4203</v>
      </c>
      <c r="H5821" t="s">
        <v>6095</v>
      </c>
      <c r="I5821" t="s">
        <v>8109</v>
      </c>
      <c r="J5821" t="s">
        <v>9065</v>
      </c>
      <c r="K5821">
        <v>10456</v>
      </c>
      <c r="L5821" t="s">
        <v>9094</v>
      </c>
      <c r="M5821" t="s">
        <v>9095</v>
      </c>
      <c r="N5821" t="s">
        <v>10073</v>
      </c>
      <c r="O5821" t="s">
        <v>11130</v>
      </c>
      <c r="P5821" t="s">
        <v>11165</v>
      </c>
      <c r="R5821" t="s">
        <v>11180</v>
      </c>
      <c r="S5821" t="s">
        <v>9094</v>
      </c>
      <c r="T5821" t="s">
        <v>11183</v>
      </c>
      <c r="V5821" t="s">
        <v>675</v>
      </c>
      <c r="W5821">
        <v>1035</v>
      </c>
      <c r="X5821" t="s">
        <v>11333</v>
      </c>
      <c r="Y5821" t="s">
        <v>11346</v>
      </c>
      <c r="Z5821" t="s">
        <v>14989</v>
      </c>
      <c r="AB5821" t="s">
        <v>19300</v>
      </c>
      <c r="AC5821">
        <v>131</v>
      </c>
      <c r="AD5821" t="s">
        <v>19566</v>
      </c>
      <c r="AE5821" t="s">
        <v>9144</v>
      </c>
      <c r="AF5821">
        <v>20</v>
      </c>
      <c r="AG5821">
        <v>3</v>
      </c>
      <c r="AH5821">
        <v>0</v>
      </c>
      <c r="AI5821">
        <v>346.49</v>
      </c>
      <c r="AL5821" t="s">
        <v>19614</v>
      </c>
      <c r="AM5821">
        <v>72000</v>
      </c>
      <c r="AS5821">
        <v>0</v>
      </c>
      <c r="AU5821" t="s">
        <v>163</v>
      </c>
    </row>
    <row r="5822" spans="1:48">
      <c r="A5822" s="1">
        <f>HYPERLINK("https://lsnyc.legalserver.org/matter/dynamic-profile/view/1844953","17-1844953")</f>
        <v>0</v>
      </c>
      <c r="B5822" t="s">
        <v>68</v>
      </c>
      <c r="C5822" t="s">
        <v>257</v>
      </c>
      <c r="D5822" t="s">
        <v>948</v>
      </c>
      <c r="E5822" t="s">
        <v>414</v>
      </c>
      <c r="F5822" t="s">
        <v>3206</v>
      </c>
      <c r="G5822" t="s">
        <v>5500</v>
      </c>
      <c r="H5822" t="s">
        <v>8050</v>
      </c>
      <c r="I5822" t="s">
        <v>8266</v>
      </c>
      <c r="J5822" t="s">
        <v>9059</v>
      </c>
      <c r="K5822">
        <v>11214</v>
      </c>
      <c r="L5822" t="s">
        <v>9094</v>
      </c>
      <c r="M5822" t="s">
        <v>9094</v>
      </c>
      <c r="N5822" t="s">
        <v>11081</v>
      </c>
      <c r="O5822" t="s">
        <v>11129</v>
      </c>
      <c r="P5822" t="s">
        <v>11165</v>
      </c>
      <c r="Q5822" t="s">
        <v>11174</v>
      </c>
      <c r="R5822" t="s">
        <v>11181</v>
      </c>
      <c r="S5822" t="s">
        <v>9096</v>
      </c>
      <c r="T5822" t="s">
        <v>11183</v>
      </c>
      <c r="V5822" t="s">
        <v>948</v>
      </c>
      <c r="W5822">
        <v>932.42</v>
      </c>
      <c r="X5822" t="s">
        <v>11332</v>
      </c>
      <c r="Y5822" t="s">
        <v>11337</v>
      </c>
      <c r="Z5822" t="s">
        <v>11965</v>
      </c>
      <c r="AB5822" t="s">
        <v>19310</v>
      </c>
      <c r="AC5822">
        <v>40</v>
      </c>
      <c r="AD5822" t="s">
        <v>19566</v>
      </c>
      <c r="AF5822">
        <v>0</v>
      </c>
      <c r="AG5822">
        <v>1</v>
      </c>
      <c r="AH5822">
        <v>0</v>
      </c>
      <c r="AI5822">
        <v>346.67</v>
      </c>
      <c r="AJ5822" t="s">
        <v>19591</v>
      </c>
      <c r="AK5822" t="s">
        <v>19608</v>
      </c>
      <c r="AL5822" t="s">
        <v>19614</v>
      </c>
      <c r="AM5822">
        <v>41808</v>
      </c>
      <c r="AS5822">
        <v>16.5</v>
      </c>
      <c r="AT5822" t="s">
        <v>971</v>
      </c>
      <c r="AU5822" t="s">
        <v>20628</v>
      </c>
    </row>
    <row r="5823" spans="1:48">
      <c r="A5823" s="1">
        <f>HYPERLINK("https://lsnyc.legalserver.org/matter/dynamic-profile/view/1889283","19-1889283")</f>
        <v>0</v>
      </c>
      <c r="B5823" t="s">
        <v>126</v>
      </c>
      <c r="C5823" t="s">
        <v>257</v>
      </c>
      <c r="D5823" t="s">
        <v>633</v>
      </c>
      <c r="E5823" t="s">
        <v>457</v>
      </c>
      <c r="F5823" t="s">
        <v>1367</v>
      </c>
      <c r="G5823" t="s">
        <v>3498</v>
      </c>
      <c r="H5823" t="s">
        <v>7419</v>
      </c>
      <c r="I5823" t="s">
        <v>8998</v>
      </c>
      <c r="J5823" t="s">
        <v>9066</v>
      </c>
      <c r="K5823">
        <v>10301</v>
      </c>
      <c r="L5823" t="s">
        <v>9094</v>
      </c>
      <c r="M5823" t="s">
        <v>9095</v>
      </c>
      <c r="N5823" t="s">
        <v>11082</v>
      </c>
      <c r="O5823" t="s">
        <v>11128</v>
      </c>
      <c r="P5823" t="s">
        <v>11165</v>
      </c>
      <c r="Q5823" t="s">
        <v>11174</v>
      </c>
      <c r="R5823" t="s">
        <v>11180</v>
      </c>
      <c r="S5823" t="s">
        <v>9096</v>
      </c>
      <c r="T5823" t="s">
        <v>11183</v>
      </c>
      <c r="U5823" t="s">
        <v>11201</v>
      </c>
      <c r="V5823" t="s">
        <v>633</v>
      </c>
      <c r="W5823">
        <v>723</v>
      </c>
      <c r="X5823" t="s">
        <v>11334</v>
      </c>
      <c r="Y5823" t="s">
        <v>11350</v>
      </c>
      <c r="Z5823" t="s">
        <v>14998</v>
      </c>
      <c r="AB5823" t="s">
        <v>19311</v>
      </c>
      <c r="AC5823">
        <v>110</v>
      </c>
      <c r="AD5823" t="s">
        <v>19566</v>
      </c>
      <c r="AE5823" t="s">
        <v>9144</v>
      </c>
      <c r="AF5823">
        <v>46</v>
      </c>
      <c r="AG5823">
        <v>2</v>
      </c>
      <c r="AH5823">
        <v>0</v>
      </c>
      <c r="AI5823">
        <v>347.72</v>
      </c>
      <c r="AJ5823" t="s">
        <v>265</v>
      </c>
      <c r="AK5823" t="s">
        <v>19612</v>
      </c>
      <c r="AL5823" t="s">
        <v>19614</v>
      </c>
      <c r="AM5823">
        <v>58800</v>
      </c>
      <c r="AO5823" t="s">
        <v>20293</v>
      </c>
      <c r="AP5823" t="s">
        <v>11157</v>
      </c>
      <c r="AQ5823" t="s">
        <v>20368</v>
      </c>
      <c r="AS5823">
        <v>36.99</v>
      </c>
      <c r="AT5823" t="s">
        <v>457</v>
      </c>
      <c r="AU5823" t="s">
        <v>20654</v>
      </c>
      <c r="AV5823" t="s">
        <v>20733</v>
      </c>
    </row>
    <row r="5824" spans="1:48">
      <c r="A5824" s="1">
        <f>HYPERLINK("https://lsnyc.legalserver.org/matter/dynamic-profile/view/1865395","18-1865395")</f>
        <v>0</v>
      </c>
      <c r="B5824" t="s">
        <v>113</v>
      </c>
      <c r="C5824" t="s">
        <v>256</v>
      </c>
      <c r="D5824" t="s">
        <v>1032</v>
      </c>
      <c r="F5824" t="s">
        <v>3207</v>
      </c>
      <c r="G5824" t="s">
        <v>5501</v>
      </c>
      <c r="H5824" t="s">
        <v>7369</v>
      </c>
      <c r="I5824" t="s">
        <v>8409</v>
      </c>
      <c r="J5824" t="s">
        <v>9065</v>
      </c>
      <c r="K5824">
        <v>10458</v>
      </c>
      <c r="L5824" t="s">
        <v>9094</v>
      </c>
      <c r="M5824" t="s">
        <v>9095</v>
      </c>
      <c r="N5824" t="s">
        <v>10490</v>
      </c>
      <c r="O5824" t="s">
        <v>11135</v>
      </c>
      <c r="P5824" t="s">
        <v>11168</v>
      </c>
      <c r="R5824" t="s">
        <v>11180</v>
      </c>
      <c r="S5824" t="s">
        <v>9094</v>
      </c>
      <c r="T5824" t="s">
        <v>11183</v>
      </c>
      <c r="V5824" t="s">
        <v>745</v>
      </c>
      <c r="W5824">
        <v>1248.06</v>
      </c>
      <c r="X5824" t="s">
        <v>11333</v>
      </c>
      <c r="Y5824" t="s">
        <v>11346</v>
      </c>
      <c r="Z5824" t="s">
        <v>14999</v>
      </c>
      <c r="AB5824" t="s">
        <v>19312</v>
      </c>
      <c r="AC5824">
        <v>11</v>
      </c>
      <c r="AD5824" t="s">
        <v>19566</v>
      </c>
      <c r="AE5824" t="s">
        <v>9144</v>
      </c>
      <c r="AF5824">
        <v>16</v>
      </c>
      <c r="AG5824">
        <v>2</v>
      </c>
      <c r="AH5824">
        <v>1</v>
      </c>
      <c r="AI5824">
        <v>349.37</v>
      </c>
      <c r="AJ5824" t="s">
        <v>11246</v>
      </c>
      <c r="AL5824" t="s">
        <v>19614</v>
      </c>
      <c r="AM5824">
        <v>72600</v>
      </c>
      <c r="AS5824">
        <v>0</v>
      </c>
      <c r="AU5824" t="s">
        <v>20647</v>
      </c>
    </row>
    <row r="5825" spans="1:48">
      <c r="A5825" s="1">
        <f>HYPERLINK("https://lsnyc.legalserver.org/matter/dynamic-profile/view/1867697","18-1867697")</f>
        <v>0</v>
      </c>
      <c r="B5825" t="s">
        <v>113</v>
      </c>
      <c r="C5825" t="s">
        <v>256</v>
      </c>
      <c r="D5825" t="s">
        <v>921</v>
      </c>
      <c r="F5825" t="s">
        <v>3207</v>
      </c>
      <c r="G5825" t="s">
        <v>5501</v>
      </c>
      <c r="H5825" t="s">
        <v>7369</v>
      </c>
      <c r="I5825" t="s">
        <v>8409</v>
      </c>
      <c r="J5825" t="s">
        <v>9065</v>
      </c>
      <c r="K5825">
        <v>10458</v>
      </c>
      <c r="L5825" t="s">
        <v>9094</v>
      </c>
      <c r="M5825" t="s">
        <v>9095</v>
      </c>
      <c r="O5825" t="s">
        <v>11130</v>
      </c>
      <c r="P5825" t="s">
        <v>11165</v>
      </c>
      <c r="R5825" t="s">
        <v>11180</v>
      </c>
      <c r="S5825" t="s">
        <v>9094</v>
      </c>
      <c r="T5825" t="s">
        <v>11183</v>
      </c>
      <c r="V5825" t="s">
        <v>675</v>
      </c>
      <c r="W5825">
        <v>1248.06</v>
      </c>
      <c r="X5825" t="s">
        <v>11333</v>
      </c>
      <c r="Y5825" t="s">
        <v>11340</v>
      </c>
      <c r="Z5825" t="s">
        <v>14999</v>
      </c>
      <c r="AB5825" t="s">
        <v>19312</v>
      </c>
      <c r="AC5825">
        <v>11</v>
      </c>
      <c r="AD5825" t="s">
        <v>19566</v>
      </c>
      <c r="AE5825" t="s">
        <v>9144</v>
      </c>
      <c r="AF5825">
        <v>16</v>
      </c>
      <c r="AG5825">
        <v>2</v>
      </c>
      <c r="AH5825">
        <v>1</v>
      </c>
      <c r="AI5825">
        <v>349.37</v>
      </c>
      <c r="AJ5825" t="s">
        <v>11246</v>
      </c>
      <c r="AL5825" t="s">
        <v>19614</v>
      </c>
      <c r="AM5825">
        <v>72600</v>
      </c>
      <c r="AS5825">
        <v>0</v>
      </c>
      <c r="AU5825" t="s">
        <v>20647</v>
      </c>
    </row>
    <row r="5826" spans="1:48">
      <c r="A5826" s="1">
        <f>HYPERLINK("https://lsnyc.legalserver.org/matter/dynamic-profile/view/1865427","18-1865427")</f>
        <v>0</v>
      </c>
      <c r="B5826" t="s">
        <v>113</v>
      </c>
      <c r="C5826" t="s">
        <v>256</v>
      </c>
      <c r="D5826" t="s">
        <v>1032</v>
      </c>
      <c r="F5826" t="s">
        <v>3207</v>
      </c>
      <c r="G5826" t="s">
        <v>5501</v>
      </c>
      <c r="H5826" t="s">
        <v>7369</v>
      </c>
      <c r="I5826" t="s">
        <v>8409</v>
      </c>
      <c r="J5826" t="s">
        <v>9065</v>
      </c>
      <c r="K5826">
        <v>10458</v>
      </c>
      <c r="L5826" t="s">
        <v>9094</v>
      </c>
      <c r="M5826" t="s">
        <v>9095</v>
      </c>
      <c r="O5826" t="s">
        <v>11137</v>
      </c>
      <c r="P5826" t="s">
        <v>11166</v>
      </c>
      <c r="R5826" t="s">
        <v>11180</v>
      </c>
      <c r="S5826" t="s">
        <v>9094</v>
      </c>
      <c r="T5826" t="s">
        <v>11183</v>
      </c>
      <c r="V5826" t="s">
        <v>11219</v>
      </c>
      <c r="W5826">
        <v>1248.06</v>
      </c>
      <c r="X5826" t="s">
        <v>11333</v>
      </c>
      <c r="Y5826" t="s">
        <v>11348</v>
      </c>
      <c r="Z5826" t="s">
        <v>14999</v>
      </c>
      <c r="AB5826" t="s">
        <v>19312</v>
      </c>
      <c r="AC5826">
        <v>0</v>
      </c>
      <c r="AD5826" t="s">
        <v>19566</v>
      </c>
      <c r="AE5826" t="s">
        <v>9144</v>
      </c>
      <c r="AF5826">
        <v>16</v>
      </c>
      <c r="AG5826">
        <v>2</v>
      </c>
      <c r="AH5826">
        <v>1</v>
      </c>
      <c r="AI5826">
        <v>349.37</v>
      </c>
      <c r="AL5826" t="s">
        <v>19614</v>
      </c>
      <c r="AM5826">
        <v>88200</v>
      </c>
      <c r="AS5826">
        <v>0</v>
      </c>
      <c r="AU5826" t="s">
        <v>20647</v>
      </c>
    </row>
    <row r="5827" spans="1:48">
      <c r="A5827" s="1">
        <f>HYPERLINK("https://lsnyc.legalserver.org/matter/dynamic-profile/view/1887832","19-1887832")</f>
        <v>0</v>
      </c>
      <c r="B5827" t="s">
        <v>101</v>
      </c>
      <c r="C5827" t="s">
        <v>256</v>
      </c>
      <c r="D5827" t="s">
        <v>363</v>
      </c>
      <c r="F5827" t="s">
        <v>1370</v>
      </c>
      <c r="G5827" t="s">
        <v>5497</v>
      </c>
      <c r="H5827" t="s">
        <v>6383</v>
      </c>
      <c r="I5827" t="s">
        <v>8140</v>
      </c>
      <c r="J5827" t="s">
        <v>9065</v>
      </c>
      <c r="K5827">
        <v>10467</v>
      </c>
      <c r="L5827" t="s">
        <v>9094</v>
      </c>
      <c r="M5827" t="s">
        <v>9094</v>
      </c>
      <c r="N5827" t="s">
        <v>9642</v>
      </c>
      <c r="O5827" t="s">
        <v>11130</v>
      </c>
      <c r="P5827" t="s">
        <v>11165</v>
      </c>
      <c r="R5827" t="s">
        <v>11180</v>
      </c>
      <c r="S5827" t="s">
        <v>9094</v>
      </c>
      <c r="T5827" t="s">
        <v>11183</v>
      </c>
      <c r="V5827" t="s">
        <v>286</v>
      </c>
      <c r="W5827">
        <v>752</v>
      </c>
      <c r="X5827" t="s">
        <v>11333</v>
      </c>
      <c r="Y5827" t="s">
        <v>11347</v>
      </c>
      <c r="Z5827" t="s">
        <v>14991</v>
      </c>
      <c r="AB5827" t="s">
        <v>19303</v>
      </c>
      <c r="AC5827">
        <v>59</v>
      </c>
      <c r="AD5827" t="s">
        <v>19566</v>
      </c>
      <c r="AE5827" t="s">
        <v>9144</v>
      </c>
      <c r="AF5827">
        <v>19</v>
      </c>
      <c r="AG5827">
        <v>1</v>
      </c>
      <c r="AH5827">
        <v>0</v>
      </c>
      <c r="AI5827">
        <v>350.08</v>
      </c>
      <c r="AJ5827" t="s">
        <v>476</v>
      </c>
      <c r="AK5827" t="s">
        <v>19612</v>
      </c>
      <c r="AL5827" t="s">
        <v>19614</v>
      </c>
      <c r="AM5827">
        <v>42500</v>
      </c>
      <c r="AS5827">
        <v>1.6</v>
      </c>
      <c r="AT5827" t="s">
        <v>425</v>
      </c>
      <c r="AU5827" t="s">
        <v>110</v>
      </c>
      <c r="AV5827" t="s">
        <v>20733</v>
      </c>
    </row>
    <row r="5828" spans="1:48">
      <c r="A5828" s="1">
        <f>HYPERLINK("https://lsnyc.legalserver.org/matter/dynamic-profile/view/1863916","18-1863916")</f>
        <v>0</v>
      </c>
      <c r="B5828" t="s">
        <v>136</v>
      </c>
      <c r="C5828" t="s">
        <v>256</v>
      </c>
      <c r="D5828" t="s">
        <v>809</v>
      </c>
      <c r="F5828" t="s">
        <v>1777</v>
      </c>
      <c r="G5828" t="s">
        <v>5498</v>
      </c>
      <c r="H5828" t="s">
        <v>5961</v>
      </c>
      <c r="I5828">
        <v>801</v>
      </c>
      <c r="J5828" t="s">
        <v>9067</v>
      </c>
      <c r="K5828">
        <v>10029</v>
      </c>
      <c r="L5828" t="s">
        <v>9094</v>
      </c>
      <c r="M5828" t="s">
        <v>9094</v>
      </c>
      <c r="N5828" t="s">
        <v>11083</v>
      </c>
      <c r="O5828" t="s">
        <v>11130</v>
      </c>
      <c r="P5828" t="s">
        <v>11165</v>
      </c>
      <c r="R5828" t="s">
        <v>11180</v>
      </c>
      <c r="S5828" t="s">
        <v>9094</v>
      </c>
      <c r="T5828" t="s">
        <v>11183</v>
      </c>
      <c r="U5828" t="s">
        <v>11201</v>
      </c>
      <c r="V5828" t="s">
        <v>809</v>
      </c>
      <c r="W5828">
        <v>0</v>
      </c>
      <c r="X5828" t="s">
        <v>11335</v>
      </c>
      <c r="Y5828" t="s">
        <v>11339</v>
      </c>
      <c r="Z5828" t="s">
        <v>14992</v>
      </c>
      <c r="AB5828" t="s">
        <v>19304</v>
      </c>
      <c r="AC5828">
        <v>108</v>
      </c>
      <c r="AD5828" t="s">
        <v>19567</v>
      </c>
      <c r="AE5828" t="s">
        <v>19580</v>
      </c>
      <c r="AF5828">
        <v>20</v>
      </c>
      <c r="AG5828">
        <v>1</v>
      </c>
      <c r="AH5828">
        <v>0</v>
      </c>
      <c r="AI5828">
        <v>350.08</v>
      </c>
      <c r="AL5828" t="s">
        <v>19614</v>
      </c>
      <c r="AM5828">
        <v>42500</v>
      </c>
      <c r="AS5828">
        <v>8</v>
      </c>
      <c r="AT5828" t="s">
        <v>445</v>
      </c>
      <c r="AU5828" t="s">
        <v>20657</v>
      </c>
    </row>
    <row r="5829" spans="1:48">
      <c r="A5829" s="1">
        <f>HYPERLINK("https://lsnyc.legalserver.org/matter/dynamic-profile/view/1875504","18-1875504")</f>
        <v>0</v>
      </c>
      <c r="B5829" t="s">
        <v>218</v>
      </c>
      <c r="C5829" t="s">
        <v>257</v>
      </c>
      <c r="D5829" t="s">
        <v>940</v>
      </c>
      <c r="E5829" t="s">
        <v>265</v>
      </c>
      <c r="F5829" t="s">
        <v>1777</v>
      </c>
      <c r="G5829" t="s">
        <v>5498</v>
      </c>
      <c r="H5829" t="s">
        <v>5961</v>
      </c>
      <c r="I5829">
        <v>801</v>
      </c>
      <c r="J5829" t="s">
        <v>9067</v>
      </c>
      <c r="K5829">
        <v>10029</v>
      </c>
      <c r="L5829" t="s">
        <v>9094</v>
      </c>
      <c r="M5829" t="s">
        <v>9094</v>
      </c>
      <c r="N5829" t="s">
        <v>11084</v>
      </c>
      <c r="O5829" t="s">
        <v>11129</v>
      </c>
      <c r="P5829" t="s">
        <v>11165</v>
      </c>
      <c r="Q5829" t="s">
        <v>11178</v>
      </c>
      <c r="R5829" t="s">
        <v>11180</v>
      </c>
      <c r="S5829" t="s">
        <v>9096</v>
      </c>
      <c r="T5829" t="s">
        <v>11183</v>
      </c>
      <c r="U5829" t="s">
        <v>11201</v>
      </c>
      <c r="V5829" t="s">
        <v>940</v>
      </c>
      <c r="W5829">
        <v>987</v>
      </c>
      <c r="X5829" t="s">
        <v>11335</v>
      </c>
      <c r="Y5829" t="s">
        <v>11340</v>
      </c>
      <c r="Z5829" t="s">
        <v>14992</v>
      </c>
      <c r="AB5829" t="s">
        <v>19304</v>
      </c>
      <c r="AC5829">
        <v>108</v>
      </c>
      <c r="AD5829" t="s">
        <v>19567</v>
      </c>
      <c r="AE5829" t="s">
        <v>19580</v>
      </c>
      <c r="AF5829">
        <v>20</v>
      </c>
      <c r="AG5829">
        <v>1</v>
      </c>
      <c r="AH5829">
        <v>0</v>
      </c>
      <c r="AI5829">
        <v>350.08</v>
      </c>
      <c r="AJ5829" t="s">
        <v>458</v>
      </c>
      <c r="AK5829" t="s">
        <v>19612</v>
      </c>
      <c r="AL5829" t="s">
        <v>19614</v>
      </c>
      <c r="AM5829">
        <v>42500</v>
      </c>
      <c r="AO5829" t="s">
        <v>20292</v>
      </c>
      <c r="AP5829" t="s">
        <v>20366</v>
      </c>
      <c r="AQ5829" t="s">
        <v>20369</v>
      </c>
      <c r="AR5829" t="s">
        <v>20436</v>
      </c>
      <c r="AS5829">
        <v>28.7</v>
      </c>
      <c r="AT5829" t="s">
        <v>265</v>
      </c>
      <c r="AU5829" t="s">
        <v>20657</v>
      </c>
      <c r="AV5829" t="s">
        <v>20733</v>
      </c>
    </row>
    <row r="5830" spans="1:48">
      <c r="A5830" s="1">
        <f>HYPERLINK("https://lsnyc.legalserver.org/matter/dynamic-profile/view/1886662","18-1886662")</f>
        <v>0</v>
      </c>
      <c r="B5830" t="s">
        <v>135</v>
      </c>
      <c r="C5830" t="s">
        <v>256</v>
      </c>
      <c r="D5830" t="s">
        <v>753</v>
      </c>
      <c r="F5830" t="s">
        <v>3208</v>
      </c>
      <c r="G5830" t="s">
        <v>5502</v>
      </c>
      <c r="H5830" t="s">
        <v>6637</v>
      </c>
      <c r="I5830" t="s">
        <v>8155</v>
      </c>
      <c r="J5830" t="s">
        <v>9067</v>
      </c>
      <c r="K5830">
        <v>10029</v>
      </c>
      <c r="L5830" t="s">
        <v>9094</v>
      </c>
      <c r="M5830" t="s">
        <v>9094</v>
      </c>
      <c r="O5830" t="s">
        <v>11130</v>
      </c>
      <c r="P5830" t="s">
        <v>11165</v>
      </c>
      <c r="R5830" t="s">
        <v>11180</v>
      </c>
      <c r="S5830" t="s">
        <v>9094</v>
      </c>
      <c r="T5830" t="s">
        <v>11183</v>
      </c>
      <c r="U5830" t="s">
        <v>11201</v>
      </c>
      <c r="V5830" t="s">
        <v>753</v>
      </c>
      <c r="W5830">
        <v>2300</v>
      </c>
      <c r="X5830" t="s">
        <v>11335</v>
      </c>
      <c r="Y5830" t="s">
        <v>11339</v>
      </c>
      <c r="Z5830" t="s">
        <v>15000</v>
      </c>
      <c r="AB5830" t="s">
        <v>19313</v>
      </c>
      <c r="AC5830">
        <v>0</v>
      </c>
      <c r="AD5830" t="s">
        <v>19565</v>
      </c>
      <c r="AE5830" t="s">
        <v>9144</v>
      </c>
      <c r="AF5830">
        <v>1</v>
      </c>
      <c r="AG5830">
        <v>4</v>
      </c>
      <c r="AH5830">
        <v>0</v>
      </c>
      <c r="AI5830">
        <v>350.6</v>
      </c>
      <c r="AL5830" t="s">
        <v>19627</v>
      </c>
      <c r="AM5830">
        <v>88000</v>
      </c>
      <c r="AS5830">
        <v>25.75</v>
      </c>
      <c r="AT5830" t="s">
        <v>20601</v>
      </c>
      <c r="AU5830" t="s">
        <v>20657</v>
      </c>
      <c r="AV5830" t="s">
        <v>20733</v>
      </c>
    </row>
    <row r="5831" spans="1:48">
      <c r="A5831" s="1">
        <f>HYPERLINK("https://lsnyc.legalserver.org/matter/dynamic-profile/view/1911880","19-1911880")</f>
        <v>0</v>
      </c>
      <c r="B5831" t="s">
        <v>98</v>
      </c>
      <c r="C5831" t="s">
        <v>256</v>
      </c>
      <c r="D5831" t="s">
        <v>284</v>
      </c>
      <c r="F5831" t="s">
        <v>1616</v>
      </c>
      <c r="G5831" t="s">
        <v>5503</v>
      </c>
      <c r="H5831" t="s">
        <v>6216</v>
      </c>
      <c r="I5831" t="s">
        <v>8267</v>
      </c>
      <c r="J5831" t="s">
        <v>9065</v>
      </c>
      <c r="K5831">
        <v>10452</v>
      </c>
      <c r="L5831" t="s">
        <v>9094</v>
      </c>
      <c r="M5831" t="s">
        <v>9095</v>
      </c>
      <c r="N5831" t="s">
        <v>9497</v>
      </c>
      <c r="O5831" t="s">
        <v>11134</v>
      </c>
      <c r="P5831" t="s">
        <v>11168</v>
      </c>
      <c r="R5831" t="s">
        <v>11180</v>
      </c>
      <c r="S5831" t="s">
        <v>9094</v>
      </c>
      <c r="T5831" t="s">
        <v>11183</v>
      </c>
      <c r="W5831">
        <v>757.24</v>
      </c>
      <c r="X5831" t="s">
        <v>11333</v>
      </c>
      <c r="Y5831" t="s">
        <v>11346</v>
      </c>
      <c r="Z5831" t="s">
        <v>15001</v>
      </c>
      <c r="AB5831" t="s">
        <v>19314</v>
      </c>
      <c r="AC5831">
        <v>67</v>
      </c>
      <c r="AD5831" t="s">
        <v>19566</v>
      </c>
      <c r="AE5831" t="s">
        <v>9144</v>
      </c>
      <c r="AF5831">
        <v>43</v>
      </c>
      <c r="AG5831">
        <v>1</v>
      </c>
      <c r="AH5831">
        <v>0</v>
      </c>
      <c r="AI5831">
        <v>350.69</v>
      </c>
      <c r="AL5831" t="s">
        <v>19614</v>
      </c>
      <c r="AM5831">
        <v>43801.08</v>
      </c>
      <c r="AS5831">
        <v>3.5</v>
      </c>
      <c r="AT5831" t="s">
        <v>362</v>
      </c>
      <c r="AU5831" t="s">
        <v>20647</v>
      </c>
      <c r="AV5831" t="s">
        <v>20733</v>
      </c>
    </row>
    <row r="5832" spans="1:48">
      <c r="A5832" s="1">
        <f>HYPERLINK("https://lsnyc.legalserver.org/matter/dynamic-profile/view/1847334","17-1847334")</f>
        <v>0</v>
      </c>
      <c r="B5832" t="s">
        <v>156</v>
      </c>
      <c r="C5832" t="s">
        <v>256</v>
      </c>
      <c r="D5832" t="s">
        <v>942</v>
      </c>
      <c r="F5832" t="s">
        <v>3209</v>
      </c>
      <c r="G5832" t="s">
        <v>3513</v>
      </c>
      <c r="H5832" t="s">
        <v>5855</v>
      </c>
      <c r="I5832" t="s">
        <v>8124</v>
      </c>
      <c r="J5832" t="s">
        <v>9065</v>
      </c>
      <c r="K5832">
        <v>10467</v>
      </c>
      <c r="L5832" t="s">
        <v>9094</v>
      </c>
      <c r="M5832" t="s">
        <v>9095</v>
      </c>
      <c r="N5832" t="s">
        <v>9220</v>
      </c>
      <c r="O5832" t="s">
        <v>11143</v>
      </c>
      <c r="P5832" t="s">
        <v>11165</v>
      </c>
      <c r="R5832" t="s">
        <v>11180</v>
      </c>
      <c r="S5832" t="s">
        <v>9094</v>
      </c>
      <c r="T5832" t="s">
        <v>11183</v>
      </c>
      <c r="V5832" t="s">
        <v>734</v>
      </c>
      <c r="W5832">
        <v>1017</v>
      </c>
      <c r="X5832" t="s">
        <v>11333</v>
      </c>
      <c r="Y5832" t="s">
        <v>11338</v>
      </c>
      <c r="Z5832" t="s">
        <v>15002</v>
      </c>
      <c r="AB5832" t="s">
        <v>19315</v>
      </c>
      <c r="AC5832">
        <v>30</v>
      </c>
      <c r="AD5832" t="s">
        <v>19566</v>
      </c>
      <c r="AE5832" t="s">
        <v>19580</v>
      </c>
      <c r="AF5832">
        <v>5</v>
      </c>
      <c r="AG5832">
        <v>2</v>
      </c>
      <c r="AH5832">
        <v>0</v>
      </c>
      <c r="AI5832">
        <v>350.99</v>
      </c>
      <c r="AJ5832" t="s">
        <v>865</v>
      </c>
      <c r="AM5832">
        <v>57000</v>
      </c>
      <c r="AS5832">
        <v>0.8</v>
      </c>
      <c r="AT5832" t="s">
        <v>942</v>
      </c>
      <c r="AU5832" t="s">
        <v>20642</v>
      </c>
    </row>
    <row r="5833" spans="1:48">
      <c r="A5833" s="1">
        <f>HYPERLINK("https://lsnyc.legalserver.org/matter/dynamic-profile/view/1893325","19-1893325")</f>
        <v>0</v>
      </c>
      <c r="B5833" t="s">
        <v>165</v>
      </c>
      <c r="C5833" t="s">
        <v>256</v>
      </c>
      <c r="D5833" t="s">
        <v>373</v>
      </c>
      <c r="F5833" t="s">
        <v>3210</v>
      </c>
      <c r="G5833" t="s">
        <v>5504</v>
      </c>
      <c r="H5833" t="s">
        <v>7438</v>
      </c>
      <c r="I5833" t="s">
        <v>8390</v>
      </c>
      <c r="J5833" t="s">
        <v>9059</v>
      </c>
      <c r="K5833">
        <v>11212</v>
      </c>
      <c r="L5833" t="s">
        <v>9094</v>
      </c>
      <c r="M5833" t="s">
        <v>9094</v>
      </c>
      <c r="N5833" t="s">
        <v>9102</v>
      </c>
      <c r="O5833" t="s">
        <v>11134</v>
      </c>
      <c r="P5833" t="s">
        <v>11164</v>
      </c>
      <c r="R5833" t="s">
        <v>11180</v>
      </c>
      <c r="S5833" t="s">
        <v>9094</v>
      </c>
      <c r="T5833" t="s">
        <v>11183</v>
      </c>
      <c r="U5833" t="s">
        <v>11201</v>
      </c>
      <c r="V5833" t="s">
        <v>311</v>
      </c>
      <c r="W5833">
        <v>1489</v>
      </c>
      <c r="X5833" t="s">
        <v>11332</v>
      </c>
      <c r="Y5833" t="s">
        <v>11346</v>
      </c>
      <c r="Z5833" t="s">
        <v>15003</v>
      </c>
      <c r="AA5833" t="s">
        <v>9144</v>
      </c>
      <c r="AB5833" t="s">
        <v>19316</v>
      </c>
      <c r="AC5833">
        <v>38</v>
      </c>
      <c r="AD5833" t="s">
        <v>19566</v>
      </c>
      <c r="AE5833" t="s">
        <v>9144</v>
      </c>
      <c r="AF5833">
        <v>6</v>
      </c>
      <c r="AG5833">
        <v>2</v>
      </c>
      <c r="AH5833">
        <v>0</v>
      </c>
      <c r="AI5833">
        <v>351.79</v>
      </c>
      <c r="AL5833" t="s">
        <v>19614</v>
      </c>
      <c r="AM5833">
        <v>59488</v>
      </c>
      <c r="AN5833" t="s">
        <v>20179</v>
      </c>
      <c r="AS5833">
        <v>0.1</v>
      </c>
      <c r="AT5833" t="s">
        <v>798</v>
      </c>
      <c r="AU5833" t="s">
        <v>79</v>
      </c>
      <c r="AV5833" t="s">
        <v>20733</v>
      </c>
    </row>
    <row r="5834" spans="1:48">
      <c r="A5834" s="1">
        <f>HYPERLINK("https://lsnyc.legalserver.org/matter/dynamic-profile/view/1893317","19-1893317")</f>
        <v>0</v>
      </c>
      <c r="B5834" t="s">
        <v>165</v>
      </c>
      <c r="C5834" t="s">
        <v>256</v>
      </c>
      <c r="D5834" t="s">
        <v>373</v>
      </c>
      <c r="F5834" t="s">
        <v>3210</v>
      </c>
      <c r="G5834" t="s">
        <v>5504</v>
      </c>
      <c r="H5834" t="s">
        <v>7438</v>
      </c>
      <c r="I5834" t="s">
        <v>8390</v>
      </c>
      <c r="J5834" t="s">
        <v>9059</v>
      </c>
      <c r="K5834">
        <v>11212</v>
      </c>
      <c r="L5834" t="s">
        <v>9094</v>
      </c>
      <c r="M5834" t="s">
        <v>9094</v>
      </c>
      <c r="N5834" t="s">
        <v>9121</v>
      </c>
      <c r="O5834" t="s">
        <v>11130</v>
      </c>
      <c r="P5834" t="s">
        <v>11164</v>
      </c>
      <c r="R5834" t="s">
        <v>11180</v>
      </c>
      <c r="S5834" t="s">
        <v>9094</v>
      </c>
      <c r="T5834" t="s">
        <v>11183</v>
      </c>
      <c r="U5834" t="s">
        <v>11201</v>
      </c>
      <c r="V5834" t="s">
        <v>311</v>
      </c>
      <c r="W5834">
        <v>1489</v>
      </c>
      <c r="X5834" t="s">
        <v>11332</v>
      </c>
      <c r="Y5834" t="s">
        <v>11346</v>
      </c>
      <c r="Z5834" t="s">
        <v>15003</v>
      </c>
      <c r="AB5834" t="s">
        <v>19316</v>
      </c>
      <c r="AC5834">
        <v>38</v>
      </c>
      <c r="AD5834" t="s">
        <v>19566</v>
      </c>
      <c r="AE5834" t="s">
        <v>9144</v>
      </c>
      <c r="AF5834">
        <v>6</v>
      </c>
      <c r="AG5834">
        <v>2</v>
      </c>
      <c r="AH5834">
        <v>0</v>
      </c>
      <c r="AI5834">
        <v>351.79</v>
      </c>
      <c r="AL5834" t="s">
        <v>19614</v>
      </c>
      <c r="AM5834">
        <v>59488</v>
      </c>
      <c r="AS5834">
        <v>0.1</v>
      </c>
      <c r="AT5834" t="s">
        <v>798</v>
      </c>
      <c r="AU5834" t="s">
        <v>79</v>
      </c>
    </row>
    <row r="5835" spans="1:48">
      <c r="A5835" s="1">
        <f>HYPERLINK("https://lsnyc.legalserver.org/matter/dynamic-profile/view/1893328","19-1893328")</f>
        <v>0</v>
      </c>
      <c r="B5835" t="s">
        <v>165</v>
      </c>
      <c r="C5835" t="s">
        <v>256</v>
      </c>
      <c r="D5835" t="s">
        <v>373</v>
      </c>
      <c r="F5835" t="s">
        <v>3210</v>
      </c>
      <c r="G5835" t="s">
        <v>5504</v>
      </c>
      <c r="H5835" t="s">
        <v>7438</v>
      </c>
      <c r="I5835" t="s">
        <v>8390</v>
      </c>
      <c r="J5835" t="s">
        <v>9059</v>
      </c>
      <c r="K5835">
        <v>11212</v>
      </c>
      <c r="L5835" t="s">
        <v>9094</v>
      </c>
      <c r="M5835" t="s">
        <v>9094</v>
      </c>
      <c r="N5835" t="s">
        <v>9144</v>
      </c>
      <c r="O5835" t="s">
        <v>9121</v>
      </c>
      <c r="P5835" t="s">
        <v>11167</v>
      </c>
      <c r="R5835" t="s">
        <v>11180</v>
      </c>
      <c r="S5835" t="s">
        <v>9094</v>
      </c>
      <c r="T5835" t="s">
        <v>11183</v>
      </c>
      <c r="U5835" t="s">
        <v>11201</v>
      </c>
      <c r="V5835" t="s">
        <v>311</v>
      </c>
      <c r="W5835">
        <v>1489</v>
      </c>
      <c r="X5835" t="s">
        <v>11332</v>
      </c>
      <c r="Y5835" t="s">
        <v>11346</v>
      </c>
      <c r="Z5835" t="s">
        <v>15003</v>
      </c>
      <c r="AA5835" t="s">
        <v>9144</v>
      </c>
      <c r="AB5835" t="s">
        <v>19316</v>
      </c>
      <c r="AC5835">
        <v>38</v>
      </c>
      <c r="AD5835" t="s">
        <v>19566</v>
      </c>
      <c r="AE5835" t="s">
        <v>9144</v>
      </c>
      <c r="AF5835">
        <v>6</v>
      </c>
      <c r="AG5835">
        <v>2</v>
      </c>
      <c r="AH5835">
        <v>0</v>
      </c>
      <c r="AI5835">
        <v>351.79</v>
      </c>
      <c r="AL5835" t="s">
        <v>19614</v>
      </c>
      <c r="AM5835">
        <v>59488</v>
      </c>
      <c r="AN5835" t="s">
        <v>20179</v>
      </c>
      <c r="AS5835">
        <v>0</v>
      </c>
      <c r="AU5835" t="s">
        <v>79</v>
      </c>
      <c r="AV5835" t="s">
        <v>20733</v>
      </c>
    </row>
    <row r="5836" spans="1:48">
      <c r="A5836" s="1">
        <f>HYPERLINK("https://lsnyc.legalserver.org/matter/dynamic-profile/view/1904601","19-1904601")</f>
        <v>0</v>
      </c>
      <c r="B5836" t="s">
        <v>137</v>
      </c>
      <c r="C5836" t="s">
        <v>256</v>
      </c>
      <c r="D5836" t="s">
        <v>615</v>
      </c>
      <c r="F5836" t="s">
        <v>1146</v>
      </c>
      <c r="G5836" t="s">
        <v>1404</v>
      </c>
      <c r="H5836" t="s">
        <v>5950</v>
      </c>
      <c r="I5836">
        <v>4</v>
      </c>
      <c r="J5836" t="s">
        <v>9067</v>
      </c>
      <c r="K5836">
        <v>10034</v>
      </c>
      <c r="L5836" t="s">
        <v>9094</v>
      </c>
      <c r="M5836" t="s">
        <v>9095</v>
      </c>
      <c r="P5836" t="s">
        <v>11169</v>
      </c>
      <c r="R5836" t="s">
        <v>11180</v>
      </c>
      <c r="S5836" t="s">
        <v>9094</v>
      </c>
      <c r="T5836" t="s">
        <v>11183</v>
      </c>
      <c r="V5836" t="s">
        <v>615</v>
      </c>
      <c r="W5836">
        <v>893</v>
      </c>
      <c r="X5836" t="s">
        <v>11335</v>
      </c>
      <c r="Y5836" t="s">
        <v>11338</v>
      </c>
      <c r="Z5836" t="s">
        <v>13008</v>
      </c>
      <c r="AB5836" t="s">
        <v>19317</v>
      </c>
      <c r="AC5836">
        <v>25</v>
      </c>
      <c r="AD5836" t="s">
        <v>19566</v>
      </c>
      <c r="AE5836" t="s">
        <v>9144</v>
      </c>
      <c r="AF5836">
        <v>38</v>
      </c>
      <c r="AG5836">
        <v>1</v>
      </c>
      <c r="AH5836">
        <v>0</v>
      </c>
      <c r="AI5836">
        <v>352.28</v>
      </c>
      <c r="AL5836" t="s">
        <v>19615</v>
      </c>
      <c r="AM5836">
        <v>44000</v>
      </c>
      <c r="AS5836">
        <v>32.6</v>
      </c>
      <c r="AT5836" t="s">
        <v>321</v>
      </c>
      <c r="AU5836" t="s">
        <v>130</v>
      </c>
      <c r="AV5836" t="s">
        <v>20733</v>
      </c>
    </row>
    <row r="5837" spans="1:48">
      <c r="A5837" s="1">
        <f>HYPERLINK("https://lsnyc.legalserver.org/matter/dynamic-profile/view/1899894","19-1899894")</f>
        <v>0</v>
      </c>
      <c r="B5837" t="s">
        <v>113</v>
      </c>
      <c r="C5837" t="s">
        <v>256</v>
      </c>
      <c r="D5837" t="s">
        <v>411</v>
      </c>
      <c r="F5837" t="s">
        <v>1745</v>
      </c>
      <c r="G5837" t="s">
        <v>5065</v>
      </c>
      <c r="H5837" t="s">
        <v>5864</v>
      </c>
      <c r="I5837" t="s">
        <v>8838</v>
      </c>
      <c r="J5837" t="s">
        <v>9065</v>
      </c>
      <c r="K5837">
        <v>10460</v>
      </c>
      <c r="L5837" t="s">
        <v>9094</v>
      </c>
      <c r="M5837" t="s">
        <v>9095</v>
      </c>
      <c r="N5837" t="s">
        <v>9171</v>
      </c>
      <c r="O5837" t="s">
        <v>9121</v>
      </c>
      <c r="P5837" t="s">
        <v>11166</v>
      </c>
      <c r="R5837" t="s">
        <v>11180</v>
      </c>
      <c r="S5837" t="s">
        <v>9094</v>
      </c>
      <c r="T5837" t="s">
        <v>11183</v>
      </c>
      <c r="V5837" t="s">
        <v>11218</v>
      </c>
      <c r="W5837">
        <v>1967</v>
      </c>
      <c r="X5837" t="s">
        <v>11333</v>
      </c>
      <c r="Y5837" t="s">
        <v>11346</v>
      </c>
      <c r="Z5837" t="s">
        <v>14187</v>
      </c>
      <c r="AB5837" t="s">
        <v>18512</v>
      </c>
      <c r="AC5837">
        <v>0</v>
      </c>
      <c r="AD5837" t="s">
        <v>19566</v>
      </c>
      <c r="AE5837" t="s">
        <v>19580</v>
      </c>
      <c r="AF5837">
        <v>3</v>
      </c>
      <c r="AG5837">
        <v>2</v>
      </c>
      <c r="AH5837">
        <v>0</v>
      </c>
      <c r="AI5837">
        <v>353.64</v>
      </c>
      <c r="AL5837" t="s">
        <v>19614</v>
      </c>
      <c r="AM5837">
        <v>59800</v>
      </c>
      <c r="AS5837">
        <v>0</v>
      </c>
      <c r="AU5837" t="s">
        <v>20647</v>
      </c>
      <c r="AV5837" t="s">
        <v>20733</v>
      </c>
    </row>
    <row r="5838" spans="1:48">
      <c r="A5838" s="1">
        <f>HYPERLINK("https://lsnyc.legalserver.org/matter/dynamic-profile/view/1899804","19-1899804")</f>
        <v>0</v>
      </c>
      <c r="B5838" t="s">
        <v>113</v>
      </c>
      <c r="C5838" t="s">
        <v>256</v>
      </c>
      <c r="D5838" t="s">
        <v>411</v>
      </c>
      <c r="F5838" t="s">
        <v>1784</v>
      </c>
      <c r="G5838" t="s">
        <v>3629</v>
      </c>
      <c r="H5838" t="s">
        <v>5864</v>
      </c>
      <c r="I5838" t="s">
        <v>8999</v>
      </c>
      <c r="J5838" t="s">
        <v>9065</v>
      </c>
      <c r="K5838">
        <v>10460</v>
      </c>
      <c r="L5838" t="s">
        <v>9094</v>
      </c>
      <c r="M5838" t="s">
        <v>9095</v>
      </c>
      <c r="O5838" t="s">
        <v>9121</v>
      </c>
      <c r="P5838" t="s">
        <v>11166</v>
      </c>
      <c r="R5838" t="s">
        <v>11180</v>
      </c>
      <c r="S5838" t="s">
        <v>9094</v>
      </c>
      <c r="T5838" t="s">
        <v>11183</v>
      </c>
      <c r="V5838" t="s">
        <v>11218</v>
      </c>
      <c r="W5838">
        <v>1367</v>
      </c>
      <c r="X5838" t="s">
        <v>11333</v>
      </c>
      <c r="Y5838" t="s">
        <v>11346</v>
      </c>
      <c r="Z5838" t="s">
        <v>11583</v>
      </c>
      <c r="AB5838" t="s">
        <v>19318</v>
      </c>
      <c r="AC5838">
        <v>168</v>
      </c>
      <c r="AD5838" t="s">
        <v>19572</v>
      </c>
      <c r="AE5838" t="s">
        <v>9144</v>
      </c>
      <c r="AF5838">
        <v>24</v>
      </c>
      <c r="AG5838">
        <v>1</v>
      </c>
      <c r="AH5838">
        <v>0</v>
      </c>
      <c r="AI5838">
        <v>354.77</v>
      </c>
      <c r="AL5838" t="s">
        <v>19614</v>
      </c>
      <c r="AM5838">
        <v>44310.96</v>
      </c>
      <c r="AS5838">
        <v>0</v>
      </c>
      <c r="AU5838" t="s">
        <v>163</v>
      </c>
      <c r="AV5838" t="s">
        <v>20733</v>
      </c>
    </row>
    <row r="5839" spans="1:48">
      <c r="A5839" s="1">
        <f>HYPERLINK("https://lsnyc.legalserver.org/matter/dynamic-profile/view/1896395","19-1896395")</f>
        <v>0</v>
      </c>
      <c r="B5839" t="s">
        <v>49</v>
      </c>
      <c r="C5839" t="s">
        <v>257</v>
      </c>
      <c r="D5839" t="s">
        <v>350</v>
      </c>
      <c r="E5839" t="s">
        <v>1129</v>
      </c>
      <c r="F5839" t="s">
        <v>1597</v>
      </c>
      <c r="G5839" t="s">
        <v>4462</v>
      </c>
      <c r="H5839" t="s">
        <v>8051</v>
      </c>
      <c r="I5839" t="s">
        <v>8201</v>
      </c>
      <c r="J5839" t="s">
        <v>9038</v>
      </c>
      <c r="K5839">
        <v>11691</v>
      </c>
      <c r="L5839" t="s">
        <v>9094</v>
      </c>
      <c r="M5839" t="s">
        <v>9095</v>
      </c>
      <c r="N5839" t="s">
        <v>11085</v>
      </c>
      <c r="O5839" t="s">
        <v>11128</v>
      </c>
      <c r="P5839" t="s">
        <v>11165</v>
      </c>
      <c r="Q5839" t="s">
        <v>11174</v>
      </c>
      <c r="R5839" t="s">
        <v>11180</v>
      </c>
      <c r="S5839" t="s">
        <v>9096</v>
      </c>
      <c r="T5839" t="s">
        <v>11183</v>
      </c>
      <c r="U5839" t="s">
        <v>11201</v>
      </c>
      <c r="V5839" t="s">
        <v>283</v>
      </c>
      <c r="W5839">
        <v>1100</v>
      </c>
      <c r="X5839" t="s">
        <v>11331</v>
      </c>
      <c r="Y5839" t="s">
        <v>11354</v>
      </c>
      <c r="Z5839" t="s">
        <v>15004</v>
      </c>
      <c r="AA5839" t="s">
        <v>9144</v>
      </c>
      <c r="AB5839" t="s">
        <v>19319</v>
      </c>
      <c r="AC5839">
        <v>1</v>
      </c>
      <c r="AD5839" t="s">
        <v>19565</v>
      </c>
      <c r="AE5839" t="s">
        <v>9144</v>
      </c>
      <c r="AF5839">
        <v>-1</v>
      </c>
      <c r="AG5839">
        <v>2</v>
      </c>
      <c r="AH5839">
        <v>0</v>
      </c>
      <c r="AI5839">
        <v>354.82</v>
      </c>
      <c r="AL5839" t="s">
        <v>19614</v>
      </c>
      <c r="AM5839">
        <v>60000</v>
      </c>
      <c r="AN5839" t="s">
        <v>20189</v>
      </c>
      <c r="AO5839" t="s">
        <v>20290</v>
      </c>
      <c r="AP5839" t="s">
        <v>20309</v>
      </c>
      <c r="AQ5839" t="s">
        <v>20368</v>
      </c>
      <c r="AR5839" t="s">
        <v>20410</v>
      </c>
      <c r="AS5839">
        <v>12.55</v>
      </c>
      <c r="AT5839" t="s">
        <v>1129</v>
      </c>
      <c r="AU5839" t="s">
        <v>20638</v>
      </c>
      <c r="AV5839" t="s">
        <v>20733</v>
      </c>
    </row>
    <row r="5840" spans="1:48">
      <c r="A5840" s="1">
        <f>HYPERLINK("https://lsnyc.legalserver.org/matter/dynamic-profile/view/1898845","19-1898845")</f>
        <v>0</v>
      </c>
      <c r="B5840" t="s">
        <v>70</v>
      </c>
      <c r="C5840" t="s">
        <v>256</v>
      </c>
      <c r="D5840" t="s">
        <v>337</v>
      </c>
      <c r="F5840" t="s">
        <v>1293</v>
      </c>
      <c r="G5840" t="s">
        <v>5505</v>
      </c>
      <c r="H5840" t="s">
        <v>5748</v>
      </c>
      <c r="I5840" t="s">
        <v>9000</v>
      </c>
      <c r="J5840" t="s">
        <v>9059</v>
      </c>
      <c r="K5840">
        <v>11233</v>
      </c>
      <c r="L5840" t="s">
        <v>9094</v>
      </c>
      <c r="M5840" t="s">
        <v>9096</v>
      </c>
      <c r="N5840" t="s">
        <v>9145</v>
      </c>
      <c r="O5840" t="s">
        <v>11134</v>
      </c>
      <c r="P5840" t="s">
        <v>11168</v>
      </c>
      <c r="R5840" t="s">
        <v>11180</v>
      </c>
      <c r="S5840" t="s">
        <v>9094</v>
      </c>
      <c r="T5840" t="s">
        <v>11183</v>
      </c>
      <c r="U5840" t="s">
        <v>11201</v>
      </c>
      <c r="V5840" t="s">
        <v>482</v>
      </c>
      <c r="W5840">
        <v>0</v>
      </c>
      <c r="X5840" t="s">
        <v>11332</v>
      </c>
      <c r="Y5840" t="s">
        <v>11157</v>
      </c>
      <c r="Z5840" t="s">
        <v>15005</v>
      </c>
      <c r="AC5840">
        <v>359</v>
      </c>
      <c r="AD5840" t="s">
        <v>19566</v>
      </c>
      <c r="AF5840">
        <v>6</v>
      </c>
      <c r="AG5840">
        <v>1</v>
      </c>
      <c r="AH5840">
        <v>1</v>
      </c>
      <c r="AI5840">
        <v>354.82</v>
      </c>
      <c r="AL5840" t="s">
        <v>19614</v>
      </c>
      <c r="AM5840">
        <v>60000</v>
      </c>
      <c r="AN5840" t="s">
        <v>19642</v>
      </c>
      <c r="AS5840">
        <v>0</v>
      </c>
      <c r="AU5840" t="s">
        <v>79</v>
      </c>
    </row>
    <row r="5841" spans="1:48">
      <c r="A5841" s="1">
        <f>HYPERLINK("https://lsnyc.legalserver.org/matter/dynamic-profile/view/1898951","19-1898951")</f>
        <v>0</v>
      </c>
      <c r="B5841" t="s">
        <v>70</v>
      </c>
      <c r="C5841" t="s">
        <v>256</v>
      </c>
      <c r="D5841" t="s">
        <v>310</v>
      </c>
      <c r="F5841" t="s">
        <v>3211</v>
      </c>
      <c r="G5841" t="s">
        <v>5506</v>
      </c>
      <c r="H5841" t="s">
        <v>6474</v>
      </c>
      <c r="I5841" t="s">
        <v>8962</v>
      </c>
      <c r="J5841" t="s">
        <v>9059</v>
      </c>
      <c r="K5841">
        <v>11233</v>
      </c>
      <c r="L5841" t="s">
        <v>9094</v>
      </c>
      <c r="M5841" t="s">
        <v>9095</v>
      </c>
      <c r="N5841" t="s">
        <v>9146</v>
      </c>
      <c r="O5841" t="s">
        <v>11134</v>
      </c>
      <c r="P5841" t="s">
        <v>11168</v>
      </c>
      <c r="R5841" t="s">
        <v>11180</v>
      </c>
      <c r="S5841" t="s">
        <v>9094</v>
      </c>
      <c r="T5841" t="s">
        <v>11183</v>
      </c>
      <c r="U5841" t="s">
        <v>11201</v>
      </c>
      <c r="V5841" t="s">
        <v>482</v>
      </c>
      <c r="W5841">
        <v>888.58</v>
      </c>
      <c r="X5841" t="s">
        <v>11332</v>
      </c>
      <c r="Y5841" t="s">
        <v>11157</v>
      </c>
      <c r="Z5841" t="s">
        <v>15006</v>
      </c>
      <c r="AC5841">
        <v>359</v>
      </c>
      <c r="AD5841" t="s">
        <v>19566</v>
      </c>
      <c r="AF5841">
        <v>11</v>
      </c>
      <c r="AG5841">
        <v>1</v>
      </c>
      <c r="AH5841">
        <v>1</v>
      </c>
      <c r="AI5841">
        <v>354.82</v>
      </c>
      <c r="AL5841" t="s">
        <v>19614</v>
      </c>
      <c r="AM5841">
        <v>60000</v>
      </c>
      <c r="AN5841" t="s">
        <v>19642</v>
      </c>
      <c r="AS5841">
        <v>0</v>
      </c>
      <c r="AU5841" t="s">
        <v>79</v>
      </c>
      <c r="AV5841" t="s">
        <v>9144</v>
      </c>
    </row>
    <row r="5842" spans="1:48">
      <c r="A5842" s="1">
        <f>HYPERLINK("https://lsnyc.legalserver.org/matter/dynamic-profile/view/1898847","19-1898847")</f>
        <v>0</v>
      </c>
      <c r="B5842" t="s">
        <v>70</v>
      </c>
      <c r="C5842" t="s">
        <v>256</v>
      </c>
      <c r="D5842" t="s">
        <v>337</v>
      </c>
      <c r="F5842" t="s">
        <v>1293</v>
      </c>
      <c r="G5842" t="s">
        <v>5505</v>
      </c>
      <c r="H5842" t="s">
        <v>5748</v>
      </c>
      <c r="I5842" t="s">
        <v>9000</v>
      </c>
      <c r="J5842" t="s">
        <v>9059</v>
      </c>
      <c r="K5842">
        <v>11233</v>
      </c>
      <c r="L5842" t="s">
        <v>9094</v>
      </c>
      <c r="M5842" t="s">
        <v>9096</v>
      </c>
      <c r="O5842" t="s">
        <v>11137</v>
      </c>
      <c r="P5842" t="s">
        <v>11167</v>
      </c>
      <c r="R5842" t="s">
        <v>11180</v>
      </c>
      <c r="S5842" t="s">
        <v>9094</v>
      </c>
      <c r="T5842" t="s">
        <v>11183</v>
      </c>
      <c r="U5842" t="s">
        <v>11201</v>
      </c>
      <c r="V5842" t="s">
        <v>749</v>
      </c>
      <c r="W5842">
        <v>0</v>
      </c>
      <c r="X5842" t="s">
        <v>11332</v>
      </c>
      <c r="Y5842" t="s">
        <v>11157</v>
      </c>
      <c r="Z5842" t="s">
        <v>15005</v>
      </c>
      <c r="AC5842">
        <v>359</v>
      </c>
      <c r="AD5842" t="s">
        <v>19566</v>
      </c>
      <c r="AF5842">
        <v>6</v>
      </c>
      <c r="AG5842">
        <v>1</v>
      </c>
      <c r="AH5842">
        <v>1</v>
      </c>
      <c r="AI5842">
        <v>354.82</v>
      </c>
      <c r="AL5842" t="s">
        <v>19614</v>
      </c>
      <c r="AM5842">
        <v>60000</v>
      </c>
      <c r="AN5842" t="s">
        <v>20190</v>
      </c>
      <c r="AS5842">
        <v>0</v>
      </c>
      <c r="AU5842" t="s">
        <v>79</v>
      </c>
    </row>
    <row r="5843" spans="1:48">
      <c r="A5843" s="1">
        <f>HYPERLINK("https://lsnyc.legalserver.org/matter/dynamic-profile/view/1898953","19-1898953")</f>
        <v>0</v>
      </c>
      <c r="B5843" t="s">
        <v>70</v>
      </c>
      <c r="C5843" t="s">
        <v>256</v>
      </c>
      <c r="D5843" t="s">
        <v>310</v>
      </c>
      <c r="F5843" t="s">
        <v>3211</v>
      </c>
      <c r="G5843" t="s">
        <v>5506</v>
      </c>
      <c r="H5843" t="s">
        <v>6474</v>
      </c>
      <c r="I5843" t="s">
        <v>8962</v>
      </c>
      <c r="J5843" t="s">
        <v>9059</v>
      </c>
      <c r="K5843">
        <v>11233</v>
      </c>
      <c r="L5843" t="s">
        <v>9094</v>
      </c>
      <c r="M5843" t="s">
        <v>9095</v>
      </c>
      <c r="O5843" t="s">
        <v>11137</v>
      </c>
      <c r="P5843" t="s">
        <v>11167</v>
      </c>
      <c r="R5843" t="s">
        <v>11180</v>
      </c>
      <c r="S5843" t="s">
        <v>9094</v>
      </c>
      <c r="T5843" t="s">
        <v>11183</v>
      </c>
      <c r="U5843" t="s">
        <v>11201</v>
      </c>
      <c r="V5843" t="s">
        <v>749</v>
      </c>
      <c r="W5843">
        <v>888.58</v>
      </c>
      <c r="X5843" t="s">
        <v>11332</v>
      </c>
      <c r="Y5843" t="s">
        <v>11157</v>
      </c>
      <c r="Z5843" t="s">
        <v>15006</v>
      </c>
      <c r="AC5843">
        <v>359</v>
      </c>
      <c r="AD5843" t="s">
        <v>19566</v>
      </c>
      <c r="AF5843">
        <v>11</v>
      </c>
      <c r="AG5843">
        <v>1</v>
      </c>
      <c r="AH5843">
        <v>1</v>
      </c>
      <c r="AI5843">
        <v>354.82</v>
      </c>
      <c r="AL5843" t="s">
        <v>19614</v>
      </c>
      <c r="AM5843">
        <v>60000</v>
      </c>
      <c r="AN5843" t="s">
        <v>20191</v>
      </c>
      <c r="AS5843">
        <v>0</v>
      </c>
      <c r="AU5843" t="s">
        <v>79</v>
      </c>
      <c r="AV5843" t="s">
        <v>9144</v>
      </c>
    </row>
    <row r="5844" spans="1:48">
      <c r="A5844" s="1">
        <f>HYPERLINK("https://lsnyc.legalserver.org/matter/dynamic-profile/view/1912810","19-1912810")</f>
        <v>0</v>
      </c>
      <c r="B5844" t="s">
        <v>99</v>
      </c>
      <c r="C5844" t="s">
        <v>256</v>
      </c>
      <c r="D5844" t="s">
        <v>563</v>
      </c>
      <c r="F5844" t="s">
        <v>3212</v>
      </c>
      <c r="G5844" t="s">
        <v>5507</v>
      </c>
      <c r="H5844" t="s">
        <v>8052</v>
      </c>
      <c r="J5844" t="s">
        <v>9065</v>
      </c>
      <c r="K5844">
        <v>10457</v>
      </c>
      <c r="L5844" t="s">
        <v>9094</v>
      </c>
      <c r="M5844" t="s">
        <v>9095</v>
      </c>
      <c r="O5844" t="s">
        <v>9121</v>
      </c>
      <c r="P5844" t="s">
        <v>11164</v>
      </c>
      <c r="R5844" t="s">
        <v>11180</v>
      </c>
      <c r="S5844" t="s">
        <v>9096</v>
      </c>
      <c r="T5844" t="s">
        <v>11183</v>
      </c>
      <c r="V5844" t="s">
        <v>286</v>
      </c>
      <c r="W5844">
        <v>1350</v>
      </c>
      <c r="X5844" t="s">
        <v>11333</v>
      </c>
      <c r="Y5844" t="s">
        <v>11346</v>
      </c>
      <c r="Z5844" t="s">
        <v>15007</v>
      </c>
      <c r="AB5844" t="s">
        <v>19320</v>
      </c>
      <c r="AC5844">
        <v>0</v>
      </c>
      <c r="AE5844" t="s">
        <v>9144</v>
      </c>
      <c r="AF5844">
        <v>3</v>
      </c>
      <c r="AG5844">
        <v>1</v>
      </c>
      <c r="AH5844">
        <v>1</v>
      </c>
      <c r="AI5844">
        <v>354.82</v>
      </c>
      <c r="AL5844" t="s">
        <v>19615</v>
      </c>
      <c r="AM5844">
        <v>60000</v>
      </c>
      <c r="AS5844">
        <v>2.1</v>
      </c>
      <c r="AT5844" t="s">
        <v>556</v>
      </c>
      <c r="AU5844" t="s">
        <v>99</v>
      </c>
      <c r="AV5844" t="s">
        <v>20733</v>
      </c>
    </row>
    <row r="5845" spans="1:48">
      <c r="A5845" s="1">
        <f>HYPERLINK("https://lsnyc.legalserver.org/matter/dynamic-profile/view/1906660","19-1906660")</f>
        <v>0</v>
      </c>
      <c r="B5845" t="s">
        <v>117</v>
      </c>
      <c r="C5845" t="s">
        <v>256</v>
      </c>
      <c r="D5845" t="s">
        <v>333</v>
      </c>
      <c r="F5845" t="s">
        <v>3213</v>
      </c>
      <c r="G5845" t="s">
        <v>4881</v>
      </c>
      <c r="H5845" t="s">
        <v>5899</v>
      </c>
      <c r="I5845" t="s">
        <v>8164</v>
      </c>
      <c r="J5845" t="s">
        <v>9065</v>
      </c>
      <c r="K5845">
        <v>10452</v>
      </c>
      <c r="L5845" t="s">
        <v>9094</v>
      </c>
      <c r="M5845" t="s">
        <v>9095</v>
      </c>
      <c r="R5845" t="s">
        <v>11180</v>
      </c>
      <c r="S5845" t="s">
        <v>9094</v>
      </c>
      <c r="T5845" t="s">
        <v>11183</v>
      </c>
      <c r="W5845">
        <v>15</v>
      </c>
      <c r="X5845" t="s">
        <v>11333</v>
      </c>
      <c r="Y5845" t="s">
        <v>11346</v>
      </c>
      <c r="Z5845" t="s">
        <v>15008</v>
      </c>
      <c r="AB5845" t="s">
        <v>19321</v>
      </c>
      <c r="AC5845">
        <v>65</v>
      </c>
      <c r="AD5845" t="s">
        <v>19566</v>
      </c>
      <c r="AE5845" t="s">
        <v>9144</v>
      </c>
      <c r="AF5845">
        <v>15</v>
      </c>
      <c r="AG5845">
        <v>2</v>
      </c>
      <c r="AH5845">
        <v>0</v>
      </c>
      <c r="AI5845">
        <v>354.82</v>
      </c>
      <c r="AL5845" t="s">
        <v>19614</v>
      </c>
      <c r="AM5845">
        <v>60000</v>
      </c>
      <c r="AS5845">
        <v>9</v>
      </c>
      <c r="AT5845" t="s">
        <v>481</v>
      </c>
      <c r="AU5845" t="s">
        <v>220</v>
      </c>
    </row>
    <row r="5846" spans="1:48">
      <c r="A5846" s="1">
        <f>HYPERLINK("https://lsnyc.legalserver.org/matter/dynamic-profile/view/1914867","19-1914867")</f>
        <v>0</v>
      </c>
      <c r="B5846" t="s">
        <v>117</v>
      </c>
      <c r="C5846" t="s">
        <v>256</v>
      </c>
      <c r="D5846" t="s">
        <v>331</v>
      </c>
      <c r="F5846" t="s">
        <v>3213</v>
      </c>
      <c r="G5846" t="s">
        <v>4881</v>
      </c>
      <c r="H5846" t="s">
        <v>5899</v>
      </c>
      <c r="I5846" t="s">
        <v>8164</v>
      </c>
      <c r="J5846" t="s">
        <v>9065</v>
      </c>
      <c r="K5846">
        <v>10452</v>
      </c>
      <c r="L5846" t="s">
        <v>9094</v>
      </c>
      <c r="M5846" t="s">
        <v>9095</v>
      </c>
      <c r="R5846" t="s">
        <v>11180</v>
      </c>
      <c r="S5846" t="s">
        <v>9094</v>
      </c>
      <c r="T5846" t="s">
        <v>11183</v>
      </c>
      <c r="W5846">
        <v>15</v>
      </c>
      <c r="X5846" t="s">
        <v>11333</v>
      </c>
      <c r="Y5846" t="s">
        <v>11346</v>
      </c>
      <c r="Z5846" t="s">
        <v>15008</v>
      </c>
      <c r="AB5846" t="s">
        <v>19321</v>
      </c>
      <c r="AC5846">
        <v>65</v>
      </c>
      <c r="AD5846" t="s">
        <v>19566</v>
      </c>
      <c r="AE5846" t="s">
        <v>9144</v>
      </c>
      <c r="AF5846">
        <v>15</v>
      </c>
      <c r="AG5846">
        <v>2</v>
      </c>
      <c r="AH5846">
        <v>0</v>
      </c>
      <c r="AI5846">
        <v>354.82</v>
      </c>
      <c r="AL5846" t="s">
        <v>19614</v>
      </c>
      <c r="AM5846">
        <v>60000</v>
      </c>
      <c r="AS5846">
        <v>0</v>
      </c>
      <c r="AU5846" t="s">
        <v>220</v>
      </c>
    </row>
    <row r="5847" spans="1:48">
      <c r="A5847" s="1">
        <f>HYPERLINK("https://lsnyc.legalserver.org/matter/dynamic-profile/view/1904308","19-1904308")</f>
        <v>0</v>
      </c>
      <c r="B5847" t="s">
        <v>137</v>
      </c>
      <c r="C5847" t="s">
        <v>256</v>
      </c>
      <c r="D5847" t="s">
        <v>265</v>
      </c>
      <c r="F5847" t="s">
        <v>3214</v>
      </c>
      <c r="G5847" t="s">
        <v>3448</v>
      </c>
      <c r="H5847" t="s">
        <v>6274</v>
      </c>
      <c r="I5847" t="s">
        <v>8209</v>
      </c>
      <c r="J5847" t="s">
        <v>9067</v>
      </c>
      <c r="K5847">
        <v>10034</v>
      </c>
      <c r="L5847" t="s">
        <v>9094</v>
      </c>
      <c r="M5847" t="s">
        <v>9095</v>
      </c>
      <c r="O5847" t="s">
        <v>11136</v>
      </c>
      <c r="P5847" t="s">
        <v>11169</v>
      </c>
      <c r="R5847" t="s">
        <v>11180</v>
      </c>
      <c r="S5847" t="s">
        <v>9096</v>
      </c>
      <c r="T5847" t="s">
        <v>11183</v>
      </c>
      <c r="V5847" t="s">
        <v>265</v>
      </c>
      <c r="W5847">
        <v>2100</v>
      </c>
      <c r="X5847" t="s">
        <v>11335</v>
      </c>
      <c r="Y5847" t="s">
        <v>11338</v>
      </c>
      <c r="Z5847" t="s">
        <v>15009</v>
      </c>
      <c r="AC5847">
        <v>69</v>
      </c>
      <c r="AD5847" t="s">
        <v>19566</v>
      </c>
      <c r="AE5847" t="s">
        <v>9144</v>
      </c>
      <c r="AF5847">
        <v>8</v>
      </c>
      <c r="AG5847">
        <v>2</v>
      </c>
      <c r="AH5847">
        <v>0</v>
      </c>
      <c r="AI5847">
        <v>354.82</v>
      </c>
      <c r="AL5847" t="s">
        <v>19614</v>
      </c>
      <c r="AM5847">
        <v>60000</v>
      </c>
      <c r="AS5847">
        <v>0</v>
      </c>
      <c r="AU5847" t="s">
        <v>130</v>
      </c>
      <c r="AV5847" t="s">
        <v>20733</v>
      </c>
    </row>
    <row r="5848" spans="1:48">
      <c r="A5848" s="1">
        <f>HYPERLINK("https://lsnyc.legalserver.org/matter/dynamic-profile/view/1906399","19-1906399")</f>
        <v>0</v>
      </c>
      <c r="B5848" t="s">
        <v>139</v>
      </c>
      <c r="C5848" t="s">
        <v>256</v>
      </c>
      <c r="D5848" t="s">
        <v>493</v>
      </c>
      <c r="F5848" t="s">
        <v>3215</v>
      </c>
      <c r="G5848" t="s">
        <v>5240</v>
      </c>
      <c r="H5848" t="s">
        <v>7528</v>
      </c>
      <c r="I5848">
        <v>55</v>
      </c>
      <c r="J5848" t="s">
        <v>9067</v>
      </c>
      <c r="K5848">
        <v>10032</v>
      </c>
      <c r="L5848" t="s">
        <v>9094</v>
      </c>
      <c r="M5848" t="s">
        <v>9095</v>
      </c>
      <c r="O5848" t="s">
        <v>11130</v>
      </c>
      <c r="P5848" t="s">
        <v>11166</v>
      </c>
      <c r="R5848" t="s">
        <v>11180</v>
      </c>
      <c r="S5848" t="s">
        <v>9094</v>
      </c>
      <c r="T5848" t="s">
        <v>11183</v>
      </c>
      <c r="V5848" t="s">
        <v>493</v>
      </c>
      <c r="W5848">
        <v>2395</v>
      </c>
      <c r="X5848" t="s">
        <v>11335</v>
      </c>
      <c r="Y5848" t="s">
        <v>11338</v>
      </c>
      <c r="Z5848" t="s">
        <v>15010</v>
      </c>
      <c r="AB5848" t="s">
        <v>19322</v>
      </c>
      <c r="AC5848">
        <v>46</v>
      </c>
      <c r="AD5848" t="s">
        <v>19566</v>
      </c>
      <c r="AE5848" t="s">
        <v>9144</v>
      </c>
      <c r="AF5848">
        <v>2</v>
      </c>
      <c r="AG5848">
        <v>2</v>
      </c>
      <c r="AH5848">
        <v>0</v>
      </c>
      <c r="AI5848">
        <v>354.82</v>
      </c>
      <c r="AJ5848" t="s">
        <v>404</v>
      </c>
      <c r="AK5848" t="s">
        <v>19612</v>
      </c>
      <c r="AL5848" t="s">
        <v>19614</v>
      </c>
      <c r="AM5848">
        <v>60000</v>
      </c>
      <c r="AS5848">
        <v>0</v>
      </c>
      <c r="AU5848" t="s">
        <v>130</v>
      </c>
      <c r="AV5848" t="s">
        <v>20733</v>
      </c>
    </row>
    <row r="5849" spans="1:48">
      <c r="A5849" s="1">
        <f>HYPERLINK("https://lsnyc.legalserver.org/matter/dynamic-profile/view/1897234","19-1897234")</f>
        <v>0</v>
      </c>
      <c r="B5849" t="s">
        <v>71</v>
      </c>
      <c r="C5849" t="s">
        <v>256</v>
      </c>
      <c r="D5849" t="s">
        <v>317</v>
      </c>
      <c r="F5849" t="s">
        <v>1255</v>
      </c>
      <c r="G5849" t="s">
        <v>3359</v>
      </c>
      <c r="H5849" t="s">
        <v>6663</v>
      </c>
      <c r="I5849" t="s">
        <v>8615</v>
      </c>
      <c r="J5849" t="s">
        <v>9059</v>
      </c>
      <c r="K5849">
        <v>11212</v>
      </c>
      <c r="L5849" t="s">
        <v>9094</v>
      </c>
      <c r="M5849" t="s">
        <v>9094</v>
      </c>
      <c r="N5849" t="s">
        <v>11086</v>
      </c>
      <c r="O5849" t="s">
        <v>11128</v>
      </c>
      <c r="P5849" t="s">
        <v>11165</v>
      </c>
      <c r="R5849" t="s">
        <v>11180</v>
      </c>
      <c r="S5849" t="s">
        <v>9096</v>
      </c>
      <c r="T5849" t="s">
        <v>11183</v>
      </c>
      <c r="U5849" t="s">
        <v>11201</v>
      </c>
      <c r="V5849" t="s">
        <v>614</v>
      </c>
      <c r="W5849">
        <v>1154.67</v>
      </c>
      <c r="X5849" t="s">
        <v>11332</v>
      </c>
      <c r="Y5849" t="s">
        <v>11157</v>
      </c>
      <c r="Z5849" t="s">
        <v>15011</v>
      </c>
      <c r="AB5849" t="s">
        <v>19323</v>
      </c>
      <c r="AC5849">
        <v>172</v>
      </c>
      <c r="AD5849" t="s">
        <v>19566</v>
      </c>
      <c r="AE5849" t="s">
        <v>9144</v>
      </c>
      <c r="AF5849">
        <v>11</v>
      </c>
      <c r="AG5849">
        <v>4</v>
      </c>
      <c r="AH5849">
        <v>0</v>
      </c>
      <c r="AI5849">
        <v>355.11</v>
      </c>
      <c r="AL5849" t="s">
        <v>19614</v>
      </c>
      <c r="AM5849">
        <v>91440</v>
      </c>
      <c r="AS5849">
        <v>26.1</v>
      </c>
      <c r="AT5849" t="s">
        <v>377</v>
      </c>
      <c r="AU5849" t="s">
        <v>79</v>
      </c>
      <c r="AV5849" t="s">
        <v>20733</v>
      </c>
    </row>
    <row r="5850" spans="1:48">
      <c r="A5850" s="1">
        <f>HYPERLINK("https://lsnyc.legalserver.org/matter/dynamic-profile/view/1888939","19-1888939")</f>
        <v>0</v>
      </c>
      <c r="B5850" t="s">
        <v>118</v>
      </c>
      <c r="C5850" t="s">
        <v>256</v>
      </c>
      <c r="D5850" t="s">
        <v>616</v>
      </c>
      <c r="F5850" t="s">
        <v>3216</v>
      </c>
      <c r="G5850" t="s">
        <v>5508</v>
      </c>
      <c r="H5850" t="s">
        <v>6158</v>
      </c>
      <c r="I5850" t="s">
        <v>8178</v>
      </c>
      <c r="J5850" t="s">
        <v>9065</v>
      </c>
      <c r="K5850">
        <v>10452</v>
      </c>
      <c r="L5850" t="s">
        <v>9094</v>
      </c>
      <c r="M5850" t="s">
        <v>9094</v>
      </c>
      <c r="N5850" t="s">
        <v>9447</v>
      </c>
      <c r="O5850" t="s">
        <v>11132</v>
      </c>
      <c r="P5850" t="s">
        <v>11165</v>
      </c>
      <c r="R5850" t="s">
        <v>11180</v>
      </c>
      <c r="S5850" t="s">
        <v>9094</v>
      </c>
      <c r="T5850" t="s">
        <v>11183</v>
      </c>
      <c r="V5850" t="s">
        <v>11218</v>
      </c>
      <c r="W5850">
        <v>827.3099999999999</v>
      </c>
      <c r="X5850" t="s">
        <v>11333</v>
      </c>
      <c r="Y5850" t="s">
        <v>11346</v>
      </c>
      <c r="Z5850" t="s">
        <v>15012</v>
      </c>
      <c r="AB5850" t="s">
        <v>19324</v>
      </c>
      <c r="AC5850">
        <v>0</v>
      </c>
      <c r="AD5850" t="s">
        <v>19566</v>
      </c>
      <c r="AE5850" t="s">
        <v>9144</v>
      </c>
      <c r="AF5850">
        <v>37</v>
      </c>
      <c r="AG5850">
        <v>1</v>
      </c>
      <c r="AH5850">
        <v>0</v>
      </c>
      <c r="AI5850">
        <v>355.48</v>
      </c>
      <c r="AL5850" t="s">
        <v>19614</v>
      </c>
      <c r="AM5850">
        <v>44400</v>
      </c>
      <c r="AS5850">
        <v>0</v>
      </c>
      <c r="AU5850" t="s">
        <v>174</v>
      </c>
      <c r="AV5850" t="s">
        <v>20733</v>
      </c>
    </row>
    <row r="5851" spans="1:48">
      <c r="A5851" s="1">
        <f>HYPERLINK("https://lsnyc.legalserver.org/matter/dynamic-profile/view/1865285","18-1865285")</f>
        <v>0</v>
      </c>
      <c r="B5851" t="s">
        <v>111</v>
      </c>
      <c r="C5851" t="s">
        <v>256</v>
      </c>
      <c r="D5851" t="s">
        <v>872</v>
      </c>
      <c r="F5851" t="s">
        <v>1457</v>
      </c>
      <c r="G5851" t="s">
        <v>3419</v>
      </c>
      <c r="H5851" t="s">
        <v>6895</v>
      </c>
      <c r="I5851" t="s">
        <v>9001</v>
      </c>
      <c r="J5851" t="s">
        <v>9065</v>
      </c>
      <c r="K5851">
        <v>10452</v>
      </c>
      <c r="L5851" t="s">
        <v>9094</v>
      </c>
      <c r="M5851" t="s">
        <v>9095</v>
      </c>
      <c r="N5851" t="s">
        <v>9407</v>
      </c>
      <c r="O5851" t="s">
        <v>11135</v>
      </c>
      <c r="P5851" t="s">
        <v>11168</v>
      </c>
      <c r="R5851" t="s">
        <v>11180</v>
      </c>
      <c r="S5851" t="s">
        <v>9094</v>
      </c>
      <c r="T5851" t="s">
        <v>11183</v>
      </c>
      <c r="V5851" t="s">
        <v>638</v>
      </c>
      <c r="W5851">
        <v>843.21</v>
      </c>
      <c r="X5851" t="s">
        <v>11333</v>
      </c>
      <c r="Y5851" t="s">
        <v>11346</v>
      </c>
      <c r="Z5851" t="s">
        <v>14727</v>
      </c>
      <c r="AB5851" t="s">
        <v>19050</v>
      </c>
      <c r="AC5851">
        <v>70</v>
      </c>
      <c r="AD5851" t="s">
        <v>19566</v>
      </c>
      <c r="AF5851">
        <v>28</v>
      </c>
      <c r="AG5851">
        <v>3</v>
      </c>
      <c r="AH5851">
        <v>0</v>
      </c>
      <c r="AI5851">
        <v>356.75</v>
      </c>
      <c r="AL5851" t="s">
        <v>19615</v>
      </c>
      <c r="AM5851">
        <v>74132.92</v>
      </c>
      <c r="AS5851">
        <v>0</v>
      </c>
      <c r="AU5851" t="s">
        <v>20647</v>
      </c>
    </row>
    <row r="5852" spans="1:48">
      <c r="A5852" s="1">
        <f>HYPERLINK("https://lsnyc.legalserver.org/matter/dynamic-profile/view/1881231","18-1881231")</f>
        <v>0</v>
      </c>
      <c r="B5852" t="s">
        <v>132</v>
      </c>
      <c r="C5852" t="s">
        <v>256</v>
      </c>
      <c r="D5852" t="s">
        <v>639</v>
      </c>
      <c r="F5852" t="s">
        <v>2199</v>
      </c>
      <c r="G5852" t="s">
        <v>4432</v>
      </c>
      <c r="H5852" t="s">
        <v>5936</v>
      </c>
      <c r="I5852" t="s">
        <v>8153</v>
      </c>
      <c r="J5852" t="s">
        <v>9067</v>
      </c>
      <c r="K5852">
        <v>10040</v>
      </c>
      <c r="L5852" t="s">
        <v>9094</v>
      </c>
      <c r="M5852" t="s">
        <v>9094</v>
      </c>
      <c r="O5852" t="s">
        <v>11137</v>
      </c>
      <c r="P5852" t="s">
        <v>11166</v>
      </c>
      <c r="R5852" t="s">
        <v>11180</v>
      </c>
      <c r="S5852" t="s">
        <v>9094</v>
      </c>
      <c r="T5852" t="s">
        <v>11183</v>
      </c>
      <c r="V5852" t="s">
        <v>639</v>
      </c>
      <c r="W5852">
        <v>1650</v>
      </c>
      <c r="X5852" t="s">
        <v>11335</v>
      </c>
      <c r="Y5852" t="s">
        <v>11338</v>
      </c>
      <c r="Z5852" t="s">
        <v>15013</v>
      </c>
      <c r="AB5852" t="s">
        <v>19325</v>
      </c>
      <c r="AC5852">
        <v>42</v>
      </c>
      <c r="AD5852" t="s">
        <v>19566</v>
      </c>
      <c r="AE5852" t="s">
        <v>9144</v>
      </c>
      <c r="AF5852">
        <v>9</v>
      </c>
      <c r="AG5852">
        <v>2</v>
      </c>
      <c r="AH5852">
        <v>2</v>
      </c>
      <c r="AI5852">
        <v>358.57</v>
      </c>
      <c r="AJ5852" t="s">
        <v>527</v>
      </c>
      <c r="AK5852" t="s">
        <v>19613</v>
      </c>
      <c r="AL5852" t="s">
        <v>19615</v>
      </c>
      <c r="AM5852">
        <v>90000</v>
      </c>
      <c r="AS5852">
        <v>1.9</v>
      </c>
      <c r="AT5852" t="s">
        <v>484</v>
      </c>
      <c r="AU5852" t="s">
        <v>130</v>
      </c>
      <c r="AV5852" t="s">
        <v>20733</v>
      </c>
    </row>
    <row r="5853" spans="1:48">
      <c r="A5853" s="1">
        <f>HYPERLINK("https://lsnyc.legalserver.org/matter/dynamic-profile/view/1913294","19-1913294")</f>
        <v>0</v>
      </c>
      <c r="B5853" t="s">
        <v>70</v>
      </c>
      <c r="C5853" t="s">
        <v>256</v>
      </c>
      <c r="D5853" t="s">
        <v>1063</v>
      </c>
      <c r="F5853" t="s">
        <v>1277</v>
      </c>
      <c r="G5853" t="s">
        <v>5509</v>
      </c>
      <c r="H5853" t="s">
        <v>6621</v>
      </c>
      <c r="I5853">
        <v>27</v>
      </c>
      <c r="J5853" t="s">
        <v>9059</v>
      </c>
      <c r="K5853">
        <v>11213</v>
      </c>
      <c r="L5853" t="s">
        <v>9094</v>
      </c>
      <c r="M5853" t="s">
        <v>9095</v>
      </c>
      <c r="O5853" t="s">
        <v>11132</v>
      </c>
      <c r="P5853" t="s">
        <v>11165</v>
      </c>
      <c r="R5853" t="s">
        <v>11180</v>
      </c>
      <c r="S5853" t="s">
        <v>9094</v>
      </c>
      <c r="T5853" t="s">
        <v>11183</v>
      </c>
      <c r="U5853" t="s">
        <v>11201</v>
      </c>
      <c r="V5853" t="s">
        <v>11243</v>
      </c>
      <c r="W5853">
        <v>861.2</v>
      </c>
      <c r="X5853" t="s">
        <v>11332</v>
      </c>
      <c r="Y5853" t="s">
        <v>11346</v>
      </c>
      <c r="Z5853" t="s">
        <v>15014</v>
      </c>
      <c r="AA5853" t="s">
        <v>9144</v>
      </c>
      <c r="AB5853" t="s">
        <v>19326</v>
      </c>
      <c r="AC5853">
        <v>31</v>
      </c>
      <c r="AD5853" t="s">
        <v>19566</v>
      </c>
      <c r="AE5853" t="s">
        <v>9144</v>
      </c>
      <c r="AF5853">
        <v>34</v>
      </c>
      <c r="AG5853">
        <v>2</v>
      </c>
      <c r="AH5853">
        <v>0</v>
      </c>
      <c r="AI5853">
        <v>359.55</v>
      </c>
      <c r="AL5853" t="s">
        <v>19614</v>
      </c>
      <c r="AM5853">
        <v>60800</v>
      </c>
      <c r="AN5853" t="s">
        <v>20192</v>
      </c>
      <c r="AS5853">
        <v>70.59999999999999</v>
      </c>
      <c r="AT5853" t="s">
        <v>594</v>
      </c>
      <c r="AU5853" t="s">
        <v>95</v>
      </c>
      <c r="AV5853" t="s">
        <v>20733</v>
      </c>
    </row>
    <row r="5854" spans="1:48">
      <c r="A5854" s="1">
        <f>HYPERLINK("https://lsnyc.legalserver.org/matter/dynamic-profile/view/1914790","19-1914790")</f>
        <v>0</v>
      </c>
      <c r="B5854" t="s">
        <v>202</v>
      </c>
      <c r="C5854" t="s">
        <v>256</v>
      </c>
      <c r="D5854" t="s">
        <v>632</v>
      </c>
      <c r="F5854" t="s">
        <v>1277</v>
      </c>
      <c r="G5854" t="s">
        <v>5509</v>
      </c>
      <c r="H5854" t="s">
        <v>6621</v>
      </c>
      <c r="I5854">
        <v>27</v>
      </c>
      <c r="J5854" t="s">
        <v>9059</v>
      </c>
      <c r="K5854">
        <v>11213</v>
      </c>
      <c r="L5854" t="s">
        <v>9094</v>
      </c>
      <c r="M5854" t="s">
        <v>9095</v>
      </c>
      <c r="N5854" t="s">
        <v>10263</v>
      </c>
      <c r="O5854" t="s">
        <v>11132</v>
      </c>
      <c r="P5854" t="s">
        <v>11165</v>
      </c>
      <c r="R5854" t="s">
        <v>11180</v>
      </c>
      <c r="S5854" t="s">
        <v>9094</v>
      </c>
      <c r="T5854" t="s">
        <v>11183</v>
      </c>
      <c r="U5854" t="s">
        <v>11201</v>
      </c>
      <c r="V5854" t="s">
        <v>11243</v>
      </c>
      <c r="W5854">
        <v>861.2</v>
      </c>
      <c r="X5854" t="s">
        <v>11332</v>
      </c>
      <c r="Y5854" t="s">
        <v>11346</v>
      </c>
      <c r="Z5854" t="s">
        <v>15014</v>
      </c>
      <c r="AA5854" t="s">
        <v>9171</v>
      </c>
      <c r="AB5854" t="s">
        <v>19326</v>
      </c>
      <c r="AC5854">
        <v>31</v>
      </c>
      <c r="AD5854" t="s">
        <v>19566</v>
      </c>
      <c r="AE5854" t="s">
        <v>9144</v>
      </c>
      <c r="AF5854">
        <v>34</v>
      </c>
      <c r="AG5854">
        <v>2</v>
      </c>
      <c r="AH5854">
        <v>0</v>
      </c>
      <c r="AI5854">
        <v>359.55</v>
      </c>
      <c r="AK5854" t="s">
        <v>19612</v>
      </c>
      <c r="AL5854" t="s">
        <v>19614</v>
      </c>
      <c r="AM5854">
        <v>60800</v>
      </c>
      <c r="AN5854" t="s">
        <v>20193</v>
      </c>
      <c r="AS5854">
        <v>0</v>
      </c>
      <c r="AU5854" t="s">
        <v>95</v>
      </c>
      <c r="AV5854" t="s">
        <v>20733</v>
      </c>
    </row>
    <row r="5855" spans="1:48">
      <c r="A5855" s="1">
        <f>HYPERLINK("https://lsnyc.legalserver.org/matter/dynamic-profile/view/1900725","19-1900725")</f>
        <v>0</v>
      </c>
      <c r="B5855" t="s">
        <v>76</v>
      </c>
      <c r="C5855" t="s">
        <v>256</v>
      </c>
      <c r="D5855" t="s">
        <v>338</v>
      </c>
      <c r="F5855" t="s">
        <v>1277</v>
      </c>
      <c r="G5855" t="s">
        <v>5509</v>
      </c>
      <c r="H5855" t="s">
        <v>6621</v>
      </c>
      <c r="I5855">
        <v>27</v>
      </c>
      <c r="J5855" t="s">
        <v>9059</v>
      </c>
      <c r="K5855">
        <v>11213</v>
      </c>
      <c r="L5855" t="s">
        <v>9094</v>
      </c>
      <c r="M5855" t="s">
        <v>9095</v>
      </c>
      <c r="N5855" t="s">
        <v>9144</v>
      </c>
      <c r="O5855" t="s">
        <v>9121</v>
      </c>
      <c r="P5855" t="s">
        <v>11167</v>
      </c>
      <c r="R5855" t="s">
        <v>11180</v>
      </c>
      <c r="S5855" t="s">
        <v>9094</v>
      </c>
      <c r="T5855" t="s">
        <v>11183</v>
      </c>
      <c r="U5855" t="s">
        <v>11201</v>
      </c>
      <c r="V5855" t="s">
        <v>291</v>
      </c>
      <c r="W5855">
        <v>861.2</v>
      </c>
      <c r="X5855" t="s">
        <v>11332</v>
      </c>
      <c r="Y5855" t="s">
        <v>11346</v>
      </c>
      <c r="Z5855" t="s">
        <v>15014</v>
      </c>
      <c r="AB5855" t="s">
        <v>19326</v>
      </c>
      <c r="AC5855">
        <v>31</v>
      </c>
      <c r="AD5855" t="s">
        <v>19566</v>
      </c>
      <c r="AE5855" t="s">
        <v>9144</v>
      </c>
      <c r="AF5855">
        <v>34</v>
      </c>
      <c r="AG5855">
        <v>2</v>
      </c>
      <c r="AH5855">
        <v>0</v>
      </c>
      <c r="AI5855">
        <v>359.55</v>
      </c>
      <c r="AL5855" t="s">
        <v>19614</v>
      </c>
      <c r="AM5855">
        <v>60800</v>
      </c>
      <c r="AN5855" t="s">
        <v>20194</v>
      </c>
      <c r="AS5855">
        <v>0</v>
      </c>
      <c r="AU5855" t="s">
        <v>95</v>
      </c>
      <c r="AV5855" t="s">
        <v>20733</v>
      </c>
    </row>
    <row r="5856" spans="1:48">
      <c r="A5856" s="1">
        <f>HYPERLINK("https://lsnyc.legalserver.org/matter/dynamic-profile/view/1898982","19-1898982")</f>
        <v>0</v>
      </c>
      <c r="B5856" t="s">
        <v>70</v>
      </c>
      <c r="C5856" t="s">
        <v>256</v>
      </c>
      <c r="D5856" t="s">
        <v>310</v>
      </c>
      <c r="F5856" t="s">
        <v>3217</v>
      </c>
      <c r="G5856" t="s">
        <v>3344</v>
      </c>
      <c r="H5856" t="s">
        <v>5748</v>
      </c>
      <c r="I5856" t="s">
        <v>8969</v>
      </c>
      <c r="J5856" t="s">
        <v>9059</v>
      </c>
      <c r="K5856">
        <v>11233</v>
      </c>
      <c r="L5856" t="s">
        <v>9094</v>
      </c>
      <c r="M5856" t="s">
        <v>9095</v>
      </c>
      <c r="N5856" t="s">
        <v>9145</v>
      </c>
      <c r="O5856" t="s">
        <v>11134</v>
      </c>
      <c r="P5856" t="s">
        <v>11168</v>
      </c>
      <c r="R5856" t="s">
        <v>11180</v>
      </c>
      <c r="S5856" t="s">
        <v>9094</v>
      </c>
      <c r="T5856" t="s">
        <v>11183</v>
      </c>
      <c r="U5856" t="s">
        <v>11201</v>
      </c>
      <c r="V5856" t="s">
        <v>482</v>
      </c>
      <c r="W5856">
        <v>1162</v>
      </c>
      <c r="X5856" t="s">
        <v>11332</v>
      </c>
      <c r="Y5856" t="s">
        <v>11157</v>
      </c>
      <c r="Z5856" t="s">
        <v>15015</v>
      </c>
      <c r="AC5856">
        <v>359</v>
      </c>
      <c r="AD5856" t="s">
        <v>19566</v>
      </c>
      <c r="AF5856">
        <v>55</v>
      </c>
      <c r="AG5856">
        <v>1</v>
      </c>
      <c r="AH5856">
        <v>0</v>
      </c>
      <c r="AI5856">
        <v>360.29</v>
      </c>
      <c r="AL5856" t="s">
        <v>19614</v>
      </c>
      <c r="AM5856">
        <v>45000</v>
      </c>
      <c r="AN5856" t="s">
        <v>19951</v>
      </c>
      <c r="AS5856">
        <v>0</v>
      </c>
      <c r="AU5856" t="s">
        <v>79</v>
      </c>
      <c r="AV5856" t="s">
        <v>9144</v>
      </c>
    </row>
    <row r="5857" spans="1:48">
      <c r="A5857" s="1">
        <f>HYPERLINK("https://lsnyc.legalserver.org/matter/dynamic-profile/view/1898983","19-1898983")</f>
        <v>0</v>
      </c>
      <c r="B5857" t="s">
        <v>70</v>
      </c>
      <c r="C5857" t="s">
        <v>256</v>
      </c>
      <c r="D5857" t="s">
        <v>310</v>
      </c>
      <c r="F5857" t="s">
        <v>3217</v>
      </c>
      <c r="G5857" t="s">
        <v>3344</v>
      </c>
      <c r="H5857" t="s">
        <v>5748</v>
      </c>
      <c r="I5857" t="s">
        <v>8969</v>
      </c>
      <c r="J5857" t="s">
        <v>9059</v>
      </c>
      <c r="K5857">
        <v>11233</v>
      </c>
      <c r="L5857" t="s">
        <v>9094</v>
      </c>
      <c r="M5857" t="s">
        <v>9095</v>
      </c>
      <c r="O5857" t="s">
        <v>11137</v>
      </c>
      <c r="P5857" t="s">
        <v>11167</v>
      </c>
      <c r="R5857" t="s">
        <v>11180</v>
      </c>
      <c r="S5857" t="s">
        <v>9094</v>
      </c>
      <c r="T5857" t="s">
        <v>11183</v>
      </c>
      <c r="U5857" t="s">
        <v>11201</v>
      </c>
      <c r="V5857" t="s">
        <v>749</v>
      </c>
      <c r="W5857">
        <v>1162</v>
      </c>
      <c r="X5857" t="s">
        <v>11332</v>
      </c>
      <c r="Y5857" t="s">
        <v>11157</v>
      </c>
      <c r="Z5857" t="s">
        <v>15015</v>
      </c>
      <c r="AC5857">
        <v>359</v>
      </c>
      <c r="AD5857" t="s">
        <v>19566</v>
      </c>
      <c r="AF5857">
        <v>55</v>
      </c>
      <c r="AG5857">
        <v>1</v>
      </c>
      <c r="AH5857">
        <v>0</v>
      </c>
      <c r="AI5857">
        <v>360.29</v>
      </c>
      <c r="AL5857" t="s">
        <v>19614</v>
      </c>
      <c r="AM5857">
        <v>45000</v>
      </c>
      <c r="AN5857" t="s">
        <v>20195</v>
      </c>
      <c r="AS5857">
        <v>0</v>
      </c>
      <c r="AU5857" t="s">
        <v>79</v>
      </c>
      <c r="AV5857" t="s">
        <v>9144</v>
      </c>
    </row>
    <row r="5858" spans="1:48">
      <c r="A5858" s="1">
        <f>HYPERLINK("https://lsnyc.legalserver.org/matter/dynamic-profile/view/1905415","19-1905415")</f>
        <v>0</v>
      </c>
      <c r="B5858" t="s">
        <v>98</v>
      </c>
      <c r="C5858" t="s">
        <v>257</v>
      </c>
      <c r="D5858" t="s">
        <v>408</v>
      </c>
      <c r="E5858" t="s">
        <v>372</v>
      </c>
      <c r="F5858" t="s">
        <v>1611</v>
      </c>
      <c r="G5858" t="s">
        <v>3364</v>
      </c>
      <c r="H5858" t="s">
        <v>8053</v>
      </c>
      <c r="I5858" t="s">
        <v>8192</v>
      </c>
      <c r="J5858" t="s">
        <v>9065</v>
      </c>
      <c r="K5858">
        <v>10458</v>
      </c>
      <c r="L5858" t="s">
        <v>9094</v>
      </c>
      <c r="M5858" t="s">
        <v>9095</v>
      </c>
      <c r="O5858" t="s">
        <v>11137</v>
      </c>
      <c r="P5858" t="s">
        <v>11167</v>
      </c>
      <c r="Q5858" t="s">
        <v>11173</v>
      </c>
      <c r="R5858" t="s">
        <v>11180</v>
      </c>
      <c r="S5858" t="s">
        <v>9096</v>
      </c>
      <c r="T5858" t="s">
        <v>11183</v>
      </c>
      <c r="V5858" t="s">
        <v>493</v>
      </c>
      <c r="W5858">
        <v>814.0599999999999</v>
      </c>
      <c r="X5858" t="s">
        <v>11333</v>
      </c>
      <c r="Y5858" t="s">
        <v>11346</v>
      </c>
      <c r="Z5858" t="s">
        <v>15016</v>
      </c>
      <c r="AB5858" t="s">
        <v>19327</v>
      </c>
      <c r="AC5858">
        <v>54</v>
      </c>
      <c r="AD5858" t="s">
        <v>19566</v>
      </c>
      <c r="AE5858" t="s">
        <v>9144</v>
      </c>
      <c r="AF5858">
        <v>40</v>
      </c>
      <c r="AG5858">
        <v>1</v>
      </c>
      <c r="AH5858">
        <v>0</v>
      </c>
      <c r="AI5858">
        <v>360.29</v>
      </c>
      <c r="AL5858" t="s">
        <v>19615</v>
      </c>
      <c r="AM5858">
        <v>45000</v>
      </c>
      <c r="AS5858">
        <v>2.5</v>
      </c>
      <c r="AT5858" t="s">
        <v>328</v>
      </c>
      <c r="AU5858" t="s">
        <v>20642</v>
      </c>
      <c r="AV5858" t="s">
        <v>20733</v>
      </c>
    </row>
    <row r="5859" spans="1:48">
      <c r="A5859" s="1">
        <f>HYPERLINK("https://lsnyc.legalserver.org/matter/dynamic-profile/view/1908410","19-1908410")</f>
        <v>0</v>
      </c>
      <c r="B5859" t="s">
        <v>142</v>
      </c>
      <c r="C5859" t="s">
        <v>256</v>
      </c>
      <c r="D5859" t="s">
        <v>314</v>
      </c>
      <c r="F5859" t="s">
        <v>1505</v>
      </c>
      <c r="G5859" t="s">
        <v>3572</v>
      </c>
      <c r="H5859" t="s">
        <v>6326</v>
      </c>
      <c r="I5859" t="s">
        <v>8223</v>
      </c>
      <c r="J5859" t="s">
        <v>9067</v>
      </c>
      <c r="K5859">
        <v>10035</v>
      </c>
      <c r="L5859" t="s">
        <v>9094</v>
      </c>
      <c r="M5859" t="s">
        <v>9095</v>
      </c>
      <c r="O5859" t="s">
        <v>9121</v>
      </c>
      <c r="P5859" t="s">
        <v>11167</v>
      </c>
      <c r="R5859" t="s">
        <v>11180</v>
      </c>
      <c r="S5859" t="s">
        <v>9094</v>
      </c>
      <c r="T5859" t="s">
        <v>11183</v>
      </c>
      <c r="U5859" t="s">
        <v>11201</v>
      </c>
      <c r="V5859" t="s">
        <v>779</v>
      </c>
      <c r="W5859">
        <v>2487</v>
      </c>
      <c r="X5859" t="s">
        <v>11335</v>
      </c>
      <c r="Y5859" t="s">
        <v>11339</v>
      </c>
      <c r="Z5859" t="s">
        <v>15017</v>
      </c>
      <c r="AB5859" t="s">
        <v>19328</v>
      </c>
      <c r="AC5859">
        <v>72</v>
      </c>
      <c r="AD5859" t="s">
        <v>19566</v>
      </c>
      <c r="AE5859" t="s">
        <v>9144</v>
      </c>
      <c r="AF5859">
        <v>11</v>
      </c>
      <c r="AG5859">
        <v>1</v>
      </c>
      <c r="AH5859">
        <v>0</v>
      </c>
      <c r="AI5859">
        <v>360.29</v>
      </c>
      <c r="AL5859" t="s">
        <v>19614</v>
      </c>
      <c r="AM5859">
        <v>45000</v>
      </c>
      <c r="AS5859">
        <v>0</v>
      </c>
      <c r="AU5859" t="s">
        <v>20657</v>
      </c>
      <c r="AV5859" t="s">
        <v>20733</v>
      </c>
    </row>
    <row r="5860" spans="1:48">
      <c r="A5860" s="1">
        <f>HYPERLINK("https://lsnyc.legalserver.org/matter/dynamic-profile/view/1911945","19-1911945")</f>
        <v>0</v>
      </c>
      <c r="B5860" t="s">
        <v>134</v>
      </c>
      <c r="C5860" t="s">
        <v>256</v>
      </c>
      <c r="D5860" t="s">
        <v>292</v>
      </c>
      <c r="F5860" t="s">
        <v>2213</v>
      </c>
      <c r="G5860" t="s">
        <v>2071</v>
      </c>
      <c r="H5860" t="s">
        <v>7605</v>
      </c>
      <c r="I5860" t="s">
        <v>8171</v>
      </c>
      <c r="J5860" t="s">
        <v>9067</v>
      </c>
      <c r="K5860">
        <v>10034</v>
      </c>
      <c r="L5860" t="s">
        <v>9094</v>
      </c>
      <c r="M5860" t="s">
        <v>9095</v>
      </c>
      <c r="P5860" t="s">
        <v>11165</v>
      </c>
      <c r="R5860" t="s">
        <v>11180</v>
      </c>
      <c r="S5860" t="s">
        <v>9094</v>
      </c>
      <c r="T5860" t="s">
        <v>11183</v>
      </c>
      <c r="V5860" t="s">
        <v>292</v>
      </c>
      <c r="W5860">
        <v>2430</v>
      </c>
      <c r="X5860" t="s">
        <v>11335</v>
      </c>
      <c r="Y5860" t="s">
        <v>11340</v>
      </c>
      <c r="Z5860" t="s">
        <v>15018</v>
      </c>
      <c r="AB5860" t="s">
        <v>19329</v>
      </c>
      <c r="AC5860">
        <v>43</v>
      </c>
      <c r="AD5860" t="s">
        <v>19566</v>
      </c>
      <c r="AE5860" t="s">
        <v>9144</v>
      </c>
      <c r="AF5860">
        <v>3</v>
      </c>
      <c r="AG5860">
        <v>3</v>
      </c>
      <c r="AH5860">
        <v>2</v>
      </c>
      <c r="AI5860">
        <v>361.14</v>
      </c>
      <c r="AL5860" t="s">
        <v>19614</v>
      </c>
      <c r="AM5860">
        <v>108956.44</v>
      </c>
      <c r="AS5860">
        <v>0.1</v>
      </c>
      <c r="AT5860" t="s">
        <v>292</v>
      </c>
      <c r="AU5860" t="s">
        <v>130</v>
      </c>
      <c r="AV5860" t="s">
        <v>20733</v>
      </c>
    </row>
    <row r="5861" spans="1:48">
      <c r="A5861" s="1">
        <f>HYPERLINK("https://lsnyc.legalserver.org/matter/dynamic-profile/view/1886683","18-1886683")</f>
        <v>0</v>
      </c>
      <c r="B5861" t="s">
        <v>113</v>
      </c>
      <c r="C5861" t="s">
        <v>256</v>
      </c>
      <c r="D5861" t="s">
        <v>629</v>
      </c>
      <c r="F5861" t="s">
        <v>1745</v>
      </c>
      <c r="G5861" t="s">
        <v>5065</v>
      </c>
      <c r="H5861" t="s">
        <v>5864</v>
      </c>
      <c r="I5861" t="s">
        <v>8838</v>
      </c>
      <c r="J5861" t="s">
        <v>9065</v>
      </c>
      <c r="K5861">
        <v>10460</v>
      </c>
      <c r="L5861" t="s">
        <v>9094</v>
      </c>
      <c r="M5861" t="s">
        <v>9094</v>
      </c>
      <c r="N5861" t="s">
        <v>9222</v>
      </c>
      <c r="O5861" t="s">
        <v>11130</v>
      </c>
      <c r="P5861" t="s">
        <v>11165</v>
      </c>
      <c r="R5861" t="s">
        <v>11180</v>
      </c>
      <c r="S5861" t="s">
        <v>9094</v>
      </c>
      <c r="T5861" t="s">
        <v>11183</v>
      </c>
      <c r="V5861" t="s">
        <v>512</v>
      </c>
      <c r="W5861">
        <v>1967</v>
      </c>
      <c r="X5861" t="s">
        <v>11333</v>
      </c>
      <c r="Y5861" t="s">
        <v>11346</v>
      </c>
      <c r="Z5861" t="s">
        <v>14187</v>
      </c>
      <c r="AB5861" t="s">
        <v>18512</v>
      </c>
      <c r="AC5861">
        <v>168</v>
      </c>
      <c r="AD5861" t="s">
        <v>19572</v>
      </c>
      <c r="AE5861" t="s">
        <v>19580</v>
      </c>
      <c r="AF5861">
        <v>3</v>
      </c>
      <c r="AG5861">
        <v>2</v>
      </c>
      <c r="AH5861">
        <v>0</v>
      </c>
      <c r="AI5861">
        <v>363.3</v>
      </c>
      <c r="AL5861" t="s">
        <v>19614</v>
      </c>
      <c r="AM5861">
        <v>59800</v>
      </c>
      <c r="AS5861">
        <v>23</v>
      </c>
      <c r="AT5861" t="s">
        <v>286</v>
      </c>
      <c r="AU5861" t="s">
        <v>158</v>
      </c>
    </row>
    <row r="5862" spans="1:48">
      <c r="A5862" s="1">
        <f>HYPERLINK("https://lsnyc.legalserver.org/matter/dynamic-profile/view/1875766","18-1875766")</f>
        <v>0</v>
      </c>
      <c r="B5862" t="s">
        <v>94</v>
      </c>
      <c r="C5862" t="s">
        <v>257</v>
      </c>
      <c r="D5862" t="s">
        <v>742</v>
      </c>
      <c r="E5862" t="s">
        <v>676</v>
      </c>
      <c r="F5862" t="s">
        <v>1221</v>
      </c>
      <c r="G5862" t="s">
        <v>1884</v>
      </c>
      <c r="H5862" t="s">
        <v>6059</v>
      </c>
      <c r="J5862" t="s">
        <v>9059</v>
      </c>
      <c r="K5862">
        <v>11212</v>
      </c>
      <c r="L5862" t="s">
        <v>9094</v>
      </c>
      <c r="M5862" t="s">
        <v>9094</v>
      </c>
      <c r="O5862" t="s">
        <v>9121</v>
      </c>
      <c r="P5862" t="s">
        <v>11167</v>
      </c>
      <c r="Q5862" t="s">
        <v>11173</v>
      </c>
      <c r="R5862" t="s">
        <v>11180</v>
      </c>
      <c r="S5862" t="s">
        <v>9094</v>
      </c>
      <c r="T5862" t="s">
        <v>11183</v>
      </c>
      <c r="V5862" t="s">
        <v>742</v>
      </c>
      <c r="W5862">
        <v>770.47</v>
      </c>
      <c r="X5862" t="s">
        <v>11332</v>
      </c>
      <c r="Y5862" t="s">
        <v>11339</v>
      </c>
      <c r="Z5862" t="s">
        <v>11371</v>
      </c>
      <c r="AB5862" t="s">
        <v>19330</v>
      </c>
      <c r="AC5862">
        <v>19</v>
      </c>
      <c r="AD5862" t="s">
        <v>19566</v>
      </c>
      <c r="AE5862" t="s">
        <v>9144</v>
      </c>
      <c r="AF5862">
        <v>21</v>
      </c>
      <c r="AG5862">
        <v>2</v>
      </c>
      <c r="AH5862">
        <v>0</v>
      </c>
      <c r="AI5862">
        <v>364.52</v>
      </c>
      <c r="AL5862" t="s">
        <v>19614</v>
      </c>
      <c r="AM5862">
        <v>60000</v>
      </c>
      <c r="AN5862" t="s">
        <v>19715</v>
      </c>
      <c r="AS5862">
        <v>10</v>
      </c>
      <c r="AT5862" t="s">
        <v>516</v>
      </c>
      <c r="AU5862" t="s">
        <v>20685</v>
      </c>
    </row>
    <row r="5863" spans="1:48">
      <c r="A5863" s="1">
        <f>HYPERLINK("https://lsnyc.legalserver.org/matter/dynamic-profile/view/1870547","18-1870547")</f>
        <v>0</v>
      </c>
      <c r="B5863" t="s">
        <v>78</v>
      </c>
      <c r="C5863" t="s">
        <v>256</v>
      </c>
      <c r="D5863" t="s">
        <v>400</v>
      </c>
      <c r="F5863" t="s">
        <v>1252</v>
      </c>
      <c r="G5863" t="s">
        <v>4598</v>
      </c>
      <c r="H5863" t="s">
        <v>5809</v>
      </c>
      <c r="I5863" t="s">
        <v>8181</v>
      </c>
      <c r="J5863" t="s">
        <v>9059</v>
      </c>
      <c r="K5863">
        <v>11212</v>
      </c>
      <c r="L5863" t="s">
        <v>9094</v>
      </c>
      <c r="M5863" t="s">
        <v>9095</v>
      </c>
      <c r="P5863" t="s">
        <v>11168</v>
      </c>
      <c r="R5863" t="s">
        <v>11180</v>
      </c>
      <c r="S5863" t="s">
        <v>9094</v>
      </c>
      <c r="T5863" t="s">
        <v>11183</v>
      </c>
      <c r="V5863" t="s">
        <v>1087</v>
      </c>
      <c r="W5863">
        <v>1248.12</v>
      </c>
      <c r="X5863" t="s">
        <v>11332</v>
      </c>
      <c r="Y5863" t="s">
        <v>11340</v>
      </c>
      <c r="Z5863" t="s">
        <v>14879</v>
      </c>
      <c r="AB5863" t="s">
        <v>19199</v>
      </c>
      <c r="AC5863">
        <v>32</v>
      </c>
      <c r="AD5863" t="s">
        <v>19566</v>
      </c>
      <c r="AE5863" t="s">
        <v>9144</v>
      </c>
      <c r="AF5863">
        <v>10</v>
      </c>
      <c r="AG5863">
        <v>2</v>
      </c>
      <c r="AH5863">
        <v>0</v>
      </c>
      <c r="AI5863">
        <v>364.52</v>
      </c>
      <c r="AL5863" t="s">
        <v>19614</v>
      </c>
      <c r="AM5863">
        <v>60000</v>
      </c>
      <c r="AN5863" t="s">
        <v>20196</v>
      </c>
      <c r="AS5863">
        <v>0</v>
      </c>
      <c r="AU5863" t="s">
        <v>95</v>
      </c>
    </row>
    <row r="5864" spans="1:48">
      <c r="A5864" s="1">
        <f>HYPERLINK("https://lsnyc.legalserver.org/matter/dynamic-profile/view/1885558","18-1885558")</f>
        <v>0</v>
      </c>
      <c r="B5864" t="s">
        <v>113</v>
      </c>
      <c r="C5864" t="s">
        <v>257</v>
      </c>
      <c r="D5864" t="s">
        <v>1111</v>
      </c>
      <c r="E5864" t="s">
        <v>301</v>
      </c>
      <c r="F5864" t="s">
        <v>1784</v>
      </c>
      <c r="G5864" t="s">
        <v>3629</v>
      </c>
      <c r="H5864" t="s">
        <v>5864</v>
      </c>
      <c r="I5864" t="s">
        <v>8999</v>
      </c>
      <c r="J5864" t="s">
        <v>9065</v>
      </c>
      <c r="K5864">
        <v>10460</v>
      </c>
      <c r="L5864" t="s">
        <v>9094</v>
      </c>
      <c r="M5864" t="s">
        <v>9094</v>
      </c>
      <c r="N5864" t="s">
        <v>9222</v>
      </c>
      <c r="O5864" t="s">
        <v>11130</v>
      </c>
      <c r="P5864" t="s">
        <v>11165</v>
      </c>
      <c r="Q5864" t="s">
        <v>11174</v>
      </c>
      <c r="R5864" t="s">
        <v>11180</v>
      </c>
      <c r="S5864" t="s">
        <v>9094</v>
      </c>
      <c r="T5864" t="s">
        <v>11183</v>
      </c>
      <c r="V5864" t="s">
        <v>512</v>
      </c>
      <c r="W5864">
        <v>1367</v>
      </c>
      <c r="X5864" t="s">
        <v>11333</v>
      </c>
      <c r="Y5864" t="s">
        <v>11346</v>
      </c>
      <c r="Z5864" t="s">
        <v>11583</v>
      </c>
      <c r="AB5864" t="s">
        <v>19318</v>
      </c>
      <c r="AC5864">
        <v>168</v>
      </c>
      <c r="AD5864" t="s">
        <v>19572</v>
      </c>
      <c r="AE5864" t="s">
        <v>9144</v>
      </c>
      <c r="AF5864">
        <v>24</v>
      </c>
      <c r="AG5864">
        <v>1</v>
      </c>
      <c r="AH5864">
        <v>0</v>
      </c>
      <c r="AI5864">
        <v>365</v>
      </c>
      <c r="AL5864" t="s">
        <v>19614</v>
      </c>
      <c r="AM5864">
        <v>44311</v>
      </c>
      <c r="AS5864">
        <v>0.25</v>
      </c>
      <c r="AT5864" t="s">
        <v>301</v>
      </c>
      <c r="AU5864" t="s">
        <v>163</v>
      </c>
    </row>
    <row r="5865" spans="1:48">
      <c r="A5865" s="1">
        <f>HYPERLINK("https://lsnyc.legalserver.org/matter/dynamic-profile/view/1842832","17-1842832")</f>
        <v>0</v>
      </c>
      <c r="B5865" t="s">
        <v>122</v>
      </c>
      <c r="C5865" t="s">
        <v>256</v>
      </c>
      <c r="D5865" t="s">
        <v>480</v>
      </c>
      <c r="F5865" t="s">
        <v>2348</v>
      </c>
      <c r="G5865" t="s">
        <v>5510</v>
      </c>
      <c r="H5865" t="s">
        <v>5911</v>
      </c>
      <c r="J5865" t="s">
        <v>9066</v>
      </c>
      <c r="K5865">
        <v>10314</v>
      </c>
      <c r="L5865" t="s">
        <v>9094</v>
      </c>
      <c r="M5865" t="s">
        <v>9095</v>
      </c>
      <c r="N5865" t="s">
        <v>9260</v>
      </c>
      <c r="O5865" t="s">
        <v>11135</v>
      </c>
      <c r="P5865" t="s">
        <v>11168</v>
      </c>
      <c r="R5865" t="s">
        <v>11180</v>
      </c>
      <c r="S5865" t="s">
        <v>9094</v>
      </c>
      <c r="T5865" t="s">
        <v>11183</v>
      </c>
      <c r="U5865" t="s">
        <v>11201</v>
      </c>
      <c r="V5865" t="s">
        <v>712</v>
      </c>
      <c r="W5865">
        <v>1852</v>
      </c>
      <c r="X5865" t="s">
        <v>11334</v>
      </c>
      <c r="Y5865" t="s">
        <v>11340</v>
      </c>
      <c r="Z5865" t="s">
        <v>15014</v>
      </c>
      <c r="AB5865" t="s">
        <v>19331</v>
      </c>
      <c r="AC5865">
        <v>96</v>
      </c>
      <c r="AD5865" t="s">
        <v>19566</v>
      </c>
      <c r="AE5865" t="s">
        <v>9144</v>
      </c>
      <c r="AF5865">
        <v>7</v>
      </c>
      <c r="AG5865">
        <v>2</v>
      </c>
      <c r="AH5865">
        <v>0</v>
      </c>
      <c r="AI5865">
        <v>365.02</v>
      </c>
      <c r="AJ5865" t="s">
        <v>19594</v>
      </c>
      <c r="AL5865" t="s">
        <v>19614</v>
      </c>
      <c r="AM5865">
        <v>59280</v>
      </c>
      <c r="AO5865" t="s">
        <v>20293</v>
      </c>
      <c r="AP5865" t="s">
        <v>20316</v>
      </c>
      <c r="AQ5865" t="s">
        <v>20369</v>
      </c>
      <c r="AR5865" t="s">
        <v>20385</v>
      </c>
      <c r="AS5865">
        <v>1.5</v>
      </c>
      <c r="AT5865" t="s">
        <v>621</v>
      </c>
      <c r="AU5865" t="s">
        <v>20651</v>
      </c>
      <c r="AV5865" t="s">
        <v>20733</v>
      </c>
    </row>
    <row r="5866" spans="1:48">
      <c r="A5866" s="1">
        <f>HYPERLINK("https://lsnyc.legalserver.org/matter/dynamic-profile/view/1892094","19-1892094")</f>
        <v>0</v>
      </c>
      <c r="B5866" t="s">
        <v>70</v>
      </c>
      <c r="C5866" t="s">
        <v>256</v>
      </c>
      <c r="D5866" t="s">
        <v>428</v>
      </c>
      <c r="F5866" t="s">
        <v>1322</v>
      </c>
      <c r="G5866" t="s">
        <v>3344</v>
      </c>
      <c r="H5866" t="s">
        <v>5748</v>
      </c>
      <c r="I5866" t="s">
        <v>9002</v>
      </c>
      <c r="J5866" t="s">
        <v>9059</v>
      </c>
      <c r="K5866">
        <v>11233</v>
      </c>
      <c r="L5866" t="s">
        <v>9094</v>
      </c>
      <c r="M5866" t="s">
        <v>9096</v>
      </c>
      <c r="N5866" t="s">
        <v>9145</v>
      </c>
      <c r="O5866" t="s">
        <v>11134</v>
      </c>
      <c r="P5866" t="s">
        <v>11168</v>
      </c>
      <c r="R5866" t="s">
        <v>11180</v>
      </c>
      <c r="S5866" t="s">
        <v>9094</v>
      </c>
      <c r="T5866" t="s">
        <v>11183</v>
      </c>
      <c r="U5866" t="s">
        <v>11201</v>
      </c>
      <c r="V5866" t="s">
        <v>482</v>
      </c>
      <c r="W5866">
        <v>1037</v>
      </c>
      <c r="X5866" t="s">
        <v>11332</v>
      </c>
      <c r="Y5866" t="s">
        <v>11157</v>
      </c>
      <c r="Z5866" t="s">
        <v>15019</v>
      </c>
      <c r="AC5866">
        <v>359</v>
      </c>
      <c r="AD5866" t="s">
        <v>19566</v>
      </c>
      <c r="AF5866">
        <v>49</v>
      </c>
      <c r="AG5866">
        <v>3</v>
      </c>
      <c r="AH5866">
        <v>0</v>
      </c>
      <c r="AI5866">
        <v>365.68</v>
      </c>
      <c r="AL5866" t="s">
        <v>19614</v>
      </c>
      <c r="AM5866">
        <v>78000</v>
      </c>
      <c r="AN5866" t="s">
        <v>19846</v>
      </c>
      <c r="AS5866">
        <v>0</v>
      </c>
      <c r="AU5866" t="s">
        <v>79</v>
      </c>
    </row>
    <row r="5867" spans="1:48">
      <c r="A5867" s="1">
        <f>HYPERLINK("https://lsnyc.legalserver.org/matter/dynamic-profile/view/1903826","19-1903826")</f>
        <v>0</v>
      </c>
      <c r="B5867" t="s">
        <v>86</v>
      </c>
      <c r="C5867" t="s">
        <v>256</v>
      </c>
      <c r="D5867" t="s">
        <v>597</v>
      </c>
      <c r="F5867" t="s">
        <v>1891</v>
      </c>
      <c r="G5867" t="s">
        <v>5511</v>
      </c>
      <c r="H5867" t="s">
        <v>7032</v>
      </c>
      <c r="I5867" t="s">
        <v>8153</v>
      </c>
      <c r="J5867" t="s">
        <v>9059</v>
      </c>
      <c r="K5867">
        <v>11220</v>
      </c>
      <c r="L5867" t="s">
        <v>9094</v>
      </c>
      <c r="M5867" t="s">
        <v>9095</v>
      </c>
      <c r="O5867" t="s">
        <v>11130</v>
      </c>
      <c r="P5867" t="s">
        <v>11165</v>
      </c>
      <c r="R5867" t="s">
        <v>11180</v>
      </c>
      <c r="S5867" t="s">
        <v>9094</v>
      </c>
      <c r="T5867" t="s">
        <v>11183</v>
      </c>
      <c r="V5867" t="s">
        <v>785</v>
      </c>
      <c r="W5867">
        <v>0</v>
      </c>
      <c r="X5867" t="s">
        <v>11332</v>
      </c>
      <c r="Z5867" t="s">
        <v>15020</v>
      </c>
      <c r="AC5867">
        <v>0</v>
      </c>
      <c r="AF5867">
        <v>0</v>
      </c>
      <c r="AG5867">
        <v>3</v>
      </c>
      <c r="AH5867">
        <v>0</v>
      </c>
      <c r="AI5867">
        <v>365.68</v>
      </c>
      <c r="AM5867">
        <v>78000</v>
      </c>
      <c r="AS5867">
        <v>5.3</v>
      </c>
      <c r="AT5867" t="s">
        <v>660</v>
      </c>
      <c r="AU5867" t="s">
        <v>67</v>
      </c>
      <c r="AV5867" t="s">
        <v>20733</v>
      </c>
    </row>
    <row r="5868" spans="1:48">
      <c r="A5868" s="1">
        <f>HYPERLINK("https://lsnyc.legalserver.org/matter/dynamic-profile/view/1893980","19-1893980")</f>
        <v>0</v>
      </c>
      <c r="B5868" t="s">
        <v>99</v>
      </c>
      <c r="C5868" t="s">
        <v>257</v>
      </c>
      <c r="D5868" t="s">
        <v>413</v>
      </c>
      <c r="E5868" t="s">
        <v>362</v>
      </c>
      <c r="F5868" t="s">
        <v>1264</v>
      </c>
      <c r="G5868" t="s">
        <v>5512</v>
      </c>
      <c r="H5868" t="s">
        <v>8054</v>
      </c>
      <c r="I5868" t="s">
        <v>8170</v>
      </c>
      <c r="J5868" t="s">
        <v>9065</v>
      </c>
      <c r="K5868">
        <v>10453</v>
      </c>
      <c r="L5868" t="s">
        <v>9094</v>
      </c>
      <c r="M5868" t="s">
        <v>9094</v>
      </c>
      <c r="O5868" t="s">
        <v>9121</v>
      </c>
      <c r="P5868" t="s">
        <v>11167</v>
      </c>
      <c r="Q5868" t="s">
        <v>11173</v>
      </c>
      <c r="R5868" t="s">
        <v>11180</v>
      </c>
      <c r="S5868" t="s">
        <v>9096</v>
      </c>
      <c r="T5868" t="s">
        <v>11183</v>
      </c>
      <c r="V5868" t="s">
        <v>413</v>
      </c>
      <c r="W5868">
        <v>1250</v>
      </c>
      <c r="X5868" t="s">
        <v>11333</v>
      </c>
      <c r="Y5868" t="s">
        <v>11340</v>
      </c>
      <c r="Z5868" t="s">
        <v>15021</v>
      </c>
      <c r="AB5868" t="s">
        <v>19332</v>
      </c>
      <c r="AC5868">
        <v>21</v>
      </c>
      <c r="AD5868" t="s">
        <v>19566</v>
      </c>
      <c r="AE5868" t="s">
        <v>9144</v>
      </c>
      <c r="AF5868">
        <v>4</v>
      </c>
      <c r="AG5868">
        <v>3</v>
      </c>
      <c r="AH5868">
        <v>0</v>
      </c>
      <c r="AI5868">
        <v>365.68</v>
      </c>
      <c r="AL5868" t="s">
        <v>19615</v>
      </c>
      <c r="AM5868">
        <v>78000</v>
      </c>
      <c r="AS5868">
        <v>3.2</v>
      </c>
      <c r="AT5868" t="s">
        <v>377</v>
      </c>
      <c r="AU5868" t="s">
        <v>99</v>
      </c>
    </row>
    <row r="5869" spans="1:48">
      <c r="A5869" s="1">
        <f>HYPERLINK("https://lsnyc.legalserver.org/matter/dynamic-profile/view/1864253","18-1864253")</f>
        <v>0</v>
      </c>
      <c r="B5869" t="s">
        <v>118</v>
      </c>
      <c r="C5869" t="s">
        <v>257</v>
      </c>
      <c r="D5869" t="s">
        <v>989</v>
      </c>
      <c r="E5869" t="s">
        <v>367</v>
      </c>
      <c r="F5869" t="s">
        <v>3216</v>
      </c>
      <c r="G5869" t="s">
        <v>5508</v>
      </c>
      <c r="H5869" t="s">
        <v>6158</v>
      </c>
      <c r="I5869" t="s">
        <v>8178</v>
      </c>
      <c r="J5869" t="s">
        <v>9065</v>
      </c>
      <c r="K5869">
        <v>10452</v>
      </c>
      <c r="L5869" t="s">
        <v>9094</v>
      </c>
      <c r="M5869" t="s">
        <v>9095</v>
      </c>
      <c r="O5869" t="s">
        <v>11137</v>
      </c>
      <c r="P5869" t="s">
        <v>11166</v>
      </c>
      <c r="Q5869" t="s">
        <v>11173</v>
      </c>
      <c r="R5869" t="s">
        <v>11180</v>
      </c>
      <c r="S5869" t="s">
        <v>9094</v>
      </c>
      <c r="T5869" t="s">
        <v>11183</v>
      </c>
      <c r="V5869" t="s">
        <v>745</v>
      </c>
      <c r="W5869">
        <v>827.3099999999999</v>
      </c>
      <c r="X5869" t="s">
        <v>11333</v>
      </c>
      <c r="Y5869" t="s">
        <v>11346</v>
      </c>
      <c r="Z5869" t="s">
        <v>15012</v>
      </c>
      <c r="AB5869" t="s">
        <v>19324</v>
      </c>
      <c r="AC5869">
        <v>0</v>
      </c>
      <c r="AD5869" t="s">
        <v>19566</v>
      </c>
      <c r="AE5869" t="s">
        <v>9144</v>
      </c>
      <c r="AF5869">
        <v>36</v>
      </c>
      <c r="AG5869">
        <v>1</v>
      </c>
      <c r="AH5869">
        <v>0</v>
      </c>
      <c r="AI5869">
        <v>365.73</v>
      </c>
      <c r="AL5869" t="s">
        <v>19614</v>
      </c>
      <c r="AM5869">
        <v>44400</v>
      </c>
      <c r="AS5869">
        <v>1.2</v>
      </c>
      <c r="AT5869" t="s">
        <v>367</v>
      </c>
      <c r="AU5869" t="s">
        <v>174</v>
      </c>
      <c r="AV5869" t="s">
        <v>20733</v>
      </c>
    </row>
    <row r="5870" spans="1:48">
      <c r="A5870" s="1">
        <f>HYPERLINK("https://lsnyc.legalserver.org/matter/dynamic-profile/view/1891594","19-1891594")</f>
        <v>0</v>
      </c>
      <c r="B5870" t="s">
        <v>70</v>
      </c>
      <c r="C5870" t="s">
        <v>256</v>
      </c>
      <c r="D5870" t="s">
        <v>788</v>
      </c>
      <c r="F5870" t="s">
        <v>3218</v>
      </c>
      <c r="G5870" t="s">
        <v>5513</v>
      </c>
      <c r="H5870" t="s">
        <v>5748</v>
      </c>
      <c r="I5870" t="s">
        <v>8176</v>
      </c>
      <c r="J5870" t="s">
        <v>9059</v>
      </c>
      <c r="K5870">
        <v>11233</v>
      </c>
      <c r="L5870" t="s">
        <v>9094</v>
      </c>
      <c r="M5870" t="s">
        <v>9096</v>
      </c>
      <c r="N5870" t="s">
        <v>9145</v>
      </c>
      <c r="O5870" t="s">
        <v>11134</v>
      </c>
      <c r="P5870" t="s">
        <v>11168</v>
      </c>
      <c r="R5870" t="s">
        <v>11180</v>
      </c>
      <c r="S5870" t="s">
        <v>9094</v>
      </c>
      <c r="T5870" t="s">
        <v>11183</v>
      </c>
      <c r="U5870" t="s">
        <v>11201</v>
      </c>
      <c r="V5870" t="s">
        <v>482</v>
      </c>
      <c r="W5870">
        <v>1038.66</v>
      </c>
      <c r="X5870" t="s">
        <v>11332</v>
      </c>
      <c r="Z5870" t="s">
        <v>15022</v>
      </c>
      <c r="AC5870">
        <v>359</v>
      </c>
      <c r="AD5870" t="s">
        <v>19566</v>
      </c>
      <c r="AF5870">
        <v>50</v>
      </c>
      <c r="AG5870">
        <v>2</v>
      </c>
      <c r="AH5870">
        <v>0</v>
      </c>
      <c r="AI5870">
        <v>366.65</v>
      </c>
      <c r="AL5870" t="s">
        <v>19614</v>
      </c>
      <c r="AM5870">
        <v>62000</v>
      </c>
      <c r="AN5870" t="s">
        <v>19641</v>
      </c>
      <c r="AS5870">
        <v>0</v>
      </c>
      <c r="AU5870" t="s">
        <v>95</v>
      </c>
    </row>
    <row r="5871" spans="1:48">
      <c r="A5871" s="1">
        <f>HYPERLINK("https://lsnyc.legalserver.org/matter/dynamic-profile/view/1891599","19-1891599")</f>
        <v>0</v>
      </c>
      <c r="B5871" t="s">
        <v>70</v>
      </c>
      <c r="C5871" t="s">
        <v>256</v>
      </c>
      <c r="D5871" t="s">
        <v>788</v>
      </c>
      <c r="F5871" t="s">
        <v>3218</v>
      </c>
      <c r="G5871" t="s">
        <v>5513</v>
      </c>
      <c r="H5871" t="s">
        <v>5748</v>
      </c>
      <c r="I5871" t="s">
        <v>8176</v>
      </c>
      <c r="J5871" t="s">
        <v>9059</v>
      </c>
      <c r="K5871">
        <v>11233</v>
      </c>
      <c r="L5871" t="s">
        <v>9094</v>
      </c>
      <c r="M5871" t="s">
        <v>9096</v>
      </c>
      <c r="N5871" t="s">
        <v>9144</v>
      </c>
      <c r="O5871" t="s">
        <v>11137</v>
      </c>
      <c r="P5871" t="s">
        <v>11167</v>
      </c>
      <c r="R5871" t="s">
        <v>11180</v>
      </c>
      <c r="S5871" t="s">
        <v>9094</v>
      </c>
      <c r="T5871" t="s">
        <v>11183</v>
      </c>
      <c r="U5871" t="s">
        <v>11201</v>
      </c>
      <c r="V5871" t="s">
        <v>749</v>
      </c>
      <c r="W5871">
        <v>1038.66</v>
      </c>
      <c r="X5871" t="s">
        <v>11332</v>
      </c>
      <c r="Z5871" t="s">
        <v>15022</v>
      </c>
      <c r="AC5871">
        <v>359</v>
      </c>
      <c r="AD5871" t="s">
        <v>19566</v>
      </c>
      <c r="AF5871">
        <v>50</v>
      </c>
      <c r="AG5871">
        <v>2</v>
      </c>
      <c r="AH5871">
        <v>0</v>
      </c>
      <c r="AI5871">
        <v>366.65</v>
      </c>
      <c r="AL5871" t="s">
        <v>19614</v>
      </c>
      <c r="AM5871">
        <v>62000</v>
      </c>
      <c r="AN5871" t="s">
        <v>20197</v>
      </c>
      <c r="AS5871">
        <v>0</v>
      </c>
      <c r="AU5871" t="s">
        <v>95</v>
      </c>
    </row>
    <row r="5872" spans="1:48">
      <c r="A5872" s="1">
        <f>HYPERLINK("https://lsnyc.legalserver.org/matter/dynamic-profile/view/1907524","19-1907524")</f>
        <v>0</v>
      </c>
      <c r="B5872" t="s">
        <v>98</v>
      </c>
      <c r="C5872" t="s">
        <v>256</v>
      </c>
      <c r="D5872" t="s">
        <v>275</v>
      </c>
      <c r="F5872" t="s">
        <v>2005</v>
      </c>
      <c r="G5872" t="s">
        <v>4195</v>
      </c>
      <c r="H5872" t="s">
        <v>5851</v>
      </c>
      <c r="I5872" t="s">
        <v>8507</v>
      </c>
      <c r="J5872" t="s">
        <v>9065</v>
      </c>
      <c r="K5872">
        <v>10474</v>
      </c>
      <c r="L5872" t="s">
        <v>9095</v>
      </c>
      <c r="M5872" t="s">
        <v>9095</v>
      </c>
      <c r="N5872" t="s">
        <v>9218</v>
      </c>
      <c r="O5872" t="s">
        <v>11134</v>
      </c>
      <c r="P5872" t="s">
        <v>11168</v>
      </c>
      <c r="R5872" t="s">
        <v>11180</v>
      </c>
      <c r="S5872" t="s">
        <v>9094</v>
      </c>
      <c r="T5872" t="s">
        <v>11183</v>
      </c>
      <c r="U5872" t="s">
        <v>11201</v>
      </c>
      <c r="W5872">
        <v>0</v>
      </c>
      <c r="X5872" t="s">
        <v>11333</v>
      </c>
      <c r="Z5872" t="s">
        <v>12606</v>
      </c>
      <c r="AB5872" t="s">
        <v>16994</v>
      </c>
      <c r="AC5872">
        <v>0</v>
      </c>
      <c r="AF5872">
        <v>0</v>
      </c>
      <c r="AG5872">
        <v>2</v>
      </c>
      <c r="AH5872">
        <v>0</v>
      </c>
      <c r="AI5872">
        <v>366.65</v>
      </c>
      <c r="AL5872" t="s">
        <v>19614</v>
      </c>
      <c r="AM5872">
        <v>62000</v>
      </c>
      <c r="AS5872">
        <v>0</v>
      </c>
      <c r="AU5872" t="s">
        <v>98</v>
      </c>
    </row>
    <row r="5873" spans="1:48">
      <c r="A5873" s="1">
        <f>HYPERLINK("https://lsnyc.legalserver.org/matter/dynamic-profile/view/1909013","19-1909013")</f>
        <v>0</v>
      </c>
      <c r="B5873" t="s">
        <v>139</v>
      </c>
      <c r="C5873" t="s">
        <v>256</v>
      </c>
      <c r="D5873" t="s">
        <v>669</v>
      </c>
      <c r="F5873" t="s">
        <v>1749</v>
      </c>
      <c r="G5873" t="s">
        <v>5514</v>
      </c>
      <c r="H5873" t="s">
        <v>6653</v>
      </c>
      <c r="I5873" t="s">
        <v>8745</v>
      </c>
      <c r="J5873" t="s">
        <v>9067</v>
      </c>
      <c r="K5873">
        <v>10040</v>
      </c>
      <c r="L5873" t="s">
        <v>9094</v>
      </c>
      <c r="M5873" t="s">
        <v>9095</v>
      </c>
      <c r="O5873" t="s">
        <v>11130</v>
      </c>
      <c r="P5873" t="s">
        <v>11165</v>
      </c>
      <c r="R5873" t="s">
        <v>11180</v>
      </c>
      <c r="S5873" t="s">
        <v>9094</v>
      </c>
      <c r="T5873" t="s">
        <v>11183</v>
      </c>
      <c r="V5873" t="s">
        <v>669</v>
      </c>
      <c r="W5873">
        <v>1611</v>
      </c>
      <c r="X5873" t="s">
        <v>11335</v>
      </c>
      <c r="Y5873" t="s">
        <v>11338</v>
      </c>
      <c r="Z5873" t="s">
        <v>15023</v>
      </c>
      <c r="AB5873" t="s">
        <v>19333</v>
      </c>
      <c r="AC5873">
        <v>77</v>
      </c>
      <c r="AD5873" t="s">
        <v>19566</v>
      </c>
      <c r="AE5873" t="s">
        <v>9144</v>
      </c>
      <c r="AF5873">
        <v>6</v>
      </c>
      <c r="AG5873">
        <v>2</v>
      </c>
      <c r="AH5873">
        <v>0</v>
      </c>
      <c r="AI5873">
        <v>366.65</v>
      </c>
      <c r="AJ5873" t="s">
        <v>404</v>
      </c>
      <c r="AK5873" t="s">
        <v>19612</v>
      </c>
      <c r="AL5873" t="s">
        <v>19614</v>
      </c>
      <c r="AM5873">
        <v>62000</v>
      </c>
      <c r="AS5873">
        <v>0</v>
      </c>
      <c r="AU5873" t="s">
        <v>130</v>
      </c>
      <c r="AV5873" t="s">
        <v>20733</v>
      </c>
    </row>
    <row r="5874" spans="1:48">
      <c r="A5874" s="1">
        <f>HYPERLINK("https://lsnyc.legalserver.org/matter/dynamic-profile/view/1914022","19-1914022")</f>
        <v>0</v>
      </c>
      <c r="B5874" t="s">
        <v>86</v>
      </c>
      <c r="C5874" t="s">
        <v>256</v>
      </c>
      <c r="D5874" t="s">
        <v>556</v>
      </c>
      <c r="F5874" t="s">
        <v>3219</v>
      </c>
      <c r="G5874" t="s">
        <v>5515</v>
      </c>
      <c r="H5874" t="s">
        <v>8055</v>
      </c>
      <c r="I5874" t="s">
        <v>8419</v>
      </c>
      <c r="J5874" t="s">
        <v>9059</v>
      </c>
      <c r="K5874">
        <v>11210</v>
      </c>
      <c r="L5874" t="s">
        <v>9094</v>
      </c>
      <c r="M5874" t="s">
        <v>9095</v>
      </c>
      <c r="P5874" t="s">
        <v>11166</v>
      </c>
      <c r="R5874" t="s">
        <v>11180</v>
      </c>
      <c r="S5874" t="s">
        <v>9096</v>
      </c>
      <c r="T5874" t="s">
        <v>11183</v>
      </c>
      <c r="V5874" t="s">
        <v>556</v>
      </c>
      <c r="W5874">
        <v>0</v>
      </c>
      <c r="X5874" t="s">
        <v>11332</v>
      </c>
      <c r="Z5874" t="s">
        <v>15024</v>
      </c>
      <c r="AC5874">
        <v>336</v>
      </c>
      <c r="AF5874">
        <v>4</v>
      </c>
      <c r="AG5874">
        <v>3</v>
      </c>
      <c r="AH5874">
        <v>1</v>
      </c>
      <c r="AI5874">
        <v>368.16</v>
      </c>
      <c r="AL5874" t="s">
        <v>19620</v>
      </c>
      <c r="AM5874">
        <v>94800</v>
      </c>
      <c r="AS5874">
        <v>9.25</v>
      </c>
      <c r="AT5874" t="s">
        <v>1130</v>
      </c>
      <c r="AU5874" t="s">
        <v>215</v>
      </c>
      <c r="AV5874" t="s">
        <v>20733</v>
      </c>
    </row>
    <row r="5875" spans="1:48">
      <c r="A5875" s="1">
        <f>HYPERLINK("https://lsnyc.legalserver.org/matter/dynamic-profile/view/0813896","16-0813896")</f>
        <v>0</v>
      </c>
      <c r="B5875" t="s">
        <v>108</v>
      </c>
      <c r="C5875" t="s">
        <v>256</v>
      </c>
      <c r="D5875" t="s">
        <v>827</v>
      </c>
      <c r="F5875" t="s">
        <v>1406</v>
      </c>
      <c r="G5875" t="s">
        <v>3479</v>
      </c>
      <c r="H5875" t="s">
        <v>6526</v>
      </c>
      <c r="I5875" t="s">
        <v>8164</v>
      </c>
      <c r="J5875" t="s">
        <v>9065</v>
      </c>
      <c r="K5875">
        <v>10452</v>
      </c>
      <c r="L5875" t="s">
        <v>9094</v>
      </c>
      <c r="M5875" t="s">
        <v>9095</v>
      </c>
      <c r="N5875" t="s">
        <v>9749</v>
      </c>
      <c r="O5875" t="s">
        <v>11135</v>
      </c>
      <c r="P5875" t="s">
        <v>11168</v>
      </c>
      <c r="R5875" t="s">
        <v>11180</v>
      </c>
      <c r="S5875" t="s">
        <v>9094</v>
      </c>
      <c r="T5875" t="s">
        <v>11183</v>
      </c>
      <c r="V5875" t="s">
        <v>517</v>
      </c>
      <c r="W5875">
        <v>652</v>
      </c>
      <c r="X5875" t="s">
        <v>11333</v>
      </c>
      <c r="Y5875" t="s">
        <v>11346</v>
      </c>
      <c r="Z5875" t="s">
        <v>15025</v>
      </c>
      <c r="AB5875" t="s">
        <v>19334</v>
      </c>
      <c r="AC5875">
        <v>63</v>
      </c>
      <c r="AD5875" t="s">
        <v>19566</v>
      </c>
      <c r="AE5875" t="s">
        <v>9144</v>
      </c>
      <c r="AF5875">
        <v>30</v>
      </c>
      <c r="AG5875">
        <v>2</v>
      </c>
      <c r="AH5875">
        <v>3</v>
      </c>
      <c r="AI5875">
        <v>369.2</v>
      </c>
      <c r="AL5875" t="s">
        <v>19615</v>
      </c>
      <c r="AM5875">
        <v>105000</v>
      </c>
      <c r="AS5875">
        <v>1.1</v>
      </c>
      <c r="AT5875" t="s">
        <v>523</v>
      </c>
      <c r="AU5875" t="s">
        <v>20643</v>
      </c>
    </row>
    <row r="5876" spans="1:48">
      <c r="A5876" s="1">
        <f>HYPERLINK("https://lsnyc.legalserver.org/matter/dynamic-profile/view/1876516","18-1876516")</f>
        <v>0</v>
      </c>
      <c r="B5876" t="s">
        <v>91</v>
      </c>
      <c r="C5876" t="s">
        <v>256</v>
      </c>
      <c r="D5876" t="s">
        <v>1061</v>
      </c>
      <c r="F5876" t="s">
        <v>1277</v>
      </c>
      <c r="G5876" t="s">
        <v>5509</v>
      </c>
      <c r="H5876" t="s">
        <v>6621</v>
      </c>
      <c r="I5876">
        <v>27</v>
      </c>
      <c r="J5876" t="s">
        <v>9059</v>
      </c>
      <c r="K5876">
        <v>11213</v>
      </c>
      <c r="L5876" t="s">
        <v>9094</v>
      </c>
      <c r="M5876" t="s">
        <v>9094</v>
      </c>
      <c r="N5876" t="s">
        <v>9179</v>
      </c>
      <c r="O5876" t="s">
        <v>11130</v>
      </c>
      <c r="P5876" t="s">
        <v>11165</v>
      </c>
      <c r="R5876" t="s">
        <v>11180</v>
      </c>
      <c r="S5876" t="s">
        <v>9094</v>
      </c>
      <c r="T5876" t="s">
        <v>11183</v>
      </c>
      <c r="V5876" t="s">
        <v>479</v>
      </c>
      <c r="W5876">
        <v>861.2</v>
      </c>
      <c r="X5876" t="s">
        <v>11332</v>
      </c>
      <c r="Y5876" t="s">
        <v>11346</v>
      </c>
      <c r="Z5876" t="s">
        <v>15014</v>
      </c>
      <c r="AB5876" t="s">
        <v>19326</v>
      </c>
      <c r="AC5876">
        <v>31</v>
      </c>
      <c r="AD5876" t="s">
        <v>19566</v>
      </c>
      <c r="AE5876" t="s">
        <v>9144</v>
      </c>
      <c r="AF5876">
        <v>34</v>
      </c>
      <c r="AG5876">
        <v>2</v>
      </c>
      <c r="AH5876">
        <v>0</v>
      </c>
      <c r="AI5876">
        <v>369.38</v>
      </c>
      <c r="AL5876" t="s">
        <v>19614</v>
      </c>
      <c r="AM5876">
        <v>60800</v>
      </c>
      <c r="AS5876">
        <v>3.55</v>
      </c>
      <c r="AT5876" t="s">
        <v>488</v>
      </c>
      <c r="AU5876" t="s">
        <v>95</v>
      </c>
    </row>
    <row r="5877" spans="1:48">
      <c r="A5877" s="1">
        <f>HYPERLINK("https://lsnyc.legalserver.org/matter/dynamic-profile/view/0828960","17-0828960")</f>
        <v>0</v>
      </c>
      <c r="B5877" t="s">
        <v>78</v>
      </c>
      <c r="C5877" t="s">
        <v>256</v>
      </c>
      <c r="D5877" t="s">
        <v>1021</v>
      </c>
      <c r="F5877" t="s">
        <v>1252</v>
      </c>
      <c r="G5877" t="s">
        <v>4598</v>
      </c>
      <c r="H5877" t="s">
        <v>5809</v>
      </c>
      <c r="I5877" t="s">
        <v>8181</v>
      </c>
      <c r="J5877" t="s">
        <v>9059</v>
      </c>
      <c r="K5877">
        <v>11212</v>
      </c>
      <c r="L5877" t="s">
        <v>9094</v>
      </c>
      <c r="M5877" t="s">
        <v>9095</v>
      </c>
      <c r="N5877" t="s">
        <v>9189</v>
      </c>
      <c r="O5877" t="s">
        <v>9121</v>
      </c>
      <c r="P5877" t="s">
        <v>11168</v>
      </c>
      <c r="R5877" t="s">
        <v>11180</v>
      </c>
      <c r="S5877" t="s">
        <v>9094</v>
      </c>
      <c r="T5877" t="s">
        <v>11183</v>
      </c>
      <c r="V5877" t="s">
        <v>1087</v>
      </c>
      <c r="W5877">
        <v>1248.12</v>
      </c>
      <c r="X5877" t="s">
        <v>11332</v>
      </c>
      <c r="Y5877" t="s">
        <v>11157</v>
      </c>
      <c r="Z5877" t="s">
        <v>14879</v>
      </c>
      <c r="AB5877" t="s">
        <v>19199</v>
      </c>
      <c r="AC5877">
        <v>32</v>
      </c>
      <c r="AD5877" t="s">
        <v>19566</v>
      </c>
      <c r="AF5877">
        <v>10</v>
      </c>
      <c r="AG5877">
        <v>2</v>
      </c>
      <c r="AH5877">
        <v>0</v>
      </c>
      <c r="AI5877">
        <v>369.46</v>
      </c>
      <c r="AL5877" t="s">
        <v>19614</v>
      </c>
      <c r="AM5877">
        <v>60000</v>
      </c>
      <c r="AS5877">
        <v>0.25</v>
      </c>
      <c r="AT5877" t="s">
        <v>778</v>
      </c>
      <c r="AU5877" t="s">
        <v>78</v>
      </c>
    </row>
    <row r="5878" spans="1:48">
      <c r="A5878" s="1">
        <f>HYPERLINK("https://lsnyc.legalserver.org/matter/dynamic-profile/view/1838920","17-1838920")</f>
        <v>0</v>
      </c>
      <c r="B5878" t="s">
        <v>103</v>
      </c>
      <c r="C5878" t="s">
        <v>256</v>
      </c>
      <c r="D5878" t="s">
        <v>796</v>
      </c>
      <c r="F5878" t="s">
        <v>2118</v>
      </c>
      <c r="G5878" t="s">
        <v>4564</v>
      </c>
      <c r="H5878" t="s">
        <v>6915</v>
      </c>
      <c r="I5878" t="s">
        <v>8245</v>
      </c>
      <c r="J5878" t="s">
        <v>9065</v>
      </c>
      <c r="K5878">
        <v>10473</v>
      </c>
      <c r="L5878" t="s">
        <v>9094</v>
      </c>
      <c r="M5878" t="s">
        <v>9095</v>
      </c>
      <c r="N5878" t="s">
        <v>10039</v>
      </c>
      <c r="O5878" t="s">
        <v>11135</v>
      </c>
      <c r="P5878" t="s">
        <v>11168</v>
      </c>
      <c r="R5878" t="s">
        <v>11180</v>
      </c>
      <c r="S5878" t="s">
        <v>9094</v>
      </c>
      <c r="T5878" t="s">
        <v>11183</v>
      </c>
      <c r="V5878" t="s">
        <v>11223</v>
      </c>
      <c r="W5878">
        <v>1175</v>
      </c>
      <c r="X5878" t="s">
        <v>11333</v>
      </c>
      <c r="Y5878" t="s">
        <v>11351</v>
      </c>
      <c r="Z5878" t="s">
        <v>15026</v>
      </c>
      <c r="AB5878" t="s">
        <v>19335</v>
      </c>
      <c r="AC5878">
        <v>976</v>
      </c>
      <c r="AD5878" t="s">
        <v>19566</v>
      </c>
      <c r="AE5878" t="s">
        <v>9144</v>
      </c>
      <c r="AF5878">
        <v>43</v>
      </c>
      <c r="AG5878">
        <v>2</v>
      </c>
      <c r="AH5878">
        <v>0</v>
      </c>
      <c r="AI5878">
        <v>369.46</v>
      </c>
      <c r="AJ5878" t="s">
        <v>936</v>
      </c>
      <c r="AL5878" t="s">
        <v>19614</v>
      </c>
      <c r="AM5878">
        <v>90000</v>
      </c>
      <c r="AS5878">
        <v>0</v>
      </c>
      <c r="AU5878" t="s">
        <v>20643</v>
      </c>
    </row>
    <row r="5879" spans="1:48">
      <c r="A5879" s="1">
        <f>HYPERLINK("https://lsnyc.legalserver.org/matter/dynamic-profile/view/1898306","19-1898306")</f>
        <v>0</v>
      </c>
      <c r="B5879" t="s">
        <v>101</v>
      </c>
      <c r="C5879" t="s">
        <v>256</v>
      </c>
      <c r="D5879" t="s">
        <v>596</v>
      </c>
      <c r="F5879" t="s">
        <v>2399</v>
      </c>
      <c r="G5879" t="s">
        <v>4536</v>
      </c>
      <c r="H5879" t="s">
        <v>6383</v>
      </c>
      <c r="I5879" t="s">
        <v>8132</v>
      </c>
      <c r="J5879" t="s">
        <v>9065</v>
      </c>
      <c r="K5879">
        <v>10467</v>
      </c>
      <c r="L5879" t="s">
        <v>9094</v>
      </c>
      <c r="M5879" t="s">
        <v>9094</v>
      </c>
      <c r="O5879" t="s">
        <v>11134</v>
      </c>
      <c r="P5879" t="s">
        <v>11168</v>
      </c>
      <c r="R5879" t="s">
        <v>11180</v>
      </c>
      <c r="S5879" t="s">
        <v>9094</v>
      </c>
      <c r="T5879" t="s">
        <v>11183</v>
      </c>
      <c r="V5879" t="s">
        <v>11218</v>
      </c>
      <c r="W5879">
        <v>842</v>
      </c>
      <c r="X5879" t="s">
        <v>11333</v>
      </c>
      <c r="Y5879" t="s">
        <v>11346</v>
      </c>
      <c r="Z5879" t="s">
        <v>15027</v>
      </c>
      <c r="AB5879" t="s">
        <v>19336</v>
      </c>
      <c r="AC5879">
        <v>60</v>
      </c>
      <c r="AD5879" t="s">
        <v>15441</v>
      </c>
      <c r="AE5879" t="s">
        <v>9144</v>
      </c>
      <c r="AF5879">
        <v>10</v>
      </c>
      <c r="AG5879">
        <v>2</v>
      </c>
      <c r="AH5879">
        <v>1</v>
      </c>
      <c r="AI5879">
        <v>370.93</v>
      </c>
      <c r="AL5879" t="s">
        <v>19614</v>
      </c>
      <c r="AM5879">
        <v>79120</v>
      </c>
      <c r="AS5879">
        <v>0</v>
      </c>
      <c r="AU5879" t="s">
        <v>20642</v>
      </c>
      <c r="AV5879" t="s">
        <v>20733</v>
      </c>
    </row>
    <row r="5880" spans="1:48">
      <c r="A5880" s="1">
        <f>HYPERLINK("https://lsnyc.legalserver.org/matter/dynamic-profile/view/1908828","19-1908828")</f>
        <v>0</v>
      </c>
      <c r="B5880" t="s">
        <v>157</v>
      </c>
      <c r="C5880" t="s">
        <v>256</v>
      </c>
      <c r="D5880" t="s">
        <v>481</v>
      </c>
      <c r="F5880" t="s">
        <v>1777</v>
      </c>
      <c r="G5880" t="s">
        <v>5516</v>
      </c>
      <c r="H5880" t="s">
        <v>8056</v>
      </c>
      <c r="I5880">
        <v>2</v>
      </c>
      <c r="J5880" t="s">
        <v>9059</v>
      </c>
      <c r="K5880">
        <v>11215</v>
      </c>
      <c r="L5880" t="s">
        <v>9095</v>
      </c>
      <c r="M5880" t="s">
        <v>9095</v>
      </c>
      <c r="R5880" t="s">
        <v>11180</v>
      </c>
      <c r="T5880" t="s">
        <v>11193</v>
      </c>
      <c r="W5880">
        <v>0</v>
      </c>
      <c r="X5880" t="s">
        <v>11332</v>
      </c>
      <c r="Z5880" t="s">
        <v>15028</v>
      </c>
      <c r="AB5880" t="s">
        <v>19337</v>
      </c>
      <c r="AC5880">
        <v>0</v>
      </c>
      <c r="AF5880">
        <v>0</v>
      </c>
      <c r="AG5880">
        <v>1</v>
      </c>
      <c r="AH5880">
        <v>0</v>
      </c>
      <c r="AI5880">
        <v>371.82</v>
      </c>
      <c r="AL5880" t="s">
        <v>19614</v>
      </c>
      <c r="AM5880">
        <v>46440</v>
      </c>
      <c r="AS5880">
        <v>13.85</v>
      </c>
      <c r="AT5880" t="s">
        <v>1130</v>
      </c>
      <c r="AU5880" t="s">
        <v>20656</v>
      </c>
    </row>
    <row r="5881" spans="1:48">
      <c r="A5881" s="1">
        <f>HYPERLINK("https://lsnyc.legalserver.org/matter/dynamic-profile/view/1914797","19-1914797")</f>
        <v>0</v>
      </c>
      <c r="B5881" t="s">
        <v>202</v>
      </c>
      <c r="C5881" t="s">
        <v>256</v>
      </c>
      <c r="D5881" t="s">
        <v>632</v>
      </c>
      <c r="F5881" t="s">
        <v>3220</v>
      </c>
      <c r="G5881" t="s">
        <v>4260</v>
      </c>
      <c r="H5881" t="s">
        <v>6621</v>
      </c>
      <c r="I5881">
        <v>28</v>
      </c>
      <c r="J5881" t="s">
        <v>9059</v>
      </c>
      <c r="K5881">
        <v>11213</v>
      </c>
      <c r="L5881" t="s">
        <v>9094</v>
      </c>
      <c r="M5881" t="s">
        <v>9095</v>
      </c>
      <c r="N5881" t="s">
        <v>10263</v>
      </c>
      <c r="O5881" t="s">
        <v>11132</v>
      </c>
      <c r="P5881" t="s">
        <v>11165</v>
      </c>
      <c r="R5881" t="s">
        <v>11180</v>
      </c>
      <c r="S5881" t="s">
        <v>9094</v>
      </c>
      <c r="T5881" t="s">
        <v>11183</v>
      </c>
      <c r="U5881" t="s">
        <v>11201</v>
      </c>
      <c r="V5881" t="s">
        <v>11243</v>
      </c>
      <c r="W5881">
        <v>1326</v>
      </c>
      <c r="X5881" t="s">
        <v>11332</v>
      </c>
      <c r="Y5881" t="s">
        <v>11346</v>
      </c>
      <c r="Z5881" t="s">
        <v>15029</v>
      </c>
      <c r="AA5881" t="s">
        <v>15904</v>
      </c>
      <c r="AB5881" t="s">
        <v>19338</v>
      </c>
      <c r="AC5881">
        <v>31</v>
      </c>
      <c r="AD5881" t="s">
        <v>19566</v>
      </c>
      <c r="AE5881" t="s">
        <v>9144</v>
      </c>
      <c r="AF5881">
        <v>2</v>
      </c>
      <c r="AG5881">
        <v>2</v>
      </c>
      <c r="AH5881">
        <v>0</v>
      </c>
      <c r="AI5881">
        <v>372.56</v>
      </c>
      <c r="AK5881" t="s">
        <v>19612</v>
      </c>
      <c r="AL5881" t="s">
        <v>19614</v>
      </c>
      <c r="AM5881">
        <v>63000</v>
      </c>
      <c r="AN5881" t="s">
        <v>20097</v>
      </c>
      <c r="AS5881">
        <v>0</v>
      </c>
      <c r="AU5881" t="s">
        <v>95</v>
      </c>
      <c r="AV5881" t="s">
        <v>20733</v>
      </c>
    </row>
    <row r="5882" spans="1:48">
      <c r="A5882" s="1">
        <f>HYPERLINK("https://lsnyc.legalserver.org/matter/dynamic-profile/view/1914600","19-1914600")</f>
        <v>0</v>
      </c>
      <c r="B5882" t="s">
        <v>70</v>
      </c>
      <c r="C5882" t="s">
        <v>256</v>
      </c>
      <c r="D5882" t="s">
        <v>476</v>
      </c>
      <c r="F5882" t="s">
        <v>3220</v>
      </c>
      <c r="G5882" t="s">
        <v>4260</v>
      </c>
      <c r="H5882" t="s">
        <v>6621</v>
      </c>
      <c r="I5882">
        <v>28</v>
      </c>
      <c r="J5882" t="s">
        <v>9059</v>
      </c>
      <c r="K5882">
        <v>11213</v>
      </c>
      <c r="L5882" t="s">
        <v>9094</v>
      </c>
      <c r="M5882" t="s">
        <v>9095</v>
      </c>
      <c r="N5882" t="s">
        <v>9625</v>
      </c>
      <c r="O5882" t="s">
        <v>11134</v>
      </c>
      <c r="P5882" t="s">
        <v>11168</v>
      </c>
      <c r="R5882" t="s">
        <v>11180</v>
      </c>
      <c r="S5882" t="s">
        <v>9094</v>
      </c>
      <c r="T5882" t="s">
        <v>11183</v>
      </c>
      <c r="U5882" t="s">
        <v>11201</v>
      </c>
      <c r="V5882" t="s">
        <v>612</v>
      </c>
      <c r="W5882">
        <v>1326</v>
      </c>
      <c r="X5882" t="s">
        <v>11332</v>
      </c>
      <c r="Y5882" t="s">
        <v>11346</v>
      </c>
      <c r="Z5882" t="s">
        <v>15029</v>
      </c>
      <c r="AA5882" t="s">
        <v>15904</v>
      </c>
      <c r="AB5882" t="s">
        <v>19338</v>
      </c>
      <c r="AC5882">
        <v>31</v>
      </c>
      <c r="AD5882" t="s">
        <v>19566</v>
      </c>
      <c r="AE5882" t="s">
        <v>9144</v>
      </c>
      <c r="AF5882">
        <v>2</v>
      </c>
      <c r="AG5882">
        <v>2</v>
      </c>
      <c r="AH5882">
        <v>0</v>
      </c>
      <c r="AI5882">
        <v>372.56</v>
      </c>
      <c r="AL5882" t="s">
        <v>19614</v>
      </c>
      <c r="AM5882">
        <v>63000</v>
      </c>
      <c r="AN5882" t="s">
        <v>20198</v>
      </c>
      <c r="AS5882">
        <v>0</v>
      </c>
      <c r="AU5882" t="s">
        <v>95</v>
      </c>
      <c r="AV5882" t="s">
        <v>20733</v>
      </c>
    </row>
    <row r="5883" spans="1:48">
      <c r="A5883" s="1">
        <f>HYPERLINK("https://lsnyc.legalserver.org/matter/dynamic-profile/view/1914614","19-1914614")</f>
        <v>0</v>
      </c>
      <c r="B5883" t="s">
        <v>70</v>
      </c>
      <c r="C5883" t="s">
        <v>256</v>
      </c>
      <c r="D5883" t="s">
        <v>476</v>
      </c>
      <c r="F5883" t="s">
        <v>3220</v>
      </c>
      <c r="G5883" t="s">
        <v>4260</v>
      </c>
      <c r="H5883" t="s">
        <v>6621</v>
      </c>
      <c r="I5883">
        <v>28</v>
      </c>
      <c r="J5883" t="s">
        <v>9059</v>
      </c>
      <c r="K5883">
        <v>11213</v>
      </c>
      <c r="L5883" t="s">
        <v>9094</v>
      </c>
      <c r="M5883" t="s">
        <v>9095</v>
      </c>
      <c r="N5883" t="s">
        <v>10263</v>
      </c>
      <c r="O5883" t="s">
        <v>11134</v>
      </c>
      <c r="P5883" t="s">
        <v>11168</v>
      </c>
      <c r="R5883" t="s">
        <v>11180</v>
      </c>
      <c r="S5883" t="s">
        <v>9096</v>
      </c>
      <c r="T5883" t="s">
        <v>11183</v>
      </c>
      <c r="U5883" t="s">
        <v>11201</v>
      </c>
      <c r="V5883" t="s">
        <v>413</v>
      </c>
      <c r="W5883">
        <v>1326</v>
      </c>
      <c r="X5883" t="s">
        <v>11332</v>
      </c>
      <c r="Y5883" t="s">
        <v>11346</v>
      </c>
      <c r="Z5883" t="s">
        <v>15029</v>
      </c>
      <c r="AA5883" t="s">
        <v>15904</v>
      </c>
      <c r="AB5883" t="s">
        <v>19338</v>
      </c>
      <c r="AC5883">
        <v>31</v>
      </c>
      <c r="AD5883" t="s">
        <v>19566</v>
      </c>
      <c r="AE5883" t="s">
        <v>9144</v>
      </c>
      <c r="AF5883">
        <v>2</v>
      </c>
      <c r="AG5883">
        <v>2</v>
      </c>
      <c r="AH5883">
        <v>0</v>
      </c>
      <c r="AI5883">
        <v>372.56</v>
      </c>
      <c r="AK5883" t="s">
        <v>19612</v>
      </c>
      <c r="AL5883" t="s">
        <v>19614</v>
      </c>
      <c r="AM5883">
        <v>63000</v>
      </c>
      <c r="AN5883" t="s">
        <v>20198</v>
      </c>
      <c r="AS5883">
        <v>0</v>
      </c>
      <c r="AU5883" t="s">
        <v>95</v>
      </c>
      <c r="AV5883" t="s">
        <v>20733</v>
      </c>
    </row>
    <row r="5884" spans="1:48">
      <c r="A5884" s="1">
        <f>HYPERLINK("https://lsnyc.legalserver.org/matter/dynamic-profile/view/1900714","19-1900714")</f>
        <v>0</v>
      </c>
      <c r="B5884" t="s">
        <v>76</v>
      </c>
      <c r="C5884" t="s">
        <v>256</v>
      </c>
      <c r="D5884" t="s">
        <v>338</v>
      </c>
      <c r="F5884" t="s">
        <v>3220</v>
      </c>
      <c r="G5884" t="s">
        <v>4260</v>
      </c>
      <c r="H5884" t="s">
        <v>6621</v>
      </c>
      <c r="I5884">
        <v>28</v>
      </c>
      <c r="J5884" t="s">
        <v>9059</v>
      </c>
      <c r="K5884">
        <v>11213</v>
      </c>
      <c r="L5884" t="s">
        <v>9094</v>
      </c>
      <c r="M5884" t="s">
        <v>9095</v>
      </c>
      <c r="N5884" t="s">
        <v>9144</v>
      </c>
      <c r="O5884" t="s">
        <v>9121</v>
      </c>
      <c r="P5884" t="s">
        <v>11167</v>
      </c>
      <c r="R5884" t="s">
        <v>11180</v>
      </c>
      <c r="S5884" t="s">
        <v>9094</v>
      </c>
      <c r="T5884" t="s">
        <v>11183</v>
      </c>
      <c r="U5884" t="s">
        <v>11201</v>
      </c>
      <c r="V5884" t="s">
        <v>291</v>
      </c>
      <c r="W5884">
        <v>1326</v>
      </c>
      <c r="X5884" t="s">
        <v>11332</v>
      </c>
      <c r="Y5884" t="s">
        <v>11346</v>
      </c>
      <c r="Z5884" t="s">
        <v>15029</v>
      </c>
      <c r="AA5884" t="s">
        <v>15904</v>
      </c>
      <c r="AB5884" t="s">
        <v>19338</v>
      </c>
      <c r="AC5884">
        <v>31</v>
      </c>
      <c r="AD5884" t="s">
        <v>19566</v>
      </c>
      <c r="AE5884" t="s">
        <v>9144</v>
      </c>
      <c r="AF5884">
        <v>2</v>
      </c>
      <c r="AG5884">
        <v>2</v>
      </c>
      <c r="AH5884">
        <v>0</v>
      </c>
      <c r="AI5884">
        <v>372.56</v>
      </c>
      <c r="AL5884" t="s">
        <v>19614</v>
      </c>
      <c r="AM5884">
        <v>63000</v>
      </c>
      <c r="AN5884" t="s">
        <v>20199</v>
      </c>
      <c r="AS5884">
        <v>0</v>
      </c>
      <c r="AU5884" t="s">
        <v>95</v>
      </c>
      <c r="AV5884" t="s">
        <v>20733</v>
      </c>
    </row>
    <row r="5885" spans="1:48">
      <c r="A5885" s="1">
        <f>HYPERLINK("https://lsnyc.legalserver.org/matter/dynamic-profile/view/1889380","19-1889380")</f>
        <v>0</v>
      </c>
      <c r="B5885" t="s">
        <v>103</v>
      </c>
      <c r="C5885" t="s">
        <v>256</v>
      </c>
      <c r="D5885" t="s">
        <v>348</v>
      </c>
      <c r="F5885" t="s">
        <v>2341</v>
      </c>
      <c r="G5885" t="s">
        <v>5517</v>
      </c>
      <c r="H5885" t="s">
        <v>6413</v>
      </c>
      <c r="I5885" t="s">
        <v>8153</v>
      </c>
      <c r="J5885" t="s">
        <v>9065</v>
      </c>
      <c r="K5885">
        <v>10456</v>
      </c>
      <c r="L5885" t="s">
        <v>9094</v>
      </c>
      <c r="M5885" t="s">
        <v>9094</v>
      </c>
      <c r="N5885" t="s">
        <v>9732</v>
      </c>
      <c r="O5885" t="s">
        <v>11134</v>
      </c>
      <c r="P5885" t="s">
        <v>11168</v>
      </c>
      <c r="R5885" t="s">
        <v>11180</v>
      </c>
      <c r="S5885" t="s">
        <v>9094</v>
      </c>
      <c r="T5885" t="s">
        <v>11183</v>
      </c>
      <c r="V5885" t="s">
        <v>617</v>
      </c>
      <c r="W5885">
        <v>1098</v>
      </c>
      <c r="X5885" t="s">
        <v>11333</v>
      </c>
      <c r="Y5885" t="s">
        <v>11346</v>
      </c>
      <c r="Z5885" t="s">
        <v>15030</v>
      </c>
      <c r="AB5885" t="s">
        <v>19339</v>
      </c>
      <c r="AC5885">
        <v>61</v>
      </c>
      <c r="AD5885" t="s">
        <v>19566</v>
      </c>
      <c r="AE5885" t="s">
        <v>9144</v>
      </c>
      <c r="AF5885">
        <v>1</v>
      </c>
      <c r="AG5885">
        <v>2</v>
      </c>
      <c r="AH5885">
        <v>0</v>
      </c>
      <c r="AI5885">
        <v>372.56</v>
      </c>
      <c r="AL5885" t="s">
        <v>19615</v>
      </c>
      <c r="AM5885">
        <v>63000</v>
      </c>
      <c r="AS5885">
        <v>0</v>
      </c>
      <c r="AU5885" t="s">
        <v>163</v>
      </c>
    </row>
    <row r="5886" spans="1:48">
      <c r="A5886" s="1">
        <f>HYPERLINK("https://lsnyc.legalserver.org/matter/dynamic-profile/view/1889386","19-1889386")</f>
        <v>0</v>
      </c>
      <c r="B5886" t="s">
        <v>103</v>
      </c>
      <c r="C5886" t="s">
        <v>256</v>
      </c>
      <c r="D5886" t="s">
        <v>348</v>
      </c>
      <c r="F5886" t="s">
        <v>2341</v>
      </c>
      <c r="G5886" t="s">
        <v>5517</v>
      </c>
      <c r="H5886" t="s">
        <v>6413</v>
      </c>
      <c r="I5886" t="s">
        <v>8153</v>
      </c>
      <c r="J5886" t="s">
        <v>9065</v>
      </c>
      <c r="K5886">
        <v>10456</v>
      </c>
      <c r="L5886" t="s">
        <v>9094</v>
      </c>
      <c r="M5886" t="s">
        <v>9094</v>
      </c>
      <c r="N5886" t="s">
        <v>9740</v>
      </c>
      <c r="O5886" t="s">
        <v>11134</v>
      </c>
      <c r="P5886" t="s">
        <v>11168</v>
      </c>
      <c r="R5886" t="s">
        <v>11180</v>
      </c>
      <c r="S5886" t="s">
        <v>9094</v>
      </c>
      <c r="T5886" t="s">
        <v>11183</v>
      </c>
      <c r="V5886" t="s">
        <v>617</v>
      </c>
      <c r="W5886">
        <v>1098</v>
      </c>
      <c r="X5886" t="s">
        <v>11333</v>
      </c>
      <c r="Y5886" t="s">
        <v>11346</v>
      </c>
      <c r="Z5886" t="s">
        <v>15030</v>
      </c>
      <c r="AB5886" t="s">
        <v>19339</v>
      </c>
      <c r="AC5886">
        <v>61</v>
      </c>
      <c r="AD5886" t="s">
        <v>19566</v>
      </c>
      <c r="AE5886" t="s">
        <v>9144</v>
      </c>
      <c r="AF5886">
        <v>1</v>
      </c>
      <c r="AG5886">
        <v>2</v>
      </c>
      <c r="AH5886">
        <v>0</v>
      </c>
      <c r="AI5886">
        <v>372.56</v>
      </c>
      <c r="AL5886" t="s">
        <v>19615</v>
      </c>
      <c r="AM5886">
        <v>63000</v>
      </c>
      <c r="AS5886">
        <v>0</v>
      </c>
      <c r="AU5886" t="s">
        <v>163</v>
      </c>
    </row>
    <row r="5887" spans="1:48">
      <c r="A5887" s="1">
        <f>HYPERLINK("https://lsnyc.legalserver.org/matter/dynamic-profile/view/1892382","19-1892382")</f>
        <v>0</v>
      </c>
      <c r="B5887" t="s">
        <v>103</v>
      </c>
      <c r="C5887" t="s">
        <v>256</v>
      </c>
      <c r="D5887" t="s">
        <v>635</v>
      </c>
      <c r="F5887" t="s">
        <v>2074</v>
      </c>
      <c r="G5887" t="s">
        <v>3332</v>
      </c>
      <c r="H5887" t="s">
        <v>5887</v>
      </c>
      <c r="I5887" t="s">
        <v>8817</v>
      </c>
      <c r="J5887" t="s">
        <v>9065</v>
      </c>
      <c r="K5887">
        <v>10453</v>
      </c>
      <c r="L5887" t="s">
        <v>9094</v>
      </c>
      <c r="M5887" t="s">
        <v>9094</v>
      </c>
      <c r="O5887" t="s">
        <v>11134</v>
      </c>
      <c r="P5887" t="s">
        <v>11168</v>
      </c>
      <c r="R5887" t="s">
        <v>11180</v>
      </c>
      <c r="S5887" t="s">
        <v>9094</v>
      </c>
      <c r="T5887" t="s">
        <v>11183</v>
      </c>
      <c r="V5887" t="s">
        <v>993</v>
      </c>
      <c r="W5887">
        <v>1067.78</v>
      </c>
      <c r="X5887" t="s">
        <v>11333</v>
      </c>
      <c r="Y5887" t="s">
        <v>11339</v>
      </c>
      <c r="Z5887" t="s">
        <v>12217</v>
      </c>
      <c r="AB5887" t="s">
        <v>19340</v>
      </c>
      <c r="AC5887">
        <v>170</v>
      </c>
      <c r="AD5887" t="s">
        <v>19566</v>
      </c>
      <c r="AE5887" t="s">
        <v>9144</v>
      </c>
      <c r="AF5887">
        <v>20</v>
      </c>
      <c r="AG5887">
        <v>2</v>
      </c>
      <c r="AH5887">
        <v>0</v>
      </c>
      <c r="AI5887">
        <v>372.56</v>
      </c>
      <c r="AL5887" t="s">
        <v>19614</v>
      </c>
      <c r="AM5887">
        <v>63000</v>
      </c>
      <c r="AS5887">
        <v>0</v>
      </c>
      <c r="AU5887" t="s">
        <v>220</v>
      </c>
      <c r="AV5887" t="s">
        <v>20733</v>
      </c>
    </row>
    <row r="5888" spans="1:48">
      <c r="A5888" s="1">
        <f>HYPERLINK("https://lsnyc.legalserver.org/matter/dynamic-profile/view/1905131","19-1905131")</f>
        <v>0</v>
      </c>
      <c r="B5888" t="s">
        <v>103</v>
      </c>
      <c r="C5888" t="s">
        <v>256</v>
      </c>
      <c r="D5888" t="s">
        <v>367</v>
      </c>
      <c r="F5888" t="s">
        <v>2074</v>
      </c>
      <c r="G5888" t="s">
        <v>3332</v>
      </c>
      <c r="H5888" t="s">
        <v>5887</v>
      </c>
      <c r="I5888" t="s">
        <v>8817</v>
      </c>
      <c r="J5888" t="s">
        <v>9065</v>
      </c>
      <c r="K5888">
        <v>10453</v>
      </c>
      <c r="L5888" t="s">
        <v>9094</v>
      </c>
      <c r="M5888" t="s">
        <v>9095</v>
      </c>
      <c r="N5888" t="s">
        <v>9239</v>
      </c>
      <c r="O5888" t="s">
        <v>11134</v>
      </c>
      <c r="P5888" t="s">
        <v>11168</v>
      </c>
      <c r="R5888" t="s">
        <v>11180</v>
      </c>
      <c r="S5888" t="s">
        <v>9094</v>
      </c>
      <c r="T5888" t="s">
        <v>11183</v>
      </c>
      <c r="V5888" t="s">
        <v>1061</v>
      </c>
      <c r="W5888">
        <v>1067.78</v>
      </c>
      <c r="X5888" t="s">
        <v>11333</v>
      </c>
      <c r="Y5888" t="s">
        <v>11346</v>
      </c>
      <c r="Z5888" t="s">
        <v>12217</v>
      </c>
      <c r="AB5888" t="s">
        <v>19340</v>
      </c>
      <c r="AC5888">
        <v>170</v>
      </c>
      <c r="AD5888" t="s">
        <v>19566</v>
      </c>
      <c r="AE5888" t="s">
        <v>9144</v>
      </c>
      <c r="AF5888">
        <v>20</v>
      </c>
      <c r="AG5888">
        <v>2</v>
      </c>
      <c r="AH5888">
        <v>0</v>
      </c>
      <c r="AI5888">
        <v>372.56</v>
      </c>
      <c r="AL5888" t="s">
        <v>19614</v>
      </c>
      <c r="AM5888">
        <v>63000</v>
      </c>
      <c r="AS5888">
        <v>0</v>
      </c>
      <c r="AU5888" t="s">
        <v>163</v>
      </c>
      <c r="AV5888" t="s">
        <v>20733</v>
      </c>
    </row>
    <row r="5889" spans="1:48">
      <c r="A5889" s="1">
        <f>HYPERLINK("https://lsnyc.legalserver.org/matter/dynamic-profile/view/1905138","19-1905138")</f>
        <v>0</v>
      </c>
      <c r="B5889" t="s">
        <v>103</v>
      </c>
      <c r="C5889" t="s">
        <v>256</v>
      </c>
      <c r="D5889" t="s">
        <v>367</v>
      </c>
      <c r="F5889" t="s">
        <v>2074</v>
      </c>
      <c r="G5889" t="s">
        <v>3332</v>
      </c>
      <c r="H5889" t="s">
        <v>5887</v>
      </c>
      <c r="I5889" t="s">
        <v>8817</v>
      </c>
      <c r="J5889" t="s">
        <v>9065</v>
      </c>
      <c r="K5889">
        <v>10453</v>
      </c>
      <c r="L5889" t="s">
        <v>9094</v>
      </c>
      <c r="M5889" t="s">
        <v>9095</v>
      </c>
      <c r="N5889" t="s">
        <v>9240</v>
      </c>
      <c r="O5889" t="s">
        <v>11134</v>
      </c>
      <c r="P5889" t="s">
        <v>11168</v>
      </c>
      <c r="R5889" t="s">
        <v>11180</v>
      </c>
      <c r="S5889" t="s">
        <v>9094</v>
      </c>
      <c r="T5889" t="s">
        <v>11183</v>
      </c>
      <c r="V5889" t="s">
        <v>422</v>
      </c>
      <c r="W5889">
        <v>1067.78</v>
      </c>
      <c r="X5889" t="s">
        <v>11333</v>
      </c>
      <c r="Y5889" t="s">
        <v>11346</v>
      </c>
      <c r="Z5889" t="s">
        <v>12217</v>
      </c>
      <c r="AB5889" t="s">
        <v>19340</v>
      </c>
      <c r="AC5889">
        <v>170</v>
      </c>
      <c r="AD5889" t="s">
        <v>19566</v>
      </c>
      <c r="AE5889" t="s">
        <v>9144</v>
      </c>
      <c r="AF5889">
        <v>20</v>
      </c>
      <c r="AG5889">
        <v>2</v>
      </c>
      <c r="AH5889">
        <v>0</v>
      </c>
      <c r="AI5889">
        <v>372.56</v>
      </c>
      <c r="AL5889" t="s">
        <v>19614</v>
      </c>
      <c r="AM5889">
        <v>63000</v>
      </c>
      <c r="AS5889">
        <v>0</v>
      </c>
      <c r="AU5889" t="s">
        <v>163</v>
      </c>
      <c r="AV5889" t="s">
        <v>20733</v>
      </c>
    </row>
    <row r="5890" spans="1:48">
      <c r="A5890" s="1">
        <f>HYPERLINK("https://lsnyc.legalserver.org/matter/dynamic-profile/view/1891962","19-1891962")</f>
        <v>0</v>
      </c>
      <c r="B5890" t="s">
        <v>103</v>
      </c>
      <c r="C5890" t="s">
        <v>256</v>
      </c>
      <c r="D5890" t="s">
        <v>868</v>
      </c>
      <c r="F5890" t="s">
        <v>2074</v>
      </c>
      <c r="G5890" t="s">
        <v>3332</v>
      </c>
      <c r="H5890" t="s">
        <v>5887</v>
      </c>
      <c r="I5890" t="s">
        <v>8817</v>
      </c>
      <c r="J5890" t="s">
        <v>9065</v>
      </c>
      <c r="K5890">
        <v>10453</v>
      </c>
      <c r="L5890" t="s">
        <v>9094</v>
      </c>
      <c r="M5890" t="s">
        <v>9094</v>
      </c>
      <c r="N5890" t="s">
        <v>9352</v>
      </c>
      <c r="O5890" t="s">
        <v>11130</v>
      </c>
      <c r="P5890" t="s">
        <v>11165</v>
      </c>
      <c r="R5890" t="s">
        <v>11180</v>
      </c>
      <c r="S5890" t="s">
        <v>9094</v>
      </c>
      <c r="T5890" t="s">
        <v>11183</v>
      </c>
      <c r="V5890" t="s">
        <v>512</v>
      </c>
      <c r="W5890">
        <v>1067.78</v>
      </c>
      <c r="X5890" t="s">
        <v>11333</v>
      </c>
      <c r="Y5890" t="s">
        <v>11339</v>
      </c>
      <c r="Z5890" t="s">
        <v>12217</v>
      </c>
      <c r="AB5890" t="s">
        <v>19340</v>
      </c>
      <c r="AC5890">
        <v>170</v>
      </c>
      <c r="AD5890" t="s">
        <v>19566</v>
      </c>
      <c r="AE5890" t="s">
        <v>9144</v>
      </c>
      <c r="AF5890">
        <v>20</v>
      </c>
      <c r="AG5890">
        <v>2</v>
      </c>
      <c r="AH5890">
        <v>0</v>
      </c>
      <c r="AI5890">
        <v>372.56</v>
      </c>
      <c r="AL5890" t="s">
        <v>19614</v>
      </c>
      <c r="AM5890">
        <v>63000</v>
      </c>
      <c r="AS5890">
        <v>0</v>
      </c>
      <c r="AU5890" t="s">
        <v>220</v>
      </c>
    </row>
    <row r="5891" spans="1:48">
      <c r="A5891" s="1">
        <f>HYPERLINK("https://lsnyc.legalserver.org/matter/dynamic-profile/view/1897601","19-1897601")</f>
        <v>0</v>
      </c>
      <c r="B5891" t="s">
        <v>139</v>
      </c>
      <c r="C5891" t="s">
        <v>256</v>
      </c>
      <c r="D5891" t="s">
        <v>617</v>
      </c>
      <c r="F5891" t="s">
        <v>1173</v>
      </c>
      <c r="G5891" t="s">
        <v>5518</v>
      </c>
      <c r="H5891" t="s">
        <v>6488</v>
      </c>
      <c r="I5891">
        <v>54</v>
      </c>
      <c r="J5891" t="s">
        <v>9067</v>
      </c>
      <c r="K5891">
        <v>10034</v>
      </c>
      <c r="L5891" t="s">
        <v>9094</v>
      </c>
      <c r="M5891" t="s">
        <v>9094</v>
      </c>
      <c r="N5891" t="s">
        <v>9709</v>
      </c>
      <c r="O5891" t="s">
        <v>11130</v>
      </c>
      <c r="P5891" t="s">
        <v>11165</v>
      </c>
      <c r="R5891" t="s">
        <v>11180</v>
      </c>
      <c r="S5891" t="s">
        <v>9094</v>
      </c>
      <c r="T5891" t="s">
        <v>11183</v>
      </c>
      <c r="V5891" t="s">
        <v>617</v>
      </c>
      <c r="W5891">
        <v>1313.52</v>
      </c>
      <c r="X5891" t="s">
        <v>11335</v>
      </c>
      <c r="Y5891" t="s">
        <v>11338</v>
      </c>
      <c r="Z5891" t="s">
        <v>15031</v>
      </c>
      <c r="AB5891" t="s">
        <v>19341</v>
      </c>
      <c r="AC5891">
        <v>51</v>
      </c>
      <c r="AD5891" t="s">
        <v>19566</v>
      </c>
      <c r="AE5891" t="s">
        <v>9144</v>
      </c>
      <c r="AF5891">
        <v>18</v>
      </c>
      <c r="AG5891">
        <v>2</v>
      </c>
      <c r="AH5891">
        <v>0</v>
      </c>
      <c r="AI5891">
        <v>372.56</v>
      </c>
      <c r="AL5891" t="s">
        <v>19614</v>
      </c>
      <c r="AM5891">
        <v>63000</v>
      </c>
      <c r="AS5891">
        <v>0.1</v>
      </c>
      <c r="AT5891" t="s">
        <v>736</v>
      </c>
      <c r="AU5891" t="s">
        <v>130</v>
      </c>
      <c r="AV5891" t="s">
        <v>20733</v>
      </c>
    </row>
    <row r="5892" spans="1:48">
      <c r="A5892" s="1">
        <f>HYPERLINK("https://lsnyc.legalserver.org/matter/dynamic-profile/view/1876630","18-1876630")</f>
        <v>0</v>
      </c>
      <c r="B5892" t="s">
        <v>165</v>
      </c>
      <c r="C5892" t="s">
        <v>256</v>
      </c>
      <c r="D5892" t="s">
        <v>593</v>
      </c>
      <c r="F5892" t="s">
        <v>1197</v>
      </c>
      <c r="G5892" t="s">
        <v>5519</v>
      </c>
      <c r="H5892" t="s">
        <v>6934</v>
      </c>
      <c r="I5892" t="s">
        <v>8202</v>
      </c>
      <c r="J5892" t="s">
        <v>9059</v>
      </c>
      <c r="K5892">
        <v>11216</v>
      </c>
      <c r="L5892" t="s">
        <v>9094</v>
      </c>
      <c r="M5892" t="s">
        <v>9095</v>
      </c>
      <c r="N5892" t="s">
        <v>10050</v>
      </c>
      <c r="O5892" t="s">
        <v>11132</v>
      </c>
      <c r="P5892" t="s">
        <v>11165</v>
      </c>
      <c r="R5892" t="s">
        <v>11180</v>
      </c>
      <c r="S5892" t="s">
        <v>9094</v>
      </c>
      <c r="T5892" t="s">
        <v>11183</v>
      </c>
      <c r="V5892" t="s">
        <v>688</v>
      </c>
      <c r="W5892">
        <v>2450</v>
      </c>
      <c r="X5892" t="s">
        <v>11332</v>
      </c>
      <c r="Y5892" t="s">
        <v>11339</v>
      </c>
      <c r="Z5892" t="s">
        <v>11479</v>
      </c>
      <c r="AB5892" t="s">
        <v>19342</v>
      </c>
      <c r="AC5892">
        <v>82</v>
      </c>
      <c r="AD5892" t="s">
        <v>19566</v>
      </c>
      <c r="AE5892" t="s">
        <v>9144</v>
      </c>
      <c r="AF5892">
        <v>1</v>
      </c>
      <c r="AG5892">
        <v>1</v>
      </c>
      <c r="AH5892">
        <v>0</v>
      </c>
      <c r="AI5892">
        <v>373.9</v>
      </c>
      <c r="AJ5892" t="s">
        <v>440</v>
      </c>
      <c r="AK5892" t="s">
        <v>19612</v>
      </c>
      <c r="AL5892" t="s">
        <v>19614</v>
      </c>
      <c r="AM5892">
        <v>45392</v>
      </c>
      <c r="AS5892">
        <v>0</v>
      </c>
      <c r="AU5892" t="s">
        <v>95</v>
      </c>
      <c r="AV5892" t="s">
        <v>20733</v>
      </c>
    </row>
    <row r="5893" spans="1:48">
      <c r="A5893" s="1">
        <f>HYPERLINK("https://lsnyc.legalserver.org/matter/dynamic-profile/view/1876621","18-1876621")</f>
        <v>0</v>
      </c>
      <c r="B5893" t="s">
        <v>165</v>
      </c>
      <c r="C5893" t="s">
        <v>256</v>
      </c>
      <c r="D5893" t="s">
        <v>593</v>
      </c>
      <c r="F5893" t="s">
        <v>1197</v>
      </c>
      <c r="G5893" t="s">
        <v>5519</v>
      </c>
      <c r="H5893" t="s">
        <v>6934</v>
      </c>
      <c r="I5893" t="s">
        <v>8202</v>
      </c>
      <c r="J5893" t="s">
        <v>9059</v>
      </c>
      <c r="K5893">
        <v>11216</v>
      </c>
      <c r="L5893" t="s">
        <v>9094</v>
      </c>
      <c r="M5893" t="s">
        <v>9094</v>
      </c>
      <c r="N5893" t="s">
        <v>9121</v>
      </c>
      <c r="O5893" t="s">
        <v>9121</v>
      </c>
      <c r="P5893" t="s">
        <v>11167</v>
      </c>
      <c r="R5893" t="s">
        <v>11180</v>
      </c>
      <c r="T5893" t="s">
        <v>11183</v>
      </c>
      <c r="V5893" t="s">
        <v>419</v>
      </c>
      <c r="W5893">
        <v>2450</v>
      </c>
      <c r="X5893" t="s">
        <v>11332</v>
      </c>
      <c r="Y5893" t="s">
        <v>11339</v>
      </c>
      <c r="Z5893" t="s">
        <v>11479</v>
      </c>
      <c r="AB5893" t="s">
        <v>19342</v>
      </c>
      <c r="AC5893">
        <v>82</v>
      </c>
      <c r="AD5893" t="s">
        <v>19566</v>
      </c>
      <c r="AE5893" t="s">
        <v>9144</v>
      </c>
      <c r="AF5893">
        <v>1</v>
      </c>
      <c r="AG5893">
        <v>1</v>
      </c>
      <c r="AH5893">
        <v>0</v>
      </c>
      <c r="AI5893">
        <v>373.9</v>
      </c>
      <c r="AJ5893" t="s">
        <v>440</v>
      </c>
      <c r="AK5893" t="s">
        <v>19612</v>
      </c>
      <c r="AL5893" t="s">
        <v>19614</v>
      </c>
      <c r="AM5893">
        <v>45392</v>
      </c>
      <c r="AN5893" t="s">
        <v>19720</v>
      </c>
      <c r="AS5893">
        <v>0</v>
      </c>
      <c r="AU5893" t="s">
        <v>95</v>
      </c>
    </row>
    <row r="5894" spans="1:48">
      <c r="A5894" s="1">
        <f>HYPERLINK("https://lsnyc.legalserver.org/matter/dynamic-profile/view/1912622","19-1912622")</f>
        <v>0</v>
      </c>
      <c r="B5894" t="s">
        <v>228</v>
      </c>
      <c r="C5894" t="s">
        <v>257</v>
      </c>
      <c r="D5894" t="s">
        <v>290</v>
      </c>
      <c r="E5894" t="s">
        <v>286</v>
      </c>
      <c r="F5894" t="s">
        <v>1264</v>
      </c>
      <c r="G5894" t="s">
        <v>4219</v>
      </c>
      <c r="H5894" t="s">
        <v>8044</v>
      </c>
      <c r="J5894" t="s">
        <v>9065</v>
      </c>
      <c r="K5894">
        <v>10452</v>
      </c>
      <c r="L5894" t="s">
        <v>9094</v>
      </c>
      <c r="M5894" t="s">
        <v>9095</v>
      </c>
      <c r="N5894" t="s">
        <v>9171</v>
      </c>
      <c r="O5894" t="s">
        <v>9121</v>
      </c>
      <c r="P5894" t="s">
        <v>11164</v>
      </c>
      <c r="Q5894" t="s">
        <v>11172</v>
      </c>
      <c r="R5894" t="s">
        <v>11180</v>
      </c>
      <c r="S5894" t="s">
        <v>9096</v>
      </c>
      <c r="T5894" t="s">
        <v>11183</v>
      </c>
      <c r="V5894" t="s">
        <v>833</v>
      </c>
      <c r="W5894">
        <v>1550</v>
      </c>
      <c r="X5894" t="s">
        <v>11333</v>
      </c>
      <c r="Y5894" t="s">
        <v>11346</v>
      </c>
      <c r="Z5894" t="s">
        <v>14976</v>
      </c>
      <c r="AB5894" t="s">
        <v>19287</v>
      </c>
      <c r="AC5894">
        <v>45</v>
      </c>
      <c r="AD5894" t="s">
        <v>19576</v>
      </c>
      <c r="AE5894" t="s">
        <v>9144</v>
      </c>
      <c r="AF5894">
        <v>2</v>
      </c>
      <c r="AG5894">
        <v>1</v>
      </c>
      <c r="AH5894">
        <v>0</v>
      </c>
      <c r="AI5894">
        <v>374.7</v>
      </c>
      <c r="AL5894" t="s">
        <v>19614</v>
      </c>
      <c r="AM5894">
        <v>46800</v>
      </c>
      <c r="AS5894">
        <v>0.75</v>
      </c>
      <c r="AT5894" t="s">
        <v>286</v>
      </c>
      <c r="AU5894" t="s">
        <v>163</v>
      </c>
      <c r="AV5894" t="s">
        <v>20733</v>
      </c>
    </row>
    <row r="5895" spans="1:48">
      <c r="A5895" s="1">
        <f>HYPERLINK("https://lsnyc.legalserver.org/matter/dynamic-profile/view/1897408","19-1897408")</f>
        <v>0</v>
      </c>
      <c r="B5895" t="s">
        <v>70</v>
      </c>
      <c r="C5895" t="s">
        <v>256</v>
      </c>
      <c r="D5895" t="s">
        <v>434</v>
      </c>
      <c r="F5895" t="s">
        <v>2645</v>
      </c>
      <c r="G5895" t="s">
        <v>5520</v>
      </c>
      <c r="H5895" t="s">
        <v>5748</v>
      </c>
      <c r="I5895" t="s">
        <v>8159</v>
      </c>
      <c r="J5895" t="s">
        <v>9059</v>
      </c>
      <c r="K5895">
        <v>11233</v>
      </c>
      <c r="L5895" t="s">
        <v>9094</v>
      </c>
      <c r="M5895" t="s">
        <v>9096</v>
      </c>
      <c r="N5895" t="s">
        <v>9145</v>
      </c>
      <c r="O5895" t="s">
        <v>11134</v>
      </c>
      <c r="P5895" t="s">
        <v>11168</v>
      </c>
      <c r="R5895" t="s">
        <v>11180</v>
      </c>
      <c r="S5895" t="s">
        <v>9094</v>
      </c>
      <c r="T5895" t="s">
        <v>11183</v>
      </c>
      <c r="U5895" t="s">
        <v>11201</v>
      </c>
      <c r="V5895" t="s">
        <v>482</v>
      </c>
      <c r="W5895">
        <v>1000</v>
      </c>
      <c r="X5895" t="s">
        <v>11332</v>
      </c>
      <c r="Y5895" t="s">
        <v>11342</v>
      </c>
      <c r="Z5895" t="s">
        <v>15032</v>
      </c>
      <c r="AC5895">
        <v>359</v>
      </c>
      <c r="AD5895" t="s">
        <v>19566</v>
      </c>
      <c r="AF5895">
        <v>4</v>
      </c>
      <c r="AG5895">
        <v>3</v>
      </c>
      <c r="AH5895">
        <v>0</v>
      </c>
      <c r="AI5895">
        <v>375.06</v>
      </c>
      <c r="AL5895" t="s">
        <v>19614</v>
      </c>
      <c r="AM5895">
        <v>80000</v>
      </c>
      <c r="AN5895" t="s">
        <v>20200</v>
      </c>
      <c r="AS5895">
        <v>0</v>
      </c>
      <c r="AU5895" t="s">
        <v>95</v>
      </c>
    </row>
    <row r="5896" spans="1:48">
      <c r="A5896" s="1">
        <f>HYPERLINK("https://lsnyc.legalserver.org/matter/dynamic-profile/view/1897410","19-1897410")</f>
        <v>0</v>
      </c>
      <c r="B5896" t="s">
        <v>70</v>
      </c>
      <c r="C5896" t="s">
        <v>256</v>
      </c>
      <c r="D5896" t="s">
        <v>434</v>
      </c>
      <c r="F5896" t="s">
        <v>2645</v>
      </c>
      <c r="G5896" t="s">
        <v>5520</v>
      </c>
      <c r="H5896" t="s">
        <v>5748</v>
      </c>
      <c r="I5896" t="s">
        <v>8159</v>
      </c>
      <c r="J5896" t="s">
        <v>9059</v>
      </c>
      <c r="K5896">
        <v>11233</v>
      </c>
      <c r="L5896" t="s">
        <v>9094</v>
      </c>
      <c r="M5896" t="s">
        <v>9096</v>
      </c>
      <c r="O5896" t="s">
        <v>11137</v>
      </c>
      <c r="P5896" t="s">
        <v>11167</v>
      </c>
      <c r="R5896" t="s">
        <v>11180</v>
      </c>
      <c r="S5896" t="s">
        <v>9094</v>
      </c>
      <c r="T5896" t="s">
        <v>11183</v>
      </c>
      <c r="U5896" t="s">
        <v>11201</v>
      </c>
      <c r="V5896" t="s">
        <v>749</v>
      </c>
      <c r="W5896">
        <v>1000</v>
      </c>
      <c r="X5896" t="s">
        <v>11332</v>
      </c>
      <c r="Y5896" t="s">
        <v>11342</v>
      </c>
      <c r="Z5896" t="s">
        <v>15032</v>
      </c>
      <c r="AC5896">
        <v>359</v>
      </c>
      <c r="AD5896" t="s">
        <v>19566</v>
      </c>
      <c r="AF5896">
        <v>4</v>
      </c>
      <c r="AG5896">
        <v>3</v>
      </c>
      <c r="AH5896">
        <v>0</v>
      </c>
      <c r="AI5896">
        <v>375.06</v>
      </c>
      <c r="AL5896" t="s">
        <v>19614</v>
      </c>
      <c r="AM5896">
        <v>80000</v>
      </c>
      <c r="AN5896" t="s">
        <v>19644</v>
      </c>
      <c r="AS5896">
        <v>0</v>
      </c>
      <c r="AU5896" t="s">
        <v>95</v>
      </c>
    </row>
    <row r="5897" spans="1:48">
      <c r="A5897" s="1">
        <f>HYPERLINK("https://lsnyc.legalserver.org/matter/dynamic-profile/view/1894530","19-1894530")</f>
        <v>0</v>
      </c>
      <c r="B5897" t="s">
        <v>136</v>
      </c>
      <c r="C5897" t="s">
        <v>256</v>
      </c>
      <c r="D5897" t="s">
        <v>421</v>
      </c>
      <c r="F5897" t="s">
        <v>1540</v>
      </c>
      <c r="G5897" t="s">
        <v>3536</v>
      </c>
      <c r="H5897" t="s">
        <v>8057</v>
      </c>
      <c r="I5897" t="s">
        <v>8610</v>
      </c>
      <c r="J5897" t="s">
        <v>9067</v>
      </c>
      <c r="K5897">
        <v>10035</v>
      </c>
      <c r="L5897" t="s">
        <v>9094</v>
      </c>
      <c r="M5897" t="s">
        <v>9094</v>
      </c>
      <c r="N5897" t="s">
        <v>11087</v>
      </c>
      <c r="O5897" t="s">
        <v>11129</v>
      </c>
      <c r="P5897" t="s">
        <v>11165</v>
      </c>
      <c r="R5897" t="s">
        <v>11180</v>
      </c>
      <c r="S5897" t="s">
        <v>9096</v>
      </c>
      <c r="T5897" t="s">
        <v>11183</v>
      </c>
      <c r="U5897" t="s">
        <v>11200</v>
      </c>
      <c r="V5897" t="s">
        <v>300</v>
      </c>
      <c r="W5897">
        <v>1027</v>
      </c>
      <c r="X5897" t="s">
        <v>11335</v>
      </c>
      <c r="Y5897" t="s">
        <v>11341</v>
      </c>
      <c r="Z5897" t="s">
        <v>15033</v>
      </c>
      <c r="AB5897" t="s">
        <v>19343</v>
      </c>
      <c r="AC5897">
        <v>255</v>
      </c>
      <c r="AD5897" t="s">
        <v>19567</v>
      </c>
      <c r="AE5897" t="s">
        <v>19580</v>
      </c>
      <c r="AF5897">
        <v>27</v>
      </c>
      <c r="AG5897">
        <v>1</v>
      </c>
      <c r="AH5897">
        <v>0</v>
      </c>
      <c r="AI5897">
        <v>376.12</v>
      </c>
      <c r="AJ5897" t="s">
        <v>289</v>
      </c>
      <c r="AK5897" t="s">
        <v>19612</v>
      </c>
      <c r="AL5897" t="s">
        <v>19614</v>
      </c>
      <c r="AM5897">
        <v>46977</v>
      </c>
      <c r="AS5897">
        <v>22.75</v>
      </c>
      <c r="AT5897" t="s">
        <v>297</v>
      </c>
      <c r="AU5897" t="s">
        <v>20660</v>
      </c>
      <c r="AV5897" t="s">
        <v>20733</v>
      </c>
    </row>
    <row r="5898" spans="1:48">
      <c r="A5898" s="1">
        <f>HYPERLINK("https://lsnyc.legalserver.org/matter/dynamic-profile/view/1897572","19-1897572")</f>
        <v>0</v>
      </c>
      <c r="B5898" t="s">
        <v>62</v>
      </c>
      <c r="C5898" t="s">
        <v>256</v>
      </c>
      <c r="D5898" t="s">
        <v>617</v>
      </c>
      <c r="F5898" t="s">
        <v>3221</v>
      </c>
      <c r="G5898" t="s">
        <v>3674</v>
      </c>
      <c r="H5898" t="s">
        <v>8058</v>
      </c>
      <c r="I5898" t="s">
        <v>9003</v>
      </c>
      <c r="J5898" t="s">
        <v>9048</v>
      </c>
      <c r="K5898">
        <v>11386</v>
      </c>
      <c r="L5898" t="s">
        <v>9094</v>
      </c>
      <c r="M5898" t="s">
        <v>9094</v>
      </c>
      <c r="N5898" t="s">
        <v>9126</v>
      </c>
      <c r="O5898" t="s">
        <v>11134</v>
      </c>
      <c r="P5898" t="s">
        <v>11168</v>
      </c>
      <c r="R5898" t="s">
        <v>11180</v>
      </c>
      <c r="S5898" t="s">
        <v>9094</v>
      </c>
      <c r="T5898" t="s">
        <v>11183</v>
      </c>
      <c r="U5898" t="s">
        <v>11201</v>
      </c>
      <c r="V5898" t="s">
        <v>11217</v>
      </c>
      <c r="W5898">
        <v>1260</v>
      </c>
      <c r="X5898" t="s">
        <v>11331</v>
      </c>
      <c r="Y5898" t="s">
        <v>11339</v>
      </c>
      <c r="Z5898" t="s">
        <v>15034</v>
      </c>
      <c r="AA5898" t="s">
        <v>15274</v>
      </c>
      <c r="AB5898" t="s">
        <v>19344</v>
      </c>
      <c r="AC5898">
        <v>70</v>
      </c>
      <c r="AD5898" t="s">
        <v>19566</v>
      </c>
      <c r="AE5898" t="s">
        <v>9144</v>
      </c>
      <c r="AF5898">
        <v>19</v>
      </c>
      <c r="AG5898">
        <v>1</v>
      </c>
      <c r="AH5898">
        <v>0</v>
      </c>
      <c r="AI5898">
        <v>376.3</v>
      </c>
      <c r="AL5898" t="s">
        <v>19614</v>
      </c>
      <c r="AM5898">
        <v>47000</v>
      </c>
      <c r="AS5898">
        <v>85.95999999999999</v>
      </c>
      <c r="AT5898" t="s">
        <v>331</v>
      </c>
      <c r="AU5898" t="s">
        <v>50</v>
      </c>
      <c r="AV5898" t="s">
        <v>20733</v>
      </c>
    </row>
    <row r="5899" spans="1:48">
      <c r="A5899" s="1">
        <f>HYPERLINK("https://lsnyc.legalserver.org/matter/dynamic-profile/view/1903176","19-1903176")</f>
        <v>0</v>
      </c>
      <c r="B5899" t="s">
        <v>64</v>
      </c>
      <c r="C5899" t="s">
        <v>256</v>
      </c>
      <c r="D5899" t="s">
        <v>785</v>
      </c>
      <c r="F5899" t="s">
        <v>1264</v>
      </c>
      <c r="G5899" t="s">
        <v>3366</v>
      </c>
      <c r="H5899" t="s">
        <v>8059</v>
      </c>
      <c r="I5899" t="s">
        <v>8229</v>
      </c>
      <c r="J5899" t="s">
        <v>9059</v>
      </c>
      <c r="K5899">
        <v>11233</v>
      </c>
      <c r="L5899" t="s">
        <v>9094</v>
      </c>
      <c r="M5899" t="s">
        <v>9095</v>
      </c>
      <c r="N5899" t="s">
        <v>11088</v>
      </c>
      <c r="O5899" t="s">
        <v>11129</v>
      </c>
      <c r="P5899" t="s">
        <v>11165</v>
      </c>
      <c r="R5899" t="s">
        <v>11180</v>
      </c>
      <c r="S5899" t="s">
        <v>9096</v>
      </c>
      <c r="T5899" t="s">
        <v>11183</v>
      </c>
      <c r="U5899" t="s">
        <v>11201</v>
      </c>
      <c r="V5899" t="s">
        <v>736</v>
      </c>
      <c r="W5899">
        <v>1300</v>
      </c>
      <c r="X5899" t="s">
        <v>11332</v>
      </c>
      <c r="Y5899" t="s">
        <v>11350</v>
      </c>
      <c r="Z5899" t="s">
        <v>15035</v>
      </c>
      <c r="AA5899" t="s">
        <v>9144</v>
      </c>
      <c r="AB5899" t="s">
        <v>19345</v>
      </c>
      <c r="AC5899">
        <v>6</v>
      </c>
      <c r="AD5899" t="s">
        <v>19566</v>
      </c>
      <c r="AE5899" t="s">
        <v>9144</v>
      </c>
      <c r="AF5899">
        <v>10</v>
      </c>
      <c r="AG5899">
        <v>1</v>
      </c>
      <c r="AH5899">
        <v>0</v>
      </c>
      <c r="AI5899">
        <v>376.3</v>
      </c>
      <c r="AJ5899" t="s">
        <v>472</v>
      </c>
      <c r="AK5899" t="s">
        <v>19612</v>
      </c>
      <c r="AL5899" t="s">
        <v>19614</v>
      </c>
      <c r="AM5899">
        <v>47000</v>
      </c>
      <c r="AS5899">
        <v>20.6</v>
      </c>
      <c r="AT5899" t="s">
        <v>331</v>
      </c>
      <c r="AU5899" t="s">
        <v>95</v>
      </c>
      <c r="AV5899" t="s">
        <v>20733</v>
      </c>
    </row>
    <row r="5900" spans="1:48">
      <c r="A5900" s="1">
        <f>HYPERLINK("https://lsnyc.legalserver.org/matter/dynamic-profile/view/1896649","19-1896649")</f>
        <v>0</v>
      </c>
      <c r="B5900" t="s">
        <v>101</v>
      </c>
      <c r="C5900" t="s">
        <v>256</v>
      </c>
      <c r="D5900" t="s">
        <v>454</v>
      </c>
      <c r="F5900" t="s">
        <v>1222</v>
      </c>
      <c r="G5900" t="s">
        <v>5521</v>
      </c>
      <c r="H5900" t="s">
        <v>6383</v>
      </c>
      <c r="I5900" t="s">
        <v>8214</v>
      </c>
      <c r="J5900" t="s">
        <v>9065</v>
      </c>
      <c r="K5900">
        <v>10467</v>
      </c>
      <c r="L5900" t="s">
        <v>9094</v>
      </c>
      <c r="M5900" t="s">
        <v>9096</v>
      </c>
      <c r="O5900" t="s">
        <v>11134</v>
      </c>
      <c r="P5900" t="s">
        <v>11168</v>
      </c>
      <c r="R5900" t="s">
        <v>11180</v>
      </c>
      <c r="S5900" t="s">
        <v>9094</v>
      </c>
      <c r="T5900" t="s">
        <v>11183</v>
      </c>
      <c r="V5900" t="s">
        <v>11218</v>
      </c>
      <c r="W5900">
        <v>700</v>
      </c>
      <c r="X5900" t="s">
        <v>11333</v>
      </c>
      <c r="Y5900" t="s">
        <v>11346</v>
      </c>
      <c r="Z5900" t="s">
        <v>15036</v>
      </c>
      <c r="AC5900">
        <v>59</v>
      </c>
      <c r="AD5900" t="s">
        <v>19566</v>
      </c>
      <c r="AE5900" t="s">
        <v>9144</v>
      </c>
      <c r="AF5900">
        <v>15</v>
      </c>
      <c r="AG5900">
        <v>1</v>
      </c>
      <c r="AH5900">
        <v>0</v>
      </c>
      <c r="AI5900">
        <v>376.3</v>
      </c>
      <c r="AL5900" t="s">
        <v>19614</v>
      </c>
      <c r="AM5900">
        <v>47000</v>
      </c>
      <c r="AS5900">
        <v>0.5</v>
      </c>
      <c r="AT5900" t="s">
        <v>321</v>
      </c>
      <c r="AU5900" t="s">
        <v>20642</v>
      </c>
      <c r="AV5900" t="s">
        <v>20733</v>
      </c>
    </row>
    <row r="5901" spans="1:48">
      <c r="A5901" s="1">
        <f>HYPERLINK("https://lsnyc.legalserver.org/matter/dynamic-profile/view/1898227","19-1898227")</f>
        <v>0</v>
      </c>
      <c r="B5901" t="s">
        <v>101</v>
      </c>
      <c r="C5901" t="s">
        <v>256</v>
      </c>
      <c r="D5901" t="s">
        <v>596</v>
      </c>
      <c r="F5901" t="s">
        <v>1222</v>
      </c>
      <c r="G5901" t="s">
        <v>5521</v>
      </c>
      <c r="H5901" t="s">
        <v>6383</v>
      </c>
      <c r="I5901" t="s">
        <v>8214</v>
      </c>
      <c r="J5901" t="s">
        <v>9065</v>
      </c>
      <c r="K5901">
        <v>10467</v>
      </c>
      <c r="L5901" t="s">
        <v>9094</v>
      </c>
      <c r="M5901" t="s">
        <v>9094</v>
      </c>
      <c r="O5901" t="s">
        <v>11137</v>
      </c>
      <c r="P5901" t="s">
        <v>11166</v>
      </c>
      <c r="R5901" t="s">
        <v>11180</v>
      </c>
      <c r="S5901" t="s">
        <v>9094</v>
      </c>
      <c r="T5901" t="s">
        <v>11183</v>
      </c>
      <c r="V5901" t="s">
        <v>11218</v>
      </c>
      <c r="W5901">
        <v>700</v>
      </c>
      <c r="X5901" t="s">
        <v>11333</v>
      </c>
      <c r="Y5901" t="s">
        <v>11346</v>
      </c>
      <c r="Z5901" t="s">
        <v>15036</v>
      </c>
      <c r="AC5901">
        <v>61</v>
      </c>
      <c r="AD5901" t="s">
        <v>15441</v>
      </c>
      <c r="AE5901" t="s">
        <v>9144</v>
      </c>
      <c r="AF5901">
        <v>15</v>
      </c>
      <c r="AG5901">
        <v>1</v>
      </c>
      <c r="AH5901">
        <v>0</v>
      </c>
      <c r="AI5901">
        <v>376.3</v>
      </c>
      <c r="AL5901" t="s">
        <v>19614</v>
      </c>
      <c r="AM5901">
        <v>47000</v>
      </c>
      <c r="AS5901">
        <v>0</v>
      </c>
      <c r="AU5901" t="s">
        <v>20642</v>
      </c>
      <c r="AV5901" t="s">
        <v>20733</v>
      </c>
    </row>
    <row r="5902" spans="1:48">
      <c r="A5902" s="1">
        <f>HYPERLINK("https://lsnyc.legalserver.org/matter/dynamic-profile/view/1898503","19-1898503")</f>
        <v>0</v>
      </c>
      <c r="B5902" t="s">
        <v>55</v>
      </c>
      <c r="C5902" t="s">
        <v>256</v>
      </c>
      <c r="D5902" t="s">
        <v>614</v>
      </c>
      <c r="F5902" t="s">
        <v>1143</v>
      </c>
      <c r="G5902" t="s">
        <v>5522</v>
      </c>
      <c r="H5902" t="s">
        <v>8060</v>
      </c>
      <c r="I5902" t="s">
        <v>8141</v>
      </c>
      <c r="J5902" t="s">
        <v>9063</v>
      </c>
      <c r="K5902">
        <v>11101</v>
      </c>
      <c r="L5902" t="s">
        <v>9094</v>
      </c>
      <c r="M5902" t="s">
        <v>9094</v>
      </c>
      <c r="N5902" t="s">
        <v>11089</v>
      </c>
      <c r="O5902" t="s">
        <v>11129</v>
      </c>
      <c r="P5902" t="s">
        <v>11165</v>
      </c>
      <c r="R5902" t="s">
        <v>11180</v>
      </c>
      <c r="S5902" t="s">
        <v>9096</v>
      </c>
      <c r="T5902" t="s">
        <v>11183</v>
      </c>
      <c r="U5902" t="s">
        <v>11201</v>
      </c>
      <c r="V5902" t="s">
        <v>614</v>
      </c>
      <c r="W5902">
        <v>2400</v>
      </c>
      <c r="X5902" t="s">
        <v>11331</v>
      </c>
      <c r="Y5902" t="s">
        <v>11351</v>
      </c>
      <c r="Z5902" t="s">
        <v>15037</v>
      </c>
      <c r="AB5902" t="s">
        <v>19346</v>
      </c>
      <c r="AC5902">
        <v>6</v>
      </c>
      <c r="AD5902" t="s">
        <v>15441</v>
      </c>
      <c r="AE5902" t="s">
        <v>9144</v>
      </c>
      <c r="AF5902">
        <v>3</v>
      </c>
      <c r="AG5902">
        <v>2</v>
      </c>
      <c r="AH5902">
        <v>0</v>
      </c>
      <c r="AI5902">
        <v>378.47</v>
      </c>
      <c r="AJ5902" t="s">
        <v>338</v>
      </c>
      <c r="AK5902" t="s">
        <v>19612</v>
      </c>
      <c r="AL5902" t="s">
        <v>19614</v>
      </c>
      <c r="AM5902">
        <v>64000</v>
      </c>
      <c r="AS5902">
        <v>18.95</v>
      </c>
      <c r="AT5902" t="s">
        <v>488</v>
      </c>
      <c r="AU5902" t="s">
        <v>59</v>
      </c>
    </row>
    <row r="5903" spans="1:48">
      <c r="A5903" s="1">
        <f>HYPERLINK("https://lsnyc.legalserver.org/matter/dynamic-profile/view/1876814","18-1876814")</f>
        <v>0</v>
      </c>
      <c r="B5903" t="s">
        <v>165</v>
      </c>
      <c r="C5903" t="s">
        <v>256</v>
      </c>
      <c r="D5903" t="s">
        <v>500</v>
      </c>
      <c r="F5903" t="s">
        <v>3222</v>
      </c>
      <c r="G5903" t="s">
        <v>4690</v>
      </c>
      <c r="H5903" t="s">
        <v>6934</v>
      </c>
      <c r="I5903" t="s">
        <v>8270</v>
      </c>
      <c r="J5903" t="s">
        <v>9059</v>
      </c>
      <c r="K5903">
        <v>11216</v>
      </c>
      <c r="L5903" t="s">
        <v>9094</v>
      </c>
      <c r="M5903" t="s">
        <v>9094</v>
      </c>
      <c r="N5903" t="s">
        <v>10050</v>
      </c>
      <c r="O5903" t="s">
        <v>11132</v>
      </c>
      <c r="P5903" t="s">
        <v>11165</v>
      </c>
      <c r="R5903" t="s">
        <v>11180</v>
      </c>
      <c r="S5903" t="s">
        <v>9094</v>
      </c>
      <c r="T5903" t="s">
        <v>11183</v>
      </c>
      <c r="V5903" t="s">
        <v>688</v>
      </c>
      <c r="W5903">
        <v>2350</v>
      </c>
      <c r="X5903" t="s">
        <v>11332</v>
      </c>
      <c r="Y5903" t="s">
        <v>11339</v>
      </c>
      <c r="Z5903" t="s">
        <v>15038</v>
      </c>
      <c r="AB5903" t="s">
        <v>19347</v>
      </c>
      <c r="AC5903">
        <v>82</v>
      </c>
      <c r="AD5903" t="s">
        <v>19566</v>
      </c>
      <c r="AE5903" t="s">
        <v>9144</v>
      </c>
      <c r="AF5903">
        <v>4</v>
      </c>
      <c r="AG5903">
        <v>2</v>
      </c>
      <c r="AH5903">
        <v>2</v>
      </c>
      <c r="AI5903">
        <v>378.49</v>
      </c>
      <c r="AJ5903" t="s">
        <v>440</v>
      </c>
      <c r="AK5903" t="s">
        <v>19612</v>
      </c>
      <c r="AL5903" t="s">
        <v>19614</v>
      </c>
      <c r="AM5903">
        <v>95000</v>
      </c>
      <c r="AN5903" t="s">
        <v>19720</v>
      </c>
      <c r="AS5903">
        <v>0</v>
      </c>
      <c r="AU5903" t="s">
        <v>95</v>
      </c>
    </row>
    <row r="5904" spans="1:48">
      <c r="A5904" s="1">
        <f>HYPERLINK("https://lsnyc.legalserver.org/matter/dynamic-profile/view/1876812","18-1876812")</f>
        <v>0</v>
      </c>
      <c r="B5904" t="s">
        <v>165</v>
      </c>
      <c r="C5904" t="s">
        <v>256</v>
      </c>
      <c r="D5904" t="s">
        <v>500</v>
      </c>
      <c r="F5904" t="s">
        <v>3222</v>
      </c>
      <c r="G5904" t="s">
        <v>4690</v>
      </c>
      <c r="H5904" t="s">
        <v>6934</v>
      </c>
      <c r="I5904" t="s">
        <v>8270</v>
      </c>
      <c r="J5904" t="s">
        <v>9059</v>
      </c>
      <c r="K5904">
        <v>11216</v>
      </c>
      <c r="L5904" t="s">
        <v>9094</v>
      </c>
      <c r="M5904" t="s">
        <v>9094</v>
      </c>
      <c r="N5904" t="s">
        <v>9121</v>
      </c>
      <c r="O5904" t="s">
        <v>9121</v>
      </c>
      <c r="P5904" t="s">
        <v>11167</v>
      </c>
      <c r="R5904" t="s">
        <v>11180</v>
      </c>
      <c r="S5904" t="s">
        <v>9094</v>
      </c>
      <c r="T5904" t="s">
        <v>11183</v>
      </c>
      <c r="V5904" t="s">
        <v>419</v>
      </c>
      <c r="W5904">
        <v>2350</v>
      </c>
      <c r="X5904" t="s">
        <v>11332</v>
      </c>
      <c r="Y5904" t="s">
        <v>11339</v>
      </c>
      <c r="Z5904" t="s">
        <v>15038</v>
      </c>
      <c r="AB5904" t="s">
        <v>19347</v>
      </c>
      <c r="AC5904">
        <v>82</v>
      </c>
      <c r="AD5904" t="s">
        <v>19566</v>
      </c>
      <c r="AE5904" t="s">
        <v>9144</v>
      </c>
      <c r="AF5904">
        <v>4</v>
      </c>
      <c r="AG5904">
        <v>2</v>
      </c>
      <c r="AH5904">
        <v>2</v>
      </c>
      <c r="AI5904">
        <v>378.49</v>
      </c>
      <c r="AJ5904" t="s">
        <v>440</v>
      </c>
      <c r="AK5904" t="s">
        <v>19612</v>
      </c>
      <c r="AL5904" t="s">
        <v>19614</v>
      </c>
      <c r="AM5904">
        <v>95000</v>
      </c>
      <c r="AN5904" t="s">
        <v>19665</v>
      </c>
      <c r="AS5904">
        <v>0</v>
      </c>
      <c r="AU5904" t="s">
        <v>95</v>
      </c>
    </row>
    <row r="5905" spans="1:48">
      <c r="A5905" s="1">
        <f>HYPERLINK("https://lsnyc.legalserver.org/matter/dynamic-profile/view/1878961","18-1878961")</f>
        <v>0</v>
      </c>
      <c r="B5905" t="s">
        <v>139</v>
      </c>
      <c r="C5905" t="s">
        <v>256</v>
      </c>
      <c r="D5905" t="s">
        <v>725</v>
      </c>
      <c r="F5905" t="s">
        <v>1938</v>
      </c>
      <c r="G5905" t="s">
        <v>1401</v>
      </c>
      <c r="H5905" t="s">
        <v>6363</v>
      </c>
      <c r="I5905" t="s">
        <v>8222</v>
      </c>
      <c r="J5905" t="s">
        <v>9067</v>
      </c>
      <c r="K5905">
        <v>10040</v>
      </c>
      <c r="L5905" t="s">
        <v>9094</v>
      </c>
      <c r="M5905" t="s">
        <v>9094</v>
      </c>
      <c r="O5905" t="s">
        <v>11134</v>
      </c>
      <c r="P5905" t="s">
        <v>11168</v>
      </c>
      <c r="R5905" t="s">
        <v>11180</v>
      </c>
      <c r="T5905" t="s">
        <v>11183</v>
      </c>
      <c r="U5905" t="s">
        <v>11201</v>
      </c>
      <c r="V5905" t="s">
        <v>11326</v>
      </c>
      <c r="W5905">
        <v>929</v>
      </c>
      <c r="X5905" t="s">
        <v>11335</v>
      </c>
      <c r="Y5905" t="s">
        <v>11339</v>
      </c>
      <c r="Z5905" t="s">
        <v>15039</v>
      </c>
      <c r="AB5905" t="s">
        <v>19348</v>
      </c>
      <c r="AC5905">
        <v>83</v>
      </c>
      <c r="AD5905" t="s">
        <v>19566</v>
      </c>
      <c r="AF5905">
        <v>34</v>
      </c>
      <c r="AG5905">
        <v>1</v>
      </c>
      <c r="AH5905">
        <v>0</v>
      </c>
      <c r="AI5905">
        <v>378.91</v>
      </c>
      <c r="AK5905" t="s">
        <v>19613</v>
      </c>
      <c r="AL5905" t="s">
        <v>19615</v>
      </c>
      <c r="AM5905">
        <v>46000</v>
      </c>
      <c r="AS5905">
        <v>28.7</v>
      </c>
      <c r="AT5905" t="s">
        <v>750</v>
      </c>
      <c r="AU5905" t="s">
        <v>139</v>
      </c>
    </row>
    <row r="5906" spans="1:48">
      <c r="A5906" s="1">
        <f>HYPERLINK("https://lsnyc.legalserver.org/matter/dynamic-profile/view/1890972","19-1890972")</f>
        <v>0</v>
      </c>
      <c r="B5906" t="s">
        <v>117</v>
      </c>
      <c r="C5906" t="s">
        <v>256</v>
      </c>
      <c r="D5906" t="s">
        <v>650</v>
      </c>
      <c r="F5906" t="s">
        <v>3223</v>
      </c>
      <c r="G5906" t="s">
        <v>3666</v>
      </c>
      <c r="H5906" t="s">
        <v>5888</v>
      </c>
      <c r="I5906" t="s">
        <v>8140</v>
      </c>
      <c r="J5906" t="s">
        <v>9065</v>
      </c>
      <c r="K5906">
        <v>10453</v>
      </c>
      <c r="L5906" t="s">
        <v>9094</v>
      </c>
      <c r="M5906" t="s">
        <v>9094</v>
      </c>
      <c r="O5906" t="s">
        <v>11134</v>
      </c>
      <c r="P5906" t="s">
        <v>11168</v>
      </c>
      <c r="R5906" t="s">
        <v>11180</v>
      </c>
      <c r="S5906" t="s">
        <v>9094</v>
      </c>
      <c r="T5906" t="s">
        <v>11183</v>
      </c>
      <c r="V5906" t="s">
        <v>512</v>
      </c>
      <c r="W5906">
        <v>1270</v>
      </c>
      <c r="X5906" t="s">
        <v>11333</v>
      </c>
      <c r="Y5906" t="s">
        <v>11346</v>
      </c>
      <c r="Z5906" t="s">
        <v>15040</v>
      </c>
      <c r="AC5906">
        <v>44</v>
      </c>
      <c r="AD5906" t="s">
        <v>19566</v>
      </c>
      <c r="AE5906" t="s">
        <v>9144</v>
      </c>
      <c r="AF5906">
        <v>3</v>
      </c>
      <c r="AG5906">
        <v>2</v>
      </c>
      <c r="AH5906">
        <v>0</v>
      </c>
      <c r="AI5906">
        <v>379.1</v>
      </c>
      <c r="AL5906" t="s">
        <v>19614</v>
      </c>
      <c r="AM5906">
        <v>62400</v>
      </c>
      <c r="AS5906">
        <v>0</v>
      </c>
      <c r="AU5906" t="s">
        <v>163</v>
      </c>
    </row>
    <row r="5907" spans="1:48">
      <c r="A5907" s="1">
        <f>HYPERLINK("https://lsnyc.legalserver.org/matter/dynamic-profile/view/1890970","19-1890970")</f>
        <v>0</v>
      </c>
      <c r="B5907" t="s">
        <v>117</v>
      </c>
      <c r="C5907" t="s">
        <v>256</v>
      </c>
      <c r="D5907" t="s">
        <v>650</v>
      </c>
      <c r="F5907" t="s">
        <v>3223</v>
      </c>
      <c r="G5907" t="s">
        <v>3666</v>
      </c>
      <c r="H5907" t="s">
        <v>5888</v>
      </c>
      <c r="I5907" t="s">
        <v>8140</v>
      </c>
      <c r="J5907" t="s">
        <v>9065</v>
      </c>
      <c r="K5907">
        <v>10453</v>
      </c>
      <c r="L5907" t="s">
        <v>9094</v>
      </c>
      <c r="M5907" t="s">
        <v>9094</v>
      </c>
      <c r="N5907" t="s">
        <v>9243</v>
      </c>
      <c r="O5907" t="s">
        <v>11130</v>
      </c>
      <c r="P5907" t="s">
        <v>11165</v>
      </c>
      <c r="R5907" t="s">
        <v>11180</v>
      </c>
      <c r="S5907" t="s">
        <v>9094</v>
      </c>
      <c r="T5907" t="s">
        <v>11183</v>
      </c>
      <c r="V5907" t="s">
        <v>512</v>
      </c>
      <c r="W5907">
        <v>1270</v>
      </c>
      <c r="X5907" t="s">
        <v>11333</v>
      </c>
      <c r="Y5907" t="s">
        <v>11346</v>
      </c>
      <c r="Z5907" t="s">
        <v>15040</v>
      </c>
      <c r="AC5907">
        <v>44</v>
      </c>
      <c r="AD5907" t="s">
        <v>19566</v>
      </c>
      <c r="AE5907" t="s">
        <v>9144</v>
      </c>
      <c r="AF5907">
        <v>3</v>
      </c>
      <c r="AG5907">
        <v>2</v>
      </c>
      <c r="AH5907">
        <v>0</v>
      </c>
      <c r="AI5907">
        <v>379.1</v>
      </c>
      <c r="AL5907" t="s">
        <v>19614</v>
      </c>
      <c r="AM5907">
        <v>62400</v>
      </c>
      <c r="AS5907">
        <v>0</v>
      </c>
      <c r="AU5907" t="s">
        <v>163</v>
      </c>
    </row>
    <row r="5908" spans="1:48">
      <c r="A5908" s="1">
        <f>HYPERLINK("https://lsnyc.legalserver.org/matter/dynamic-profile/view/1890966","19-1890966")</f>
        <v>0</v>
      </c>
      <c r="B5908" t="s">
        <v>117</v>
      </c>
      <c r="C5908" t="s">
        <v>256</v>
      </c>
      <c r="D5908" t="s">
        <v>650</v>
      </c>
      <c r="F5908" t="s">
        <v>3223</v>
      </c>
      <c r="G5908" t="s">
        <v>3666</v>
      </c>
      <c r="H5908" t="s">
        <v>5888</v>
      </c>
      <c r="I5908" t="s">
        <v>8140</v>
      </c>
      <c r="J5908" t="s">
        <v>9065</v>
      </c>
      <c r="K5908">
        <v>10453</v>
      </c>
      <c r="L5908" t="s">
        <v>9094</v>
      </c>
      <c r="M5908" t="s">
        <v>9094</v>
      </c>
      <c r="O5908" t="s">
        <v>9121</v>
      </c>
      <c r="P5908" t="s">
        <v>11166</v>
      </c>
      <c r="R5908" t="s">
        <v>11180</v>
      </c>
      <c r="S5908" t="s">
        <v>9094</v>
      </c>
      <c r="T5908" t="s">
        <v>11183</v>
      </c>
      <c r="V5908" t="s">
        <v>512</v>
      </c>
      <c r="W5908">
        <v>1270</v>
      </c>
      <c r="X5908" t="s">
        <v>11333</v>
      </c>
      <c r="Y5908" t="s">
        <v>11346</v>
      </c>
      <c r="Z5908" t="s">
        <v>15040</v>
      </c>
      <c r="AC5908">
        <v>44</v>
      </c>
      <c r="AD5908" t="s">
        <v>19566</v>
      </c>
      <c r="AE5908" t="s">
        <v>9144</v>
      </c>
      <c r="AF5908">
        <v>3</v>
      </c>
      <c r="AG5908">
        <v>2</v>
      </c>
      <c r="AH5908">
        <v>0</v>
      </c>
      <c r="AI5908">
        <v>379.1</v>
      </c>
      <c r="AL5908" t="s">
        <v>19614</v>
      </c>
      <c r="AM5908">
        <v>62400</v>
      </c>
      <c r="AS5908">
        <v>0</v>
      </c>
      <c r="AU5908" t="s">
        <v>163</v>
      </c>
    </row>
    <row r="5909" spans="1:48">
      <c r="A5909" s="1">
        <f>HYPERLINK("https://lsnyc.legalserver.org/matter/dynamic-profile/view/1886949","19-1886949")</f>
        <v>0</v>
      </c>
      <c r="B5909" t="s">
        <v>101</v>
      </c>
      <c r="C5909" t="s">
        <v>256</v>
      </c>
      <c r="D5909" t="s">
        <v>582</v>
      </c>
      <c r="F5909" t="s">
        <v>2399</v>
      </c>
      <c r="G5909" t="s">
        <v>4536</v>
      </c>
      <c r="H5909" t="s">
        <v>6383</v>
      </c>
      <c r="I5909" t="s">
        <v>8132</v>
      </c>
      <c r="J5909" t="s">
        <v>9065</v>
      </c>
      <c r="K5909">
        <v>10467</v>
      </c>
      <c r="L5909" t="s">
        <v>9094</v>
      </c>
      <c r="M5909" t="s">
        <v>9094</v>
      </c>
      <c r="N5909" t="s">
        <v>9642</v>
      </c>
      <c r="O5909" t="s">
        <v>11130</v>
      </c>
      <c r="P5909" t="s">
        <v>11165</v>
      </c>
      <c r="R5909" t="s">
        <v>11180</v>
      </c>
      <c r="S5909" t="s">
        <v>9094</v>
      </c>
      <c r="T5909" t="s">
        <v>11183</v>
      </c>
      <c r="V5909" t="s">
        <v>11212</v>
      </c>
      <c r="W5909">
        <v>842</v>
      </c>
      <c r="X5909" t="s">
        <v>11333</v>
      </c>
      <c r="Y5909" t="s">
        <v>11346</v>
      </c>
      <c r="Z5909" t="s">
        <v>15027</v>
      </c>
      <c r="AB5909" t="s">
        <v>19336</v>
      </c>
      <c r="AC5909">
        <v>59</v>
      </c>
      <c r="AD5909" t="s">
        <v>15441</v>
      </c>
      <c r="AE5909" t="s">
        <v>9144</v>
      </c>
      <c r="AF5909">
        <v>10</v>
      </c>
      <c r="AG5909">
        <v>2</v>
      </c>
      <c r="AH5909">
        <v>1</v>
      </c>
      <c r="AI5909">
        <v>380.75</v>
      </c>
      <c r="AL5909" t="s">
        <v>19614</v>
      </c>
      <c r="AM5909">
        <v>79120</v>
      </c>
      <c r="AS5909">
        <v>0</v>
      </c>
      <c r="AU5909" t="s">
        <v>20647</v>
      </c>
      <c r="AV5909" t="s">
        <v>20733</v>
      </c>
    </row>
    <row r="5910" spans="1:48">
      <c r="A5910" s="1">
        <f>HYPERLINK("https://lsnyc.legalserver.org/matter/dynamic-profile/view/1841122","17-1841122")</f>
        <v>0</v>
      </c>
      <c r="B5910" t="s">
        <v>108</v>
      </c>
      <c r="C5910" t="s">
        <v>256</v>
      </c>
      <c r="D5910" t="s">
        <v>770</v>
      </c>
      <c r="F5910" t="s">
        <v>1231</v>
      </c>
      <c r="G5910" t="s">
        <v>4173</v>
      </c>
      <c r="H5910" t="s">
        <v>5897</v>
      </c>
      <c r="I5910" t="s">
        <v>8727</v>
      </c>
      <c r="J5910" t="s">
        <v>9065</v>
      </c>
      <c r="K5910">
        <v>10452</v>
      </c>
      <c r="L5910" t="s">
        <v>9094</v>
      </c>
      <c r="M5910" t="s">
        <v>9095</v>
      </c>
      <c r="O5910" t="s">
        <v>11135</v>
      </c>
      <c r="P5910" t="s">
        <v>11168</v>
      </c>
      <c r="R5910" t="s">
        <v>11180</v>
      </c>
      <c r="S5910" t="s">
        <v>9094</v>
      </c>
      <c r="T5910" t="s">
        <v>11183</v>
      </c>
      <c r="V5910" t="s">
        <v>770</v>
      </c>
      <c r="W5910">
        <v>749</v>
      </c>
      <c r="X5910" t="s">
        <v>11333</v>
      </c>
      <c r="Y5910" t="s">
        <v>11346</v>
      </c>
      <c r="Z5910" t="s">
        <v>15041</v>
      </c>
      <c r="AB5910" t="s">
        <v>19349</v>
      </c>
      <c r="AC5910">
        <v>0</v>
      </c>
      <c r="AD5910" t="s">
        <v>19566</v>
      </c>
      <c r="AE5910" t="s">
        <v>9144</v>
      </c>
      <c r="AF5910">
        <v>23</v>
      </c>
      <c r="AG5910">
        <v>1</v>
      </c>
      <c r="AH5910">
        <v>0</v>
      </c>
      <c r="AI5910">
        <v>381.43</v>
      </c>
      <c r="AL5910" t="s">
        <v>19614</v>
      </c>
      <c r="AM5910">
        <v>46000</v>
      </c>
      <c r="AS5910">
        <v>0.1</v>
      </c>
      <c r="AT5910" t="s">
        <v>507</v>
      </c>
      <c r="AU5910" t="s">
        <v>20647</v>
      </c>
    </row>
    <row r="5911" spans="1:48">
      <c r="A5911" s="1">
        <f>HYPERLINK("https://lsnyc.legalserver.org/matter/dynamic-profile/view/1857452","18-1857452")</f>
        <v>0</v>
      </c>
      <c r="B5911" t="s">
        <v>108</v>
      </c>
      <c r="C5911" t="s">
        <v>256</v>
      </c>
      <c r="D5911" t="s">
        <v>468</v>
      </c>
      <c r="F5911" t="s">
        <v>1231</v>
      </c>
      <c r="G5911" t="s">
        <v>4173</v>
      </c>
      <c r="H5911" t="s">
        <v>5897</v>
      </c>
      <c r="I5911" t="s">
        <v>8727</v>
      </c>
      <c r="J5911" t="s">
        <v>9065</v>
      </c>
      <c r="K5911">
        <v>10452</v>
      </c>
      <c r="L5911" t="s">
        <v>9094</v>
      </c>
      <c r="M5911" t="s">
        <v>9095</v>
      </c>
      <c r="N5911" t="s">
        <v>9253</v>
      </c>
      <c r="O5911" t="s">
        <v>11135</v>
      </c>
      <c r="P5911" t="s">
        <v>11168</v>
      </c>
      <c r="R5911" t="s">
        <v>11180</v>
      </c>
      <c r="S5911" t="s">
        <v>9094</v>
      </c>
      <c r="T5911" t="s">
        <v>11183</v>
      </c>
      <c r="V5911" t="s">
        <v>11233</v>
      </c>
      <c r="W5911">
        <v>749</v>
      </c>
      <c r="X5911" t="s">
        <v>11333</v>
      </c>
      <c r="Y5911" t="s">
        <v>11346</v>
      </c>
      <c r="Z5911" t="s">
        <v>15041</v>
      </c>
      <c r="AB5911" t="s">
        <v>19349</v>
      </c>
      <c r="AC5911">
        <v>122</v>
      </c>
      <c r="AD5911" t="s">
        <v>19566</v>
      </c>
      <c r="AE5911" t="s">
        <v>9144</v>
      </c>
      <c r="AF5911">
        <v>23</v>
      </c>
      <c r="AG5911">
        <v>1</v>
      </c>
      <c r="AH5911">
        <v>0</v>
      </c>
      <c r="AI5911">
        <v>381.43</v>
      </c>
      <c r="AL5911" t="s">
        <v>19614</v>
      </c>
      <c r="AM5911">
        <v>46000</v>
      </c>
      <c r="AS5911">
        <v>0.1</v>
      </c>
      <c r="AT5911" t="s">
        <v>507</v>
      </c>
      <c r="AU5911" t="s">
        <v>20647</v>
      </c>
    </row>
    <row r="5912" spans="1:48">
      <c r="A5912" s="1">
        <f>HYPERLINK("https://lsnyc.legalserver.org/matter/dynamic-profile/view/1833145","17-1833145")</f>
        <v>0</v>
      </c>
      <c r="B5912" t="s">
        <v>136</v>
      </c>
      <c r="C5912" t="s">
        <v>256</v>
      </c>
      <c r="D5912" t="s">
        <v>905</v>
      </c>
      <c r="F5912" t="s">
        <v>1686</v>
      </c>
      <c r="G5912" t="s">
        <v>3530</v>
      </c>
      <c r="H5912" t="s">
        <v>6274</v>
      </c>
      <c r="I5912" t="s">
        <v>8132</v>
      </c>
      <c r="J5912" t="s">
        <v>9067</v>
      </c>
      <c r="K5912">
        <v>10034</v>
      </c>
      <c r="L5912" t="s">
        <v>9094</v>
      </c>
      <c r="M5912" t="s">
        <v>9094</v>
      </c>
      <c r="N5912" t="s">
        <v>11090</v>
      </c>
      <c r="O5912" t="s">
        <v>11129</v>
      </c>
      <c r="P5912" t="s">
        <v>11165</v>
      </c>
      <c r="R5912" t="s">
        <v>11180</v>
      </c>
      <c r="S5912" t="s">
        <v>9096</v>
      </c>
      <c r="T5912" t="s">
        <v>11183</v>
      </c>
      <c r="V5912" t="s">
        <v>905</v>
      </c>
      <c r="W5912">
        <v>1300</v>
      </c>
      <c r="X5912" t="s">
        <v>11335</v>
      </c>
      <c r="Y5912" t="s">
        <v>11339</v>
      </c>
      <c r="Z5912" t="s">
        <v>12039</v>
      </c>
      <c r="AB5912" t="s">
        <v>16488</v>
      </c>
      <c r="AC5912">
        <v>66</v>
      </c>
      <c r="AD5912" t="s">
        <v>19565</v>
      </c>
      <c r="AE5912" t="s">
        <v>9144</v>
      </c>
      <c r="AF5912">
        <v>2</v>
      </c>
      <c r="AG5912">
        <v>1</v>
      </c>
      <c r="AH5912">
        <v>0</v>
      </c>
      <c r="AI5912">
        <v>381.43</v>
      </c>
      <c r="AJ5912" t="s">
        <v>11246</v>
      </c>
      <c r="AL5912" t="s">
        <v>19614</v>
      </c>
      <c r="AM5912">
        <v>46000</v>
      </c>
      <c r="AS5912">
        <v>84.73</v>
      </c>
      <c r="AT5912" t="s">
        <v>632</v>
      </c>
      <c r="AU5912" t="s">
        <v>20657</v>
      </c>
    </row>
    <row r="5913" spans="1:48">
      <c r="A5913" s="1">
        <f>HYPERLINK("https://lsnyc.legalserver.org/matter/dynamic-profile/view/0830179","17-0830179")</f>
        <v>0</v>
      </c>
      <c r="B5913" t="s">
        <v>78</v>
      </c>
      <c r="C5913" t="s">
        <v>256</v>
      </c>
      <c r="D5913" t="s">
        <v>804</v>
      </c>
      <c r="F5913" t="s">
        <v>3224</v>
      </c>
      <c r="G5913" t="s">
        <v>4017</v>
      </c>
      <c r="H5913" t="s">
        <v>5809</v>
      </c>
      <c r="I5913" t="s">
        <v>8157</v>
      </c>
      <c r="J5913" t="s">
        <v>9059</v>
      </c>
      <c r="K5913">
        <v>11212</v>
      </c>
      <c r="L5913" t="s">
        <v>9094</v>
      </c>
      <c r="M5913" t="s">
        <v>9095</v>
      </c>
      <c r="N5913" t="s">
        <v>9189</v>
      </c>
      <c r="O5913" t="s">
        <v>9121</v>
      </c>
      <c r="P5913" t="s">
        <v>11168</v>
      </c>
      <c r="R5913" t="s">
        <v>11180</v>
      </c>
      <c r="S5913" t="s">
        <v>9094</v>
      </c>
      <c r="T5913" t="s">
        <v>11183</v>
      </c>
      <c r="V5913" t="s">
        <v>804</v>
      </c>
      <c r="W5913">
        <v>1377</v>
      </c>
      <c r="X5913" t="s">
        <v>11332</v>
      </c>
      <c r="Y5913" t="s">
        <v>11157</v>
      </c>
      <c r="Z5913" t="s">
        <v>15042</v>
      </c>
      <c r="AB5913" t="s">
        <v>18489</v>
      </c>
      <c r="AC5913">
        <v>32</v>
      </c>
      <c r="AD5913" t="s">
        <v>19566</v>
      </c>
      <c r="AF5913">
        <v>2</v>
      </c>
      <c r="AG5913">
        <v>1</v>
      </c>
      <c r="AH5913">
        <v>1</v>
      </c>
      <c r="AI5913">
        <v>381.77</v>
      </c>
      <c r="AL5913" t="s">
        <v>19614</v>
      </c>
      <c r="AM5913">
        <v>62000</v>
      </c>
      <c r="AS5913">
        <v>0.25</v>
      </c>
      <c r="AT5913" t="s">
        <v>778</v>
      </c>
      <c r="AU5913" t="s">
        <v>78</v>
      </c>
    </row>
    <row r="5914" spans="1:48">
      <c r="A5914" s="1">
        <f>HYPERLINK("https://lsnyc.legalserver.org/matter/dynamic-profile/view/1891145","19-1891145")</f>
        <v>0</v>
      </c>
      <c r="B5914" t="s">
        <v>98</v>
      </c>
      <c r="C5914" t="s">
        <v>257</v>
      </c>
      <c r="D5914" t="s">
        <v>491</v>
      </c>
      <c r="E5914" t="s">
        <v>676</v>
      </c>
      <c r="F5914" t="s">
        <v>1723</v>
      </c>
      <c r="G5914" t="s">
        <v>5523</v>
      </c>
      <c r="H5914" t="s">
        <v>6870</v>
      </c>
      <c r="I5914" t="s">
        <v>8191</v>
      </c>
      <c r="J5914" t="s">
        <v>9065</v>
      </c>
      <c r="K5914">
        <v>10461</v>
      </c>
      <c r="L5914" t="s">
        <v>9094</v>
      </c>
      <c r="M5914" t="s">
        <v>9094</v>
      </c>
      <c r="O5914" t="s">
        <v>11134</v>
      </c>
      <c r="P5914" t="s">
        <v>11167</v>
      </c>
      <c r="Q5914" t="s">
        <v>11173</v>
      </c>
      <c r="R5914" t="s">
        <v>11180</v>
      </c>
      <c r="S5914" t="s">
        <v>9094</v>
      </c>
      <c r="T5914" t="s">
        <v>11183</v>
      </c>
      <c r="V5914" t="s">
        <v>299</v>
      </c>
      <c r="W5914">
        <v>1350</v>
      </c>
      <c r="X5914" t="s">
        <v>11333</v>
      </c>
      <c r="Y5914" t="s">
        <v>11346</v>
      </c>
      <c r="Z5914" t="s">
        <v>15043</v>
      </c>
      <c r="AB5914" t="s">
        <v>19350</v>
      </c>
      <c r="AC5914">
        <v>125</v>
      </c>
      <c r="AD5914" t="s">
        <v>19566</v>
      </c>
      <c r="AE5914" t="s">
        <v>9144</v>
      </c>
      <c r="AF5914">
        <v>1</v>
      </c>
      <c r="AG5914">
        <v>2</v>
      </c>
      <c r="AH5914">
        <v>0</v>
      </c>
      <c r="AI5914">
        <v>382.61</v>
      </c>
      <c r="AL5914" t="s">
        <v>19614</v>
      </c>
      <c r="AM5914">
        <v>64700</v>
      </c>
      <c r="AS5914">
        <v>0.06</v>
      </c>
      <c r="AT5914" t="s">
        <v>676</v>
      </c>
      <c r="AU5914" t="s">
        <v>20642</v>
      </c>
    </row>
    <row r="5915" spans="1:48">
      <c r="A5915" s="1">
        <f>HYPERLINK("https://lsnyc.legalserver.org/matter/dynamic-profile/view/1882696","18-1882696")</f>
        <v>0</v>
      </c>
      <c r="B5915" t="s">
        <v>106</v>
      </c>
      <c r="C5915" t="s">
        <v>256</v>
      </c>
      <c r="D5915" t="s">
        <v>433</v>
      </c>
      <c r="F5915" t="s">
        <v>1847</v>
      </c>
      <c r="G5915" t="s">
        <v>3656</v>
      </c>
      <c r="H5915" t="s">
        <v>5874</v>
      </c>
      <c r="I5915" t="s">
        <v>9004</v>
      </c>
      <c r="J5915" t="s">
        <v>9065</v>
      </c>
      <c r="K5915">
        <v>10457</v>
      </c>
      <c r="L5915" t="s">
        <v>9094</v>
      </c>
      <c r="M5915" t="s">
        <v>9094</v>
      </c>
      <c r="N5915" t="s">
        <v>9230</v>
      </c>
      <c r="O5915" t="s">
        <v>11134</v>
      </c>
      <c r="P5915" t="s">
        <v>11168</v>
      </c>
      <c r="R5915" t="s">
        <v>11180</v>
      </c>
      <c r="S5915" t="s">
        <v>9094</v>
      </c>
      <c r="T5915" t="s">
        <v>11183</v>
      </c>
      <c r="V5915" t="s">
        <v>738</v>
      </c>
      <c r="W5915">
        <v>810</v>
      </c>
      <c r="X5915" t="s">
        <v>11333</v>
      </c>
      <c r="Y5915" t="s">
        <v>11346</v>
      </c>
      <c r="Z5915" t="s">
        <v>15044</v>
      </c>
      <c r="AB5915" t="s">
        <v>19351</v>
      </c>
      <c r="AC5915">
        <v>47</v>
      </c>
      <c r="AD5915" t="s">
        <v>19566</v>
      </c>
      <c r="AE5915" t="s">
        <v>9144</v>
      </c>
      <c r="AF5915">
        <v>39</v>
      </c>
      <c r="AG5915">
        <v>2</v>
      </c>
      <c r="AH5915">
        <v>0</v>
      </c>
      <c r="AI5915">
        <v>382.75</v>
      </c>
      <c r="AL5915" t="s">
        <v>19614</v>
      </c>
      <c r="AM5915">
        <v>63000</v>
      </c>
      <c r="AS5915">
        <v>0.1</v>
      </c>
      <c r="AT5915" t="s">
        <v>608</v>
      </c>
      <c r="AU5915" t="s">
        <v>20642</v>
      </c>
    </row>
    <row r="5916" spans="1:48">
      <c r="A5916" s="1">
        <f>HYPERLINK("https://lsnyc.legalserver.org/matter/dynamic-profile/view/1882693","18-1882693")</f>
        <v>0</v>
      </c>
      <c r="B5916" t="s">
        <v>106</v>
      </c>
      <c r="C5916" t="s">
        <v>256</v>
      </c>
      <c r="D5916" t="s">
        <v>433</v>
      </c>
      <c r="F5916" t="s">
        <v>1847</v>
      </c>
      <c r="G5916" t="s">
        <v>3656</v>
      </c>
      <c r="H5916" t="s">
        <v>5874</v>
      </c>
      <c r="I5916" t="s">
        <v>9004</v>
      </c>
      <c r="J5916" t="s">
        <v>9065</v>
      </c>
      <c r="K5916">
        <v>10457</v>
      </c>
      <c r="L5916" t="s">
        <v>9094</v>
      </c>
      <c r="M5916" t="s">
        <v>9094</v>
      </c>
      <c r="N5916" t="s">
        <v>9231</v>
      </c>
      <c r="O5916" t="s">
        <v>11130</v>
      </c>
      <c r="P5916" t="s">
        <v>11165</v>
      </c>
      <c r="R5916" t="s">
        <v>11180</v>
      </c>
      <c r="S5916" t="s">
        <v>9094</v>
      </c>
      <c r="T5916" t="s">
        <v>11183</v>
      </c>
      <c r="V5916" t="s">
        <v>738</v>
      </c>
      <c r="W5916">
        <v>810</v>
      </c>
      <c r="X5916" t="s">
        <v>11333</v>
      </c>
      <c r="Y5916" t="s">
        <v>11346</v>
      </c>
      <c r="Z5916" t="s">
        <v>15044</v>
      </c>
      <c r="AB5916" t="s">
        <v>19351</v>
      </c>
      <c r="AC5916">
        <v>47</v>
      </c>
      <c r="AD5916" t="s">
        <v>19566</v>
      </c>
      <c r="AE5916" t="s">
        <v>9144</v>
      </c>
      <c r="AF5916">
        <v>39</v>
      </c>
      <c r="AG5916">
        <v>2</v>
      </c>
      <c r="AH5916">
        <v>0</v>
      </c>
      <c r="AI5916">
        <v>382.75</v>
      </c>
      <c r="AL5916" t="s">
        <v>19614</v>
      </c>
      <c r="AM5916">
        <v>63000</v>
      </c>
      <c r="AS5916">
        <v>0.1</v>
      </c>
      <c r="AT5916" t="s">
        <v>608</v>
      </c>
      <c r="AU5916" t="s">
        <v>20642</v>
      </c>
    </row>
    <row r="5917" spans="1:48">
      <c r="A5917" s="1">
        <f>HYPERLINK("https://lsnyc.legalserver.org/matter/dynamic-profile/view/1875757","18-1875757")</f>
        <v>0</v>
      </c>
      <c r="B5917" t="s">
        <v>103</v>
      </c>
      <c r="C5917" t="s">
        <v>256</v>
      </c>
      <c r="D5917" t="s">
        <v>742</v>
      </c>
      <c r="F5917" t="s">
        <v>2341</v>
      </c>
      <c r="G5917" t="s">
        <v>5517</v>
      </c>
      <c r="H5917" t="s">
        <v>6413</v>
      </c>
      <c r="I5917" t="s">
        <v>8153</v>
      </c>
      <c r="J5917" t="s">
        <v>9065</v>
      </c>
      <c r="K5917">
        <v>10456</v>
      </c>
      <c r="L5917" t="s">
        <v>9094</v>
      </c>
      <c r="M5917" t="s">
        <v>9094</v>
      </c>
      <c r="N5917" t="s">
        <v>9960</v>
      </c>
      <c r="O5917" t="s">
        <v>11134</v>
      </c>
      <c r="P5917" t="s">
        <v>11168</v>
      </c>
      <c r="R5917" t="s">
        <v>11180</v>
      </c>
      <c r="S5917" t="s">
        <v>9094</v>
      </c>
      <c r="T5917" t="s">
        <v>11183</v>
      </c>
      <c r="V5917" t="s">
        <v>945</v>
      </c>
      <c r="W5917">
        <v>1098</v>
      </c>
      <c r="X5917" t="s">
        <v>11333</v>
      </c>
      <c r="Y5917" t="s">
        <v>11346</v>
      </c>
      <c r="Z5917" t="s">
        <v>15030</v>
      </c>
      <c r="AB5917" t="s">
        <v>19339</v>
      </c>
      <c r="AC5917">
        <v>61</v>
      </c>
      <c r="AD5917" t="s">
        <v>19566</v>
      </c>
      <c r="AE5917" t="s">
        <v>9144</v>
      </c>
      <c r="AF5917">
        <v>1</v>
      </c>
      <c r="AG5917">
        <v>2</v>
      </c>
      <c r="AH5917">
        <v>0</v>
      </c>
      <c r="AI5917">
        <v>382.75</v>
      </c>
      <c r="AL5917" t="s">
        <v>19615</v>
      </c>
      <c r="AM5917">
        <v>63000</v>
      </c>
      <c r="AS5917">
        <v>0</v>
      </c>
      <c r="AU5917" t="s">
        <v>163</v>
      </c>
    </row>
    <row r="5918" spans="1:48">
      <c r="A5918" s="1">
        <f>HYPERLINK("https://lsnyc.legalserver.org/matter/dynamic-profile/view/1891563","19-1891563")</f>
        <v>0</v>
      </c>
      <c r="B5918" t="s">
        <v>70</v>
      </c>
      <c r="C5918" t="s">
        <v>256</v>
      </c>
      <c r="D5918" t="s">
        <v>316</v>
      </c>
      <c r="F5918" t="s">
        <v>1858</v>
      </c>
      <c r="G5918" t="s">
        <v>5524</v>
      </c>
      <c r="H5918" t="s">
        <v>5749</v>
      </c>
      <c r="I5918" t="s">
        <v>9005</v>
      </c>
      <c r="J5918" t="s">
        <v>9059</v>
      </c>
      <c r="K5918">
        <v>11233</v>
      </c>
      <c r="L5918" t="s">
        <v>9094</v>
      </c>
      <c r="M5918" t="s">
        <v>9096</v>
      </c>
      <c r="N5918" t="s">
        <v>9146</v>
      </c>
      <c r="O5918" t="s">
        <v>11134</v>
      </c>
      <c r="P5918" t="s">
        <v>11168</v>
      </c>
      <c r="R5918" t="s">
        <v>11180</v>
      </c>
      <c r="S5918" t="s">
        <v>9094</v>
      </c>
      <c r="T5918" t="s">
        <v>11183</v>
      </c>
      <c r="U5918" t="s">
        <v>11201</v>
      </c>
      <c r="V5918" t="s">
        <v>482</v>
      </c>
      <c r="W5918">
        <v>1157</v>
      </c>
      <c r="X5918" t="s">
        <v>11332</v>
      </c>
      <c r="Z5918" t="s">
        <v>11422</v>
      </c>
      <c r="AA5918" t="s">
        <v>9144</v>
      </c>
      <c r="AC5918">
        <v>359</v>
      </c>
      <c r="AD5918" t="s">
        <v>19566</v>
      </c>
      <c r="AE5918" t="s">
        <v>9144</v>
      </c>
      <c r="AF5918">
        <v>39</v>
      </c>
      <c r="AG5918">
        <v>6</v>
      </c>
      <c r="AH5918">
        <v>0</v>
      </c>
      <c r="AI5918">
        <v>383.06</v>
      </c>
      <c r="AL5918" t="s">
        <v>19614</v>
      </c>
      <c r="AM5918">
        <v>132500</v>
      </c>
      <c r="AN5918" t="s">
        <v>20201</v>
      </c>
      <c r="AS5918">
        <v>0</v>
      </c>
      <c r="AU5918" t="s">
        <v>95</v>
      </c>
      <c r="AV5918" t="s">
        <v>9144</v>
      </c>
    </row>
    <row r="5919" spans="1:48">
      <c r="A5919" s="1">
        <f>HYPERLINK("https://lsnyc.legalserver.org/matter/dynamic-profile/view/1891564","19-1891564")</f>
        <v>0</v>
      </c>
      <c r="B5919" t="s">
        <v>70</v>
      </c>
      <c r="C5919" t="s">
        <v>256</v>
      </c>
      <c r="D5919" t="s">
        <v>316</v>
      </c>
      <c r="F5919" t="s">
        <v>1858</v>
      </c>
      <c r="G5919" t="s">
        <v>5524</v>
      </c>
      <c r="H5919" t="s">
        <v>5749</v>
      </c>
      <c r="I5919" t="s">
        <v>9005</v>
      </c>
      <c r="J5919" t="s">
        <v>9059</v>
      </c>
      <c r="K5919">
        <v>11233</v>
      </c>
      <c r="L5919" t="s">
        <v>9094</v>
      </c>
      <c r="M5919" t="s">
        <v>9096</v>
      </c>
      <c r="N5919" t="s">
        <v>9171</v>
      </c>
      <c r="O5919" t="s">
        <v>11137</v>
      </c>
      <c r="P5919" t="s">
        <v>11167</v>
      </c>
      <c r="R5919" t="s">
        <v>11180</v>
      </c>
      <c r="S5919" t="s">
        <v>9094</v>
      </c>
      <c r="T5919" t="s">
        <v>11183</v>
      </c>
      <c r="U5919" t="s">
        <v>11201</v>
      </c>
      <c r="V5919" t="s">
        <v>749</v>
      </c>
      <c r="W5919">
        <v>1157</v>
      </c>
      <c r="X5919" t="s">
        <v>11332</v>
      </c>
      <c r="Z5919" t="s">
        <v>11422</v>
      </c>
      <c r="AC5919">
        <v>359</v>
      </c>
      <c r="AD5919" t="s">
        <v>19566</v>
      </c>
      <c r="AF5919">
        <v>39</v>
      </c>
      <c r="AG5919">
        <v>6</v>
      </c>
      <c r="AH5919">
        <v>0</v>
      </c>
      <c r="AI5919">
        <v>383.06</v>
      </c>
      <c r="AJ5919" t="s">
        <v>546</v>
      </c>
      <c r="AL5919" t="s">
        <v>19614</v>
      </c>
      <c r="AM5919">
        <v>132500</v>
      </c>
      <c r="AN5919" t="s">
        <v>20202</v>
      </c>
      <c r="AS5919">
        <v>0</v>
      </c>
      <c r="AU5919" t="s">
        <v>95</v>
      </c>
    </row>
    <row r="5920" spans="1:48">
      <c r="A5920" s="1">
        <f>HYPERLINK("https://lsnyc.legalserver.org/matter/dynamic-profile/view/1908685","19-1908685")</f>
        <v>0</v>
      </c>
      <c r="B5920" t="s">
        <v>95</v>
      </c>
      <c r="C5920" t="s">
        <v>257</v>
      </c>
      <c r="D5920" t="s">
        <v>326</v>
      </c>
      <c r="E5920" t="s">
        <v>669</v>
      </c>
      <c r="F5920" t="s">
        <v>1395</v>
      </c>
      <c r="G5920" t="s">
        <v>5525</v>
      </c>
      <c r="H5920" t="s">
        <v>8061</v>
      </c>
      <c r="I5920" t="s">
        <v>8209</v>
      </c>
      <c r="J5920" t="s">
        <v>9059</v>
      </c>
      <c r="K5920">
        <v>11212</v>
      </c>
      <c r="L5920" t="s">
        <v>9096</v>
      </c>
      <c r="M5920" t="s">
        <v>9095</v>
      </c>
      <c r="N5920" t="s">
        <v>9171</v>
      </c>
      <c r="O5920" t="s">
        <v>9121</v>
      </c>
      <c r="Q5920" t="s">
        <v>11172</v>
      </c>
      <c r="R5920" t="s">
        <v>11180</v>
      </c>
      <c r="S5920" t="s">
        <v>9096</v>
      </c>
      <c r="T5920" t="s">
        <v>11183</v>
      </c>
      <c r="U5920" t="s">
        <v>11201</v>
      </c>
      <c r="W5920">
        <v>1600</v>
      </c>
      <c r="X5920" t="s">
        <v>11332</v>
      </c>
      <c r="Y5920" t="s">
        <v>11157</v>
      </c>
      <c r="Z5920" t="s">
        <v>15045</v>
      </c>
      <c r="AA5920" t="s">
        <v>9171</v>
      </c>
      <c r="AB5920" t="s">
        <v>19352</v>
      </c>
      <c r="AC5920">
        <v>4</v>
      </c>
      <c r="AD5920" t="s">
        <v>19565</v>
      </c>
      <c r="AE5920" t="s">
        <v>9144</v>
      </c>
      <c r="AF5920">
        <v>2</v>
      </c>
      <c r="AG5920">
        <v>1</v>
      </c>
      <c r="AH5920">
        <v>3</v>
      </c>
      <c r="AI5920">
        <v>383.3</v>
      </c>
      <c r="AL5920" t="s">
        <v>19614</v>
      </c>
      <c r="AM5920">
        <v>98700</v>
      </c>
      <c r="AS5920">
        <v>0.6</v>
      </c>
      <c r="AT5920" t="s">
        <v>326</v>
      </c>
      <c r="AU5920" t="s">
        <v>20632</v>
      </c>
      <c r="AV5920" t="s">
        <v>9144</v>
      </c>
    </row>
    <row r="5921" spans="1:48">
      <c r="A5921" s="1">
        <f>HYPERLINK("https://lsnyc.legalserver.org/matter/dynamic-profile/view/1900676","19-1900676")</f>
        <v>0</v>
      </c>
      <c r="B5921" t="s">
        <v>76</v>
      </c>
      <c r="C5921" t="s">
        <v>256</v>
      </c>
      <c r="D5921" t="s">
        <v>283</v>
      </c>
      <c r="F5921" t="s">
        <v>1788</v>
      </c>
      <c r="G5921" t="s">
        <v>5526</v>
      </c>
      <c r="H5921" t="s">
        <v>7008</v>
      </c>
      <c r="I5921" t="s">
        <v>8828</v>
      </c>
      <c r="J5921" t="s">
        <v>9059</v>
      </c>
      <c r="K5921">
        <v>11213</v>
      </c>
      <c r="L5921" t="s">
        <v>9094</v>
      </c>
      <c r="M5921" t="s">
        <v>9095</v>
      </c>
      <c r="N5921" t="s">
        <v>9121</v>
      </c>
      <c r="O5921" t="s">
        <v>9121</v>
      </c>
      <c r="P5921" t="s">
        <v>11166</v>
      </c>
      <c r="R5921" t="s">
        <v>11180</v>
      </c>
      <c r="S5921" t="s">
        <v>9094</v>
      </c>
      <c r="T5921" t="s">
        <v>11183</v>
      </c>
      <c r="U5921" t="s">
        <v>11201</v>
      </c>
      <c r="V5921" t="s">
        <v>291</v>
      </c>
      <c r="W5921">
        <v>1205</v>
      </c>
      <c r="X5921" t="s">
        <v>11332</v>
      </c>
      <c r="Y5921" t="s">
        <v>11346</v>
      </c>
      <c r="Z5921" t="s">
        <v>15046</v>
      </c>
      <c r="AA5921" t="s">
        <v>9144</v>
      </c>
      <c r="AC5921">
        <v>34</v>
      </c>
      <c r="AD5921" t="s">
        <v>19566</v>
      </c>
      <c r="AE5921" t="s">
        <v>9144</v>
      </c>
      <c r="AF5921">
        <v>34</v>
      </c>
      <c r="AG5921">
        <v>3</v>
      </c>
      <c r="AH5921">
        <v>0</v>
      </c>
      <c r="AI5921">
        <v>383.7</v>
      </c>
      <c r="AL5921" t="s">
        <v>19614</v>
      </c>
      <c r="AM5921">
        <v>81843</v>
      </c>
      <c r="AN5921" t="s">
        <v>20203</v>
      </c>
      <c r="AS5921">
        <v>0</v>
      </c>
      <c r="AU5921" t="s">
        <v>95</v>
      </c>
      <c r="AV5921" t="s">
        <v>20733</v>
      </c>
    </row>
    <row r="5922" spans="1:48">
      <c r="A5922" s="1">
        <f>HYPERLINK("https://lsnyc.legalserver.org/matter/dynamic-profile/view/1894172","19-1894172")</f>
        <v>0</v>
      </c>
      <c r="B5922" t="s">
        <v>69</v>
      </c>
      <c r="C5922" t="s">
        <v>257</v>
      </c>
      <c r="D5922" t="s">
        <v>507</v>
      </c>
      <c r="E5922" t="s">
        <v>660</v>
      </c>
      <c r="F5922" t="s">
        <v>1813</v>
      </c>
      <c r="G5922" t="s">
        <v>5527</v>
      </c>
      <c r="H5922" t="s">
        <v>8062</v>
      </c>
      <c r="I5922" t="s">
        <v>9006</v>
      </c>
      <c r="J5922" t="s">
        <v>9059</v>
      </c>
      <c r="K5922">
        <v>11239</v>
      </c>
      <c r="L5922" t="s">
        <v>9094</v>
      </c>
      <c r="M5922" t="s">
        <v>9096</v>
      </c>
      <c r="N5922" t="s">
        <v>11091</v>
      </c>
      <c r="O5922" t="s">
        <v>11129</v>
      </c>
      <c r="P5922" t="s">
        <v>11168</v>
      </c>
      <c r="Q5922" t="s">
        <v>11177</v>
      </c>
      <c r="R5922" t="s">
        <v>11180</v>
      </c>
      <c r="S5922" t="s">
        <v>9096</v>
      </c>
      <c r="T5922" t="s">
        <v>11184</v>
      </c>
      <c r="V5922" t="s">
        <v>526</v>
      </c>
      <c r="W5922">
        <v>1191</v>
      </c>
      <c r="X5922" t="s">
        <v>11332</v>
      </c>
      <c r="Z5922" t="s">
        <v>15047</v>
      </c>
      <c r="AB5922" t="s">
        <v>19353</v>
      </c>
      <c r="AC5922">
        <v>1168</v>
      </c>
      <c r="AD5922" t="s">
        <v>19566</v>
      </c>
      <c r="AE5922" t="s">
        <v>11157</v>
      </c>
      <c r="AF5922">
        <v>2</v>
      </c>
      <c r="AG5922">
        <v>1</v>
      </c>
      <c r="AH5922">
        <v>0</v>
      </c>
      <c r="AI5922">
        <v>384.31</v>
      </c>
      <c r="AL5922" t="s">
        <v>19614</v>
      </c>
      <c r="AM5922">
        <v>48000</v>
      </c>
      <c r="AS5922">
        <v>32</v>
      </c>
      <c r="AT5922" t="s">
        <v>660</v>
      </c>
      <c r="AU5922" t="s">
        <v>79</v>
      </c>
      <c r="AV5922" t="s">
        <v>20733</v>
      </c>
    </row>
    <row r="5923" spans="1:48">
      <c r="A5923" s="1">
        <f>HYPERLINK("https://lsnyc.legalserver.org/matter/dynamic-profile/view/1904268","19-1904268")</f>
        <v>0</v>
      </c>
      <c r="B5923" t="s">
        <v>78</v>
      </c>
      <c r="C5923" t="s">
        <v>256</v>
      </c>
      <c r="D5923" t="s">
        <v>265</v>
      </c>
      <c r="F5923" t="s">
        <v>1227</v>
      </c>
      <c r="G5923" t="s">
        <v>5528</v>
      </c>
      <c r="H5923" t="s">
        <v>6712</v>
      </c>
      <c r="I5923" t="s">
        <v>8124</v>
      </c>
      <c r="J5923" t="s">
        <v>9059</v>
      </c>
      <c r="K5923">
        <v>11221</v>
      </c>
      <c r="L5923" t="s">
        <v>9094</v>
      </c>
      <c r="M5923" t="s">
        <v>9095</v>
      </c>
      <c r="N5923" t="s">
        <v>9121</v>
      </c>
      <c r="O5923" t="s">
        <v>11137</v>
      </c>
      <c r="P5923" t="s">
        <v>11167</v>
      </c>
      <c r="R5923" t="s">
        <v>11180</v>
      </c>
      <c r="S5923" t="s">
        <v>9094</v>
      </c>
      <c r="T5923" t="s">
        <v>11186</v>
      </c>
      <c r="U5923" t="s">
        <v>11201</v>
      </c>
      <c r="V5923" t="s">
        <v>635</v>
      </c>
      <c r="W5923">
        <v>780</v>
      </c>
      <c r="X5923" t="s">
        <v>11332</v>
      </c>
      <c r="Y5923" t="s">
        <v>11346</v>
      </c>
      <c r="Z5923" t="s">
        <v>15048</v>
      </c>
      <c r="AA5923" t="s">
        <v>9144</v>
      </c>
      <c r="AB5923" t="s">
        <v>19354</v>
      </c>
      <c r="AC5923">
        <v>12</v>
      </c>
      <c r="AD5923" t="s">
        <v>19566</v>
      </c>
      <c r="AE5923" t="s">
        <v>9144</v>
      </c>
      <c r="AF5923">
        <v>15</v>
      </c>
      <c r="AG5923">
        <v>1</v>
      </c>
      <c r="AH5923">
        <v>0</v>
      </c>
      <c r="AI5923">
        <v>384.31</v>
      </c>
      <c r="AL5923" t="s">
        <v>19614</v>
      </c>
      <c r="AM5923">
        <v>48000</v>
      </c>
      <c r="AS5923">
        <v>0</v>
      </c>
      <c r="AU5923" t="s">
        <v>95</v>
      </c>
      <c r="AV5923" t="s">
        <v>9144</v>
      </c>
    </row>
    <row r="5924" spans="1:48">
      <c r="A5924" s="1">
        <f>HYPERLINK("https://lsnyc.legalserver.org/matter/dynamic-profile/view/1895330","19-1895330")</f>
        <v>0</v>
      </c>
      <c r="B5924" t="s">
        <v>74</v>
      </c>
      <c r="C5924" t="s">
        <v>256</v>
      </c>
      <c r="D5924" t="s">
        <v>264</v>
      </c>
      <c r="F5924" t="s">
        <v>1227</v>
      </c>
      <c r="G5924" t="s">
        <v>5528</v>
      </c>
      <c r="H5924" t="s">
        <v>6712</v>
      </c>
      <c r="I5924" t="s">
        <v>8124</v>
      </c>
      <c r="J5924" t="s">
        <v>9059</v>
      </c>
      <c r="K5924">
        <v>11221</v>
      </c>
      <c r="L5924" t="s">
        <v>9094</v>
      </c>
      <c r="M5924" t="s">
        <v>9094</v>
      </c>
      <c r="O5924" t="s">
        <v>11141</v>
      </c>
      <c r="P5924" t="s">
        <v>11170</v>
      </c>
      <c r="R5924" t="s">
        <v>11180</v>
      </c>
      <c r="S5924" t="s">
        <v>9094</v>
      </c>
      <c r="T5924" t="s">
        <v>11185</v>
      </c>
      <c r="V5924" t="s">
        <v>264</v>
      </c>
      <c r="W5924">
        <v>780</v>
      </c>
      <c r="X5924" t="s">
        <v>11332</v>
      </c>
      <c r="Y5924" t="s">
        <v>11346</v>
      </c>
      <c r="Z5924" t="s">
        <v>15048</v>
      </c>
      <c r="AB5924" t="s">
        <v>19354</v>
      </c>
      <c r="AC5924">
        <v>12</v>
      </c>
      <c r="AD5924" t="s">
        <v>19566</v>
      </c>
      <c r="AE5924" t="s">
        <v>9144</v>
      </c>
      <c r="AF5924">
        <v>15</v>
      </c>
      <c r="AG5924">
        <v>1</v>
      </c>
      <c r="AH5924">
        <v>0</v>
      </c>
      <c r="AI5924">
        <v>384.31</v>
      </c>
      <c r="AL5924" t="s">
        <v>19614</v>
      </c>
      <c r="AM5924">
        <v>48000</v>
      </c>
      <c r="AN5924" t="s">
        <v>20204</v>
      </c>
      <c r="AS5924">
        <v>0</v>
      </c>
      <c r="AU5924" t="s">
        <v>95</v>
      </c>
      <c r="AV5924" t="s">
        <v>9144</v>
      </c>
    </row>
    <row r="5925" spans="1:48">
      <c r="A5925" s="1">
        <f>HYPERLINK("https://lsnyc.legalserver.org/matter/dynamic-profile/view/1890628","19-1890628")</f>
        <v>0</v>
      </c>
      <c r="B5925" t="s">
        <v>70</v>
      </c>
      <c r="C5925" t="s">
        <v>256</v>
      </c>
      <c r="D5925" t="s">
        <v>695</v>
      </c>
      <c r="F5925" t="s">
        <v>2945</v>
      </c>
      <c r="G5925" t="s">
        <v>5529</v>
      </c>
      <c r="H5925" t="s">
        <v>5749</v>
      </c>
      <c r="I5925" t="s">
        <v>9007</v>
      </c>
      <c r="J5925" t="s">
        <v>9059</v>
      </c>
      <c r="K5925">
        <v>11233</v>
      </c>
      <c r="L5925" t="s">
        <v>9094</v>
      </c>
      <c r="M5925" t="s">
        <v>9096</v>
      </c>
      <c r="N5925" t="s">
        <v>9146</v>
      </c>
      <c r="O5925" t="s">
        <v>11134</v>
      </c>
      <c r="P5925" t="s">
        <v>11168</v>
      </c>
      <c r="R5925" t="s">
        <v>11180</v>
      </c>
      <c r="S5925" t="s">
        <v>9094</v>
      </c>
      <c r="T5925" t="s">
        <v>11183</v>
      </c>
      <c r="U5925" t="s">
        <v>11201</v>
      </c>
      <c r="V5925" t="s">
        <v>482</v>
      </c>
      <c r="W5925">
        <v>1534.37</v>
      </c>
      <c r="X5925" t="s">
        <v>11332</v>
      </c>
      <c r="Y5925" t="s">
        <v>11157</v>
      </c>
      <c r="Z5925" t="s">
        <v>15049</v>
      </c>
      <c r="AC5925">
        <v>359</v>
      </c>
      <c r="AD5925" t="s">
        <v>19566</v>
      </c>
      <c r="AE5925" t="s">
        <v>9144</v>
      </c>
      <c r="AF5925">
        <v>3</v>
      </c>
      <c r="AG5925">
        <v>2</v>
      </c>
      <c r="AH5925">
        <v>0</v>
      </c>
      <c r="AI5925">
        <v>384.39</v>
      </c>
      <c r="AJ5925" t="s">
        <v>546</v>
      </c>
      <c r="AK5925" t="s">
        <v>19612</v>
      </c>
      <c r="AL5925" t="s">
        <v>19614</v>
      </c>
      <c r="AM5925">
        <v>65000</v>
      </c>
      <c r="AN5925" t="s">
        <v>19846</v>
      </c>
      <c r="AS5925">
        <v>0</v>
      </c>
      <c r="AU5925" t="s">
        <v>79</v>
      </c>
    </row>
    <row r="5926" spans="1:48">
      <c r="A5926" s="1">
        <f>HYPERLINK("https://lsnyc.legalserver.org/matter/dynamic-profile/view/1891940","19-1891940")</f>
        <v>0</v>
      </c>
      <c r="B5926" t="s">
        <v>70</v>
      </c>
      <c r="C5926" t="s">
        <v>256</v>
      </c>
      <c r="D5926" t="s">
        <v>868</v>
      </c>
      <c r="F5926" t="s">
        <v>3225</v>
      </c>
      <c r="G5926" t="s">
        <v>3572</v>
      </c>
      <c r="H5926" t="s">
        <v>5749</v>
      </c>
      <c r="I5926" t="s">
        <v>8218</v>
      </c>
      <c r="J5926" t="s">
        <v>9059</v>
      </c>
      <c r="K5926">
        <v>11233</v>
      </c>
      <c r="L5926" t="s">
        <v>9094</v>
      </c>
      <c r="M5926" t="s">
        <v>9096</v>
      </c>
      <c r="N5926" t="s">
        <v>9146</v>
      </c>
      <c r="O5926" t="s">
        <v>11134</v>
      </c>
      <c r="P5926" t="s">
        <v>11168</v>
      </c>
      <c r="R5926" t="s">
        <v>11180</v>
      </c>
      <c r="S5926" t="s">
        <v>9094</v>
      </c>
      <c r="T5926" t="s">
        <v>11183</v>
      </c>
      <c r="U5926" t="s">
        <v>11201</v>
      </c>
      <c r="V5926" t="s">
        <v>482</v>
      </c>
      <c r="W5926">
        <v>1489</v>
      </c>
      <c r="X5926" t="s">
        <v>11332</v>
      </c>
      <c r="Y5926" t="s">
        <v>11157</v>
      </c>
      <c r="Z5926" t="s">
        <v>15050</v>
      </c>
      <c r="AC5926">
        <v>359</v>
      </c>
      <c r="AD5926" t="s">
        <v>19566</v>
      </c>
      <c r="AE5926" t="s">
        <v>9144</v>
      </c>
      <c r="AF5926">
        <v>4</v>
      </c>
      <c r="AG5926">
        <v>2</v>
      </c>
      <c r="AH5926">
        <v>0</v>
      </c>
      <c r="AI5926">
        <v>384.39</v>
      </c>
      <c r="AJ5926" t="s">
        <v>546</v>
      </c>
      <c r="AK5926" t="s">
        <v>19612</v>
      </c>
      <c r="AL5926" t="s">
        <v>19614</v>
      </c>
      <c r="AM5926">
        <v>65000</v>
      </c>
      <c r="AN5926" t="s">
        <v>19846</v>
      </c>
      <c r="AS5926">
        <v>0</v>
      </c>
      <c r="AU5926" t="s">
        <v>79</v>
      </c>
    </row>
    <row r="5927" spans="1:48">
      <c r="A5927" s="1">
        <f>HYPERLINK("https://lsnyc.legalserver.org/matter/dynamic-profile/view/1897337","19-1897337")</f>
        <v>0</v>
      </c>
      <c r="B5927" t="s">
        <v>70</v>
      </c>
      <c r="C5927" t="s">
        <v>256</v>
      </c>
      <c r="D5927" t="s">
        <v>434</v>
      </c>
      <c r="F5927" t="s">
        <v>1333</v>
      </c>
      <c r="G5927" t="s">
        <v>5530</v>
      </c>
      <c r="H5927" t="s">
        <v>5749</v>
      </c>
      <c r="I5927" t="s">
        <v>8296</v>
      </c>
      <c r="J5927" t="s">
        <v>9059</v>
      </c>
      <c r="K5927">
        <v>11233</v>
      </c>
      <c r="L5927" t="s">
        <v>9094</v>
      </c>
      <c r="M5927" t="s">
        <v>9096</v>
      </c>
      <c r="N5927" t="s">
        <v>9146</v>
      </c>
      <c r="O5927" t="s">
        <v>11134</v>
      </c>
      <c r="P5927" t="s">
        <v>11168</v>
      </c>
      <c r="R5927" t="s">
        <v>11180</v>
      </c>
      <c r="S5927" t="s">
        <v>9094</v>
      </c>
      <c r="T5927" t="s">
        <v>11183</v>
      </c>
      <c r="U5927" t="s">
        <v>11201</v>
      </c>
      <c r="V5927" t="s">
        <v>482</v>
      </c>
      <c r="W5927">
        <v>100</v>
      </c>
      <c r="X5927" t="s">
        <v>11332</v>
      </c>
      <c r="Y5927" t="s">
        <v>11342</v>
      </c>
      <c r="Z5927" t="s">
        <v>15051</v>
      </c>
      <c r="AC5927">
        <v>359</v>
      </c>
      <c r="AD5927" t="s">
        <v>19566</v>
      </c>
      <c r="AF5927">
        <v>50</v>
      </c>
      <c r="AG5927">
        <v>2</v>
      </c>
      <c r="AH5927">
        <v>0</v>
      </c>
      <c r="AI5927">
        <v>384.39</v>
      </c>
      <c r="AL5927" t="s">
        <v>19614</v>
      </c>
      <c r="AM5927">
        <v>65000</v>
      </c>
      <c r="AN5927" t="s">
        <v>19644</v>
      </c>
      <c r="AS5927">
        <v>0</v>
      </c>
      <c r="AU5927" t="s">
        <v>95</v>
      </c>
    </row>
    <row r="5928" spans="1:48">
      <c r="A5928" s="1">
        <f>HYPERLINK("https://lsnyc.legalserver.org/matter/dynamic-profile/view/1891616","19-1891616")</f>
        <v>0</v>
      </c>
      <c r="B5928" t="s">
        <v>70</v>
      </c>
      <c r="C5928" t="s">
        <v>256</v>
      </c>
      <c r="D5928" t="s">
        <v>788</v>
      </c>
      <c r="F5928" t="s">
        <v>2945</v>
      </c>
      <c r="G5928" t="s">
        <v>5529</v>
      </c>
      <c r="H5928" t="s">
        <v>5749</v>
      </c>
      <c r="I5928" t="s">
        <v>9007</v>
      </c>
      <c r="J5928" t="s">
        <v>9059</v>
      </c>
      <c r="K5928">
        <v>11233</v>
      </c>
      <c r="L5928" t="s">
        <v>9094</v>
      </c>
      <c r="M5928" t="s">
        <v>9096</v>
      </c>
      <c r="O5928" t="s">
        <v>11137</v>
      </c>
      <c r="P5928" t="s">
        <v>11167</v>
      </c>
      <c r="R5928" t="s">
        <v>11180</v>
      </c>
      <c r="S5928" t="s">
        <v>9094</v>
      </c>
      <c r="T5928" t="s">
        <v>11183</v>
      </c>
      <c r="U5928" t="s">
        <v>11201</v>
      </c>
      <c r="V5928" t="s">
        <v>749</v>
      </c>
      <c r="W5928">
        <v>1534.37</v>
      </c>
      <c r="X5928" t="s">
        <v>11332</v>
      </c>
      <c r="Y5928" t="s">
        <v>11157</v>
      </c>
      <c r="Z5928" t="s">
        <v>15049</v>
      </c>
      <c r="AC5928">
        <v>359</v>
      </c>
      <c r="AD5928" t="s">
        <v>19566</v>
      </c>
      <c r="AE5928" t="s">
        <v>9144</v>
      </c>
      <c r="AF5928">
        <v>3</v>
      </c>
      <c r="AG5928">
        <v>2</v>
      </c>
      <c r="AH5928">
        <v>0</v>
      </c>
      <c r="AI5928">
        <v>384.39</v>
      </c>
      <c r="AJ5928" t="s">
        <v>546</v>
      </c>
      <c r="AK5928" t="s">
        <v>19612</v>
      </c>
      <c r="AL5928" t="s">
        <v>19614</v>
      </c>
      <c r="AM5928">
        <v>65000</v>
      </c>
      <c r="AN5928" t="s">
        <v>20205</v>
      </c>
      <c r="AS5928">
        <v>0</v>
      </c>
      <c r="AU5928" t="s">
        <v>79</v>
      </c>
    </row>
    <row r="5929" spans="1:48">
      <c r="A5929" s="1">
        <f>HYPERLINK("https://lsnyc.legalserver.org/matter/dynamic-profile/view/1891944","19-1891944")</f>
        <v>0</v>
      </c>
      <c r="B5929" t="s">
        <v>70</v>
      </c>
      <c r="C5929" t="s">
        <v>256</v>
      </c>
      <c r="D5929" t="s">
        <v>868</v>
      </c>
      <c r="F5929" t="s">
        <v>3225</v>
      </c>
      <c r="G5929" t="s">
        <v>3572</v>
      </c>
      <c r="H5929" t="s">
        <v>5749</v>
      </c>
      <c r="I5929" t="s">
        <v>8218</v>
      </c>
      <c r="J5929" t="s">
        <v>9059</v>
      </c>
      <c r="K5929">
        <v>11233</v>
      </c>
      <c r="L5929" t="s">
        <v>9094</v>
      </c>
      <c r="M5929" t="s">
        <v>9096</v>
      </c>
      <c r="O5929" t="s">
        <v>11137</v>
      </c>
      <c r="P5929" t="s">
        <v>11167</v>
      </c>
      <c r="R5929" t="s">
        <v>11180</v>
      </c>
      <c r="S5929" t="s">
        <v>9094</v>
      </c>
      <c r="T5929" t="s">
        <v>11183</v>
      </c>
      <c r="U5929" t="s">
        <v>11201</v>
      </c>
      <c r="V5929" t="s">
        <v>749</v>
      </c>
      <c r="W5929">
        <v>1489</v>
      </c>
      <c r="X5929" t="s">
        <v>11332</v>
      </c>
      <c r="Y5929" t="s">
        <v>11157</v>
      </c>
      <c r="Z5929" t="s">
        <v>15050</v>
      </c>
      <c r="AC5929">
        <v>359</v>
      </c>
      <c r="AD5929" t="s">
        <v>19566</v>
      </c>
      <c r="AE5929" t="s">
        <v>9144</v>
      </c>
      <c r="AF5929">
        <v>4</v>
      </c>
      <c r="AG5929">
        <v>2</v>
      </c>
      <c r="AH5929">
        <v>0</v>
      </c>
      <c r="AI5929">
        <v>384.39</v>
      </c>
      <c r="AJ5929" t="s">
        <v>546</v>
      </c>
      <c r="AK5929" t="s">
        <v>19612</v>
      </c>
      <c r="AL5929" t="s">
        <v>19614</v>
      </c>
      <c r="AM5929">
        <v>65000</v>
      </c>
      <c r="AN5929" t="s">
        <v>20206</v>
      </c>
      <c r="AS5929">
        <v>0</v>
      </c>
      <c r="AU5929" t="s">
        <v>79</v>
      </c>
    </row>
    <row r="5930" spans="1:48">
      <c r="A5930" s="1">
        <f>HYPERLINK("https://lsnyc.legalserver.org/matter/dynamic-profile/view/1897341","19-1897341")</f>
        <v>0</v>
      </c>
      <c r="B5930" t="s">
        <v>70</v>
      </c>
      <c r="C5930" t="s">
        <v>256</v>
      </c>
      <c r="D5930" t="s">
        <v>434</v>
      </c>
      <c r="F5930" t="s">
        <v>1333</v>
      </c>
      <c r="G5930" t="s">
        <v>5530</v>
      </c>
      <c r="H5930" t="s">
        <v>5749</v>
      </c>
      <c r="I5930" t="s">
        <v>8296</v>
      </c>
      <c r="J5930" t="s">
        <v>9059</v>
      </c>
      <c r="K5930">
        <v>11233</v>
      </c>
      <c r="L5930" t="s">
        <v>9094</v>
      </c>
      <c r="M5930" t="s">
        <v>9096</v>
      </c>
      <c r="O5930" t="s">
        <v>11137</v>
      </c>
      <c r="P5930" t="s">
        <v>11167</v>
      </c>
      <c r="R5930" t="s">
        <v>11180</v>
      </c>
      <c r="S5930" t="s">
        <v>9094</v>
      </c>
      <c r="T5930" t="s">
        <v>11183</v>
      </c>
      <c r="U5930" t="s">
        <v>11201</v>
      </c>
      <c r="V5930" t="s">
        <v>749</v>
      </c>
      <c r="W5930">
        <v>1000</v>
      </c>
      <c r="X5930" t="s">
        <v>11332</v>
      </c>
      <c r="Y5930" t="s">
        <v>11342</v>
      </c>
      <c r="Z5930" t="s">
        <v>15051</v>
      </c>
      <c r="AC5930">
        <v>359</v>
      </c>
      <c r="AD5930" t="s">
        <v>19566</v>
      </c>
      <c r="AF5930">
        <v>50</v>
      </c>
      <c r="AG5930">
        <v>2</v>
      </c>
      <c r="AH5930">
        <v>0</v>
      </c>
      <c r="AI5930">
        <v>384.39</v>
      </c>
      <c r="AL5930" t="s">
        <v>19614</v>
      </c>
      <c r="AM5930">
        <v>65000</v>
      </c>
      <c r="AN5930" t="s">
        <v>20207</v>
      </c>
      <c r="AS5930">
        <v>0</v>
      </c>
      <c r="AU5930" t="s">
        <v>95</v>
      </c>
    </row>
    <row r="5931" spans="1:48">
      <c r="A5931" s="1">
        <f>HYPERLINK("https://lsnyc.legalserver.org/matter/dynamic-profile/view/1888587","19-1888587")</f>
        <v>0</v>
      </c>
      <c r="B5931" t="s">
        <v>103</v>
      </c>
      <c r="C5931" t="s">
        <v>256</v>
      </c>
      <c r="D5931" t="s">
        <v>494</v>
      </c>
      <c r="F5931" t="s">
        <v>3226</v>
      </c>
      <c r="G5931" t="s">
        <v>5531</v>
      </c>
      <c r="H5931" t="s">
        <v>5873</v>
      </c>
      <c r="I5931" t="s">
        <v>8197</v>
      </c>
      <c r="J5931" t="s">
        <v>9065</v>
      </c>
      <c r="K5931">
        <v>10457</v>
      </c>
      <c r="L5931" t="s">
        <v>9094</v>
      </c>
      <c r="M5931" t="s">
        <v>9094</v>
      </c>
      <c r="N5931" t="s">
        <v>11092</v>
      </c>
      <c r="O5931" t="s">
        <v>11132</v>
      </c>
      <c r="P5931" t="s">
        <v>11165</v>
      </c>
      <c r="R5931" t="s">
        <v>11180</v>
      </c>
      <c r="S5931" t="s">
        <v>9094</v>
      </c>
      <c r="T5931" t="s">
        <v>11183</v>
      </c>
      <c r="V5931" t="s">
        <v>441</v>
      </c>
      <c r="W5931">
        <v>1172</v>
      </c>
      <c r="X5931" t="s">
        <v>11333</v>
      </c>
      <c r="Y5931" t="s">
        <v>11338</v>
      </c>
      <c r="Z5931" t="s">
        <v>13530</v>
      </c>
      <c r="AB5931" t="s">
        <v>19355</v>
      </c>
      <c r="AC5931">
        <v>100</v>
      </c>
      <c r="AD5931" t="s">
        <v>19566</v>
      </c>
      <c r="AE5931" t="s">
        <v>9144</v>
      </c>
      <c r="AF5931">
        <v>39</v>
      </c>
      <c r="AG5931">
        <v>2</v>
      </c>
      <c r="AH5931">
        <v>0</v>
      </c>
      <c r="AI5931">
        <v>384.39</v>
      </c>
      <c r="AL5931" t="s">
        <v>19614</v>
      </c>
      <c r="AM5931">
        <v>65000</v>
      </c>
      <c r="AS5931">
        <v>0.9</v>
      </c>
      <c r="AT5931" t="s">
        <v>494</v>
      </c>
      <c r="AU5931" t="s">
        <v>174</v>
      </c>
      <c r="AV5931" t="s">
        <v>20733</v>
      </c>
    </row>
    <row r="5932" spans="1:48">
      <c r="A5932" s="1">
        <f>HYPERLINK("https://lsnyc.legalserver.org/matter/dynamic-profile/view/1886569","18-1886569")</f>
        <v>0</v>
      </c>
      <c r="B5932" t="s">
        <v>101</v>
      </c>
      <c r="C5932" t="s">
        <v>256</v>
      </c>
      <c r="D5932" t="s">
        <v>427</v>
      </c>
      <c r="F5932" t="s">
        <v>1222</v>
      </c>
      <c r="G5932" t="s">
        <v>5521</v>
      </c>
      <c r="H5932" t="s">
        <v>6383</v>
      </c>
      <c r="I5932" t="s">
        <v>8214</v>
      </c>
      <c r="J5932" t="s">
        <v>9065</v>
      </c>
      <c r="K5932">
        <v>10467</v>
      </c>
      <c r="L5932" t="s">
        <v>9094</v>
      </c>
      <c r="M5932" t="s">
        <v>9094</v>
      </c>
      <c r="N5932" t="s">
        <v>9642</v>
      </c>
      <c r="O5932" t="s">
        <v>11130</v>
      </c>
      <c r="P5932" t="s">
        <v>11165</v>
      </c>
      <c r="R5932" t="s">
        <v>11180</v>
      </c>
      <c r="S5932" t="s">
        <v>9094</v>
      </c>
      <c r="T5932" t="s">
        <v>11183</v>
      </c>
      <c r="V5932" t="s">
        <v>11212</v>
      </c>
      <c r="W5932">
        <v>700</v>
      </c>
      <c r="X5932" t="s">
        <v>11333</v>
      </c>
      <c r="Y5932" t="s">
        <v>11346</v>
      </c>
      <c r="Z5932" t="s">
        <v>15036</v>
      </c>
      <c r="AC5932">
        <v>61</v>
      </c>
      <c r="AD5932" t="s">
        <v>15441</v>
      </c>
      <c r="AE5932" t="s">
        <v>9144</v>
      </c>
      <c r="AF5932">
        <v>15</v>
      </c>
      <c r="AG5932">
        <v>1</v>
      </c>
      <c r="AH5932">
        <v>0</v>
      </c>
      <c r="AI5932">
        <v>387.15</v>
      </c>
      <c r="AL5932" t="s">
        <v>19614</v>
      </c>
      <c r="AM5932">
        <v>47000</v>
      </c>
      <c r="AS5932">
        <v>165.7</v>
      </c>
      <c r="AT5932" t="s">
        <v>487</v>
      </c>
      <c r="AU5932" t="s">
        <v>20647</v>
      </c>
      <c r="AV5932" t="s">
        <v>20733</v>
      </c>
    </row>
    <row r="5933" spans="1:48">
      <c r="A5933" s="1">
        <f>HYPERLINK("https://lsnyc.legalserver.org/matter/dynamic-profile/view/1871571","18-1871571")</f>
        <v>0</v>
      </c>
      <c r="B5933" t="s">
        <v>138</v>
      </c>
      <c r="C5933" t="s">
        <v>256</v>
      </c>
      <c r="D5933" t="s">
        <v>389</v>
      </c>
      <c r="F5933" t="s">
        <v>1193</v>
      </c>
      <c r="G5933" t="s">
        <v>4043</v>
      </c>
      <c r="H5933" t="s">
        <v>5943</v>
      </c>
      <c r="I5933" t="s">
        <v>8169</v>
      </c>
      <c r="J5933" t="s">
        <v>9067</v>
      </c>
      <c r="K5933">
        <v>10034</v>
      </c>
      <c r="L5933" t="s">
        <v>9094</v>
      </c>
      <c r="M5933" t="s">
        <v>9094</v>
      </c>
      <c r="N5933" t="s">
        <v>9279</v>
      </c>
      <c r="O5933" t="s">
        <v>11130</v>
      </c>
      <c r="P5933" t="s">
        <v>11165</v>
      </c>
      <c r="R5933" t="s">
        <v>11180</v>
      </c>
      <c r="S5933" t="s">
        <v>9094</v>
      </c>
      <c r="T5933" t="s">
        <v>11183</v>
      </c>
      <c r="V5933" t="s">
        <v>389</v>
      </c>
      <c r="W5933">
        <v>2300</v>
      </c>
      <c r="X5933" t="s">
        <v>11335</v>
      </c>
      <c r="Y5933" t="s">
        <v>11338</v>
      </c>
      <c r="Z5933" t="s">
        <v>14411</v>
      </c>
      <c r="AC5933">
        <v>67</v>
      </c>
      <c r="AD5933" t="s">
        <v>19566</v>
      </c>
      <c r="AE5933" t="s">
        <v>9144</v>
      </c>
      <c r="AF5933">
        <v>4</v>
      </c>
      <c r="AG5933">
        <v>1</v>
      </c>
      <c r="AH5933">
        <v>0</v>
      </c>
      <c r="AI5933">
        <v>387.15</v>
      </c>
      <c r="AL5933" t="s">
        <v>19614</v>
      </c>
      <c r="AM5933">
        <v>47000</v>
      </c>
      <c r="AS5933">
        <v>1.3</v>
      </c>
      <c r="AT5933" t="s">
        <v>313</v>
      </c>
      <c r="AU5933" t="s">
        <v>130</v>
      </c>
      <c r="AV5933" t="s">
        <v>20733</v>
      </c>
    </row>
    <row r="5934" spans="1:48">
      <c r="A5934" s="1">
        <f>HYPERLINK("https://lsnyc.legalserver.org/matter/dynamic-profile/view/1880592","18-1880592")</f>
        <v>0</v>
      </c>
      <c r="B5934" t="s">
        <v>103</v>
      </c>
      <c r="C5934" t="s">
        <v>256</v>
      </c>
      <c r="D5934" t="s">
        <v>477</v>
      </c>
      <c r="F5934" t="s">
        <v>1280</v>
      </c>
      <c r="G5934" t="s">
        <v>4463</v>
      </c>
      <c r="H5934" t="s">
        <v>6413</v>
      </c>
      <c r="I5934" t="s">
        <v>8302</v>
      </c>
      <c r="J5934" t="s">
        <v>9065</v>
      </c>
      <c r="K5934">
        <v>10456</v>
      </c>
      <c r="L5934" t="s">
        <v>9094</v>
      </c>
      <c r="M5934" t="s">
        <v>9094</v>
      </c>
      <c r="N5934" t="s">
        <v>9732</v>
      </c>
      <c r="O5934" t="s">
        <v>11134</v>
      </c>
      <c r="P5934" t="s">
        <v>11168</v>
      </c>
      <c r="R5934" t="s">
        <v>11180</v>
      </c>
      <c r="S5934" t="s">
        <v>9094</v>
      </c>
      <c r="T5934" t="s">
        <v>11183</v>
      </c>
      <c r="V5934" t="s">
        <v>738</v>
      </c>
      <c r="W5934">
        <v>1200</v>
      </c>
      <c r="X5934" t="s">
        <v>11333</v>
      </c>
      <c r="Z5934" t="s">
        <v>13107</v>
      </c>
      <c r="AB5934" t="s">
        <v>17467</v>
      </c>
      <c r="AC5934">
        <v>61</v>
      </c>
      <c r="AD5934" t="s">
        <v>19566</v>
      </c>
      <c r="AE5934" t="s">
        <v>9144</v>
      </c>
      <c r="AF5934">
        <v>25</v>
      </c>
      <c r="AG5934">
        <v>2</v>
      </c>
      <c r="AH5934">
        <v>0</v>
      </c>
      <c r="AI5934">
        <v>387.61</v>
      </c>
      <c r="AL5934" t="s">
        <v>19614</v>
      </c>
      <c r="AM5934">
        <v>63800</v>
      </c>
      <c r="AS5934">
        <v>0.5</v>
      </c>
      <c r="AT5934" t="s">
        <v>335</v>
      </c>
      <c r="AU5934" t="s">
        <v>20642</v>
      </c>
    </row>
    <row r="5935" spans="1:48">
      <c r="A5935" s="1">
        <f>HYPERLINK("https://lsnyc.legalserver.org/matter/dynamic-profile/view/1846325","17-1846325")</f>
        <v>0</v>
      </c>
      <c r="B5935" t="s">
        <v>135</v>
      </c>
      <c r="C5935" t="s">
        <v>257</v>
      </c>
      <c r="D5935" t="s">
        <v>527</v>
      </c>
      <c r="E5935" t="s">
        <v>334</v>
      </c>
      <c r="F5935" t="s">
        <v>2578</v>
      </c>
      <c r="G5935" t="s">
        <v>5532</v>
      </c>
      <c r="H5935" t="s">
        <v>5991</v>
      </c>
      <c r="I5935" t="s">
        <v>8192</v>
      </c>
      <c r="J5935" t="s">
        <v>9067</v>
      </c>
      <c r="K5935">
        <v>10035</v>
      </c>
      <c r="L5935" t="s">
        <v>9094</v>
      </c>
      <c r="M5935" t="s">
        <v>9094</v>
      </c>
      <c r="N5935" t="s">
        <v>9308</v>
      </c>
      <c r="O5935" t="s">
        <v>11130</v>
      </c>
      <c r="P5935" t="s">
        <v>11165</v>
      </c>
      <c r="Q5935" t="s">
        <v>11174</v>
      </c>
      <c r="R5935" t="s">
        <v>11180</v>
      </c>
      <c r="S5935" t="s">
        <v>9094</v>
      </c>
      <c r="T5935" t="s">
        <v>11183</v>
      </c>
      <c r="U5935" t="s">
        <v>11201</v>
      </c>
      <c r="V5935" t="s">
        <v>527</v>
      </c>
      <c r="W5935">
        <v>2600</v>
      </c>
      <c r="X5935" t="s">
        <v>11335</v>
      </c>
      <c r="Y5935" t="s">
        <v>11339</v>
      </c>
      <c r="Z5935" t="s">
        <v>15052</v>
      </c>
      <c r="AB5935" t="s">
        <v>19356</v>
      </c>
      <c r="AC5935">
        <v>35</v>
      </c>
      <c r="AD5935" t="s">
        <v>19566</v>
      </c>
      <c r="AE5935" t="s">
        <v>9144</v>
      </c>
      <c r="AF5935">
        <v>1</v>
      </c>
      <c r="AG5935">
        <v>1</v>
      </c>
      <c r="AH5935">
        <v>0</v>
      </c>
      <c r="AI5935">
        <v>388.06</v>
      </c>
      <c r="AL5935" t="s">
        <v>19614</v>
      </c>
      <c r="AM5935">
        <v>46800</v>
      </c>
      <c r="AO5935" t="s">
        <v>20294</v>
      </c>
      <c r="AP5935" t="s">
        <v>20323</v>
      </c>
      <c r="AQ5935" t="s">
        <v>20369</v>
      </c>
      <c r="AR5935" t="s">
        <v>20398</v>
      </c>
      <c r="AS5935">
        <v>2.1</v>
      </c>
      <c r="AT5935" t="s">
        <v>543</v>
      </c>
      <c r="AU5935" t="s">
        <v>20657</v>
      </c>
      <c r="AV5935" t="s">
        <v>20733</v>
      </c>
    </row>
    <row r="5936" spans="1:48">
      <c r="A5936" s="1">
        <f>HYPERLINK("https://lsnyc.legalserver.org/matter/dynamic-profile/view/1905687","19-1905687")</f>
        <v>0</v>
      </c>
      <c r="B5936" t="s">
        <v>82</v>
      </c>
      <c r="C5936" t="s">
        <v>256</v>
      </c>
      <c r="D5936" t="s">
        <v>328</v>
      </c>
      <c r="F5936" t="s">
        <v>1209</v>
      </c>
      <c r="G5936" t="s">
        <v>5533</v>
      </c>
      <c r="H5936" t="s">
        <v>6393</v>
      </c>
      <c r="I5936" t="s">
        <v>8192</v>
      </c>
      <c r="J5936" t="s">
        <v>9059</v>
      </c>
      <c r="K5936">
        <v>11226</v>
      </c>
      <c r="L5936" t="s">
        <v>9094</v>
      </c>
      <c r="M5936" t="s">
        <v>9095</v>
      </c>
      <c r="O5936" t="s">
        <v>11134</v>
      </c>
      <c r="P5936" t="s">
        <v>11168</v>
      </c>
      <c r="R5936" t="s">
        <v>11180</v>
      </c>
      <c r="S5936" t="s">
        <v>9094</v>
      </c>
      <c r="T5936" t="s">
        <v>11183</v>
      </c>
      <c r="V5936" t="s">
        <v>328</v>
      </c>
      <c r="W5936">
        <v>0</v>
      </c>
      <c r="X5936" t="s">
        <v>11332</v>
      </c>
      <c r="Z5936" t="s">
        <v>15053</v>
      </c>
      <c r="AC5936">
        <v>36</v>
      </c>
      <c r="AF5936">
        <v>0</v>
      </c>
      <c r="AG5936">
        <v>3</v>
      </c>
      <c r="AH5936">
        <v>1</v>
      </c>
      <c r="AI5936">
        <v>388.35</v>
      </c>
      <c r="AL5936" t="s">
        <v>19614</v>
      </c>
      <c r="AM5936">
        <v>100000</v>
      </c>
      <c r="AS5936">
        <v>0.2</v>
      </c>
      <c r="AT5936" t="s">
        <v>328</v>
      </c>
      <c r="AU5936" t="s">
        <v>67</v>
      </c>
    </row>
    <row r="5937" spans="1:48">
      <c r="A5937" s="1">
        <f>HYPERLINK("https://lsnyc.legalserver.org/matter/dynamic-profile/view/1900428","19-1900428")</f>
        <v>0</v>
      </c>
      <c r="B5937" t="s">
        <v>82</v>
      </c>
      <c r="C5937" t="s">
        <v>256</v>
      </c>
      <c r="D5937" t="s">
        <v>262</v>
      </c>
      <c r="F5937" t="s">
        <v>1209</v>
      </c>
      <c r="G5937" t="s">
        <v>5533</v>
      </c>
      <c r="H5937" t="s">
        <v>6393</v>
      </c>
      <c r="I5937" t="s">
        <v>8192</v>
      </c>
      <c r="J5937" t="s">
        <v>9059</v>
      </c>
      <c r="K5937">
        <v>11226</v>
      </c>
      <c r="L5937" t="s">
        <v>9094</v>
      </c>
      <c r="M5937" t="s">
        <v>9095</v>
      </c>
      <c r="N5937" t="s">
        <v>10657</v>
      </c>
      <c r="O5937" t="s">
        <v>11130</v>
      </c>
      <c r="P5937" t="s">
        <v>11165</v>
      </c>
      <c r="R5937" t="s">
        <v>11180</v>
      </c>
      <c r="S5937" t="s">
        <v>9094</v>
      </c>
      <c r="T5937" t="s">
        <v>11183</v>
      </c>
      <c r="U5937" t="s">
        <v>11201</v>
      </c>
      <c r="V5937" t="s">
        <v>262</v>
      </c>
      <c r="W5937">
        <v>2125</v>
      </c>
      <c r="X5937" t="s">
        <v>11332</v>
      </c>
      <c r="Y5937" t="s">
        <v>11339</v>
      </c>
      <c r="Z5937" t="s">
        <v>15053</v>
      </c>
      <c r="AC5937">
        <v>36</v>
      </c>
      <c r="AD5937" t="s">
        <v>19566</v>
      </c>
      <c r="AE5937" t="s">
        <v>9144</v>
      </c>
      <c r="AF5937">
        <v>-1</v>
      </c>
      <c r="AG5937">
        <v>3</v>
      </c>
      <c r="AH5937">
        <v>1</v>
      </c>
      <c r="AI5937">
        <v>388.35</v>
      </c>
      <c r="AL5937" t="s">
        <v>19614</v>
      </c>
      <c r="AM5937">
        <v>100000</v>
      </c>
      <c r="AS5937">
        <v>0.2</v>
      </c>
      <c r="AT5937" t="s">
        <v>262</v>
      </c>
      <c r="AU5937" t="s">
        <v>67</v>
      </c>
      <c r="AV5937" t="s">
        <v>20733</v>
      </c>
    </row>
    <row r="5938" spans="1:48">
      <c r="A5938" s="1">
        <f>HYPERLINK("https://lsnyc.legalserver.org/matter/dynamic-profile/view/1871869","18-1871869")</f>
        <v>0</v>
      </c>
      <c r="B5938" t="s">
        <v>86</v>
      </c>
      <c r="C5938" t="s">
        <v>256</v>
      </c>
      <c r="D5938" t="s">
        <v>871</v>
      </c>
      <c r="F5938" t="s">
        <v>3227</v>
      </c>
      <c r="G5938" t="s">
        <v>2216</v>
      </c>
      <c r="H5938" t="s">
        <v>5786</v>
      </c>
      <c r="I5938" t="s">
        <v>8606</v>
      </c>
      <c r="J5938" t="s">
        <v>9059</v>
      </c>
      <c r="K5938">
        <v>11225</v>
      </c>
      <c r="L5938" t="s">
        <v>9096</v>
      </c>
      <c r="M5938" t="s">
        <v>9095</v>
      </c>
      <c r="N5938" t="s">
        <v>10933</v>
      </c>
      <c r="O5938" t="s">
        <v>11130</v>
      </c>
      <c r="P5938" t="s">
        <v>11165</v>
      </c>
      <c r="R5938" t="s">
        <v>11180</v>
      </c>
      <c r="S5938" t="s">
        <v>9094</v>
      </c>
      <c r="T5938" t="s">
        <v>11183</v>
      </c>
      <c r="V5938" t="s">
        <v>11212</v>
      </c>
      <c r="W5938">
        <v>1918</v>
      </c>
      <c r="X5938" t="s">
        <v>11332</v>
      </c>
      <c r="Y5938" t="s">
        <v>11346</v>
      </c>
      <c r="Z5938" t="s">
        <v>15054</v>
      </c>
      <c r="AC5938">
        <v>51</v>
      </c>
      <c r="AD5938" t="s">
        <v>19566</v>
      </c>
      <c r="AF5938">
        <v>6</v>
      </c>
      <c r="AG5938">
        <v>2</v>
      </c>
      <c r="AH5938">
        <v>0</v>
      </c>
      <c r="AI5938">
        <v>388.82</v>
      </c>
      <c r="AL5938" t="s">
        <v>19614</v>
      </c>
      <c r="AM5938">
        <v>64000</v>
      </c>
      <c r="AS5938">
        <v>0</v>
      </c>
      <c r="AU5938" t="s">
        <v>20630</v>
      </c>
      <c r="AV5938" t="s">
        <v>9144</v>
      </c>
    </row>
    <row r="5939" spans="1:48">
      <c r="A5939" s="1">
        <f>HYPERLINK("https://lsnyc.legalserver.org/matter/dynamic-profile/view/1842715","17-1842715")</f>
        <v>0</v>
      </c>
      <c r="B5939" t="s">
        <v>64</v>
      </c>
      <c r="C5939" t="s">
        <v>256</v>
      </c>
      <c r="D5939" t="s">
        <v>851</v>
      </c>
      <c r="F5939" t="s">
        <v>2778</v>
      </c>
      <c r="G5939" t="s">
        <v>3344</v>
      </c>
      <c r="H5939" t="s">
        <v>6209</v>
      </c>
      <c r="I5939" t="s">
        <v>8229</v>
      </c>
      <c r="J5939" t="s">
        <v>9059</v>
      </c>
      <c r="K5939">
        <v>11233</v>
      </c>
      <c r="L5939" t="s">
        <v>9094</v>
      </c>
      <c r="M5939" t="s">
        <v>9095</v>
      </c>
      <c r="N5939" t="s">
        <v>11093</v>
      </c>
      <c r="O5939" t="s">
        <v>11128</v>
      </c>
      <c r="P5939" t="s">
        <v>11165</v>
      </c>
      <c r="R5939" t="s">
        <v>11180</v>
      </c>
      <c r="S5939" t="s">
        <v>9094</v>
      </c>
      <c r="T5939" t="s">
        <v>11183</v>
      </c>
      <c r="V5939" t="s">
        <v>851</v>
      </c>
      <c r="W5939">
        <v>625.14</v>
      </c>
      <c r="X5939" t="s">
        <v>11332</v>
      </c>
      <c r="Y5939" t="s">
        <v>11339</v>
      </c>
      <c r="Z5939" t="s">
        <v>15055</v>
      </c>
      <c r="AB5939" t="s">
        <v>19357</v>
      </c>
      <c r="AC5939">
        <v>36</v>
      </c>
      <c r="AD5939" t="s">
        <v>19566</v>
      </c>
      <c r="AE5939" t="s">
        <v>9144</v>
      </c>
      <c r="AF5939">
        <v>3</v>
      </c>
      <c r="AG5939">
        <v>1</v>
      </c>
      <c r="AH5939">
        <v>0</v>
      </c>
      <c r="AI5939">
        <v>389.72</v>
      </c>
      <c r="AJ5939" t="s">
        <v>11246</v>
      </c>
      <c r="AK5939" t="s">
        <v>19609</v>
      </c>
      <c r="AL5939" t="s">
        <v>19614</v>
      </c>
      <c r="AM5939">
        <v>47000</v>
      </c>
      <c r="AS5939">
        <v>89.40000000000001</v>
      </c>
      <c r="AT5939" t="s">
        <v>694</v>
      </c>
      <c r="AU5939" t="s">
        <v>20685</v>
      </c>
    </row>
    <row r="5940" spans="1:48">
      <c r="A5940" s="1">
        <f>HYPERLINK("https://lsnyc.legalserver.org/matter/dynamic-profile/view/1859473","18-1859473")</f>
        <v>0</v>
      </c>
      <c r="B5940" t="s">
        <v>65</v>
      </c>
      <c r="C5940" t="s">
        <v>257</v>
      </c>
      <c r="D5940" t="s">
        <v>638</v>
      </c>
      <c r="E5940" t="s">
        <v>259</v>
      </c>
      <c r="F5940" t="s">
        <v>2288</v>
      </c>
      <c r="G5940" t="s">
        <v>5534</v>
      </c>
      <c r="H5940" t="s">
        <v>7157</v>
      </c>
      <c r="I5940" t="s">
        <v>8304</v>
      </c>
      <c r="J5940" t="s">
        <v>9059</v>
      </c>
      <c r="K5940">
        <v>11226</v>
      </c>
      <c r="L5940" t="s">
        <v>9094</v>
      </c>
      <c r="M5940" t="s">
        <v>9095</v>
      </c>
      <c r="N5940" t="s">
        <v>11094</v>
      </c>
      <c r="O5940" t="s">
        <v>11128</v>
      </c>
      <c r="P5940" t="s">
        <v>11165</v>
      </c>
      <c r="Q5940" t="s">
        <v>11174</v>
      </c>
      <c r="R5940" t="s">
        <v>11180</v>
      </c>
      <c r="S5940" t="s">
        <v>9096</v>
      </c>
      <c r="T5940" t="s">
        <v>11183</v>
      </c>
      <c r="V5940" t="s">
        <v>675</v>
      </c>
      <c r="W5940">
        <v>1090</v>
      </c>
      <c r="X5940" t="s">
        <v>11332</v>
      </c>
      <c r="Y5940" t="s">
        <v>11346</v>
      </c>
      <c r="Z5940" t="s">
        <v>15056</v>
      </c>
      <c r="AB5940" t="s">
        <v>19358</v>
      </c>
      <c r="AC5940">
        <v>46</v>
      </c>
      <c r="AD5940" t="s">
        <v>19566</v>
      </c>
      <c r="AE5940" t="s">
        <v>9144</v>
      </c>
      <c r="AF5940">
        <v>10</v>
      </c>
      <c r="AG5940">
        <v>1</v>
      </c>
      <c r="AH5940">
        <v>0</v>
      </c>
      <c r="AI5940">
        <v>389.72</v>
      </c>
      <c r="AJ5940" t="s">
        <v>919</v>
      </c>
      <c r="AL5940" t="s">
        <v>19614</v>
      </c>
      <c r="AM5940">
        <v>47000</v>
      </c>
      <c r="AO5940" t="s">
        <v>20292</v>
      </c>
      <c r="AP5940" t="s">
        <v>20367</v>
      </c>
      <c r="AQ5940" t="s">
        <v>20369</v>
      </c>
      <c r="AR5940" t="s">
        <v>20523</v>
      </c>
      <c r="AS5940">
        <v>46.45</v>
      </c>
      <c r="AT5940" t="s">
        <v>426</v>
      </c>
      <c r="AU5940" t="s">
        <v>20630</v>
      </c>
      <c r="AV5940" t="s">
        <v>20733</v>
      </c>
    </row>
    <row r="5941" spans="1:48">
      <c r="A5941" s="1">
        <f>HYPERLINK("https://lsnyc.legalserver.org/matter/dynamic-profile/view/1899097","19-1899097")</f>
        <v>0</v>
      </c>
      <c r="B5941" t="s">
        <v>65</v>
      </c>
      <c r="C5941" t="s">
        <v>256</v>
      </c>
      <c r="D5941" t="s">
        <v>492</v>
      </c>
      <c r="F5941" t="s">
        <v>3228</v>
      </c>
      <c r="G5941" t="s">
        <v>5535</v>
      </c>
      <c r="H5941" t="s">
        <v>7619</v>
      </c>
      <c r="I5941" t="s">
        <v>8857</v>
      </c>
      <c r="J5941" t="s">
        <v>9059</v>
      </c>
      <c r="K5941">
        <v>11226</v>
      </c>
      <c r="L5941" t="s">
        <v>9094</v>
      </c>
      <c r="M5941" t="s">
        <v>9095</v>
      </c>
      <c r="O5941" t="s">
        <v>11137</v>
      </c>
      <c r="P5941" t="s">
        <v>11166</v>
      </c>
      <c r="R5941" t="s">
        <v>11180</v>
      </c>
      <c r="S5941" t="s">
        <v>9094</v>
      </c>
      <c r="T5941" t="s">
        <v>11183</v>
      </c>
      <c r="U5941" t="s">
        <v>11201</v>
      </c>
      <c r="V5941" t="s">
        <v>492</v>
      </c>
      <c r="W5941">
        <v>0</v>
      </c>
      <c r="X5941" t="s">
        <v>11332</v>
      </c>
      <c r="Y5941" t="s">
        <v>11340</v>
      </c>
      <c r="Z5941" t="s">
        <v>15057</v>
      </c>
      <c r="AB5941" t="s">
        <v>19359</v>
      </c>
      <c r="AC5941">
        <v>32</v>
      </c>
      <c r="AD5941" t="s">
        <v>19566</v>
      </c>
      <c r="AF5941">
        <v>0</v>
      </c>
      <c r="AG5941">
        <v>2</v>
      </c>
      <c r="AH5941">
        <v>0</v>
      </c>
      <c r="AI5941">
        <v>390.3</v>
      </c>
      <c r="AJ5941" t="s">
        <v>265</v>
      </c>
      <c r="AK5941" t="s">
        <v>19612</v>
      </c>
      <c r="AL5941" t="s">
        <v>19614</v>
      </c>
      <c r="AM5941">
        <v>66000</v>
      </c>
      <c r="AS5941">
        <v>28</v>
      </c>
      <c r="AT5941" t="s">
        <v>331</v>
      </c>
      <c r="AU5941" t="s">
        <v>215</v>
      </c>
      <c r="AV5941" t="s">
        <v>20733</v>
      </c>
    </row>
    <row r="5942" spans="1:48">
      <c r="A5942" s="1">
        <f>HYPERLINK("https://lsnyc.legalserver.org/matter/dynamic-profile/view/1895821","19-1895821")</f>
        <v>0</v>
      </c>
      <c r="B5942" t="s">
        <v>65</v>
      </c>
      <c r="C5942" t="s">
        <v>257</v>
      </c>
      <c r="D5942" t="s">
        <v>376</v>
      </c>
      <c r="E5942" t="s">
        <v>426</v>
      </c>
      <c r="F5942" t="s">
        <v>3228</v>
      </c>
      <c r="G5942" t="s">
        <v>5535</v>
      </c>
      <c r="H5942" t="s">
        <v>7619</v>
      </c>
      <c r="I5942" t="s">
        <v>8857</v>
      </c>
      <c r="J5942" t="s">
        <v>9059</v>
      </c>
      <c r="K5942">
        <v>11226</v>
      </c>
      <c r="L5942" t="s">
        <v>9094</v>
      </c>
      <c r="M5942" t="s">
        <v>9094</v>
      </c>
      <c r="N5942" t="s">
        <v>11095</v>
      </c>
      <c r="O5942" t="s">
        <v>11129</v>
      </c>
      <c r="P5942" t="s">
        <v>11165</v>
      </c>
      <c r="Q5942" t="s">
        <v>11174</v>
      </c>
      <c r="R5942" t="s">
        <v>11180</v>
      </c>
      <c r="S5942" t="s">
        <v>9096</v>
      </c>
      <c r="T5942" t="s">
        <v>11183</v>
      </c>
      <c r="U5942" t="s">
        <v>11199</v>
      </c>
      <c r="V5942" t="s">
        <v>264</v>
      </c>
      <c r="W5942">
        <v>0</v>
      </c>
      <c r="X5942" t="s">
        <v>11332</v>
      </c>
      <c r="Y5942" t="s">
        <v>11340</v>
      </c>
      <c r="Z5942" t="s">
        <v>15057</v>
      </c>
      <c r="AB5942" t="s">
        <v>19359</v>
      </c>
      <c r="AC5942">
        <v>32</v>
      </c>
      <c r="AD5942" t="s">
        <v>19566</v>
      </c>
      <c r="AF5942">
        <v>0</v>
      </c>
      <c r="AG5942">
        <v>2</v>
      </c>
      <c r="AH5942">
        <v>0</v>
      </c>
      <c r="AI5942">
        <v>390.3</v>
      </c>
      <c r="AJ5942" t="s">
        <v>265</v>
      </c>
      <c r="AK5942" t="s">
        <v>19612</v>
      </c>
      <c r="AL5942" t="s">
        <v>19614</v>
      </c>
      <c r="AM5942">
        <v>66000</v>
      </c>
      <c r="AO5942" t="s">
        <v>20294</v>
      </c>
      <c r="AP5942" t="s">
        <v>20317</v>
      </c>
      <c r="AQ5942" t="s">
        <v>20369</v>
      </c>
      <c r="AR5942" t="s">
        <v>20578</v>
      </c>
      <c r="AS5942">
        <v>7.95</v>
      </c>
      <c r="AT5942" t="s">
        <v>598</v>
      </c>
      <c r="AU5942" t="s">
        <v>215</v>
      </c>
      <c r="AV5942" t="s">
        <v>20733</v>
      </c>
    </row>
    <row r="5943" spans="1:48">
      <c r="A5943" s="1">
        <f>HYPERLINK("https://lsnyc.legalserver.org/matter/dynamic-profile/view/0785443","15-0785443")</f>
        <v>0</v>
      </c>
      <c r="B5943" t="s">
        <v>108</v>
      </c>
      <c r="C5943" t="s">
        <v>256</v>
      </c>
      <c r="D5943" t="s">
        <v>1125</v>
      </c>
      <c r="F5943" t="s">
        <v>1231</v>
      </c>
      <c r="G5943" t="s">
        <v>4173</v>
      </c>
      <c r="H5943" t="s">
        <v>5897</v>
      </c>
      <c r="I5943" t="s">
        <v>8727</v>
      </c>
      <c r="J5943" t="s">
        <v>9065</v>
      </c>
      <c r="K5943">
        <v>10452</v>
      </c>
      <c r="L5943" t="s">
        <v>9094</v>
      </c>
      <c r="M5943" t="s">
        <v>9095</v>
      </c>
      <c r="N5943" t="s">
        <v>9250</v>
      </c>
      <c r="O5943" t="s">
        <v>11132</v>
      </c>
      <c r="P5943" t="s">
        <v>11165</v>
      </c>
      <c r="R5943" t="s">
        <v>11180</v>
      </c>
      <c r="S5943" t="s">
        <v>9094</v>
      </c>
      <c r="T5943" t="s">
        <v>11183</v>
      </c>
      <c r="V5943" t="s">
        <v>11224</v>
      </c>
      <c r="W5943">
        <v>749.49</v>
      </c>
      <c r="X5943" t="s">
        <v>11333</v>
      </c>
      <c r="Z5943" t="s">
        <v>15041</v>
      </c>
      <c r="AB5943" t="s">
        <v>19349</v>
      </c>
      <c r="AC5943">
        <v>122</v>
      </c>
      <c r="AD5943" t="s">
        <v>19566</v>
      </c>
      <c r="AF5943">
        <v>23</v>
      </c>
      <c r="AG5943">
        <v>1</v>
      </c>
      <c r="AH5943">
        <v>0</v>
      </c>
      <c r="AI5943">
        <v>390.82</v>
      </c>
      <c r="AL5943" t="s">
        <v>19614</v>
      </c>
      <c r="AM5943">
        <v>46000</v>
      </c>
      <c r="AS5943">
        <v>2.2</v>
      </c>
      <c r="AT5943" t="s">
        <v>507</v>
      </c>
      <c r="AU5943" t="s">
        <v>109</v>
      </c>
    </row>
    <row r="5944" spans="1:48">
      <c r="A5944" s="1">
        <f>HYPERLINK("https://lsnyc.legalserver.org/matter/dynamic-profile/view/1898331","19-1898331")</f>
        <v>0</v>
      </c>
      <c r="B5944" t="s">
        <v>165</v>
      </c>
      <c r="C5944" t="s">
        <v>256</v>
      </c>
      <c r="D5944" t="s">
        <v>596</v>
      </c>
      <c r="F5944" t="s">
        <v>3229</v>
      </c>
      <c r="G5944" t="s">
        <v>5536</v>
      </c>
      <c r="H5944" t="s">
        <v>6934</v>
      </c>
      <c r="I5944" t="s">
        <v>8348</v>
      </c>
      <c r="J5944" t="s">
        <v>9059</v>
      </c>
      <c r="K5944">
        <v>11216</v>
      </c>
      <c r="L5944" t="s">
        <v>9094</v>
      </c>
      <c r="M5944" t="s">
        <v>9094</v>
      </c>
      <c r="N5944" t="s">
        <v>10050</v>
      </c>
      <c r="O5944" t="s">
        <v>11132</v>
      </c>
      <c r="P5944" t="s">
        <v>11165</v>
      </c>
      <c r="R5944" t="s">
        <v>11180</v>
      </c>
      <c r="S5944" t="s">
        <v>9094</v>
      </c>
      <c r="T5944" t="s">
        <v>11183</v>
      </c>
      <c r="U5944" t="s">
        <v>11201</v>
      </c>
      <c r="V5944" t="s">
        <v>598</v>
      </c>
      <c r="W5944">
        <v>2200</v>
      </c>
      <c r="X5944" t="s">
        <v>11332</v>
      </c>
      <c r="Y5944" t="s">
        <v>11339</v>
      </c>
      <c r="Z5944" t="s">
        <v>15058</v>
      </c>
      <c r="AB5944" t="s">
        <v>19360</v>
      </c>
      <c r="AC5944">
        <v>82</v>
      </c>
      <c r="AD5944" t="s">
        <v>19566</v>
      </c>
      <c r="AE5944" t="s">
        <v>9144</v>
      </c>
      <c r="AF5944">
        <v>0</v>
      </c>
      <c r="AG5944">
        <v>1</v>
      </c>
      <c r="AH5944">
        <v>0</v>
      </c>
      <c r="AI5944">
        <v>391.71</v>
      </c>
      <c r="AL5944" t="s">
        <v>19614</v>
      </c>
      <c r="AM5944">
        <v>48925</v>
      </c>
      <c r="AN5944" t="s">
        <v>20208</v>
      </c>
      <c r="AS5944">
        <v>0</v>
      </c>
      <c r="AU5944" t="s">
        <v>95</v>
      </c>
    </row>
    <row r="5945" spans="1:48">
      <c r="A5945" s="1">
        <f>HYPERLINK("https://lsnyc.legalserver.org/matter/dynamic-profile/view/1898333","19-1898333")</f>
        <v>0</v>
      </c>
      <c r="B5945" t="s">
        <v>165</v>
      </c>
      <c r="C5945" t="s">
        <v>256</v>
      </c>
      <c r="D5945" t="s">
        <v>596</v>
      </c>
      <c r="F5945" t="s">
        <v>3229</v>
      </c>
      <c r="G5945" t="s">
        <v>5536</v>
      </c>
      <c r="H5945" t="s">
        <v>6934</v>
      </c>
      <c r="I5945" t="s">
        <v>8348</v>
      </c>
      <c r="J5945" t="s">
        <v>9059</v>
      </c>
      <c r="K5945">
        <v>11216</v>
      </c>
      <c r="L5945" t="s">
        <v>9094</v>
      </c>
      <c r="M5945" t="s">
        <v>9094</v>
      </c>
      <c r="O5945" t="s">
        <v>11137</v>
      </c>
      <c r="P5945" t="s">
        <v>11167</v>
      </c>
      <c r="R5945" t="s">
        <v>11180</v>
      </c>
      <c r="S5945" t="s">
        <v>9094</v>
      </c>
      <c r="T5945" t="s">
        <v>11183</v>
      </c>
      <c r="U5945" t="s">
        <v>11201</v>
      </c>
      <c r="V5945" t="s">
        <v>598</v>
      </c>
      <c r="W5945">
        <v>2200</v>
      </c>
      <c r="X5945" t="s">
        <v>11332</v>
      </c>
      <c r="Y5945" t="s">
        <v>11339</v>
      </c>
      <c r="Z5945" t="s">
        <v>15058</v>
      </c>
      <c r="AB5945" t="s">
        <v>19360</v>
      </c>
      <c r="AC5945">
        <v>82</v>
      </c>
      <c r="AD5945" t="s">
        <v>19566</v>
      </c>
      <c r="AE5945" t="s">
        <v>9144</v>
      </c>
      <c r="AF5945">
        <v>0</v>
      </c>
      <c r="AG5945">
        <v>1</v>
      </c>
      <c r="AH5945">
        <v>0</v>
      </c>
      <c r="AI5945">
        <v>391.71</v>
      </c>
      <c r="AL5945" t="s">
        <v>19614</v>
      </c>
      <c r="AM5945">
        <v>48925</v>
      </c>
      <c r="AN5945" t="s">
        <v>20209</v>
      </c>
      <c r="AS5945">
        <v>0</v>
      </c>
      <c r="AU5945" t="s">
        <v>95</v>
      </c>
    </row>
    <row r="5946" spans="1:48">
      <c r="A5946" s="1">
        <f>HYPERLINK("https://lsnyc.legalserver.org/matter/dynamic-profile/view/0815733","16-0815733")</f>
        <v>0</v>
      </c>
      <c r="B5946" t="s">
        <v>195</v>
      </c>
      <c r="C5946" t="s">
        <v>256</v>
      </c>
      <c r="D5946" t="s">
        <v>1126</v>
      </c>
      <c r="F5946" t="s">
        <v>1200</v>
      </c>
      <c r="G5946" t="s">
        <v>3497</v>
      </c>
      <c r="H5946" t="s">
        <v>8063</v>
      </c>
      <c r="I5946" t="s">
        <v>9008</v>
      </c>
      <c r="J5946" t="s">
        <v>9067</v>
      </c>
      <c r="K5946">
        <v>10031</v>
      </c>
      <c r="L5946" t="s">
        <v>9094</v>
      </c>
      <c r="M5946" t="s">
        <v>9095</v>
      </c>
      <c r="P5946" t="s">
        <v>11165</v>
      </c>
      <c r="R5946" t="s">
        <v>11180</v>
      </c>
      <c r="T5946" t="s">
        <v>11183</v>
      </c>
      <c r="V5946" t="s">
        <v>707</v>
      </c>
      <c r="W5946">
        <v>0</v>
      </c>
      <c r="X5946" t="s">
        <v>11335</v>
      </c>
      <c r="Z5946" t="s">
        <v>12161</v>
      </c>
      <c r="AB5946" t="s">
        <v>19361</v>
      </c>
      <c r="AC5946">
        <v>0</v>
      </c>
      <c r="AF5946">
        <v>0</v>
      </c>
      <c r="AG5946">
        <v>1</v>
      </c>
      <c r="AH5946">
        <v>0</v>
      </c>
      <c r="AI5946">
        <v>392.03</v>
      </c>
      <c r="AL5946" t="s">
        <v>19614</v>
      </c>
      <c r="AM5946">
        <v>46573</v>
      </c>
      <c r="AS5946">
        <v>43.05</v>
      </c>
      <c r="AT5946" t="s">
        <v>20589</v>
      </c>
      <c r="AU5946" t="s">
        <v>20663</v>
      </c>
    </row>
    <row r="5947" spans="1:48">
      <c r="A5947" s="1">
        <f>HYPERLINK("https://lsnyc.legalserver.org/matter/dynamic-profile/view/1904020","19-1904020")</f>
        <v>0</v>
      </c>
      <c r="B5947" t="s">
        <v>157</v>
      </c>
      <c r="C5947" t="s">
        <v>257</v>
      </c>
      <c r="D5947" t="s">
        <v>663</v>
      </c>
      <c r="E5947" t="s">
        <v>370</v>
      </c>
      <c r="F5947" t="s">
        <v>3230</v>
      </c>
      <c r="G5947" t="s">
        <v>5537</v>
      </c>
      <c r="H5947" t="s">
        <v>8064</v>
      </c>
      <c r="I5947" t="s">
        <v>8191</v>
      </c>
      <c r="J5947" t="s">
        <v>9059</v>
      </c>
      <c r="K5947">
        <v>11238</v>
      </c>
      <c r="L5947" t="s">
        <v>9094</v>
      </c>
      <c r="M5947" t="s">
        <v>9095</v>
      </c>
      <c r="O5947" t="s">
        <v>11141</v>
      </c>
      <c r="P5947" t="s">
        <v>11164</v>
      </c>
      <c r="Q5947" t="s">
        <v>11172</v>
      </c>
      <c r="R5947" t="s">
        <v>11180</v>
      </c>
      <c r="S5947" t="s">
        <v>9096</v>
      </c>
      <c r="T5947" t="s">
        <v>11193</v>
      </c>
      <c r="V5947" t="s">
        <v>370</v>
      </c>
      <c r="W5947">
        <v>0</v>
      </c>
      <c r="X5947" t="s">
        <v>11332</v>
      </c>
      <c r="Z5947" t="s">
        <v>15059</v>
      </c>
      <c r="AC5947">
        <v>8</v>
      </c>
      <c r="AF5947">
        <v>0</v>
      </c>
      <c r="AG5947">
        <v>1</v>
      </c>
      <c r="AH5947">
        <v>0</v>
      </c>
      <c r="AI5947">
        <v>392.31</v>
      </c>
      <c r="AL5947" t="s">
        <v>19614</v>
      </c>
      <c r="AM5947">
        <v>49000</v>
      </c>
      <c r="AS5947">
        <v>3.5</v>
      </c>
      <c r="AT5947" t="s">
        <v>395</v>
      </c>
      <c r="AU5947" t="s">
        <v>20635</v>
      </c>
      <c r="AV5947" t="s">
        <v>20733</v>
      </c>
    </row>
    <row r="5948" spans="1:48">
      <c r="A5948" s="1">
        <f>HYPERLINK("https://lsnyc.legalserver.org/matter/dynamic-profile/view/1898368","19-1898368")</f>
        <v>0</v>
      </c>
      <c r="B5948" t="s">
        <v>70</v>
      </c>
      <c r="C5948" t="s">
        <v>256</v>
      </c>
      <c r="D5948" t="s">
        <v>299</v>
      </c>
      <c r="F5948" t="s">
        <v>3231</v>
      </c>
      <c r="G5948" t="s">
        <v>5538</v>
      </c>
      <c r="H5948" t="s">
        <v>6474</v>
      </c>
      <c r="I5948" t="s">
        <v>9009</v>
      </c>
      <c r="J5948" t="s">
        <v>9059</v>
      </c>
      <c r="K5948">
        <v>11233</v>
      </c>
      <c r="L5948" t="s">
        <v>9094</v>
      </c>
      <c r="M5948" t="s">
        <v>9096</v>
      </c>
      <c r="N5948" t="s">
        <v>9146</v>
      </c>
      <c r="O5948" t="s">
        <v>11134</v>
      </c>
      <c r="P5948" t="s">
        <v>11168</v>
      </c>
      <c r="R5948" t="s">
        <v>11180</v>
      </c>
      <c r="S5948" t="s">
        <v>9094</v>
      </c>
      <c r="T5948" t="s">
        <v>11183</v>
      </c>
      <c r="U5948" t="s">
        <v>11201</v>
      </c>
      <c r="V5948" t="s">
        <v>482</v>
      </c>
      <c r="W5948">
        <v>629.15</v>
      </c>
      <c r="X5948" t="s">
        <v>11332</v>
      </c>
      <c r="Y5948" t="s">
        <v>11157</v>
      </c>
      <c r="Z5948" t="s">
        <v>15060</v>
      </c>
      <c r="AC5948">
        <v>359</v>
      </c>
      <c r="AD5948" t="s">
        <v>19566</v>
      </c>
      <c r="AF5948">
        <v>8</v>
      </c>
      <c r="AG5948">
        <v>1</v>
      </c>
      <c r="AH5948">
        <v>0</v>
      </c>
      <c r="AI5948">
        <v>392.31</v>
      </c>
      <c r="AL5948" t="s">
        <v>19614</v>
      </c>
      <c r="AM5948">
        <v>49000</v>
      </c>
      <c r="AN5948" t="s">
        <v>19642</v>
      </c>
      <c r="AS5948">
        <v>0</v>
      </c>
      <c r="AU5948" t="s">
        <v>79</v>
      </c>
    </row>
    <row r="5949" spans="1:48">
      <c r="A5949" s="1">
        <f>HYPERLINK("https://lsnyc.legalserver.org/matter/dynamic-profile/view/1898370","19-1898370")</f>
        <v>0</v>
      </c>
      <c r="B5949" t="s">
        <v>70</v>
      </c>
      <c r="C5949" t="s">
        <v>256</v>
      </c>
      <c r="D5949" t="s">
        <v>299</v>
      </c>
      <c r="F5949" t="s">
        <v>3231</v>
      </c>
      <c r="G5949" t="s">
        <v>5538</v>
      </c>
      <c r="H5949" t="s">
        <v>6474</v>
      </c>
      <c r="I5949" t="s">
        <v>9009</v>
      </c>
      <c r="J5949" t="s">
        <v>9059</v>
      </c>
      <c r="K5949">
        <v>11233</v>
      </c>
      <c r="L5949" t="s">
        <v>9094</v>
      </c>
      <c r="M5949" t="s">
        <v>9096</v>
      </c>
      <c r="O5949" t="s">
        <v>11137</v>
      </c>
      <c r="P5949" t="s">
        <v>11167</v>
      </c>
      <c r="R5949" t="s">
        <v>11180</v>
      </c>
      <c r="S5949" t="s">
        <v>9094</v>
      </c>
      <c r="T5949" t="s">
        <v>11183</v>
      </c>
      <c r="U5949" t="s">
        <v>11201</v>
      </c>
      <c r="V5949" t="s">
        <v>749</v>
      </c>
      <c r="W5949">
        <v>629.15</v>
      </c>
      <c r="X5949" t="s">
        <v>11332</v>
      </c>
      <c r="Y5949" t="s">
        <v>11157</v>
      </c>
      <c r="Z5949" t="s">
        <v>15060</v>
      </c>
      <c r="AC5949">
        <v>359</v>
      </c>
      <c r="AD5949" t="s">
        <v>19566</v>
      </c>
      <c r="AF5949">
        <v>8</v>
      </c>
      <c r="AG5949">
        <v>1</v>
      </c>
      <c r="AH5949">
        <v>0</v>
      </c>
      <c r="AI5949">
        <v>392.31</v>
      </c>
      <c r="AL5949" t="s">
        <v>19614</v>
      </c>
      <c r="AM5949">
        <v>49000</v>
      </c>
      <c r="AN5949" t="s">
        <v>20210</v>
      </c>
      <c r="AS5949">
        <v>0</v>
      </c>
      <c r="AU5949" t="s">
        <v>79</v>
      </c>
    </row>
    <row r="5950" spans="1:48">
      <c r="A5950" s="1">
        <f>HYPERLINK("https://lsnyc.legalserver.org/matter/dynamic-profile/view/1915425","19-1915425")</f>
        <v>0</v>
      </c>
      <c r="B5950" t="s">
        <v>86</v>
      </c>
      <c r="C5950" t="s">
        <v>256</v>
      </c>
      <c r="D5950" t="s">
        <v>594</v>
      </c>
      <c r="F5950" t="s">
        <v>3232</v>
      </c>
      <c r="G5950" t="s">
        <v>5539</v>
      </c>
      <c r="H5950" t="s">
        <v>6097</v>
      </c>
      <c r="I5950" t="s">
        <v>8410</v>
      </c>
      <c r="J5950" t="s">
        <v>9059</v>
      </c>
      <c r="K5950">
        <v>11226</v>
      </c>
      <c r="L5950" t="s">
        <v>9094</v>
      </c>
      <c r="M5950" t="s">
        <v>9095</v>
      </c>
      <c r="O5950" t="s">
        <v>11137</v>
      </c>
      <c r="P5950" t="s">
        <v>11166</v>
      </c>
      <c r="R5950" t="s">
        <v>11180</v>
      </c>
      <c r="T5950" t="s">
        <v>11183</v>
      </c>
      <c r="V5950" t="s">
        <v>377</v>
      </c>
      <c r="W5950">
        <v>1119.66</v>
      </c>
      <c r="X5950" t="s">
        <v>11332</v>
      </c>
      <c r="Y5950" t="s">
        <v>11342</v>
      </c>
      <c r="Z5950" t="s">
        <v>15061</v>
      </c>
      <c r="AC5950">
        <v>6</v>
      </c>
      <c r="AD5950" t="s">
        <v>19566</v>
      </c>
      <c r="AF5950">
        <v>8</v>
      </c>
      <c r="AG5950">
        <v>1</v>
      </c>
      <c r="AH5950">
        <v>0</v>
      </c>
      <c r="AI5950">
        <v>392.31</v>
      </c>
      <c r="AL5950" t="s">
        <v>19614</v>
      </c>
      <c r="AM5950">
        <v>49000</v>
      </c>
      <c r="AS5950">
        <v>0</v>
      </c>
      <c r="AU5950" t="s">
        <v>215</v>
      </c>
    </row>
    <row r="5951" spans="1:48">
      <c r="A5951" s="1">
        <f>HYPERLINK("https://lsnyc.legalserver.org/matter/dynamic-profile/view/1904682","19-1904682")</f>
        <v>0</v>
      </c>
      <c r="B5951" t="s">
        <v>221</v>
      </c>
      <c r="C5951" t="s">
        <v>257</v>
      </c>
      <c r="D5951" t="s">
        <v>497</v>
      </c>
      <c r="E5951" t="s">
        <v>415</v>
      </c>
      <c r="F5951" t="s">
        <v>2746</v>
      </c>
      <c r="G5951" t="s">
        <v>3733</v>
      </c>
      <c r="H5951" t="s">
        <v>8065</v>
      </c>
      <c r="I5951" t="s">
        <v>8287</v>
      </c>
      <c r="J5951" t="s">
        <v>9067</v>
      </c>
      <c r="K5951">
        <v>10035</v>
      </c>
      <c r="L5951" t="s">
        <v>9094</v>
      </c>
      <c r="M5951" t="s">
        <v>9095</v>
      </c>
      <c r="O5951" t="s">
        <v>9121</v>
      </c>
      <c r="P5951" t="s">
        <v>11164</v>
      </c>
      <c r="Q5951" t="s">
        <v>11172</v>
      </c>
      <c r="R5951" t="s">
        <v>11180</v>
      </c>
      <c r="S5951" t="s">
        <v>9096</v>
      </c>
      <c r="T5951" t="s">
        <v>11183</v>
      </c>
      <c r="U5951" t="s">
        <v>11201</v>
      </c>
      <c r="V5951" t="s">
        <v>497</v>
      </c>
      <c r="W5951">
        <v>215</v>
      </c>
      <c r="X5951" t="s">
        <v>11335</v>
      </c>
      <c r="Y5951" t="s">
        <v>11346</v>
      </c>
      <c r="Z5951" t="s">
        <v>15062</v>
      </c>
      <c r="AB5951" t="s">
        <v>19362</v>
      </c>
      <c r="AC5951">
        <v>100</v>
      </c>
      <c r="AD5951" t="s">
        <v>19566</v>
      </c>
      <c r="AE5951" t="s">
        <v>9144</v>
      </c>
      <c r="AF5951">
        <v>6</v>
      </c>
      <c r="AG5951">
        <v>1</v>
      </c>
      <c r="AH5951">
        <v>0</v>
      </c>
      <c r="AI5951">
        <v>392.31</v>
      </c>
      <c r="AL5951" t="s">
        <v>19614</v>
      </c>
      <c r="AM5951">
        <v>49000</v>
      </c>
      <c r="AS5951">
        <v>0.75</v>
      </c>
      <c r="AT5951" t="s">
        <v>329</v>
      </c>
      <c r="AU5951" t="s">
        <v>20657</v>
      </c>
      <c r="AV5951" t="s">
        <v>20733</v>
      </c>
    </row>
    <row r="5952" spans="1:48">
      <c r="A5952" s="1">
        <f>HYPERLINK("https://lsnyc.legalserver.org/matter/dynamic-profile/view/1906210","19-1906210")</f>
        <v>0</v>
      </c>
      <c r="B5952" t="s">
        <v>59</v>
      </c>
      <c r="C5952" t="s">
        <v>256</v>
      </c>
      <c r="D5952" t="s">
        <v>282</v>
      </c>
      <c r="F5952" t="s">
        <v>1187</v>
      </c>
      <c r="G5952" t="s">
        <v>5540</v>
      </c>
      <c r="H5952" t="s">
        <v>6367</v>
      </c>
      <c r="I5952" t="s">
        <v>8695</v>
      </c>
      <c r="J5952" t="s">
        <v>9055</v>
      </c>
      <c r="K5952">
        <v>11354</v>
      </c>
      <c r="L5952" t="s">
        <v>9094</v>
      </c>
      <c r="M5952" t="s">
        <v>9095</v>
      </c>
      <c r="N5952" t="s">
        <v>9135</v>
      </c>
      <c r="O5952" t="s">
        <v>11134</v>
      </c>
      <c r="P5952" t="s">
        <v>11168</v>
      </c>
      <c r="R5952" t="s">
        <v>11180</v>
      </c>
      <c r="S5952" t="s">
        <v>9094</v>
      </c>
      <c r="T5952" t="s">
        <v>11183</v>
      </c>
      <c r="U5952" t="s">
        <v>11201</v>
      </c>
      <c r="V5952" t="s">
        <v>282</v>
      </c>
      <c r="W5952">
        <v>1808</v>
      </c>
      <c r="X5952" t="s">
        <v>11331</v>
      </c>
      <c r="Y5952" t="s">
        <v>11348</v>
      </c>
      <c r="Z5952" t="s">
        <v>15063</v>
      </c>
      <c r="AB5952" t="s">
        <v>19363</v>
      </c>
      <c r="AC5952">
        <v>91</v>
      </c>
      <c r="AD5952" t="s">
        <v>19566</v>
      </c>
      <c r="AE5952" t="s">
        <v>9144</v>
      </c>
      <c r="AF5952">
        <v>5</v>
      </c>
      <c r="AG5952">
        <v>1</v>
      </c>
      <c r="AH5952">
        <v>1</v>
      </c>
      <c r="AI5952">
        <v>392.67</v>
      </c>
      <c r="AJ5952" t="s">
        <v>476</v>
      </c>
      <c r="AK5952" t="s">
        <v>19612</v>
      </c>
      <c r="AL5952" t="s">
        <v>19614</v>
      </c>
      <c r="AM5952">
        <v>66400</v>
      </c>
      <c r="AP5952" t="s">
        <v>11157</v>
      </c>
      <c r="AS5952">
        <v>0.4</v>
      </c>
      <c r="AT5952" t="s">
        <v>493</v>
      </c>
      <c r="AU5952" t="s">
        <v>20620</v>
      </c>
      <c r="AV5952" t="s">
        <v>20733</v>
      </c>
    </row>
    <row r="5953" spans="1:48">
      <c r="A5953" s="1">
        <f>HYPERLINK("https://lsnyc.legalserver.org/matter/dynamic-profile/view/1854133","17-1854133")</f>
        <v>0</v>
      </c>
      <c r="B5953" t="s">
        <v>103</v>
      </c>
      <c r="C5953" t="s">
        <v>256</v>
      </c>
      <c r="D5953" t="s">
        <v>789</v>
      </c>
      <c r="F5953" t="s">
        <v>1280</v>
      </c>
      <c r="G5953" t="s">
        <v>4463</v>
      </c>
      <c r="H5953" t="s">
        <v>6413</v>
      </c>
      <c r="I5953" t="s">
        <v>8302</v>
      </c>
      <c r="J5953" t="s">
        <v>9065</v>
      </c>
      <c r="K5953">
        <v>10456</v>
      </c>
      <c r="L5953" t="s">
        <v>9094</v>
      </c>
      <c r="M5953" t="s">
        <v>9094</v>
      </c>
      <c r="N5953" t="s">
        <v>9740</v>
      </c>
      <c r="O5953" t="s">
        <v>11135</v>
      </c>
      <c r="P5953" t="s">
        <v>11168</v>
      </c>
      <c r="R5953" t="s">
        <v>11180</v>
      </c>
      <c r="S5953" t="s">
        <v>9094</v>
      </c>
      <c r="T5953" t="s">
        <v>11183</v>
      </c>
      <c r="V5953" t="s">
        <v>11223</v>
      </c>
      <c r="W5953">
        <v>1200</v>
      </c>
      <c r="X5953" t="s">
        <v>11333</v>
      </c>
      <c r="Y5953" t="s">
        <v>11346</v>
      </c>
      <c r="Z5953" t="s">
        <v>13107</v>
      </c>
      <c r="AB5953" t="s">
        <v>17467</v>
      </c>
      <c r="AC5953">
        <v>61</v>
      </c>
      <c r="AD5953" t="s">
        <v>19566</v>
      </c>
      <c r="AE5953" t="s">
        <v>9144</v>
      </c>
      <c r="AF5953">
        <v>25</v>
      </c>
      <c r="AG5953">
        <v>2</v>
      </c>
      <c r="AH5953">
        <v>0</v>
      </c>
      <c r="AI5953">
        <v>392.86</v>
      </c>
      <c r="AJ5953" t="s">
        <v>19597</v>
      </c>
      <c r="AL5953" t="s">
        <v>19614</v>
      </c>
      <c r="AM5953">
        <v>63800</v>
      </c>
      <c r="AS5953">
        <v>3</v>
      </c>
      <c r="AT5953" t="s">
        <v>970</v>
      </c>
      <c r="AU5953" t="s">
        <v>20643</v>
      </c>
    </row>
    <row r="5954" spans="1:48">
      <c r="A5954" s="1">
        <f>HYPERLINK("https://lsnyc.legalserver.org/matter/dynamic-profile/view/1880271","18-1880271")</f>
        <v>0</v>
      </c>
      <c r="B5954" t="s">
        <v>91</v>
      </c>
      <c r="C5954" t="s">
        <v>256</v>
      </c>
      <c r="D5954" t="s">
        <v>569</v>
      </c>
      <c r="F5954" t="s">
        <v>1788</v>
      </c>
      <c r="G5954" t="s">
        <v>5541</v>
      </c>
      <c r="H5954" t="s">
        <v>7008</v>
      </c>
      <c r="I5954" t="s">
        <v>8828</v>
      </c>
      <c r="J5954" t="s">
        <v>9059</v>
      </c>
      <c r="K5954">
        <v>11213</v>
      </c>
      <c r="L5954" t="s">
        <v>9094</v>
      </c>
      <c r="M5954" t="s">
        <v>9094</v>
      </c>
      <c r="N5954" t="s">
        <v>9179</v>
      </c>
      <c r="O5954" t="s">
        <v>11130</v>
      </c>
      <c r="P5954" t="s">
        <v>11165</v>
      </c>
      <c r="R5954" t="s">
        <v>11180</v>
      </c>
      <c r="S5954" t="s">
        <v>9094</v>
      </c>
      <c r="T5954" t="s">
        <v>11183</v>
      </c>
      <c r="U5954" t="s">
        <v>11201</v>
      </c>
      <c r="V5954" t="s">
        <v>11308</v>
      </c>
      <c r="W5954">
        <v>1205</v>
      </c>
      <c r="X5954" t="s">
        <v>11332</v>
      </c>
      <c r="Y5954" t="s">
        <v>11346</v>
      </c>
      <c r="Z5954" t="s">
        <v>15046</v>
      </c>
      <c r="AA5954" t="s">
        <v>9144</v>
      </c>
      <c r="AC5954">
        <v>34</v>
      </c>
      <c r="AD5954" t="s">
        <v>19566</v>
      </c>
      <c r="AE5954" t="s">
        <v>9144</v>
      </c>
      <c r="AF5954">
        <v>34</v>
      </c>
      <c r="AG5954">
        <v>3</v>
      </c>
      <c r="AH5954">
        <v>0</v>
      </c>
      <c r="AI5954">
        <v>393.85</v>
      </c>
      <c r="AL5954" t="s">
        <v>19614</v>
      </c>
      <c r="AM5954">
        <v>81843</v>
      </c>
      <c r="AN5954" t="s">
        <v>20211</v>
      </c>
      <c r="AS5954">
        <v>0.1</v>
      </c>
      <c r="AT5954" t="s">
        <v>428</v>
      </c>
      <c r="AU5954" t="s">
        <v>95</v>
      </c>
    </row>
    <row r="5955" spans="1:48">
      <c r="A5955" s="1">
        <f>HYPERLINK("https://lsnyc.legalserver.org/matter/dynamic-profile/view/1910291","19-1910291")</f>
        <v>0</v>
      </c>
      <c r="B5955" t="s">
        <v>95</v>
      </c>
      <c r="C5955" t="s">
        <v>257</v>
      </c>
      <c r="D5955" t="s">
        <v>446</v>
      </c>
      <c r="E5955" t="s">
        <v>446</v>
      </c>
      <c r="F5955" t="s">
        <v>3233</v>
      </c>
      <c r="G5955" t="s">
        <v>5542</v>
      </c>
      <c r="H5955" t="s">
        <v>8066</v>
      </c>
      <c r="I5955" t="s">
        <v>8129</v>
      </c>
      <c r="J5955" t="s">
        <v>9059</v>
      </c>
      <c r="K5955">
        <v>11208</v>
      </c>
      <c r="L5955" t="s">
        <v>9096</v>
      </c>
      <c r="M5955" t="s">
        <v>9095</v>
      </c>
      <c r="N5955" t="s">
        <v>9154</v>
      </c>
      <c r="O5955" t="s">
        <v>9121</v>
      </c>
      <c r="P5955" t="s">
        <v>11164</v>
      </c>
      <c r="Q5955" t="s">
        <v>11172</v>
      </c>
      <c r="R5955" t="s">
        <v>11180</v>
      </c>
      <c r="S5955" t="s">
        <v>9096</v>
      </c>
      <c r="T5955" t="s">
        <v>11183</v>
      </c>
      <c r="U5955" t="s">
        <v>11201</v>
      </c>
      <c r="W5955">
        <v>1200</v>
      </c>
      <c r="X5955" t="s">
        <v>11332</v>
      </c>
      <c r="Y5955" t="s">
        <v>11341</v>
      </c>
      <c r="Z5955" t="s">
        <v>15064</v>
      </c>
      <c r="AA5955" t="s">
        <v>9171</v>
      </c>
      <c r="AB5955" t="s">
        <v>19364</v>
      </c>
      <c r="AC5955">
        <v>2</v>
      </c>
      <c r="AD5955" t="s">
        <v>19565</v>
      </c>
      <c r="AE5955" t="s">
        <v>9144</v>
      </c>
      <c r="AF5955">
        <v>5</v>
      </c>
      <c r="AG5955">
        <v>2</v>
      </c>
      <c r="AH5955">
        <v>0</v>
      </c>
      <c r="AI5955">
        <v>395.27</v>
      </c>
      <c r="AL5955" t="s">
        <v>19614</v>
      </c>
      <c r="AM5955">
        <v>66840</v>
      </c>
      <c r="AS5955">
        <v>1</v>
      </c>
      <c r="AT5955" t="s">
        <v>446</v>
      </c>
      <c r="AU5955" t="s">
        <v>20656</v>
      </c>
      <c r="AV5955" t="s">
        <v>9144</v>
      </c>
    </row>
    <row r="5956" spans="1:48">
      <c r="A5956" s="1">
        <f>HYPERLINK("https://lsnyc.legalserver.org/matter/dynamic-profile/view/1878674","18-1878674")</f>
        <v>0</v>
      </c>
      <c r="B5956" t="s">
        <v>78</v>
      </c>
      <c r="C5956" t="s">
        <v>256</v>
      </c>
      <c r="D5956" t="s">
        <v>346</v>
      </c>
      <c r="F5956" t="s">
        <v>1227</v>
      </c>
      <c r="G5956" t="s">
        <v>5528</v>
      </c>
      <c r="H5956" t="s">
        <v>6712</v>
      </c>
      <c r="I5956" t="s">
        <v>8124</v>
      </c>
      <c r="J5956" t="s">
        <v>9059</v>
      </c>
      <c r="K5956">
        <v>11221</v>
      </c>
      <c r="L5956" t="s">
        <v>9094</v>
      </c>
      <c r="M5956" t="s">
        <v>9094</v>
      </c>
      <c r="O5956" t="s">
        <v>11134</v>
      </c>
      <c r="P5956" t="s">
        <v>11168</v>
      </c>
      <c r="R5956" t="s">
        <v>11180</v>
      </c>
      <c r="S5956" t="s">
        <v>9094</v>
      </c>
      <c r="T5956" t="s">
        <v>11183</v>
      </c>
      <c r="V5956" t="s">
        <v>688</v>
      </c>
      <c r="W5956">
        <v>780</v>
      </c>
      <c r="X5956" t="s">
        <v>11332</v>
      </c>
      <c r="Y5956" t="s">
        <v>11346</v>
      </c>
      <c r="Z5956" t="s">
        <v>15048</v>
      </c>
      <c r="AB5956" t="s">
        <v>19354</v>
      </c>
      <c r="AC5956">
        <v>12</v>
      </c>
      <c r="AD5956" t="s">
        <v>19566</v>
      </c>
      <c r="AE5956" t="s">
        <v>9144</v>
      </c>
      <c r="AF5956">
        <v>15</v>
      </c>
      <c r="AG5956">
        <v>1</v>
      </c>
      <c r="AH5956">
        <v>0</v>
      </c>
      <c r="AI5956">
        <v>395.39</v>
      </c>
      <c r="AL5956" t="s">
        <v>19614</v>
      </c>
      <c r="AM5956">
        <v>48000</v>
      </c>
      <c r="AN5956" t="s">
        <v>20212</v>
      </c>
      <c r="AS5956">
        <v>0.2</v>
      </c>
      <c r="AT5956" t="s">
        <v>854</v>
      </c>
      <c r="AU5956" t="s">
        <v>95</v>
      </c>
    </row>
    <row r="5957" spans="1:48">
      <c r="A5957" s="1">
        <f>HYPERLINK("https://lsnyc.legalserver.org/matter/dynamic-profile/view/1876938","18-1876938")</f>
        <v>0</v>
      </c>
      <c r="B5957" t="s">
        <v>70</v>
      </c>
      <c r="C5957" t="s">
        <v>256</v>
      </c>
      <c r="D5957" t="s">
        <v>773</v>
      </c>
      <c r="F5957" t="s">
        <v>3220</v>
      </c>
      <c r="G5957" t="s">
        <v>4260</v>
      </c>
      <c r="H5957" t="s">
        <v>6621</v>
      </c>
      <c r="I5957">
        <v>28</v>
      </c>
      <c r="J5957" t="s">
        <v>9059</v>
      </c>
      <c r="K5957">
        <v>11213</v>
      </c>
      <c r="L5957" t="s">
        <v>9094</v>
      </c>
      <c r="M5957" t="s">
        <v>9094</v>
      </c>
      <c r="N5957" t="s">
        <v>9179</v>
      </c>
      <c r="O5957" t="s">
        <v>11130</v>
      </c>
      <c r="P5957" t="s">
        <v>11165</v>
      </c>
      <c r="R5957" t="s">
        <v>11180</v>
      </c>
      <c r="S5957" t="s">
        <v>9094</v>
      </c>
      <c r="T5957" t="s">
        <v>11183</v>
      </c>
      <c r="V5957" t="s">
        <v>773</v>
      </c>
      <c r="W5957">
        <v>1326</v>
      </c>
      <c r="X5957" t="s">
        <v>11332</v>
      </c>
      <c r="Y5957" t="s">
        <v>11346</v>
      </c>
      <c r="Z5957" t="s">
        <v>15029</v>
      </c>
      <c r="AA5957" t="s">
        <v>15904</v>
      </c>
      <c r="AB5957" t="s">
        <v>19338</v>
      </c>
      <c r="AC5957">
        <v>31</v>
      </c>
      <c r="AD5957" t="s">
        <v>19566</v>
      </c>
      <c r="AE5957" t="s">
        <v>9144</v>
      </c>
      <c r="AF5957">
        <v>2</v>
      </c>
      <c r="AG5957">
        <v>2</v>
      </c>
      <c r="AH5957">
        <v>0</v>
      </c>
      <c r="AI5957">
        <v>395.94</v>
      </c>
      <c r="AL5957" t="s">
        <v>19614</v>
      </c>
      <c r="AM5957">
        <v>65172</v>
      </c>
      <c r="AS5957">
        <v>32</v>
      </c>
      <c r="AT5957" t="s">
        <v>791</v>
      </c>
      <c r="AU5957" t="s">
        <v>151</v>
      </c>
      <c r="AV5957" t="s">
        <v>20733</v>
      </c>
    </row>
    <row r="5958" spans="1:48">
      <c r="A5958" s="1">
        <f>HYPERLINK("https://lsnyc.legalserver.org/matter/dynamic-profile/view/1885572","18-1885572")</f>
        <v>0</v>
      </c>
      <c r="B5958" t="s">
        <v>113</v>
      </c>
      <c r="C5958" t="s">
        <v>256</v>
      </c>
      <c r="D5958" t="s">
        <v>357</v>
      </c>
      <c r="F5958" t="s">
        <v>2411</v>
      </c>
      <c r="G5958" t="s">
        <v>3533</v>
      </c>
      <c r="H5958" t="s">
        <v>5864</v>
      </c>
      <c r="I5958" t="s">
        <v>8981</v>
      </c>
      <c r="J5958" t="s">
        <v>9065</v>
      </c>
      <c r="K5958">
        <v>10460</v>
      </c>
      <c r="L5958" t="s">
        <v>9094</v>
      </c>
      <c r="M5958" t="s">
        <v>9094</v>
      </c>
      <c r="N5958" t="s">
        <v>9222</v>
      </c>
      <c r="O5958" t="s">
        <v>11130</v>
      </c>
      <c r="P5958" t="s">
        <v>11165</v>
      </c>
      <c r="R5958" t="s">
        <v>11180</v>
      </c>
      <c r="S5958" t="s">
        <v>9094</v>
      </c>
      <c r="T5958" t="s">
        <v>11183</v>
      </c>
      <c r="V5958" t="s">
        <v>512</v>
      </c>
      <c r="W5958">
        <v>378</v>
      </c>
      <c r="X5958" t="s">
        <v>11333</v>
      </c>
      <c r="Y5958" t="s">
        <v>11346</v>
      </c>
      <c r="Z5958" t="s">
        <v>14914</v>
      </c>
      <c r="AC5958">
        <v>168</v>
      </c>
      <c r="AD5958" t="s">
        <v>19567</v>
      </c>
      <c r="AE5958" t="s">
        <v>19580</v>
      </c>
      <c r="AF5958">
        <v>14</v>
      </c>
      <c r="AG5958">
        <v>2</v>
      </c>
      <c r="AH5958">
        <v>0</v>
      </c>
      <c r="AI5958">
        <v>396.72</v>
      </c>
      <c r="AL5958" t="s">
        <v>19614</v>
      </c>
      <c r="AM5958">
        <v>65300</v>
      </c>
      <c r="AS5958">
        <v>0</v>
      </c>
      <c r="AU5958" t="s">
        <v>158</v>
      </c>
      <c r="AV5958" t="s">
        <v>20733</v>
      </c>
    </row>
    <row r="5959" spans="1:48">
      <c r="A5959" s="1">
        <f>HYPERLINK("https://lsnyc.legalserver.org/matter/dynamic-profile/view/1901527","19-1901527")</f>
        <v>0</v>
      </c>
      <c r="B5959" t="s">
        <v>65</v>
      </c>
      <c r="C5959" t="s">
        <v>256</v>
      </c>
      <c r="D5959" t="s">
        <v>559</v>
      </c>
      <c r="F5959" t="s">
        <v>2989</v>
      </c>
      <c r="G5959" t="s">
        <v>5267</v>
      </c>
      <c r="H5959" t="s">
        <v>7876</v>
      </c>
      <c r="I5959" t="s">
        <v>8214</v>
      </c>
      <c r="J5959" t="s">
        <v>9059</v>
      </c>
      <c r="K5959">
        <v>11238</v>
      </c>
      <c r="L5959" t="s">
        <v>9094</v>
      </c>
      <c r="M5959" t="s">
        <v>9095</v>
      </c>
      <c r="N5959" t="s">
        <v>11096</v>
      </c>
      <c r="O5959" t="s">
        <v>11129</v>
      </c>
      <c r="P5959" t="s">
        <v>11165</v>
      </c>
      <c r="R5959" t="s">
        <v>11180</v>
      </c>
      <c r="T5959" t="s">
        <v>11183</v>
      </c>
      <c r="V5959" t="s">
        <v>559</v>
      </c>
      <c r="W5959">
        <v>0</v>
      </c>
      <c r="X5959" t="s">
        <v>11332</v>
      </c>
      <c r="Z5959" t="s">
        <v>14593</v>
      </c>
      <c r="AB5959" t="s">
        <v>18913</v>
      </c>
      <c r="AC5959">
        <v>0</v>
      </c>
      <c r="AF5959">
        <v>0</v>
      </c>
      <c r="AG5959">
        <v>2</v>
      </c>
      <c r="AH5959">
        <v>0</v>
      </c>
      <c r="AI5959">
        <v>396.83</v>
      </c>
      <c r="AL5959" t="s">
        <v>19614</v>
      </c>
      <c r="AM5959">
        <v>67104</v>
      </c>
      <c r="AO5959" t="s">
        <v>20293</v>
      </c>
      <c r="AP5959" t="s">
        <v>20317</v>
      </c>
      <c r="AQ5959" t="s">
        <v>20369</v>
      </c>
      <c r="AR5959" t="s">
        <v>20412</v>
      </c>
      <c r="AS5959">
        <v>3.2</v>
      </c>
      <c r="AT5959" t="s">
        <v>660</v>
      </c>
      <c r="AU5959" t="s">
        <v>67</v>
      </c>
    </row>
    <row r="5960" spans="1:48">
      <c r="A5960" s="1">
        <f>HYPERLINK("https://lsnyc.legalserver.org/matter/dynamic-profile/view/1876326","18-1876326")</f>
        <v>0</v>
      </c>
      <c r="B5960" t="s">
        <v>132</v>
      </c>
      <c r="C5960" t="s">
        <v>257</v>
      </c>
      <c r="D5960" t="s">
        <v>479</v>
      </c>
      <c r="E5960" t="s">
        <v>331</v>
      </c>
      <c r="F5960" t="s">
        <v>1809</v>
      </c>
      <c r="G5960" t="s">
        <v>4675</v>
      </c>
      <c r="H5960" t="s">
        <v>5953</v>
      </c>
      <c r="I5960" t="s">
        <v>8437</v>
      </c>
      <c r="J5960" t="s">
        <v>9067</v>
      </c>
      <c r="K5960">
        <v>10033</v>
      </c>
      <c r="L5960" t="s">
        <v>9094</v>
      </c>
      <c r="M5960" t="s">
        <v>9094</v>
      </c>
      <c r="O5960" t="s">
        <v>11130</v>
      </c>
      <c r="P5960" t="s">
        <v>11165</v>
      </c>
      <c r="Q5960" t="s">
        <v>11178</v>
      </c>
      <c r="R5960" t="s">
        <v>11180</v>
      </c>
      <c r="S5960" t="s">
        <v>9094</v>
      </c>
      <c r="T5960" t="s">
        <v>11183</v>
      </c>
      <c r="V5960" t="s">
        <v>479</v>
      </c>
      <c r="W5960">
        <v>1546.93</v>
      </c>
      <c r="X5960" t="s">
        <v>11335</v>
      </c>
      <c r="Y5960" t="s">
        <v>11338</v>
      </c>
      <c r="Z5960" t="s">
        <v>15065</v>
      </c>
      <c r="AB5960" t="s">
        <v>19365</v>
      </c>
      <c r="AC5960">
        <v>232</v>
      </c>
      <c r="AD5960" t="s">
        <v>19566</v>
      </c>
      <c r="AE5960" t="s">
        <v>9144</v>
      </c>
      <c r="AF5960">
        <v>14</v>
      </c>
      <c r="AG5960">
        <v>1</v>
      </c>
      <c r="AH5960">
        <v>0</v>
      </c>
      <c r="AI5960">
        <v>397.5</v>
      </c>
      <c r="AL5960" t="s">
        <v>19614</v>
      </c>
      <c r="AM5960">
        <v>48257</v>
      </c>
      <c r="AS5960">
        <v>10.3</v>
      </c>
      <c r="AT5960" t="s">
        <v>521</v>
      </c>
      <c r="AU5960" t="s">
        <v>130</v>
      </c>
      <c r="AV5960" t="s">
        <v>20733</v>
      </c>
    </row>
    <row r="5961" spans="1:48">
      <c r="A5961" s="1">
        <f>HYPERLINK("https://lsnyc.legalserver.org/matter/dynamic-profile/view/1901179","19-1901179")</f>
        <v>0</v>
      </c>
      <c r="B5961" t="s">
        <v>141</v>
      </c>
      <c r="C5961" t="s">
        <v>257</v>
      </c>
      <c r="D5961" t="s">
        <v>394</v>
      </c>
      <c r="E5961" t="s">
        <v>442</v>
      </c>
      <c r="F5961" t="s">
        <v>1826</v>
      </c>
      <c r="G5961" t="s">
        <v>3550</v>
      </c>
      <c r="H5961" t="s">
        <v>8067</v>
      </c>
      <c r="I5961">
        <v>68</v>
      </c>
      <c r="J5961" t="s">
        <v>9067</v>
      </c>
      <c r="K5961">
        <v>10033</v>
      </c>
      <c r="L5961" t="s">
        <v>9094</v>
      </c>
      <c r="M5961" t="s">
        <v>9095</v>
      </c>
      <c r="O5961" t="s">
        <v>11136</v>
      </c>
      <c r="P5961" t="s">
        <v>11164</v>
      </c>
      <c r="Q5961" t="s">
        <v>11172</v>
      </c>
      <c r="R5961" t="s">
        <v>11180</v>
      </c>
      <c r="S5961" t="s">
        <v>9096</v>
      </c>
      <c r="T5961" t="s">
        <v>11183</v>
      </c>
      <c r="V5961" t="s">
        <v>394</v>
      </c>
      <c r="W5961">
        <v>3400</v>
      </c>
      <c r="X5961" t="s">
        <v>11335</v>
      </c>
      <c r="Y5961" t="s">
        <v>11338</v>
      </c>
      <c r="Z5961" t="s">
        <v>15066</v>
      </c>
      <c r="AC5961">
        <v>67</v>
      </c>
      <c r="AD5961" t="s">
        <v>19566</v>
      </c>
      <c r="AE5961" t="s">
        <v>9144</v>
      </c>
      <c r="AF5961">
        <v>4</v>
      </c>
      <c r="AG5961">
        <v>2</v>
      </c>
      <c r="AH5961">
        <v>3</v>
      </c>
      <c r="AI5961">
        <v>397.75</v>
      </c>
      <c r="AL5961" t="s">
        <v>19614</v>
      </c>
      <c r="AM5961">
        <v>120000</v>
      </c>
      <c r="AS5961">
        <v>0.1</v>
      </c>
      <c r="AT5961" t="s">
        <v>442</v>
      </c>
      <c r="AU5961" t="s">
        <v>130</v>
      </c>
      <c r="AV5961" t="s">
        <v>20733</v>
      </c>
    </row>
    <row r="5962" spans="1:48">
      <c r="A5962" s="1">
        <f>HYPERLINK("https://lsnyc.legalserver.org/matter/dynamic-profile/view/1838120","17-1838120")</f>
        <v>0</v>
      </c>
      <c r="B5962" t="s">
        <v>103</v>
      </c>
      <c r="C5962" t="s">
        <v>256</v>
      </c>
      <c r="D5962" t="s">
        <v>277</v>
      </c>
      <c r="F5962" t="s">
        <v>1264</v>
      </c>
      <c r="G5962" t="s">
        <v>3776</v>
      </c>
      <c r="H5962" t="s">
        <v>7822</v>
      </c>
      <c r="I5962" t="s">
        <v>9010</v>
      </c>
      <c r="J5962" t="s">
        <v>9065</v>
      </c>
      <c r="K5962">
        <v>10473</v>
      </c>
      <c r="L5962" t="s">
        <v>9094</v>
      </c>
      <c r="M5962" t="s">
        <v>9095</v>
      </c>
      <c r="N5962" t="s">
        <v>10045</v>
      </c>
      <c r="O5962" t="s">
        <v>11135</v>
      </c>
      <c r="P5962" t="s">
        <v>11168</v>
      </c>
      <c r="R5962" t="s">
        <v>11180</v>
      </c>
      <c r="S5962" t="s">
        <v>9094</v>
      </c>
      <c r="T5962" t="s">
        <v>11183</v>
      </c>
      <c r="V5962" t="s">
        <v>705</v>
      </c>
      <c r="W5962">
        <v>1541.95</v>
      </c>
      <c r="X5962" t="s">
        <v>11333</v>
      </c>
      <c r="Z5962" t="s">
        <v>15067</v>
      </c>
      <c r="AB5962" t="s">
        <v>19366</v>
      </c>
      <c r="AC5962">
        <v>225</v>
      </c>
      <c r="AD5962" t="s">
        <v>19566</v>
      </c>
      <c r="AF5962">
        <v>1</v>
      </c>
      <c r="AG5962">
        <v>1</v>
      </c>
      <c r="AH5962">
        <v>0</v>
      </c>
      <c r="AI5962">
        <v>398.01</v>
      </c>
      <c r="AL5962" t="s">
        <v>19614</v>
      </c>
      <c r="AM5962">
        <v>48000</v>
      </c>
      <c r="AS5962">
        <v>0</v>
      </c>
      <c r="AU5962" t="s">
        <v>20643</v>
      </c>
    </row>
    <row r="5963" spans="1:48">
      <c r="A5963" s="1">
        <f>HYPERLINK("https://lsnyc.legalserver.org/matter/dynamic-profile/view/1905733","19-1905733")</f>
        <v>0</v>
      </c>
      <c r="B5963" t="s">
        <v>78</v>
      </c>
      <c r="C5963" t="s">
        <v>256</v>
      </c>
      <c r="D5963" t="s">
        <v>328</v>
      </c>
      <c r="F5963" t="s">
        <v>3234</v>
      </c>
      <c r="G5963" t="s">
        <v>5543</v>
      </c>
      <c r="H5963" t="s">
        <v>6712</v>
      </c>
      <c r="I5963" t="s">
        <v>8132</v>
      </c>
      <c r="J5963" t="s">
        <v>9059</v>
      </c>
      <c r="K5963">
        <v>11221</v>
      </c>
      <c r="L5963" t="s">
        <v>9094</v>
      </c>
      <c r="M5963" t="s">
        <v>9095</v>
      </c>
      <c r="N5963" t="s">
        <v>9121</v>
      </c>
      <c r="O5963" t="s">
        <v>9121</v>
      </c>
      <c r="P5963" t="s">
        <v>11167</v>
      </c>
      <c r="R5963" t="s">
        <v>11180</v>
      </c>
      <c r="S5963" t="s">
        <v>9094</v>
      </c>
      <c r="T5963" t="s">
        <v>11183</v>
      </c>
      <c r="U5963" t="s">
        <v>11201</v>
      </c>
      <c r="V5963" t="s">
        <v>512</v>
      </c>
      <c r="W5963">
        <v>632.48</v>
      </c>
      <c r="X5963" t="s">
        <v>11332</v>
      </c>
      <c r="Y5963" t="s">
        <v>11346</v>
      </c>
      <c r="Z5963" t="s">
        <v>15068</v>
      </c>
      <c r="AA5963" t="s">
        <v>9144</v>
      </c>
      <c r="AB5963" t="s">
        <v>19367</v>
      </c>
      <c r="AC5963">
        <v>12</v>
      </c>
      <c r="AD5963" t="s">
        <v>19566</v>
      </c>
      <c r="AE5963" t="s">
        <v>9144</v>
      </c>
      <c r="AF5963">
        <v>18</v>
      </c>
      <c r="AG5963">
        <v>3</v>
      </c>
      <c r="AH5963">
        <v>0</v>
      </c>
      <c r="AI5963">
        <v>398.5</v>
      </c>
      <c r="AL5963" t="s">
        <v>19614</v>
      </c>
      <c r="AM5963">
        <v>85000</v>
      </c>
      <c r="AN5963" t="s">
        <v>20213</v>
      </c>
      <c r="AS5963">
        <v>0</v>
      </c>
      <c r="AU5963" t="s">
        <v>79</v>
      </c>
      <c r="AV5963" t="s">
        <v>20733</v>
      </c>
    </row>
    <row r="5964" spans="1:48">
      <c r="A5964" s="1">
        <f>HYPERLINK("https://lsnyc.legalserver.org/matter/dynamic-profile/view/1904260","19-1904260")</f>
        <v>0</v>
      </c>
      <c r="B5964" t="s">
        <v>78</v>
      </c>
      <c r="C5964" t="s">
        <v>256</v>
      </c>
      <c r="D5964" t="s">
        <v>265</v>
      </c>
      <c r="F5964" t="s">
        <v>3234</v>
      </c>
      <c r="G5964" t="s">
        <v>5543</v>
      </c>
      <c r="H5964" t="s">
        <v>6712</v>
      </c>
      <c r="I5964" t="s">
        <v>8132</v>
      </c>
      <c r="J5964" t="s">
        <v>9059</v>
      </c>
      <c r="K5964">
        <v>11221</v>
      </c>
      <c r="L5964" t="s">
        <v>9094</v>
      </c>
      <c r="M5964" t="s">
        <v>9095</v>
      </c>
      <c r="N5964" t="s">
        <v>9184</v>
      </c>
      <c r="O5964" t="s">
        <v>11137</v>
      </c>
      <c r="P5964" t="s">
        <v>11167</v>
      </c>
      <c r="R5964" t="s">
        <v>11180</v>
      </c>
      <c r="S5964" t="s">
        <v>9094</v>
      </c>
      <c r="T5964" t="s">
        <v>11186</v>
      </c>
      <c r="U5964" t="s">
        <v>11201</v>
      </c>
      <c r="V5964" t="s">
        <v>635</v>
      </c>
      <c r="W5964">
        <v>632.48</v>
      </c>
      <c r="X5964" t="s">
        <v>11332</v>
      </c>
      <c r="Y5964" t="s">
        <v>11346</v>
      </c>
      <c r="Z5964" t="s">
        <v>15068</v>
      </c>
      <c r="AA5964" t="s">
        <v>9144</v>
      </c>
      <c r="AB5964" t="s">
        <v>19367</v>
      </c>
      <c r="AC5964">
        <v>12</v>
      </c>
      <c r="AD5964" t="s">
        <v>19566</v>
      </c>
      <c r="AE5964" t="s">
        <v>9144</v>
      </c>
      <c r="AF5964">
        <v>18</v>
      </c>
      <c r="AG5964">
        <v>3</v>
      </c>
      <c r="AH5964">
        <v>0</v>
      </c>
      <c r="AI5964">
        <v>398.5</v>
      </c>
      <c r="AL5964" t="s">
        <v>19614</v>
      </c>
      <c r="AM5964">
        <v>85000</v>
      </c>
      <c r="AN5964" t="s">
        <v>20214</v>
      </c>
      <c r="AS5964">
        <v>0</v>
      </c>
      <c r="AU5964" t="s">
        <v>95</v>
      </c>
      <c r="AV5964" t="s">
        <v>20733</v>
      </c>
    </row>
    <row r="5965" spans="1:48">
      <c r="A5965" s="1">
        <f>HYPERLINK("https://lsnyc.legalserver.org/matter/dynamic-profile/view/1895344","19-1895344")</f>
        <v>0</v>
      </c>
      <c r="B5965" t="s">
        <v>70</v>
      </c>
      <c r="C5965" t="s">
        <v>256</v>
      </c>
      <c r="D5965" t="s">
        <v>264</v>
      </c>
      <c r="F5965" t="s">
        <v>3234</v>
      </c>
      <c r="G5965" t="s">
        <v>5543</v>
      </c>
      <c r="H5965" t="s">
        <v>6712</v>
      </c>
      <c r="I5965" t="s">
        <v>8132</v>
      </c>
      <c r="J5965" t="s">
        <v>9059</v>
      </c>
      <c r="K5965">
        <v>11221</v>
      </c>
      <c r="L5965" t="s">
        <v>9094</v>
      </c>
      <c r="M5965" t="s">
        <v>9096</v>
      </c>
      <c r="N5965" t="s">
        <v>9318</v>
      </c>
      <c r="O5965" t="s">
        <v>11141</v>
      </c>
      <c r="P5965" t="s">
        <v>11170</v>
      </c>
      <c r="R5965" t="s">
        <v>11180</v>
      </c>
      <c r="S5965" t="s">
        <v>9094</v>
      </c>
      <c r="T5965" t="s">
        <v>11185</v>
      </c>
      <c r="V5965" t="s">
        <v>264</v>
      </c>
      <c r="W5965">
        <v>632.48</v>
      </c>
      <c r="X5965" t="s">
        <v>11332</v>
      </c>
      <c r="Y5965" t="s">
        <v>11346</v>
      </c>
      <c r="Z5965" t="s">
        <v>15068</v>
      </c>
      <c r="AA5965" t="s">
        <v>9144</v>
      </c>
      <c r="AB5965" t="s">
        <v>19367</v>
      </c>
      <c r="AC5965">
        <v>12</v>
      </c>
      <c r="AD5965" t="s">
        <v>19566</v>
      </c>
      <c r="AE5965" t="s">
        <v>9144</v>
      </c>
      <c r="AF5965">
        <v>18</v>
      </c>
      <c r="AG5965">
        <v>3</v>
      </c>
      <c r="AH5965">
        <v>0</v>
      </c>
      <c r="AI5965">
        <v>398.5</v>
      </c>
      <c r="AL5965" t="s">
        <v>19614</v>
      </c>
      <c r="AM5965">
        <v>85000</v>
      </c>
      <c r="AN5965" t="s">
        <v>20215</v>
      </c>
      <c r="AS5965">
        <v>1</v>
      </c>
      <c r="AT5965" t="s">
        <v>612</v>
      </c>
      <c r="AU5965" t="s">
        <v>95</v>
      </c>
      <c r="AV5965" t="s">
        <v>20733</v>
      </c>
    </row>
    <row r="5966" spans="1:48">
      <c r="A5966" s="1">
        <f>HYPERLINK("https://lsnyc.legalserver.org/matter/dynamic-profile/view/1897605","19-1897605")</f>
        <v>0</v>
      </c>
      <c r="B5966" t="s">
        <v>70</v>
      </c>
      <c r="C5966" t="s">
        <v>256</v>
      </c>
      <c r="D5966" t="s">
        <v>617</v>
      </c>
      <c r="F5966" t="s">
        <v>2429</v>
      </c>
      <c r="G5966" t="s">
        <v>5544</v>
      </c>
      <c r="H5966" t="s">
        <v>5748</v>
      </c>
      <c r="I5966" t="s">
        <v>8878</v>
      </c>
      <c r="J5966" t="s">
        <v>9059</v>
      </c>
      <c r="K5966">
        <v>11233</v>
      </c>
      <c r="L5966" t="s">
        <v>9094</v>
      </c>
      <c r="M5966" t="s">
        <v>9096</v>
      </c>
      <c r="N5966" t="s">
        <v>9145</v>
      </c>
      <c r="O5966" t="s">
        <v>11134</v>
      </c>
      <c r="P5966" t="s">
        <v>11168</v>
      </c>
      <c r="R5966" t="s">
        <v>11180</v>
      </c>
      <c r="S5966" t="s">
        <v>9094</v>
      </c>
      <c r="T5966" t="s">
        <v>11183</v>
      </c>
      <c r="U5966" t="s">
        <v>11201</v>
      </c>
      <c r="V5966" t="s">
        <v>482</v>
      </c>
      <c r="W5966">
        <v>824.45</v>
      </c>
      <c r="X5966" t="s">
        <v>11332</v>
      </c>
      <c r="Y5966" t="s">
        <v>11342</v>
      </c>
      <c r="Z5966" t="s">
        <v>12272</v>
      </c>
      <c r="AC5966">
        <v>359</v>
      </c>
      <c r="AD5966" t="s">
        <v>19566</v>
      </c>
      <c r="AF5966">
        <v>8</v>
      </c>
      <c r="AG5966">
        <v>1</v>
      </c>
      <c r="AH5966">
        <v>0</v>
      </c>
      <c r="AI5966">
        <v>398.72</v>
      </c>
      <c r="AL5966" t="s">
        <v>19614</v>
      </c>
      <c r="AM5966">
        <v>49800</v>
      </c>
      <c r="AN5966" t="s">
        <v>19644</v>
      </c>
      <c r="AS5966">
        <v>0</v>
      </c>
      <c r="AU5966" t="s">
        <v>95</v>
      </c>
    </row>
    <row r="5967" spans="1:48">
      <c r="A5967" s="1">
        <f>HYPERLINK("https://lsnyc.legalserver.org/matter/dynamic-profile/view/1897606","19-1897606")</f>
        <v>0</v>
      </c>
      <c r="B5967" t="s">
        <v>70</v>
      </c>
      <c r="C5967" t="s">
        <v>256</v>
      </c>
      <c r="D5967" t="s">
        <v>617</v>
      </c>
      <c r="F5967" t="s">
        <v>2429</v>
      </c>
      <c r="G5967" t="s">
        <v>5544</v>
      </c>
      <c r="H5967" t="s">
        <v>5748</v>
      </c>
      <c r="I5967" t="s">
        <v>8878</v>
      </c>
      <c r="J5967" t="s">
        <v>9059</v>
      </c>
      <c r="K5967">
        <v>11233</v>
      </c>
      <c r="L5967" t="s">
        <v>9094</v>
      </c>
      <c r="M5967" t="s">
        <v>9096</v>
      </c>
      <c r="O5967" t="s">
        <v>11137</v>
      </c>
      <c r="P5967" t="s">
        <v>11167</v>
      </c>
      <c r="R5967" t="s">
        <v>11180</v>
      </c>
      <c r="S5967" t="s">
        <v>9094</v>
      </c>
      <c r="T5967" t="s">
        <v>11183</v>
      </c>
      <c r="U5967" t="s">
        <v>11201</v>
      </c>
      <c r="V5967" t="s">
        <v>749</v>
      </c>
      <c r="W5967">
        <v>829.45</v>
      </c>
      <c r="X5967" t="s">
        <v>11332</v>
      </c>
      <c r="Y5967" t="s">
        <v>11342</v>
      </c>
      <c r="Z5967" t="s">
        <v>12272</v>
      </c>
      <c r="AC5967">
        <v>359</v>
      </c>
      <c r="AD5967" t="s">
        <v>19566</v>
      </c>
      <c r="AF5967">
        <v>8</v>
      </c>
      <c r="AG5967">
        <v>1</v>
      </c>
      <c r="AH5967">
        <v>0</v>
      </c>
      <c r="AI5967">
        <v>398.72</v>
      </c>
      <c r="AL5967" t="s">
        <v>19614</v>
      </c>
      <c r="AM5967">
        <v>49800</v>
      </c>
      <c r="AN5967" t="s">
        <v>20216</v>
      </c>
      <c r="AS5967">
        <v>0</v>
      </c>
      <c r="AU5967" t="s">
        <v>95</v>
      </c>
    </row>
    <row r="5968" spans="1:48">
      <c r="A5968" s="1">
        <f>HYPERLINK("https://lsnyc.legalserver.org/matter/dynamic-profile/view/1892569","19-1892569")</f>
        <v>0</v>
      </c>
      <c r="B5968" t="s">
        <v>103</v>
      </c>
      <c r="C5968" t="s">
        <v>256</v>
      </c>
      <c r="D5968" t="s">
        <v>311</v>
      </c>
      <c r="F5968" t="s">
        <v>3235</v>
      </c>
      <c r="G5968" t="s">
        <v>5545</v>
      </c>
      <c r="H5968" t="s">
        <v>5887</v>
      </c>
      <c r="I5968" t="s">
        <v>8745</v>
      </c>
      <c r="J5968" t="s">
        <v>9065</v>
      </c>
      <c r="K5968">
        <v>10453</v>
      </c>
      <c r="L5968" t="s">
        <v>9094</v>
      </c>
      <c r="M5968" t="s">
        <v>9094</v>
      </c>
      <c r="N5968" t="s">
        <v>9352</v>
      </c>
      <c r="O5968" t="s">
        <v>11130</v>
      </c>
      <c r="P5968" t="s">
        <v>11165</v>
      </c>
      <c r="R5968" t="s">
        <v>11180</v>
      </c>
      <c r="S5968" t="s">
        <v>9094</v>
      </c>
      <c r="T5968" t="s">
        <v>11183</v>
      </c>
      <c r="V5968" t="s">
        <v>512</v>
      </c>
      <c r="W5968">
        <v>1044</v>
      </c>
      <c r="X5968" t="s">
        <v>11333</v>
      </c>
      <c r="Y5968" t="s">
        <v>11339</v>
      </c>
      <c r="Z5968" t="s">
        <v>15069</v>
      </c>
      <c r="AB5968" t="s">
        <v>19368</v>
      </c>
      <c r="AC5968">
        <v>170</v>
      </c>
      <c r="AD5968" t="s">
        <v>19566</v>
      </c>
      <c r="AE5968" t="s">
        <v>9144</v>
      </c>
      <c r="AF5968">
        <v>25</v>
      </c>
      <c r="AG5968">
        <v>2</v>
      </c>
      <c r="AH5968">
        <v>0</v>
      </c>
      <c r="AI5968">
        <v>399.76</v>
      </c>
      <c r="AL5968" t="s">
        <v>19614</v>
      </c>
      <c r="AM5968">
        <v>67600</v>
      </c>
      <c r="AS5968">
        <v>0</v>
      </c>
      <c r="AU5968" t="s">
        <v>20647</v>
      </c>
    </row>
    <row r="5969" spans="1:48">
      <c r="A5969" s="1">
        <f>HYPERLINK("https://lsnyc.legalserver.org/matter/dynamic-profile/view/1896017","19-1896017")</f>
        <v>0</v>
      </c>
      <c r="B5969" t="s">
        <v>108</v>
      </c>
      <c r="C5969" t="s">
        <v>257</v>
      </c>
      <c r="D5969" t="s">
        <v>434</v>
      </c>
      <c r="E5969" t="s">
        <v>487</v>
      </c>
      <c r="F5969" t="s">
        <v>1838</v>
      </c>
      <c r="G5969" t="s">
        <v>5546</v>
      </c>
      <c r="H5969" t="s">
        <v>8068</v>
      </c>
      <c r="I5969">
        <v>25</v>
      </c>
      <c r="J5969" t="s">
        <v>9065</v>
      </c>
      <c r="K5969">
        <v>10452</v>
      </c>
      <c r="L5969" t="s">
        <v>9094</v>
      </c>
      <c r="M5969" t="s">
        <v>9095</v>
      </c>
      <c r="P5969" t="s">
        <v>11167</v>
      </c>
      <c r="Q5969" t="s">
        <v>11173</v>
      </c>
      <c r="R5969" t="s">
        <v>11180</v>
      </c>
      <c r="T5969" t="s">
        <v>11192</v>
      </c>
      <c r="V5969" t="s">
        <v>327</v>
      </c>
      <c r="W5969">
        <v>0</v>
      </c>
      <c r="X5969" t="s">
        <v>11333</v>
      </c>
      <c r="Z5969" t="s">
        <v>15070</v>
      </c>
      <c r="AB5969" t="s">
        <v>19369</v>
      </c>
      <c r="AC5969">
        <v>0</v>
      </c>
      <c r="AF5969">
        <v>0</v>
      </c>
      <c r="AG5969">
        <v>3</v>
      </c>
      <c r="AH5969">
        <v>0</v>
      </c>
      <c r="AI5969">
        <v>400.09</v>
      </c>
      <c r="AL5969" t="s">
        <v>19614</v>
      </c>
      <c r="AM5969">
        <v>85340</v>
      </c>
      <c r="AS5969">
        <v>1.4</v>
      </c>
      <c r="AT5969" t="s">
        <v>487</v>
      </c>
      <c r="AU5969" t="s">
        <v>108</v>
      </c>
      <c r="AV5969" t="s">
        <v>20733</v>
      </c>
    </row>
    <row r="5970" spans="1:48">
      <c r="A5970" s="1">
        <f>HYPERLINK("https://lsnyc.legalserver.org/matter/dynamic-profile/view/1912422","19-1912422")</f>
        <v>0</v>
      </c>
      <c r="B5970" t="s">
        <v>52</v>
      </c>
      <c r="C5970" t="s">
        <v>256</v>
      </c>
      <c r="D5970" t="s">
        <v>744</v>
      </c>
      <c r="F5970" t="s">
        <v>3165</v>
      </c>
      <c r="G5970" t="s">
        <v>3650</v>
      </c>
      <c r="H5970" t="s">
        <v>5692</v>
      </c>
      <c r="I5970" t="s">
        <v>8279</v>
      </c>
      <c r="J5970" t="s">
        <v>9038</v>
      </c>
      <c r="K5970">
        <v>11691</v>
      </c>
      <c r="L5970" t="s">
        <v>9094</v>
      </c>
      <c r="M5970" t="s">
        <v>9095</v>
      </c>
      <c r="N5970" t="s">
        <v>9664</v>
      </c>
      <c r="O5970" t="s">
        <v>11130</v>
      </c>
      <c r="P5970" t="s">
        <v>11165</v>
      </c>
      <c r="R5970" t="s">
        <v>11180</v>
      </c>
      <c r="S5970" t="s">
        <v>9096</v>
      </c>
      <c r="T5970" t="s">
        <v>11183</v>
      </c>
      <c r="U5970" t="s">
        <v>11201</v>
      </c>
      <c r="V5970" t="s">
        <v>744</v>
      </c>
      <c r="W5970">
        <v>637</v>
      </c>
      <c r="X5970" t="s">
        <v>11331</v>
      </c>
      <c r="Y5970" t="s">
        <v>11339</v>
      </c>
      <c r="Z5970" t="s">
        <v>14925</v>
      </c>
      <c r="AB5970" t="s">
        <v>19242</v>
      </c>
      <c r="AC5970">
        <v>43</v>
      </c>
      <c r="AD5970" t="s">
        <v>19566</v>
      </c>
      <c r="AE5970" t="s">
        <v>9144</v>
      </c>
      <c r="AF5970">
        <v>28</v>
      </c>
      <c r="AG5970">
        <v>1</v>
      </c>
      <c r="AH5970">
        <v>0</v>
      </c>
      <c r="AI5970">
        <v>400.32</v>
      </c>
      <c r="AL5970" t="s">
        <v>19614</v>
      </c>
      <c r="AM5970">
        <v>50000</v>
      </c>
      <c r="AP5970" t="s">
        <v>11157</v>
      </c>
      <c r="AS5970">
        <v>0.4</v>
      </c>
      <c r="AT5970" t="s">
        <v>744</v>
      </c>
      <c r="AU5970" t="s">
        <v>20620</v>
      </c>
      <c r="AV5970" t="s">
        <v>20733</v>
      </c>
    </row>
    <row r="5971" spans="1:48">
      <c r="A5971" s="1">
        <f>HYPERLINK("https://lsnyc.legalserver.org/matter/dynamic-profile/view/1912412","19-1912412")</f>
        <v>0</v>
      </c>
      <c r="B5971" t="s">
        <v>52</v>
      </c>
      <c r="C5971" t="s">
        <v>256</v>
      </c>
      <c r="D5971" t="s">
        <v>744</v>
      </c>
      <c r="F5971" t="s">
        <v>3165</v>
      </c>
      <c r="G5971" t="s">
        <v>3650</v>
      </c>
      <c r="H5971" t="s">
        <v>5692</v>
      </c>
      <c r="I5971" t="s">
        <v>8279</v>
      </c>
      <c r="J5971" t="s">
        <v>9038</v>
      </c>
      <c r="K5971">
        <v>11691</v>
      </c>
      <c r="L5971" t="s">
        <v>9094</v>
      </c>
      <c r="M5971" t="s">
        <v>9095</v>
      </c>
      <c r="O5971" t="s">
        <v>11129</v>
      </c>
      <c r="P5971" t="s">
        <v>11166</v>
      </c>
      <c r="R5971" t="s">
        <v>11180</v>
      </c>
      <c r="S5971" t="s">
        <v>9094</v>
      </c>
      <c r="T5971" t="s">
        <v>11183</v>
      </c>
      <c r="V5971" t="s">
        <v>744</v>
      </c>
      <c r="W5971">
        <v>637</v>
      </c>
      <c r="X5971" t="s">
        <v>11331</v>
      </c>
      <c r="Y5971" t="s">
        <v>11339</v>
      </c>
      <c r="Z5971" t="s">
        <v>14925</v>
      </c>
      <c r="AB5971" t="s">
        <v>19242</v>
      </c>
      <c r="AC5971">
        <v>43</v>
      </c>
      <c r="AD5971" t="s">
        <v>19566</v>
      </c>
      <c r="AE5971" t="s">
        <v>9144</v>
      </c>
      <c r="AF5971">
        <v>28</v>
      </c>
      <c r="AG5971">
        <v>1</v>
      </c>
      <c r="AH5971">
        <v>0</v>
      </c>
      <c r="AI5971">
        <v>400.32</v>
      </c>
      <c r="AL5971" t="s">
        <v>19614</v>
      </c>
      <c r="AM5971">
        <v>50000</v>
      </c>
      <c r="AS5971">
        <v>0.5</v>
      </c>
      <c r="AT5971" t="s">
        <v>744</v>
      </c>
      <c r="AU5971" t="s">
        <v>20620</v>
      </c>
      <c r="AV5971" t="s">
        <v>20733</v>
      </c>
    </row>
    <row r="5972" spans="1:48">
      <c r="A5972" s="1">
        <f>HYPERLINK("https://lsnyc.legalserver.org/matter/dynamic-profile/view/1915229","19-1915229")</f>
        <v>0</v>
      </c>
      <c r="B5972" t="s">
        <v>52</v>
      </c>
      <c r="C5972" t="s">
        <v>256</v>
      </c>
      <c r="D5972" t="s">
        <v>321</v>
      </c>
      <c r="F5972" t="s">
        <v>3165</v>
      </c>
      <c r="G5972" t="s">
        <v>3650</v>
      </c>
      <c r="H5972" t="s">
        <v>5692</v>
      </c>
      <c r="I5972" t="s">
        <v>8279</v>
      </c>
      <c r="J5972" t="s">
        <v>9038</v>
      </c>
      <c r="K5972">
        <v>11691</v>
      </c>
      <c r="L5972" t="s">
        <v>9094</v>
      </c>
      <c r="M5972" t="s">
        <v>9095</v>
      </c>
      <c r="O5972" t="s">
        <v>11129</v>
      </c>
      <c r="P5972" t="s">
        <v>11165</v>
      </c>
      <c r="R5972" t="s">
        <v>11180</v>
      </c>
      <c r="S5972" t="s">
        <v>9096</v>
      </c>
      <c r="T5972" t="s">
        <v>11183</v>
      </c>
      <c r="V5972" t="s">
        <v>321</v>
      </c>
      <c r="W5972">
        <v>637</v>
      </c>
      <c r="X5972" t="s">
        <v>11331</v>
      </c>
      <c r="Y5972" t="s">
        <v>11339</v>
      </c>
      <c r="Z5972" t="s">
        <v>14925</v>
      </c>
      <c r="AB5972" t="s">
        <v>19370</v>
      </c>
      <c r="AC5972">
        <v>43</v>
      </c>
      <c r="AD5972" t="s">
        <v>19566</v>
      </c>
      <c r="AE5972" t="s">
        <v>9144</v>
      </c>
      <c r="AF5972">
        <v>28</v>
      </c>
      <c r="AG5972">
        <v>1</v>
      </c>
      <c r="AH5972">
        <v>0</v>
      </c>
      <c r="AI5972">
        <v>400.32</v>
      </c>
      <c r="AL5972" t="s">
        <v>19614</v>
      </c>
      <c r="AM5972">
        <v>50000</v>
      </c>
      <c r="AS5972">
        <v>0.5</v>
      </c>
      <c r="AT5972" t="s">
        <v>321</v>
      </c>
      <c r="AU5972" t="s">
        <v>20620</v>
      </c>
      <c r="AV5972" t="s">
        <v>20733</v>
      </c>
    </row>
    <row r="5973" spans="1:48">
      <c r="A5973" s="1">
        <f>HYPERLINK("https://lsnyc.legalserver.org/matter/dynamic-profile/view/1897589","19-1897589")</f>
        <v>0</v>
      </c>
      <c r="B5973" t="s">
        <v>50</v>
      </c>
      <c r="C5973" t="s">
        <v>256</v>
      </c>
      <c r="D5973" t="s">
        <v>617</v>
      </c>
      <c r="F5973" t="s">
        <v>3236</v>
      </c>
      <c r="G5973" t="s">
        <v>3332</v>
      </c>
      <c r="H5973" t="s">
        <v>6802</v>
      </c>
      <c r="I5973" t="s">
        <v>8937</v>
      </c>
      <c r="J5973" t="s">
        <v>9054</v>
      </c>
      <c r="K5973">
        <v>11368</v>
      </c>
      <c r="L5973" t="s">
        <v>9094</v>
      </c>
      <c r="M5973" t="s">
        <v>9094</v>
      </c>
      <c r="N5973" t="s">
        <v>9953</v>
      </c>
      <c r="O5973" t="s">
        <v>11134</v>
      </c>
      <c r="P5973" t="s">
        <v>11168</v>
      </c>
      <c r="R5973" t="s">
        <v>11180</v>
      </c>
      <c r="S5973" t="s">
        <v>9094</v>
      </c>
      <c r="T5973" t="s">
        <v>11183</v>
      </c>
      <c r="U5973" t="s">
        <v>11201</v>
      </c>
      <c r="V5973" t="s">
        <v>598</v>
      </c>
      <c r="W5973">
        <v>1252.55</v>
      </c>
      <c r="X5973" t="s">
        <v>11331</v>
      </c>
      <c r="Y5973" t="s">
        <v>11157</v>
      </c>
      <c r="Z5973" t="s">
        <v>15071</v>
      </c>
      <c r="AA5973" t="s">
        <v>15274</v>
      </c>
      <c r="AB5973" t="s">
        <v>19371</v>
      </c>
      <c r="AC5973">
        <v>70</v>
      </c>
      <c r="AD5973" t="s">
        <v>19566</v>
      </c>
      <c r="AE5973" t="s">
        <v>9144</v>
      </c>
      <c r="AF5973">
        <v>43</v>
      </c>
      <c r="AG5973">
        <v>1</v>
      </c>
      <c r="AH5973">
        <v>0</v>
      </c>
      <c r="AI5973">
        <v>400.32</v>
      </c>
      <c r="AM5973">
        <v>50000</v>
      </c>
      <c r="AS5973">
        <v>0</v>
      </c>
      <c r="AU5973" t="s">
        <v>50</v>
      </c>
      <c r="AV5973" t="s">
        <v>20733</v>
      </c>
    </row>
    <row r="5974" spans="1:48">
      <c r="A5974" s="1">
        <f>HYPERLINK("https://lsnyc.legalserver.org/matter/dynamic-profile/view/1907585","19-1907585")</f>
        <v>0</v>
      </c>
      <c r="B5974" t="s">
        <v>82</v>
      </c>
      <c r="C5974" t="s">
        <v>256</v>
      </c>
      <c r="D5974" t="s">
        <v>416</v>
      </c>
      <c r="F5974" t="s">
        <v>2976</v>
      </c>
      <c r="G5974" t="s">
        <v>4451</v>
      </c>
      <c r="H5974" t="s">
        <v>5776</v>
      </c>
      <c r="I5974" t="s">
        <v>8151</v>
      </c>
      <c r="J5974" t="s">
        <v>9059</v>
      </c>
      <c r="K5974">
        <v>11226</v>
      </c>
      <c r="L5974" t="s">
        <v>9094</v>
      </c>
      <c r="M5974" t="s">
        <v>9095</v>
      </c>
      <c r="O5974" t="s">
        <v>11130</v>
      </c>
      <c r="P5974" t="s">
        <v>11165</v>
      </c>
      <c r="R5974" t="s">
        <v>11180</v>
      </c>
      <c r="S5974" t="s">
        <v>9094</v>
      </c>
      <c r="T5974" t="s">
        <v>11183</v>
      </c>
      <c r="V5974" t="s">
        <v>416</v>
      </c>
      <c r="W5974">
        <v>786.46</v>
      </c>
      <c r="X5974" t="s">
        <v>11332</v>
      </c>
      <c r="Z5974" t="s">
        <v>15072</v>
      </c>
      <c r="AB5974" t="s">
        <v>19372</v>
      </c>
      <c r="AC5974">
        <v>16</v>
      </c>
      <c r="AD5974" t="s">
        <v>19566</v>
      </c>
      <c r="AF5974">
        <v>19</v>
      </c>
      <c r="AG5974">
        <v>1</v>
      </c>
      <c r="AH5974">
        <v>0</v>
      </c>
      <c r="AI5974">
        <v>400.32</v>
      </c>
      <c r="AL5974" t="s">
        <v>19614</v>
      </c>
      <c r="AM5974">
        <v>50000</v>
      </c>
      <c r="AS5974">
        <v>22.1</v>
      </c>
      <c r="AT5974" t="s">
        <v>487</v>
      </c>
      <c r="AU5974" t="s">
        <v>215</v>
      </c>
      <c r="AV5974" t="s">
        <v>20733</v>
      </c>
    </row>
    <row r="5975" spans="1:48">
      <c r="A5975" s="1">
        <f>HYPERLINK("https://lsnyc.legalserver.org/matter/dynamic-profile/view/1911473","19-1911473")</f>
        <v>0</v>
      </c>
      <c r="B5975" t="s">
        <v>82</v>
      </c>
      <c r="C5975" t="s">
        <v>256</v>
      </c>
      <c r="D5975" t="s">
        <v>362</v>
      </c>
      <c r="F5975" t="s">
        <v>2976</v>
      </c>
      <c r="G5975" t="s">
        <v>4451</v>
      </c>
      <c r="H5975" t="s">
        <v>5776</v>
      </c>
      <c r="I5975" t="s">
        <v>8151</v>
      </c>
      <c r="J5975" t="s">
        <v>9059</v>
      </c>
      <c r="K5975">
        <v>11226</v>
      </c>
      <c r="L5975" t="s">
        <v>9094</v>
      </c>
      <c r="M5975" t="s">
        <v>9095</v>
      </c>
      <c r="P5975" t="s">
        <v>11165</v>
      </c>
      <c r="R5975" t="s">
        <v>11180</v>
      </c>
      <c r="S5975" t="s">
        <v>9096</v>
      </c>
      <c r="T5975" t="s">
        <v>11183</v>
      </c>
      <c r="V5975" t="s">
        <v>832</v>
      </c>
      <c r="W5975">
        <v>786.46</v>
      </c>
      <c r="X5975" t="s">
        <v>11332</v>
      </c>
      <c r="Z5975" t="s">
        <v>15072</v>
      </c>
      <c r="AB5975" t="s">
        <v>19372</v>
      </c>
      <c r="AC5975">
        <v>16</v>
      </c>
      <c r="AF5975">
        <v>19</v>
      </c>
      <c r="AG5975">
        <v>1</v>
      </c>
      <c r="AH5975">
        <v>0</v>
      </c>
      <c r="AI5975">
        <v>400.32</v>
      </c>
      <c r="AL5975" t="s">
        <v>19614</v>
      </c>
      <c r="AM5975">
        <v>50000</v>
      </c>
      <c r="AS5975">
        <v>1.1</v>
      </c>
      <c r="AT5975" t="s">
        <v>1130</v>
      </c>
      <c r="AU5975" t="s">
        <v>215</v>
      </c>
      <c r="AV5975" t="s">
        <v>20733</v>
      </c>
    </row>
    <row r="5976" spans="1:48">
      <c r="A5976" s="1">
        <f>HYPERLINK("https://lsnyc.legalserver.org/matter/dynamic-profile/view/1903287","19-1903287")</f>
        <v>0</v>
      </c>
      <c r="B5976" t="s">
        <v>83</v>
      </c>
      <c r="C5976" t="s">
        <v>257</v>
      </c>
      <c r="D5976" t="s">
        <v>280</v>
      </c>
      <c r="E5976" t="s">
        <v>312</v>
      </c>
      <c r="F5976" t="s">
        <v>1206</v>
      </c>
      <c r="G5976" t="s">
        <v>5547</v>
      </c>
      <c r="H5976" t="s">
        <v>8069</v>
      </c>
      <c r="I5976">
        <v>2</v>
      </c>
      <c r="J5976" t="s">
        <v>9059</v>
      </c>
      <c r="K5976">
        <v>11215</v>
      </c>
      <c r="L5976" t="s">
        <v>9094</v>
      </c>
      <c r="M5976" t="s">
        <v>9095</v>
      </c>
      <c r="P5976" t="s">
        <v>11167</v>
      </c>
      <c r="Q5976" t="s">
        <v>11172</v>
      </c>
      <c r="R5976" t="s">
        <v>11180</v>
      </c>
      <c r="S5976" t="s">
        <v>9096</v>
      </c>
      <c r="T5976" t="s">
        <v>11183</v>
      </c>
      <c r="V5976" t="s">
        <v>280</v>
      </c>
      <c r="W5976">
        <v>0</v>
      </c>
      <c r="X5976" t="s">
        <v>11332</v>
      </c>
      <c r="Z5976" t="s">
        <v>15073</v>
      </c>
      <c r="AC5976">
        <v>0</v>
      </c>
      <c r="AF5976">
        <v>0</v>
      </c>
      <c r="AG5976">
        <v>1</v>
      </c>
      <c r="AH5976">
        <v>0</v>
      </c>
      <c r="AI5976">
        <v>400.32</v>
      </c>
      <c r="AL5976" t="s">
        <v>19614</v>
      </c>
      <c r="AM5976">
        <v>50000</v>
      </c>
      <c r="AQ5976" t="s">
        <v>20369</v>
      </c>
      <c r="AR5976" t="s">
        <v>20579</v>
      </c>
      <c r="AS5976">
        <v>0.3</v>
      </c>
      <c r="AT5976" t="s">
        <v>414</v>
      </c>
      <c r="AU5976" t="s">
        <v>215</v>
      </c>
      <c r="AV5976" t="s">
        <v>20733</v>
      </c>
    </row>
    <row r="5977" spans="1:48">
      <c r="A5977" s="1">
        <f>HYPERLINK("https://lsnyc.legalserver.org/matter/dynamic-profile/view/1892978","19-1892978")</f>
        <v>0</v>
      </c>
      <c r="B5977" t="s">
        <v>108</v>
      </c>
      <c r="C5977" t="s">
        <v>256</v>
      </c>
      <c r="D5977" t="s">
        <v>423</v>
      </c>
      <c r="F5977" t="s">
        <v>3237</v>
      </c>
      <c r="G5977" t="s">
        <v>5548</v>
      </c>
      <c r="H5977" t="s">
        <v>7248</v>
      </c>
      <c r="I5977" t="s">
        <v>8112</v>
      </c>
      <c r="J5977" t="s">
        <v>9065</v>
      </c>
      <c r="K5977">
        <v>10467</v>
      </c>
      <c r="L5977" t="s">
        <v>9094</v>
      </c>
      <c r="M5977" t="s">
        <v>9094</v>
      </c>
      <c r="O5977" t="s">
        <v>11137</v>
      </c>
      <c r="P5977" t="s">
        <v>11166</v>
      </c>
      <c r="R5977" t="s">
        <v>11180</v>
      </c>
      <c r="S5977" t="s">
        <v>9094</v>
      </c>
      <c r="T5977" t="s">
        <v>11183</v>
      </c>
      <c r="V5977" t="s">
        <v>11218</v>
      </c>
      <c r="W5977">
        <v>1300</v>
      </c>
      <c r="X5977" t="s">
        <v>11333</v>
      </c>
      <c r="Y5977" t="s">
        <v>11339</v>
      </c>
      <c r="Z5977" t="s">
        <v>15074</v>
      </c>
      <c r="AB5977" t="s">
        <v>19373</v>
      </c>
      <c r="AC5977">
        <v>122</v>
      </c>
      <c r="AD5977" t="s">
        <v>19565</v>
      </c>
      <c r="AE5977" t="s">
        <v>9144</v>
      </c>
      <c r="AF5977">
        <v>-1</v>
      </c>
      <c r="AG5977">
        <v>1</v>
      </c>
      <c r="AH5977">
        <v>0</v>
      </c>
      <c r="AI5977">
        <v>400.32</v>
      </c>
      <c r="AL5977" t="s">
        <v>19614</v>
      </c>
      <c r="AM5977">
        <v>50000</v>
      </c>
      <c r="AS5977">
        <v>0</v>
      </c>
      <c r="AU5977" t="s">
        <v>220</v>
      </c>
      <c r="AV5977" t="s">
        <v>20733</v>
      </c>
    </row>
    <row r="5978" spans="1:48">
      <c r="A5978" s="1">
        <f>HYPERLINK("https://lsnyc.legalserver.org/matter/dynamic-profile/view/1893040","19-1893040")</f>
        <v>0</v>
      </c>
      <c r="B5978" t="s">
        <v>108</v>
      </c>
      <c r="C5978" t="s">
        <v>256</v>
      </c>
      <c r="D5978" t="s">
        <v>423</v>
      </c>
      <c r="F5978" t="s">
        <v>3205</v>
      </c>
      <c r="G5978" t="s">
        <v>4246</v>
      </c>
      <c r="H5978" t="s">
        <v>5859</v>
      </c>
      <c r="I5978" t="s">
        <v>8207</v>
      </c>
      <c r="J5978" t="s">
        <v>9065</v>
      </c>
      <c r="K5978">
        <v>10467</v>
      </c>
      <c r="L5978" t="s">
        <v>9094</v>
      </c>
      <c r="M5978" t="s">
        <v>9094</v>
      </c>
      <c r="P5978" t="s">
        <v>11166</v>
      </c>
      <c r="R5978" t="s">
        <v>11180</v>
      </c>
      <c r="S5978" t="s">
        <v>9094</v>
      </c>
      <c r="T5978" t="s">
        <v>11183</v>
      </c>
      <c r="V5978" t="s">
        <v>11218</v>
      </c>
      <c r="W5978">
        <v>1250</v>
      </c>
      <c r="X5978" t="s">
        <v>11333</v>
      </c>
      <c r="Y5978" t="s">
        <v>11339</v>
      </c>
      <c r="Z5978" t="s">
        <v>15075</v>
      </c>
      <c r="AB5978" t="s">
        <v>19374</v>
      </c>
      <c r="AC5978">
        <v>122</v>
      </c>
      <c r="AD5978" t="s">
        <v>19565</v>
      </c>
      <c r="AF5978">
        <v>9</v>
      </c>
      <c r="AG5978">
        <v>1</v>
      </c>
      <c r="AH5978">
        <v>0</v>
      </c>
      <c r="AI5978">
        <v>400.32</v>
      </c>
      <c r="AL5978" t="s">
        <v>19614</v>
      </c>
      <c r="AM5978">
        <v>50000</v>
      </c>
      <c r="AS5978">
        <v>0</v>
      </c>
      <c r="AU5978" t="s">
        <v>220</v>
      </c>
      <c r="AV5978" t="s">
        <v>20733</v>
      </c>
    </row>
    <row r="5979" spans="1:48">
      <c r="A5979" s="1">
        <f>HYPERLINK("https://lsnyc.legalserver.org/matter/dynamic-profile/view/1891151","19-1891151")</f>
        <v>0</v>
      </c>
      <c r="B5979" t="s">
        <v>98</v>
      </c>
      <c r="C5979" t="s">
        <v>257</v>
      </c>
      <c r="D5979" t="s">
        <v>491</v>
      </c>
      <c r="E5979" t="s">
        <v>676</v>
      </c>
      <c r="F5979" t="s">
        <v>2815</v>
      </c>
      <c r="G5979" t="s">
        <v>4152</v>
      </c>
      <c r="H5979" t="s">
        <v>7643</v>
      </c>
      <c r="I5979" t="s">
        <v>8446</v>
      </c>
      <c r="J5979" t="s">
        <v>9065</v>
      </c>
      <c r="K5979">
        <v>10461</v>
      </c>
      <c r="L5979" t="s">
        <v>9094</v>
      </c>
      <c r="M5979" t="s">
        <v>9094</v>
      </c>
      <c r="O5979" t="s">
        <v>11134</v>
      </c>
      <c r="P5979" t="s">
        <v>11167</v>
      </c>
      <c r="Q5979" t="s">
        <v>11173</v>
      </c>
      <c r="R5979" t="s">
        <v>11180</v>
      </c>
      <c r="S5979" t="s">
        <v>9094</v>
      </c>
      <c r="T5979" t="s">
        <v>11183</v>
      </c>
      <c r="V5979" t="s">
        <v>596</v>
      </c>
      <c r="W5979">
        <v>1503</v>
      </c>
      <c r="X5979" t="s">
        <v>11333</v>
      </c>
      <c r="Y5979" t="s">
        <v>11346</v>
      </c>
      <c r="Z5979" t="s">
        <v>12556</v>
      </c>
      <c r="AB5979" t="s">
        <v>19375</v>
      </c>
      <c r="AC5979">
        <v>125</v>
      </c>
      <c r="AD5979" t="s">
        <v>19566</v>
      </c>
      <c r="AE5979" t="s">
        <v>9144</v>
      </c>
      <c r="AF5979">
        <v>1</v>
      </c>
      <c r="AG5979">
        <v>1</v>
      </c>
      <c r="AH5979">
        <v>0</v>
      </c>
      <c r="AI5979">
        <v>400.32</v>
      </c>
      <c r="AL5979" t="s">
        <v>19614</v>
      </c>
      <c r="AM5979">
        <v>50000</v>
      </c>
      <c r="AS5979">
        <v>0.06</v>
      </c>
      <c r="AT5979" t="s">
        <v>676</v>
      </c>
      <c r="AU5979" t="s">
        <v>20642</v>
      </c>
    </row>
    <row r="5980" spans="1:48">
      <c r="A5980" s="1">
        <f>HYPERLINK("https://lsnyc.legalserver.org/matter/dynamic-profile/view/1900549","19-1900549")</f>
        <v>0</v>
      </c>
      <c r="B5980" t="s">
        <v>113</v>
      </c>
      <c r="C5980" t="s">
        <v>256</v>
      </c>
      <c r="D5980" t="s">
        <v>283</v>
      </c>
      <c r="F5980" t="s">
        <v>3238</v>
      </c>
      <c r="G5980" t="s">
        <v>3195</v>
      </c>
      <c r="H5980" t="s">
        <v>5864</v>
      </c>
      <c r="I5980" t="s">
        <v>8308</v>
      </c>
      <c r="J5980" t="s">
        <v>9065</v>
      </c>
      <c r="K5980">
        <v>10460</v>
      </c>
      <c r="L5980" t="s">
        <v>9094</v>
      </c>
      <c r="M5980" t="s">
        <v>9095</v>
      </c>
      <c r="O5980" t="s">
        <v>9121</v>
      </c>
      <c r="P5980" t="s">
        <v>11166</v>
      </c>
      <c r="R5980" t="s">
        <v>11180</v>
      </c>
      <c r="S5980" t="s">
        <v>9094</v>
      </c>
      <c r="T5980" t="s">
        <v>11183</v>
      </c>
      <c r="V5980" t="s">
        <v>11218</v>
      </c>
      <c r="W5980">
        <v>1169</v>
      </c>
      <c r="X5980" t="s">
        <v>11333</v>
      </c>
      <c r="Y5980" t="s">
        <v>11346</v>
      </c>
      <c r="Z5980" t="s">
        <v>15076</v>
      </c>
      <c r="AC5980">
        <v>168</v>
      </c>
      <c r="AD5980" t="s">
        <v>19569</v>
      </c>
      <c r="AE5980" t="s">
        <v>11157</v>
      </c>
      <c r="AF5980">
        <v>11</v>
      </c>
      <c r="AG5980">
        <v>1</v>
      </c>
      <c r="AH5980">
        <v>0</v>
      </c>
      <c r="AI5980">
        <v>400.32</v>
      </c>
      <c r="AL5980" t="s">
        <v>19614</v>
      </c>
      <c r="AM5980">
        <v>50000</v>
      </c>
      <c r="AS5980">
        <v>0</v>
      </c>
      <c r="AU5980" t="s">
        <v>20642</v>
      </c>
      <c r="AV5980" t="s">
        <v>20733</v>
      </c>
    </row>
    <row r="5981" spans="1:48">
      <c r="A5981" s="1">
        <f>HYPERLINK("https://lsnyc.legalserver.org/matter/dynamic-profile/view/1899106","19-1899106")</f>
        <v>0</v>
      </c>
      <c r="B5981" t="s">
        <v>98</v>
      </c>
      <c r="C5981" t="s">
        <v>257</v>
      </c>
      <c r="D5981" t="s">
        <v>492</v>
      </c>
      <c r="E5981" t="s">
        <v>574</v>
      </c>
      <c r="F5981" t="s">
        <v>2598</v>
      </c>
      <c r="G5981" t="s">
        <v>3503</v>
      </c>
      <c r="H5981" t="s">
        <v>5904</v>
      </c>
      <c r="I5981" t="s">
        <v>8171</v>
      </c>
      <c r="J5981" t="s">
        <v>9065</v>
      </c>
      <c r="K5981">
        <v>10452</v>
      </c>
      <c r="L5981" t="s">
        <v>9094</v>
      </c>
      <c r="M5981" t="s">
        <v>9095</v>
      </c>
      <c r="O5981" t="s">
        <v>11134</v>
      </c>
      <c r="P5981" t="s">
        <v>11167</v>
      </c>
      <c r="Q5981" t="s">
        <v>11173</v>
      </c>
      <c r="R5981" t="s">
        <v>11180</v>
      </c>
      <c r="S5981" t="s">
        <v>9096</v>
      </c>
      <c r="T5981" t="s">
        <v>11183</v>
      </c>
      <c r="V5981" t="s">
        <v>299</v>
      </c>
      <c r="W5981">
        <v>1164.24</v>
      </c>
      <c r="X5981" t="s">
        <v>11333</v>
      </c>
      <c r="Y5981" t="s">
        <v>11346</v>
      </c>
      <c r="Z5981" t="s">
        <v>15077</v>
      </c>
      <c r="AB5981" t="s">
        <v>19376</v>
      </c>
      <c r="AC5981">
        <v>41</v>
      </c>
      <c r="AD5981" t="s">
        <v>19576</v>
      </c>
      <c r="AE5981" t="s">
        <v>9144</v>
      </c>
      <c r="AF5981">
        <v>6</v>
      </c>
      <c r="AG5981">
        <v>1</v>
      </c>
      <c r="AH5981">
        <v>0</v>
      </c>
      <c r="AI5981">
        <v>400.32</v>
      </c>
      <c r="AL5981" t="s">
        <v>19614</v>
      </c>
      <c r="AM5981">
        <v>50000</v>
      </c>
      <c r="AS5981">
        <v>0.25</v>
      </c>
      <c r="AT5981" t="s">
        <v>335</v>
      </c>
      <c r="AU5981" t="s">
        <v>20642</v>
      </c>
      <c r="AV5981" t="s">
        <v>20733</v>
      </c>
    </row>
    <row r="5982" spans="1:48">
      <c r="A5982" s="1">
        <f>HYPERLINK("https://lsnyc.legalserver.org/matter/dynamic-profile/view/1908715","19-1908715")</f>
        <v>0</v>
      </c>
      <c r="B5982" t="s">
        <v>132</v>
      </c>
      <c r="C5982" t="s">
        <v>257</v>
      </c>
      <c r="D5982" t="s">
        <v>326</v>
      </c>
      <c r="E5982" t="s">
        <v>806</v>
      </c>
      <c r="F5982" t="s">
        <v>3239</v>
      </c>
      <c r="G5982" t="s">
        <v>5549</v>
      </c>
      <c r="H5982" t="s">
        <v>8070</v>
      </c>
      <c r="I5982">
        <v>33</v>
      </c>
      <c r="J5982" t="s">
        <v>9067</v>
      </c>
      <c r="K5982">
        <v>10040</v>
      </c>
      <c r="L5982" t="s">
        <v>9094</v>
      </c>
      <c r="M5982" t="s">
        <v>9095</v>
      </c>
      <c r="O5982" t="s">
        <v>9121</v>
      </c>
      <c r="P5982" t="s">
        <v>11164</v>
      </c>
      <c r="Q5982" t="s">
        <v>11172</v>
      </c>
      <c r="R5982" t="s">
        <v>11180</v>
      </c>
      <c r="S5982" t="s">
        <v>9096</v>
      </c>
      <c r="T5982" t="s">
        <v>11183</v>
      </c>
      <c r="V5982" t="s">
        <v>326</v>
      </c>
      <c r="W5982">
        <v>0</v>
      </c>
      <c r="X5982" t="s">
        <v>11335</v>
      </c>
      <c r="Y5982" t="s">
        <v>11338</v>
      </c>
      <c r="Z5982" t="s">
        <v>15078</v>
      </c>
      <c r="AB5982" t="s">
        <v>19377</v>
      </c>
      <c r="AC5982">
        <v>0</v>
      </c>
      <c r="AD5982" t="s">
        <v>19566</v>
      </c>
      <c r="AE5982" t="s">
        <v>9144</v>
      </c>
      <c r="AF5982">
        <v>23</v>
      </c>
      <c r="AG5982">
        <v>1</v>
      </c>
      <c r="AH5982">
        <v>0</v>
      </c>
      <c r="AI5982">
        <v>400.32</v>
      </c>
      <c r="AL5982" t="s">
        <v>19614</v>
      </c>
      <c r="AM5982">
        <v>50000</v>
      </c>
      <c r="AS5982">
        <v>2.1</v>
      </c>
      <c r="AT5982" t="s">
        <v>806</v>
      </c>
      <c r="AU5982" t="s">
        <v>130</v>
      </c>
      <c r="AV5982" t="s">
        <v>20733</v>
      </c>
    </row>
    <row r="5983" spans="1:48">
      <c r="A5983" s="1">
        <f>HYPERLINK("https://lsnyc.legalserver.org/matter/dynamic-profile/view/1913352","19-1913352")</f>
        <v>0</v>
      </c>
      <c r="B5983" t="s">
        <v>240</v>
      </c>
      <c r="C5983" t="s">
        <v>256</v>
      </c>
      <c r="D5983" t="s">
        <v>286</v>
      </c>
      <c r="F5983" t="s">
        <v>1476</v>
      </c>
      <c r="G5983" t="s">
        <v>3657</v>
      </c>
      <c r="H5983" t="s">
        <v>6023</v>
      </c>
      <c r="I5983" t="s">
        <v>8287</v>
      </c>
      <c r="J5983" t="s">
        <v>9067</v>
      </c>
      <c r="K5983">
        <v>10035</v>
      </c>
      <c r="L5983" t="s">
        <v>9094</v>
      </c>
      <c r="M5983" t="s">
        <v>9095</v>
      </c>
      <c r="O5983" t="s">
        <v>11131</v>
      </c>
      <c r="P5983" t="s">
        <v>11166</v>
      </c>
      <c r="R5983" t="s">
        <v>11180</v>
      </c>
      <c r="S5983" t="s">
        <v>9096</v>
      </c>
      <c r="T5983" t="s">
        <v>11191</v>
      </c>
      <c r="U5983" t="s">
        <v>11201</v>
      </c>
      <c r="V5983" t="s">
        <v>1063</v>
      </c>
      <c r="W5983">
        <v>1390</v>
      </c>
      <c r="X5983" t="s">
        <v>11335</v>
      </c>
      <c r="Z5983" t="s">
        <v>11750</v>
      </c>
      <c r="AB5983" t="s">
        <v>16213</v>
      </c>
      <c r="AC5983">
        <v>0</v>
      </c>
      <c r="AD5983" t="s">
        <v>19566</v>
      </c>
      <c r="AF5983">
        <v>19</v>
      </c>
      <c r="AG5983">
        <v>1</v>
      </c>
      <c r="AH5983">
        <v>0</v>
      </c>
      <c r="AI5983">
        <v>400.32</v>
      </c>
      <c r="AL5983" t="s">
        <v>19614</v>
      </c>
      <c r="AM5983">
        <v>50000</v>
      </c>
      <c r="AS5983">
        <v>0</v>
      </c>
      <c r="AU5983" t="s">
        <v>20657</v>
      </c>
      <c r="AV5983" t="s">
        <v>20733</v>
      </c>
    </row>
    <row r="5984" spans="1:48">
      <c r="A5984" s="1">
        <f>HYPERLINK("https://lsnyc.legalserver.org/matter/dynamic-profile/view/1856067","18-1856067")</f>
        <v>0</v>
      </c>
      <c r="B5984" t="s">
        <v>139</v>
      </c>
      <c r="C5984" t="s">
        <v>256</v>
      </c>
      <c r="D5984" t="s">
        <v>898</v>
      </c>
      <c r="F5984" t="s">
        <v>1748</v>
      </c>
      <c r="G5984" t="s">
        <v>4176</v>
      </c>
      <c r="H5984" t="s">
        <v>5948</v>
      </c>
      <c r="I5984" t="s">
        <v>8517</v>
      </c>
      <c r="J5984" t="s">
        <v>9067</v>
      </c>
      <c r="K5984">
        <v>10034</v>
      </c>
      <c r="L5984" t="s">
        <v>9094</v>
      </c>
      <c r="M5984" t="s">
        <v>9095</v>
      </c>
      <c r="O5984" t="s">
        <v>11130</v>
      </c>
      <c r="P5984" t="s">
        <v>11165</v>
      </c>
      <c r="R5984" t="s">
        <v>11180</v>
      </c>
      <c r="S5984" t="s">
        <v>9094</v>
      </c>
      <c r="T5984" t="s">
        <v>11183</v>
      </c>
      <c r="V5984" t="s">
        <v>898</v>
      </c>
      <c r="W5984">
        <v>946.1799999999999</v>
      </c>
      <c r="X5984" t="s">
        <v>11335</v>
      </c>
      <c r="Y5984" t="s">
        <v>11157</v>
      </c>
      <c r="Z5984" t="s">
        <v>13599</v>
      </c>
      <c r="AC5984">
        <v>49</v>
      </c>
      <c r="AD5984" t="s">
        <v>19566</v>
      </c>
      <c r="AE5984" t="s">
        <v>19587</v>
      </c>
      <c r="AF5984">
        <v>33</v>
      </c>
      <c r="AG5984">
        <v>2</v>
      </c>
      <c r="AH5984">
        <v>0</v>
      </c>
      <c r="AI5984">
        <v>401.92</v>
      </c>
      <c r="AL5984" t="s">
        <v>19615</v>
      </c>
      <c r="AM5984">
        <v>65272</v>
      </c>
      <c r="AS5984">
        <v>0.2</v>
      </c>
      <c r="AT5984" t="s">
        <v>746</v>
      </c>
      <c r="AU5984" t="s">
        <v>130</v>
      </c>
    </row>
    <row r="5985" spans="1:48">
      <c r="A5985" s="1">
        <f>HYPERLINK("https://lsnyc.legalserver.org/matter/dynamic-profile/view/1868401","18-1868401")</f>
        <v>0</v>
      </c>
      <c r="B5985" t="s">
        <v>86</v>
      </c>
      <c r="C5985" t="s">
        <v>256</v>
      </c>
      <c r="D5985" t="s">
        <v>810</v>
      </c>
      <c r="F5985" t="s">
        <v>3232</v>
      </c>
      <c r="G5985" t="s">
        <v>5539</v>
      </c>
      <c r="H5985" t="s">
        <v>6097</v>
      </c>
      <c r="I5985" t="s">
        <v>8410</v>
      </c>
      <c r="J5985" t="s">
        <v>9059</v>
      </c>
      <c r="K5985">
        <v>11226</v>
      </c>
      <c r="L5985" t="s">
        <v>9094</v>
      </c>
      <c r="M5985" t="s">
        <v>9094</v>
      </c>
      <c r="N5985" t="s">
        <v>11097</v>
      </c>
      <c r="O5985" t="s">
        <v>11129</v>
      </c>
      <c r="P5985" t="s">
        <v>11165</v>
      </c>
      <c r="R5985" t="s">
        <v>11180</v>
      </c>
      <c r="S5985" t="s">
        <v>9094</v>
      </c>
      <c r="T5985" t="s">
        <v>11183</v>
      </c>
      <c r="V5985" t="s">
        <v>906</v>
      </c>
      <c r="W5985">
        <v>1119.66</v>
      </c>
      <c r="X5985" t="s">
        <v>11332</v>
      </c>
      <c r="Y5985" t="s">
        <v>11342</v>
      </c>
      <c r="Z5985" t="s">
        <v>15061</v>
      </c>
      <c r="AC5985">
        <v>6</v>
      </c>
      <c r="AD5985" t="s">
        <v>19566</v>
      </c>
      <c r="AE5985" t="s">
        <v>9144</v>
      </c>
      <c r="AF5985">
        <v>8</v>
      </c>
      <c r="AG5985">
        <v>1</v>
      </c>
      <c r="AH5985">
        <v>0</v>
      </c>
      <c r="AI5985">
        <v>403.62</v>
      </c>
      <c r="AL5985" t="s">
        <v>19614</v>
      </c>
      <c r="AM5985">
        <v>49000</v>
      </c>
      <c r="AS5985">
        <v>4</v>
      </c>
      <c r="AT5985" t="s">
        <v>338</v>
      </c>
      <c r="AU5985" t="s">
        <v>20630</v>
      </c>
    </row>
    <row r="5986" spans="1:48">
      <c r="A5986" s="1">
        <f>HYPERLINK("https://lsnyc.legalserver.org/matter/dynamic-profile/view/1911389","19-1911389")</f>
        <v>0</v>
      </c>
      <c r="B5986" t="s">
        <v>132</v>
      </c>
      <c r="C5986" t="s">
        <v>256</v>
      </c>
      <c r="D5986" t="s">
        <v>832</v>
      </c>
      <c r="F5986" t="s">
        <v>2111</v>
      </c>
      <c r="G5986" t="s">
        <v>5550</v>
      </c>
      <c r="H5986" t="s">
        <v>6653</v>
      </c>
      <c r="I5986" t="s">
        <v>8212</v>
      </c>
      <c r="J5986" t="s">
        <v>9067</v>
      </c>
      <c r="K5986">
        <v>10040</v>
      </c>
      <c r="L5986" t="s">
        <v>9094</v>
      </c>
      <c r="M5986" t="s">
        <v>9095</v>
      </c>
      <c r="O5986" t="s">
        <v>11130</v>
      </c>
      <c r="P5986" t="s">
        <v>11165</v>
      </c>
      <c r="R5986" t="s">
        <v>11180</v>
      </c>
      <c r="S5986" t="s">
        <v>9094</v>
      </c>
      <c r="T5986" t="s">
        <v>11183</v>
      </c>
      <c r="V5986" t="s">
        <v>832</v>
      </c>
      <c r="W5986">
        <v>1477.84</v>
      </c>
      <c r="X5986" t="s">
        <v>11335</v>
      </c>
      <c r="Y5986" t="s">
        <v>11338</v>
      </c>
      <c r="Z5986" t="s">
        <v>11579</v>
      </c>
      <c r="AC5986">
        <v>77</v>
      </c>
      <c r="AD5986" t="s">
        <v>19566</v>
      </c>
      <c r="AE5986" t="s">
        <v>9144</v>
      </c>
      <c r="AF5986">
        <v>4</v>
      </c>
      <c r="AG5986">
        <v>2</v>
      </c>
      <c r="AH5986">
        <v>0</v>
      </c>
      <c r="AI5986">
        <v>405.61</v>
      </c>
      <c r="AL5986" t="s">
        <v>19614</v>
      </c>
      <c r="AM5986">
        <v>68588</v>
      </c>
      <c r="AS5986">
        <v>0.1</v>
      </c>
      <c r="AT5986" t="s">
        <v>263</v>
      </c>
      <c r="AU5986" t="s">
        <v>130</v>
      </c>
      <c r="AV5986" t="s">
        <v>20733</v>
      </c>
    </row>
    <row r="5987" spans="1:48">
      <c r="A5987" s="1">
        <f>HYPERLINK("https://lsnyc.legalserver.org/matter/dynamic-profile/view/1845640","17-1845640")</f>
        <v>0</v>
      </c>
      <c r="B5987" t="s">
        <v>150</v>
      </c>
      <c r="C5987" t="s">
        <v>256</v>
      </c>
      <c r="D5987" t="s">
        <v>646</v>
      </c>
      <c r="F5987" t="s">
        <v>3240</v>
      </c>
      <c r="G5987" t="s">
        <v>5551</v>
      </c>
      <c r="H5987" t="s">
        <v>6649</v>
      </c>
      <c r="I5987" t="s">
        <v>8432</v>
      </c>
      <c r="J5987" t="s">
        <v>9059</v>
      </c>
      <c r="K5987">
        <v>11213</v>
      </c>
      <c r="L5987" t="s">
        <v>9094</v>
      </c>
      <c r="M5987" t="s">
        <v>9095</v>
      </c>
      <c r="O5987" t="s">
        <v>11130</v>
      </c>
      <c r="P5987" t="s">
        <v>11165</v>
      </c>
      <c r="R5987" t="s">
        <v>11180</v>
      </c>
      <c r="S5987" t="s">
        <v>9094</v>
      </c>
      <c r="T5987" t="s">
        <v>11183</v>
      </c>
      <c r="V5987" t="s">
        <v>837</v>
      </c>
      <c r="W5987">
        <v>0</v>
      </c>
      <c r="X5987" t="s">
        <v>11332</v>
      </c>
      <c r="Y5987" t="s">
        <v>11346</v>
      </c>
      <c r="Z5987" t="s">
        <v>15079</v>
      </c>
      <c r="AC5987">
        <v>74</v>
      </c>
      <c r="AD5987" t="s">
        <v>19566</v>
      </c>
      <c r="AF5987">
        <v>0</v>
      </c>
      <c r="AG5987">
        <v>2</v>
      </c>
      <c r="AH5987">
        <v>2</v>
      </c>
      <c r="AI5987">
        <v>406.5</v>
      </c>
      <c r="AJ5987" t="s">
        <v>1108</v>
      </c>
      <c r="AL5987" t="s">
        <v>19614</v>
      </c>
      <c r="AM5987">
        <v>100000</v>
      </c>
      <c r="AS5987">
        <v>0</v>
      </c>
      <c r="AU5987" t="s">
        <v>20636</v>
      </c>
    </row>
    <row r="5988" spans="1:48">
      <c r="A5988" s="1">
        <f>HYPERLINK("https://lsnyc.legalserver.org/matter/dynamic-profile/view/1840992","17-1840992")</f>
        <v>0</v>
      </c>
      <c r="B5988" t="s">
        <v>150</v>
      </c>
      <c r="C5988" t="s">
        <v>256</v>
      </c>
      <c r="D5988" t="s">
        <v>455</v>
      </c>
      <c r="F5988" t="s">
        <v>3240</v>
      </c>
      <c r="G5988" t="s">
        <v>5551</v>
      </c>
      <c r="H5988" t="s">
        <v>6649</v>
      </c>
      <c r="I5988" t="s">
        <v>8432</v>
      </c>
      <c r="J5988" t="s">
        <v>9059</v>
      </c>
      <c r="K5988">
        <v>11213</v>
      </c>
      <c r="L5988" t="s">
        <v>9094</v>
      </c>
      <c r="M5988" t="s">
        <v>9095</v>
      </c>
      <c r="O5988" t="s">
        <v>11137</v>
      </c>
      <c r="P5988" t="s">
        <v>11167</v>
      </c>
      <c r="R5988" t="s">
        <v>11180</v>
      </c>
      <c r="S5988" t="s">
        <v>9094</v>
      </c>
      <c r="T5988" t="s">
        <v>11183</v>
      </c>
      <c r="V5988" t="s">
        <v>837</v>
      </c>
      <c r="W5988">
        <v>0</v>
      </c>
      <c r="X5988" t="s">
        <v>11332</v>
      </c>
      <c r="Z5988" t="s">
        <v>15079</v>
      </c>
      <c r="AC5988">
        <v>74</v>
      </c>
      <c r="AD5988" t="s">
        <v>19566</v>
      </c>
      <c r="AF5988">
        <v>0</v>
      </c>
      <c r="AG5988">
        <v>2</v>
      </c>
      <c r="AH5988">
        <v>2</v>
      </c>
      <c r="AI5988">
        <v>406.5</v>
      </c>
      <c r="AJ5988" t="s">
        <v>1108</v>
      </c>
      <c r="AL5988" t="s">
        <v>19614</v>
      </c>
      <c r="AM5988">
        <v>100000</v>
      </c>
      <c r="AS5988">
        <v>0</v>
      </c>
      <c r="AU5988" t="s">
        <v>20636</v>
      </c>
    </row>
    <row r="5989" spans="1:48">
      <c r="A5989" s="1">
        <f>HYPERLINK("https://lsnyc.legalserver.org/matter/dynamic-profile/view/0829640","17-0829640")</f>
        <v>0</v>
      </c>
      <c r="B5989" t="s">
        <v>148</v>
      </c>
      <c r="C5989" t="s">
        <v>256</v>
      </c>
      <c r="D5989" t="s">
        <v>1119</v>
      </c>
      <c r="F5989" t="s">
        <v>2118</v>
      </c>
      <c r="G5989" t="s">
        <v>3639</v>
      </c>
      <c r="H5989" t="s">
        <v>8071</v>
      </c>
      <c r="I5989" t="s">
        <v>8128</v>
      </c>
      <c r="J5989" t="s">
        <v>9067</v>
      </c>
      <c r="K5989">
        <v>10024</v>
      </c>
      <c r="L5989" t="s">
        <v>9094</v>
      </c>
      <c r="M5989" t="s">
        <v>9095</v>
      </c>
      <c r="N5989" t="s">
        <v>11069</v>
      </c>
      <c r="O5989" t="s">
        <v>11130</v>
      </c>
      <c r="P5989" t="s">
        <v>11165</v>
      </c>
      <c r="R5989" t="s">
        <v>11180</v>
      </c>
      <c r="S5989" t="s">
        <v>9094</v>
      </c>
      <c r="T5989" t="s">
        <v>11183</v>
      </c>
      <c r="V5989" t="s">
        <v>11248</v>
      </c>
      <c r="W5989">
        <v>786.66</v>
      </c>
      <c r="X5989" t="s">
        <v>11335</v>
      </c>
      <c r="Y5989" t="s">
        <v>11339</v>
      </c>
      <c r="Z5989" t="s">
        <v>15080</v>
      </c>
      <c r="AC5989">
        <v>12</v>
      </c>
      <c r="AD5989" t="s">
        <v>19566</v>
      </c>
      <c r="AE5989" t="s">
        <v>9144</v>
      </c>
      <c r="AF5989">
        <v>36</v>
      </c>
      <c r="AG5989">
        <v>2</v>
      </c>
      <c r="AH5989">
        <v>1</v>
      </c>
      <c r="AI5989">
        <v>407.44</v>
      </c>
      <c r="AJ5989" t="s">
        <v>655</v>
      </c>
      <c r="AL5989" t="s">
        <v>19614</v>
      </c>
      <c r="AM5989">
        <v>83200</v>
      </c>
      <c r="AS5989">
        <v>0.1</v>
      </c>
      <c r="AT5989" t="s">
        <v>293</v>
      </c>
      <c r="AU5989" t="s">
        <v>20657</v>
      </c>
    </row>
    <row r="5990" spans="1:48">
      <c r="A5990" s="1">
        <f>HYPERLINK("https://lsnyc.legalserver.org/matter/dynamic-profile/view/1897390","19-1897390")</f>
        <v>0</v>
      </c>
      <c r="B5990" t="s">
        <v>84</v>
      </c>
      <c r="C5990" t="s">
        <v>256</v>
      </c>
      <c r="D5990" t="s">
        <v>598</v>
      </c>
      <c r="F5990" t="s">
        <v>1777</v>
      </c>
      <c r="G5990" t="s">
        <v>5362</v>
      </c>
      <c r="H5990" t="s">
        <v>7429</v>
      </c>
      <c r="J5990" t="s">
        <v>9059</v>
      </c>
      <c r="K5990">
        <v>11226</v>
      </c>
      <c r="L5990" t="s">
        <v>9094</v>
      </c>
      <c r="M5990" t="s">
        <v>9094</v>
      </c>
      <c r="O5990" t="s">
        <v>11130</v>
      </c>
      <c r="P5990" t="s">
        <v>11165</v>
      </c>
      <c r="R5990" t="s">
        <v>11180</v>
      </c>
      <c r="S5990" t="s">
        <v>9094</v>
      </c>
      <c r="T5990" t="s">
        <v>11183</v>
      </c>
      <c r="V5990" t="s">
        <v>434</v>
      </c>
      <c r="W5990">
        <v>1230</v>
      </c>
      <c r="X5990" t="s">
        <v>11332</v>
      </c>
      <c r="Z5990" t="s">
        <v>15081</v>
      </c>
      <c r="AC5990">
        <v>0</v>
      </c>
      <c r="AF5990">
        <v>7</v>
      </c>
      <c r="AG5990">
        <v>2</v>
      </c>
      <c r="AH5990">
        <v>0</v>
      </c>
      <c r="AI5990">
        <v>407.45</v>
      </c>
      <c r="AL5990" t="s">
        <v>19614</v>
      </c>
      <c r="AM5990">
        <v>68900</v>
      </c>
      <c r="AS5990">
        <v>2.5</v>
      </c>
      <c r="AT5990" t="s">
        <v>268</v>
      </c>
      <c r="AU5990" t="s">
        <v>215</v>
      </c>
    </row>
    <row r="5991" spans="1:48">
      <c r="A5991" s="1">
        <f>HYPERLINK("https://lsnyc.legalserver.org/matter/dynamic-profile/view/1900727","19-1900727")</f>
        <v>0</v>
      </c>
      <c r="B5991" t="s">
        <v>84</v>
      </c>
      <c r="C5991" t="s">
        <v>256</v>
      </c>
      <c r="D5991" t="s">
        <v>338</v>
      </c>
      <c r="F5991" t="s">
        <v>1777</v>
      </c>
      <c r="G5991" t="s">
        <v>5362</v>
      </c>
      <c r="H5991" t="s">
        <v>7429</v>
      </c>
      <c r="I5991">
        <v>10</v>
      </c>
      <c r="J5991" t="s">
        <v>9059</v>
      </c>
      <c r="K5991">
        <v>11226</v>
      </c>
      <c r="L5991" t="s">
        <v>9094</v>
      </c>
      <c r="M5991" t="s">
        <v>9095</v>
      </c>
      <c r="P5991" t="s">
        <v>11165</v>
      </c>
      <c r="R5991" t="s">
        <v>11180</v>
      </c>
      <c r="S5991" t="s">
        <v>9094</v>
      </c>
      <c r="T5991" t="s">
        <v>11183</v>
      </c>
      <c r="V5991" t="s">
        <v>338</v>
      </c>
      <c r="W5991">
        <v>1230</v>
      </c>
      <c r="X5991" t="s">
        <v>11332</v>
      </c>
      <c r="Z5991" t="s">
        <v>15081</v>
      </c>
      <c r="AC5991">
        <v>0</v>
      </c>
      <c r="AF5991">
        <v>7</v>
      </c>
      <c r="AG5991">
        <v>2</v>
      </c>
      <c r="AH5991">
        <v>0</v>
      </c>
      <c r="AI5991">
        <v>407.45</v>
      </c>
      <c r="AL5991" t="s">
        <v>19614</v>
      </c>
      <c r="AM5991">
        <v>68900</v>
      </c>
      <c r="AS5991">
        <v>0</v>
      </c>
      <c r="AU5991" t="s">
        <v>215</v>
      </c>
    </row>
    <row r="5992" spans="1:48">
      <c r="A5992" s="1">
        <f>HYPERLINK("https://lsnyc.legalserver.org/matter/dynamic-profile/view/1891541","19-1891541")</f>
        <v>0</v>
      </c>
      <c r="B5992" t="s">
        <v>70</v>
      </c>
      <c r="C5992" t="s">
        <v>256</v>
      </c>
      <c r="D5992" t="s">
        <v>316</v>
      </c>
      <c r="F5992" t="s">
        <v>3241</v>
      </c>
      <c r="G5992" t="s">
        <v>2216</v>
      </c>
      <c r="H5992" t="s">
        <v>5748</v>
      </c>
      <c r="I5992" t="s">
        <v>8475</v>
      </c>
      <c r="J5992" t="s">
        <v>9059</v>
      </c>
      <c r="K5992">
        <v>11233</v>
      </c>
      <c r="L5992" t="s">
        <v>9094</v>
      </c>
      <c r="M5992" t="s">
        <v>9096</v>
      </c>
      <c r="N5992" t="s">
        <v>9145</v>
      </c>
      <c r="O5992" t="s">
        <v>11134</v>
      </c>
      <c r="P5992" t="s">
        <v>11168</v>
      </c>
      <c r="R5992" t="s">
        <v>11180</v>
      </c>
      <c r="S5992" t="s">
        <v>9094</v>
      </c>
      <c r="T5992" t="s">
        <v>11183</v>
      </c>
      <c r="U5992" t="s">
        <v>11201</v>
      </c>
      <c r="V5992" t="s">
        <v>482</v>
      </c>
      <c r="W5992">
        <v>1089.12</v>
      </c>
      <c r="X5992" t="s">
        <v>11332</v>
      </c>
      <c r="Z5992" t="s">
        <v>15082</v>
      </c>
      <c r="AC5992">
        <v>359</v>
      </c>
      <c r="AD5992" t="s">
        <v>19566</v>
      </c>
      <c r="AF5992">
        <v>20</v>
      </c>
      <c r="AG5992">
        <v>2</v>
      </c>
      <c r="AH5992">
        <v>0</v>
      </c>
      <c r="AI5992">
        <v>408.04</v>
      </c>
      <c r="AL5992" t="s">
        <v>19614</v>
      </c>
      <c r="AM5992">
        <v>69000</v>
      </c>
      <c r="AN5992" t="s">
        <v>19641</v>
      </c>
      <c r="AS5992">
        <v>0</v>
      </c>
      <c r="AU5992" t="s">
        <v>95</v>
      </c>
    </row>
    <row r="5993" spans="1:48">
      <c r="A5993" s="1">
        <f>HYPERLINK("https://lsnyc.legalserver.org/matter/dynamic-profile/view/1891544","19-1891544")</f>
        <v>0</v>
      </c>
      <c r="B5993" t="s">
        <v>70</v>
      </c>
      <c r="C5993" t="s">
        <v>256</v>
      </c>
      <c r="D5993" t="s">
        <v>316</v>
      </c>
      <c r="F5993" t="s">
        <v>3241</v>
      </c>
      <c r="G5993" t="s">
        <v>2216</v>
      </c>
      <c r="H5993" t="s">
        <v>5748</v>
      </c>
      <c r="I5993" t="s">
        <v>8475</v>
      </c>
      <c r="J5993" t="s">
        <v>9059</v>
      </c>
      <c r="K5993">
        <v>11233</v>
      </c>
      <c r="L5993" t="s">
        <v>9094</v>
      </c>
      <c r="M5993" t="s">
        <v>9096</v>
      </c>
      <c r="O5993" t="s">
        <v>11137</v>
      </c>
      <c r="P5993" t="s">
        <v>11167</v>
      </c>
      <c r="R5993" t="s">
        <v>11180</v>
      </c>
      <c r="S5993" t="s">
        <v>9094</v>
      </c>
      <c r="T5993" t="s">
        <v>11183</v>
      </c>
      <c r="U5993" t="s">
        <v>11201</v>
      </c>
      <c r="V5993" t="s">
        <v>749</v>
      </c>
      <c r="W5993">
        <v>1089.12</v>
      </c>
      <c r="X5993" t="s">
        <v>11332</v>
      </c>
      <c r="Z5993" t="s">
        <v>15082</v>
      </c>
      <c r="AC5993">
        <v>359</v>
      </c>
      <c r="AD5993" t="s">
        <v>19566</v>
      </c>
      <c r="AF5993">
        <v>20</v>
      </c>
      <c r="AG5993">
        <v>2</v>
      </c>
      <c r="AH5993">
        <v>0</v>
      </c>
      <c r="AI5993">
        <v>408.04</v>
      </c>
      <c r="AL5993" t="s">
        <v>19614</v>
      </c>
      <c r="AM5993">
        <v>69000</v>
      </c>
      <c r="AN5993" t="s">
        <v>20217</v>
      </c>
      <c r="AS5993">
        <v>0</v>
      </c>
      <c r="AU5993" t="s">
        <v>95</v>
      </c>
    </row>
    <row r="5994" spans="1:48">
      <c r="A5994" s="1">
        <f>HYPERLINK("https://lsnyc.legalserver.org/matter/dynamic-profile/view/1897064","19-1897064")</f>
        <v>0</v>
      </c>
      <c r="B5994" t="s">
        <v>52</v>
      </c>
      <c r="C5994" t="s">
        <v>257</v>
      </c>
      <c r="D5994" t="s">
        <v>296</v>
      </c>
      <c r="E5994" t="s">
        <v>1016</v>
      </c>
      <c r="F5994" t="s">
        <v>1264</v>
      </c>
      <c r="G5994" t="s">
        <v>3536</v>
      </c>
      <c r="H5994" t="s">
        <v>5692</v>
      </c>
      <c r="I5994" t="s">
        <v>8829</v>
      </c>
      <c r="J5994" t="s">
        <v>9038</v>
      </c>
      <c r="K5994">
        <v>11691</v>
      </c>
      <c r="L5994" t="s">
        <v>9094</v>
      </c>
      <c r="M5994" t="s">
        <v>9094</v>
      </c>
      <c r="O5994" t="s">
        <v>11134</v>
      </c>
      <c r="P5994" t="s">
        <v>11167</v>
      </c>
      <c r="Q5994" t="s">
        <v>11173</v>
      </c>
      <c r="R5994" t="s">
        <v>11180</v>
      </c>
      <c r="S5994" t="s">
        <v>9094</v>
      </c>
      <c r="T5994" t="s">
        <v>11183</v>
      </c>
      <c r="U5994" t="s">
        <v>11201</v>
      </c>
      <c r="V5994" t="s">
        <v>296</v>
      </c>
      <c r="W5994">
        <v>819</v>
      </c>
      <c r="X5994" t="s">
        <v>11331</v>
      </c>
      <c r="Y5994" t="s">
        <v>11339</v>
      </c>
      <c r="Z5994" t="s">
        <v>15083</v>
      </c>
      <c r="AA5994" t="s">
        <v>15274</v>
      </c>
      <c r="AB5994" t="s">
        <v>19378</v>
      </c>
      <c r="AC5994">
        <v>43</v>
      </c>
      <c r="AD5994" t="s">
        <v>19566</v>
      </c>
      <c r="AE5994" t="s">
        <v>9144</v>
      </c>
      <c r="AF5994">
        <v>15</v>
      </c>
      <c r="AG5994">
        <v>1</v>
      </c>
      <c r="AH5994">
        <v>0</v>
      </c>
      <c r="AI5994">
        <v>408.33</v>
      </c>
      <c r="AL5994" t="s">
        <v>19615</v>
      </c>
      <c r="AM5994">
        <v>51000</v>
      </c>
      <c r="AS5994">
        <v>0.2</v>
      </c>
      <c r="AT5994" t="s">
        <v>1016</v>
      </c>
      <c r="AU5994" t="s">
        <v>20622</v>
      </c>
      <c r="AV5994" t="s">
        <v>20733</v>
      </c>
    </row>
    <row r="5995" spans="1:48">
      <c r="A5995" s="1">
        <f>HYPERLINK("https://lsnyc.legalserver.org/matter/dynamic-profile/view/1897069","19-1897069")</f>
        <v>0</v>
      </c>
      <c r="B5995" t="s">
        <v>52</v>
      </c>
      <c r="C5995" t="s">
        <v>256</v>
      </c>
      <c r="D5995" t="s">
        <v>296</v>
      </c>
      <c r="F5995" t="s">
        <v>1264</v>
      </c>
      <c r="G5995" t="s">
        <v>3536</v>
      </c>
      <c r="H5995" t="s">
        <v>5692</v>
      </c>
      <c r="I5995" t="s">
        <v>8829</v>
      </c>
      <c r="J5995" t="s">
        <v>9038</v>
      </c>
      <c r="K5995">
        <v>11691</v>
      </c>
      <c r="L5995" t="s">
        <v>9094</v>
      </c>
      <c r="M5995" t="s">
        <v>9094</v>
      </c>
      <c r="O5995" t="s">
        <v>11136</v>
      </c>
      <c r="P5995" t="s">
        <v>11167</v>
      </c>
      <c r="R5995" t="s">
        <v>11180</v>
      </c>
      <c r="S5995" t="s">
        <v>9094</v>
      </c>
      <c r="T5995" t="s">
        <v>11183</v>
      </c>
      <c r="V5995" t="s">
        <v>296</v>
      </c>
      <c r="W5995">
        <v>819</v>
      </c>
      <c r="X5995" t="s">
        <v>11331</v>
      </c>
      <c r="Y5995" t="s">
        <v>11339</v>
      </c>
      <c r="Z5995" t="s">
        <v>15083</v>
      </c>
      <c r="AA5995" t="s">
        <v>15274</v>
      </c>
      <c r="AB5995" t="s">
        <v>19378</v>
      </c>
      <c r="AC5995">
        <v>43</v>
      </c>
      <c r="AD5995" t="s">
        <v>19566</v>
      </c>
      <c r="AE5995" t="s">
        <v>9144</v>
      </c>
      <c r="AF5995">
        <v>15</v>
      </c>
      <c r="AG5995">
        <v>1</v>
      </c>
      <c r="AH5995">
        <v>0</v>
      </c>
      <c r="AI5995">
        <v>408.33</v>
      </c>
      <c r="AL5995" t="s">
        <v>19615</v>
      </c>
      <c r="AM5995">
        <v>51000</v>
      </c>
      <c r="AS5995">
        <v>0.05</v>
      </c>
      <c r="AT5995" t="s">
        <v>736</v>
      </c>
      <c r="AU5995" t="s">
        <v>20622</v>
      </c>
    </row>
    <row r="5996" spans="1:48">
      <c r="A5996" s="1">
        <f>HYPERLINK("https://lsnyc.legalserver.org/matter/dynamic-profile/view/1892863","19-1892863")</f>
        <v>0</v>
      </c>
      <c r="B5996" t="s">
        <v>70</v>
      </c>
      <c r="C5996" t="s">
        <v>256</v>
      </c>
      <c r="D5996" t="s">
        <v>523</v>
      </c>
      <c r="F5996" t="s">
        <v>1535</v>
      </c>
      <c r="G5996" t="s">
        <v>5552</v>
      </c>
      <c r="H5996" t="s">
        <v>6474</v>
      </c>
      <c r="I5996" t="s">
        <v>8164</v>
      </c>
      <c r="J5996" t="s">
        <v>9059</v>
      </c>
      <c r="K5996">
        <v>11233</v>
      </c>
      <c r="L5996" t="s">
        <v>9094</v>
      </c>
      <c r="M5996" t="s">
        <v>9096</v>
      </c>
      <c r="N5996" t="s">
        <v>9146</v>
      </c>
      <c r="O5996" t="s">
        <v>11134</v>
      </c>
      <c r="P5996" t="s">
        <v>11168</v>
      </c>
      <c r="R5996" t="s">
        <v>11180</v>
      </c>
      <c r="S5996" t="s">
        <v>9094</v>
      </c>
      <c r="T5996" t="s">
        <v>11183</v>
      </c>
      <c r="U5996" t="s">
        <v>11201</v>
      </c>
      <c r="V5996" t="s">
        <v>482</v>
      </c>
      <c r="W5996">
        <v>621.34</v>
      </c>
      <c r="X5996" t="s">
        <v>11332</v>
      </c>
      <c r="Y5996" t="s">
        <v>11157</v>
      </c>
      <c r="Z5996" t="s">
        <v>15084</v>
      </c>
      <c r="AC5996">
        <v>359</v>
      </c>
      <c r="AD5996" t="s">
        <v>19566</v>
      </c>
      <c r="AF5996">
        <v>18</v>
      </c>
      <c r="AG5996">
        <v>1</v>
      </c>
      <c r="AH5996">
        <v>0</v>
      </c>
      <c r="AI5996">
        <v>408.33</v>
      </c>
      <c r="AL5996" t="s">
        <v>19614</v>
      </c>
      <c r="AM5996">
        <v>51000</v>
      </c>
      <c r="AN5996" t="s">
        <v>19885</v>
      </c>
      <c r="AS5996">
        <v>0</v>
      </c>
      <c r="AU5996" t="s">
        <v>79</v>
      </c>
    </row>
    <row r="5997" spans="1:48">
      <c r="A5997" s="1">
        <f>HYPERLINK("https://lsnyc.legalserver.org/matter/dynamic-profile/view/1892865","19-1892865")</f>
        <v>0</v>
      </c>
      <c r="B5997" t="s">
        <v>70</v>
      </c>
      <c r="C5997" t="s">
        <v>256</v>
      </c>
      <c r="D5997" t="s">
        <v>523</v>
      </c>
      <c r="F5997" t="s">
        <v>1535</v>
      </c>
      <c r="G5997" t="s">
        <v>5552</v>
      </c>
      <c r="H5997" t="s">
        <v>6474</v>
      </c>
      <c r="I5997" t="s">
        <v>8164</v>
      </c>
      <c r="J5997" t="s">
        <v>9059</v>
      </c>
      <c r="K5997">
        <v>11233</v>
      </c>
      <c r="L5997" t="s">
        <v>9094</v>
      </c>
      <c r="M5997" t="s">
        <v>9096</v>
      </c>
      <c r="O5997" t="s">
        <v>11137</v>
      </c>
      <c r="P5997" t="s">
        <v>11167</v>
      </c>
      <c r="R5997" t="s">
        <v>11180</v>
      </c>
      <c r="S5997" t="s">
        <v>9094</v>
      </c>
      <c r="T5997" t="s">
        <v>11183</v>
      </c>
      <c r="U5997" t="s">
        <v>11201</v>
      </c>
      <c r="V5997" t="s">
        <v>749</v>
      </c>
      <c r="W5997">
        <v>621.34</v>
      </c>
      <c r="X5997" t="s">
        <v>11332</v>
      </c>
      <c r="Y5997" t="s">
        <v>11157</v>
      </c>
      <c r="Z5997" t="s">
        <v>15084</v>
      </c>
      <c r="AC5997">
        <v>359</v>
      </c>
      <c r="AD5997" t="s">
        <v>19566</v>
      </c>
      <c r="AF5997">
        <v>18</v>
      </c>
      <c r="AG5997">
        <v>1</v>
      </c>
      <c r="AH5997">
        <v>0</v>
      </c>
      <c r="AI5997">
        <v>408.33</v>
      </c>
      <c r="AL5997" t="s">
        <v>19614</v>
      </c>
      <c r="AM5997">
        <v>51000</v>
      </c>
      <c r="AN5997" t="s">
        <v>20218</v>
      </c>
      <c r="AS5997">
        <v>0</v>
      </c>
      <c r="AU5997" t="s">
        <v>79</v>
      </c>
    </row>
    <row r="5998" spans="1:48">
      <c r="A5998" s="1">
        <f>HYPERLINK("https://lsnyc.legalserver.org/matter/dynamic-profile/view/1915297","19-1915297")</f>
        <v>0</v>
      </c>
      <c r="B5998" t="s">
        <v>86</v>
      </c>
      <c r="C5998" t="s">
        <v>256</v>
      </c>
      <c r="D5998" t="s">
        <v>487</v>
      </c>
      <c r="F5998" t="s">
        <v>1891</v>
      </c>
      <c r="G5998" t="s">
        <v>5553</v>
      </c>
      <c r="H5998" t="s">
        <v>6097</v>
      </c>
      <c r="I5998" t="s">
        <v>8370</v>
      </c>
      <c r="J5998" t="s">
        <v>9059</v>
      </c>
      <c r="K5998">
        <v>11226</v>
      </c>
      <c r="L5998" t="s">
        <v>9094</v>
      </c>
      <c r="M5998" t="s">
        <v>9095</v>
      </c>
      <c r="O5998" t="s">
        <v>11137</v>
      </c>
      <c r="P5998" t="s">
        <v>11166</v>
      </c>
      <c r="R5998" t="s">
        <v>11180</v>
      </c>
      <c r="S5998" t="s">
        <v>9094</v>
      </c>
      <c r="T5998" t="s">
        <v>11183</v>
      </c>
      <c r="V5998" t="s">
        <v>377</v>
      </c>
      <c r="W5998">
        <v>1250</v>
      </c>
      <c r="X5998" t="s">
        <v>11332</v>
      </c>
      <c r="Y5998" t="s">
        <v>11342</v>
      </c>
      <c r="Z5998" t="s">
        <v>15085</v>
      </c>
      <c r="AC5998">
        <v>6</v>
      </c>
      <c r="AD5998" t="s">
        <v>19566</v>
      </c>
      <c r="AF5998">
        <v>1</v>
      </c>
      <c r="AG5998">
        <v>1</v>
      </c>
      <c r="AH5998">
        <v>0</v>
      </c>
      <c r="AI5998">
        <v>408.33</v>
      </c>
      <c r="AL5998" t="s">
        <v>19614</v>
      </c>
      <c r="AM5998">
        <v>51000</v>
      </c>
      <c r="AS5998">
        <v>0</v>
      </c>
      <c r="AU5998" t="s">
        <v>215</v>
      </c>
      <c r="AV5998" t="s">
        <v>20733</v>
      </c>
    </row>
    <row r="5999" spans="1:48">
      <c r="A5999" s="1">
        <f>HYPERLINK("https://lsnyc.legalserver.org/matter/dynamic-profile/view/1878950","18-1878950")</f>
        <v>0</v>
      </c>
      <c r="B5999" t="s">
        <v>78</v>
      </c>
      <c r="C5999" t="s">
        <v>256</v>
      </c>
      <c r="D5999" t="s">
        <v>725</v>
      </c>
      <c r="F5999" t="s">
        <v>3234</v>
      </c>
      <c r="G5999" t="s">
        <v>5543</v>
      </c>
      <c r="H5999" t="s">
        <v>6712</v>
      </c>
      <c r="I5999" t="s">
        <v>8132</v>
      </c>
      <c r="J5999" t="s">
        <v>9059</v>
      </c>
      <c r="K5999">
        <v>11221</v>
      </c>
      <c r="L5999" t="s">
        <v>9094</v>
      </c>
      <c r="M5999" t="s">
        <v>9094</v>
      </c>
      <c r="O5999" t="s">
        <v>11134</v>
      </c>
      <c r="P5999" t="s">
        <v>11168</v>
      </c>
      <c r="R5999" t="s">
        <v>11180</v>
      </c>
      <c r="S5999" t="s">
        <v>9094</v>
      </c>
      <c r="T5999" t="s">
        <v>11183</v>
      </c>
      <c r="V5999" t="s">
        <v>11289</v>
      </c>
      <c r="W5999">
        <v>632.48</v>
      </c>
      <c r="X5999" t="s">
        <v>11332</v>
      </c>
      <c r="Y5999" t="s">
        <v>11346</v>
      </c>
      <c r="Z5999" t="s">
        <v>15068</v>
      </c>
      <c r="AB5999" t="s">
        <v>19367</v>
      </c>
      <c r="AC5999">
        <v>12</v>
      </c>
      <c r="AD5999" t="s">
        <v>19566</v>
      </c>
      <c r="AE5999" t="s">
        <v>9144</v>
      </c>
      <c r="AF5999">
        <v>18</v>
      </c>
      <c r="AG5999">
        <v>3</v>
      </c>
      <c r="AH5999">
        <v>0</v>
      </c>
      <c r="AI5999">
        <v>409.05</v>
      </c>
      <c r="AL5999" t="s">
        <v>19614</v>
      </c>
      <c r="AM5999">
        <v>85000</v>
      </c>
      <c r="AS5999">
        <v>0</v>
      </c>
      <c r="AU5999" t="s">
        <v>95</v>
      </c>
    </row>
    <row r="6000" spans="1:48">
      <c r="A6000" s="1">
        <f>HYPERLINK("https://lsnyc.legalserver.org/matter/dynamic-profile/view/1878953","18-1878953")</f>
        <v>0</v>
      </c>
      <c r="B6000" t="s">
        <v>78</v>
      </c>
      <c r="C6000" t="s">
        <v>256</v>
      </c>
      <c r="D6000" t="s">
        <v>725</v>
      </c>
      <c r="F6000" t="s">
        <v>3234</v>
      </c>
      <c r="G6000" t="s">
        <v>5543</v>
      </c>
      <c r="H6000" t="s">
        <v>6712</v>
      </c>
      <c r="I6000" t="s">
        <v>8132</v>
      </c>
      <c r="J6000" t="s">
        <v>9059</v>
      </c>
      <c r="K6000">
        <v>11221</v>
      </c>
      <c r="L6000" t="s">
        <v>9094</v>
      </c>
      <c r="M6000" t="s">
        <v>9094</v>
      </c>
      <c r="O6000" t="s">
        <v>11130</v>
      </c>
      <c r="P6000" t="s">
        <v>11165</v>
      </c>
      <c r="R6000" t="s">
        <v>11180</v>
      </c>
      <c r="S6000" t="s">
        <v>9094</v>
      </c>
      <c r="T6000" t="s">
        <v>11183</v>
      </c>
      <c r="V6000" t="s">
        <v>366</v>
      </c>
      <c r="W6000">
        <v>632.48</v>
      </c>
      <c r="X6000" t="s">
        <v>11332</v>
      </c>
      <c r="Y6000" t="s">
        <v>11346</v>
      </c>
      <c r="Z6000" t="s">
        <v>15068</v>
      </c>
      <c r="AB6000" t="s">
        <v>19367</v>
      </c>
      <c r="AC6000">
        <v>12</v>
      </c>
      <c r="AD6000" t="s">
        <v>19566</v>
      </c>
      <c r="AE6000" t="s">
        <v>9144</v>
      </c>
      <c r="AF6000">
        <v>18</v>
      </c>
      <c r="AG6000">
        <v>3</v>
      </c>
      <c r="AH6000">
        <v>0</v>
      </c>
      <c r="AI6000">
        <v>409.05</v>
      </c>
      <c r="AL6000" t="s">
        <v>19614</v>
      </c>
      <c r="AM6000">
        <v>85000</v>
      </c>
      <c r="AN6000" t="s">
        <v>19665</v>
      </c>
      <c r="AS6000">
        <v>2</v>
      </c>
      <c r="AT6000" t="s">
        <v>292</v>
      </c>
      <c r="AU6000" t="s">
        <v>95</v>
      </c>
    </row>
    <row r="6001" spans="1:48">
      <c r="A6001" s="1">
        <f>HYPERLINK("https://lsnyc.legalserver.org/matter/dynamic-profile/view/1908218","19-1908218")</f>
        <v>0</v>
      </c>
      <c r="B6001" t="s">
        <v>55</v>
      </c>
      <c r="C6001" t="s">
        <v>256</v>
      </c>
      <c r="D6001" t="s">
        <v>899</v>
      </c>
      <c r="F6001" t="s">
        <v>1324</v>
      </c>
      <c r="G6001" t="s">
        <v>5554</v>
      </c>
      <c r="H6001" t="s">
        <v>6954</v>
      </c>
      <c r="I6001" t="s">
        <v>8178</v>
      </c>
      <c r="J6001" t="s">
        <v>9050</v>
      </c>
      <c r="K6001">
        <v>11377</v>
      </c>
      <c r="L6001" t="s">
        <v>9094</v>
      </c>
      <c r="M6001" t="s">
        <v>9095</v>
      </c>
      <c r="N6001" t="s">
        <v>10067</v>
      </c>
      <c r="O6001" t="s">
        <v>11134</v>
      </c>
      <c r="P6001" t="s">
        <v>11168</v>
      </c>
      <c r="R6001" t="s">
        <v>11180</v>
      </c>
      <c r="S6001" t="s">
        <v>9094</v>
      </c>
      <c r="T6001" t="s">
        <v>11183</v>
      </c>
      <c r="U6001" t="s">
        <v>11201</v>
      </c>
      <c r="V6001" t="s">
        <v>899</v>
      </c>
      <c r="W6001">
        <v>1277.9</v>
      </c>
      <c r="X6001" t="s">
        <v>11331</v>
      </c>
      <c r="Y6001" t="s">
        <v>11346</v>
      </c>
      <c r="Z6001" t="s">
        <v>15086</v>
      </c>
      <c r="AB6001" t="s">
        <v>19379</v>
      </c>
      <c r="AC6001">
        <v>67</v>
      </c>
      <c r="AD6001" t="s">
        <v>19566</v>
      </c>
      <c r="AE6001" t="s">
        <v>9144</v>
      </c>
      <c r="AF6001">
        <v>0</v>
      </c>
      <c r="AG6001">
        <v>4</v>
      </c>
      <c r="AH6001">
        <v>0</v>
      </c>
      <c r="AI6001">
        <v>411.65</v>
      </c>
      <c r="AL6001" t="s">
        <v>19614</v>
      </c>
      <c r="AM6001">
        <v>106000</v>
      </c>
      <c r="AP6001" t="s">
        <v>11157</v>
      </c>
      <c r="AS6001">
        <v>0.45</v>
      </c>
      <c r="AT6001" t="s">
        <v>297</v>
      </c>
      <c r="AU6001" t="s">
        <v>20620</v>
      </c>
      <c r="AV6001" t="s">
        <v>20733</v>
      </c>
    </row>
    <row r="6002" spans="1:48">
      <c r="A6002" s="1">
        <f>HYPERLINK("https://lsnyc.legalserver.org/matter/dynamic-profile/view/1908223","19-1908223")</f>
        <v>0</v>
      </c>
      <c r="B6002" t="s">
        <v>55</v>
      </c>
      <c r="C6002" t="s">
        <v>256</v>
      </c>
      <c r="D6002" t="s">
        <v>899</v>
      </c>
      <c r="F6002" t="s">
        <v>1324</v>
      </c>
      <c r="G6002" t="s">
        <v>5554</v>
      </c>
      <c r="H6002" t="s">
        <v>6954</v>
      </c>
      <c r="I6002" t="s">
        <v>8178</v>
      </c>
      <c r="J6002" t="s">
        <v>9050</v>
      </c>
      <c r="K6002">
        <v>11377</v>
      </c>
      <c r="L6002" t="s">
        <v>9094</v>
      </c>
      <c r="M6002" t="s">
        <v>9095</v>
      </c>
      <c r="N6002" t="s">
        <v>10068</v>
      </c>
      <c r="O6002" t="s">
        <v>11134</v>
      </c>
      <c r="P6002" t="s">
        <v>11168</v>
      </c>
      <c r="R6002" t="s">
        <v>11180</v>
      </c>
      <c r="S6002" t="s">
        <v>9094</v>
      </c>
      <c r="T6002" t="s">
        <v>11183</v>
      </c>
      <c r="V6002" t="s">
        <v>11267</v>
      </c>
      <c r="W6002">
        <v>1277</v>
      </c>
      <c r="X6002" t="s">
        <v>11331</v>
      </c>
      <c r="Y6002" t="s">
        <v>11346</v>
      </c>
      <c r="Z6002" t="s">
        <v>15086</v>
      </c>
      <c r="AB6002" t="s">
        <v>19379</v>
      </c>
      <c r="AC6002">
        <v>66</v>
      </c>
      <c r="AD6002" t="s">
        <v>19566</v>
      </c>
      <c r="AE6002" t="s">
        <v>9144</v>
      </c>
      <c r="AF6002">
        <v>0</v>
      </c>
      <c r="AG6002">
        <v>4</v>
      </c>
      <c r="AH6002">
        <v>0</v>
      </c>
      <c r="AI6002">
        <v>411.65</v>
      </c>
      <c r="AL6002" t="s">
        <v>19614</v>
      </c>
      <c r="AM6002">
        <v>106000</v>
      </c>
      <c r="AS6002">
        <v>0.3</v>
      </c>
      <c r="AT6002" t="s">
        <v>899</v>
      </c>
      <c r="AU6002" t="s">
        <v>20620</v>
      </c>
      <c r="AV6002" t="s">
        <v>20733</v>
      </c>
    </row>
    <row r="6003" spans="1:48">
      <c r="A6003" s="1">
        <f>HYPERLINK("https://lsnyc.legalserver.org/matter/dynamic-profile/view/1885720","18-1885720")</f>
        <v>0</v>
      </c>
      <c r="B6003" t="s">
        <v>113</v>
      </c>
      <c r="C6003" t="s">
        <v>257</v>
      </c>
      <c r="D6003" t="s">
        <v>424</v>
      </c>
      <c r="E6003" t="s">
        <v>377</v>
      </c>
      <c r="F6003" t="s">
        <v>3238</v>
      </c>
      <c r="G6003" t="s">
        <v>3195</v>
      </c>
      <c r="H6003" t="s">
        <v>5864</v>
      </c>
      <c r="I6003" t="s">
        <v>8308</v>
      </c>
      <c r="J6003" t="s">
        <v>9065</v>
      </c>
      <c r="K6003">
        <v>10460</v>
      </c>
      <c r="L6003" t="s">
        <v>9094</v>
      </c>
      <c r="M6003" t="s">
        <v>9094</v>
      </c>
      <c r="N6003" t="s">
        <v>9222</v>
      </c>
      <c r="O6003" t="s">
        <v>11130</v>
      </c>
      <c r="P6003" t="s">
        <v>11165</v>
      </c>
      <c r="Q6003" t="s">
        <v>11174</v>
      </c>
      <c r="R6003" t="s">
        <v>11180</v>
      </c>
      <c r="S6003" t="s">
        <v>9094</v>
      </c>
      <c r="T6003" t="s">
        <v>11183</v>
      </c>
      <c r="V6003" t="s">
        <v>512</v>
      </c>
      <c r="W6003">
        <v>1169</v>
      </c>
      <c r="X6003" t="s">
        <v>11333</v>
      </c>
      <c r="Y6003" t="s">
        <v>11346</v>
      </c>
      <c r="Z6003" t="s">
        <v>15076</v>
      </c>
      <c r="AC6003">
        <v>168</v>
      </c>
      <c r="AD6003" t="s">
        <v>19569</v>
      </c>
      <c r="AE6003" t="s">
        <v>11157</v>
      </c>
      <c r="AF6003">
        <v>11</v>
      </c>
      <c r="AG6003">
        <v>1</v>
      </c>
      <c r="AH6003">
        <v>0</v>
      </c>
      <c r="AI6003">
        <v>411.86</v>
      </c>
      <c r="AL6003" t="s">
        <v>19614</v>
      </c>
      <c r="AM6003">
        <v>50000</v>
      </c>
      <c r="AS6003">
        <v>0.1</v>
      </c>
      <c r="AT6003" t="s">
        <v>377</v>
      </c>
      <c r="AU6003" t="s">
        <v>20642</v>
      </c>
    </row>
    <row r="6004" spans="1:48">
      <c r="A6004" s="1">
        <f>HYPERLINK("https://lsnyc.legalserver.org/matter/dynamic-profile/view/1875115","18-1875115")</f>
        <v>0</v>
      </c>
      <c r="B6004" t="s">
        <v>114</v>
      </c>
      <c r="C6004" t="s">
        <v>256</v>
      </c>
      <c r="D6004" t="s">
        <v>624</v>
      </c>
      <c r="F6004" t="s">
        <v>1823</v>
      </c>
      <c r="G6004" t="s">
        <v>5555</v>
      </c>
      <c r="H6004" t="s">
        <v>8072</v>
      </c>
      <c r="I6004" t="s">
        <v>8273</v>
      </c>
      <c r="J6004" t="s">
        <v>9065</v>
      </c>
      <c r="K6004">
        <v>10453</v>
      </c>
      <c r="L6004" t="s">
        <v>9094</v>
      </c>
      <c r="M6004" t="s">
        <v>9094</v>
      </c>
      <c r="N6004" t="s">
        <v>11098</v>
      </c>
      <c r="O6004" t="s">
        <v>11129</v>
      </c>
      <c r="P6004" t="s">
        <v>11165</v>
      </c>
      <c r="R6004" t="s">
        <v>11180</v>
      </c>
      <c r="S6004" t="s">
        <v>9096</v>
      </c>
      <c r="T6004" t="s">
        <v>11183</v>
      </c>
      <c r="V6004" t="s">
        <v>11218</v>
      </c>
      <c r="W6004">
        <v>1040</v>
      </c>
      <c r="X6004" t="s">
        <v>11333</v>
      </c>
      <c r="Y6004" t="s">
        <v>11336</v>
      </c>
      <c r="Z6004" t="s">
        <v>15087</v>
      </c>
      <c r="AB6004" t="s">
        <v>19380</v>
      </c>
      <c r="AC6004">
        <v>0</v>
      </c>
      <c r="AD6004" t="s">
        <v>19566</v>
      </c>
      <c r="AE6004" t="s">
        <v>9144</v>
      </c>
      <c r="AF6004">
        <v>26</v>
      </c>
      <c r="AG6004">
        <v>1</v>
      </c>
      <c r="AH6004">
        <v>0</v>
      </c>
      <c r="AI6004">
        <v>411.86</v>
      </c>
      <c r="AM6004">
        <v>50000</v>
      </c>
      <c r="AN6004" t="s">
        <v>20219</v>
      </c>
      <c r="AS6004">
        <v>13.5</v>
      </c>
      <c r="AT6004" t="s">
        <v>287</v>
      </c>
      <c r="AU6004" t="s">
        <v>20647</v>
      </c>
    </row>
    <row r="6005" spans="1:48">
      <c r="A6005" s="1">
        <f>HYPERLINK("https://lsnyc.legalserver.org/matter/dynamic-profile/view/1883414","18-1883414")</f>
        <v>0</v>
      </c>
      <c r="B6005" t="s">
        <v>98</v>
      </c>
      <c r="C6005" t="s">
        <v>257</v>
      </c>
      <c r="D6005" t="s">
        <v>583</v>
      </c>
      <c r="E6005" t="s">
        <v>574</v>
      </c>
      <c r="F6005" t="s">
        <v>2598</v>
      </c>
      <c r="G6005" t="s">
        <v>3503</v>
      </c>
      <c r="H6005" t="s">
        <v>5904</v>
      </c>
      <c r="I6005" t="s">
        <v>8171</v>
      </c>
      <c r="J6005" t="s">
        <v>9065</v>
      </c>
      <c r="K6005">
        <v>10452</v>
      </c>
      <c r="L6005" t="s">
        <v>9094</v>
      </c>
      <c r="M6005" t="s">
        <v>9094</v>
      </c>
      <c r="N6005" t="s">
        <v>9397</v>
      </c>
      <c r="O6005" t="s">
        <v>11130</v>
      </c>
      <c r="P6005" t="s">
        <v>11165</v>
      </c>
      <c r="Q6005" t="s">
        <v>11174</v>
      </c>
      <c r="R6005" t="s">
        <v>11180</v>
      </c>
      <c r="S6005" t="s">
        <v>9094</v>
      </c>
      <c r="T6005" t="s">
        <v>11183</v>
      </c>
      <c r="V6005" t="s">
        <v>738</v>
      </c>
      <c r="W6005">
        <v>1164.24</v>
      </c>
      <c r="X6005" t="s">
        <v>11333</v>
      </c>
      <c r="Y6005" t="s">
        <v>11339</v>
      </c>
      <c r="Z6005" t="s">
        <v>15077</v>
      </c>
      <c r="AB6005" t="s">
        <v>19376</v>
      </c>
      <c r="AC6005">
        <v>41</v>
      </c>
      <c r="AD6005" t="s">
        <v>19576</v>
      </c>
      <c r="AE6005" t="s">
        <v>9144</v>
      </c>
      <c r="AF6005">
        <v>6</v>
      </c>
      <c r="AG6005">
        <v>1</v>
      </c>
      <c r="AH6005">
        <v>0</v>
      </c>
      <c r="AI6005">
        <v>411.86</v>
      </c>
      <c r="AL6005" t="s">
        <v>19614</v>
      </c>
      <c r="AM6005">
        <v>50000</v>
      </c>
      <c r="AS6005">
        <v>73.5</v>
      </c>
      <c r="AT6005" t="s">
        <v>574</v>
      </c>
      <c r="AU6005" t="s">
        <v>20642</v>
      </c>
    </row>
    <row r="6006" spans="1:48">
      <c r="A6006" s="1">
        <f>HYPERLINK("https://lsnyc.legalserver.org/matter/dynamic-profile/view/1868368","18-1868368")</f>
        <v>0</v>
      </c>
      <c r="B6006" t="s">
        <v>139</v>
      </c>
      <c r="C6006" t="s">
        <v>257</v>
      </c>
      <c r="D6006" t="s">
        <v>618</v>
      </c>
      <c r="E6006" t="s">
        <v>703</v>
      </c>
      <c r="F6006" t="s">
        <v>1264</v>
      </c>
      <c r="G6006" t="s">
        <v>3699</v>
      </c>
      <c r="H6006" t="s">
        <v>6625</v>
      </c>
      <c r="I6006">
        <v>22</v>
      </c>
      <c r="J6006" t="s">
        <v>9067</v>
      </c>
      <c r="K6006">
        <v>10034</v>
      </c>
      <c r="L6006" t="s">
        <v>9094</v>
      </c>
      <c r="M6006" t="s">
        <v>9095</v>
      </c>
      <c r="O6006" t="s">
        <v>11136</v>
      </c>
      <c r="P6006" t="s">
        <v>11165</v>
      </c>
      <c r="Q6006" t="s">
        <v>11174</v>
      </c>
      <c r="R6006" t="s">
        <v>11180</v>
      </c>
      <c r="S6006" t="s">
        <v>9096</v>
      </c>
      <c r="T6006" t="s">
        <v>11183</v>
      </c>
      <c r="V6006" t="s">
        <v>618</v>
      </c>
      <c r="W6006">
        <v>1205</v>
      </c>
      <c r="X6006" t="s">
        <v>11335</v>
      </c>
      <c r="Y6006" t="s">
        <v>11338</v>
      </c>
      <c r="Z6006" t="s">
        <v>15088</v>
      </c>
      <c r="AB6006" t="s">
        <v>19381</v>
      </c>
      <c r="AC6006">
        <v>25</v>
      </c>
      <c r="AD6006" t="s">
        <v>19566</v>
      </c>
      <c r="AE6006" t="s">
        <v>9144</v>
      </c>
      <c r="AF6006">
        <v>3</v>
      </c>
      <c r="AG6006">
        <v>1</v>
      </c>
      <c r="AH6006">
        <v>0</v>
      </c>
      <c r="AI6006">
        <v>411.86</v>
      </c>
      <c r="AL6006" t="s">
        <v>19614</v>
      </c>
      <c r="AM6006">
        <v>50000</v>
      </c>
      <c r="AS6006">
        <v>20.85</v>
      </c>
      <c r="AT6006" t="s">
        <v>610</v>
      </c>
      <c r="AU6006" t="s">
        <v>130</v>
      </c>
    </row>
    <row r="6007" spans="1:48">
      <c r="A6007" s="1">
        <f>HYPERLINK("https://lsnyc.legalserver.org/matter/dynamic-profile/view/1892433","19-1892433")</f>
        <v>0</v>
      </c>
      <c r="B6007" t="s">
        <v>103</v>
      </c>
      <c r="C6007" t="s">
        <v>256</v>
      </c>
      <c r="D6007" t="s">
        <v>635</v>
      </c>
      <c r="F6007" t="s">
        <v>2080</v>
      </c>
      <c r="G6007" t="s">
        <v>5556</v>
      </c>
      <c r="H6007" t="s">
        <v>6785</v>
      </c>
      <c r="I6007" t="s">
        <v>8171</v>
      </c>
      <c r="J6007" t="s">
        <v>9065</v>
      </c>
      <c r="K6007">
        <v>10453</v>
      </c>
      <c r="L6007" t="s">
        <v>9094</v>
      </c>
      <c r="M6007" t="s">
        <v>9094</v>
      </c>
      <c r="O6007" t="s">
        <v>11134</v>
      </c>
      <c r="P6007" t="s">
        <v>11168</v>
      </c>
      <c r="R6007" t="s">
        <v>11180</v>
      </c>
      <c r="S6007" t="s">
        <v>9094</v>
      </c>
      <c r="T6007" t="s">
        <v>11183</v>
      </c>
      <c r="V6007" t="s">
        <v>512</v>
      </c>
      <c r="W6007">
        <v>1325</v>
      </c>
      <c r="X6007" t="s">
        <v>11333</v>
      </c>
      <c r="Y6007" t="s">
        <v>11339</v>
      </c>
      <c r="Z6007" t="s">
        <v>15089</v>
      </c>
      <c r="AB6007" t="s">
        <v>19382</v>
      </c>
      <c r="AC6007">
        <v>170</v>
      </c>
      <c r="AD6007" t="s">
        <v>19566</v>
      </c>
      <c r="AE6007" t="s">
        <v>9144</v>
      </c>
      <c r="AF6007">
        <v>1</v>
      </c>
      <c r="AG6007">
        <v>1</v>
      </c>
      <c r="AH6007">
        <v>0</v>
      </c>
      <c r="AI6007">
        <v>412.33</v>
      </c>
      <c r="AL6007" t="s">
        <v>19614</v>
      </c>
      <c r="AM6007">
        <v>51500</v>
      </c>
      <c r="AS6007">
        <v>0</v>
      </c>
      <c r="AU6007" t="s">
        <v>220</v>
      </c>
    </row>
    <row r="6008" spans="1:48">
      <c r="A6008" s="1">
        <f>HYPERLINK("https://lsnyc.legalserver.org/matter/dynamic-profile/view/1892158","19-1892158")</f>
        <v>0</v>
      </c>
      <c r="B6008" t="s">
        <v>103</v>
      </c>
      <c r="C6008" t="s">
        <v>256</v>
      </c>
      <c r="D6008" t="s">
        <v>428</v>
      </c>
      <c r="F6008" t="s">
        <v>2080</v>
      </c>
      <c r="G6008" t="s">
        <v>5556</v>
      </c>
      <c r="H6008" t="s">
        <v>6785</v>
      </c>
      <c r="I6008" t="s">
        <v>8171</v>
      </c>
      <c r="J6008" t="s">
        <v>9065</v>
      </c>
      <c r="K6008">
        <v>10453</v>
      </c>
      <c r="L6008" t="s">
        <v>9094</v>
      </c>
      <c r="M6008" t="s">
        <v>9094</v>
      </c>
      <c r="N6008" t="s">
        <v>9352</v>
      </c>
      <c r="O6008" t="s">
        <v>11130</v>
      </c>
      <c r="P6008" t="s">
        <v>11165</v>
      </c>
      <c r="R6008" t="s">
        <v>11180</v>
      </c>
      <c r="S6008" t="s">
        <v>9094</v>
      </c>
      <c r="T6008" t="s">
        <v>11183</v>
      </c>
      <c r="V6008" t="s">
        <v>512</v>
      </c>
      <c r="W6008">
        <v>1325</v>
      </c>
      <c r="X6008" t="s">
        <v>11333</v>
      </c>
      <c r="Y6008" t="s">
        <v>11339</v>
      </c>
      <c r="Z6008" t="s">
        <v>15089</v>
      </c>
      <c r="AB6008" t="s">
        <v>19382</v>
      </c>
      <c r="AC6008">
        <v>170</v>
      </c>
      <c r="AD6008" t="s">
        <v>19566</v>
      </c>
      <c r="AF6008">
        <v>1</v>
      </c>
      <c r="AG6008">
        <v>1</v>
      </c>
      <c r="AH6008">
        <v>0</v>
      </c>
      <c r="AI6008">
        <v>412.33</v>
      </c>
      <c r="AL6008" t="s">
        <v>19614</v>
      </c>
      <c r="AM6008">
        <v>51500</v>
      </c>
      <c r="AS6008">
        <v>0</v>
      </c>
      <c r="AU6008" t="s">
        <v>220</v>
      </c>
    </row>
    <row r="6009" spans="1:48">
      <c r="A6009" s="1">
        <f>HYPERLINK("https://lsnyc.legalserver.org/matter/dynamic-profile/view/1906393","19-1906393")</f>
        <v>0</v>
      </c>
      <c r="B6009" t="s">
        <v>139</v>
      </c>
      <c r="C6009" t="s">
        <v>256</v>
      </c>
      <c r="D6009" t="s">
        <v>493</v>
      </c>
      <c r="F6009" t="s">
        <v>3242</v>
      </c>
      <c r="G6009" t="s">
        <v>5557</v>
      </c>
      <c r="H6009" t="s">
        <v>7528</v>
      </c>
      <c r="I6009">
        <v>36</v>
      </c>
      <c r="J6009" t="s">
        <v>9067</v>
      </c>
      <c r="K6009">
        <v>10032</v>
      </c>
      <c r="L6009" t="s">
        <v>9094</v>
      </c>
      <c r="M6009" t="s">
        <v>9095</v>
      </c>
      <c r="O6009" t="s">
        <v>11130</v>
      </c>
      <c r="P6009" t="s">
        <v>11166</v>
      </c>
      <c r="R6009" t="s">
        <v>11180</v>
      </c>
      <c r="S6009" t="s">
        <v>9094</v>
      </c>
      <c r="T6009" t="s">
        <v>11183</v>
      </c>
      <c r="V6009" t="s">
        <v>493</v>
      </c>
      <c r="W6009">
        <v>0</v>
      </c>
      <c r="X6009" t="s">
        <v>11335</v>
      </c>
      <c r="Y6009" t="s">
        <v>11338</v>
      </c>
      <c r="Z6009" t="s">
        <v>15090</v>
      </c>
      <c r="AB6009" t="s">
        <v>19383</v>
      </c>
      <c r="AC6009">
        <v>46</v>
      </c>
      <c r="AD6009" t="s">
        <v>19566</v>
      </c>
      <c r="AE6009" t="s">
        <v>9144</v>
      </c>
      <c r="AF6009">
        <v>4</v>
      </c>
      <c r="AG6009">
        <v>1</v>
      </c>
      <c r="AH6009">
        <v>0</v>
      </c>
      <c r="AI6009">
        <v>412.33</v>
      </c>
      <c r="AL6009" t="s">
        <v>19614</v>
      </c>
      <c r="AM6009">
        <v>51500</v>
      </c>
      <c r="AS6009">
        <v>0.1</v>
      </c>
      <c r="AT6009" t="s">
        <v>377</v>
      </c>
      <c r="AU6009" t="s">
        <v>130</v>
      </c>
      <c r="AV6009" t="s">
        <v>20733</v>
      </c>
    </row>
    <row r="6010" spans="1:48">
      <c r="A6010" s="1">
        <f>HYPERLINK("https://lsnyc.legalserver.org/matter/dynamic-profile/view/1913595","19-1913595")</f>
        <v>0</v>
      </c>
      <c r="B6010" t="s">
        <v>92</v>
      </c>
      <c r="C6010" t="s">
        <v>256</v>
      </c>
      <c r="D6010" t="s">
        <v>521</v>
      </c>
      <c r="F6010" t="s">
        <v>1550</v>
      </c>
      <c r="G6010" t="s">
        <v>5558</v>
      </c>
      <c r="H6010" t="s">
        <v>6306</v>
      </c>
      <c r="I6010" t="s">
        <v>8266</v>
      </c>
      <c r="J6010" t="s">
        <v>9059</v>
      </c>
      <c r="K6010">
        <v>11238</v>
      </c>
      <c r="L6010" t="s">
        <v>9094</v>
      </c>
      <c r="M6010" t="s">
        <v>9095</v>
      </c>
      <c r="N6010" t="s">
        <v>9121</v>
      </c>
      <c r="O6010" t="s">
        <v>11137</v>
      </c>
      <c r="P6010" t="s">
        <v>11167</v>
      </c>
      <c r="R6010" t="s">
        <v>11180</v>
      </c>
      <c r="S6010" t="s">
        <v>9094</v>
      </c>
      <c r="T6010" t="s">
        <v>11183</v>
      </c>
      <c r="U6010" t="s">
        <v>11201</v>
      </c>
      <c r="V6010" t="s">
        <v>1063</v>
      </c>
      <c r="W6010">
        <v>1048.29</v>
      </c>
      <c r="X6010" t="s">
        <v>11332</v>
      </c>
      <c r="Y6010" t="s">
        <v>11157</v>
      </c>
      <c r="Z6010" t="s">
        <v>11864</v>
      </c>
      <c r="AA6010" t="s">
        <v>9144</v>
      </c>
      <c r="AB6010" t="s">
        <v>19384</v>
      </c>
      <c r="AC6010">
        <v>16</v>
      </c>
      <c r="AD6010" t="s">
        <v>19566</v>
      </c>
      <c r="AE6010" t="s">
        <v>9144</v>
      </c>
      <c r="AF6010">
        <v>0</v>
      </c>
      <c r="AG6010">
        <v>2</v>
      </c>
      <c r="AH6010">
        <v>0</v>
      </c>
      <c r="AI6010">
        <v>413.96</v>
      </c>
      <c r="AL6010" t="s">
        <v>19614</v>
      </c>
      <c r="AM6010">
        <v>70000</v>
      </c>
      <c r="AN6010" t="s">
        <v>20041</v>
      </c>
      <c r="AS6010">
        <v>0</v>
      </c>
      <c r="AU6010" t="s">
        <v>79</v>
      </c>
      <c r="AV6010" t="s">
        <v>20733</v>
      </c>
    </row>
    <row r="6011" spans="1:48">
      <c r="A6011" s="1">
        <f>HYPERLINK("https://lsnyc.legalserver.org/matter/dynamic-profile/view/1911874","19-1911874")</f>
        <v>0</v>
      </c>
      <c r="B6011" t="s">
        <v>92</v>
      </c>
      <c r="C6011" t="s">
        <v>256</v>
      </c>
      <c r="D6011" t="s">
        <v>284</v>
      </c>
      <c r="F6011" t="s">
        <v>1550</v>
      </c>
      <c r="G6011" t="s">
        <v>5558</v>
      </c>
      <c r="H6011" t="s">
        <v>6306</v>
      </c>
      <c r="I6011" t="s">
        <v>8266</v>
      </c>
      <c r="J6011" t="s">
        <v>9059</v>
      </c>
      <c r="K6011">
        <v>11238</v>
      </c>
      <c r="L6011" t="s">
        <v>9094</v>
      </c>
      <c r="M6011" t="s">
        <v>9095</v>
      </c>
      <c r="N6011" t="s">
        <v>11099</v>
      </c>
      <c r="O6011" t="s">
        <v>11129</v>
      </c>
      <c r="P6011" t="s">
        <v>11165</v>
      </c>
      <c r="R6011" t="s">
        <v>11180</v>
      </c>
      <c r="S6011" t="s">
        <v>9096</v>
      </c>
      <c r="T6011" t="s">
        <v>11183</v>
      </c>
      <c r="U6011" t="s">
        <v>11201</v>
      </c>
      <c r="V6011" t="s">
        <v>290</v>
      </c>
      <c r="W6011">
        <v>1048.29</v>
      </c>
      <c r="X6011" t="s">
        <v>11332</v>
      </c>
      <c r="Z6011" t="s">
        <v>11864</v>
      </c>
      <c r="AA6011" t="s">
        <v>9144</v>
      </c>
      <c r="AB6011" t="s">
        <v>19384</v>
      </c>
      <c r="AC6011">
        <v>16</v>
      </c>
      <c r="AD6011" t="s">
        <v>19566</v>
      </c>
      <c r="AE6011" t="s">
        <v>9144</v>
      </c>
      <c r="AF6011">
        <v>0</v>
      </c>
      <c r="AG6011">
        <v>2</v>
      </c>
      <c r="AH6011">
        <v>0</v>
      </c>
      <c r="AI6011">
        <v>413.96</v>
      </c>
      <c r="AL6011" t="s">
        <v>19614</v>
      </c>
      <c r="AM6011">
        <v>70000</v>
      </c>
      <c r="AN6011" t="s">
        <v>20220</v>
      </c>
      <c r="AS6011">
        <v>5.4</v>
      </c>
      <c r="AT6011" t="s">
        <v>331</v>
      </c>
      <c r="AU6011" t="s">
        <v>95</v>
      </c>
      <c r="AV6011" t="s">
        <v>20733</v>
      </c>
    </row>
    <row r="6012" spans="1:48">
      <c r="A6012" s="1">
        <f>HYPERLINK("https://lsnyc.legalserver.org/matter/dynamic-profile/view/1892512","19-1892512")</f>
        <v>0</v>
      </c>
      <c r="B6012" t="s">
        <v>70</v>
      </c>
      <c r="C6012" t="s">
        <v>256</v>
      </c>
      <c r="D6012" t="s">
        <v>311</v>
      </c>
      <c r="F6012" t="s">
        <v>2024</v>
      </c>
      <c r="G6012" t="s">
        <v>3344</v>
      </c>
      <c r="H6012" t="s">
        <v>5749</v>
      </c>
      <c r="I6012" t="s">
        <v>8402</v>
      </c>
      <c r="J6012" t="s">
        <v>9059</v>
      </c>
      <c r="K6012">
        <v>11233</v>
      </c>
      <c r="L6012" t="s">
        <v>9094</v>
      </c>
      <c r="M6012" t="s">
        <v>9096</v>
      </c>
      <c r="N6012" t="s">
        <v>9146</v>
      </c>
      <c r="O6012" t="s">
        <v>11134</v>
      </c>
      <c r="P6012" t="s">
        <v>11168</v>
      </c>
      <c r="R6012" t="s">
        <v>11180</v>
      </c>
      <c r="S6012" t="s">
        <v>9094</v>
      </c>
      <c r="T6012" t="s">
        <v>11183</v>
      </c>
      <c r="U6012" t="s">
        <v>11201</v>
      </c>
      <c r="V6012" t="s">
        <v>482</v>
      </c>
      <c r="W6012">
        <v>0</v>
      </c>
      <c r="X6012" t="s">
        <v>11332</v>
      </c>
      <c r="Y6012" t="s">
        <v>11157</v>
      </c>
      <c r="Z6012" t="s">
        <v>11422</v>
      </c>
      <c r="AA6012" t="s">
        <v>9144</v>
      </c>
      <c r="AC6012">
        <v>359</v>
      </c>
      <c r="AD6012" t="s">
        <v>19566</v>
      </c>
      <c r="AE6012" t="s">
        <v>9144</v>
      </c>
      <c r="AF6012">
        <v>43</v>
      </c>
      <c r="AG6012">
        <v>2</v>
      </c>
      <c r="AH6012">
        <v>0</v>
      </c>
      <c r="AI6012">
        <v>413.96</v>
      </c>
      <c r="AL6012" t="s">
        <v>19614</v>
      </c>
      <c r="AM6012">
        <v>70000</v>
      </c>
      <c r="AN6012" t="s">
        <v>20221</v>
      </c>
      <c r="AS6012">
        <v>0</v>
      </c>
      <c r="AU6012" t="s">
        <v>79</v>
      </c>
      <c r="AV6012" t="s">
        <v>9144</v>
      </c>
    </row>
    <row r="6013" spans="1:48">
      <c r="A6013" s="1">
        <f>HYPERLINK("https://lsnyc.legalserver.org/matter/dynamic-profile/view/1892517","19-1892517")</f>
        <v>0</v>
      </c>
      <c r="B6013" t="s">
        <v>70</v>
      </c>
      <c r="C6013" t="s">
        <v>256</v>
      </c>
      <c r="D6013" t="s">
        <v>311</v>
      </c>
      <c r="F6013" t="s">
        <v>2024</v>
      </c>
      <c r="G6013" t="s">
        <v>3344</v>
      </c>
      <c r="H6013" t="s">
        <v>5749</v>
      </c>
      <c r="I6013" t="s">
        <v>8402</v>
      </c>
      <c r="J6013" t="s">
        <v>9059</v>
      </c>
      <c r="K6013">
        <v>11233</v>
      </c>
      <c r="L6013" t="s">
        <v>9094</v>
      </c>
      <c r="M6013" t="s">
        <v>9096</v>
      </c>
      <c r="N6013" t="s">
        <v>9144</v>
      </c>
      <c r="O6013" t="s">
        <v>11137</v>
      </c>
      <c r="P6013" t="s">
        <v>11167</v>
      </c>
      <c r="R6013" t="s">
        <v>11180</v>
      </c>
      <c r="S6013" t="s">
        <v>9094</v>
      </c>
      <c r="T6013" t="s">
        <v>11183</v>
      </c>
      <c r="U6013" t="s">
        <v>11201</v>
      </c>
      <c r="V6013" t="s">
        <v>749</v>
      </c>
      <c r="W6013">
        <v>0</v>
      </c>
      <c r="X6013" t="s">
        <v>11332</v>
      </c>
      <c r="Y6013" t="s">
        <v>11157</v>
      </c>
      <c r="Z6013" t="s">
        <v>11422</v>
      </c>
      <c r="AA6013" t="s">
        <v>9144</v>
      </c>
      <c r="AC6013">
        <v>359</v>
      </c>
      <c r="AD6013" t="s">
        <v>19566</v>
      </c>
      <c r="AE6013" t="s">
        <v>9144</v>
      </c>
      <c r="AF6013">
        <v>43</v>
      </c>
      <c r="AG6013">
        <v>2</v>
      </c>
      <c r="AH6013">
        <v>0</v>
      </c>
      <c r="AI6013">
        <v>413.96</v>
      </c>
      <c r="AL6013" t="s">
        <v>19614</v>
      </c>
      <c r="AM6013">
        <v>70000</v>
      </c>
      <c r="AN6013" t="s">
        <v>20221</v>
      </c>
      <c r="AS6013">
        <v>0</v>
      </c>
      <c r="AU6013" t="s">
        <v>79</v>
      </c>
      <c r="AV6013" t="s">
        <v>9144</v>
      </c>
    </row>
    <row r="6014" spans="1:48">
      <c r="A6014" s="1">
        <f>HYPERLINK("https://lsnyc.legalserver.org/matter/dynamic-profile/view/1902114","19-1902114")</f>
        <v>0</v>
      </c>
      <c r="B6014" t="s">
        <v>115</v>
      </c>
      <c r="C6014" t="s">
        <v>256</v>
      </c>
      <c r="D6014" t="s">
        <v>319</v>
      </c>
      <c r="F6014" t="s">
        <v>1362</v>
      </c>
      <c r="G6014" t="s">
        <v>5559</v>
      </c>
      <c r="H6014" t="s">
        <v>7992</v>
      </c>
      <c r="I6014" t="s">
        <v>8132</v>
      </c>
      <c r="J6014" t="s">
        <v>9065</v>
      </c>
      <c r="K6014">
        <v>10452</v>
      </c>
      <c r="L6014" t="s">
        <v>9094</v>
      </c>
      <c r="M6014" t="s">
        <v>9095</v>
      </c>
      <c r="O6014" t="s">
        <v>11134</v>
      </c>
      <c r="P6014" t="s">
        <v>11168</v>
      </c>
      <c r="R6014" t="s">
        <v>11180</v>
      </c>
      <c r="S6014" t="s">
        <v>9094</v>
      </c>
      <c r="T6014" t="s">
        <v>11183</v>
      </c>
      <c r="U6014" t="s">
        <v>11201</v>
      </c>
      <c r="V6014" t="s">
        <v>11212</v>
      </c>
      <c r="W6014">
        <v>1370</v>
      </c>
      <c r="X6014" t="s">
        <v>11333</v>
      </c>
      <c r="Y6014" t="s">
        <v>11346</v>
      </c>
      <c r="Z6014" t="s">
        <v>15091</v>
      </c>
      <c r="AB6014" t="s">
        <v>19385</v>
      </c>
      <c r="AC6014">
        <v>52</v>
      </c>
      <c r="AD6014" t="s">
        <v>19566</v>
      </c>
      <c r="AE6014" t="s">
        <v>9144</v>
      </c>
      <c r="AF6014">
        <v>15</v>
      </c>
      <c r="AG6014">
        <v>2</v>
      </c>
      <c r="AH6014">
        <v>0</v>
      </c>
      <c r="AI6014">
        <v>413.96</v>
      </c>
      <c r="AL6014" t="s">
        <v>19614</v>
      </c>
      <c r="AM6014">
        <v>70000</v>
      </c>
      <c r="AS6014">
        <v>1.2</v>
      </c>
      <c r="AT6014" t="s">
        <v>319</v>
      </c>
      <c r="AU6014" t="s">
        <v>174</v>
      </c>
      <c r="AV6014" t="s">
        <v>20733</v>
      </c>
    </row>
    <row r="6015" spans="1:48">
      <c r="A6015" s="1">
        <f>HYPERLINK("https://lsnyc.legalserver.org/matter/dynamic-profile/view/1915022","19-1915022")</f>
        <v>0</v>
      </c>
      <c r="B6015" t="s">
        <v>142</v>
      </c>
      <c r="C6015" t="s">
        <v>256</v>
      </c>
      <c r="D6015" t="s">
        <v>377</v>
      </c>
      <c r="F6015" t="s">
        <v>1503</v>
      </c>
      <c r="G6015" t="s">
        <v>3804</v>
      </c>
      <c r="H6015" t="s">
        <v>6596</v>
      </c>
      <c r="I6015" t="s">
        <v>8175</v>
      </c>
      <c r="J6015" t="s">
        <v>9067</v>
      </c>
      <c r="K6015">
        <v>10035</v>
      </c>
      <c r="L6015" t="s">
        <v>9094</v>
      </c>
      <c r="M6015" t="s">
        <v>9095</v>
      </c>
      <c r="O6015" t="s">
        <v>11134</v>
      </c>
      <c r="P6015" t="s">
        <v>11165</v>
      </c>
      <c r="R6015" t="s">
        <v>11180</v>
      </c>
      <c r="S6015" t="s">
        <v>9094</v>
      </c>
      <c r="T6015" t="s">
        <v>11183</v>
      </c>
      <c r="U6015" t="s">
        <v>11201</v>
      </c>
      <c r="V6015" t="s">
        <v>377</v>
      </c>
      <c r="W6015">
        <v>1230</v>
      </c>
      <c r="X6015" t="s">
        <v>11335</v>
      </c>
      <c r="Y6015" t="s">
        <v>11340</v>
      </c>
      <c r="Z6015" t="s">
        <v>15092</v>
      </c>
      <c r="AB6015" t="s">
        <v>19386</v>
      </c>
      <c r="AC6015">
        <v>60</v>
      </c>
      <c r="AD6015" t="s">
        <v>19569</v>
      </c>
      <c r="AE6015" t="s">
        <v>9144</v>
      </c>
      <c r="AF6015">
        <v>8</v>
      </c>
      <c r="AG6015">
        <v>2</v>
      </c>
      <c r="AH6015">
        <v>0</v>
      </c>
      <c r="AI6015">
        <v>413.96</v>
      </c>
      <c r="AL6015" t="s">
        <v>19614</v>
      </c>
      <c r="AM6015">
        <v>70000</v>
      </c>
      <c r="AS6015">
        <v>0</v>
      </c>
      <c r="AU6015" t="s">
        <v>20657</v>
      </c>
      <c r="AV6015" t="s">
        <v>20733</v>
      </c>
    </row>
    <row r="6016" spans="1:48">
      <c r="A6016" s="1">
        <f>HYPERLINK("https://lsnyc.legalserver.org/matter/dynamic-profile/view/1909127","19-1909127")</f>
        <v>0</v>
      </c>
      <c r="B6016" t="s">
        <v>142</v>
      </c>
      <c r="C6016" t="s">
        <v>256</v>
      </c>
      <c r="D6016" t="s">
        <v>472</v>
      </c>
      <c r="F6016" t="s">
        <v>1227</v>
      </c>
      <c r="G6016" t="s">
        <v>5560</v>
      </c>
      <c r="H6016" t="s">
        <v>6326</v>
      </c>
      <c r="I6016" t="s">
        <v>8197</v>
      </c>
      <c r="J6016" t="s">
        <v>9067</v>
      </c>
      <c r="K6016">
        <v>10035</v>
      </c>
      <c r="L6016" t="s">
        <v>9094</v>
      </c>
      <c r="M6016" t="s">
        <v>9095</v>
      </c>
      <c r="O6016" t="s">
        <v>11128</v>
      </c>
      <c r="P6016" t="s">
        <v>11167</v>
      </c>
      <c r="R6016" t="s">
        <v>11180</v>
      </c>
      <c r="S6016" t="s">
        <v>9096</v>
      </c>
      <c r="T6016" t="s">
        <v>11183</v>
      </c>
      <c r="U6016" t="s">
        <v>11201</v>
      </c>
      <c r="V6016" t="s">
        <v>676</v>
      </c>
      <c r="W6016">
        <v>2150</v>
      </c>
      <c r="X6016" t="s">
        <v>11335</v>
      </c>
      <c r="Y6016" t="s">
        <v>11350</v>
      </c>
      <c r="Z6016" t="s">
        <v>15093</v>
      </c>
      <c r="AB6016" t="s">
        <v>19387</v>
      </c>
      <c r="AC6016">
        <v>72</v>
      </c>
      <c r="AD6016" t="s">
        <v>19566</v>
      </c>
      <c r="AE6016" t="s">
        <v>9144</v>
      </c>
      <c r="AF6016">
        <v>1</v>
      </c>
      <c r="AG6016">
        <v>2</v>
      </c>
      <c r="AH6016">
        <v>0</v>
      </c>
      <c r="AI6016">
        <v>413.96</v>
      </c>
      <c r="AL6016" t="s">
        <v>19614</v>
      </c>
      <c r="AM6016">
        <v>70000</v>
      </c>
      <c r="AS6016">
        <v>2.5</v>
      </c>
      <c r="AT6016" t="s">
        <v>362</v>
      </c>
      <c r="AU6016" t="s">
        <v>20657</v>
      </c>
      <c r="AV6016" t="s">
        <v>20733</v>
      </c>
    </row>
    <row r="6017" spans="1:48">
      <c r="A6017" s="1">
        <f>HYPERLINK("https://lsnyc.legalserver.org/matter/dynamic-profile/view/1914758","19-1914758")</f>
        <v>0</v>
      </c>
      <c r="B6017" t="s">
        <v>142</v>
      </c>
      <c r="C6017" t="s">
        <v>256</v>
      </c>
      <c r="D6017" t="s">
        <v>632</v>
      </c>
      <c r="F6017" t="s">
        <v>1503</v>
      </c>
      <c r="G6017" t="s">
        <v>3804</v>
      </c>
      <c r="H6017" t="s">
        <v>6596</v>
      </c>
      <c r="I6017" t="s">
        <v>8175</v>
      </c>
      <c r="J6017" t="s">
        <v>9067</v>
      </c>
      <c r="K6017">
        <v>10035</v>
      </c>
      <c r="L6017" t="s">
        <v>9094</v>
      </c>
      <c r="M6017" t="s">
        <v>9095</v>
      </c>
      <c r="O6017" t="s">
        <v>11130</v>
      </c>
      <c r="P6017" t="s">
        <v>11165</v>
      </c>
      <c r="R6017" t="s">
        <v>11180</v>
      </c>
      <c r="S6017" t="s">
        <v>9094</v>
      </c>
      <c r="T6017" t="s">
        <v>11183</v>
      </c>
      <c r="U6017" t="s">
        <v>11201</v>
      </c>
      <c r="V6017" t="s">
        <v>632</v>
      </c>
      <c r="W6017">
        <v>1230</v>
      </c>
      <c r="X6017" t="s">
        <v>11335</v>
      </c>
      <c r="Y6017" t="s">
        <v>11340</v>
      </c>
      <c r="Z6017" t="s">
        <v>15092</v>
      </c>
      <c r="AB6017" t="s">
        <v>19386</v>
      </c>
      <c r="AC6017">
        <v>60</v>
      </c>
      <c r="AD6017" t="s">
        <v>19569</v>
      </c>
      <c r="AE6017" t="s">
        <v>9144</v>
      </c>
      <c r="AF6017">
        <v>8</v>
      </c>
      <c r="AG6017">
        <v>2</v>
      </c>
      <c r="AH6017">
        <v>0</v>
      </c>
      <c r="AI6017">
        <v>413.96</v>
      </c>
      <c r="AL6017" t="s">
        <v>19614</v>
      </c>
      <c r="AM6017">
        <v>70000</v>
      </c>
      <c r="AS6017">
        <v>0</v>
      </c>
      <c r="AU6017" t="s">
        <v>20657</v>
      </c>
      <c r="AV6017" t="s">
        <v>20733</v>
      </c>
    </row>
    <row r="6018" spans="1:48">
      <c r="A6018" s="1">
        <f>HYPERLINK("https://lsnyc.legalserver.org/matter/dynamic-profile/view/1897686","19-1897686")</f>
        <v>0</v>
      </c>
      <c r="B6018" t="s">
        <v>142</v>
      </c>
      <c r="C6018" t="s">
        <v>256</v>
      </c>
      <c r="D6018" t="s">
        <v>291</v>
      </c>
      <c r="F6018" t="s">
        <v>1503</v>
      </c>
      <c r="G6018" t="s">
        <v>3804</v>
      </c>
      <c r="H6018" t="s">
        <v>6596</v>
      </c>
      <c r="I6018" t="s">
        <v>8175</v>
      </c>
      <c r="J6018" t="s">
        <v>9067</v>
      </c>
      <c r="K6018">
        <v>10035</v>
      </c>
      <c r="L6018" t="s">
        <v>9094</v>
      </c>
      <c r="M6018" t="s">
        <v>9094</v>
      </c>
      <c r="O6018" t="s">
        <v>9121</v>
      </c>
      <c r="P6018" t="s">
        <v>11167</v>
      </c>
      <c r="R6018" t="s">
        <v>11180</v>
      </c>
      <c r="S6018" t="s">
        <v>9094</v>
      </c>
      <c r="T6018" t="s">
        <v>11183</v>
      </c>
      <c r="U6018" t="s">
        <v>11201</v>
      </c>
      <c r="V6018" t="s">
        <v>317</v>
      </c>
      <c r="W6018">
        <v>1230</v>
      </c>
      <c r="X6018" t="s">
        <v>11335</v>
      </c>
      <c r="Y6018" t="s">
        <v>11339</v>
      </c>
      <c r="Z6018" t="s">
        <v>15092</v>
      </c>
      <c r="AB6018" t="s">
        <v>19386</v>
      </c>
      <c r="AC6018">
        <v>60</v>
      </c>
      <c r="AD6018" t="s">
        <v>19569</v>
      </c>
      <c r="AE6018" t="s">
        <v>9144</v>
      </c>
      <c r="AF6018">
        <v>8</v>
      </c>
      <c r="AG6018">
        <v>2</v>
      </c>
      <c r="AH6018">
        <v>0</v>
      </c>
      <c r="AI6018">
        <v>413.96</v>
      </c>
      <c r="AL6018" t="s">
        <v>19614</v>
      </c>
      <c r="AM6018">
        <v>70000</v>
      </c>
      <c r="AS6018">
        <v>0.5</v>
      </c>
      <c r="AT6018" t="s">
        <v>446</v>
      </c>
      <c r="AU6018" t="s">
        <v>20657</v>
      </c>
      <c r="AV6018" t="s">
        <v>20733</v>
      </c>
    </row>
    <row r="6019" spans="1:48">
      <c r="A6019" s="1">
        <f>HYPERLINK("https://lsnyc.legalserver.org/matter/dynamic-profile/view/1904723","19-1904723")</f>
        <v>0</v>
      </c>
      <c r="B6019" t="s">
        <v>140</v>
      </c>
      <c r="C6019" t="s">
        <v>256</v>
      </c>
      <c r="D6019" t="s">
        <v>497</v>
      </c>
      <c r="F6019" t="s">
        <v>2071</v>
      </c>
      <c r="G6019" t="s">
        <v>3846</v>
      </c>
      <c r="H6019" t="s">
        <v>7605</v>
      </c>
      <c r="I6019" t="s">
        <v>8157</v>
      </c>
      <c r="J6019" t="s">
        <v>9067</v>
      </c>
      <c r="K6019">
        <v>10034</v>
      </c>
      <c r="L6019" t="s">
        <v>9094</v>
      </c>
      <c r="M6019" t="s">
        <v>9095</v>
      </c>
      <c r="O6019" t="s">
        <v>11130</v>
      </c>
      <c r="P6019" t="s">
        <v>11165</v>
      </c>
      <c r="R6019" t="s">
        <v>11180</v>
      </c>
      <c r="S6019" t="s">
        <v>9094</v>
      </c>
      <c r="T6019" t="s">
        <v>11183</v>
      </c>
      <c r="V6019" t="s">
        <v>497</v>
      </c>
      <c r="W6019">
        <v>1625</v>
      </c>
      <c r="X6019" t="s">
        <v>11335</v>
      </c>
      <c r="Y6019" t="s">
        <v>11338</v>
      </c>
      <c r="Z6019" t="s">
        <v>15094</v>
      </c>
      <c r="AB6019" t="s">
        <v>19388</v>
      </c>
      <c r="AC6019">
        <v>43</v>
      </c>
      <c r="AD6019" t="s">
        <v>19566</v>
      </c>
      <c r="AE6019" t="s">
        <v>9144</v>
      </c>
      <c r="AF6019">
        <v>2</v>
      </c>
      <c r="AG6019">
        <v>2</v>
      </c>
      <c r="AH6019">
        <v>0</v>
      </c>
      <c r="AI6019">
        <v>413.96</v>
      </c>
      <c r="AL6019" t="s">
        <v>19614</v>
      </c>
      <c r="AM6019">
        <v>70000</v>
      </c>
      <c r="AS6019">
        <v>0.2</v>
      </c>
      <c r="AT6019" t="s">
        <v>334</v>
      </c>
      <c r="AU6019" t="s">
        <v>130</v>
      </c>
      <c r="AV6019" t="s">
        <v>20733</v>
      </c>
    </row>
    <row r="6020" spans="1:48">
      <c r="A6020" s="1">
        <f>HYPERLINK("https://lsnyc.legalserver.org/matter/dynamic-profile/view/1914220","19-1914220")</f>
        <v>0</v>
      </c>
      <c r="B6020" t="s">
        <v>133</v>
      </c>
      <c r="C6020" t="s">
        <v>256</v>
      </c>
      <c r="D6020" t="s">
        <v>496</v>
      </c>
      <c r="F6020" t="s">
        <v>3243</v>
      </c>
      <c r="G6020" t="s">
        <v>3333</v>
      </c>
      <c r="H6020" t="s">
        <v>8073</v>
      </c>
      <c r="I6020">
        <v>31</v>
      </c>
      <c r="J6020" t="s">
        <v>9067</v>
      </c>
      <c r="K6020">
        <v>10034</v>
      </c>
      <c r="L6020" t="s">
        <v>9094</v>
      </c>
      <c r="M6020" t="s">
        <v>9095</v>
      </c>
      <c r="P6020" t="s">
        <v>11169</v>
      </c>
      <c r="R6020" t="s">
        <v>11180</v>
      </c>
      <c r="S6020" t="s">
        <v>9096</v>
      </c>
      <c r="T6020" t="s">
        <v>11183</v>
      </c>
      <c r="V6020" t="s">
        <v>496</v>
      </c>
      <c r="W6020">
        <v>1159.32</v>
      </c>
      <c r="X6020" t="s">
        <v>11335</v>
      </c>
      <c r="Y6020" t="s">
        <v>11338</v>
      </c>
      <c r="Z6020" t="s">
        <v>15095</v>
      </c>
      <c r="AC6020">
        <v>26</v>
      </c>
      <c r="AD6020" t="s">
        <v>19566</v>
      </c>
      <c r="AE6020" t="s">
        <v>9144</v>
      </c>
      <c r="AF6020">
        <v>22</v>
      </c>
      <c r="AG6020">
        <v>2</v>
      </c>
      <c r="AH6020">
        <v>0</v>
      </c>
      <c r="AI6020">
        <v>413.96</v>
      </c>
      <c r="AL6020" t="s">
        <v>19615</v>
      </c>
      <c r="AM6020">
        <v>70000</v>
      </c>
      <c r="AS6020">
        <v>1</v>
      </c>
      <c r="AT6020" t="s">
        <v>395</v>
      </c>
      <c r="AU6020" t="s">
        <v>130</v>
      </c>
      <c r="AV6020" t="s">
        <v>20733</v>
      </c>
    </row>
    <row r="6021" spans="1:48">
      <c r="A6021" s="1">
        <f>HYPERLINK("https://lsnyc.legalserver.org/matter/dynamic-profile/view/1910836","19-1910836")</f>
        <v>0</v>
      </c>
      <c r="B6021" t="s">
        <v>134</v>
      </c>
      <c r="C6021" t="s">
        <v>257</v>
      </c>
      <c r="D6021" t="s">
        <v>308</v>
      </c>
      <c r="E6021" t="s">
        <v>292</v>
      </c>
      <c r="F6021" t="s">
        <v>2332</v>
      </c>
      <c r="G6021" t="s">
        <v>4417</v>
      </c>
      <c r="H6021" t="s">
        <v>8074</v>
      </c>
      <c r="I6021" t="s">
        <v>8153</v>
      </c>
      <c r="J6021" t="s">
        <v>9067</v>
      </c>
      <c r="K6021">
        <v>10033</v>
      </c>
      <c r="L6021" t="s">
        <v>9094</v>
      </c>
      <c r="M6021" t="s">
        <v>9095</v>
      </c>
      <c r="P6021" t="s">
        <v>11164</v>
      </c>
      <c r="Q6021" t="s">
        <v>11172</v>
      </c>
      <c r="R6021" t="s">
        <v>11180</v>
      </c>
      <c r="S6021" t="s">
        <v>9096</v>
      </c>
      <c r="T6021" t="s">
        <v>11183</v>
      </c>
      <c r="V6021" t="s">
        <v>308</v>
      </c>
      <c r="W6021">
        <v>1995.04</v>
      </c>
      <c r="X6021" t="s">
        <v>11335</v>
      </c>
      <c r="Y6021" t="s">
        <v>11338</v>
      </c>
      <c r="Z6021" t="s">
        <v>15096</v>
      </c>
      <c r="AB6021" t="s">
        <v>19389</v>
      </c>
      <c r="AC6021">
        <v>29</v>
      </c>
      <c r="AD6021" t="s">
        <v>19566</v>
      </c>
      <c r="AE6021" t="s">
        <v>9144</v>
      </c>
      <c r="AF6021">
        <v>4</v>
      </c>
      <c r="AG6021">
        <v>2</v>
      </c>
      <c r="AH6021">
        <v>0</v>
      </c>
      <c r="AI6021">
        <v>413.96</v>
      </c>
      <c r="AL6021" t="s">
        <v>19614</v>
      </c>
      <c r="AM6021">
        <v>70000</v>
      </c>
      <c r="AS6021">
        <v>0.23</v>
      </c>
      <c r="AT6021" t="s">
        <v>290</v>
      </c>
      <c r="AU6021" t="s">
        <v>130</v>
      </c>
      <c r="AV6021" t="s">
        <v>20733</v>
      </c>
    </row>
    <row r="6022" spans="1:48">
      <c r="A6022" s="1">
        <f>HYPERLINK("https://lsnyc.legalserver.org/matter/dynamic-profile/view/0821529","16-0821529")</f>
        <v>0</v>
      </c>
      <c r="B6022" t="s">
        <v>103</v>
      </c>
      <c r="C6022" t="s">
        <v>256</v>
      </c>
      <c r="D6022" t="s">
        <v>519</v>
      </c>
      <c r="F6022" t="s">
        <v>1260</v>
      </c>
      <c r="G6022" t="s">
        <v>5561</v>
      </c>
      <c r="H6022" t="s">
        <v>5899</v>
      </c>
      <c r="I6022" t="s">
        <v>8109</v>
      </c>
      <c r="J6022" t="s">
        <v>9065</v>
      </c>
      <c r="K6022">
        <v>10452</v>
      </c>
      <c r="L6022" t="s">
        <v>9094</v>
      </c>
      <c r="M6022" t="s">
        <v>9095</v>
      </c>
      <c r="O6022" t="s">
        <v>11135</v>
      </c>
      <c r="P6022" t="s">
        <v>11168</v>
      </c>
      <c r="R6022" t="s">
        <v>11180</v>
      </c>
      <c r="S6022" t="s">
        <v>9094</v>
      </c>
      <c r="T6022" t="s">
        <v>11183</v>
      </c>
      <c r="V6022" t="s">
        <v>519</v>
      </c>
      <c r="W6022">
        <v>754.6</v>
      </c>
      <c r="X6022" t="s">
        <v>11333</v>
      </c>
      <c r="Y6022" t="s">
        <v>11346</v>
      </c>
      <c r="Z6022" t="s">
        <v>15097</v>
      </c>
      <c r="AB6022" t="s">
        <v>19390</v>
      </c>
      <c r="AC6022">
        <v>63</v>
      </c>
      <c r="AD6022" t="s">
        <v>19566</v>
      </c>
      <c r="AF6022">
        <v>35</v>
      </c>
      <c r="AG6022">
        <v>1</v>
      </c>
      <c r="AH6022">
        <v>0</v>
      </c>
      <c r="AI6022">
        <v>414.14</v>
      </c>
      <c r="AL6022" t="s">
        <v>19614</v>
      </c>
      <c r="AM6022">
        <v>49200</v>
      </c>
      <c r="AS6022">
        <v>0</v>
      </c>
      <c r="AU6022" t="s">
        <v>20643</v>
      </c>
    </row>
    <row r="6023" spans="1:48">
      <c r="A6023" s="1">
        <f>HYPERLINK("https://lsnyc.legalserver.org/matter/dynamic-profile/view/0829654","17-0829654")</f>
        <v>0</v>
      </c>
      <c r="B6023" t="s">
        <v>148</v>
      </c>
      <c r="C6023" t="s">
        <v>256</v>
      </c>
      <c r="D6023" t="s">
        <v>1119</v>
      </c>
      <c r="F6023" t="s">
        <v>1170</v>
      </c>
      <c r="G6023" t="s">
        <v>5562</v>
      </c>
      <c r="H6023" t="s">
        <v>8041</v>
      </c>
      <c r="I6023" t="s">
        <v>8354</v>
      </c>
      <c r="J6023" t="s">
        <v>9067</v>
      </c>
      <c r="K6023">
        <v>10024</v>
      </c>
      <c r="L6023" t="s">
        <v>9094</v>
      </c>
      <c r="M6023" t="s">
        <v>9095</v>
      </c>
      <c r="N6023" t="s">
        <v>11100</v>
      </c>
      <c r="O6023" t="s">
        <v>11130</v>
      </c>
      <c r="P6023" t="s">
        <v>11165</v>
      </c>
      <c r="R6023" t="s">
        <v>11180</v>
      </c>
      <c r="S6023" t="s">
        <v>9094</v>
      </c>
      <c r="T6023" t="s">
        <v>11183</v>
      </c>
      <c r="V6023" t="s">
        <v>11248</v>
      </c>
      <c r="W6023">
        <v>894.33</v>
      </c>
      <c r="X6023" t="s">
        <v>11335</v>
      </c>
      <c r="Y6023" t="s">
        <v>11339</v>
      </c>
      <c r="Z6023" t="s">
        <v>15098</v>
      </c>
      <c r="AB6023" t="s">
        <v>19391</v>
      </c>
      <c r="AC6023">
        <v>12</v>
      </c>
      <c r="AD6023" t="s">
        <v>19566</v>
      </c>
      <c r="AE6023" t="s">
        <v>9144</v>
      </c>
      <c r="AF6023">
        <v>33</v>
      </c>
      <c r="AG6023">
        <v>1</v>
      </c>
      <c r="AH6023">
        <v>0</v>
      </c>
      <c r="AI6023">
        <v>414.59</v>
      </c>
      <c r="AL6023" t="s">
        <v>19614</v>
      </c>
      <c r="AM6023">
        <v>50000</v>
      </c>
      <c r="AS6023">
        <v>80</v>
      </c>
      <c r="AT6023" t="s">
        <v>280</v>
      </c>
      <c r="AU6023" t="s">
        <v>20657</v>
      </c>
    </row>
    <row r="6024" spans="1:48">
      <c r="A6024" s="1">
        <f>HYPERLINK("https://lsnyc.legalserver.org/matter/dynamic-profile/view/1912638","19-1912638")</f>
        <v>0</v>
      </c>
      <c r="B6024" t="s">
        <v>106</v>
      </c>
      <c r="C6024" t="s">
        <v>257</v>
      </c>
      <c r="D6024" t="s">
        <v>263</v>
      </c>
      <c r="E6024" t="s">
        <v>488</v>
      </c>
      <c r="F6024" t="s">
        <v>1248</v>
      </c>
      <c r="G6024" t="s">
        <v>3580</v>
      </c>
      <c r="H6024" t="s">
        <v>8075</v>
      </c>
      <c r="I6024" t="s">
        <v>8308</v>
      </c>
      <c r="J6024" t="s">
        <v>9065</v>
      </c>
      <c r="K6024">
        <v>10463</v>
      </c>
      <c r="L6024" t="s">
        <v>9094</v>
      </c>
      <c r="M6024" t="s">
        <v>9095</v>
      </c>
      <c r="O6024" t="s">
        <v>9121</v>
      </c>
      <c r="P6024" t="s">
        <v>11164</v>
      </c>
      <c r="Q6024" t="s">
        <v>11172</v>
      </c>
      <c r="R6024" t="s">
        <v>11180</v>
      </c>
      <c r="S6024" t="s">
        <v>9096</v>
      </c>
      <c r="T6024" t="s">
        <v>11183</v>
      </c>
      <c r="W6024">
        <v>1450</v>
      </c>
      <c r="X6024" t="s">
        <v>11333</v>
      </c>
      <c r="Y6024" t="s">
        <v>11346</v>
      </c>
      <c r="Z6024" t="s">
        <v>15099</v>
      </c>
      <c r="AC6024">
        <v>45</v>
      </c>
      <c r="AD6024" t="s">
        <v>19566</v>
      </c>
      <c r="AE6024" t="s">
        <v>9144</v>
      </c>
      <c r="AF6024">
        <v>3</v>
      </c>
      <c r="AG6024">
        <v>2</v>
      </c>
      <c r="AH6024">
        <v>0</v>
      </c>
      <c r="AI6024">
        <v>415.67</v>
      </c>
      <c r="AL6024" t="s">
        <v>19614</v>
      </c>
      <c r="AM6024">
        <v>70290</v>
      </c>
      <c r="AS6024">
        <v>1</v>
      </c>
      <c r="AT6024" t="s">
        <v>20617</v>
      </c>
      <c r="AU6024" t="s">
        <v>220</v>
      </c>
      <c r="AV6024" t="s">
        <v>20733</v>
      </c>
    </row>
    <row r="6025" spans="1:48">
      <c r="A6025" s="1">
        <f>HYPERLINK("https://lsnyc.legalserver.org/matter/dynamic-profile/view/0832916","17-0832916")</f>
        <v>0</v>
      </c>
      <c r="B6025" t="s">
        <v>203</v>
      </c>
      <c r="C6025" t="s">
        <v>256</v>
      </c>
      <c r="D6025" t="s">
        <v>1060</v>
      </c>
      <c r="F6025" t="s">
        <v>3244</v>
      </c>
      <c r="G6025" t="s">
        <v>5563</v>
      </c>
      <c r="H6025" t="s">
        <v>7770</v>
      </c>
      <c r="I6025" t="s">
        <v>8847</v>
      </c>
      <c r="J6025" t="s">
        <v>9059</v>
      </c>
      <c r="K6025">
        <v>11238</v>
      </c>
      <c r="L6025" t="s">
        <v>9094</v>
      </c>
      <c r="M6025" t="s">
        <v>9095</v>
      </c>
      <c r="N6025" t="s">
        <v>11101</v>
      </c>
      <c r="O6025" t="s">
        <v>11129</v>
      </c>
      <c r="P6025" t="s">
        <v>11165</v>
      </c>
      <c r="R6025" t="s">
        <v>11180</v>
      </c>
      <c r="S6025" t="s">
        <v>9096</v>
      </c>
      <c r="T6025" t="s">
        <v>11183</v>
      </c>
      <c r="W6025">
        <v>0</v>
      </c>
      <c r="X6025" t="s">
        <v>11332</v>
      </c>
      <c r="Y6025" t="s">
        <v>11157</v>
      </c>
      <c r="Z6025" t="s">
        <v>15100</v>
      </c>
      <c r="AB6025" t="s">
        <v>19392</v>
      </c>
      <c r="AC6025">
        <v>24</v>
      </c>
      <c r="AD6025" t="s">
        <v>19566</v>
      </c>
      <c r="AE6025" t="s">
        <v>9144</v>
      </c>
      <c r="AF6025">
        <v>14</v>
      </c>
      <c r="AG6025">
        <v>1</v>
      </c>
      <c r="AH6025">
        <v>2</v>
      </c>
      <c r="AI6025">
        <v>416.26</v>
      </c>
      <c r="AL6025" t="s">
        <v>19614</v>
      </c>
      <c r="AM6025">
        <v>85000</v>
      </c>
      <c r="AS6025">
        <v>78.34999999999999</v>
      </c>
      <c r="AT6025" t="s">
        <v>949</v>
      </c>
      <c r="AU6025" t="s">
        <v>20626</v>
      </c>
    </row>
    <row r="6026" spans="1:48">
      <c r="A6026" s="1">
        <f>HYPERLINK("https://lsnyc.legalserver.org/matter/dynamic-profile/view/1891586","19-1891586")</f>
        <v>0</v>
      </c>
      <c r="B6026" t="s">
        <v>70</v>
      </c>
      <c r="C6026" t="s">
        <v>256</v>
      </c>
      <c r="D6026" t="s">
        <v>788</v>
      </c>
      <c r="F6026" t="s">
        <v>3245</v>
      </c>
      <c r="G6026" t="s">
        <v>5564</v>
      </c>
      <c r="H6026" t="s">
        <v>5749</v>
      </c>
      <c r="I6026" t="s">
        <v>8223</v>
      </c>
      <c r="J6026" t="s">
        <v>9059</v>
      </c>
      <c r="K6026">
        <v>11233</v>
      </c>
      <c r="L6026" t="s">
        <v>9094</v>
      </c>
      <c r="M6026" t="s">
        <v>9096</v>
      </c>
      <c r="N6026" t="s">
        <v>9146</v>
      </c>
      <c r="O6026" t="s">
        <v>11134</v>
      </c>
      <c r="P6026" t="s">
        <v>11168</v>
      </c>
      <c r="R6026" t="s">
        <v>11180</v>
      </c>
      <c r="S6026" t="s">
        <v>9094</v>
      </c>
      <c r="T6026" t="s">
        <v>11183</v>
      </c>
      <c r="U6026" t="s">
        <v>11201</v>
      </c>
      <c r="V6026" t="s">
        <v>482</v>
      </c>
      <c r="W6026">
        <v>1485</v>
      </c>
      <c r="X6026" t="s">
        <v>11332</v>
      </c>
      <c r="Z6026" t="s">
        <v>11728</v>
      </c>
      <c r="AC6026">
        <v>359</v>
      </c>
      <c r="AD6026" t="s">
        <v>19566</v>
      </c>
      <c r="AF6026">
        <v>2</v>
      </c>
      <c r="AG6026">
        <v>1</v>
      </c>
      <c r="AH6026">
        <v>0</v>
      </c>
      <c r="AI6026">
        <v>416.33</v>
      </c>
      <c r="AL6026" t="s">
        <v>19614</v>
      </c>
      <c r="AM6026">
        <v>52000</v>
      </c>
      <c r="AN6026" t="s">
        <v>19641</v>
      </c>
      <c r="AS6026">
        <v>0</v>
      </c>
      <c r="AU6026" t="s">
        <v>95</v>
      </c>
    </row>
    <row r="6027" spans="1:48">
      <c r="A6027" s="1">
        <f>HYPERLINK("https://lsnyc.legalserver.org/matter/dynamic-profile/view/1891589","19-1891589")</f>
        <v>0</v>
      </c>
      <c r="B6027" t="s">
        <v>70</v>
      </c>
      <c r="C6027" t="s">
        <v>256</v>
      </c>
      <c r="D6027" t="s">
        <v>788</v>
      </c>
      <c r="F6027" t="s">
        <v>3245</v>
      </c>
      <c r="G6027" t="s">
        <v>5564</v>
      </c>
      <c r="H6027" t="s">
        <v>5749</v>
      </c>
      <c r="I6027" t="s">
        <v>8223</v>
      </c>
      <c r="J6027" t="s">
        <v>9059</v>
      </c>
      <c r="K6027">
        <v>11233</v>
      </c>
      <c r="L6027" t="s">
        <v>9094</v>
      </c>
      <c r="M6027" t="s">
        <v>9096</v>
      </c>
      <c r="N6027" t="s">
        <v>9144</v>
      </c>
      <c r="O6027" t="s">
        <v>11137</v>
      </c>
      <c r="P6027" t="s">
        <v>11167</v>
      </c>
      <c r="R6027" t="s">
        <v>11180</v>
      </c>
      <c r="S6027" t="s">
        <v>9094</v>
      </c>
      <c r="T6027" t="s">
        <v>11183</v>
      </c>
      <c r="U6027" t="s">
        <v>11201</v>
      </c>
      <c r="V6027" t="s">
        <v>749</v>
      </c>
      <c r="W6027">
        <v>1485</v>
      </c>
      <c r="X6027" t="s">
        <v>11332</v>
      </c>
      <c r="Z6027" t="s">
        <v>11728</v>
      </c>
      <c r="AC6027">
        <v>359</v>
      </c>
      <c r="AD6027" t="s">
        <v>19566</v>
      </c>
      <c r="AF6027">
        <v>2</v>
      </c>
      <c r="AG6027">
        <v>1</v>
      </c>
      <c r="AH6027">
        <v>0</v>
      </c>
      <c r="AI6027">
        <v>416.33</v>
      </c>
      <c r="AL6027" t="s">
        <v>19614</v>
      </c>
      <c r="AM6027">
        <v>52000</v>
      </c>
      <c r="AN6027" t="s">
        <v>20222</v>
      </c>
      <c r="AS6027">
        <v>0</v>
      </c>
      <c r="AU6027" t="s">
        <v>95</v>
      </c>
    </row>
    <row r="6028" spans="1:48">
      <c r="A6028" s="1">
        <f>HYPERLINK("https://lsnyc.legalserver.org/matter/dynamic-profile/view/1893050","19-1893050")</f>
        <v>0</v>
      </c>
      <c r="B6028" t="s">
        <v>108</v>
      </c>
      <c r="C6028" t="s">
        <v>256</v>
      </c>
      <c r="D6028" t="s">
        <v>423</v>
      </c>
      <c r="F6028" t="s">
        <v>3246</v>
      </c>
      <c r="G6028" t="s">
        <v>5565</v>
      </c>
      <c r="H6028" t="s">
        <v>5859</v>
      </c>
      <c r="I6028" t="s">
        <v>8109</v>
      </c>
      <c r="J6028" t="s">
        <v>9065</v>
      </c>
      <c r="K6028">
        <v>10467</v>
      </c>
      <c r="L6028" t="s">
        <v>9094</v>
      </c>
      <c r="M6028" t="s">
        <v>9094</v>
      </c>
      <c r="P6028" t="s">
        <v>11166</v>
      </c>
      <c r="R6028" t="s">
        <v>11180</v>
      </c>
      <c r="S6028" t="s">
        <v>9094</v>
      </c>
      <c r="T6028" t="s">
        <v>11183</v>
      </c>
      <c r="V6028" t="s">
        <v>11218</v>
      </c>
      <c r="W6028">
        <v>2150</v>
      </c>
      <c r="X6028" t="s">
        <v>11333</v>
      </c>
      <c r="Z6028" t="s">
        <v>15101</v>
      </c>
      <c r="AB6028" t="s">
        <v>19393</v>
      </c>
      <c r="AC6028">
        <v>122</v>
      </c>
      <c r="AD6028" t="s">
        <v>19565</v>
      </c>
      <c r="AE6028" t="s">
        <v>9144</v>
      </c>
      <c r="AF6028">
        <v>-1</v>
      </c>
      <c r="AG6028">
        <v>1</v>
      </c>
      <c r="AH6028">
        <v>0</v>
      </c>
      <c r="AI6028">
        <v>416.33</v>
      </c>
      <c r="AL6028" t="s">
        <v>19614</v>
      </c>
      <c r="AM6028">
        <v>52000</v>
      </c>
      <c r="AS6028">
        <v>0</v>
      </c>
      <c r="AU6028" t="s">
        <v>220</v>
      </c>
      <c r="AV6028" t="s">
        <v>20733</v>
      </c>
    </row>
    <row r="6029" spans="1:48">
      <c r="A6029" s="1">
        <f>HYPERLINK("https://lsnyc.legalserver.org/matter/dynamic-profile/view/1907100","19-1907100")</f>
        <v>0</v>
      </c>
      <c r="B6029" t="s">
        <v>98</v>
      </c>
      <c r="C6029" t="s">
        <v>257</v>
      </c>
      <c r="D6029" t="s">
        <v>498</v>
      </c>
      <c r="E6029" t="s">
        <v>574</v>
      </c>
      <c r="F6029" t="s">
        <v>3247</v>
      </c>
      <c r="G6029" t="s">
        <v>5566</v>
      </c>
      <c r="H6029" t="s">
        <v>6439</v>
      </c>
      <c r="I6029">
        <v>803</v>
      </c>
      <c r="J6029" t="s">
        <v>9065</v>
      </c>
      <c r="K6029">
        <v>10457</v>
      </c>
      <c r="L6029" t="s">
        <v>9094</v>
      </c>
      <c r="M6029" t="s">
        <v>9095</v>
      </c>
      <c r="N6029" t="s">
        <v>11102</v>
      </c>
      <c r="O6029" t="s">
        <v>11141</v>
      </c>
      <c r="P6029" t="s">
        <v>11164</v>
      </c>
      <c r="Q6029" t="s">
        <v>11172</v>
      </c>
      <c r="R6029" t="s">
        <v>11180</v>
      </c>
      <c r="S6029" t="s">
        <v>9096</v>
      </c>
      <c r="T6029" t="s">
        <v>11183</v>
      </c>
      <c r="W6029">
        <v>1000</v>
      </c>
      <c r="X6029" t="s">
        <v>11333</v>
      </c>
      <c r="Y6029" t="s">
        <v>11346</v>
      </c>
      <c r="Z6029" t="s">
        <v>15102</v>
      </c>
      <c r="AB6029" t="s">
        <v>19394</v>
      </c>
      <c r="AC6029">
        <v>99</v>
      </c>
      <c r="AD6029" t="s">
        <v>19566</v>
      </c>
      <c r="AE6029" t="s">
        <v>9144</v>
      </c>
      <c r="AF6029">
        <v>13</v>
      </c>
      <c r="AG6029">
        <v>1</v>
      </c>
      <c r="AH6029">
        <v>0</v>
      </c>
      <c r="AI6029">
        <v>416.33</v>
      </c>
      <c r="AL6029" t="s">
        <v>19614</v>
      </c>
      <c r="AM6029">
        <v>52000</v>
      </c>
      <c r="AS6029">
        <v>1</v>
      </c>
      <c r="AT6029" t="s">
        <v>314</v>
      </c>
      <c r="AU6029" t="s">
        <v>220</v>
      </c>
      <c r="AV6029" t="s">
        <v>20733</v>
      </c>
    </row>
    <row r="6030" spans="1:48">
      <c r="A6030" s="1">
        <f>HYPERLINK("https://lsnyc.legalserver.org/matter/dynamic-profile/view/1908368","19-1908368")</f>
        <v>0</v>
      </c>
      <c r="B6030" t="s">
        <v>142</v>
      </c>
      <c r="C6030" t="s">
        <v>256</v>
      </c>
      <c r="D6030" t="s">
        <v>314</v>
      </c>
      <c r="F6030" t="s">
        <v>1255</v>
      </c>
      <c r="G6030" t="s">
        <v>3498</v>
      </c>
      <c r="H6030" t="s">
        <v>6326</v>
      </c>
      <c r="I6030" t="s">
        <v>8169</v>
      </c>
      <c r="J6030" t="s">
        <v>9067</v>
      </c>
      <c r="K6030">
        <v>10035</v>
      </c>
      <c r="L6030" t="s">
        <v>9094</v>
      </c>
      <c r="M6030" t="s">
        <v>9095</v>
      </c>
      <c r="O6030" t="s">
        <v>11130</v>
      </c>
      <c r="P6030" t="s">
        <v>11167</v>
      </c>
      <c r="R6030" t="s">
        <v>11180</v>
      </c>
      <c r="S6030" t="s">
        <v>9094</v>
      </c>
      <c r="T6030" t="s">
        <v>11183</v>
      </c>
      <c r="U6030" t="s">
        <v>11201</v>
      </c>
      <c r="V6030" t="s">
        <v>288</v>
      </c>
      <c r="W6030">
        <v>72</v>
      </c>
      <c r="X6030" t="s">
        <v>11335</v>
      </c>
      <c r="Y6030" t="s">
        <v>11339</v>
      </c>
      <c r="Z6030" t="s">
        <v>15103</v>
      </c>
      <c r="AB6030" t="s">
        <v>19395</v>
      </c>
      <c r="AC6030">
        <v>72</v>
      </c>
      <c r="AD6030" t="s">
        <v>19566</v>
      </c>
      <c r="AE6030" t="s">
        <v>19580</v>
      </c>
      <c r="AF6030">
        <v>20</v>
      </c>
      <c r="AG6030">
        <v>1</v>
      </c>
      <c r="AH6030">
        <v>0</v>
      </c>
      <c r="AI6030">
        <v>416.33</v>
      </c>
      <c r="AL6030" t="s">
        <v>19614</v>
      </c>
      <c r="AM6030">
        <v>52000</v>
      </c>
      <c r="AS6030">
        <v>0</v>
      </c>
      <c r="AU6030" t="s">
        <v>20657</v>
      </c>
      <c r="AV6030" t="s">
        <v>20733</v>
      </c>
    </row>
    <row r="6031" spans="1:48">
      <c r="A6031" s="1">
        <f>HYPERLINK("https://lsnyc.legalserver.org/matter/dynamic-profile/view/1881067","18-1881067")</f>
        <v>0</v>
      </c>
      <c r="B6031" t="s">
        <v>86</v>
      </c>
      <c r="C6031" t="s">
        <v>256</v>
      </c>
      <c r="D6031" t="s">
        <v>906</v>
      </c>
      <c r="F6031" t="s">
        <v>1264</v>
      </c>
      <c r="G6031" t="s">
        <v>3699</v>
      </c>
      <c r="H6031" t="s">
        <v>6097</v>
      </c>
      <c r="I6031" t="s">
        <v>8229</v>
      </c>
      <c r="J6031" t="s">
        <v>9059</v>
      </c>
      <c r="K6031">
        <v>11226</v>
      </c>
      <c r="L6031" t="s">
        <v>9094</v>
      </c>
      <c r="M6031" t="s">
        <v>9094</v>
      </c>
      <c r="N6031" t="s">
        <v>11034</v>
      </c>
      <c r="O6031" t="s">
        <v>11130</v>
      </c>
      <c r="P6031" t="s">
        <v>11165</v>
      </c>
      <c r="R6031" t="s">
        <v>11180</v>
      </c>
      <c r="S6031" t="s">
        <v>9094</v>
      </c>
      <c r="T6031" t="s">
        <v>11183</v>
      </c>
      <c r="V6031" t="s">
        <v>906</v>
      </c>
      <c r="W6031">
        <v>1632</v>
      </c>
      <c r="X6031" t="s">
        <v>11332</v>
      </c>
      <c r="Z6031" t="s">
        <v>15104</v>
      </c>
      <c r="AB6031" t="s">
        <v>19396</v>
      </c>
      <c r="AC6031">
        <v>6</v>
      </c>
      <c r="AF6031">
        <v>2</v>
      </c>
      <c r="AG6031">
        <v>1</v>
      </c>
      <c r="AH6031">
        <v>0</v>
      </c>
      <c r="AI6031">
        <v>417.63</v>
      </c>
      <c r="AL6031" t="s">
        <v>19614</v>
      </c>
      <c r="AM6031">
        <v>50700</v>
      </c>
      <c r="AS6031">
        <v>0</v>
      </c>
      <c r="AU6031" t="s">
        <v>20628</v>
      </c>
    </row>
    <row r="6032" spans="1:48">
      <c r="A6032" s="1">
        <f>HYPERLINK("https://lsnyc.legalserver.org/matter/dynamic-profile/view/1885229","18-1885229")</f>
        <v>0</v>
      </c>
      <c r="B6032" t="s">
        <v>136</v>
      </c>
      <c r="C6032" t="s">
        <v>256</v>
      </c>
      <c r="D6032" t="s">
        <v>448</v>
      </c>
      <c r="F6032" t="s">
        <v>2615</v>
      </c>
      <c r="G6032" t="s">
        <v>5567</v>
      </c>
      <c r="H6032" t="s">
        <v>6670</v>
      </c>
      <c r="I6032">
        <v>64</v>
      </c>
      <c r="J6032" t="s">
        <v>9067</v>
      </c>
      <c r="K6032">
        <v>10039</v>
      </c>
      <c r="L6032" t="s">
        <v>9094</v>
      </c>
      <c r="M6032" t="s">
        <v>9094</v>
      </c>
      <c r="N6032" t="s">
        <v>9851</v>
      </c>
      <c r="O6032" t="s">
        <v>11130</v>
      </c>
      <c r="P6032" t="s">
        <v>11165</v>
      </c>
      <c r="R6032" t="s">
        <v>11180</v>
      </c>
      <c r="S6032" t="s">
        <v>9094</v>
      </c>
      <c r="T6032" t="s">
        <v>11183</v>
      </c>
      <c r="U6032" t="s">
        <v>11201</v>
      </c>
      <c r="V6032" t="s">
        <v>448</v>
      </c>
      <c r="W6032">
        <v>611.4400000000001</v>
      </c>
      <c r="X6032" t="s">
        <v>11335</v>
      </c>
      <c r="Y6032" t="s">
        <v>11339</v>
      </c>
      <c r="Z6032" t="s">
        <v>14450</v>
      </c>
      <c r="AB6032" t="s">
        <v>19397</v>
      </c>
      <c r="AC6032">
        <v>245</v>
      </c>
      <c r="AD6032" t="s">
        <v>19566</v>
      </c>
      <c r="AE6032" t="s">
        <v>9144</v>
      </c>
      <c r="AF6032">
        <v>39</v>
      </c>
      <c r="AG6032">
        <v>2</v>
      </c>
      <c r="AH6032">
        <v>0</v>
      </c>
      <c r="AI6032">
        <v>419.2</v>
      </c>
      <c r="AL6032" t="s">
        <v>19614</v>
      </c>
      <c r="AM6032">
        <v>69000</v>
      </c>
      <c r="AO6032" t="s">
        <v>20293</v>
      </c>
      <c r="AP6032" t="s">
        <v>20323</v>
      </c>
      <c r="AQ6032" t="s">
        <v>20369</v>
      </c>
      <c r="AR6032" t="s">
        <v>20457</v>
      </c>
      <c r="AS6032">
        <v>0</v>
      </c>
      <c r="AU6032" t="s">
        <v>20657</v>
      </c>
      <c r="AV6032" t="s">
        <v>20733</v>
      </c>
    </row>
    <row r="6033" spans="1:48">
      <c r="A6033" s="1">
        <f>HYPERLINK("https://lsnyc.legalserver.org/matter/dynamic-profile/view/1889601","19-1889601")</f>
        <v>0</v>
      </c>
      <c r="B6033" t="s">
        <v>71</v>
      </c>
      <c r="C6033" t="s">
        <v>257</v>
      </c>
      <c r="D6033" t="s">
        <v>441</v>
      </c>
      <c r="E6033" t="s">
        <v>457</v>
      </c>
      <c r="F6033" t="s">
        <v>3248</v>
      </c>
      <c r="G6033" t="s">
        <v>4785</v>
      </c>
      <c r="H6033" t="s">
        <v>8076</v>
      </c>
      <c r="I6033" t="s">
        <v>8212</v>
      </c>
      <c r="J6033" t="s">
        <v>9059</v>
      </c>
      <c r="K6033">
        <v>11239</v>
      </c>
      <c r="L6033" t="s">
        <v>9094</v>
      </c>
      <c r="M6033" t="s">
        <v>9095</v>
      </c>
      <c r="N6033" t="s">
        <v>11103</v>
      </c>
      <c r="O6033" t="s">
        <v>11129</v>
      </c>
      <c r="P6033" t="s">
        <v>11164</v>
      </c>
      <c r="Q6033" t="s">
        <v>11172</v>
      </c>
      <c r="R6033" t="s">
        <v>11180</v>
      </c>
      <c r="T6033" t="s">
        <v>11183</v>
      </c>
      <c r="V6033" t="s">
        <v>441</v>
      </c>
      <c r="W6033">
        <v>1480</v>
      </c>
      <c r="X6033" t="s">
        <v>11332</v>
      </c>
      <c r="Y6033" t="s">
        <v>11346</v>
      </c>
      <c r="Z6033" t="s">
        <v>15105</v>
      </c>
      <c r="AA6033" t="s">
        <v>15289</v>
      </c>
      <c r="AB6033" t="s">
        <v>19398</v>
      </c>
      <c r="AC6033">
        <v>60</v>
      </c>
      <c r="AD6033" t="s">
        <v>15441</v>
      </c>
      <c r="AF6033">
        <v>11</v>
      </c>
      <c r="AG6033">
        <v>2</v>
      </c>
      <c r="AH6033">
        <v>0</v>
      </c>
      <c r="AI6033">
        <v>419.87</v>
      </c>
      <c r="AJ6033" t="s">
        <v>861</v>
      </c>
      <c r="AK6033" t="s">
        <v>19612</v>
      </c>
      <c r="AL6033" t="s">
        <v>19614</v>
      </c>
      <c r="AM6033">
        <v>71000</v>
      </c>
      <c r="AS6033">
        <v>1.5</v>
      </c>
      <c r="AT6033" t="s">
        <v>441</v>
      </c>
      <c r="AU6033" t="s">
        <v>20628</v>
      </c>
      <c r="AV6033" t="s">
        <v>20733</v>
      </c>
    </row>
    <row r="6034" spans="1:48">
      <c r="A6034" s="1">
        <f>HYPERLINK("https://lsnyc.legalserver.org/matter/dynamic-profile/view/1879974","18-1879974")</f>
        <v>0</v>
      </c>
      <c r="B6034" t="s">
        <v>86</v>
      </c>
      <c r="C6034" t="s">
        <v>256</v>
      </c>
      <c r="D6034" t="s">
        <v>313</v>
      </c>
      <c r="F6034" t="s">
        <v>1891</v>
      </c>
      <c r="G6034" t="s">
        <v>5553</v>
      </c>
      <c r="H6034" t="s">
        <v>6097</v>
      </c>
      <c r="I6034" t="s">
        <v>8370</v>
      </c>
      <c r="J6034" t="s">
        <v>9059</v>
      </c>
      <c r="K6034">
        <v>11226</v>
      </c>
      <c r="L6034" t="s">
        <v>9094</v>
      </c>
      <c r="M6034" t="s">
        <v>9094</v>
      </c>
      <c r="N6034" t="s">
        <v>11034</v>
      </c>
      <c r="O6034" t="s">
        <v>11130</v>
      </c>
      <c r="P6034" t="s">
        <v>11165</v>
      </c>
      <c r="R6034" t="s">
        <v>11180</v>
      </c>
      <c r="S6034" t="s">
        <v>9094</v>
      </c>
      <c r="T6034" t="s">
        <v>11183</v>
      </c>
      <c r="V6034" t="s">
        <v>906</v>
      </c>
      <c r="W6034">
        <v>1250</v>
      </c>
      <c r="X6034" t="s">
        <v>11332</v>
      </c>
      <c r="Y6034" t="s">
        <v>11340</v>
      </c>
      <c r="Z6034" t="s">
        <v>15085</v>
      </c>
      <c r="AC6034">
        <v>6</v>
      </c>
      <c r="AD6034" t="s">
        <v>19566</v>
      </c>
      <c r="AE6034" t="s">
        <v>9144</v>
      </c>
      <c r="AF6034">
        <v>1</v>
      </c>
      <c r="AG6034">
        <v>1</v>
      </c>
      <c r="AH6034">
        <v>0</v>
      </c>
      <c r="AI6034">
        <v>420.1</v>
      </c>
      <c r="AL6034" t="s">
        <v>19614</v>
      </c>
      <c r="AM6034">
        <v>51000</v>
      </c>
      <c r="AS6034">
        <v>4</v>
      </c>
      <c r="AT6034" t="s">
        <v>435</v>
      </c>
      <c r="AU6034" t="s">
        <v>20633</v>
      </c>
    </row>
    <row r="6035" spans="1:48">
      <c r="A6035" s="1">
        <f>HYPERLINK("https://lsnyc.legalserver.org/matter/dynamic-profile/view/1867935","18-1867935")</f>
        <v>0</v>
      </c>
      <c r="B6035" t="s">
        <v>86</v>
      </c>
      <c r="C6035" t="s">
        <v>256</v>
      </c>
      <c r="D6035" t="s">
        <v>894</v>
      </c>
      <c r="F6035" t="s">
        <v>1891</v>
      </c>
      <c r="G6035" t="s">
        <v>5553</v>
      </c>
      <c r="H6035" t="s">
        <v>6097</v>
      </c>
      <c r="I6035" t="s">
        <v>8370</v>
      </c>
      <c r="J6035" t="s">
        <v>9059</v>
      </c>
      <c r="K6035">
        <v>11226</v>
      </c>
      <c r="L6035" t="s">
        <v>9094</v>
      </c>
      <c r="M6035" t="s">
        <v>9094</v>
      </c>
      <c r="N6035" t="s">
        <v>11104</v>
      </c>
      <c r="O6035" t="s">
        <v>11129</v>
      </c>
      <c r="P6035" t="s">
        <v>11165</v>
      </c>
      <c r="R6035" t="s">
        <v>11180</v>
      </c>
      <c r="S6035" t="s">
        <v>9094</v>
      </c>
      <c r="T6035" t="s">
        <v>11183</v>
      </c>
      <c r="V6035" t="s">
        <v>906</v>
      </c>
      <c r="W6035">
        <v>1250</v>
      </c>
      <c r="X6035" t="s">
        <v>11332</v>
      </c>
      <c r="Y6035" t="s">
        <v>11342</v>
      </c>
      <c r="Z6035" t="s">
        <v>15085</v>
      </c>
      <c r="AC6035">
        <v>6</v>
      </c>
      <c r="AD6035" t="s">
        <v>19566</v>
      </c>
      <c r="AE6035" t="s">
        <v>9144</v>
      </c>
      <c r="AF6035">
        <v>1</v>
      </c>
      <c r="AG6035">
        <v>1</v>
      </c>
      <c r="AH6035">
        <v>0</v>
      </c>
      <c r="AI6035">
        <v>420.1</v>
      </c>
      <c r="AL6035" t="s">
        <v>19614</v>
      </c>
      <c r="AM6035">
        <v>51000</v>
      </c>
      <c r="AS6035">
        <v>12</v>
      </c>
      <c r="AT6035" t="s">
        <v>695</v>
      </c>
      <c r="AU6035" t="s">
        <v>20630</v>
      </c>
    </row>
    <row r="6036" spans="1:48">
      <c r="A6036" s="1">
        <f>HYPERLINK("https://lsnyc.legalserver.org/matter/dynamic-profile/view/1890526","19-1890526")</f>
        <v>0</v>
      </c>
      <c r="B6036" t="s">
        <v>70</v>
      </c>
      <c r="C6036" t="s">
        <v>256</v>
      </c>
      <c r="D6036" t="s">
        <v>695</v>
      </c>
      <c r="F6036" t="s">
        <v>1621</v>
      </c>
      <c r="G6036" t="s">
        <v>2780</v>
      </c>
      <c r="H6036" t="s">
        <v>5749</v>
      </c>
      <c r="I6036" t="s">
        <v>8643</v>
      </c>
      <c r="J6036" t="s">
        <v>9059</v>
      </c>
      <c r="K6036">
        <v>11233</v>
      </c>
      <c r="L6036" t="s">
        <v>9094</v>
      </c>
      <c r="M6036" t="s">
        <v>9096</v>
      </c>
      <c r="N6036" t="s">
        <v>9146</v>
      </c>
      <c r="O6036" t="s">
        <v>11134</v>
      </c>
      <c r="P6036" t="s">
        <v>11168</v>
      </c>
      <c r="R6036" t="s">
        <v>11180</v>
      </c>
      <c r="S6036" t="s">
        <v>9094</v>
      </c>
      <c r="T6036" t="s">
        <v>11183</v>
      </c>
      <c r="U6036" t="s">
        <v>11201</v>
      </c>
      <c r="V6036" t="s">
        <v>482</v>
      </c>
      <c r="W6036">
        <v>1027</v>
      </c>
      <c r="X6036" t="s">
        <v>11332</v>
      </c>
      <c r="Y6036" t="s">
        <v>11342</v>
      </c>
      <c r="Z6036" t="s">
        <v>15106</v>
      </c>
      <c r="AA6036" t="s">
        <v>9171</v>
      </c>
      <c r="AC6036">
        <v>359</v>
      </c>
      <c r="AD6036" t="s">
        <v>19566</v>
      </c>
      <c r="AE6036" t="s">
        <v>9144</v>
      </c>
      <c r="AF6036">
        <v>7</v>
      </c>
      <c r="AG6036">
        <v>2</v>
      </c>
      <c r="AH6036">
        <v>0</v>
      </c>
      <c r="AI6036">
        <v>420.19</v>
      </c>
      <c r="AL6036" t="s">
        <v>19614</v>
      </c>
      <c r="AM6036">
        <v>71054</v>
      </c>
      <c r="AN6036" t="s">
        <v>20223</v>
      </c>
      <c r="AS6036">
        <v>0</v>
      </c>
      <c r="AU6036" t="s">
        <v>95</v>
      </c>
      <c r="AV6036" t="s">
        <v>9144</v>
      </c>
    </row>
    <row r="6037" spans="1:48">
      <c r="A6037" s="1">
        <f>HYPERLINK("https://lsnyc.legalserver.org/matter/dynamic-profile/view/1891464","19-1891464")</f>
        <v>0</v>
      </c>
      <c r="B6037" t="s">
        <v>70</v>
      </c>
      <c r="C6037" t="s">
        <v>256</v>
      </c>
      <c r="D6037" t="s">
        <v>316</v>
      </c>
      <c r="F6037" t="s">
        <v>1621</v>
      </c>
      <c r="G6037" t="s">
        <v>2780</v>
      </c>
      <c r="H6037" t="s">
        <v>5749</v>
      </c>
      <c r="I6037" t="s">
        <v>8643</v>
      </c>
      <c r="J6037" t="s">
        <v>9059</v>
      </c>
      <c r="K6037">
        <v>11233</v>
      </c>
      <c r="L6037" t="s">
        <v>9094</v>
      </c>
      <c r="M6037" t="s">
        <v>9096</v>
      </c>
      <c r="O6037" t="s">
        <v>11137</v>
      </c>
      <c r="P6037" t="s">
        <v>11167</v>
      </c>
      <c r="R6037" t="s">
        <v>11180</v>
      </c>
      <c r="S6037" t="s">
        <v>9094</v>
      </c>
      <c r="T6037" t="s">
        <v>11183</v>
      </c>
      <c r="U6037" t="s">
        <v>11201</v>
      </c>
      <c r="V6037" t="s">
        <v>482</v>
      </c>
      <c r="W6037">
        <v>1027</v>
      </c>
      <c r="X6037" t="s">
        <v>11332</v>
      </c>
      <c r="Y6037" t="s">
        <v>11342</v>
      </c>
      <c r="Z6037" t="s">
        <v>15106</v>
      </c>
      <c r="AA6037" t="s">
        <v>9144</v>
      </c>
      <c r="AC6037">
        <v>359</v>
      </c>
      <c r="AD6037" t="s">
        <v>19566</v>
      </c>
      <c r="AE6037" t="s">
        <v>9144</v>
      </c>
      <c r="AF6037">
        <v>7</v>
      </c>
      <c r="AG6037">
        <v>2</v>
      </c>
      <c r="AH6037">
        <v>0</v>
      </c>
      <c r="AI6037">
        <v>420.19</v>
      </c>
      <c r="AL6037" t="s">
        <v>19614</v>
      </c>
      <c r="AM6037">
        <v>71054</v>
      </c>
      <c r="AN6037" t="s">
        <v>20224</v>
      </c>
      <c r="AS6037">
        <v>0</v>
      </c>
      <c r="AU6037" t="s">
        <v>79</v>
      </c>
      <c r="AV6037" t="s">
        <v>9144</v>
      </c>
    </row>
    <row r="6038" spans="1:48">
      <c r="A6038" s="1">
        <f>HYPERLINK("https://lsnyc.legalserver.org/matter/dynamic-profile/view/1887822","19-1887822")</f>
        <v>0</v>
      </c>
      <c r="B6038" t="s">
        <v>78</v>
      </c>
      <c r="C6038" t="s">
        <v>256</v>
      </c>
      <c r="D6038" t="s">
        <v>363</v>
      </c>
      <c r="F6038" t="s">
        <v>3249</v>
      </c>
      <c r="G6038" t="s">
        <v>3971</v>
      </c>
      <c r="H6038" t="s">
        <v>5785</v>
      </c>
      <c r="I6038" t="s">
        <v>8688</v>
      </c>
      <c r="J6038" t="s">
        <v>9059</v>
      </c>
      <c r="K6038">
        <v>11225</v>
      </c>
      <c r="L6038" t="s">
        <v>9094</v>
      </c>
      <c r="M6038" t="s">
        <v>9095</v>
      </c>
      <c r="O6038" t="s">
        <v>11134</v>
      </c>
      <c r="P6038" t="s">
        <v>11168</v>
      </c>
      <c r="R6038" t="s">
        <v>11180</v>
      </c>
      <c r="S6038" t="s">
        <v>9094</v>
      </c>
      <c r="T6038" t="s">
        <v>11183</v>
      </c>
      <c r="V6038" t="s">
        <v>412</v>
      </c>
      <c r="W6038">
        <v>1416</v>
      </c>
      <c r="X6038" t="s">
        <v>11332</v>
      </c>
      <c r="Y6038" t="s">
        <v>11339</v>
      </c>
      <c r="Z6038" t="s">
        <v>13624</v>
      </c>
      <c r="AB6038" t="s">
        <v>19399</v>
      </c>
      <c r="AC6038">
        <v>89</v>
      </c>
      <c r="AD6038" t="s">
        <v>19566</v>
      </c>
      <c r="AE6038" t="s">
        <v>9144</v>
      </c>
      <c r="AF6038">
        <v>1</v>
      </c>
      <c r="AG6038">
        <v>6</v>
      </c>
      <c r="AH6038">
        <v>1</v>
      </c>
      <c r="AI6038">
        <v>420.39</v>
      </c>
      <c r="AL6038" t="s">
        <v>19614</v>
      </c>
      <c r="AM6038">
        <v>160000</v>
      </c>
      <c r="AS6038">
        <v>0</v>
      </c>
      <c r="AU6038" t="s">
        <v>79</v>
      </c>
    </row>
    <row r="6039" spans="1:48">
      <c r="A6039" s="1">
        <f>HYPERLINK("https://lsnyc.legalserver.org/matter/dynamic-profile/view/0824111","17-0824111")</f>
        <v>0</v>
      </c>
      <c r="B6039" t="s">
        <v>101</v>
      </c>
      <c r="C6039" t="s">
        <v>256</v>
      </c>
      <c r="D6039" t="s">
        <v>747</v>
      </c>
      <c r="F6039" t="s">
        <v>1626</v>
      </c>
      <c r="G6039" t="s">
        <v>3499</v>
      </c>
      <c r="H6039" t="s">
        <v>5898</v>
      </c>
      <c r="I6039" t="s">
        <v>8227</v>
      </c>
      <c r="J6039" t="s">
        <v>9065</v>
      </c>
      <c r="K6039">
        <v>10452</v>
      </c>
      <c r="L6039" t="s">
        <v>9094</v>
      </c>
      <c r="M6039" t="s">
        <v>9095</v>
      </c>
      <c r="O6039" t="s">
        <v>11132</v>
      </c>
      <c r="P6039" t="s">
        <v>11165</v>
      </c>
      <c r="R6039" t="s">
        <v>11180</v>
      </c>
      <c r="S6039" t="s">
        <v>9094</v>
      </c>
      <c r="T6039" t="s">
        <v>11183</v>
      </c>
      <c r="V6039" t="s">
        <v>747</v>
      </c>
      <c r="W6039">
        <v>748.29</v>
      </c>
      <c r="X6039" t="s">
        <v>11333</v>
      </c>
      <c r="Z6039" t="s">
        <v>11753</v>
      </c>
      <c r="AB6039" t="s">
        <v>19400</v>
      </c>
      <c r="AC6039">
        <v>130</v>
      </c>
      <c r="AD6039" t="s">
        <v>19566</v>
      </c>
      <c r="AF6039">
        <v>10</v>
      </c>
      <c r="AG6039">
        <v>2</v>
      </c>
      <c r="AH6039">
        <v>0</v>
      </c>
      <c r="AI6039">
        <v>421.97</v>
      </c>
      <c r="AL6039" t="s">
        <v>19614</v>
      </c>
      <c r="AM6039">
        <v>67600</v>
      </c>
      <c r="AS6039">
        <v>0</v>
      </c>
      <c r="AU6039" t="s">
        <v>109</v>
      </c>
    </row>
    <row r="6040" spans="1:48">
      <c r="A6040" s="1">
        <f>HYPERLINK("https://lsnyc.legalserver.org/matter/dynamic-profile/view/0822324","16-0822324")</f>
        <v>0</v>
      </c>
      <c r="B6040" t="s">
        <v>136</v>
      </c>
      <c r="C6040" t="s">
        <v>256</v>
      </c>
      <c r="D6040" t="s">
        <v>665</v>
      </c>
      <c r="F6040" t="s">
        <v>1833</v>
      </c>
      <c r="G6040" t="s">
        <v>5568</v>
      </c>
      <c r="H6040" t="s">
        <v>7148</v>
      </c>
      <c r="I6040" t="s">
        <v>8229</v>
      </c>
      <c r="J6040" t="s">
        <v>9067</v>
      </c>
      <c r="K6040">
        <v>10034</v>
      </c>
      <c r="L6040" t="s">
        <v>9094</v>
      </c>
      <c r="M6040" t="s">
        <v>9095</v>
      </c>
      <c r="O6040" t="s">
        <v>11135</v>
      </c>
      <c r="P6040" t="s">
        <v>11168</v>
      </c>
      <c r="R6040" t="s">
        <v>11180</v>
      </c>
      <c r="S6040" t="s">
        <v>9094</v>
      </c>
      <c r="T6040" t="s">
        <v>11183</v>
      </c>
      <c r="V6040" t="s">
        <v>11288</v>
      </c>
      <c r="W6040">
        <v>1795</v>
      </c>
      <c r="X6040" t="s">
        <v>11335</v>
      </c>
      <c r="Y6040" t="s">
        <v>11339</v>
      </c>
      <c r="Z6040" t="s">
        <v>11517</v>
      </c>
      <c r="AC6040">
        <v>22</v>
      </c>
      <c r="AD6040" t="s">
        <v>19566</v>
      </c>
      <c r="AE6040" t="s">
        <v>9144</v>
      </c>
      <c r="AF6040">
        <v>3</v>
      </c>
      <c r="AG6040">
        <v>3</v>
      </c>
      <c r="AH6040">
        <v>0</v>
      </c>
      <c r="AI6040">
        <v>423.02</v>
      </c>
      <c r="AL6040" t="s">
        <v>19614</v>
      </c>
      <c r="AM6040">
        <v>128960</v>
      </c>
      <c r="AS6040">
        <v>0.1</v>
      </c>
      <c r="AT6040" t="s">
        <v>594</v>
      </c>
      <c r="AU6040" t="s">
        <v>20657</v>
      </c>
    </row>
    <row r="6041" spans="1:48">
      <c r="A6041" s="1">
        <f>HYPERLINK("https://lsnyc.legalserver.org/matter/dynamic-profile/view/0822327","16-0822327")</f>
        <v>0</v>
      </c>
      <c r="B6041" t="s">
        <v>136</v>
      </c>
      <c r="C6041" t="s">
        <v>257</v>
      </c>
      <c r="D6041" t="s">
        <v>1050</v>
      </c>
      <c r="E6041" t="s">
        <v>321</v>
      </c>
      <c r="F6041" t="s">
        <v>1833</v>
      </c>
      <c r="G6041" t="s">
        <v>5568</v>
      </c>
      <c r="H6041" t="s">
        <v>7148</v>
      </c>
      <c r="I6041" t="s">
        <v>8229</v>
      </c>
      <c r="J6041" t="s">
        <v>9067</v>
      </c>
      <c r="K6041">
        <v>10034</v>
      </c>
      <c r="L6041" t="s">
        <v>9094</v>
      </c>
      <c r="M6041" t="s">
        <v>9095</v>
      </c>
      <c r="N6041" t="s">
        <v>11105</v>
      </c>
      <c r="O6041" t="s">
        <v>11135</v>
      </c>
      <c r="P6041" t="s">
        <v>11167</v>
      </c>
      <c r="Q6041" t="s">
        <v>11172</v>
      </c>
      <c r="R6041" t="s">
        <v>11180</v>
      </c>
      <c r="S6041" t="s">
        <v>9094</v>
      </c>
      <c r="T6041" t="s">
        <v>11183</v>
      </c>
      <c r="V6041" t="s">
        <v>1050</v>
      </c>
      <c r="W6041">
        <v>1795</v>
      </c>
      <c r="X6041" t="s">
        <v>11335</v>
      </c>
      <c r="Y6041" t="s">
        <v>11339</v>
      </c>
      <c r="Z6041" t="s">
        <v>11517</v>
      </c>
      <c r="AC6041">
        <v>22</v>
      </c>
      <c r="AD6041" t="s">
        <v>19566</v>
      </c>
      <c r="AE6041" t="s">
        <v>9144</v>
      </c>
      <c r="AF6041">
        <v>3</v>
      </c>
      <c r="AG6041">
        <v>3</v>
      </c>
      <c r="AH6041">
        <v>0</v>
      </c>
      <c r="AI6041">
        <v>423.02</v>
      </c>
      <c r="AL6041" t="s">
        <v>19614</v>
      </c>
      <c r="AM6041">
        <v>128960</v>
      </c>
      <c r="AN6041" t="s">
        <v>20225</v>
      </c>
      <c r="AS6041">
        <v>0.1</v>
      </c>
      <c r="AT6041" t="s">
        <v>1050</v>
      </c>
      <c r="AU6041" t="s">
        <v>20657</v>
      </c>
    </row>
    <row r="6042" spans="1:48">
      <c r="A6042" s="1">
        <f>HYPERLINK("https://lsnyc.legalserver.org/matter/dynamic-profile/view/1905257","19-1905257")</f>
        <v>0</v>
      </c>
      <c r="B6042" t="s">
        <v>136</v>
      </c>
      <c r="C6042" t="s">
        <v>256</v>
      </c>
      <c r="D6042" t="s">
        <v>414</v>
      </c>
      <c r="F6042" t="s">
        <v>2018</v>
      </c>
      <c r="G6042" t="s">
        <v>5569</v>
      </c>
      <c r="H6042" t="s">
        <v>6055</v>
      </c>
      <c r="I6042" t="s">
        <v>8119</v>
      </c>
      <c r="J6042" t="s">
        <v>9067</v>
      </c>
      <c r="K6042">
        <v>10024</v>
      </c>
      <c r="L6042" t="s">
        <v>9094</v>
      </c>
      <c r="M6042" t="s">
        <v>9095</v>
      </c>
      <c r="N6042" t="s">
        <v>9371</v>
      </c>
      <c r="O6042" t="s">
        <v>11134</v>
      </c>
      <c r="P6042" t="s">
        <v>11168</v>
      </c>
      <c r="R6042" t="s">
        <v>11180</v>
      </c>
      <c r="S6042" t="s">
        <v>9094</v>
      </c>
      <c r="T6042" t="s">
        <v>11183</v>
      </c>
      <c r="U6042" t="s">
        <v>11201</v>
      </c>
      <c r="V6042" t="s">
        <v>414</v>
      </c>
      <c r="W6042">
        <v>1009</v>
      </c>
      <c r="X6042" t="s">
        <v>11335</v>
      </c>
      <c r="Y6042" t="s">
        <v>11351</v>
      </c>
      <c r="Z6042" t="s">
        <v>15107</v>
      </c>
      <c r="AB6042" t="s">
        <v>19401</v>
      </c>
      <c r="AC6042">
        <v>10</v>
      </c>
      <c r="AD6042" t="s">
        <v>19566</v>
      </c>
      <c r="AE6042" t="s">
        <v>9144</v>
      </c>
      <c r="AF6042">
        <v>42</v>
      </c>
      <c r="AG6042">
        <v>1</v>
      </c>
      <c r="AH6042">
        <v>0</v>
      </c>
      <c r="AI6042">
        <v>424.34</v>
      </c>
      <c r="AL6042" t="s">
        <v>19614</v>
      </c>
      <c r="AM6042">
        <v>53000</v>
      </c>
      <c r="AS6042">
        <v>0</v>
      </c>
      <c r="AU6042" t="s">
        <v>20657</v>
      </c>
      <c r="AV6042" t="s">
        <v>20733</v>
      </c>
    </row>
    <row r="6043" spans="1:48">
      <c r="A6043" s="1">
        <f>HYPERLINK("https://lsnyc.legalserver.org/matter/dynamic-profile/view/1900688","19-1900688")</f>
        <v>0</v>
      </c>
      <c r="B6043" t="s">
        <v>76</v>
      </c>
      <c r="C6043" t="s">
        <v>256</v>
      </c>
      <c r="D6043" t="s">
        <v>338</v>
      </c>
      <c r="F6043" t="s">
        <v>3250</v>
      </c>
      <c r="G6043" t="s">
        <v>5570</v>
      </c>
      <c r="H6043" t="s">
        <v>6169</v>
      </c>
      <c r="I6043" t="s">
        <v>8223</v>
      </c>
      <c r="J6043" t="s">
        <v>9059</v>
      </c>
      <c r="K6043">
        <v>11213</v>
      </c>
      <c r="L6043" t="s">
        <v>9094</v>
      </c>
      <c r="M6043" t="s">
        <v>9095</v>
      </c>
      <c r="N6043" t="s">
        <v>9121</v>
      </c>
      <c r="O6043" t="s">
        <v>9121</v>
      </c>
      <c r="P6043" t="s">
        <v>11166</v>
      </c>
      <c r="R6043" t="s">
        <v>11180</v>
      </c>
      <c r="S6043" t="s">
        <v>9094</v>
      </c>
      <c r="T6043" t="s">
        <v>11183</v>
      </c>
      <c r="U6043" t="s">
        <v>11201</v>
      </c>
      <c r="V6043" t="s">
        <v>394</v>
      </c>
      <c r="W6043">
        <v>1169.88</v>
      </c>
      <c r="X6043" t="s">
        <v>11332</v>
      </c>
      <c r="Y6043" t="s">
        <v>11346</v>
      </c>
      <c r="Z6043" t="s">
        <v>15108</v>
      </c>
      <c r="AB6043" t="s">
        <v>19402</v>
      </c>
      <c r="AC6043">
        <v>35</v>
      </c>
      <c r="AD6043" t="s">
        <v>19566</v>
      </c>
      <c r="AE6043" t="s">
        <v>9144</v>
      </c>
      <c r="AF6043">
        <v>5</v>
      </c>
      <c r="AG6043">
        <v>2</v>
      </c>
      <c r="AH6043">
        <v>0</v>
      </c>
      <c r="AI6043">
        <v>425.78</v>
      </c>
      <c r="AL6043" t="s">
        <v>19614</v>
      </c>
      <c r="AM6043">
        <v>72000</v>
      </c>
      <c r="AN6043" t="s">
        <v>20226</v>
      </c>
      <c r="AS6043">
        <v>0</v>
      </c>
      <c r="AU6043" t="s">
        <v>95</v>
      </c>
      <c r="AV6043" t="s">
        <v>20733</v>
      </c>
    </row>
    <row r="6044" spans="1:48">
      <c r="A6044" s="1">
        <f>HYPERLINK("https://lsnyc.legalserver.org/matter/dynamic-profile/view/1902015","19-1902015")</f>
        <v>0</v>
      </c>
      <c r="B6044" t="s">
        <v>115</v>
      </c>
      <c r="C6044" t="s">
        <v>256</v>
      </c>
      <c r="D6044" t="s">
        <v>319</v>
      </c>
      <c r="F6044" t="s">
        <v>3251</v>
      </c>
      <c r="G6044" t="s">
        <v>3412</v>
      </c>
      <c r="H6044" t="s">
        <v>6051</v>
      </c>
      <c r="I6044" t="s">
        <v>8419</v>
      </c>
      <c r="J6044" t="s">
        <v>9065</v>
      </c>
      <c r="K6044">
        <v>10452</v>
      </c>
      <c r="L6044" t="s">
        <v>9094</v>
      </c>
      <c r="M6044" t="s">
        <v>9095</v>
      </c>
      <c r="O6044" t="s">
        <v>11134</v>
      </c>
      <c r="P6044" t="s">
        <v>11168</v>
      </c>
      <c r="R6044" t="s">
        <v>11180</v>
      </c>
      <c r="S6044" t="s">
        <v>9094</v>
      </c>
      <c r="T6044" t="s">
        <v>11183</v>
      </c>
      <c r="V6044" t="s">
        <v>11212</v>
      </c>
      <c r="W6044">
        <v>1277.74</v>
      </c>
      <c r="X6044" t="s">
        <v>11333</v>
      </c>
      <c r="Y6044" t="s">
        <v>11346</v>
      </c>
      <c r="Z6044" t="s">
        <v>15109</v>
      </c>
      <c r="AB6044" t="s">
        <v>19403</v>
      </c>
      <c r="AC6044">
        <v>52</v>
      </c>
      <c r="AD6044" t="s">
        <v>19566</v>
      </c>
      <c r="AE6044" t="s">
        <v>9144</v>
      </c>
      <c r="AF6044">
        <v>20</v>
      </c>
      <c r="AG6044">
        <v>2</v>
      </c>
      <c r="AH6044">
        <v>0</v>
      </c>
      <c r="AI6044">
        <v>425.78</v>
      </c>
      <c r="AL6044" t="s">
        <v>19614</v>
      </c>
      <c r="AM6044">
        <v>72000</v>
      </c>
      <c r="AS6044">
        <v>131.9</v>
      </c>
      <c r="AT6044" t="s">
        <v>703</v>
      </c>
      <c r="AU6044" t="s">
        <v>174</v>
      </c>
      <c r="AV6044" t="s">
        <v>20733</v>
      </c>
    </row>
    <row r="6045" spans="1:48">
      <c r="A6045" s="1">
        <f>HYPERLINK("https://lsnyc.legalserver.org/matter/dynamic-profile/view/1911830","19-1911830")</f>
        <v>0</v>
      </c>
      <c r="B6045" t="s">
        <v>115</v>
      </c>
      <c r="C6045" t="s">
        <v>256</v>
      </c>
      <c r="D6045" t="s">
        <v>284</v>
      </c>
      <c r="F6045" t="s">
        <v>3251</v>
      </c>
      <c r="G6045" t="s">
        <v>3412</v>
      </c>
      <c r="H6045" t="s">
        <v>6051</v>
      </c>
      <c r="I6045" t="s">
        <v>8419</v>
      </c>
      <c r="J6045" t="s">
        <v>9065</v>
      </c>
      <c r="K6045">
        <v>10452</v>
      </c>
      <c r="L6045" t="s">
        <v>9094</v>
      </c>
      <c r="M6045" t="s">
        <v>9095</v>
      </c>
      <c r="O6045" t="s">
        <v>11134</v>
      </c>
      <c r="P6045" t="s">
        <v>11168</v>
      </c>
      <c r="R6045" t="s">
        <v>11180</v>
      </c>
      <c r="S6045" t="s">
        <v>9094</v>
      </c>
      <c r="T6045" t="s">
        <v>11183</v>
      </c>
      <c r="W6045">
        <v>1277.74</v>
      </c>
      <c r="X6045" t="s">
        <v>11333</v>
      </c>
      <c r="Y6045" t="s">
        <v>11346</v>
      </c>
      <c r="Z6045" t="s">
        <v>15109</v>
      </c>
      <c r="AB6045" t="s">
        <v>19403</v>
      </c>
      <c r="AC6045">
        <v>52</v>
      </c>
      <c r="AD6045" t="s">
        <v>19566</v>
      </c>
      <c r="AE6045" t="s">
        <v>9144</v>
      </c>
      <c r="AF6045">
        <v>20</v>
      </c>
      <c r="AG6045">
        <v>2</v>
      </c>
      <c r="AH6045">
        <v>0</v>
      </c>
      <c r="AI6045">
        <v>425.78</v>
      </c>
      <c r="AL6045" t="s">
        <v>19614</v>
      </c>
      <c r="AM6045">
        <v>72000</v>
      </c>
      <c r="AS6045">
        <v>0.4</v>
      </c>
      <c r="AT6045" t="s">
        <v>284</v>
      </c>
      <c r="AU6045" t="s">
        <v>174</v>
      </c>
      <c r="AV6045" t="s">
        <v>20733</v>
      </c>
    </row>
    <row r="6046" spans="1:48">
      <c r="A6046" s="1">
        <f>HYPERLINK("https://lsnyc.legalserver.org/matter/dynamic-profile/view/1913275","19-1913275")</f>
        <v>0</v>
      </c>
      <c r="B6046" t="s">
        <v>135</v>
      </c>
      <c r="C6046" t="s">
        <v>256</v>
      </c>
      <c r="D6046" t="s">
        <v>1063</v>
      </c>
      <c r="F6046" t="s">
        <v>2164</v>
      </c>
      <c r="G6046" t="s">
        <v>5571</v>
      </c>
      <c r="H6046" t="s">
        <v>7508</v>
      </c>
      <c r="I6046">
        <v>204</v>
      </c>
      <c r="J6046" t="s">
        <v>9067</v>
      </c>
      <c r="K6046">
        <v>10019</v>
      </c>
      <c r="L6046" t="s">
        <v>9094</v>
      </c>
      <c r="M6046" t="s">
        <v>9095</v>
      </c>
      <c r="O6046" t="s">
        <v>9121</v>
      </c>
      <c r="P6046" t="s">
        <v>11169</v>
      </c>
      <c r="R6046" t="s">
        <v>11181</v>
      </c>
      <c r="S6046" t="s">
        <v>9096</v>
      </c>
      <c r="T6046" t="s">
        <v>11183</v>
      </c>
      <c r="U6046" t="s">
        <v>11201</v>
      </c>
      <c r="V6046" t="s">
        <v>1063</v>
      </c>
      <c r="W6046">
        <v>3300</v>
      </c>
      <c r="X6046" t="s">
        <v>11335</v>
      </c>
      <c r="Y6046" t="s">
        <v>11337</v>
      </c>
      <c r="Z6046" t="s">
        <v>13968</v>
      </c>
      <c r="AB6046" t="s">
        <v>18298</v>
      </c>
      <c r="AC6046">
        <v>0</v>
      </c>
      <c r="AD6046" t="s">
        <v>19565</v>
      </c>
      <c r="AE6046" t="s">
        <v>9144</v>
      </c>
      <c r="AF6046">
        <v>1</v>
      </c>
      <c r="AG6046">
        <v>2</v>
      </c>
      <c r="AH6046">
        <v>0</v>
      </c>
      <c r="AI6046">
        <v>425.78</v>
      </c>
      <c r="AJ6046" t="s">
        <v>19591</v>
      </c>
      <c r="AK6046" t="s">
        <v>19608</v>
      </c>
      <c r="AL6046" t="s">
        <v>19614</v>
      </c>
      <c r="AM6046">
        <v>72000</v>
      </c>
      <c r="AS6046">
        <v>5</v>
      </c>
      <c r="AT6046" t="s">
        <v>1063</v>
      </c>
      <c r="AU6046" t="s">
        <v>20657</v>
      </c>
      <c r="AV6046" t="s">
        <v>20733</v>
      </c>
    </row>
    <row r="6047" spans="1:48">
      <c r="A6047" s="1">
        <f>HYPERLINK("https://lsnyc.legalserver.org/matter/dynamic-profile/view/1849210","17-1849210")</f>
        <v>0</v>
      </c>
      <c r="B6047" t="s">
        <v>108</v>
      </c>
      <c r="C6047" t="s">
        <v>257</v>
      </c>
      <c r="D6047" t="s">
        <v>890</v>
      </c>
      <c r="E6047" t="s">
        <v>1135</v>
      </c>
      <c r="F6047" t="s">
        <v>3252</v>
      </c>
      <c r="G6047" t="s">
        <v>5572</v>
      </c>
      <c r="H6047" t="s">
        <v>7624</v>
      </c>
      <c r="I6047" t="s">
        <v>8348</v>
      </c>
      <c r="J6047" t="s">
        <v>9065</v>
      </c>
      <c r="K6047">
        <v>10453</v>
      </c>
      <c r="L6047" t="s">
        <v>9094</v>
      </c>
      <c r="M6047" t="s">
        <v>9095</v>
      </c>
      <c r="N6047" t="s">
        <v>11106</v>
      </c>
      <c r="O6047" t="s">
        <v>11130</v>
      </c>
      <c r="P6047" t="s">
        <v>11165</v>
      </c>
      <c r="Q6047" t="s">
        <v>11174</v>
      </c>
      <c r="R6047" t="s">
        <v>11180</v>
      </c>
      <c r="S6047" t="s">
        <v>9096</v>
      </c>
      <c r="T6047" t="s">
        <v>11183</v>
      </c>
      <c r="V6047" t="s">
        <v>924</v>
      </c>
      <c r="W6047">
        <v>867.79</v>
      </c>
      <c r="X6047" t="s">
        <v>11333</v>
      </c>
      <c r="Y6047" t="s">
        <v>11346</v>
      </c>
      <c r="Z6047" t="s">
        <v>15110</v>
      </c>
      <c r="AA6047" t="s">
        <v>15905</v>
      </c>
      <c r="AB6047" t="s">
        <v>19404</v>
      </c>
      <c r="AC6047">
        <v>79</v>
      </c>
      <c r="AD6047" t="s">
        <v>19566</v>
      </c>
      <c r="AE6047" t="s">
        <v>9144</v>
      </c>
      <c r="AF6047">
        <v>15</v>
      </c>
      <c r="AG6047">
        <v>2</v>
      </c>
      <c r="AH6047">
        <v>0</v>
      </c>
      <c r="AI6047">
        <v>425.86</v>
      </c>
      <c r="AL6047" t="s">
        <v>19614</v>
      </c>
      <c r="AM6047">
        <v>69160</v>
      </c>
      <c r="AS6047">
        <v>44.5</v>
      </c>
      <c r="AT6047" t="s">
        <v>594</v>
      </c>
      <c r="AU6047" t="s">
        <v>20642</v>
      </c>
    </row>
    <row r="6048" spans="1:48">
      <c r="A6048" s="1">
        <f>HYPERLINK("https://lsnyc.legalserver.org/matter/dynamic-profile/view/1902101","19-1902101")</f>
        <v>0</v>
      </c>
      <c r="B6048" t="s">
        <v>165</v>
      </c>
      <c r="C6048" t="s">
        <v>256</v>
      </c>
      <c r="D6048" t="s">
        <v>319</v>
      </c>
      <c r="F6048" t="s">
        <v>3253</v>
      </c>
      <c r="G6048" t="s">
        <v>5573</v>
      </c>
      <c r="H6048" t="s">
        <v>6934</v>
      </c>
      <c r="I6048" t="s">
        <v>8189</v>
      </c>
      <c r="J6048" t="s">
        <v>9059</v>
      </c>
      <c r="K6048">
        <v>11216</v>
      </c>
      <c r="L6048" t="s">
        <v>9094</v>
      </c>
      <c r="M6048" t="s">
        <v>9095</v>
      </c>
      <c r="N6048" t="s">
        <v>11107</v>
      </c>
      <c r="O6048" t="s">
        <v>11132</v>
      </c>
      <c r="P6048" t="s">
        <v>11165</v>
      </c>
      <c r="R6048" t="s">
        <v>11180</v>
      </c>
      <c r="S6048" t="s">
        <v>9094</v>
      </c>
      <c r="T6048" t="s">
        <v>11183</v>
      </c>
      <c r="U6048" t="s">
        <v>11201</v>
      </c>
      <c r="V6048" t="s">
        <v>319</v>
      </c>
      <c r="W6048">
        <v>0</v>
      </c>
      <c r="X6048" t="s">
        <v>11332</v>
      </c>
      <c r="Y6048" t="s">
        <v>11339</v>
      </c>
      <c r="Z6048" t="s">
        <v>13598</v>
      </c>
      <c r="AA6048" t="s">
        <v>9144</v>
      </c>
      <c r="AB6048" t="s">
        <v>19405</v>
      </c>
      <c r="AC6048">
        <v>82</v>
      </c>
      <c r="AD6048" t="s">
        <v>19566</v>
      </c>
      <c r="AE6048" t="s">
        <v>9144</v>
      </c>
      <c r="AF6048">
        <v>0</v>
      </c>
      <c r="AG6048">
        <v>1</v>
      </c>
      <c r="AH6048">
        <v>0</v>
      </c>
      <c r="AI6048">
        <v>426.31</v>
      </c>
      <c r="AL6048" t="s">
        <v>19614</v>
      </c>
      <c r="AM6048">
        <v>53246.66</v>
      </c>
      <c r="AN6048" t="s">
        <v>20227</v>
      </c>
      <c r="AS6048">
        <v>1</v>
      </c>
      <c r="AT6048" t="s">
        <v>284</v>
      </c>
      <c r="AU6048" t="s">
        <v>95</v>
      </c>
      <c r="AV6048" t="s">
        <v>20733</v>
      </c>
    </row>
    <row r="6049" spans="1:48">
      <c r="A6049" s="1">
        <f>HYPERLINK("https://lsnyc.legalserver.org/matter/dynamic-profile/view/1905727","19-1905727")</f>
        <v>0</v>
      </c>
      <c r="B6049" t="s">
        <v>78</v>
      </c>
      <c r="C6049" t="s">
        <v>256</v>
      </c>
      <c r="D6049" t="s">
        <v>328</v>
      </c>
      <c r="F6049" t="s">
        <v>1707</v>
      </c>
      <c r="G6049" t="s">
        <v>5574</v>
      </c>
      <c r="H6049" t="s">
        <v>7577</v>
      </c>
      <c r="I6049" t="s">
        <v>8151</v>
      </c>
      <c r="J6049" t="s">
        <v>9059</v>
      </c>
      <c r="K6049">
        <v>11221</v>
      </c>
      <c r="L6049" t="s">
        <v>9094</v>
      </c>
      <c r="M6049" t="s">
        <v>9095</v>
      </c>
      <c r="N6049" t="s">
        <v>9154</v>
      </c>
      <c r="O6049" t="s">
        <v>9121</v>
      </c>
      <c r="P6049" t="s">
        <v>11167</v>
      </c>
      <c r="R6049" t="s">
        <v>11180</v>
      </c>
      <c r="S6049" t="s">
        <v>9094</v>
      </c>
      <c r="T6049" t="s">
        <v>11183</v>
      </c>
      <c r="U6049" t="s">
        <v>11201</v>
      </c>
      <c r="V6049" t="s">
        <v>512</v>
      </c>
      <c r="W6049">
        <v>700</v>
      </c>
      <c r="X6049" t="s">
        <v>11332</v>
      </c>
      <c r="Y6049" t="s">
        <v>11346</v>
      </c>
      <c r="Z6049" t="s">
        <v>15111</v>
      </c>
      <c r="AC6049">
        <v>13</v>
      </c>
      <c r="AD6049" t="s">
        <v>19566</v>
      </c>
      <c r="AE6049" t="s">
        <v>9144</v>
      </c>
      <c r="AF6049">
        <v>14</v>
      </c>
      <c r="AG6049">
        <v>2</v>
      </c>
      <c r="AH6049">
        <v>2</v>
      </c>
      <c r="AI6049">
        <v>427.18</v>
      </c>
      <c r="AL6049" t="s">
        <v>19614</v>
      </c>
      <c r="AM6049">
        <v>110000</v>
      </c>
      <c r="AN6049" t="s">
        <v>20228</v>
      </c>
      <c r="AS6049">
        <v>0</v>
      </c>
      <c r="AU6049" t="s">
        <v>79</v>
      </c>
      <c r="AV6049" t="s">
        <v>20733</v>
      </c>
    </row>
    <row r="6050" spans="1:48">
      <c r="A6050" s="1">
        <f>HYPERLINK("https://lsnyc.legalserver.org/matter/dynamic-profile/view/1905081","19-1905081")</f>
        <v>0</v>
      </c>
      <c r="B6050" t="s">
        <v>78</v>
      </c>
      <c r="C6050" t="s">
        <v>256</v>
      </c>
      <c r="D6050" t="s">
        <v>367</v>
      </c>
      <c r="F6050" t="s">
        <v>1707</v>
      </c>
      <c r="G6050" t="s">
        <v>5574</v>
      </c>
      <c r="H6050" t="s">
        <v>7577</v>
      </c>
      <c r="I6050" t="s">
        <v>8151</v>
      </c>
      <c r="J6050" t="s">
        <v>9059</v>
      </c>
      <c r="K6050">
        <v>11221</v>
      </c>
      <c r="L6050" t="s">
        <v>9094</v>
      </c>
      <c r="M6050" t="s">
        <v>9095</v>
      </c>
      <c r="N6050" t="s">
        <v>9171</v>
      </c>
      <c r="O6050" t="s">
        <v>11137</v>
      </c>
      <c r="P6050" t="s">
        <v>11167</v>
      </c>
      <c r="R6050" t="s">
        <v>11180</v>
      </c>
      <c r="S6050" t="s">
        <v>9094</v>
      </c>
      <c r="T6050" t="s">
        <v>11186</v>
      </c>
      <c r="U6050" t="s">
        <v>11201</v>
      </c>
      <c r="V6050" t="s">
        <v>635</v>
      </c>
      <c r="W6050">
        <v>700</v>
      </c>
      <c r="X6050" t="s">
        <v>11332</v>
      </c>
      <c r="Y6050" t="s">
        <v>11346</v>
      </c>
      <c r="Z6050" t="s">
        <v>15111</v>
      </c>
      <c r="AA6050" t="s">
        <v>9144</v>
      </c>
      <c r="AC6050">
        <v>13</v>
      </c>
      <c r="AD6050" t="s">
        <v>19566</v>
      </c>
      <c r="AE6050" t="s">
        <v>9144</v>
      </c>
      <c r="AF6050">
        <v>14</v>
      </c>
      <c r="AG6050">
        <v>2</v>
      </c>
      <c r="AH6050">
        <v>2</v>
      </c>
      <c r="AI6050">
        <v>427.18</v>
      </c>
      <c r="AL6050" t="s">
        <v>19614</v>
      </c>
      <c r="AM6050">
        <v>110000</v>
      </c>
      <c r="AN6050" t="s">
        <v>20229</v>
      </c>
      <c r="AS6050">
        <v>0</v>
      </c>
      <c r="AU6050" t="s">
        <v>95</v>
      </c>
      <c r="AV6050" t="s">
        <v>20733</v>
      </c>
    </row>
    <row r="6051" spans="1:48">
      <c r="A6051" s="1">
        <f>HYPERLINK("https://lsnyc.legalserver.org/matter/dynamic-profile/view/1905076","19-1905076")</f>
        <v>0</v>
      </c>
      <c r="B6051" t="s">
        <v>70</v>
      </c>
      <c r="C6051" t="s">
        <v>256</v>
      </c>
      <c r="D6051" t="s">
        <v>367</v>
      </c>
      <c r="F6051" t="s">
        <v>1707</v>
      </c>
      <c r="G6051" t="s">
        <v>5574</v>
      </c>
      <c r="H6051" t="s">
        <v>7577</v>
      </c>
      <c r="I6051" t="s">
        <v>8151</v>
      </c>
      <c r="J6051" t="s">
        <v>9059</v>
      </c>
      <c r="K6051">
        <v>11221</v>
      </c>
      <c r="L6051" t="s">
        <v>9094</v>
      </c>
      <c r="M6051" t="s">
        <v>9095</v>
      </c>
      <c r="N6051" t="s">
        <v>9318</v>
      </c>
      <c r="O6051" t="s">
        <v>11141</v>
      </c>
      <c r="P6051" t="s">
        <v>11170</v>
      </c>
      <c r="R6051" t="s">
        <v>11180</v>
      </c>
      <c r="S6051" t="s">
        <v>9094</v>
      </c>
      <c r="T6051" t="s">
        <v>11185</v>
      </c>
      <c r="U6051" t="s">
        <v>11201</v>
      </c>
      <c r="V6051" t="s">
        <v>264</v>
      </c>
      <c r="W6051">
        <v>700</v>
      </c>
      <c r="X6051" t="s">
        <v>11332</v>
      </c>
      <c r="Y6051" t="s">
        <v>11346</v>
      </c>
      <c r="Z6051" t="s">
        <v>15111</v>
      </c>
      <c r="AA6051" t="s">
        <v>9144</v>
      </c>
      <c r="AB6051" t="s">
        <v>19406</v>
      </c>
      <c r="AC6051">
        <v>13</v>
      </c>
      <c r="AD6051" t="s">
        <v>19566</v>
      </c>
      <c r="AE6051" t="s">
        <v>9144</v>
      </c>
      <c r="AF6051">
        <v>14</v>
      </c>
      <c r="AG6051">
        <v>2</v>
      </c>
      <c r="AH6051">
        <v>2</v>
      </c>
      <c r="AI6051">
        <v>427.18</v>
      </c>
      <c r="AL6051" t="s">
        <v>19614</v>
      </c>
      <c r="AM6051">
        <v>110000</v>
      </c>
      <c r="AN6051" t="s">
        <v>20230</v>
      </c>
      <c r="AS6051">
        <v>1</v>
      </c>
      <c r="AT6051" t="s">
        <v>612</v>
      </c>
      <c r="AU6051" t="s">
        <v>95</v>
      </c>
      <c r="AV6051" t="s">
        <v>20733</v>
      </c>
    </row>
    <row r="6052" spans="1:48">
      <c r="A6052" s="1">
        <f>HYPERLINK("https://lsnyc.legalserver.org/matter/dynamic-profile/view/1878058","18-1878058")</f>
        <v>0</v>
      </c>
      <c r="B6052" t="s">
        <v>165</v>
      </c>
      <c r="C6052" t="s">
        <v>256</v>
      </c>
      <c r="D6052" t="s">
        <v>671</v>
      </c>
      <c r="F6052" t="s">
        <v>1212</v>
      </c>
      <c r="G6052" t="s">
        <v>3801</v>
      </c>
      <c r="H6052" t="s">
        <v>6934</v>
      </c>
      <c r="I6052" t="s">
        <v>8287</v>
      </c>
      <c r="J6052" t="s">
        <v>9059</v>
      </c>
      <c r="K6052">
        <v>11216</v>
      </c>
      <c r="L6052" t="s">
        <v>9094</v>
      </c>
      <c r="M6052" t="s">
        <v>9094</v>
      </c>
      <c r="N6052" t="s">
        <v>11108</v>
      </c>
      <c r="O6052" t="s">
        <v>11132</v>
      </c>
      <c r="P6052" t="s">
        <v>11165</v>
      </c>
      <c r="R6052" t="s">
        <v>11180</v>
      </c>
      <c r="S6052" t="s">
        <v>9094</v>
      </c>
      <c r="T6052" t="s">
        <v>11183</v>
      </c>
      <c r="V6052" t="s">
        <v>605</v>
      </c>
      <c r="W6052">
        <v>1088</v>
      </c>
      <c r="X6052" t="s">
        <v>11332</v>
      </c>
      <c r="Y6052" t="s">
        <v>11339</v>
      </c>
      <c r="Z6052" t="s">
        <v>15112</v>
      </c>
      <c r="AC6052">
        <v>82</v>
      </c>
      <c r="AD6052" t="s">
        <v>19566</v>
      </c>
      <c r="AE6052" t="s">
        <v>9144</v>
      </c>
      <c r="AF6052">
        <v>0</v>
      </c>
      <c r="AG6052">
        <v>1</v>
      </c>
      <c r="AH6052">
        <v>0</v>
      </c>
      <c r="AI6052">
        <v>428.34</v>
      </c>
      <c r="AJ6052" t="s">
        <v>440</v>
      </c>
      <c r="AK6052" t="s">
        <v>19612</v>
      </c>
      <c r="AL6052" t="s">
        <v>19614</v>
      </c>
      <c r="AM6052">
        <v>52000</v>
      </c>
      <c r="AN6052" t="s">
        <v>19720</v>
      </c>
      <c r="AS6052">
        <v>0</v>
      </c>
      <c r="AU6052" t="s">
        <v>95</v>
      </c>
    </row>
    <row r="6053" spans="1:48">
      <c r="A6053" s="1">
        <f>HYPERLINK("https://lsnyc.legalserver.org/matter/dynamic-profile/view/1878057","18-1878057")</f>
        <v>0</v>
      </c>
      <c r="B6053" t="s">
        <v>165</v>
      </c>
      <c r="C6053" t="s">
        <v>256</v>
      </c>
      <c r="D6053" t="s">
        <v>671</v>
      </c>
      <c r="F6053" t="s">
        <v>1212</v>
      </c>
      <c r="G6053" t="s">
        <v>3801</v>
      </c>
      <c r="H6053" t="s">
        <v>6934</v>
      </c>
      <c r="I6053" t="s">
        <v>8287</v>
      </c>
      <c r="J6053" t="s">
        <v>9059</v>
      </c>
      <c r="K6053">
        <v>11216</v>
      </c>
      <c r="L6053" t="s">
        <v>9094</v>
      </c>
      <c r="M6053" t="s">
        <v>9094</v>
      </c>
      <c r="N6053" t="s">
        <v>9121</v>
      </c>
      <c r="O6053" t="s">
        <v>11137</v>
      </c>
      <c r="P6053" t="s">
        <v>11167</v>
      </c>
      <c r="R6053" t="s">
        <v>11180</v>
      </c>
      <c r="T6053" t="s">
        <v>11183</v>
      </c>
      <c r="V6053" t="s">
        <v>605</v>
      </c>
      <c r="W6053">
        <v>1088</v>
      </c>
      <c r="X6053" t="s">
        <v>11332</v>
      </c>
      <c r="Y6053" t="s">
        <v>11339</v>
      </c>
      <c r="Z6053" t="s">
        <v>15112</v>
      </c>
      <c r="AC6053">
        <v>82</v>
      </c>
      <c r="AD6053" t="s">
        <v>19566</v>
      </c>
      <c r="AE6053" t="s">
        <v>9144</v>
      </c>
      <c r="AF6053">
        <v>0</v>
      </c>
      <c r="AG6053">
        <v>1</v>
      </c>
      <c r="AH6053">
        <v>0</v>
      </c>
      <c r="AI6053">
        <v>428.34</v>
      </c>
      <c r="AJ6053" t="s">
        <v>440</v>
      </c>
      <c r="AK6053" t="s">
        <v>19612</v>
      </c>
      <c r="AL6053" t="s">
        <v>19614</v>
      </c>
      <c r="AM6053">
        <v>52000</v>
      </c>
      <c r="AN6053" t="s">
        <v>19720</v>
      </c>
      <c r="AS6053">
        <v>0</v>
      </c>
      <c r="AU6053" t="s">
        <v>95</v>
      </c>
    </row>
    <row r="6054" spans="1:48">
      <c r="A6054" s="1">
        <f>HYPERLINK("https://lsnyc.legalserver.org/matter/dynamic-profile/view/1881824","18-1881824")</f>
        <v>0</v>
      </c>
      <c r="B6054" t="s">
        <v>114</v>
      </c>
      <c r="C6054" t="s">
        <v>257</v>
      </c>
      <c r="D6054" t="s">
        <v>477</v>
      </c>
      <c r="E6054" t="s">
        <v>563</v>
      </c>
      <c r="F6054" t="s">
        <v>1260</v>
      </c>
      <c r="G6054" t="s">
        <v>5575</v>
      </c>
      <c r="H6054" t="s">
        <v>5907</v>
      </c>
      <c r="I6054" t="s">
        <v>9011</v>
      </c>
      <c r="J6054" t="s">
        <v>9065</v>
      </c>
      <c r="K6054">
        <v>10451</v>
      </c>
      <c r="L6054" t="s">
        <v>9094</v>
      </c>
      <c r="M6054" t="s">
        <v>9094</v>
      </c>
      <c r="N6054" t="s">
        <v>9259</v>
      </c>
      <c r="O6054" t="s">
        <v>11130</v>
      </c>
      <c r="P6054" t="s">
        <v>11165</v>
      </c>
      <c r="Q6054" t="s">
        <v>11174</v>
      </c>
      <c r="R6054" t="s">
        <v>11180</v>
      </c>
      <c r="S6054" t="s">
        <v>9094</v>
      </c>
      <c r="T6054" t="s">
        <v>11183</v>
      </c>
      <c r="V6054" t="s">
        <v>738</v>
      </c>
      <c r="W6054">
        <v>1010</v>
      </c>
      <c r="X6054" t="s">
        <v>11333</v>
      </c>
      <c r="Y6054" t="s">
        <v>11346</v>
      </c>
      <c r="Z6054" t="s">
        <v>15113</v>
      </c>
      <c r="AB6054" t="s">
        <v>19407</v>
      </c>
      <c r="AC6054">
        <v>100</v>
      </c>
      <c r="AD6054" t="s">
        <v>19566</v>
      </c>
      <c r="AE6054" t="s">
        <v>9144</v>
      </c>
      <c r="AF6054">
        <v>5</v>
      </c>
      <c r="AG6054">
        <v>1</v>
      </c>
      <c r="AH6054">
        <v>0</v>
      </c>
      <c r="AI6054">
        <v>428.34</v>
      </c>
      <c r="AL6054" t="s">
        <v>19614</v>
      </c>
      <c r="AM6054">
        <v>52000</v>
      </c>
      <c r="AS6054">
        <v>4.25</v>
      </c>
      <c r="AT6054" t="s">
        <v>563</v>
      </c>
      <c r="AU6054" t="s">
        <v>163</v>
      </c>
    </row>
    <row r="6055" spans="1:48">
      <c r="A6055" s="1">
        <f>HYPERLINK("https://lsnyc.legalserver.org/matter/dynamic-profile/view/1864972","18-1864972")</f>
        <v>0</v>
      </c>
      <c r="B6055" t="s">
        <v>94</v>
      </c>
      <c r="C6055" t="s">
        <v>257</v>
      </c>
      <c r="D6055" t="s">
        <v>525</v>
      </c>
      <c r="E6055" t="s">
        <v>498</v>
      </c>
      <c r="F6055" t="s">
        <v>3254</v>
      </c>
      <c r="G6055" t="s">
        <v>5576</v>
      </c>
      <c r="H6055" t="s">
        <v>5997</v>
      </c>
      <c r="I6055" t="s">
        <v>8131</v>
      </c>
      <c r="J6055" t="s">
        <v>9059</v>
      </c>
      <c r="K6055">
        <v>11213</v>
      </c>
      <c r="L6055" t="s">
        <v>9094</v>
      </c>
      <c r="M6055" t="s">
        <v>9095</v>
      </c>
      <c r="N6055" t="s">
        <v>11109</v>
      </c>
      <c r="O6055" t="s">
        <v>11130</v>
      </c>
      <c r="P6055" t="s">
        <v>11165</v>
      </c>
      <c r="Q6055" t="s">
        <v>11172</v>
      </c>
      <c r="R6055" t="s">
        <v>11180</v>
      </c>
      <c r="S6055" t="s">
        <v>9094</v>
      </c>
      <c r="T6055" t="s">
        <v>11183</v>
      </c>
      <c r="V6055" t="s">
        <v>518</v>
      </c>
      <c r="W6055">
        <v>805.64</v>
      </c>
      <c r="X6055" t="s">
        <v>11332</v>
      </c>
      <c r="Y6055" t="s">
        <v>11339</v>
      </c>
      <c r="Z6055" t="s">
        <v>15114</v>
      </c>
      <c r="AB6055" t="s">
        <v>19408</v>
      </c>
      <c r="AC6055">
        <v>107</v>
      </c>
      <c r="AD6055" t="s">
        <v>19566</v>
      </c>
      <c r="AE6055" t="s">
        <v>9144</v>
      </c>
      <c r="AF6055">
        <v>21</v>
      </c>
      <c r="AG6055">
        <v>2</v>
      </c>
      <c r="AH6055">
        <v>0</v>
      </c>
      <c r="AI6055">
        <v>431.35</v>
      </c>
      <c r="AJ6055" t="s">
        <v>679</v>
      </c>
      <c r="AL6055" t="s">
        <v>19614</v>
      </c>
      <c r="AM6055">
        <v>71000</v>
      </c>
      <c r="AS6055">
        <v>0.95</v>
      </c>
      <c r="AT6055" t="s">
        <v>424</v>
      </c>
      <c r="AU6055" t="s">
        <v>20685</v>
      </c>
    </row>
    <row r="6056" spans="1:48">
      <c r="A6056" s="1">
        <f>HYPERLINK("https://lsnyc.legalserver.org/matter/dynamic-profile/view/1910842","19-1910842")</f>
        <v>0</v>
      </c>
      <c r="B6056" t="s">
        <v>134</v>
      </c>
      <c r="C6056" t="s">
        <v>256</v>
      </c>
      <c r="D6056" t="s">
        <v>308</v>
      </c>
      <c r="F6056" t="s">
        <v>1143</v>
      </c>
      <c r="G6056" t="s">
        <v>5577</v>
      </c>
      <c r="H6056" t="s">
        <v>8077</v>
      </c>
      <c r="J6056" t="s">
        <v>9067</v>
      </c>
      <c r="K6056">
        <v>10032</v>
      </c>
      <c r="L6056" t="s">
        <v>9094</v>
      </c>
      <c r="M6056" t="s">
        <v>9095</v>
      </c>
      <c r="P6056" t="s">
        <v>11169</v>
      </c>
      <c r="R6056" t="s">
        <v>11180</v>
      </c>
      <c r="S6056" t="s">
        <v>9096</v>
      </c>
      <c r="T6056" t="s">
        <v>11183</v>
      </c>
      <c r="V6056" t="s">
        <v>308</v>
      </c>
      <c r="W6056">
        <v>1650</v>
      </c>
      <c r="X6056" t="s">
        <v>11335</v>
      </c>
      <c r="Y6056" t="s">
        <v>11338</v>
      </c>
      <c r="Z6056" t="s">
        <v>15115</v>
      </c>
      <c r="AB6056" t="s">
        <v>19409</v>
      </c>
      <c r="AC6056">
        <v>36</v>
      </c>
      <c r="AD6056" t="s">
        <v>19566</v>
      </c>
      <c r="AE6056" t="s">
        <v>9144</v>
      </c>
      <c r="AF6056">
        <v>15</v>
      </c>
      <c r="AG6056">
        <v>2</v>
      </c>
      <c r="AH6056">
        <v>0</v>
      </c>
      <c r="AI6056">
        <v>431.7</v>
      </c>
      <c r="AL6056" t="s">
        <v>19614</v>
      </c>
      <c r="AM6056">
        <v>73000</v>
      </c>
      <c r="AS6056">
        <v>0.5</v>
      </c>
      <c r="AT6056" t="s">
        <v>308</v>
      </c>
      <c r="AU6056" t="s">
        <v>130</v>
      </c>
      <c r="AV6056" t="s">
        <v>20733</v>
      </c>
    </row>
    <row r="6057" spans="1:48">
      <c r="A6057" s="1">
        <f>HYPERLINK("https://lsnyc.legalserver.org/matter/dynamic-profile/view/1914788","19-1914788")</f>
        <v>0</v>
      </c>
      <c r="B6057" t="s">
        <v>202</v>
      </c>
      <c r="C6057" t="s">
        <v>256</v>
      </c>
      <c r="D6057" t="s">
        <v>632</v>
      </c>
      <c r="F6057" t="s">
        <v>1687</v>
      </c>
      <c r="G6057" t="s">
        <v>2161</v>
      </c>
      <c r="H6057" t="s">
        <v>6621</v>
      </c>
      <c r="I6057">
        <v>44</v>
      </c>
      <c r="J6057" t="s">
        <v>9059</v>
      </c>
      <c r="K6057">
        <v>11213</v>
      </c>
      <c r="L6057" t="s">
        <v>9094</v>
      </c>
      <c r="M6057" t="s">
        <v>9095</v>
      </c>
      <c r="N6057" t="s">
        <v>10263</v>
      </c>
      <c r="O6057" t="s">
        <v>11132</v>
      </c>
      <c r="P6057" t="s">
        <v>11165</v>
      </c>
      <c r="R6057" t="s">
        <v>11180</v>
      </c>
      <c r="S6057" t="s">
        <v>9094</v>
      </c>
      <c r="T6057" t="s">
        <v>11183</v>
      </c>
      <c r="U6057" t="s">
        <v>11201</v>
      </c>
      <c r="W6057">
        <v>996.34</v>
      </c>
      <c r="X6057" t="s">
        <v>11332</v>
      </c>
      <c r="Z6057" t="s">
        <v>15116</v>
      </c>
      <c r="AA6057" t="s">
        <v>9171</v>
      </c>
      <c r="AB6057" t="s">
        <v>19410</v>
      </c>
      <c r="AC6057">
        <v>31</v>
      </c>
      <c r="AD6057" t="s">
        <v>19566</v>
      </c>
      <c r="AE6057" t="s">
        <v>9144</v>
      </c>
      <c r="AF6057">
        <v>15</v>
      </c>
      <c r="AG6057">
        <v>1</v>
      </c>
      <c r="AH6057">
        <v>0</v>
      </c>
      <c r="AI6057">
        <v>432.35</v>
      </c>
      <c r="AK6057" t="s">
        <v>19612</v>
      </c>
      <c r="AL6057" t="s">
        <v>19614</v>
      </c>
      <c r="AM6057">
        <v>54000</v>
      </c>
      <c r="AN6057" t="s">
        <v>20231</v>
      </c>
      <c r="AS6057">
        <v>0</v>
      </c>
      <c r="AU6057" t="s">
        <v>95</v>
      </c>
      <c r="AV6057" t="s">
        <v>20733</v>
      </c>
    </row>
    <row r="6058" spans="1:48">
      <c r="A6058" s="1">
        <f>HYPERLINK("https://lsnyc.legalserver.org/matter/dynamic-profile/view/1914633","19-1914633")</f>
        <v>0</v>
      </c>
      <c r="B6058" t="s">
        <v>76</v>
      </c>
      <c r="C6058" t="s">
        <v>256</v>
      </c>
      <c r="D6058" t="s">
        <v>476</v>
      </c>
      <c r="F6058" t="s">
        <v>1687</v>
      </c>
      <c r="G6058" t="s">
        <v>2161</v>
      </c>
      <c r="H6058" t="s">
        <v>6621</v>
      </c>
      <c r="I6058">
        <v>44</v>
      </c>
      <c r="J6058" t="s">
        <v>9059</v>
      </c>
      <c r="K6058">
        <v>11213</v>
      </c>
      <c r="L6058" t="s">
        <v>9094</v>
      </c>
      <c r="M6058" t="s">
        <v>9095</v>
      </c>
      <c r="N6058" t="s">
        <v>9171</v>
      </c>
      <c r="O6058" t="s">
        <v>11134</v>
      </c>
      <c r="P6058" t="s">
        <v>11168</v>
      </c>
      <c r="R6058" t="s">
        <v>11180</v>
      </c>
      <c r="S6058" t="s">
        <v>9094</v>
      </c>
      <c r="T6058" t="s">
        <v>11183</v>
      </c>
      <c r="U6058" t="s">
        <v>11201</v>
      </c>
      <c r="W6058">
        <v>996.34</v>
      </c>
      <c r="X6058" t="s">
        <v>11332</v>
      </c>
      <c r="Y6058" t="s">
        <v>11346</v>
      </c>
      <c r="Z6058" t="s">
        <v>15116</v>
      </c>
      <c r="AA6058" t="s">
        <v>9171</v>
      </c>
      <c r="AB6058" t="s">
        <v>19410</v>
      </c>
      <c r="AC6058">
        <v>31</v>
      </c>
      <c r="AD6058" t="s">
        <v>19566</v>
      </c>
      <c r="AE6058" t="s">
        <v>9144</v>
      </c>
      <c r="AF6058">
        <v>15</v>
      </c>
      <c r="AG6058">
        <v>1</v>
      </c>
      <c r="AH6058">
        <v>0</v>
      </c>
      <c r="AI6058">
        <v>432.35</v>
      </c>
      <c r="AK6058" t="s">
        <v>19612</v>
      </c>
      <c r="AL6058" t="s">
        <v>19614</v>
      </c>
      <c r="AM6058">
        <v>54000</v>
      </c>
      <c r="AN6058" t="s">
        <v>20232</v>
      </c>
      <c r="AS6058">
        <v>0</v>
      </c>
      <c r="AU6058" t="s">
        <v>95</v>
      </c>
      <c r="AV6058" t="s">
        <v>20733</v>
      </c>
    </row>
    <row r="6059" spans="1:48">
      <c r="A6059" s="1">
        <f>HYPERLINK("https://lsnyc.legalserver.org/matter/dynamic-profile/view/1914635","19-1914635")</f>
        <v>0</v>
      </c>
      <c r="B6059" t="s">
        <v>76</v>
      </c>
      <c r="C6059" t="s">
        <v>256</v>
      </c>
      <c r="D6059" t="s">
        <v>476</v>
      </c>
      <c r="F6059" t="s">
        <v>1687</v>
      </c>
      <c r="G6059" t="s">
        <v>2161</v>
      </c>
      <c r="H6059" t="s">
        <v>6621</v>
      </c>
      <c r="I6059">
        <v>44</v>
      </c>
      <c r="J6059" t="s">
        <v>9059</v>
      </c>
      <c r="K6059">
        <v>11213</v>
      </c>
      <c r="L6059" t="s">
        <v>9094</v>
      </c>
      <c r="M6059" t="s">
        <v>9095</v>
      </c>
      <c r="N6059" t="s">
        <v>9625</v>
      </c>
      <c r="O6059" t="s">
        <v>11134</v>
      </c>
      <c r="P6059" t="s">
        <v>11168</v>
      </c>
      <c r="R6059" t="s">
        <v>11180</v>
      </c>
      <c r="S6059" t="s">
        <v>9096</v>
      </c>
      <c r="T6059" t="s">
        <v>11183</v>
      </c>
      <c r="U6059" t="s">
        <v>11201</v>
      </c>
      <c r="W6059">
        <v>996.34</v>
      </c>
      <c r="X6059" t="s">
        <v>11332</v>
      </c>
      <c r="Y6059" t="s">
        <v>11346</v>
      </c>
      <c r="Z6059" t="s">
        <v>15116</v>
      </c>
      <c r="AA6059" t="s">
        <v>9171</v>
      </c>
      <c r="AB6059" t="s">
        <v>19410</v>
      </c>
      <c r="AC6059">
        <v>31</v>
      </c>
      <c r="AD6059" t="s">
        <v>19566</v>
      </c>
      <c r="AE6059" t="s">
        <v>9144</v>
      </c>
      <c r="AF6059">
        <v>15</v>
      </c>
      <c r="AG6059">
        <v>1</v>
      </c>
      <c r="AH6059">
        <v>0</v>
      </c>
      <c r="AI6059">
        <v>432.35</v>
      </c>
      <c r="AK6059" t="s">
        <v>19612</v>
      </c>
      <c r="AL6059" t="s">
        <v>19614</v>
      </c>
      <c r="AM6059">
        <v>54000</v>
      </c>
      <c r="AN6059" t="s">
        <v>20232</v>
      </c>
      <c r="AS6059">
        <v>0</v>
      </c>
      <c r="AU6059" t="s">
        <v>95</v>
      </c>
      <c r="AV6059" t="s">
        <v>20733</v>
      </c>
    </row>
    <row r="6060" spans="1:48">
      <c r="A6060" s="1">
        <f>HYPERLINK("https://lsnyc.legalserver.org/matter/dynamic-profile/view/1913297","19-1913297")</f>
        <v>0</v>
      </c>
      <c r="B6060" t="s">
        <v>70</v>
      </c>
      <c r="C6060" t="s">
        <v>256</v>
      </c>
      <c r="D6060" t="s">
        <v>1063</v>
      </c>
      <c r="F6060" t="s">
        <v>1687</v>
      </c>
      <c r="G6060" t="s">
        <v>2161</v>
      </c>
      <c r="H6060" t="s">
        <v>6621</v>
      </c>
      <c r="I6060">
        <v>44</v>
      </c>
      <c r="J6060" t="s">
        <v>9059</v>
      </c>
      <c r="K6060">
        <v>11213</v>
      </c>
      <c r="L6060" t="s">
        <v>9094</v>
      </c>
      <c r="M6060" t="s">
        <v>9095</v>
      </c>
      <c r="N6060" t="s">
        <v>9144</v>
      </c>
      <c r="O6060" t="s">
        <v>9121</v>
      </c>
      <c r="P6060" t="s">
        <v>11167</v>
      </c>
      <c r="R6060" t="s">
        <v>11180</v>
      </c>
      <c r="S6060" t="s">
        <v>9094</v>
      </c>
      <c r="T6060" t="s">
        <v>11183</v>
      </c>
      <c r="U6060" t="s">
        <v>11201</v>
      </c>
      <c r="V6060" t="s">
        <v>1063</v>
      </c>
      <c r="W6060">
        <v>996.34</v>
      </c>
      <c r="X6060" t="s">
        <v>11332</v>
      </c>
      <c r="Z6060" t="s">
        <v>15116</v>
      </c>
      <c r="AA6060" t="s">
        <v>9171</v>
      </c>
      <c r="AB6060" t="s">
        <v>19410</v>
      </c>
      <c r="AC6060">
        <v>31</v>
      </c>
      <c r="AD6060" t="s">
        <v>19566</v>
      </c>
      <c r="AE6060" t="s">
        <v>9144</v>
      </c>
      <c r="AF6060">
        <v>15</v>
      </c>
      <c r="AG6060">
        <v>1</v>
      </c>
      <c r="AH6060">
        <v>0</v>
      </c>
      <c r="AI6060">
        <v>432.35</v>
      </c>
      <c r="AL6060" t="s">
        <v>19614</v>
      </c>
      <c r="AM6060">
        <v>54000</v>
      </c>
      <c r="AN6060" t="s">
        <v>20233</v>
      </c>
      <c r="AS6060">
        <v>0</v>
      </c>
      <c r="AU6060" t="s">
        <v>95</v>
      </c>
      <c r="AV6060" t="s">
        <v>20733</v>
      </c>
    </row>
    <row r="6061" spans="1:48">
      <c r="A6061" s="1">
        <f>HYPERLINK("https://lsnyc.legalserver.org/matter/dynamic-profile/view/1890550","19-1890550")</f>
        <v>0</v>
      </c>
      <c r="B6061" t="s">
        <v>70</v>
      </c>
      <c r="C6061" t="s">
        <v>256</v>
      </c>
      <c r="D6061" t="s">
        <v>695</v>
      </c>
      <c r="F6061" t="s">
        <v>3255</v>
      </c>
      <c r="G6061" t="s">
        <v>3332</v>
      </c>
      <c r="H6061" t="s">
        <v>5749</v>
      </c>
      <c r="I6061" t="s">
        <v>8193</v>
      </c>
      <c r="J6061" t="s">
        <v>9059</v>
      </c>
      <c r="K6061">
        <v>11233</v>
      </c>
      <c r="L6061" t="s">
        <v>9094</v>
      </c>
      <c r="M6061" t="s">
        <v>9096</v>
      </c>
      <c r="N6061" t="s">
        <v>9146</v>
      </c>
      <c r="O6061" t="s">
        <v>11134</v>
      </c>
      <c r="P6061" t="s">
        <v>11168</v>
      </c>
      <c r="R6061" t="s">
        <v>11180</v>
      </c>
      <c r="S6061" t="s">
        <v>9094</v>
      </c>
      <c r="T6061" t="s">
        <v>11183</v>
      </c>
      <c r="U6061" t="s">
        <v>11201</v>
      </c>
      <c r="V6061" t="s">
        <v>482</v>
      </c>
      <c r="W6061">
        <v>1016</v>
      </c>
      <c r="X6061" t="s">
        <v>11332</v>
      </c>
      <c r="Y6061" t="s">
        <v>11342</v>
      </c>
      <c r="Z6061" t="s">
        <v>15117</v>
      </c>
      <c r="AC6061">
        <v>359</v>
      </c>
      <c r="AD6061" t="s">
        <v>19566</v>
      </c>
      <c r="AE6061" t="s">
        <v>9144</v>
      </c>
      <c r="AF6061">
        <v>30</v>
      </c>
      <c r="AG6061">
        <v>2</v>
      </c>
      <c r="AH6061">
        <v>0</v>
      </c>
      <c r="AI6061">
        <v>435.02</v>
      </c>
      <c r="AL6061" t="s">
        <v>19614</v>
      </c>
      <c r="AM6061">
        <v>73562</v>
      </c>
      <c r="AN6061" t="s">
        <v>20234</v>
      </c>
      <c r="AS6061">
        <v>0</v>
      </c>
      <c r="AU6061" t="s">
        <v>95</v>
      </c>
    </row>
    <row r="6062" spans="1:48">
      <c r="A6062" s="1">
        <f>HYPERLINK("https://lsnyc.legalserver.org/matter/dynamic-profile/view/1891485","19-1891485")</f>
        <v>0</v>
      </c>
      <c r="B6062" t="s">
        <v>70</v>
      </c>
      <c r="C6062" t="s">
        <v>256</v>
      </c>
      <c r="D6062" t="s">
        <v>316</v>
      </c>
      <c r="F6062" t="s">
        <v>3255</v>
      </c>
      <c r="G6062" t="s">
        <v>3332</v>
      </c>
      <c r="H6062" t="s">
        <v>5749</v>
      </c>
      <c r="I6062" t="s">
        <v>8193</v>
      </c>
      <c r="J6062" t="s">
        <v>9059</v>
      </c>
      <c r="K6062">
        <v>11233</v>
      </c>
      <c r="L6062" t="s">
        <v>9094</v>
      </c>
      <c r="M6062" t="s">
        <v>9096</v>
      </c>
      <c r="O6062" t="s">
        <v>11137</v>
      </c>
      <c r="P6062" t="s">
        <v>11167</v>
      </c>
      <c r="R6062" t="s">
        <v>11180</v>
      </c>
      <c r="S6062" t="s">
        <v>9094</v>
      </c>
      <c r="T6062" t="s">
        <v>11183</v>
      </c>
      <c r="U6062" t="s">
        <v>11201</v>
      </c>
      <c r="V6062" t="s">
        <v>749</v>
      </c>
      <c r="W6062">
        <v>1016</v>
      </c>
      <c r="X6062" t="s">
        <v>11332</v>
      </c>
      <c r="Y6062" t="s">
        <v>11342</v>
      </c>
      <c r="Z6062" t="s">
        <v>15117</v>
      </c>
      <c r="AC6062">
        <v>359</v>
      </c>
      <c r="AD6062" t="s">
        <v>19566</v>
      </c>
      <c r="AE6062" t="s">
        <v>9144</v>
      </c>
      <c r="AF6062">
        <v>30</v>
      </c>
      <c r="AG6062">
        <v>2</v>
      </c>
      <c r="AH6062">
        <v>0</v>
      </c>
      <c r="AI6062">
        <v>435.02</v>
      </c>
      <c r="AL6062" t="s">
        <v>19614</v>
      </c>
      <c r="AM6062">
        <v>73562</v>
      </c>
      <c r="AN6062" t="s">
        <v>20235</v>
      </c>
      <c r="AS6062">
        <v>0</v>
      </c>
      <c r="AU6062" t="s">
        <v>79</v>
      </c>
    </row>
    <row r="6063" spans="1:48">
      <c r="A6063" s="1">
        <f>HYPERLINK("https://lsnyc.legalserver.org/matter/dynamic-profile/view/1882158","18-1882158")</f>
        <v>0</v>
      </c>
      <c r="B6063" t="s">
        <v>76</v>
      </c>
      <c r="C6063" t="s">
        <v>256</v>
      </c>
      <c r="D6063" t="s">
        <v>697</v>
      </c>
      <c r="F6063" t="s">
        <v>3250</v>
      </c>
      <c r="G6063" t="s">
        <v>5570</v>
      </c>
      <c r="H6063" t="s">
        <v>6169</v>
      </c>
      <c r="I6063" t="s">
        <v>8223</v>
      </c>
      <c r="J6063" t="s">
        <v>9059</v>
      </c>
      <c r="K6063">
        <v>11213</v>
      </c>
      <c r="L6063" t="s">
        <v>9094</v>
      </c>
      <c r="M6063" t="s">
        <v>9094</v>
      </c>
      <c r="N6063" t="s">
        <v>9179</v>
      </c>
      <c r="O6063" t="s">
        <v>11130</v>
      </c>
      <c r="P6063" t="s">
        <v>11165</v>
      </c>
      <c r="R6063" t="s">
        <v>11180</v>
      </c>
      <c r="S6063" t="s">
        <v>9094</v>
      </c>
      <c r="T6063" t="s">
        <v>11183</v>
      </c>
      <c r="U6063" t="s">
        <v>11201</v>
      </c>
      <c r="V6063" t="s">
        <v>11265</v>
      </c>
      <c r="W6063">
        <v>1169.88</v>
      </c>
      <c r="X6063" t="s">
        <v>11332</v>
      </c>
      <c r="Y6063" t="s">
        <v>11346</v>
      </c>
      <c r="Z6063" t="s">
        <v>15108</v>
      </c>
      <c r="AA6063" t="s">
        <v>9144</v>
      </c>
      <c r="AB6063" t="s">
        <v>19402</v>
      </c>
      <c r="AC6063">
        <v>35</v>
      </c>
      <c r="AD6063" t="s">
        <v>19566</v>
      </c>
      <c r="AE6063" t="s">
        <v>9144</v>
      </c>
      <c r="AF6063">
        <v>5</v>
      </c>
      <c r="AG6063">
        <v>2</v>
      </c>
      <c r="AH6063">
        <v>0</v>
      </c>
      <c r="AI6063">
        <v>437.42</v>
      </c>
      <c r="AK6063" t="s">
        <v>19613</v>
      </c>
      <c r="AL6063" t="s">
        <v>19614</v>
      </c>
      <c r="AM6063">
        <v>72000</v>
      </c>
      <c r="AS6063">
        <v>0.1</v>
      </c>
      <c r="AT6063" t="s">
        <v>283</v>
      </c>
      <c r="AU6063" t="s">
        <v>95</v>
      </c>
    </row>
    <row r="6064" spans="1:48">
      <c r="A6064" s="1">
        <f>HYPERLINK("https://lsnyc.legalserver.org/matter/dynamic-profile/view/1890581","19-1890581")</f>
        <v>0</v>
      </c>
      <c r="B6064" t="s">
        <v>70</v>
      </c>
      <c r="C6064" t="s">
        <v>256</v>
      </c>
      <c r="D6064" t="s">
        <v>695</v>
      </c>
      <c r="F6064" t="s">
        <v>2909</v>
      </c>
      <c r="G6064" t="s">
        <v>5578</v>
      </c>
      <c r="H6064" t="s">
        <v>5749</v>
      </c>
      <c r="I6064" t="s">
        <v>8131</v>
      </c>
      <c r="J6064" t="s">
        <v>9059</v>
      </c>
      <c r="K6064">
        <v>11233</v>
      </c>
      <c r="L6064" t="s">
        <v>9094</v>
      </c>
      <c r="M6064" t="s">
        <v>9096</v>
      </c>
      <c r="N6064" t="s">
        <v>9146</v>
      </c>
      <c r="O6064" t="s">
        <v>11134</v>
      </c>
      <c r="P6064" t="s">
        <v>11168</v>
      </c>
      <c r="R6064" t="s">
        <v>11180</v>
      </c>
      <c r="S6064" t="s">
        <v>9094</v>
      </c>
      <c r="T6064" t="s">
        <v>11183</v>
      </c>
      <c r="U6064" t="s">
        <v>11201</v>
      </c>
      <c r="V6064" t="s">
        <v>482</v>
      </c>
      <c r="W6064">
        <v>1520</v>
      </c>
      <c r="X6064" t="s">
        <v>11332</v>
      </c>
      <c r="Y6064" t="s">
        <v>11342</v>
      </c>
      <c r="Z6064" t="s">
        <v>15118</v>
      </c>
      <c r="AC6064">
        <v>359</v>
      </c>
      <c r="AD6064" t="s">
        <v>19566</v>
      </c>
      <c r="AE6064" t="s">
        <v>9144</v>
      </c>
      <c r="AF6064">
        <v>2</v>
      </c>
      <c r="AG6064">
        <v>2</v>
      </c>
      <c r="AH6064">
        <v>0</v>
      </c>
      <c r="AI6064">
        <v>437.61</v>
      </c>
      <c r="AL6064" t="s">
        <v>19614</v>
      </c>
      <c r="AM6064">
        <v>74000</v>
      </c>
      <c r="AN6064" t="s">
        <v>20037</v>
      </c>
      <c r="AS6064">
        <v>0</v>
      </c>
      <c r="AU6064" t="s">
        <v>95</v>
      </c>
    </row>
    <row r="6065" spans="1:48">
      <c r="A6065" s="1">
        <f>HYPERLINK("https://lsnyc.legalserver.org/matter/dynamic-profile/view/1891597","19-1891597")</f>
        <v>0</v>
      </c>
      <c r="B6065" t="s">
        <v>70</v>
      </c>
      <c r="C6065" t="s">
        <v>256</v>
      </c>
      <c r="D6065" t="s">
        <v>788</v>
      </c>
      <c r="F6065" t="s">
        <v>2909</v>
      </c>
      <c r="G6065" t="s">
        <v>5578</v>
      </c>
      <c r="H6065" t="s">
        <v>5749</v>
      </c>
      <c r="I6065" t="s">
        <v>8131</v>
      </c>
      <c r="J6065" t="s">
        <v>9059</v>
      </c>
      <c r="K6065">
        <v>11233</v>
      </c>
      <c r="L6065" t="s">
        <v>9094</v>
      </c>
      <c r="M6065" t="s">
        <v>9096</v>
      </c>
      <c r="O6065" t="s">
        <v>11137</v>
      </c>
      <c r="P6065" t="s">
        <v>11167</v>
      </c>
      <c r="R6065" t="s">
        <v>11180</v>
      </c>
      <c r="S6065" t="s">
        <v>9094</v>
      </c>
      <c r="T6065" t="s">
        <v>11183</v>
      </c>
      <c r="U6065" t="s">
        <v>11201</v>
      </c>
      <c r="V6065" t="s">
        <v>749</v>
      </c>
      <c r="W6065">
        <v>1520</v>
      </c>
      <c r="X6065" t="s">
        <v>11332</v>
      </c>
      <c r="Y6065" t="s">
        <v>11342</v>
      </c>
      <c r="Z6065" t="s">
        <v>15118</v>
      </c>
      <c r="AC6065">
        <v>359</v>
      </c>
      <c r="AD6065" t="s">
        <v>19566</v>
      </c>
      <c r="AE6065" t="s">
        <v>9144</v>
      </c>
      <c r="AF6065">
        <v>2</v>
      </c>
      <c r="AG6065">
        <v>2</v>
      </c>
      <c r="AH6065">
        <v>0</v>
      </c>
      <c r="AI6065">
        <v>437.61</v>
      </c>
      <c r="AL6065" t="s">
        <v>19614</v>
      </c>
      <c r="AM6065">
        <v>74000</v>
      </c>
      <c r="AN6065" t="s">
        <v>20236</v>
      </c>
      <c r="AS6065">
        <v>0</v>
      </c>
      <c r="AU6065" t="s">
        <v>79</v>
      </c>
    </row>
    <row r="6066" spans="1:48">
      <c r="A6066" s="1">
        <f>HYPERLINK("https://lsnyc.legalserver.org/matter/dynamic-profile/view/1890575","19-1890575")</f>
        <v>0</v>
      </c>
      <c r="B6066" t="s">
        <v>70</v>
      </c>
      <c r="C6066" t="s">
        <v>256</v>
      </c>
      <c r="D6066" t="s">
        <v>695</v>
      </c>
      <c r="F6066" t="s">
        <v>2599</v>
      </c>
      <c r="G6066" t="s">
        <v>3491</v>
      </c>
      <c r="H6066" t="s">
        <v>5749</v>
      </c>
      <c r="I6066" t="s">
        <v>9012</v>
      </c>
      <c r="J6066" t="s">
        <v>9059</v>
      </c>
      <c r="K6066">
        <v>11233</v>
      </c>
      <c r="L6066" t="s">
        <v>9094</v>
      </c>
      <c r="M6066" t="s">
        <v>9096</v>
      </c>
      <c r="N6066" t="s">
        <v>9146</v>
      </c>
      <c r="O6066" t="s">
        <v>11134</v>
      </c>
      <c r="P6066" t="s">
        <v>11168</v>
      </c>
      <c r="R6066" t="s">
        <v>11180</v>
      </c>
      <c r="S6066" t="s">
        <v>9094</v>
      </c>
      <c r="T6066" t="s">
        <v>11183</v>
      </c>
      <c r="U6066" t="s">
        <v>11201</v>
      </c>
      <c r="V6066" t="s">
        <v>482</v>
      </c>
      <c r="W6066">
        <v>1094.88</v>
      </c>
      <c r="X6066" t="s">
        <v>11332</v>
      </c>
      <c r="Y6066" t="s">
        <v>11157</v>
      </c>
      <c r="Z6066" t="s">
        <v>15119</v>
      </c>
      <c r="AC6066">
        <v>359</v>
      </c>
      <c r="AD6066" t="s">
        <v>19566</v>
      </c>
      <c r="AE6066" t="s">
        <v>9144</v>
      </c>
      <c r="AF6066">
        <v>40</v>
      </c>
      <c r="AG6066">
        <v>1</v>
      </c>
      <c r="AH6066">
        <v>0</v>
      </c>
      <c r="AI6066">
        <v>440.35</v>
      </c>
      <c r="AL6066" t="s">
        <v>19614</v>
      </c>
      <c r="AM6066">
        <v>55000</v>
      </c>
      <c r="AN6066" t="s">
        <v>19642</v>
      </c>
      <c r="AS6066">
        <v>0</v>
      </c>
      <c r="AU6066" t="s">
        <v>79</v>
      </c>
    </row>
    <row r="6067" spans="1:48">
      <c r="A6067" s="1">
        <f>HYPERLINK("https://lsnyc.legalserver.org/matter/dynamic-profile/view/1891590","19-1891590")</f>
        <v>0</v>
      </c>
      <c r="B6067" t="s">
        <v>70</v>
      </c>
      <c r="C6067" t="s">
        <v>256</v>
      </c>
      <c r="D6067" t="s">
        <v>788</v>
      </c>
      <c r="F6067" t="s">
        <v>2599</v>
      </c>
      <c r="G6067" t="s">
        <v>3491</v>
      </c>
      <c r="H6067" t="s">
        <v>5749</v>
      </c>
      <c r="I6067" t="s">
        <v>9012</v>
      </c>
      <c r="J6067" t="s">
        <v>9059</v>
      </c>
      <c r="K6067">
        <v>11233</v>
      </c>
      <c r="L6067" t="s">
        <v>9094</v>
      </c>
      <c r="M6067" t="s">
        <v>9096</v>
      </c>
      <c r="O6067" t="s">
        <v>11137</v>
      </c>
      <c r="P6067" t="s">
        <v>11167</v>
      </c>
      <c r="R6067" t="s">
        <v>11180</v>
      </c>
      <c r="S6067" t="s">
        <v>9094</v>
      </c>
      <c r="T6067" t="s">
        <v>11183</v>
      </c>
      <c r="U6067" t="s">
        <v>11201</v>
      </c>
      <c r="V6067" t="s">
        <v>749</v>
      </c>
      <c r="W6067">
        <v>1094.88</v>
      </c>
      <c r="X6067" t="s">
        <v>11332</v>
      </c>
      <c r="Y6067" t="s">
        <v>11157</v>
      </c>
      <c r="Z6067" t="s">
        <v>15119</v>
      </c>
      <c r="AC6067">
        <v>359</v>
      </c>
      <c r="AD6067" t="s">
        <v>19566</v>
      </c>
      <c r="AE6067" t="s">
        <v>9144</v>
      </c>
      <c r="AF6067">
        <v>40</v>
      </c>
      <c r="AG6067">
        <v>1</v>
      </c>
      <c r="AH6067">
        <v>0</v>
      </c>
      <c r="AI6067">
        <v>440.35</v>
      </c>
      <c r="AL6067" t="s">
        <v>19614</v>
      </c>
      <c r="AM6067">
        <v>55000</v>
      </c>
      <c r="AN6067" t="s">
        <v>20237</v>
      </c>
      <c r="AS6067">
        <v>0</v>
      </c>
      <c r="AU6067" t="s">
        <v>79</v>
      </c>
    </row>
    <row r="6068" spans="1:48">
      <c r="A6068" s="1">
        <f>HYPERLINK("https://lsnyc.legalserver.org/matter/dynamic-profile/view/1899127","19-1899127")</f>
        <v>0</v>
      </c>
      <c r="B6068" t="s">
        <v>134</v>
      </c>
      <c r="C6068" t="s">
        <v>256</v>
      </c>
      <c r="D6068" t="s">
        <v>492</v>
      </c>
      <c r="F6068" t="s">
        <v>1231</v>
      </c>
      <c r="G6068" t="s">
        <v>5579</v>
      </c>
      <c r="H6068" t="s">
        <v>6874</v>
      </c>
      <c r="I6068" t="s">
        <v>8151</v>
      </c>
      <c r="J6068" t="s">
        <v>9067</v>
      </c>
      <c r="K6068">
        <v>10034</v>
      </c>
      <c r="L6068" t="s">
        <v>9094</v>
      </c>
      <c r="M6068" t="s">
        <v>9095</v>
      </c>
      <c r="O6068" t="s">
        <v>9121</v>
      </c>
      <c r="P6068" t="s">
        <v>11167</v>
      </c>
      <c r="R6068" t="s">
        <v>11180</v>
      </c>
      <c r="S6068" t="s">
        <v>9096</v>
      </c>
      <c r="T6068" t="s">
        <v>11183</v>
      </c>
      <c r="V6068" t="s">
        <v>492</v>
      </c>
      <c r="W6068">
        <v>1625</v>
      </c>
      <c r="X6068" t="s">
        <v>11335</v>
      </c>
      <c r="Y6068" t="s">
        <v>11338</v>
      </c>
      <c r="Z6068" t="s">
        <v>15120</v>
      </c>
      <c r="AB6068" t="s">
        <v>19411</v>
      </c>
      <c r="AC6068">
        <v>28</v>
      </c>
      <c r="AD6068" t="s">
        <v>19566</v>
      </c>
      <c r="AE6068" t="s">
        <v>9144</v>
      </c>
      <c r="AF6068">
        <v>1</v>
      </c>
      <c r="AG6068">
        <v>1</v>
      </c>
      <c r="AH6068">
        <v>0</v>
      </c>
      <c r="AI6068">
        <v>440.35</v>
      </c>
      <c r="AL6068" t="s">
        <v>19614</v>
      </c>
      <c r="AM6068">
        <v>55000</v>
      </c>
      <c r="AS6068">
        <v>1.3</v>
      </c>
      <c r="AT6068" t="s">
        <v>610</v>
      </c>
      <c r="AU6068" t="s">
        <v>130</v>
      </c>
      <c r="AV6068" t="s">
        <v>20733</v>
      </c>
    </row>
    <row r="6069" spans="1:48">
      <c r="A6069" s="1">
        <f>HYPERLINK("https://lsnyc.legalserver.org/matter/dynamic-profile/view/1838190","17-1838190")</f>
        <v>0</v>
      </c>
      <c r="B6069" t="s">
        <v>103</v>
      </c>
      <c r="C6069" t="s">
        <v>256</v>
      </c>
      <c r="D6069" t="s">
        <v>1120</v>
      </c>
      <c r="F6069" t="s">
        <v>3256</v>
      </c>
      <c r="G6069" t="s">
        <v>4089</v>
      </c>
      <c r="H6069" t="s">
        <v>6927</v>
      </c>
      <c r="I6069" t="s">
        <v>8761</v>
      </c>
      <c r="J6069" t="s">
        <v>9065</v>
      </c>
      <c r="K6069">
        <v>10473</v>
      </c>
      <c r="L6069" t="s">
        <v>9094</v>
      </c>
      <c r="M6069" t="s">
        <v>9095</v>
      </c>
      <c r="N6069" t="s">
        <v>10045</v>
      </c>
      <c r="O6069" t="s">
        <v>11135</v>
      </c>
      <c r="P6069" t="s">
        <v>11168</v>
      </c>
      <c r="R6069" t="s">
        <v>11180</v>
      </c>
      <c r="S6069" t="s">
        <v>9094</v>
      </c>
      <c r="T6069" t="s">
        <v>11183</v>
      </c>
      <c r="V6069" t="s">
        <v>11223</v>
      </c>
      <c r="W6069">
        <v>1230</v>
      </c>
      <c r="X6069" t="s">
        <v>11333</v>
      </c>
      <c r="Y6069" t="s">
        <v>11351</v>
      </c>
      <c r="Z6069" t="s">
        <v>15121</v>
      </c>
      <c r="AB6069" t="s">
        <v>19412</v>
      </c>
      <c r="AC6069">
        <v>976</v>
      </c>
      <c r="AD6069" t="s">
        <v>19566</v>
      </c>
      <c r="AE6069" t="s">
        <v>9144</v>
      </c>
      <c r="AF6069">
        <v>12</v>
      </c>
      <c r="AG6069">
        <v>2</v>
      </c>
      <c r="AH6069">
        <v>1</v>
      </c>
      <c r="AI6069">
        <v>440.74</v>
      </c>
      <c r="AJ6069" t="s">
        <v>936</v>
      </c>
      <c r="AL6069" t="s">
        <v>19614</v>
      </c>
      <c r="AM6069">
        <v>90000</v>
      </c>
      <c r="AS6069">
        <v>0</v>
      </c>
      <c r="AU6069" t="s">
        <v>20643</v>
      </c>
    </row>
    <row r="6070" spans="1:48">
      <c r="A6070" s="1">
        <f>HYPERLINK("https://lsnyc.legalserver.org/matter/dynamic-profile/view/1836023","17-1836023")</f>
        <v>0</v>
      </c>
      <c r="B6070" t="s">
        <v>136</v>
      </c>
      <c r="C6070" t="s">
        <v>257</v>
      </c>
      <c r="D6070" t="s">
        <v>821</v>
      </c>
      <c r="E6070" t="s">
        <v>270</v>
      </c>
      <c r="F6070" t="s">
        <v>1471</v>
      </c>
      <c r="G6070" t="s">
        <v>5580</v>
      </c>
      <c r="H6070" t="s">
        <v>6681</v>
      </c>
      <c r="I6070" t="s">
        <v>8213</v>
      </c>
      <c r="J6070" t="s">
        <v>9067</v>
      </c>
      <c r="K6070">
        <v>10040</v>
      </c>
      <c r="L6070" t="s">
        <v>9094</v>
      </c>
      <c r="M6070" t="s">
        <v>9094</v>
      </c>
      <c r="N6070" t="s">
        <v>10090</v>
      </c>
      <c r="O6070" t="s">
        <v>11135</v>
      </c>
      <c r="P6070" t="s">
        <v>11168</v>
      </c>
      <c r="Q6070" t="s">
        <v>11177</v>
      </c>
      <c r="R6070" t="s">
        <v>11180</v>
      </c>
      <c r="S6070" t="s">
        <v>9094</v>
      </c>
      <c r="T6070" t="s">
        <v>11183</v>
      </c>
      <c r="V6070" t="s">
        <v>820</v>
      </c>
      <c r="W6070">
        <v>1575</v>
      </c>
      <c r="X6070" t="s">
        <v>11335</v>
      </c>
      <c r="Y6070" t="s">
        <v>11339</v>
      </c>
      <c r="Z6070" t="s">
        <v>15122</v>
      </c>
      <c r="AB6070" t="s">
        <v>19413</v>
      </c>
      <c r="AC6070">
        <v>43</v>
      </c>
      <c r="AD6070" t="s">
        <v>19566</v>
      </c>
      <c r="AE6070" t="s">
        <v>9144</v>
      </c>
      <c r="AF6070">
        <v>10</v>
      </c>
      <c r="AG6070">
        <v>2</v>
      </c>
      <c r="AH6070">
        <v>1</v>
      </c>
      <c r="AI6070">
        <v>440.74</v>
      </c>
      <c r="AJ6070" t="s">
        <v>19599</v>
      </c>
      <c r="AL6070" t="s">
        <v>19615</v>
      </c>
      <c r="AM6070">
        <v>90000</v>
      </c>
      <c r="AS6070">
        <v>0.75</v>
      </c>
      <c r="AT6070" t="s">
        <v>837</v>
      </c>
      <c r="AU6070" t="s">
        <v>20657</v>
      </c>
    </row>
    <row r="6071" spans="1:48">
      <c r="A6071" s="1">
        <f>HYPERLINK("https://lsnyc.legalserver.org/matter/dynamic-profile/view/1842721","17-1842721")</f>
        <v>0</v>
      </c>
      <c r="B6071" t="s">
        <v>136</v>
      </c>
      <c r="C6071" t="s">
        <v>257</v>
      </c>
      <c r="D6071" t="s">
        <v>851</v>
      </c>
      <c r="E6071" t="s">
        <v>270</v>
      </c>
      <c r="F6071" t="s">
        <v>1471</v>
      </c>
      <c r="G6071" t="s">
        <v>5580</v>
      </c>
      <c r="H6071" t="s">
        <v>6681</v>
      </c>
      <c r="I6071" t="s">
        <v>8213</v>
      </c>
      <c r="J6071" t="s">
        <v>9067</v>
      </c>
      <c r="K6071">
        <v>10040</v>
      </c>
      <c r="L6071" t="s">
        <v>9094</v>
      </c>
      <c r="M6071" t="s">
        <v>9094</v>
      </c>
      <c r="O6071" t="s">
        <v>9121</v>
      </c>
      <c r="P6071" t="s">
        <v>11164</v>
      </c>
      <c r="Q6071" t="s">
        <v>11172</v>
      </c>
      <c r="R6071" t="s">
        <v>11180</v>
      </c>
      <c r="S6071" t="s">
        <v>9096</v>
      </c>
      <c r="T6071" t="s">
        <v>11183</v>
      </c>
      <c r="V6071" t="s">
        <v>364</v>
      </c>
      <c r="W6071">
        <v>1575</v>
      </c>
      <c r="X6071" t="s">
        <v>11335</v>
      </c>
      <c r="Y6071" t="s">
        <v>11338</v>
      </c>
      <c r="Z6071" t="s">
        <v>15122</v>
      </c>
      <c r="AB6071" t="s">
        <v>19413</v>
      </c>
      <c r="AC6071">
        <v>42</v>
      </c>
      <c r="AD6071" t="s">
        <v>19566</v>
      </c>
      <c r="AE6071" t="s">
        <v>9144</v>
      </c>
      <c r="AF6071">
        <v>10</v>
      </c>
      <c r="AG6071">
        <v>2</v>
      </c>
      <c r="AH6071">
        <v>1</v>
      </c>
      <c r="AI6071">
        <v>440.74</v>
      </c>
      <c r="AJ6071" t="s">
        <v>19599</v>
      </c>
      <c r="AL6071" t="s">
        <v>19615</v>
      </c>
      <c r="AM6071">
        <v>90000</v>
      </c>
      <c r="AS6071">
        <v>0.2</v>
      </c>
      <c r="AT6071" t="s">
        <v>767</v>
      </c>
      <c r="AU6071" t="s">
        <v>130</v>
      </c>
    </row>
    <row r="6072" spans="1:48">
      <c r="A6072" s="1">
        <f>HYPERLINK("https://lsnyc.legalserver.org/matter/dynamic-profile/view/1909534","19-1909534")</f>
        <v>0</v>
      </c>
      <c r="B6072" t="s">
        <v>115</v>
      </c>
      <c r="C6072" t="s">
        <v>257</v>
      </c>
      <c r="D6072" t="s">
        <v>273</v>
      </c>
      <c r="E6072" t="s">
        <v>425</v>
      </c>
      <c r="F6072" t="s">
        <v>1187</v>
      </c>
      <c r="G6072" t="s">
        <v>5581</v>
      </c>
      <c r="H6072" t="s">
        <v>8078</v>
      </c>
      <c r="I6072" t="s">
        <v>9013</v>
      </c>
      <c r="J6072" t="s">
        <v>9065</v>
      </c>
      <c r="K6072">
        <v>10471</v>
      </c>
      <c r="L6072" t="s">
        <v>9094</v>
      </c>
      <c r="M6072" t="s">
        <v>9095</v>
      </c>
      <c r="N6072" t="s">
        <v>9171</v>
      </c>
      <c r="O6072" t="s">
        <v>11134</v>
      </c>
      <c r="P6072" t="s">
        <v>11164</v>
      </c>
      <c r="Q6072" t="s">
        <v>11172</v>
      </c>
      <c r="R6072" t="s">
        <v>11180</v>
      </c>
      <c r="S6072" t="s">
        <v>9096</v>
      </c>
      <c r="T6072" t="s">
        <v>11183</v>
      </c>
      <c r="U6072" t="s">
        <v>11201</v>
      </c>
      <c r="W6072">
        <v>2400</v>
      </c>
      <c r="X6072" t="s">
        <v>11333</v>
      </c>
      <c r="Y6072" t="s">
        <v>11339</v>
      </c>
      <c r="Z6072" t="s">
        <v>13426</v>
      </c>
      <c r="AB6072" t="s">
        <v>19414</v>
      </c>
      <c r="AC6072">
        <v>6</v>
      </c>
      <c r="AD6072" t="s">
        <v>19566</v>
      </c>
      <c r="AE6072" t="s">
        <v>9144</v>
      </c>
      <c r="AF6072">
        <v>2</v>
      </c>
      <c r="AG6072">
        <v>1</v>
      </c>
      <c r="AH6072">
        <v>1</v>
      </c>
      <c r="AI6072">
        <v>443.52</v>
      </c>
      <c r="AL6072" t="s">
        <v>19614</v>
      </c>
      <c r="AM6072">
        <v>75000</v>
      </c>
      <c r="AS6072">
        <v>0.4</v>
      </c>
      <c r="AT6072" t="s">
        <v>425</v>
      </c>
      <c r="AU6072" t="s">
        <v>115</v>
      </c>
      <c r="AV6072" t="s">
        <v>20733</v>
      </c>
    </row>
    <row r="6073" spans="1:48">
      <c r="A6073" s="1">
        <f>HYPERLINK("https://lsnyc.legalserver.org/matter/dynamic-profile/view/1892999","19-1892999")</f>
        <v>0</v>
      </c>
      <c r="B6073" t="s">
        <v>108</v>
      </c>
      <c r="C6073" t="s">
        <v>256</v>
      </c>
      <c r="D6073" t="s">
        <v>423</v>
      </c>
      <c r="F6073" t="s">
        <v>1152</v>
      </c>
      <c r="G6073" t="s">
        <v>3411</v>
      </c>
      <c r="H6073" t="s">
        <v>7248</v>
      </c>
      <c r="I6073" t="s">
        <v>8375</v>
      </c>
      <c r="J6073" t="s">
        <v>9065</v>
      </c>
      <c r="K6073">
        <v>10467</v>
      </c>
      <c r="L6073" t="s">
        <v>9094</v>
      </c>
      <c r="M6073" t="s">
        <v>9094</v>
      </c>
      <c r="P6073" t="s">
        <v>11166</v>
      </c>
      <c r="R6073" t="s">
        <v>11180</v>
      </c>
      <c r="S6073" t="s">
        <v>9094</v>
      </c>
      <c r="T6073" t="s">
        <v>11183</v>
      </c>
      <c r="V6073" t="s">
        <v>11218</v>
      </c>
      <c r="W6073">
        <v>2000</v>
      </c>
      <c r="X6073" t="s">
        <v>11333</v>
      </c>
      <c r="Y6073" t="s">
        <v>11339</v>
      </c>
      <c r="Z6073" t="s">
        <v>12597</v>
      </c>
      <c r="AB6073" t="s">
        <v>19415</v>
      </c>
      <c r="AC6073">
        <v>122</v>
      </c>
      <c r="AD6073" t="s">
        <v>19565</v>
      </c>
      <c r="AE6073" t="s">
        <v>9144</v>
      </c>
      <c r="AF6073">
        <v>3</v>
      </c>
      <c r="AG6073">
        <v>2</v>
      </c>
      <c r="AH6073">
        <v>0</v>
      </c>
      <c r="AI6073">
        <v>443.52</v>
      </c>
      <c r="AL6073" t="s">
        <v>19625</v>
      </c>
      <c r="AM6073">
        <v>75000</v>
      </c>
      <c r="AS6073">
        <v>0</v>
      </c>
      <c r="AU6073" t="s">
        <v>220</v>
      </c>
      <c r="AV6073" t="s">
        <v>20733</v>
      </c>
    </row>
    <row r="6074" spans="1:48">
      <c r="A6074" s="1">
        <f>HYPERLINK("https://lsnyc.legalserver.org/matter/dynamic-profile/view/1870368","18-1870368")</f>
        <v>0</v>
      </c>
      <c r="B6074" t="s">
        <v>56</v>
      </c>
      <c r="C6074" t="s">
        <v>256</v>
      </c>
      <c r="D6074" t="s">
        <v>795</v>
      </c>
      <c r="F6074" t="s">
        <v>3257</v>
      </c>
      <c r="G6074" t="s">
        <v>5582</v>
      </c>
      <c r="H6074" t="s">
        <v>6510</v>
      </c>
      <c r="I6074" t="s">
        <v>9014</v>
      </c>
      <c r="J6074" t="s">
        <v>9053</v>
      </c>
      <c r="K6074">
        <v>11372</v>
      </c>
      <c r="L6074" t="s">
        <v>9094</v>
      </c>
      <c r="M6074" t="s">
        <v>9095</v>
      </c>
      <c r="N6074" t="s">
        <v>9171</v>
      </c>
      <c r="O6074" t="s">
        <v>11136</v>
      </c>
      <c r="P6074" t="s">
        <v>11166</v>
      </c>
      <c r="R6074" t="s">
        <v>11180</v>
      </c>
      <c r="S6074" t="s">
        <v>9094</v>
      </c>
      <c r="T6074" t="s">
        <v>11183</v>
      </c>
      <c r="V6074" t="s">
        <v>767</v>
      </c>
      <c r="W6074">
        <v>1900</v>
      </c>
      <c r="X6074" t="s">
        <v>11331</v>
      </c>
      <c r="Y6074" t="s">
        <v>11336</v>
      </c>
      <c r="Z6074" t="s">
        <v>15123</v>
      </c>
      <c r="AB6074" t="s">
        <v>19416</v>
      </c>
      <c r="AC6074">
        <v>64</v>
      </c>
      <c r="AD6074" t="s">
        <v>15441</v>
      </c>
      <c r="AE6074" t="s">
        <v>9144</v>
      </c>
      <c r="AF6074">
        <v>6</v>
      </c>
      <c r="AG6074">
        <v>1</v>
      </c>
      <c r="AH6074">
        <v>0</v>
      </c>
      <c r="AI6074">
        <v>444.81</v>
      </c>
      <c r="AL6074" t="s">
        <v>19614</v>
      </c>
      <c r="AM6074">
        <v>54000</v>
      </c>
      <c r="AS6074">
        <v>0.2</v>
      </c>
      <c r="AT6074" t="s">
        <v>426</v>
      </c>
      <c r="AU6074" t="s">
        <v>20620</v>
      </c>
      <c r="AV6074" t="s">
        <v>20733</v>
      </c>
    </row>
    <row r="6075" spans="1:48">
      <c r="A6075" s="1">
        <f>HYPERLINK("https://lsnyc.legalserver.org/matter/dynamic-profile/view/1914092","19-1914092")</f>
        <v>0</v>
      </c>
      <c r="B6075" t="s">
        <v>135</v>
      </c>
      <c r="C6075" t="s">
        <v>256</v>
      </c>
      <c r="D6075" t="s">
        <v>395</v>
      </c>
      <c r="F6075" t="s">
        <v>1375</v>
      </c>
      <c r="G6075" t="s">
        <v>5583</v>
      </c>
      <c r="H6075" t="s">
        <v>6949</v>
      </c>
      <c r="I6075" t="s">
        <v>9015</v>
      </c>
      <c r="J6075" t="s">
        <v>9067</v>
      </c>
      <c r="K6075">
        <v>10037</v>
      </c>
      <c r="L6075" t="s">
        <v>9094</v>
      </c>
      <c r="M6075" t="s">
        <v>9095</v>
      </c>
      <c r="O6075" t="s">
        <v>11130</v>
      </c>
      <c r="P6075" t="s">
        <v>11169</v>
      </c>
      <c r="R6075" t="s">
        <v>11180</v>
      </c>
      <c r="S6075" t="s">
        <v>9094</v>
      </c>
      <c r="T6075" t="s">
        <v>11183</v>
      </c>
      <c r="U6075" t="s">
        <v>11201</v>
      </c>
      <c r="V6075" t="s">
        <v>556</v>
      </c>
      <c r="W6075">
        <v>2300</v>
      </c>
      <c r="X6075" t="s">
        <v>11335</v>
      </c>
      <c r="Y6075" t="s">
        <v>11339</v>
      </c>
      <c r="Z6075" t="s">
        <v>15124</v>
      </c>
      <c r="AB6075" t="s">
        <v>19417</v>
      </c>
      <c r="AC6075">
        <v>259</v>
      </c>
      <c r="AD6075" t="s">
        <v>19566</v>
      </c>
      <c r="AE6075" t="s">
        <v>9144</v>
      </c>
      <c r="AF6075">
        <v>5</v>
      </c>
      <c r="AG6075">
        <v>3</v>
      </c>
      <c r="AH6075">
        <v>0</v>
      </c>
      <c r="AI6075">
        <v>445.38</v>
      </c>
      <c r="AL6075" t="s">
        <v>19614</v>
      </c>
      <c r="AM6075">
        <v>95000</v>
      </c>
      <c r="AS6075">
        <v>2.75</v>
      </c>
      <c r="AT6075" t="s">
        <v>556</v>
      </c>
      <c r="AU6075" t="s">
        <v>20657</v>
      </c>
      <c r="AV6075" t="s">
        <v>20733</v>
      </c>
    </row>
    <row r="6076" spans="1:48">
      <c r="A6076" s="1">
        <f>HYPERLINK("https://lsnyc.legalserver.org/matter/dynamic-profile/view/1900712","19-1900712")</f>
        <v>0</v>
      </c>
      <c r="B6076" t="s">
        <v>76</v>
      </c>
      <c r="C6076" t="s">
        <v>256</v>
      </c>
      <c r="D6076" t="s">
        <v>338</v>
      </c>
      <c r="F6076" t="s">
        <v>1505</v>
      </c>
      <c r="G6076" t="s">
        <v>1362</v>
      </c>
      <c r="H6076" t="s">
        <v>7008</v>
      </c>
      <c r="I6076" t="s">
        <v>8798</v>
      </c>
      <c r="J6076" t="s">
        <v>9059</v>
      </c>
      <c r="K6076">
        <v>11213</v>
      </c>
      <c r="L6076" t="s">
        <v>9094</v>
      </c>
      <c r="M6076" t="s">
        <v>9095</v>
      </c>
      <c r="N6076" t="s">
        <v>9121</v>
      </c>
      <c r="O6076" t="s">
        <v>9121</v>
      </c>
      <c r="P6076" t="s">
        <v>11166</v>
      </c>
      <c r="R6076" t="s">
        <v>11180</v>
      </c>
      <c r="S6076" t="s">
        <v>9094</v>
      </c>
      <c r="T6076" t="s">
        <v>11183</v>
      </c>
      <c r="U6076" t="s">
        <v>11201</v>
      </c>
      <c r="V6076" t="s">
        <v>394</v>
      </c>
      <c r="W6076">
        <v>1197</v>
      </c>
      <c r="X6076" t="s">
        <v>11332</v>
      </c>
      <c r="Y6076" t="s">
        <v>11346</v>
      </c>
      <c r="Z6076" t="s">
        <v>15125</v>
      </c>
      <c r="AA6076" t="s">
        <v>9144</v>
      </c>
      <c r="AB6076" t="s">
        <v>19418</v>
      </c>
      <c r="AC6076">
        <v>34</v>
      </c>
      <c r="AD6076" t="s">
        <v>19566</v>
      </c>
      <c r="AE6076" t="s">
        <v>9144</v>
      </c>
      <c r="AF6076">
        <v>7</v>
      </c>
      <c r="AG6076">
        <v>3</v>
      </c>
      <c r="AH6076">
        <v>0</v>
      </c>
      <c r="AI6076">
        <v>445.62</v>
      </c>
      <c r="AL6076" t="s">
        <v>19614</v>
      </c>
      <c r="AM6076">
        <v>95050.08</v>
      </c>
      <c r="AN6076" t="s">
        <v>20238</v>
      </c>
      <c r="AS6076">
        <v>0</v>
      </c>
      <c r="AU6076" t="s">
        <v>95</v>
      </c>
      <c r="AV6076" t="s">
        <v>20733</v>
      </c>
    </row>
    <row r="6077" spans="1:48">
      <c r="A6077" s="1">
        <f>HYPERLINK("https://lsnyc.legalserver.org/matter/dynamic-profile/view/1890587","19-1890587")</f>
        <v>0</v>
      </c>
      <c r="B6077" t="s">
        <v>70</v>
      </c>
      <c r="C6077" t="s">
        <v>256</v>
      </c>
      <c r="D6077" t="s">
        <v>695</v>
      </c>
      <c r="F6077" t="s">
        <v>3258</v>
      </c>
      <c r="G6077" t="s">
        <v>4164</v>
      </c>
      <c r="H6077" t="s">
        <v>5749</v>
      </c>
      <c r="I6077" t="s">
        <v>9016</v>
      </c>
      <c r="J6077" t="s">
        <v>9059</v>
      </c>
      <c r="K6077">
        <v>11233</v>
      </c>
      <c r="L6077" t="s">
        <v>9094</v>
      </c>
      <c r="M6077" t="s">
        <v>9096</v>
      </c>
      <c r="N6077" t="s">
        <v>9146</v>
      </c>
      <c r="O6077" t="s">
        <v>11134</v>
      </c>
      <c r="P6077" t="s">
        <v>11168</v>
      </c>
      <c r="R6077" t="s">
        <v>11180</v>
      </c>
      <c r="S6077" t="s">
        <v>9094</v>
      </c>
      <c r="T6077" t="s">
        <v>11183</v>
      </c>
      <c r="U6077" t="s">
        <v>11201</v>
      </c>
      <c r="V6077" t="s">
        <v>482</v>
      </c>
      <c r="W6077">
        <v>1077</v>
      </c>
      <c r="X6077" t="s">
        <v>11332</v>
      </c>
      <c r="Y6077" t="s">
        <v>11342</v>
      </c>
      <c r="Z6077" t="s">
        <v>13922</v>
      </c>
      <c r="AC6077">
        <v>359</v>
      </c>
      <c r="AD6077" t="s">
        <v>19566</v>
      </c>
      <c r="AE6077" t="s">
        <v>9144</v>
      </c>
      <c r="AF6077">
        <v>12</v>
      </c>
      <c r="AG6077">
        <v>2</v>
      </c>
      <c r="AH6077">
        <v>2</v>
      </c>
      <c r="AI6077">
        <v>446.6</v>
      </c>
      <c r="AL6077" t="s">
        <v>19614</v>
      </c>
      <c r="AM6077">
        <v>115000</v>
      </c>
      <c r="AN6077" t="s">
        <v>20037</v>
      </c>
      <c r="AS6077">
        <v>0</v>
      </c>
      <c r="AU6077" t="s">
        <v>95</v>
      </c>
    </row>
    <row r="6078" spans="1:48">
      <c r="A6078" s="1">
        <f>HYPERLINK("https://lsnyc.legalserver.org/matter/dynamic-profile/view/1891610","19-1891610")</f>
        <v>0</v>
      </c>
      <c r="B6078" t="s">
        <v>70</v>
      </c>
      <c r="C6078" t="s">
        <v>256</v>
      </c>
      <c r="D6078" t="s">
        <v>788</v>
      </c>
      <c r="F6078" t="s">
        <v>3258</v>
      </c>
      <c r="G6078" t="s">
        <v>4164</v>
      </c>
      <c r="H6078" t="s">
        <v>5749</v>
      </c>
      <c r="I6078" t="s">
        <v>9016</v>
      </c>
      <c r="J6078" t="s">
        <v>9059</v>
      </c>
      <c r="K6078">
        <v>11233</v>
      </c>
      <c r="L6078" t="s">
        <v>9094</v>
      </c>
      <c r="M6078" t="s">
        <v>9096</v>
      </c>
      <c r="O6078" t="s">
        <v>11137</v>
      </c>
      <c r="P6078" t="s">
        <v>11167</v>
      </c>
      <c r="R6078" t="s">
        <v>11180</v>
      </c>
      <c r="S6078" t="s">
        <v>9094</v>
      </c>
      <c r="T6078" t="s">
        <v>11183</v>
      </c>
      <c r="U6078" t="s">
        <v>11201</v>
      </c>
      <c r="V6078" t="s">
        <v>749</v>
      </c>
      <c r="W6078">
        <v>1077</v>
      </c>
      <c r="X6078" t="s">
        <v>11332</v>
      </c>
      <c r="Y6078" t="s">
        <v>11342</v>
      </c>
      <c r="Z6078" t="s">
        <v>13922</v>
      </c>
      <c r="AC6078">
        <v>359</v>
      </c>
      <c r="AD6078" t="s">
        <v>19566</v>
      </c>
      <c r="AE6078" t="s">
        <v>9144</v>
      </c>
      <c r="AF6078">
        <v>12</v>
      </c>
      <c r="AG6078">
        <v>2</v>
      </c>
      <c r="AH6078">
        <v>2</v>
      </c>
      <c r="AI6078">
        <v>446.6</v>
      </c>
      <c r="AL6078" t="s">
        <v>19614</v>
      </c>
      <c r="AM6078">
        <v>115000</v>
      </c>
      <c r="AN6078" t="s">
        <v>20239</v>
      </c>
      <c r="AS6078">
        <v>0</v>
      </c>
      <c r="AU6078" t="s">
        <v>79</v>
      </c>
    </row>
    <row r="6079" spans="1:48">
      <c r="A6079" s="1">
        <f>HYPERLINK("https://lsnyc.legalserver.org/matter/dynamic-profile/view/1847293","17-1847293")</f>
        <v>0</v>
      </c>
      <c r="B6079" t="s">
        <v>136</v>
      </c>
      <c r="C6079" t="s">
        <v>257</v>
      </c>
      <c r="D6079" t="s">
        <v>942</v>
      </c>
      <c r="E6079" t="s">
        <v>377</v>
      </c>
      <c r="F6079" t="s">
        <v>2771</v>
      </c>
      <c r="G6079" t="s">
        <v>5584</v>
      </c>
      <c r="H6079" t="s">
        <v>8001</v>
      </c>
      <c r="I6079">
        <v>65</v>
      </c>
      <c r="J6079" t="s">
        <v>9067</v>
      </c>
      <c r="K6079">
        <v>10040</v>
      </c>
      <c r="L6079" t="s">
        <v>9094</v>
      </c>
      <c r="M6079" t="s">
        <v>9095</v>
      </c>
      <c r="N6079" t="s">
        <v>11110</v>
      </c>
      <c r="O6079" t="s">
        <v>11130</v>
      </c>
      <c r="P6079" t="s">
        <v>11167</v>
      </c>
      <c r="Q6079" t="s">
        <v>11172</v>
      </c>
      <c r="R6079" t="s">
        <v>11180</v>
      </c>
      <c r="S6079" t="s">
        <v>9094</v>
      </c>
      <c r="T6079" t="s">
        <v>11183</v>
      </c>
      <c r="V6079" t="s">
        <v>942</v>
      </c>
      <c r="W6079">
        <v>1850</v>
      </c>
      <c r="X6079" t="s">
        <v>11335</v>
      </c>
      <c r="Y6079" t="s">
        <v>11338</v>
      </c>
      <c r="Z6079" t="s">
        <v>15126</v>
      </c>
      <c r="AB6079" t="s">
        <v>19419</v>
      </c>
      <c r="AC6079">
        <v>45</v>
      </c>
      <c r="AD6079" t="s">
        <v>19566</v>
      </c>
      <c r="AE6079" t="s">
        <v>9144</v>
      </c>
      <c r="AF6079">
        <v>1</v>
      </c>
      <c r="AG6079">
        <v>2</v>
      </c>
      <c r="AH6079">
        <v>2</v>
      </c>
      <c r="AI6079">
        <v>447.15</v>
      </c>
      <c r="AJ6079" t="s">
        <v>527</v>
      </c>
      <c r="AL6079" t="s">
        <v>19614</v>
      </c>
      <c r="AM6079">
        <v>220000</v>
      </c>
      <c r="AS6079">
        <v>0.4</v>
      </c>
      <c r="AT6079" t="s">
        <v>942</v>
      </c>
      <c r="AU6079" t="s">
        <v>130</v>
      </c>
    </row>
    <row r="6080" spans="1:48">
      <c r="A6080" s="1">
        <f>HYPERLINK("https://lsnyc.legalserver.org/matter/dynamic-profile/view/1838642","17-1838642")</f>
        <v>0</v>
      </c>
      <c r="B6080" t="s">
        <v>139</v>
      </c>
      <c r="C6080" t="s">
        <v>256</v>
      </c>
      <c r="D6080" t="s">
        <v>406</v>
      </c>
      <c r="F6080" t="s">
        <v>1788</v>
      </c>
      <c r="G6080" t="s">
        <v>3986</v>
      </c>
      <c r="H6080" t="s">
        <v>8079</v>
      </c>
      <c r="I6080" t="s">
        <v>8170</v>
      </c>
      <c r="J6080" t="s">
        <v>9067</v>
      </c>
      <c r="K6080">
        <v>10034</v>
      </c>
      <c r="L6080" t="s">
        <v>9094</v>
      </c>
      <c r="M6080" t="s">
        <v>9095</v>
      </c>
      <c r="O6080" t="s">
        <v>11130</v>
      </c>
      <c r="P6080" t="s">
        <v>11165</v>
      </c>
      <c r="R6080" t="s">
        <v>11180</v>
      </c>
      <c r="S6080" t="s">
        <v>9094</v>
      </c>
      <c r="T6080" t="s">
        <v>11183</v>
      </c>
      <c r="V6080" t="s">
        <v>406</v>
      </c>
      <c r="W6080">
        <v>949</v>
      </c>
      <c r="X6080" t="s">
        <v>11335</v>
      </c>
      <c r="Y6080" t="s">
        <v>11339</v>
      </c>
      <c r="Z6080" t="s">
        <v>15127</v>
      </c>
      <c r="AB6080" t="s">
        <v>19420</v>
      </c>
      <c r="AC6080">
        <v>0</v>
      </c>
      <c r="AD6080" t="s">
        <v>19566</v>
      </c>
      <c r="AE6080" t="s">
        <v>9144</v>
      </c>
      <c r="AF6080">
        <v>15</v>
      </c>
      <c r="AG6080">
        <v>3</v>
      </c>
      <c r="AH6080">
        <v>1</v>
      </c>
      <c r="AI6080">
        <v>447.15</v>
      </c>
      <c r="AL6080" t="s">
        <v>19615</v>
      </c>
      <c r="AM6080">
        <v>110000</v>
      </c>
      <c r="AS6080">
        <v>0.45</v>
      </c>
      <c r="AT6080" t="s">
        <v>746</v>
      </c>
      <c r="AU6080" t="s">
        <v>20657</v>
      </c>
    </row>
    <row r="6081" spans="1:48">
      <c r="A6081" s="1">
        <f>HYPERLINK("https://lsnyc.legalserver.org/matter/dynamic-profile/view/1915221","19-1915221")</f>
        <v>0</v>
      </c>
      <c r="B6081" t="s">
        <v>52</v>
      </c>
      <c r="C6081" t="s">
        <v>256</v>
      </c>
      <c r="D6081" t="s">
        <v>321</v>
      </c>
      <c r="F6081" t="s">
        <v>1247</v>
      </c>
      <c r="G6081" t="s">
        <v>3332</v>
      </c>
      <c r="H6081" t="s">
        <v>5692</v>
      </c>
      <c r="I6081" t="s">
        <v>8169</v>
      </c>
      <c r="J6081" t="s">
        <v>9038</v>
      </c>
      <c r="K6081">
        <v>11691</v>
      </c>
      <c r="L6081" t="s">
        <v>9094</v>
      </c>
      <c r="M6081" t="s">
        <v>9095</v>
      </c>
      <c r="O6081" t="s">
        <v>11129</v>
      </c>
      <c r="P6081" t="s">
        <v>11165</v>
      </c>
      <c r="R6081" t="s">
        <v>11180</v>
      </c>
      <c r="S6081" t="s">
        <v>9096</v>
      </c>
      <c r="T6081" t="s">
        <v>11183</v>
      </c>
      <c r="V6081" t="s">
        <v>321</v>
      </c>
      <c r="W6081">
        <v>660</v>
      </c>
      <c r="X6081" t="s">
        <v>11331</v>
      </c>
      <c r="Y6081" t="s">
        <v>11339</v>
      </c>
      <c r="Z6081" t="s">
        <v>14993</v>
      </c>
      <c r="AB6081" t="s">
        <v>15274</v>
      </c>
      <c r="AC6081">
        <v>48</v>
      </c>
      <c r="AD6081" t="s">
        <v>19566</v>
      </c>
      <c r="AE6081" t="s">
        <v>9144</v>
      </c>
      <c r="AF6081">
        <v>10</v>
      </c>
      <c r="AG6081">
        <v>3</v>
      </c>
      <c r="AH6081">
        <v>0</v>
      </c>
      <c r="AI6081">
        <v>448.2</v>
      </c>
      <c r="AL6081" t="s">
        <v>19614</v>
      </c>
      <c r="AM6081">
        <v>95600</v>
      </c>
      <c r="AS6081">
        <v>0.5</v>
      </c>
      <c r="AT6081" t="s">
        <v>321</v>
      </c>
      <c r="AU6081" t="s">
        <v>20620</v>
      </c>
      <c r="AV6081" t="s">
        <v>20733</v>
      </c>
    </row>
    <row r="6082" spans="1:48">
      <c r="A6082" s="1">
        <f>HYPERLINK("https://lsnyc.legalserver.org/matter/dynamic-profile/view/1889094","19-1889094")</f>
        <v>0</v>
      </c>
      <c r="B6082" t="s">
        <v>65</v>
      </c>
      <c r="C6082" t="s">
        <v>256</v>
      </c>
      <c r="D6082" t="s">
        <v>602</v>
      </c>
      <c r="F6082" t="s">
        <v>1532</v>
      </c>
      <c r="G6082" t="s">
        <v>4009</v>
      </c>
      <c r="H6082" t="s">
        <v>5774</v>
      </c>
      <c r="I6082" t="s">
        <v>8218</v>
      </c>
      <c r="J6082" t="s">
        <v>9059</v>
      </c>
      <c r="K6082">
        <v>11226</v>
      </c>
      <c r="L6082" t="s">
        <v>9096</v>
      </c>
      <c r="M6082" t="s">
        <v>9095</v>
      </c>
      <c r="O6082" t="s">
        <v>11134</v>
      </c>
      <c r="P6082" t="s">
        <v>11168</v>
      </c>
      <c r="R6082" t="s">
        <v>11180</v>
      </c>
      <c r="S6082" t="s">
        <v>9094</v>
      </c>
      <c r="T6082" t="s">
        <v>11183</v>
      </c>
      <c r="V6082" t="s">
        <v>848</v>
      </c>
      <c r="W6082">
        <v>838</v>
      </c>
      <c r="X6082" t="s">
        <v>11332</v>
      </c>
      <c r="Z6082" t="s">
        <v>15128</v>
      </c>
      <c r="AB6082" t="s">
        <v>19421</v>
      </c>
      <c r="AC6082">
        <v>0</v>
      </c>
      <c r="AD6082" t="s">
        <v>19566</v>
      </c>
      <c r="AF6082">
        <v>26</v>
      </c>
      <c r="AG6082">
        <v>1</v>
      </c>
      <c r="AH6082">
        <v>0</v>
      </c>
      <c r="AI6082">
        <v>448.36</v>
      </c>
      <c r="AL6082" t="s">
        <v>19614</v>
      </c>
      <c r="AM6082">
        <v>56000</v>
      </c>
      <c r="AS6082">
        <v>0.3</v>
      </c>
      <c r="AT6082" t="s">
        <v>288</v>
      </c>
      <c r="AU6082" t="s">
        <v>215</v>
      </c>
    </row>
    <row r="6083" spans="1:48">
      <c r="A6083" s="1">
        <f>HYPERLINK("https://lsnyc.legalserver.org/matter/dynamic-profile/view/1889260","19-1889260")</f>
        <v>0</v>
      </c>
      <c r="B6083" t="s">
        <v>66</v>
      </c>
      <c r="C6083" t="s">
        <v>256</v>
      </c>
      <c r="D6083" t="s">
        <v>602</v>
      </c>
      <c r="F6083" t="s">
        <v>1532</v>
      </c>
      <c r="G6083" t="s">
        <v>4009</v>
      </c>
      <c r="H6083" t="s">
        <v>5774</v>
      </c>
      <c r="I6083" t="s">
        <v>8218</v>
      </c>
      <c r="J6083" t="s">
        <v>9059</v>
      </c>
      <c r="K6083">
        <v>11226</v>
      </c>
      <c r="L6083" t="s">
        <v>9096</v>
      </c>
      <c r="M6083" t="s">
        <v>9096</v>
      </c>
      <c r="P6083" t="s">
        <v>11166</v>
      </c>
      <c r="R6083" t="s">
        <v>11180</v>
      </c>
      <c r="T6083" t="s">
        <v>11183</v>
      </c>
      <c r="V6083" t="s">
        <v>402</v>
      </c>
      <c r="W6083">
        <v>838</v>
      </c>
      <c r="X6083" t="s">
        <v>11332</v>
      </c>
      <c r="Z6083" t="s">
        <v>15128</v>
      </c>
      <c r="AB6083" t="s">
        <v>19421</v>
      </c>
      <c r="AC6083">
        <v>0</v>
      </c>
      <c r="AF6083">
        <v>26</v>
      </c>
      <c r="AG6083">
        <v>1</v>
      </c>
      <c r="AH6083">
        <v>0</v>
      </c>
      <c r="AI6083">
        <v>448.36</v>
      </c>
      <c r="AL6083" t="s">
        <v>19614</v>
      </c>
      <c r="AM6083">
        <v>56000</v>
      </c>
      <c r="AS6083">
        <v>0</v>
      </c>
      <c r="AU6083" t="s">
        <v>215</v>
      </c>
    </row>
    <row r="6084" spans="1:48">
      <c r="A6084" s="1">
        <f>HYPERLINK("https://lsnyc.legalserver.org/matter/dynamic-profile/view/1900809","19-1900809")</f>
        <v>0</v>
      </c>
      <c r="B6084" t="s">
        <v>76</v>
      </c>
      <c r="C6084" t="s">
        <v>256</v>
      </c>
      <c r="D6084" t="s">
        <v>315</v>
      </c>
      <c r="F6084" t="s">
        <v>3259</v>
      </c>
      <c r="G6084" t="s">
        <v>4164</v>
      </c>
      <c r="H6084" t="s">
        <v>7008</v>
      </c>
      <c r="I6084" t="s">
        <v>8154</v>
      </c>
      <c r="J6084" t="s">
        <v>9059</v>
      </c>
      <c r="K6084">
        <v>11213</v>
      </c>
      <c r="L6084" t="s">
        <v>9094</v>
      </c>
      <c r="M6084" t="s">
        <v>9095</v>
      </c>
      <c r="N6084" t="s">
        <v>9121</v>
      </c>
      <c r="O6084" t="s">
        <v>9121</v>
      </c>
      <c r="P6084" t="s">
        <v>11166</v>
      </c>
      <c r="R6084" t="s">
        <v>11180</v>
      </c>
      <c r="S6084" t="s">
        <v>9094</v>
      </c>
      <c r="T6084" t="s">
        <v>11183</v>
      </c>
      <c r="U6084" t="s">
        <v>11201</v>
      </c>
      <c r="V6084" t="s">
        <v>394</v>
      </c>
      <c r="W6084">
        <v>0</v>
      </c>
      <c r="X6084" t="s">
        <v>11332</v>
      </c>
      <c r="Y6084" t="s">
        <v>11346</v>
      </c>
      <c r="Z6084" t="s">
        <v>15129</v>
      </c>
      <c r="AA6084" t="s">
        <v>9144</v>
      </c>
      <c r="AB6084" t="s">
        <v>19422</v>
      </c>
      <c r="AC6084">
        <v>34</v>
      </c>
      <c r="AD6084" t="s">
        <v>19566</v>
      </c>
      <c r="AE6084" t="s">
        <v>9144</v>
      </c>
      <c r="AF6084">
        <v>0</v>
      </c>
      <c r="AG6084">
        <v>1</v>
      </c>
      <c r="AH6084">
        <v>0</v>
      </c>
      <c r="AI6084">
        <v>448.36</v>
      </c>
      <c r="AL6084" t="s">
        <v>19614</v>
      </c>
      <c r="AM6084">
        <v>56000</v>
      </c>
      <c r="AN6084" t="s">
        <v>20240</v>
      </c>
      <c r="AS6084">
        <v>0</v>
      </c>
      <c r="AU6084" t="s">
        <v>95</v>
      </c>
      <c r="AV6084" t="s">
        <v>20733</v>
      </c>
    </row>
    <row r="6085" spans="1:48">
      <c r="A6085" s="1">
        <f>HYPERLINK("https://lsnyc.legalserver.org/matter/dynamic-profile/view/1890994","19-1890994")</f>
        <v>0</v>
      </c>
      <c r="B6085" t="s">
        <v>101</v>
      </c>
      <c r="C6085" t="s">
        <v>256</v>
      </c>
      <c r="D6085" t="s">
        <v>554</v>
      </c>
      <c r="F6085" t="s">
        <v>1567</v>
      </c>
      <c r="G6085" t="s">
        <v>5585</v>
      </c>
      <c r="H6085" t="s">
        <v>8080</v>
      </c>
      <c r="I6085" t="s">
        <v>8132</v>
      </c>
      <c r="J6085" t="s">
        <v>9065</v>
      </c>
      <c r="K6085">
        <v>10467</v>
      </c>
      <c r="L6085" t="s">
        <v>9094</v>
      </c>
      <c r="M6085" t="s">
        <v>9094</v>
      </c>
      <c r="O6085" t="s">
        <v>9121</v>
      </c>
      <c r="P6085" t="s">
        <v>11164</v>
      </c>
      <c r="R6085" t="s">
        <v>11180</v>
      </c>
      <c r="S6085" t="s">
        <v>9096</v>
      </c>
      <c r="T6085" t="s">
        <v>11183</v>
      </c>
      <c r="V6085" t="s">
        <v>554</v>
      </c>
      <c r="W6085">
        <v>1164.51</v>
      </c>
      <c r="X6085" t="s">
        <v>11333</v>
      </c>
      <c r="Y6085" t="s">
        <v>11346</v>
      </c>
      <c r="Z6085" t="s">
        <v>15130</v>
      </c>
      <c r="AC6085">
        <v>40</v>
      </c>
      <c r="AD6085" t="s">
        <v>19566</v>
      </c>
      <c r="AE6085" t="s">
        <v>9144</v>
      </c>
      <c r="AF6085">
        <v>13</v>
      </c>
      <c r="AG6085">
        <v>1</v>
      </c>
      <c r="AH6085">
        <v>0</v>
      </c>
      <c r="AI6085">
        <v>448.36</v>
      </c>
      <c r="AL6085" t="s">
        <v>19614</v>
      </c>
      <c r="AM6085">
        <v>56000</v>
      </c>
      <c r="AS6085">
        <v>4.4</v>
      </c>
      <c r="AT6085" t="s">
        <v>337</v>
      </c>
      <c r="AU6085" t="s">
        <v>99</v>
      </c>
    </row>
    <row r="6086" spans="1:48">
      <c r="A6086" s="1">
        <f>HYPERLINK("https://lsnyc.legalserver.org/matter/dynamic-profile/view/1892403","19-1892403")</f>
        <v>0</v>
      </c>
      <c r="B6086" t="s">
        <v>103</v>
      </c>
      <c r="C6086" t="s">
        <v>256</v>
      </c>
      <c r="D6086" t="s">
        <v>635</v>
      </c>
      <c r="F6086" t="s">
        <v>2091</v>
      </c>
      <c r="G6086" t="s">
        <v>2681</v>
      </c>
      <c r="H6086" t="s">
        <v>5887</v>
      </c>
      <c r="I6086" t="s">
        <v>9017</v>
      </c>
      <c r="J6086" t="s">
        <v>9065</v>
      </c>
      <c r="K6086">
        <v>10453</v>
      </c>
      <c r="L6086" t="s">
        <v>9094</v>
      </c>
      <c r="M6086" t="s">
        <v>9094</v>
      </c>
      <c r="O6086" t="s">
        <v>11134</v>
      </c>
      <c r="P6086" t="s">
        <v>11168</v>
      </c>
      <c r="R6086" t="s">
        <v>11180</v>
      </c>
      <c r="S6086" t="s">
        <v>9094</v>
      </c>
      <c r="T6086" t="s">
        <v>11183</v>
      </c>
      <c r="V6086" t="s">
        <v>512</v>
      </c>
      <c r="W6086">
        <v>1219.13</v>
      </c>
      <c r="X6086" t="s">
        <v>11333</v>
      </c>
      <c r="Y6086" t="s">
        <v>11339</v>
      </c>
      <c r="Z6086" t="s">
        <v>15131</v>
      </c>
      <c r="AC6086">
        <v>170</v>
      </c>
      <c r="AD6086" t="s">
        <v>19566</v>
      </c>
      <c r="AE6086" t="s">
        <v>9144</v>
      </c>
      <c r="AF6086">
        <v>15</v>
      </c>
      <c r="AG6086">
        <v>2</v>
      </c>
      <c r="AH6086">
        <v>0</v>
      </c>
      <c r="AI6086">
        <v>449.44</v>
      </c>
      <c r="AL6086" t="s">
        <v>19615</v>
      </c>
      <c r="AM6086">
        <v>76000</v>
      </c>
      <c r="AS6086">
        <v>0</v>
      </c>
      <c r="AU6086" t="s">
        <v>220</v>
      </c>
    </row>
    <row r="6087" spans="1:48">
      <c r="A6087" s="1">
        <f>HYPERLINK("https://lsnyc.legalserver.org/matter/dynamic-profile/view/1891975","19-1891975")</f>
        <v>0</v>
      </c>
      <c r="B6087" t="s">
        <v>103</v>
      </c>
      <c r="C6087" t="s">
        <v>256</v>
      </c>
      <c r="D6087" t="s">
        <v>868</v>
      </c>
      <c r="F6087" t="s">
        <v>2091</v>
      </c>
      <c r="G6087" t="s">
        <v>2681</v>
      </c>
      <c r="H6087" t="s">
        <v>5887</v>
      </c>
      <c r="I6087" t="s">
        <v>9017</v>
      </c>
      <c r="J6087" t="s">
        <v>9065</v>
      </c>
      <c r="K6087">
        <v>10453</v>
      </c>
      <c r="L6087" t="s">
        <v>9094</v>
      </c>
      <c r="M6087" t="s">
        <v>9094</v>
      </c>
      <c r="N6087" t="s">
        <v>9352</v>
      </c>
      <c r="O6087" t="s">
        <v>11130</v>
      </c>
      <c r="P6087" t="s">
        <v>11165</v>
      </c>
      <c r="R6087" t="s">
        <v>11180</v>
      </c>
      <c r="S6087" t="s">
        <v>9094</v>
      </c>
      <c r="T6087" t="s">
        <v>11183</v>
      </c>
      <c r="V6087" t="s">
        <v>512</v>
      </c>
      <c r="W6087">
        <v>1219.13</v>
      </c>
      <c r="X6087" t="s">
        <v>11333</v>
      </c>
      <c r="Y6087" t="s">
        <v>11339</v>
      </c>
      <c r="Z6087" t="s">
        <v>15131</v>
      </c>
      <c r="AC6087">
        <v>170</v>
      </c>
      <c r="AD6087" t="s">
        <v>19566</v>
      </c>
      <c r="AE6087" t="s">
        <v>9144</v>
      </c>
      <c r="AF6087">
        <v>15</v>
      </c>
      <c r="AG6087">
        <v>2</v>
      </c>
      <c r="AH6087">
        <v>0</v>
      </c>
      <c r="AI6087">
        <v>449.44</v>
      </c>
      <c r="AL6087" t="s">
        <v>19615</v>
      </c>
      <c r="AM6087">
        <v>76000</v>
      </c>
      <c r="AS6087">
        <v>0</v>
      </c>
      <c r="AU6087" t="s">
        <v>220</v>
      </c>
    </row>
    <row r="6088" spans="1:48">
      <c r="A6088" s="1">
        <f>HYPERLINK("https://lsnyc.legalserver.org/matter/dynamic-profile/view/1904456","19-1904456")</f>
        <v>0</v>
      </c>
      <c r="B6088" t="s">
        <v>103</v>
      </c>
      <c r="C6088" t="s">
        <v>256</v>
      </c>
      <c r="D6088" t="s">
        <v>736</v>
      </c>
      <c r="F6088" t="s">
        <v>2091</v>
      </c>
      <c r="G6088" t="s">
        <v>2681</v>
      </c>
      <c r="H6088" t="s">
        <v>5887</v>
      </c>
      <c r="I6088" t="s">
        <v>9017</v>
      </c>
      <c r="J6088" t="s">
        <v>9065</v>
      </c>
      <c r="K6088">
        <v>10453</v>
      </c>
      <c r="L6088" t="s">
        <v>9094</v>
      </c>
      <c r="M6088" t="s">
        <v>9095</v>
      </c>
      <c r="N6088" t="s">
        <v>11111</v>
      </c>
      <c r="O6088" t="s">
        <v>11156</v>
      </c>
      <c r="P6088" t="s">
        <v>11168</v>
      </c>
      <c r="R6088" t="s">
        <v>11180</v>
      </c>
      <c r="S6088" t="s">
        <v>9096</v>
      </c>
      <c r="T6088" t="s">
        <v>11183</v>
      </c>
      <c r="U6088" t="s">
        <v>11201</v>
      </c>
      <c r="V6088" t="s">
        <v>11218</v>
      </c>
      <c r="W6088">
        <v>1219.13</v>
      </c>
      <c r="X6088" t="s">
        <v>11333</v>
      </c>
      <c r="Y6088" t="s">
        <v>11339</v>
      </c>
      <c r="Z6088" t="s">
        <v>15131</v>
      </c>
      <c r="AC6088">
        <v>170</v>
      </c>
      <c r="AD6088" t="s">
        <v>19566</v>
      </c>
      <c r="AF6088">
        <v>15</v>
      </c>
      <c r="AG6088">
        <v>2</v>
      </c>
      <c r="AH6088">
        <v>0</v>
      </c>
      <c r="AI6088">
        <v>449.44</v>
      </c>
      <c r="AL6088" t="s">
        <v>19615</v>
      </c>
      <c r="AM6088">
        <v>76000</v>
      </c>
      <c r="AS6088">
        <v>17.1</v>
      </c>
      <c r="AT6088" t="s">
        <v>864</v>
      </c>
      <c r="AU6088" t="s">
        <v>220</v>
      </c>
      <c r="AV6088" t="s">
        <v>20733</v>
      </c>
    </row>
    <row r="6089" spans="1:48">
      <c r="A6089" s="1">
        <f>HYPERLINK("https://lsnyc.legalserver.org/matter/dynamic-profile/view/1876927","18-1876927")</f>
        <v>0</v>
      </c>
      <c r="B6089" t="s">
        <v>165</v>
      </c>
      <c r="C6089" t="s">
        <v>256</v>
      </c>
      <c r="D6089" t="s">
        <v>803</v>
      </c>
      <c r="F6089" t="s">
        <v>1150</v>
      </c>
      <c r="G6089" t="s">
        <v>5586</v>
      </c>
      <c r="H6089" t="s">
        <v>6934</v>
      </c>
      <c r="I6089" t="s">
        <v>8745</v>
      </c>
      <c r="J6089" t="s">
        <v>9059</v>
      </c>
      <c r="K6089">
        <v>11216</v>
      </c>
      <c r="L6089" t="s">
        <v>9094</v>
      </c>
      <c r="M6089" t="s">
        <v>9094</v>
      </c>
      <c r="N6089" t="s">
        <v>10050</v>
      </c>
      <c r="O6089" t="s">
        <v>11132</v>
      </c>
      <c r="P6089" t="s">
        <v>11165</v>
      </c>
      <c r="R6089" t="s">
        <v>11180</v>
      </c>
      <c r="S6089" t="s">
        <v>9094</v>
      </c>
      <c r="T6089" t="s">
        <v>11183</v>
      </c>
      <c r="V6089" t="s">
        <v>547</v>
      </c>
      <c r="W6089">
        <v>1450</v>
      </c>
      <c r="X6089" t="s">
        <v>11332</v>
      </c>
      <c r="Y6089" t="s">
        <v>11339</v>
      </c>
      <c r="Z6089" t="s">
        <v>15132</v>
      </c>
      <c r="AC6089">
        <v>82</v>
      </c>
      <c r="AD6089" t="s">
        <v>19566</v>
      </c>
      <c r="AE6089" t="s">
        <v>9144</v>
      </c>
      <c r="AF6089">
        <v>1</v>
      </c>
      <c r="AG6089">
        <v>1</v>
      </c>
      <c r="AH6089">
        <v>0</v>
      </c>
      <c r="AI6089">
        <v>453.05</v>
      </c>
      <c r="AJ6089" t="s">
        <v>440</v>
      </c>
      <c r="AK6089" t="s">
        <v>19612</v>
      </c>
      <c r="AL6089" t="s">
        <v>19614</v>
      </c>
      <c r="AM6089">
        <v>55000</v>
      </c>
      <c r="AN6089" t="s">
        <v>20241</v>
      </c>
      <c r="AS6089">
        <v>0</v>
      </c>
      <c r="AU6089" t="s">
        <v>95</v>
      </c>
    </row>
    <row r="6090" spans="1:48">
      <c r="A6090" s="1">
        <f>HYPERLINK("https://lsnyc.legalserver.org/matter/dynamic-profile/view/1876925","18-1876925")</f>
        <v>0</v>
      </c>
      <c r="B6090" t="s">
        <v>165</v>
      </c>
      <c r="C6090" t="s">
        <v>256</v>
      </c>
      <c r="D6090" t="s">
        <v>803</v>
      </c>
      <c r="F6090" t="s">
        <v>1150</v>
      </c>
      <c r="G6090" t="s">
        <v>5586</v>
      </c>
      <c r="H6090" t="s">
        <v>6934</v>
      </c>
      <c r="I6090" t="s">
        <v>8745</v>
      </c>
      <c r="J6090" t="s">
        <v>9059</v>
      </c>
      <c r="K6090">
        <v>11216</v>
      </c>
      <c r="L6090" t="s">
        <v>9094</v>
      </c>
      <c r="M6090" t="s">
        <v>9094</v>
      </c>
      <c r="O6090" t="s">
        <v>9121</v>
      </c>
      <c r="P6090" t="s">
        <v>11167</v>
      </c>
      <c r="R6090" t="s">
        <v>11180</v>
      </c>
      <c r="S6090" t="s">
        <v>9094</v>
      </c>
      <c r="T6090" t="s">
        <v>11183</v>
      </c>
      <c r="V6090" t="s">
        <v>547</v>
      </c>
      <c r="W6090">
        <v>1450</v>
      </c>
      <c r="X6090" t="s">
        <v>11332</v>
      </c>
      <c r="Y6090" t="s">
        <v>11339</v>
      </c>
      <c r="Z6090" t="s">
        <v>15132</v>
      </c>
      <c r="AC6090">
        <v>82</v>
      </c>
      <c r="AD6090" t="s">
        <v>19566</v>
      </c>
      <c r="AE6090" t="s">
        <v>9144</v>
      </c>
      <c r="AF6090">
        <v>1</v>
      </c>
      <c r="AG6090">
        <v>1</v>
      </c>
      <c r="AH6090">
        <v>0</v>
      </c>
      <c r="AI6090">
        <v>453.05</v>
      </c>
      <c r="AJ6090" t="s">
        <v>440</v>
      </c>
      <c r="AK6090" t="s">
        <v>19612</v>
      </c>
      <c r="AL6090" t="s">
        <v>19614</v>
      </c>
      <c r="AM6090">
        <v>55000</v>
      </c>
      <c r="AN6090" t="s">
        <v>19665</v>
      </c>
      <c r="AS6090">
        <v>0</v>
      </c>
      <c r="AU6090" t="s">
        <v>95</v>
      </c>
    </row>
    <row r="6091" spans="1:48">
      <c r="A6091" s="1">
        <f>HYPERLINK("https://lsnyc.legalserver.org/matter/dynamic-profile/view/1864874","18-1864874")</f>
        <v>0</v>
      </c>
      <c r="B6091" t="s">
        <v>136</v>
      </c>
      <c r="C6091" t="s">
        <v>256</v>
      </c>
      <c r="D6091" t="s">
        <v>525</v>
      </c>
      <c r="F6091" t="s">
        <v>3260</v>
      </c>
      <c r="G6091" t="s">
        <v>5587</v>
      </c>
      <c r="H6091" t="s">
        <v>6379</v>
      </c>
      <c r="I6091" t="s">
        <v>8189</v>
      </c>
      <c r="J6091" t="s">
        <v>9067</v>
      </c>
      <c r="K6091">
        <v>10031</v>
      </c>
      <c r="L6091" t="s">
        <v>9094</v>
      </c>
      <c r="M6091" t="s">
        <v>9095</v>
      </c>
      <c r="O6091" t="s">
        <v>9121</v>
      </c>
      <c r="P6091" t="s">
        <v>11167</v>
      </c>
      <c r="R6091" t="s">
        <v>11180</v>
      </c>
      <c r="S6091" t="s">
        <v>9094</v>
      </c>
      <c r="T6091" t="s">
        <v>11183</v>
      </c>
      <c r="V6091" t="s">
        <v>525</v>
      </c>
      <c r="W6091">
        <v>1600</v>
      </c>
      <c r="X6091" t="s">
        <v>11335</v>
      </c>
      <c r="Y6091" t="s">
        <v>11339</v>
      </c>
      <c r="Z6091" t="s">
        <v>15133</v>
      </c>
      <c r="AB6091" t="s">
        <v>19423</v>
      </c>
      <c r="AC6091">
        <v>48</v>
      </c>
      <c r="AD6091" t="s">
        <v>15441</v>
      </c>
      <c r="AE6091" t="s">
        <v>9144</v>
      </c>
      <c r="AF6091">
        <v>1</v>
      </c>
      <c r="AG6091">
        <v>1</v>
      </c>
      <c r="AH6091">
        <v>0</v>
      </c>
      <c r="AI6091">
        <v>453.05</v>
      </c>
      <c r="AL6091" t="s">
        <v>19614</v>
      </c>
      <c r="AM6091">
        <v>55000</v>
      </c>
      <c r="AS6091">
        <v>2.75</v>
      </c>
      <c r="AT6091" t="s">
        <v>452</v>
      </c>
      <c r="AU6091" t="s">
        <v>20657</v>
      </c>
      <c r="AV6091" t="s">
        <v>20733</v>
      </c>
    </row>
    <row r="6092" spans="1:48">
      <c r="A6092" s="1">
        <f>HYPERLINK("https://lsnyc.legalserver.org/matter/dynamic-profile/view/1904774","19-1904774")</f>
        <v>0</v>
      </c>
      <c r="B6092" t="s">
        <v>111</v>
      </c>
      <c r="C6092" t="s">
        <v>256</v>
      </c>
      <c r="D6092" t="s">
        <v>748</v>
      </c>
      <c r="F6092" t="s">
        <v>3261</v>
      </c>
      <c r="G6092" t="s">
        <v>5588</v>
      </c>
      <c r="H6092" t="s">
        <v>7586</v>
      </c>
      <c r="I6092" t="s">
        <v>8134</v>
      </c>
      <c r="J6092" t="s">
        <v>9065</v>
      </c>
      <c r="K6092">
        <v>10456</v>
      </c>
      <c r="L6092" t="s">
        <v>9094</v>
      </c>
      <c r="M6092" t="s">
        <v>9095</v>
      </c>
      <c r="P6092" t="s">
        <v>11167</v>
      </c>
      <c r="R6092" t="s">
        <v>11180</v>
      </c>
      <c r="S6092" t="s">
        <v>9096</v>
      </c>
      <c r="T6092" t="s">
        <v>11183</v>
      </c>
      <c r="V6092" t="s">
        <v>11207</v>
      </c>
      <c r="W6092">
        <v>982.92</v>
      </c>
      <c r="X6092" t="s">
        <v>11333</v>
      </c>
      <c r="Y6092" t="s">
        <v>11346</v>
      </c>
      <c r="Z6092" t="s">
        <v>15134</v>
      </c>
      <c r="AB6092" t="s">
        <v>19424</v>
      </c>
      <c r="AC6092">
        <v>56</v>
      </c>
      <c r="AE6092" t="s">
        <v>9144</v>
      </c>
      <c r="AF6092">
        <v>48</v>
      </c>
      <c r="AG6092">
        <v>2</v>
      </c>
      <c r="AH6092">
        <v>0</v>
      </c>
      <c r="AI6092">
        <v>454.17</v>
      </c>
      <c r="AM6092">
        <v>76800</v>
      </c>
      <c r="AS6092">
        <v>1.4</v>
      </c>
      <c r="AT6092" t="s">
        <v>288</v>
      </c>
      <c r="AU6092" t="s">
        <v>20642</v>
      </c>
      <c r="AV6092" t="s">
        <v>20733</v>
      </c>
    </row>
    <row r="6093" spans="1:48">
      <c r="A6093" s="1">
        <f>HYPERLINK("https://lsnyc.legalserver.org/matter/dynamic-profile/view/1893258","19-1893258")</f>
        <v>0</v>
      </c>
      <c r="B6093" t="s">
        <v>70</v>
      </c>
      <c r="C6093" t="s">
        <v>256</v>
      </c>
      <c r="D6093" t="s">
        <v>719</v>
      </c>
      <c r="F6093" t="s">
        <v>3262</v>
      </c>
      <c r="G6093" t="s">
        <v>3398</v>
      </c>
      <c r="H6093" t="s">
        <v>5749</v>
      </c>
      <c r="I6093" t="s">
        <v>8229</v>
      </c>
      <c r="J6093" t="s">
        <v>9059</v>
      </c>
      <c r="K6093">
        <v>11233</v>
      </c>
      <c r="L6093" t="s">
        <v>9094</v>
      </c>
      <c r="M6093" t="s">
        <v>9096</v>
      </c>
      <c r="N6093" t="s">
        <v>9146</v>
      </c>
      <c r="O6093" t="s">
        <v>11134</v>
      </c>
      <c r="P6093" t="s">
        <v>11168</v>
      </c>
      <c r="R6093" t="s">
        <v>11180</v>
      </c>
      <c r="S6093" t="s">
        <v>9094</v>
      </c>
      <c r="T6093" t="s">
        <v>11183</v>
      </c>
      <c r="U6093" t="s">
        <v>11201</v>
      </c>
      <c r="V6093" t="s">
        <v>482</v>
      </c>
      <c r="W6093">
        <v>1515</v>
      </c>
      <c r="X6093" t="s">
        <v>11332</v>
      </c>
      <c r="Y6093" t="s">
        <v>11157</v>
      </c>
      <c r="Z6093" t="s">
        <v>15135</v>
      </c>
      <c r="AA6093" t="s">
        <v>9144</v>
      </c>
      <c r="AC6093">
        <v>359</v>
      </c>
      <c r="AD6093" t="s">
        <v>19566</v>
      </c>
      <c r="AE6093" t="s">
        <v>9144</v>
      </c>
      <c r="AF6093">
        <v>2</v>
      </c>
      <c r="AG6093">
        <v>1</v>
      </c>
      <c r="AH6093">
        <v>0</v>
      </c>
      <c r="AI6093">
        <v>454.64</v>
      </c>
      <c r="AL6093" t="s">
        <v>19614</v>
      </c>
      <c r="AM6093">
        <v>56784</v>
      </c>
      <c r="AN6093" t="s">
        <v>20242</v>
      </c>
      <c r="AS6093">
        <v>0</v>
      </c>
      <c r="AU6093" t="s">
        <v>95</v>
      </c>
    </row>
    <row r="6094" spans="1:48">
      <c r="A6094" s="1">
        <f>HYPERLINK("https://lsnyc.legalserver.org/matter/dynamic-profile/view/1893262","19-1893262")</f>
        <v>0</v>
      </c>
      <c r="B6094" t="s">
        <v>70</v>
      </c>
      <c r="C6094" t="s">
        <v>256</v>
      </c>
      <c r="D6094" t="s">
        <v>719</v>
      </c>
      <c r="F6094" t="s">
        <v>3262</v>
      </c>
      <c r="G6094" t="s">
        <v>3398</v>
      </c>
      <c r="H6094" t="s">
        <v>5749</v>
      </c>
      <c r="I6094" t="s">
        <v>8229</v>
      </c>
      <c r="J6094" t="s">
        <v>9059</v>
      </c>
      <c r="K6094">
        <v>11233</v>
      </c>
      <c r="L6094" t="s">
        <v>9094</v>
      </c>
      <c r="M6094" t="s">
        <v>9096</v>
      </c>
      <c r="N6094" t="s">
        <v>9144</v>
      </c>
      <c r="O6094" t="s">
        <v>11137</v>
      </c>
      <c r="P6094" t="s">
        <v>11167</v>
      </c>
      <c r="R6094" t="s">
        <v>11180</v>
      </c>
      <c r="S6094" t="s">
        <v>9094</v>
      </c>
      <c r="T6094" t="s">
        <v>11183</v>
      </c>
      <c r="U6094" t="s">
        <v>11201</v>
      </c>
      <c r="V6094" t="s">
        <v>749</v>
      </c>
      <c r="W6094">
        <v>1515</v>
      </c>
      <c r="X6094" t="s">
        <v>11332</v>
      </c>
      <c r="Y6094" t="s">
        <v>11157</v>
      </c>
      <c r="Z6094" t="s">
        <v>15135</v>
      </c>
      <c r="AC6094">
        <v>359</v>
      </c>
      <c r="AD6094" t="s">
        <v>19566</v>
      </c>
      <c r="AE6094" t="s">
        <v>9144</v>
      </c>
      <c r="AF6094">
        <v>2</v>
      </c>
      <c r="AG6094">
        <v>1</v>
      </c>
      <c r="AH6094">
        <v>0</v>
      </c>
      <c r="AI6094">
        <v>454.64</v>
      </c>
      <c r="AL6094" t="s">
        <v>19614</v>
      </c>
      <c r="AM6094">
        <v>56784</v>
      </c>
      <c r="AN6094" t="s">
        <v>20243</v>
      </c>
      <c r="AS6094">
        <v>0</v>
      </c>
      <c r="AU6094" t="s">
        <v>95</v>
      </c>
    </row>
    <row r="6095" spans="1:48">
      <c r="A6095" s="1">
        <f>HYPERLINK("https://lsnyc.legalserver.org/matter/dynamic-profile/view/1911826","19-1911826")</f>
        <v>0</v>
      </c>
      <c r="B6095" t="s">
        <v>98</v>
      </c>
      <c r="C6095" t="s">
        <v>256</v>
      </c>
      <c r="D6095" t="s">
        <v>284</v>
      </c>
      <c r="F6095" t="s">
        <v>1187</v>
      </c>
      <c r="G6095" t="s">
        <v>3970</v>
      </c>
      <c r="H6095" t="s">
        <v>6216</v>
      </c>
      <c r="I6095" t="s">
        <v>8171</v>
      </c>
      <c r="J6095" t="s">
        <v>9065</v>
      </c>
      <c r="K6095">
        <v>10452</v>
      </c>
      <c r="L6095" t="s">
        <v>9094</v>
      </c>
      <c r="M6095" t="s">
        <v>9095</v>
      </c>
      <c r="N6095" t="s">
        <v>9497</v>
      </c>
      <c r="O6095" t="s">
        <v>11134</v>
      </c>
      <c r="P6095" t="s">
        <v>11168</v>
      </c>
      <c r="R6095" t="s">
        <v>11180</v>
      </c>
      <c r="S6095" t="s">
        <v>9094</v>
      </c>
      <c r="T6095" t="s">
        <v>11183</v>
      </c>
      <c r="W6095">
        <v>1326</v>
      </c>
      <c r="X6095" t="s">
        <v>11333</v>
      </c>
      <c r="Y6095" t="s">
        <v>11346</v>
      </c>
      <c r="Z6095" t="s">
        <v>15136</v>
      </c>
      <c r="AB6095" t="s">
        <v>19425</v>
      </c>
      <c r="AC6095">
        <v>67</v>
      </c>
      <c r="AD6095" t="s">
        <v>19566</v>
      </c>
      <c r="AE6095" t="s">
        <v>9144</v>
      </c>
      <c r="AF6095">
        <v>5</v>
      </c>
      <c r="AG6095">
        <v>1</v>
      </c>
      <c r="AH6095">
        <v>1</v>
      </c>
      <c r="AI6095">
        <v>455.35</v>
      </c>
      <c r="AL6095" t="s">
        <v>19614</v>
      </c>
      <c r="AM6095">
        <v>77000</v>
      </c>
      <c r="AS6095">
        <v>0</v>
      </c>
      <c r="AU6095" t="s">
        <v>20647</v>
      </c>
      <c r="AV6095" t="s">
        <v>20733</v>
      </c>
    </row>
    <row r="6096" spans="1:48">
      <c r="A6096" s="1">
        <f>HYPERLINK("https://lsnyc.legalserver.org/matter/dynamic-profile/view/1862815","18-1862815")</f>
        <v>0</v>
      </c>
      <c r="B6096" t="s">
        <v>103</v>
      </c>
      <c r="C6096" t="s">
        <v>256</v>
      </c>
      <c r="D6096" t="s">
        <v>439</v>
      </c>
      <c r="F6096" t="s">
        <v>1853</v>
      </c>
      <c r="G6096" t="s">
        <v>3418</v>
      </c>
      <c r="H6096" t="s">
        <v>5873</v>
      </c>
      <c r="I6096" t="s">
        <v>8119</v>
      </c>
      <c r="J6096" t="s">
        <v>9065</v>
      </c>
      <c r="K6096">
        <v>10457</v>
      </c>
      <c r="L6096" t="s">
        <v>9094</v>
      </c>
      <c r="M6096" t="s">
        <v>9095</v>
      </c>
      <c r="N6096" t="s">
        <v>9233</v>
      </c>
      <c r="O6096" t="s">
        <v>11135</v>
      </c>
      <c r="P6096" t="s">
        <v>11168</v>
      </c>
      <c r="R6096" t="s">
        <v>11180</v>
      </c>
      <c r="S6096" t="s">
        <v>9094</v>
      </c>
      <c r="T6096" t="s">
        <v>11183</v>
      </c>
      <c r="W6096">
        <v>787</v>
      </c>
      <c r="X6096" t="s">
        <v>11333</v>
      </c>
      <c r="Y6096" t="s">
        <v>11340</v>
      </c>
      <c r="Z6096" t="s">
        <v>13024</v>
      </c>
      <c r="AB6096" t="s">
        <v>19426</v>
      </c>
      <c r="AC6096">
        <v>100</v>
      </c>
      <c r="AD6096" t="s">
        <v>19566</v>
      </c>
      <c r="AF6096">
        <v>30</v>
      </c>
      <c r="AG6096">
        <v>2</v>
      </c>
      <c r="AH6096">
        <v>0</v>
      </c>
      <c r="AI6096">
        <v>455.65</v>
      </c>
      <c r="AL6096" t="s">
        <v>19614</v>
      </c>
      <c r="AM6096">
        <v>120000</v>
      </c>
      <c r="AS6096">
        <v>0.4</v>
      </c>
      <c r="AT6096" t="s">
        <v>439</v>
      </c>
      <c r="AU6096" t="s">
        <v>20642</v>
      </c>
    </row>
    <row r="6097" spans="1:48">
      <c r="A6097" s="1">
        <f>HYPERLINK("https://lsnyc.legalserver.org/matter/dynamic-profile/view/1885317","18-1885317")</f>
        <v>0</v>
      </c>
      <c r="B6097" t="s">
        <v>76</v>
      </c>
      <c r="C6097" t="s">
        <v>256</v>
      </c>
      <c r="D6097" t="s">
        <v>448</v>
      </c>
      <c r="F6097" t="s">
        <v>1505</v>
      </c>
      <c r="G6097" t="s">
        <v>1362</v>
      </c>
      <c r="H6097" t="s">
        <v>7008</v>
      </c>
      <c r="I6097" t="s">
        <v>8798</v>
      </c>
      <c r="J6097" t="s">
        <v>9059</v>
      </c>
      <c r="K6097">
        <v>11213</v>
      </c>
      <c r="L6097" t="s">
        <v>9094</v>
      </c>
      <c r="M6097" t="s">
        <v>9094</v>
      </c>
      <c r="N6097" t="s">
        <v>9179</v>
      </c>
      <c r="O6097" t="s">
        <v>11130</v>
      </c>
      <c r="P6097" t="s">
        <v>11165</v>
      </c>
      <c r="R6097" t="s">
        <v>11180</v>
      </c>
      <c r="S6097" t="s">
        <v>9094</v>
      </c>
      <c r="T6097" t="s">
        <v>11183</v>
      </c>
      <c r="U6097" t="s">
        <v>11201</v>
      </c>
      <c r="V6097" t="s">
        <v>11308</v>
      </c>
      <c r="W6097">
        <v>1197</v>
      </c>
      <c r="X6097" t="s">
        <v>11332</v>
      </c>
      <c r="Y6097" t="s">
        <v>11346</v>
      </c>
      <c r="Z6097" t="s">
        <v>15125</v>
      </c>
      <c r="AA6097" t="s">
        <v>9144</v>
      </c>
      <c r="AB6097" t="s">
        <v>19418</v>
      </c>
      <c r="AC6097">
        <v>34</v>
      </c>
      <c r="AD6097" t="s">
        <v>19566</v>
      </c>
      <c r="AE6097" t="s">
        <v>9144</v>
      </c>
      <c r="AF6097">
        <v>7</v>
      </c>
      <c r="AG6097">
        <v>3</v>
      </c>
      <c r="AH6097">
        <v>0</v>
      </c>
      <c r="AI6097">
        <v>457.41</v>
      </c>
      <c r="AL6097" t="s">
        <v>19614</v>
      </c>
      <c r="AM6097">
        <v>95050.08</v>
      </c>
      <c r="AS6097">
        <v>0.1</v>
      </c>
      <c r="AT6097" t="s">
        <v>428</v>
      </c>
      <c r="AU6097" t="s">
        <v>95</v>
      </c>
    </row>
    <row r="6098" spans="1:48">
      <c r="A6098" s="1">
        <f>HYPERLINK("https://lsnyc.legalserver.org/matter/dynamic-profile/view/1880097","18-1880097")</f>
        <v>0</v>
      </c>
      <c r="B6098" t="s">
        <v>76</v>
      </c>
      <c r="C6098" t="s">
        <v>256</v>
      </c>
      <c r="D6098" t="s">
        <v>699</v>
      </c>
      <c r="F6098" t="s">
        <v>3259</v>
      </c>
      <c r="G6098" t="s">
        <v>4164</v>
      </c>
      <c r="H6098" t="s">
        <v>7008</v>
      </c>
      <c r="I6098" t="s">
        <v>8154</v>
      </c>
      <c r="J6098" t="s">
        <v>9059</v>
      </c>
      <c r="K6098">
        <v>11213</v>
      </c>
      <c r="L6098" t="s">
        <v>9094</v>
      </c>
      <c r="M6098" t="s">
        <v>9094</v>
      </c>
      <c r="N6098" t="s">
        <v>9179</v>
      </c>
      <c r="O6098" t="s">
        <v>11130</v>
      </c>
      <c r="P6098" t="s">
        <v>11165</v>
      </c>
      <c r="R6098" t="s">
        <v>11180</v>
      </c>
      <c r="S6098" t="s">
        <v>9094</v>
      </c>
      <c r="T6098" t="s">
        <v>11183</v>
      </c>
      <c r="U6098" t="s">
        <v>11201</v>
      </c>
      <c r="V6098" t="s">
        <v>671</v>
      </c>
      <c r="W6098">
        <v>0</v>
      </c>
      <c r="X6098" t="s">
        <v>11332</v>
      </c>
      <c r="Y6098" t="s">
        <v>11346</v>
      </c>
      <c r="Z6098" t="s">
        <v>15129</v>
      </c>
      <c r="AA6098" t="s">
        <v>9144</v>
      </c>
      <c r="AB6098" t="s">
        <v>19422</v>
      </c>
      <c r="AC6098">
        <v>34</v>
      </c>
      <c r="AD6098" t="s">
        <v>19566</v>
      </c>
      <c r="AE6098" t="s">
        <v>9144</v>
      </c>
      <c r="AF6098">
        <v>0</v>
      </c>
      <c r="AG6098">
        <v>1</v>
      </c>
      <c r="AH6098">
        <v>0</v>
      </c>
      <c r="AI6098">
        <v>461.29</v>
      </c>
      <c r="AL6098" t="s">
        <v>19614</v>
      </c>
      <c r="AM6098">
        <v>56000</v>
      </c>
      <c r="AS6098">
        <v>1.2</v>
      </c>
      <c r="AT6098" t="s">
        <v>671</v>
      </c>
      <c r="AU6098" t="s">
        <v>95</v>
      </c>
    </row>
    <row r="6099" spans="1:48">
      <c r="A6099" s="1">
        <f>HYPERLINK("https://lsnyc.legalserver.org/matter/dynamic-profile/view/1905736","19-1905736")</f>
        <v>0</v>
      </c>
      <c r="B6099" t="s">
        <v>202</v>
      </c>
      <c r="C6099" t="s">
        <v>256</v>
      </c>
      <c r="D6099" t="s">
        <v>328</v>
      </c>
      <c r="F6099" t="s">
        <v>1624</v>
      </c>
      <c r="G6099" t="s">
        <v>3476</v>
      </c>
      <c r="H6099" t="s">
        <v>5976</v>
      </c>
      <c r="I6099" t="s">
        <v>8161</v>
      </c>
      <c r="J6099" t="s">
        <v>9059</v>
      </c>
      <c r="K6099">
        <v>11233</v>
      </c>
      <c r="L6099" t="s">
        <v>9094</v>
      </c>
      <c r="M6099" t="s">
        <v>9095</v>
      </c>
      <c r="N6099" t="s">
        <v>9672</v>
      </c>
      <c r="O6099" t="s">
        <v>11130</v>
      </c>
      <c r="P6099" t="s">
        <v>11165</v>
      </c>
      <c r="R6099" t="s">
        <v>11180</v>
      </c>
      <c r="S6099" t="s">
        <v>9094</v>
      </c>
      <c r="T6099" t="s">
        <v>11183</v>
      </c>
      <c r="U6099" t="s">
        <v>11201</v>
      </c>
      <c r="V6099" t="s">
        <v>493</v>
      </c>
      <c r="W6099">
        <v>1200</v>
      </c>
      <c r="X6099" t="s">
        <v>11332</v>
      </c>
      <c r="Y6099" t="s">
        <v>11340</v>
      </c>
      <c r="Z6099" t="s">
        <v>15137</v>
      </c>
      <c r="AA6099" t="s">
        <v>9171</v>
      </c>
      <c r="AB6099" t="s">
        <v>19427</v>
      </c>
      <c r="AC6099">
        <v>6</v>
      </c>
      <c r="AD6099" t="s">
        <v>19566</v>
      </c>
      <c r="AE6099" t="s">
        <v>9144</v>
      </c>
      <c r="AF6099">
        <v>6</v>
      </c>
      <c r="AG6099">
        <v>1</v>
      </c>
      <c r="AH6099">
        <v>0</v>
      </c>
      <c r="AI6099">
        <v>464.37</v>
      </c>
      <c r="AL6099" t="s">
        <v>19614</v>
      </c>
      <c r="AM6099">
        <v>58000</v>
      </c>
      <c r="AN6099" t="s">
        <v>20244</v>
      </c>
      <c r="AS6099">
        <v>0.1</v>
      </c>
      <c r="AT6099" t="s">
        <v>664</v>
      </c>
      <c r="AU6099" t="s">
        <v>95</v>
      </c>
      <c r="AV6099" t="s">
        <v>20733</v>
      </c>
    </row>
    <row r="6100" spans="1:48">
      <c r="A6100" s="1">
        <f>HYPERLINK("https://lsnyc.legalserver.org/matter/dynamic-profile/view/1905728","19-1905728")</f>
        <v>0</v>
      </c>
      <c r="B6100" t="s">
        <v>93</v>
      </c>
      <c r="C6100" t="s">
        <v>257</v>
      </c>
      <c r="D6100" t="s">
        <v>328</v>
      </c>
      <c r="E6100" t="s">
        <v>703</v>
      </c>
      <c r="F6100" t="s">
        <v>1624</v>
      </c>
      <c r="G6100" t="s">
        <v>3476</v>
      </c>
      <c r="H6100" t="s">
        <v>5976</v>
      </c>
      <c r="I6100" t="s">
        <v>8161</v>
      </c>
      <c r="J6100" t="s">
        <v>9059</v>
      </c>
      <c r="K6100">
        <v>11233</v>
      </c>
      <c r="L6100" t="s">
        <v>9094</v>
      </c>
      <c r="M6100" t="s">
        <v>9095</v>
      </c>
      <c r="N6100" t="s">
        <v>9154</v>
      </c>
      <c r="O6100" t="s">
        <v>11137</v>
      </c>
      <c r="P6100" t="s">
        <v>11167</v>
      </c>
      <c r="Q6100" t="s">
        <v>11173</v>
      </c>
      <c r="R6100" t="s">
        <v>11180</v>
      </c>
      <c r="S6100" t="s">
        <v>9094</v>
      </c>
      <c r="T6100" t="s">
        <v>11183</v>
      </c>
      <c r="U6100" t="s">
        <v>11201</v>
      </c>
      <c r="W6100">
        <v>1200</v>
      </c>
      <c r="X6100" t="s">
        <v>11332</v>
      </c>
      <c r="Y6100" t="s">
        <v>11340</v>
      </c>
      <c r="Z6100" t="s">
        <v>15137</v>
      </c>
      <c r="AA6100" t="s">
        <v>9144</v>
      </c>
      <c r="AB6100" t="s">
        <v>19427</v>
      </c>
      <c r="AC6100">
        <v>6</v>
      </c>
      <c r="AD6100" t="s">
        <v>19566</v>
      </c>
      <c r="AE6100" t="s">
        <v>9144</v>
      </c>
      <c r="AF6100">
        <v>6</v>
      </c>
      <c r="AG6100">
        <v>1</v>
      </c>
      <c r="AH6100">
        <v>0</v>
      </c>
      <c r="AI6100">
        <v>464.37</v>
      </c>
      <c r="AL6100" t="s">
        <v>19614</v>
      </c>
      <c r="AM6100">
        <v>58000</v>
      </c>
      <c r="AN6100" t="s">
        <v>20244</v>
      </c>
      <c r="AS6100">
        <v>0.1</v>
      </c>
      <c r="AT6100" t="s">
        <v>664</v>
      </c>
      <c r="AU6100" t="s">
        <v>95</v>
      </c>
      <c r="AV6100" t="s">
        <v>20733</v>
      </c>
    </row>
    <row r="6101" spans="1:48">
      <c r="A6101" s="1">
        <f>HYPERLINK("https://lsnyc.legalserver.org/matter/dynamic-profile/view/1905731","19-1905731")</f>
        <v>0</v>
      </c>
      <c r="B6101" t="s">
        <v>93</v>
      </c>
      <c r="C6101" t="s">
        <v>256</v>
      </c>
      <c r="D6101" t="s">
        <v>328</v>
      </c>
      <c r="F6101" t="s">
        <v>1624</v>
      </c>
      <c r="G6101" t="s">
        <v>3476</v>
      </c>
      <c r="H6101" t="s">
        <v>5976</v>
      </c>
      <c r="I6101" t="s">
        <v>8161</v>
      </c>
      <c r="J6101" t="s">
        <v>9059</v>
      </c>
      <c r="K6101">
        <v>11233</v>
      </c>
      <c r="L6101" t="s">
        <v>9094</v>
      </c>
      <c r="M6101" t="s">
        <v>9095</v>
      </c>
      <c r="N6101" t="s">
        <v>9102</v>
      </c>
      <c r="O6101" t="s">
        <v>11137</v>
      </c>
      <c r="P6101" t="s">
        <v>11167</v>
      </c>
      <c r="R6101" t="s">
        <v>11180</v>
      </c>
      <c r="S6101" t="s">
        <v>9094</v>
      </c>
      <c r="T6101" t="s">
        <v>11183</v>
      </c>
      <c r="U6101" t="s">
        <v>11201</v>
      </c>
      <c r="W6101">
        <v>1200</v>
      </c>
      <c r="X6101" t="s">
        <v>11332</v>
      </c>
      <c r="Y6101" t="s">
        <v>11340</v>
      </c>
      <c r="Z6101" t="s">
        <v>15137</v>
      </c>
      <c r="AA6101" t="s">
        <v>9171</v>
      </c>
      <c r="AB6101" t="s">
        <v>19427</v>
      </c>
      <c r="AC6101">
        <v>6</v>
      </c>
      <c r="AD6101" t="s">
        <v>19566</v>
      </c>
      <c r="AE6101" t="s">
        <v>9144</v>
      </c>
      <c r="AF6101">
        <v>6</v>
      </c>
      <c r="AG6101">
        <v>1</v>
      </c>
      <c r="AH6101">
        <v>0</v>
      </c>
      <c r="AI6101">
        <v>464.37</v>
      </c>
      <c r="AL6101" t="s">
        <v>19614</v>
      </c>
      <c r="AM6101">
        <v>58000</v>
      </c>
      <c r="AN6101" t="s">
        <v>20244</v>
      </c>
      <c r="AS6101">
        <v>0.1</v>
      </c>
      <c r="AT6101" t="s">
        <v>664</v>
      </c>
      <c r="AU6101" t="s">
        <v>95</v>
      </c>
      <c r="AV6101" t="s">
        <v>20733</v>
      </c>
    </row>
    <row r="6102" spans="1:48">
      <c r="A6102" s="1">
        <f>HYPERLINK("https://lsnyc.legalserver.org/matter/dynamic-profile/view/1905734","19-1905734")</f>
        <v>0</v>
      </c>
      <c r="B6102" t="s">
        <v>93</v>
      </c>
      <c r="C6102" t="s">
        <v>256</v>
      </c>
      <c r="D6102" t="s">
        <v>328</v>
      </c>
      <c r="F6102" t="s">
        <v>1624</v>
      </c>
      <c r="G6102" t="s">
        <v>3476</v>
      </c>
      <c r="H6102" t="s">
        <v>5976</v>
      </c>
      <c r="I6102" t="s">
        <v>8161</v>
      </c>
      <c r="J6102" t="s">
        <v>9059</v>
      </c>
      <c r="K6102">
        <v>11233</v>
      </c>
      <c r="L6102" t="s">
        <v>9094</v>
      </c>
      <c r="M6102" t="s">
        <v>9095</v>
      </c>
      <c r="N6102" t="s">
        <v>9102</v>
      </c>
      <c r="O6102" t="s">
        <v>11137</v>
      </c>
      <c r="P6102" t="s">
        <v>11167</v>
      </c>
      <c r="R6102" t="s">
        <v>11180</v>
      </c>
      <c r="S6102" t="s">
        <v>9094</v>
      </c>
      <c r="T6102" t="s">
        <v>11183</v>
      </c>
      <c r="U6102" t="s">
        <v>11201</v>
      </c>
      <c r="W6102">
        <v>1200</v>
      </c>
      <c r="X6102" t="s">
        <v>11332</v>
      </c>
      <c r="Y6102" t="s">
        <v>11340</v>
      </c>
      <c r="Z6102" t="s">
        <v>15137</v>
      </c>
      <c r="AA6102" t="s">
        <v>9171</v>
      </c>
      <c r="AB6102" t="s">
        <v>19427</v>
      </c>
      <c r="AC6102">
        <v>6</v>
      </c>
      <c r="AD6102" t="s">
        <v>19566</v>
      </c>
      <c r="AE6102" t="s">
        <v>9144</v>
      </c>
      <c r="AF6102">
        <v>6</v>
      </c>
      <c r="AG6102">
        <v>1</v>
      </c>
      <c r="AH6102">
        <v>0</v>
      </c>
      <c r="AI6102">
        <v>464.37</v>
      </c>
      <c r="AL6102" t="s">
        <v>19614</v>
      </c>
      <c r="AM6102">
        <v>58000</v>
      </c>
      <c r="AN6102" t="s">
        <v>20244</v>
      </c>
      <c r="AS6102">
        <v>0.1</v>
      </c>
      <c r="AT6102" t="s">
        <v>664</v>
      </c>
      <c r="AU6102" t="s">
        <v>95</v>
      </c>
      <c r="AV6102" t="s">
        <v>20733</v>
      </c>
    </row>
    <row r="6103" spans="1:48">
      <c r="A6103" s="1">
        <f>HYPERLINK("https://lsnyc.legalserver.org/matter/dynamic-profile/view/1893215","19-1893215")</f>
        <v>0</v>
      </c>
      <c r="B6103" t="s">
        <v>108</v>
      </c>
      <c r="C6103" t="s">
        <v>256</v>
      </c>
      <c r="D6103" t="s">
        <v>719</v>
      </c>
      <c r="F6103" t="s">
        <v>3263</v>
      </c>
      <c r="G6103" t="s">
        <v>5589</v>
      </c>
      <c r="H6103" t="s">
        <v>5859</v>
      </c>
      <c r="I6103" t="s">
        <v>9018</v>
      </c>
      <c r="J6103" t="s">
        <v>9065</v>
      </c>
      <c r="K6103">
        <v>10467</v>
      </c>
      <c r="L6103" t="s">
        <v>9094</v>
      </c>
      <c r="M6103" t="s">
        <v>9094</v>
      </c>
      <c r="O6103" t="s">
        <v>11136</v>
      </c>
      <c r="P6103" t="s">
        <v>11166</v>
      </c>
      <c r="R6103" t="s">
        <v>11180</v>
      </c>
      <c r="S6103" t="s">
        <v>9094</v>
      </c>
      <c r="T6103" t="s">
        <v>11183</v>
      </c>
      <c r="V6103" t="s">
        <v>11218</v>
      </c>
      <c r="W6103">
        <v>1250</v>
      </c>
      <c r="X6103" t="s">
        <v>11333</v>
      </c>
      <c r="Y6103" t="s">
        <v>11348</v>
      </c>
      <c r="Z6103" t="s">
        <v>15138</v>
      </c>
      <c r="AC6103">
        <v>123</v>
      </c>
      <c r="AD6103" t="s">
        <v>19565</v>
      </c>
      <c r="AE6103" t="s">
        <v>9144</v>
      </c>
      <c r="AF6103">
        <v>3</v>
      </c>
      <c r="AG6103">
        <v>1</v>
      </c>
      <c r="AH6103">
        <v>0</v>
      </c>
      <c r="AI6103">
        <v>464.37</v>
      </c>
      <c r="AK6103" t="s">
        <v>19612</v>
      </c>
      <c r="AL6103" t="s">
        <v>19614</v>
      </c>
      <c r="AM6103">
        <v>58000</v>
      </c>
      <c r="AS6103">
        <v>0</v>
      </c>
      <c r="AU6103" t="s">
        <v>178</v>
      </c>
      <c r="AV6103" t="s">
        <v>20733</v>
      </c>
    </row>
    <row r="6104" spans="1:48">
      <c r="A6104" s="1">
        <f>HYPERLINK("https://lsnyc.legalserver.org/matter/dynamic-profile/view/1912812","19-1912812")</f>
        <v>0</v>
      </c>
      <c r="B6104" t="s">
        <v>119</v>
      </c>
      <c r="C6104" t="s">
        <v>256</v>
      </c>
      <c r="D6104" t="s">
        <v>563</v>
      </c>
      <c r="F6104" t="s">
        <v>3264</v>
      </c>
      <c r="G6104" t="s">
        <v>3646</v>
      </c>
      <c r="H6104" t="s">
        <v>8081</v>
      </c>
      <c r="I6104">
        <v>102</v>
      </c>
      <c r="J6104" t="s">
        <v>9065</v>
      </c>
      <c r="K6104">
        <v>10457</v>
      </c>
      <c r="L6104" t="s">
        <v>9094</v>
      </c>
      <c r="M6104" t="s">
        <v>9095</v>
      </c>
      <c r="O6104" t="s">
        <v>11130</v>
      </c>
      <c r="P6104" t="s">
        <v>11167</v>
      </c>
      <c r="R6104" t="s">
        <v>11180</v>
      </c>
      <c r="S6104" t="s">
        <v>9096</v>
      </c>
      <c r="T6104" t="s">
        <v>11183</v>
      </c>
      <c r="W6104">
        <v>887</v>
      </c>
      <c r="X6104" t="s">
        <v>11333</v>
      </c>
      <c r="Y6104" t="s">
        <v>11338</v>
      </c>
      <c r="Z6104" t="s">
        <v>15139</v>
      </c>
      <c r="AB6104" t="s">
        <v>19428</v>
      </c>
      <c r="AC6104">
        <v>0</v>
      </c>
      <c r="AD6104" t="s">
        <v>19575</v>
      </c>
      <c r="AE6104" t="s">
        <v>11157</v>
      </c>
      <c r="AF6104">
        <v>7</v>
      </c>
      <c r="AG6104">
        <v>1</v>
      </c>
      <c r="AH6104">
        <v>0</v>
      </c>
      <c r="AI6104">
        <v>464.37</v>
      </c>
      <c r="AL6104" t="s">
        <v>19614</v>
      </c>
      <c r="AM6104">
        <v>58000</v>
      </c>
      <c r="AS6104">
        <v>0</v>
      </c>
      <c r="AU6104" t="s">
        <v>119</v>
      </c>
      <c r="AV6104" t="s">
        <v>20733</v>
      </c>
    </row>
    <row r="6105" spans="1:48">
      <c r="A6105" s="1">
        <f>HYPERLINK("https://lsnyc.legalserver.org/matter/dynamic-profile/view/1914999","19-1914999")</f>
        <v>0</v>
      </c>
      <c r="B6105" t="s">
        <v>119</v>
      </c>
      <c r="C6105" t="s">
        <v>256</v>
      </c>
      <c r="D6105" t="s">
        <v>563</v>
      </c>
      <c r="F6105" t="s">
        <v>3264</v>
      </c>
      <c r="G6105" t="s">
        <v>3646</v>
      </c>
      <c r="H6105" t="s">
        <v>8081</v>
      </c>
      <c r="I6105">
        <v>102</v>
      </c>
      <c r="J6105" t="s">
        <v>9065</v>
      </c>
      <c r="K6105">
        <v>10457</v>
      </c>
      <c r="L6105" t="s">
        <v>9094</v>
      </c>
      <c r="M6105" t="s">
        <v>9095</v>
      </c>
      <c r="P6105" t="s">
        <v>11164</v>
      </c>
      <c r="R6105" t="s">
        <v>11180</v>
      </c>
      <c r="S6105" t="s">
        <v>9096</v>
      </c>
      <c r="T6105" t="s">
        <v>11183</v>
      </c>
      <c r="W6105">
        <v>887</v>
      </c>
      <c r="X6105" t="s">
        <v>11333</v>
      </c>
      <c r="Y6105" t="s">
        <v>11346</v>
      </c>
      <c r="Z6105" t="s">
        <v>15139</v>
      </c>
      <c r="AB6105" t="s">
        <v>19428</v>
      </c>
      <c r="AC6105">
        <v>8</v>
      </c>
      <c r="AD6105" t="s">
        <v>19576</v>
      </c>
      <c r="AE6105" t="s">
        <v>9144</v>
      </c>
      <c r="AF6105">
        <v>7</v>
      </c>
      <c r="AG6105">
        <v>1</v>
      </c>
      <c r="AH6105">
        <v>0</v>
      </c>
      <c r="AI6105">
        <v>464.37</v>
      </c>
      <c r="AL6105" t="s">
        <v>19614</v>
      </c>
      <c r="AM6105">
        <v>58000</v>
      </c>
      <c r="AS6105">
        <v>0</v>
      </c>
      <c r="AU6105" t="s">
        <v>163</v>
      </c>
    </row>
    <row r="6106" spans="1:48">
      <c r="A6106" s="1">
        <f>HYPERLINK("https://lsnyc.legalserver.org/matter/dynamic-profile/view/1909497","19-1909497")</f>
        <v>0</v>
      </c>
      <c r="B6106" t="s">
        <v>139</v>
      </c>
      <c r="C6106" t="s">
        <v>256</v>
      </c>
      <c r="D6106" t="s">
        <v>273</v>
      </c>
      <c r="F6106" t="s">
        <v>3265</v>
      </c>
      <c r="G6106" t="s">
        <v>5590</v>
      </c>
      <c r="H6106" t="s">
        <v>6653</v>
      </c>
      <c r="I6106" t="s">
        <v>8164</v>
      </c>
      <c r="J6106" t="s">
        <v>9067</v>
      </c>
      <c r="K6106">
        <v>10040</v>
      </c>
      <c r="L6106" t="s">
        <v>9094</v>
      </c>
      <c r="M6106" t="s">
        <v>9095</v>
      </c>
      <c r="O6106" t="s">
        <v>11130</v>
      </c>
      <c r="P6106" t="s">
        <v>11169</v>
      </c>
      <c r="R6106" t="s">
        <v>11180</v>
      </c>
      <c r="S6106" t="s">
        <v>9094</v>
      </c>
      <c r="T6106" t="s">
        <v>11183</v>
      </c>
      <c r="V6106" t="s">
        <v>273</v>
      </c>
      <c r="W6106">
        <v>1234.7</v>
      </c>
      <c r="X6106" t="s">
        <v>11335</v>
      </c>
      <c r="Y6106" t="s">
        <v>11338</v>
      </c>
      <c r="Z6106" t="s">
        <v>15140</v>
      </c>
      <c r="AC6106">
        <v>77</v>
      </c>
      <c r="AD6106" t="s">
        <v>19566</v>
      </c>
      <c r="AE6106" t="s">
        <v>9144</v>
      </c>
      <c r="AF6106">
        <v>4</v>
      </c>
      <c r="AG6106">
        <v>1</v>
      </c>
      <c r="AH6106">
        <v>0</v>
      </c>
      <c r="AI6106">
        <v>464.37</v>
      </c>
      <c r="AL6106" t="s">
        <v>19614</v>
      </c>
      <c r="AM6106">
        <v>58000</v>
      </c>
      <c r="AS6106">
        <v>0.1</v>
      </c>
      <c r="AT6106" t="s">
        <v>425</v>
      </c>
      <c r="AU6106" t="s">
        <v>130</v>
      </c>
      <c r="AV6106" t="s">
        <v>20733</v>
      </c>
    </row>
    <row r="6107" spans="1:48">
      <c r="A6107" s="1">
        <f>HYPERLINK("https://lsnyc.legalserver.org/matter/dynamic-profile/view/1871454","18-1871454")</f>
        <v>0</v>
      </c>
      <c r="B6107" t="s">
        <v>103</v>
      </c>
      <c r="C6107" t="s">
        <v>257</v>
      </c>
      <c r="D6107" t="s">
        <v>767</v>
      </c>
      <c r="E6107" t="s">
        <v>334</v>
      </c>
      <c r="F6107" t="s">
        <v>3266</v>
      </c>
      <c r="G6107" t="s">
        <v>5591</v>
      </c>
      <c r="H6107" t="s">
        <v>5854</v>
      </c>
      <c r="I6107" t="s">
        <v>8279</v>
      </c>
      <c r="J6107" t="s">
        <v>9065</v>
      </c>
      <c r="K6107">
        <v>10468</v>
      </c>
      <c r="L6107" t="s">
        <v>9094</v>
      </c>
      <c r="M6107" t="s">
        <v>9094</v>
      </c>
      <c r="N6107" t="s">
        <v>9219</v>
      </c>
      <c r="O6107" t="s">
        <v>11130</v>
      </c>
      <c r="P6107" t="s">
        <v>11165</v>
      </c>
      <c r="Q6107" t="s">
        <v>11174</v>
      </c>
      <c r="R6107" t="s">
        <v>11180</v>
      </c>
      <c r="S6107" t="s">
        <v>9094</v>
      </c>
      <c r="T6107" t="s">
        <v>11183</v>
      </c>
      <c r="U6107" t="s">
        <v>11201</v>
      </c>
      <c r="V6107" t="s">
        <v>767</v>
      </c>
      <c r="W6107">
        <v>1495</v>
      </c>
      <c r="X6107" t="s">
        <v>11333</v>
      </c>
      <c r="Y6107" t="s">
        <v>11346</v>
      </c>
      <c r="Z6107" t="s">
        <v>15141</v>
      </c>
      <c r="AB6107" t="s">
        <v>19429</v>
      </c>
      <c r="AC6107">
        <v>58</v>
      </c>
      <c r="AD6107" t="s">
        <v>19566</v>
      </c>
      <c r="AF6107">
        <v>1</v>
      </c>
      <c r="AG6107">
        <v>2</v>
      </c>
      <c r="AH6107">
        <v>0</v>
      </c>
      <c r="AI6107">
        <v>467.8</v>
      </c>
      <c r="AL6107" t="s">
        <v>19614</v>
      </c>
      <c r="AM6107">
        <v>77000</v>
      </c>
      <c r="AS6107">
        <v>1</v>
      </c>
      <c r="AT6107" t="s">
        <v>334</v>
      </c>
      <c r="AU6107" t="s">
        <v>20642</v>
      </c>
    </row>
    <row r="6108" spans="1:48">
      <c r="A6108" s="1">
        <f>HYPERLINK("https://lsnyc.legalserver.org/matter/dynamic-profile/view/0800116","16-0800116")</f>
        <v>0</v>
      </c>
      <c r="B6108" t="s">
        <v>103</v>
      </c>
      <c r="C6108" t="s">
        <v>256</v>
      </c>
      <c r="D6108" t="s">
        <v>430</v>
      </c>
      <c r="F6108" t="s">
        <v>1853</v>
      </c>
      <c r="G6108" t="s">
        <v>3418</v>
      </c>
      <c r="H6108" t="s">
        <v>5873</v>
      </c>
      <c r="I6108" t="s">
        <v>8119</v>
      </c>
      <c r="J6108" t="s">
        <v>9065</v>
      </c>
      <c r="K6108">
        <v>10457</v>
      </c>
      <c r="L6108" t="s">
        <v>9094</v>
      </c>
      <c r="M6108" t="s">
        <v>9095</v>
      </c>
      <c r="O6108" t="s">
        <v>11135</v>
      </c>
      <c r="P6108" t="s">
        <v>11168</v>
      </c>
      <c r="R6108" t="s">
        <v>11180</v>
      </c>
      <c r="S6108" t="s">
        <v>9094</v>
      </c>
      <c r="T6108" t="s">
        <v>11183</v>
      </c>
      <c r="V6108" t="s">
        <v>1038</v>
      </c>
      <c r="W6108">
        <v>787</v>
      </c>
      <c r="X6108" t="s">
        <v>11333</v>
      </c>
      <c r="Y6108" t="s">
        <v>11338</v>
      </c>
      <c r="Z6108" t="s">
        <v>13024</v>
      </c>
      <c r="AB6108" t="s">
        <v>19426</v>
      </c>
      <c r="AC6108">
        <v>0</v>
      </c>
      <c r="AD6108" t="s">
        <v>19566</v>
      </c>
      <c r="AE6108" t="s">
        <v>9144</v>
      </c>
      <c r="AF6108">
        <v>30</v>
      </c>
      <c r="AG6108">
        <v>2</v>
      </c>
      <c r="AH6108">
        <v>0</v>
      </c>
      <c r="AI6108">
        <v>468.16</v>
      </c>
      <c r="AJ6108" t="s">
        <v>11262</v>
      </c>
      <c r="AL6108" t="s">
        <v>19614</v>
      </c>
      <c r="AM6108">
        <v>120000</v>
      </c>
      <c r="AS6108">
        <v>0.2</v>
      </c>
      <c r="AT6108" t="s">
        <v>430</v>
      </c>
      <c r="AU6108" t="s">
        <v>109</v>
      </c>
    </row>
    <row r="6109" spans="1:48">
      <c r="A6109" s="1">
        <f>HYPERLINK("https://lsnyc.legalserver.org/matter/dynamic-profile/view/0816914","16-0816914")</f>
        <v>0</v>
      </c>
      <c r="B6109" t="s">
        <v>103</v>
      </c>
      <c r="C6109" t="s">
        <v>256</v>
      </c>
      <c r="D6109" t="s">
        <v>437</v>
      </c>
      <c r="F6109" t="s">
        <v>1853</v>
      </c>
      <c r="G6109" t="s">
        <v>3418</v>
      </c>
      <c r="H6109" t="s">
        <v>5873</v>
      </c>
      <c r="I6109" t="s">
        <v>8119</v>
      </c>
      <c r="J6109" t="s">
        <v>9065</v>
      </c>
      <c r="K6109">
        <v>10457</v>
      </c>
      <c r="L6109" t="s">
        <v>9094</v>
      </c>
      <c r="M6109" t="s">
        <v>9095</v>
      </c>
      <c r="N6109" t="s">
        <v>9229</v>
      </c>
      <c r="O6109" t="s">
        <v>11135</v>
      </c>
      <c r="P6109" t="s">
        <v>11168</v>
      </c>
      <c r="R6109" t="s">
        <v>11180</v>
      </c>
      <c r="S6109" t="s">
        <v>9094</v>
      </c>
      <c r="T6109" t="s">
        <v>11183</v>
      </c>
      <c r="V6109" t="s">
        <v>1024</v>
      </c>
      <c r="W6109">
        <v>787</v>
      </c>
      <c r="X6109" t="s">
        <v>11333</v>
      </c>
      <c r="Y6109" t="s">
        <v>11338</v>
      </c>
      <c r="Z6109" t="s">
        <v>13024</v>
      </c>
      <c r="AB6109" t="s">
        <v>19426</v>
      </c>
      <c r="AC6109">
        <v>100</v>
      </c>
      <c r="AD6109" t="s">
        <v>19566</v>
      </c>
      <c r="AE6109" t="s">
        <v>9144</v>
      </c>
      <c r="AF6109">
        <v>30</v>
      </c>
      <c r="AG6109">
        <v>2</v>
      </c>
      <c r="AH6109">
        <v>0</v>
      </c>
      <c r="AI6109">
        <v>468.16</v>
      </c>
      <c r="AJ6109" t="s">
        <v>11262</v>
      </c>
      <c r="AL6109" t="s">
        <v>19614</v>
      </c>
      <c r="AM6109">
        <v>120000</v>
      </c>
      <c r="AS6109">
        <v>0.5</v>
      </c>
      <c r="AT6109" t="s">
        <v>437</v>
      </c>
      <c r="AU6109" t="s">
        <v>20643</v>
      </c>
    </row>
    <row r="6110" spans="1:48">
      <c r="A6110" s="1">
        <f>HYPERLINK("https://lsnyc.legalserver.org/matter/dynamic-profile/view/0800114","16-0800114")</f>
        <v>0</v>
      </c>
      <c r="B6110" t="s">
        <v>103</v>
      </c>
      <c r="C6110" t="s">
        <v>256</v>
      </c>
      <c r="D6110" t="s">
        <v>430</v>
      </c>
      <c r="F6110" t="s">
        <v>1853</v>
      </c>
      <c r="G6110" t="s">
        <v>3418</v>
      </c>
      <c r="H6110" t="s">
        <v>5873</v>
      </c>
      <c r="I6110" t="s">
        <v>8119</v>
      </c>
      <c r="J6110" t="s">
        <v>9065</v>
      </c>
      <c r="K6110">
        <v>10457</v>
      </c>
      <c r="L6110" t="s">
        <v>9094</v>
      </c>
      <c r="M6110" t="s">
        <v>9095</v>
      </c>
      <c r="N6110" t="s">
        <v>9229</v>
      </c>
      <c r="O6110" t="s">
        <v>11147</v>
      </c>
      <c r="P6110" t="s">
        <v>11165</v>
      </c>
      <c r="R6110" t="s">
        <v>11180</v>
      </c>
      <c r="S6110" t="s">
        <v>9094</v>
      </c>
      <c r="T6110" t="s">
        <v>11183</v>
      </c>
      <c r="V6110" t="s">
        <v>1038</v>
      </c>
      <c r="W6110">
        <v>787</v>
      </c>
      <c r="X6110" t="s">
        <v>11333</v>
      </c>
      <c r="Y6110" t="s">
        <v>11338</v>
      </c>
      <c r="Z6110" t="s">
        <v>13024</v>
      </c>
      <c r="AB6110" t="s">
        <v>19426</v>
      </c>
      <c r="AC6110">
        <v>0</v>
      </c>
      <c r="AD6110" t="s">
        <v>19566</v>
      </c>
      <c r="AE6110" t="s">
        <v>9144</v>
      </c>
      <c r="AF6110">
        <v>30</v>
      </c>
      <c r="AG6110">
        <v>2</v>
      </c>
      <c r="AH6110">
        <v>0</v>
      </c>
      <c r="AI6110">
        <v>468.16</v>
      </c>
      <c r="AJ6110" t="s">
        <v>11262</v>
      </c>
      <c r="AL6110" t="s">
        <v>19614</v>
      </c>
      <c r="AM6110">
        <v>75000</v>
      </c>
      <c r="AS6110">
        <v>0</v>
      </c>
      <c r="AU6110" t="s">
        <v>109</v>
      </c>
    </row>
    <row r="6111" spans="1:48">
      <c r="A6111" s="1">
        <f>HYPERLINK("https://lsnyc.legalserver.org/matter/dynamic-profile/view/1904379","19-1904379")</f>
        <v>0</v>
      </c>
      <c r="B6111" t="s">
        <v>135</v>
      </c>
      <c r="C6111" t="s">
        <v>256</v>
      </c>
      <c r="D6111" t="s">
        <v>736</v>
      </c>
      <c r="F6111" t="s">
        <v>1187</v>
      </c>
      <c r="G6111" t="s">
        <v>5592</v>
      </c>
      <c r="H6111" t="s">
        <v>7022</v>
      </c>
      <c r="I6111" t="s">
        <v>8160</v>
      </c>
      <c r="J6111" t="s">
        <v>9067</v>
      </c>
      <c r="K6111">
        <v>10024</v>
      </c>
      <c r="L6111" t="s">
        <v>9094</v>
      </c>
      <c r="M6111" t="s">
        <v>9095</v>
      </c>
      <c r="O6111" t="s">
        <v>11130</v>
      </c>
      <c r="P6111" t="s">
        <v>11169</v>
      </c>
      <c r="R6111" t="s">
        <v>11180</v>
      </c>
      <c r="S6111" t="s">
        <v>9094</v>
      </c>
      <c r="T6111" t="s">
        <v>11183</v>
      </c>
      <c r="U6111" t="s">
        <v>11201</v>
      </c>
      <c r="V6111" t="s">
        <v>265</v>
      </c>
      <c r="W6111">
        <v>2300</v>
      </c>
      <c r="X6111" t="s">
        <v>11335</v>
      </c>
      <c r="Y6111" t="s">
        <v>11351</v>
      </c>
      <c r="Z6111" t="s">
        <v>15142</v>
      </c>
      <c r="AB6111" t="s">
        <v>19430</v>
      </c>
      <c r="AC6111">
        <v>29</v>
      </c>
      <c r="AD6111" t="s">
        <v>19571</v>
      </c>
      <c r="AE6111" t="s">
        <v>9144</v>
      </c>
      <c r="AF6111">
        <v>7</v>
      </c>
      <c r="AG6111">
        <v>1</v>
      </c>
      <c r="AH6111">
        <v>0</v>
      </c>
      <c r="AI6111">
        <v>468.37</v>
      </c>
      <c r="AL6111" t="s">
        <v>19614</v>
      </c>
      <c r="AM6111">
        <v>58500</v>
      </c>
      <c r="AS6111">
        <v>0.1</v>
      </c>
      <c r="AT6111" t="s">
        <v>408</v>
      </c>
      <c r="AU6111" t="s">
        <v>20657</v>
      </c>
      <c r="AV6111" t="s">
        <v>20733</v>
      </c>
    </row>
    <row r="6112" spans="1:48">
      <c r="A6112" s="1">
        <f>HYPERLINK("https://lsnyc.legalserver.org/matter/dynamic-profile/view/1905711","19-1905711")</f>
        <v>0</v>
      </c>
      <c r="B6112" t="s">
        <v>78</v>
      </c>
      <c r="C6112" t="s">
        <v>256</v>
      </c>
      <c r="D6112" t="s">
        <v>328</v>
      </c>
      <c r="F6112" t="s">
        <v>1777</v>
      </c>
      <c r="G6112" t="s">
        <v>5593</v>
      </c>
      <c r="H6112" t="s">
        <v>5815</v>
      </c>
      <c r="I6112" t="s">
        <v>8140</v>
      </c>
      <c r="J6112" t="s">
        <v>9059</v>
      </c>
      <c r="K6112">
        <v>11212</v>
      </c>
      <c r="L6112" t="s">
        <v>9094</v>
      </c>
      <c r="M6112" t="s">
        <v>9095</v>
      </c>
      <c r="N6112" t="s">
        <v>9184</v>
      </c>
      <c r="O6112" t="s">
        <v>11132</v>
      </c>
      <c r="P6112" t="s">
        <v>11167</v>
      </c>
      <c r="R6112" t="s">
        <v>11180</v>
      </c>
      <c r="S6112" t="s">
        <v>9094</v>
      </c>
      <c r="T6112" t="s">
        <v>11186</v>
      </c>
      <c r="U6112" t="s">
        <v>11201</v>
      </c>
      <c r="V6112" t="s">
        <v>512</v>
      </c>
      <c r="W6112">
        <v>966</v>
      </c>
      <c r="X6112" t="s">
        <v>11332</v>
      </c>
      <c r="Y6112" t="s">
        <v>11339</v>
      </c>
      <c r="Z6112" t="s">
        <v>14632</v>
      </c>
      <c r="AB6112" t="s">
        <v>19431</v>
      </c>
      <c r="AC6112">
        <v>16</v>
      </c>
      <c r="AD6112" t="s">
        <v>19566</v>
      </c>
      <c r="AE6112" t="s">
        <v>9144</v>
      </c>
      <c r="AF6112">
        <v>16</v>
      </c>
      <c r="AG6112">
        <v>3</v>
      </c>
      <c r="AH6112">
        <v>0</v>
      </c>
      <c r="AI6112">
        <v>468.82</v>
      </c>
      <c r="AL6112" t="s">
        <v>19614</v>
      </c>
      <c r="AM6112">
        <v>100000</v>
      </c>
      <c r="AN6112" t="s">
        <v>20245</v>
      </c>
      <c r="AS6112">
        <v>1.1</v>
      </c>
      <c r="AT6112" t="s">
        <v>395</v>
      </c>
      <c r="AU6112" t="s">
        <v>79</v>
      </c>
      <c r="AV6112" t="s">
        <v>20733</v>
      </c>
    </row>
    <row r="6113" spans="1:48">
      <c r="A6113" s="1">
        <f>HYPERLINK("https://lsnyc.legalserver.org/matter/dynamic-profile/view/1899643","19-1899643")</f>
        <v>0</v>
      </c>
      <c r="B6113" t="s">
        <v>165</v>
      </c>
      <c r="C6113" t="s">
        <v>256</v>
      </c>
      <c r="D6113" t="s">
        <v>418</v>
      </c>
      <c r="F6113" t="s">
        <v>1777</v>
      </c>
      <c r="G6113" t="s">
        <v>5593</v>
      </c>
      <c r="H6113" t="s">
        <v>5815</v>
      </c>
      <c r="I6113" t="s">
        <v>8140</v>
      </c>
      <c r="J6113" t="s">
        <v>9059</v>
      </c>
      <c r="K6113">
        <v>11212</v>
      </c>
      <c r="L6113" t="s">
        <v>9094</v>
      </c>
      <c r="M6113" t="s">
        <v>9095</v>
      </c>
      <c r="N6113" t="s">
        <v>11112</v>
      </c>
      <c r="O6113" t="s">
        <v>11129</v>
      </c>
      <c r="P6113" t="s">
        <v>11165</v>
      </c>
      <c r="R6113" t="s">
        <v>11180</v>
      </c>
      <c r="S6113" t="s">
        <v>9096</v>
      </c>
      <c r="T6113" t="s">
        <v>11183</v>
      </c>
      <c r="U6113" t="s">
        <v>11201</v>
      </c>
      <c r="V6113" t="s">
        <v>293</v>
      </c>
      <c r="W6113">
        <v>966</v>
      </c>
      <c r="X6113" t="s">
        <v>11332</v>
      </c>
      <c r="Y6113" t="s">
        <v>11340</v>
      </c>
      <c r="Z6113" t="s">
        <v>14632</v>
      </c>
      <c r="AB6113" t="s">
        <v>19431</v>
      </c>
      <c r="AC6113">
        <v>16</v>
      </c>
      <c r="AD6113" t="s">
        <v>19566</v>
      </c>
      <c r="AE6113" t="s">
        <v>9144</v>
      </c>
      <c r="AF6113">
        <v>16</v>
      </c>
      <c r="AG6113">
        <v>3</v>
      </c>
      <c r="AH6113">
        <v>0</v>
      </c>
      <c r="AI6113">
        <v>468.82</v>
      </c>
      <c r="AL6113" t="s">
        <v>19614</v>
      </c>
      <c r="AM6113">
        <v>100000</v>
      </c>
      <c r="AS6113">
        <v>72.90000000000001</v>
      </c>
      <c r="AT6113" t="s">
        <v>594</v>
      </c>
      <c r="AU6113" t="s">
        <v>95</v>
      </c>
      <c r="AV6113" t="s">
        <v>20733</v>
      </c>
    </row>
    <row r="6114" spans="1:48">
      <c r="A6114" s="1">
        <f>HYPERLINK("https://lsnyc.legalserver.org/matter/dynamic-profile/view/1901091","19-1901091")</f>
        <v>0</v>
      </c>
      <c r="B6114" t="s">
        <v>76</v>
      </c>
      <c r="C6114" t="s">
        <v>256</v>
      </c>
      <c r="D6114" t="s">
        <v>394</v>
      </c>
      <c r="F6114" t="s">
        <v>1777</v>
      </c>
      <c r="G6114" t="s">
        <v>5593</v>
      </c>
      <c r="H6114" t="s">
        <v>5815</v>
      </c>
      <c r="I6114" t="s">
        <v>8140</v>
      </c>
      <c r="J6114" t="s">
        <v>9059</v>
      </c>
      <c r="K6114">
        <v>11212</v>
      </c>
      <c r="L6114" t="s">
        <v>9094</v>
      </c>
      <c r="M6114" t="s">
        <v>9095</v>
      </c>
      <c r="N6114" t="s">
        <v>9192</v>
      </c>
      <c r="P6114" t="s">
        <v>11170</v>
      </c>
      <c r="R6114" t="s">
        <v>11180</v>
      </c>
      <c r="S6114" t="s">
        <v>9094</v>
      </c>
      <c r="T6114" t="s">
        <v>11185</v>
      </c>
      <c r="U6114" t="s">
        <v>11201</v>
      </c>
      <c r="V6114" t="s">
        <v>264</v>
      </c>
      <c r="W6114">
        <v>996</v>
      </c>
      <c r="X6114" t="s">
        <v>11332</v>
      </c>
      <c r="Y6114" t="s">
        <v>11340</v>
      </c>
      <c r="Z6114" t="s">
        <v>14632</v>
      </c>
      <c r="AB6114" t="s">
        <v>19431</v>
      </c>
      <c r="AC6114">
        <v>16</v>
      </c>
      <c r="AD6114" t="s">
        <v>19566</v>
      </c>
      <c r="AE6114" t="s">
        <v>9144</v>
      </c>
      <c r="AF6114">
        <v>16</v>
      </c>
      <c r="AG6114">
        <v>3</v>
      </c>
      <c r="AH6114">
        <v>0</v>
      </c>
      <c r="AI6114">
        <v>468.82</v>
      </c>
      <c r="AL6114" t="s">
        <v>19614</v>
      </c>
      <c r="AM6114">
        <v>100000</v>
      </c>
      <c r="AN6114" t="s">
        <v>20246</v>
      </c>
      <c r="AS6114">
        <v>0</v>
      </c>
      <c r="AU6114" t="s">
        <v>95</v>
      </c>
      <c r="AV6114" t="s">
        <v>20733</v>
      </c>
    </row>
    <row r="6115" spans="1:48">
      <c r="A6115" s="1">
        <f>HYPERLINK("https://lsnyc.legalserver.org/matter/dynamic-profile/view/1874267","18-1874267")</f>
        <v>0</v>
      </c>
      <c r="B6115" t="s">
        <v>115</v>
      </c>
      <c r="C6115" t="s">
        <v>256</v>
      </c>
      <c r="D6115" t="s">
        <v>585</v>
      </c>
      <c r="F6115" t="s">
        <v>1147</v>
      </c>
      <c r="G6115" t="s">
        <v>3398</v>
      </c>
      <c r="H6115" t="s">
        <v>5908</v>
      </c>
      <c r="I6115" t="s">
        <v>8507</v>
      </c>
      <c r="J6115" t="s">
        <v>9065</v>
      </c>
      <c r="K6115">
        <v>10451</v>
      </c>
      <c r="L6115" t="s">
        <v>9094</v>
      </c>
      <c r="M6115" t="s">
        <v>9095</v>
      </c>
      <c r="O6115" t="s">
        <v>11137</v>
      </c>
      <c r="P6115" t="s">
        <v>11166</v>
      </c>
      <c r="R6115" t="s">
        <v>11180</v>
      </c>
      <c r="S6115" t="s">
        <v>9094</v>
      </c>
      <c r="T6115" t="s">
        <v>11183</v>
      </c>
      <c r="V6115" t="s">
        <v>585</v>
      </c>
      <c r="W6115">
        <v>947</v>
      </c>
      <c r="X6115" t="s">
        <v>11333</v>
      </c>
      <c r="Y6115" t="s">
        <v>11346</v>
      </c>
      <c r="Z6115" t="s">
        <v>14361</v>
      </c>
      <c r="AB6115" t="s">
        <v>19432</v>
      </c>
      <c r="AC6115">
        <v>81</v>
      </c>
      <c r="AD6115" t="s">
        <v>19566</v>
      </c>
      <c r="AE6115" t="s">
        <v>9144</v>
      </c>
      <c r="AF6115">
        <v>0</v>
      </c>
      <c r="AG6115">
        <v>1</v>
      </c>
      <c r="AH6115">
        <v>0</v>
      </c>
      <c r="AI6115">
        <v>469.52</v>
      </c>
      <c r="AJ6115" t="s">
        <v>388</v>
      </c>
      <c r="AK6115" t="s">
        <v>19612</v>
      </c>
      <c r="AL6115" t="s">
        <v>19614</v>
      </c>
      <c r="AM6115">
        <v>57000</v>
      </c>
      <c r="AS6115">
        <v>3.2</v>
      </c>
      <c r="AT6115" t="s">
        <v>488</v>
      </c>
      <c r="AU6115" t="s">
        <v>174</v>
      </c>
    </row>
    <row r="6116" spans="1:48">
      <c r="A6116" s="1">
        <f>HYPERLINK("https://lsnyc.legalserver.org/matter/dynamic-profile/view/1891914","19-1891914")</f>
        <v>0</v>
      </c>
      <c r="B6116" t="s">
        <v>70</v>
      </c>
      <c r="C6116" t="s">
        <v>256</v>
      </c>
      <c r="D6116" t="s">
        <v>868</v>
      </c>
      <c r="F6116" t="s">
        <v>3267</v>
      </c>
      <c r="G6116" t="s">
        <v>5189</v>
      </c>
      <c r="H6116" t="s">
        <v>5748</v>
      </c>
      <c r="I6116" t="s">
        <v>9019</v>
      </c>
      <c r="J6116" t="s">
        <v>9059</v>
      </c>
      <c r="K6116">
        <v>11233</v>
      </c>
      <c r="L6116" t="s">
        <v>9094</v>
      </c>
      <c r="M6116" t="s">
        <v>9096</v>
      </c>
      <c r="N6116" t="s">
        <v>9145</v>
      </c>
      <c r="O6116" t="s">
        <v>11134</v>
      </c>
      <c r="P6116" t="s">
        <v>11168</v>
      </c>
      <c r="R6116" t="s">
        <v>11180</v>
      </c>
      <c r="S6116" t="s">
        <v>9094</v>
      </c>
      <c r="T6116" t="s">
        <v>11183</v>
      </c>
      <c r="U6116" t="s">
        <v>11201</v>
      </c>
      <c r="V6116" t="s">
        <v>749</v>
      </c>
      <c r="W6116">
        <v>1292.74</v>
      </c>
      <c r="X6116" t="s">
        <v>11332</v>
      </c>
      <c r="Y6116" t="s">
        <v>11157</v>
      </c>
      <c r="Z6116" t="s">
        <v>15143</v>
      </c>
      <c r="AC6116">
        <v>359</v>
      </c>
      <c r="AD6116" t="s">
        <v>19566</v>
      </c>
      <c r="AE6116" t="s">
        <v>9144</v>
      </c>
      <c r="AF6116">
        <v>27</v>
      </c>
      <c r="AG6116">
        <v>2</v>
      </c>
      <c r="AH6116">
        <v>0</v>
      </c>
      <c r="AI6116">
        <v>473.09</v>
      </c>
      <c r="AL6116" t="s">
        <v>19614</v>
      </c>
      <c r="AM6116">
        <v>80000</v>
      </c>
      <c r="AN6116" t="s">
        <v>19846</v>
      </c>
      <c r="AS6116">
        <v>0</v>
      </c>
      <c r="AU6116" t="s">
        <v>79</v>
      </c>
    </row>
    <row r="6117" spans="1:48">
      <c r="A6117" s="1">
        <f>HYPERLINK("https://lsnyc.legalserver.org/matter/dynamic-profile/view/1891920","19-1891920")</f>
        <v>0</v>
      </c>
      <c r="B6117" t="s">
        <v>70</v>
      </c>
      <c r="C6117" t="s">
        <v>256</v>
      </c>
      <c r="D6117" t="s">
        <v>868</v>
      </c>
      <c r="F6117" t="s">
        <v>3267</v>
      </c>
      <c r="G6117" t="s">
        <v>5189</v>
      </c>
      <c r="H6117" t="s">
        <v>5748</v>
      </c>
      <c r="I6117" t="s">
        <v>9019</v>
      </c>
      <c r="J6117" t="s">
        <v>9059</v>
      </c>
      <c r="K6117">
        <v>11233</v>
      </c>
      <c r="L6117" t="s">
        <v>9094</v>
      </c>
      <c r="M6117" t="s">
        <v>9096</v>
      </c>
      <c r="O6117" t="s">
        <v>11137</v>
      </c>
      <c r="P6117" t="s">
        <v>11167</v>
      </c>
      <c r="R6117" t="s">
        <v>11180</v>
      </c>
      <c r="S6117" t="s">
        <v>9094</v>
      </c>
      <c r="T6117" t="s">
        <v>11183</v>
      </c>
      <c r="U6117" t="s">
        <v>11201</v>
      </c>
      <c r="V6117" t="s">
        <v>749</v>
      </c>
      <c r="W6117">
        <v>1292.74</v>
      </c>
      <c r="X6117" t="s">
        <v>11332</v>
      </c>
      <c r="Y6117" t="s">
        <v>11157</v>
      </c>
      <c r="Z6117" t="s">
        <v>15143</v>
      </c>
      <c r="AC6117">
        <v>359</v>
      </c>
      <c r="AD6117" t="s">
        <v>19566</v>
      </c>
      <c r="AE6117" t="s">
        <v>9144</v>
      </c>
      <c r="AF6117">
        <v>27</v>
      </c>
      <c r="AG6117">
        <v>2</v>
      </c>
      <c r="AH6117">
        <v>0</v>
      </c>
      <c r="AI6117">
        <v>473.09</v>
      </c>
      <c r="AL6117" t="s">
        <v>19614</v>
      </c>
      <c r="AM6117">
        <v>80000</v>
      </c>
      <c r="AN6117" t="s">
        <v>20247</v>
      </c>
      <c r="AS6117">
        <v>0</v>
      </c>
      <c r="AU6117" t="s">
        <v>79</v>
      </c>
    </row>
    <row r="6118" spans="1:48">
      <c r="A6118" s="1">
        <f>HYPERLINK("https://lsnyc.legalserver.org/matter/dynamic-profile/view/1906527","19-1906527")</f>
        <v>0</v>
      </c>
      <c r="B6118" t="s">
        <v>83</v>
      </c>
      <c r="C6118" t="s">
        <v>256</v>
      </c>
      <c r="D6118" t="s">
        <v>864</v>
      </c>
      <c r="F6118" t="s">
        <v>1734</v>
      </c>
      <c r="G6118" t="s">
        <v>5594</v>
      </c>
      <c r="H6118" t="s">
        <v>6257</v>
      </c>
      <c r="I6118" t="s">
        <v>8151</v>
      </c>
      <c r="J6118" t="s">
        <v>9059</v>
      </c>
      <c r="K6118">
        <v>11225</v>
      </c>
      <c r="L6118" t="s">
        <v>9094</v>
      </c>
      <c r="M6118" t="s">
        <v>9095</v>
      </c>
      <c r="O6118" t="s">
        <v>11132</v>
      </c>
      <c r="P6118" t="s">
        <v>11165</v>
      </c>
      <c r="R6118" t="s">
        <v>11180</v>
      </c>
      <c r="S6118" t="s">
        <v>9094</v>
      </c>
      <c r="T6118" t="s">
        <v>11183</v>
      </c>
      <c r="V6118" t="s">
        <v>329</v>
      </c>
      <c r="W6118">
        <v>1639.25</v>
      </c>
      <c r="X6118" t="s">
        <v>11332</v>
      </c>
      <c r="Z6118" t="s">
        <v>15144</v>
      </c>
      <c r="AB6118" t="s">
        <v>19433</v>
      </c>
      <c r="AC6118">
        <v>11</v>
      </c>
      <c r="AF6118">
        <v>7</v>
      </c>
      <c r="AG6118">
        <v>2</v>
      </c>
      <c r="AH6118">
        <v>0</v>
      </c>
      <c r="AI6118">
        <v>473.09</v>
      </c>
      <c r="AL6118" t="s">
        <v>19614</v>
      </c>
      <c r="AM6118">
        <v>80000</v>
      </c>
      <c r="AS6118">
        <v>0.1</v>
      </c>
      <c r="AT6118" t="s">
        <v>288</v>
      </c>
      <c r="AU6118" t="s">
        <v>215</v>
      </c>
      <c r="AV6118" t="s">
        <v>20733</v>
      </c>
    </row>
    <row r="6119" spans="1:48">
      <c r="A6119" s="1">
        <f>HYPERLINK("https://lsnyc.legalserver.org/matter/dynamic-profile/view/1906550","19-1906550")</f>
        <v>0</v>
      </c>
      <c r="B6119" t="s">
        <v>83</v>
      </c>
      <c r="C6119" t="s">
        <v>256</v>
      </c>
      <c r="D6119" t="s">
        <v>333</v>
      </c>
      <c r="F6119" t="s">
        <v>1734</v>
      </c>
      <c r="G6119" t="s">
        <v>5594</v>
      </c>
      <c r="H6119" t="s">
        <v>6257</v>
      </c>
      <c r="I6119" t="s">
        <v>8151</v>
      </c>
      <c r="J6119" t="s">
        <v>9059</v>
      </c>
      <c r="K6119">
        <v>11225</v>
      </c>
      <c r="L6119" t="s">
        <v>9094</v>
      </c>
      <c r="M6119" t="s">
        <v>9095</v>
      </c>
      <c r="O6119" t="s">
        <v>11134</v>
      </c>
      <c r="P6119" t="s">
        <v>11168</v>
      </c>
      <c r="R6119" t="s">
        <v>11180</v>
      </c>
      <c r="S6119" t="s">
        <v>9094</v>
      </c>
      <c r="T6119" t="s">
        <v>11183</v>
      </c>
      <c r="V6119" t="s">
        <v>333</v>
      </c>
      <c r="W6119">
        <v>1639.26</v>
      </c>
      <c r="X6119" t="s">
        <v>11332</v>
      </c>
      <c r="Z6119" t="s">
        <v>15144</v>
      </c>
      <c r="AB6119" t="s">
        <v>19433</v>
      </c>
      <c r="AC6119">
        <v>11</v>
      </c>
      <c r="AD6119" t="s">
        <v>19566</v>
      </c>
      <c r="AF6119">
        <v>7</v>
      </c>
      <c r="AG6119">
        <v>2</v>
      </c>
      <c r="AH6119">
        <v>0</v>
      </c>
      <c r="AI6119">
        <v>473.09</v>
      </c>
      <c r="AL6119" t="s">
        <v>19614</v>
      </c>
      <c r="AM6119">
        <v>80000</v>
      </c>
      <c r="AS6119">
        <v>0.1</v>
      </c>
      <c r="AT6119" t="s">
        <v>288</v>
      </c>
      <c r="AU6119" t="s">
        <v>215</v>
      </c>
      <c r="AV6119" t="s">
        <v>20733</v>
      </c>
    </row>
    <row r="6120" spans="1:48">
      <c r="A6120" s="1">
        <f>HYPERLINK("https://lsnyc.legalserver.org/matter/dynamic-profile/view/1906678","19-1906678")</f>
        <v>0</v>
      </c>
      <c r="B6120" t="s">
        <v>83</v>
      </c>
      <c r="C6120" t="s">
        <v>256</v>
      </c>
      <c r="D6120" t="s">
        <v>333</v>
      </c>
      <c r="F6120" t="s">
        <v>1734</v>
      </c>
      <c r="G6120" t="s">
        <v>5594</v>
      </c>
      <c r="H6120" t="s">
        <v>6257</v>
      </c>
      <c r="I6120" t="s">
        <v>8151</v>
      </c>
      <c r="J6120" t="s">
        <v>9059</v>
      </c>
      <c r="K6120">
        <v>11225</v>
      </c>
      <c r="L6120" t="s">
        <v>9094</v>
      </c>
      <c r="M6120" t="s">
        <v>9095</v>
      </c>
      <c r="P6120" t="s">
        <v>11168</v>
      </c>
      <c r="R6120" t="s">
        <v>11180</v>
      </c>
      <c r="S6120" t="s">
        <v>9094</v>
      </c>
      <c r="T6120" t="s">
        <v>11183</v>
      </c>
      <c r="V6120" t="s">
        <v>11327</v>
      </c>
      <c r="W6120">
        <v>1639.25</v>
      </c>
      <c r="X6120" t="s">
        <v>11332</v>
      </c>
      <c r="Z6120" t="s">
        <v>15144</v>
      </c>
      <c r="AB6120" t="s">
        <v>19433</v>
      </c>
      <c r="AC6120">
        <v>0</v>
      </c>
      <c r="AF6120">
        <v>7</v>
      </c>
      <c r="AG6120">
        <v>2</v>
      </c>
      <c r="AH6120">
        <v>0</v>
      </c>
      <c r="AI6120">
        <v>473.09</v>
      </c>
      <c r="AL6120" t="s">
        <v>19614</v>
      </c>
      <c r="AM6120">
        <v>80000</v>
      </c>
      <c r="AS6120">
        <v>0.1</v>
      </c>
      <c r="AT6120" t="s">
        <v>288</v>
      </c>
      <c r="AU6120" t="s">
        <v>215</v>
      </c>
      <c r="AV6120" t="s">
        <v>20733</v>
      </c>
    </row>
    <row r="6121" spans="1:48">
      <c r="A6121" s="1">
        <f>HYPERLINK("https://lsnyc.legalserver.org/matter/dynamic-profile/view/1909155","19-1909155")</f>
        <v>0</v>
      </c>
      <c r="B6121" t="s">
        <v>98</v>
      </c>
      <c r="C6121" t="s">
        <v>256</v>
      </c>
      <c r="D6121" t="s">
        <v>472</v>
      </c>
      <c r="F6121" t="s">
        <v>3016</v>
      </c>
      <c r="G6121" t="s">
        <v>3740</v>
      </c>
      <c r="H6121" t="s">
        <v>5879</v>
      </c>
      <c r="I6121" t="s">
        <v>8170</v>
      </c>
      <c r="J6121" t="s">
        <v>9065</v>
      </c>
      <c r="K6121">
        <v>10456</v>
      </c>
      <c r="L6121" t="s">
        <v>9094</v>
      </c>
      <c r="M6121" t="s">
        <v>9095</v>
      </c>
      <c r="O6121" t="s">
        <v>11134</v>
      </c>
      <c r="P6121" t="s">
        <v>11168</v>
      </c>
      <c r="R6121" t="s">
        <v>11180</v>
      </c>
      <c r="S6121" t="s">
        <v>9094</v>
      </c>
      <c r="T6121" t="s">
        <v>11183</v>
      </c>
      <c r="W6121">
        <v>998</v>
      </c>
      <c r="X6121" t="s">
        <v>11333</v>
      </c>
      <c r="Y6121" t="s">
        <v>11346</v>
      </c>
      <c r="Z6121" t="s">
        <v>15145</v>
      </c>
      <c r="AB6121" t="s">
        <v>19434</v>
      </c>
      <c r="AC6121">
        <v>30</v>
      </c>
      <c r="AD6121" t="s">
        <v>19566</v>
      </c>
      <c r="AE6121" t="s">
        <v>9144</v>
      </c>
      <c r="AF6121">
        <v>32</v>
      </c>
      <c r="AG6121">
        <v>2</v>
      </c>
      <c r="AH6121">
        <v>0</v>
      </c>
      <c r="AI6121">
        <v>473.09</v>
      </c>
      <c r="AL6121" t="s">
        <v>19614</v>
      </c>
      <c r="AM6121">
        <v>80000</v>
      </c>
      <c r="AS6121">
        <v>0</v>
      </c>
      <c r="AU6121" t="s">
        <v>20642</v>
      </c>
      <c r="AV6121" t="s">
        <v>20733</v>
      </c>
    </row>
    <row r="6122" spans="1:48">
      <c r="A6122" s="1">
        <f>HYPERLINK("https://lsnyc.legalserver.org/matter/dynamic-profile/view/1909152","19-1909152")</f>
        <v>0</v>
      </c>
      <c r="B6122" t="s">
        <v>98</v>
      </c>
      <c r="C6122" t="s">
        <v>256</v>
      </c>
      <c r="D6122" t="s">
        <v>472</v>
      </c>
      <c r="F6122" t="s">
        <v>3016</v>
      </c>
      <c r="G6122" t="s">
        <v>3740</v>
      </c>
      <c r="H6122" t="s">
        <v>5879</v>
      </c>
      <c r="I6122" t="s">
        <v>8170</v>
      </c>
      <c r="J6122" t="s">
        <v>9065</v>
      </c>
      <c r="K6122">
        <v>10456</v>
      </c>
      <c r="L6122" t="s">
        <v>9094</v>
      </c>
      <c r="M6122" t="s">
        <v>9095</v>
      </c>
      <c r="N6122" t="s">
        <v>9235</v>
      </c>
      <c r="O6122" t="s">
        <v>11130</v>
      </c>
      <c r="P6122" t="s">
        <v>11165</v>
      </c>
      <c r="R6122" t="s">
        <v>11180</v>
      </c>
      <c r="S6122" t="s">
        <v>9094</v>
      </c>
      <c r="T6122" t="s">
        <v>11183</v>
      </c>
      <c r="W6122">
        <v>998</v>
      </c>
      <c r="X6122" t="s">
        <v>11333</v>
      </c>
      <c r="Y6122" t="s">
        <v>11346</v>
      </c>
      <c r="Z6122" t="s">
        <v>15145</v>
      </c>
      <c r="AB6122" t="s">
        <v>19434</v>
      </c>
      <c r="AC6122">
        <v>30</v>
      </c>
      <c r="AD6122" t="s">
        <v>19566</v>
      </c>
      <c r="AE6122" t="s">
        <v>9144</v>
      </c>
      <c r="AF6122">
        <v>32</v>
      </c>
      <c r="AG6122">
        <v>2</v>
      </c>
      <c r="AH6122">
        <v>0</v>
      </c>
      <c r="AI6122">
        <v>473.09</v>
      </c>
      <c r="AL6122" t="s">
        <v>19614</v>
      </c>
      <c r="AM6122">
        <v>80000</v>
      </c>
      <c r="AS6122">
        <v>0</v>
      </c>
      <c r="AU6122" t="s">
        <v>20642</v>
      </c>
      <c r="AV6122" t="s">
        <v>20733</v>
      </c>
    </row>
    <row r="6123" spans="1:48">
      <c r="A6123" s="1">
        <f>HYPERLINK("https://lsnyc.legalserver.org/matter/dynamic-profile/view/1892467","19-1892467")</f>
        <v>0</v>
      </c>
      <c r="B6123" t="s">
        <v>83</v>
      </c>
      <c r="C6123" t="s">
        <v>256</v>
      </c>
      <c r="D6123" t="s">
        <v>635</v>
      </c>
      <c r="F6123" t="s">
        <v>2424</v>
      </c>
      <c r="G6123" t="s">
        <v>5595</v>
      </c>
      <c r="H6123" t="s">
        <v>5987</v>
      </c>
      <c r="I6123" t="s">
        <v>8112</v>
      </c>
      <c r="J6123" t="s">
        <v>9059</v>
      </c>
      <c r="K6123">
        <v>11225</v>
      </c>
      <c r="L6123" t="s">
        <v>9094</v>
      </c>
      <c r="M6123" t="s">
        <v>9094</v>
      </c>
      <c r="O6123" t="s">
        <v>11134</v>
      </c>
      <c r="P6123" t="s">
        <v>11168</v>
      </c>
      <c r="R6123" t="s">
        <v>11180</v>
      </c>
      <c r="S6123" t="s">
        <v>9094</v>
      </c>
      <c r="T6123" t="s">
        <v>11183</v>
      </c>
      <c r="V6123" t="s">
        <v>577</v>
      </c>
      <c r="W6123">
        <v>0</v>
      </c>
      <c r="X6123" t="s">
        <v>11332</v>
      </c>
      <c r="Z6123" t="s">
        <v>13918</v>
      </c>
      <c r="AB6123" t="s">
        <v>15274</v>
      </c>
      <c r="AC6123">
        <v>0</v>
      </c>
      <c r="AF6123">
        <v>0</v>
      </c>
      <c r="AG6123">
        <v>2</v>
      </c>
      <c r="AH6123">
        <v>0</v>
      </c>
      <c r="AI6123">
        <v>479.01</v>
      </c>
      <c r="AL6123" t="s">
        <v>19614</v>
      </c>
      <c r="AM6123">
        <v>81000</v>
      </c>
      <c r="AN6123" t="s">
        <v>19825</v>
      </c>
      <c r="AS6123">
        <v>1</v>
      </c>
      <c r="AT6123" t="s">
        <v>512</v>
      </c>
      <c r="AU6123" t="s">
        <v>215</v>
      </c>
    </row>
    <row r="6124" spans="1:48">
      <c r="A6124" s="1">
        <f>HYPERLINK("https://lsnyc.legalserver.org/matter/dynamic-profile/view/1854704","17-1854704")</f>
        <v>0</v>
      </c>
      <c r="B6124" t="s">
        <v>101</v>
      </c>
      <c r="C6124" t="s">
        <v>256</v>
      </c>
      <c r="D6124" t="s">
        <v>990</v>
      </c>
      <c r="F6124" t="s">
        <v>2259</v>
      </c>
      <c r="G6124" t="s">
        <v>5596</v>
      </c>
      <c r="H6124" t="s">
        <v>6041</v>
      </c>
      <c r="I6124" t="s">
        <v>8302</v>
      </c>
      <c r="J6124" t="s">
        <v>9065</v>
      </c>
      <c r="K6124">
        <v>10452</v>
      </c>
      <c r="L6124" t="s">
        <v>9094</v>
      </c>
      <c r="M6124" t="s">
        <v>9095</v>
      </c>
      <c r="N6124" t="s">
        <v>9356</v>
      </c>
      <c r="O6124" t="s">
        <v>11135</v>
      </c>
      <c r="P6124" t="s">
        <v>11168</v>
      </c>
      <c r="R6124" t="s">
        <v>11180</v>
      </c>
      <c r="S6124" t="s">
        <v>9094</v>
      </c>
      <c r="T6124" t="s">
        <v>11183</v>
      </c>
      <c r="V6124" t="s">
        <v>1122</v>
      </c>
      <c r="W6124">
        <v>745.05</v>
      </c>
      <c r="X6124" t="s">
        <v>11333</v>
      </c>
      <c r="Y6124" t="s">
        <v>11346</v>
      </c>
      <c r="Z6124" t="s">
        <v>15146</v>
      </c>
      <c r="AB6124" t="s">
        <v>19435</v>
      </c>
      <c r="AC6124">
        <v>62</v>
      </c>
      <c r="AD6124" t="s">
        <v>19566</v>
      </c>
      <c r="AE6124" t="s">
        <v>9144</v>
      </c>
      <c r="AF6124">
        <v>39</v>
      </c>
      <c r="AG6124">
        <v>3</v>
      </c>
      <c r="AH6124">
        <v>1</v>
      </c>
      <c r="AI6124">
        <v>479.67</v>
      </c>
      <c r="AL6124" t="s">
        <v>19615</v>
      </c>
      <c r="AM6124">
        <v>193000</v>
      </c>
      <c r="AS6124">
        <v>0.6</v>
      </c>
      <c r="AT6124" t="s">
        <v>990</v>
      </c>
      <c r="AU6124" t="s">
        <v>174</v>
      </c>
    </row>
    <row r="6125" spans="1:48">
      <c r="A6125" s="1">
        <f>HYPERLINK("https://lsnyc.legalserver.org/matter/dynamic-profile/view/1894310","19-1894310")</f>
        <v>0</v>
      </c>
      <c r="B6125" t="s">
        <v>83</v>
      </c>
      <c r="C6125" t="s">
        <v>256</v>
      </c>
      <c r="D6125" t="s">
        <v>421</v>
      </c>
      <c r="F6125" t="s">
        <v>2424</v>
      </c>
      <c r="G6125" t="s">
        <v>5595</v>
      </c>
      <c r="H6125" t="s">
        <v>5987</v>
      </c>
      <c r="I6125" t="s">
        <v>8112</v>
      </c>
      <c r="J6125" t="s">
        <v>9059</v>
      </c>
      <c r="K6125">
        <v>11225</v>
      </c>
      <c r="L6125" t="s">
        <v>9094</v>
      </c>
      <c r="M6125" t="s">
        <v>9094</v>
      </c>
      <c r="P6125" t="s">
        <v>11165</v>
      </c>
      <c r="R6125" t="s">
        <v>11180</v>
      </c>
      <c r="S6125" t="s">
        <v>9094</v>
      </c>
      <c r="T6125" t="s">
        <v>11183</v>
      </c>
      <c r="V6125" t="s">
        <v>421</v>
      </c>
      <c r="W6125">
        <v>0</v>
      </c>
      <c r="X6125" t="s">
        <v>11332</v>
      </c>
      <c r="Z6125" t="s">
        <v>13918</v>
      </c>
      <c r="AB6125" t="s">
        <v>15274</v>
      </c>
      <c r="AC6125">
        <v>0</v>
      </c>
      <c r="AF6125">
        <v>0</v>
      </c>
      <c r="AG6125">
        <v>2</v>
      </c>
      <c r="AH6125">
        <v>0</v>
      </c>
      <c r="AI6125">
        <v>480.19</v>
      </c>
      <c r="AL6125" t="s">
        <v>19614</v>
      </c>
      <c r="AM6125">
        <v>81200</v>
      </c>
      <c r="AS6125">
        <v>0</v>
      </c>
      <c r="AU6125" t="s">
        <v>215</v>
      </c>
    </row>
    <row r="6126" spans="1:48">
      <c r="A6126" s="1">
        <f>HYPERLINK("https://lsnyc.legalserver.org/matter/dynamic-profile/view/1911025","19-1911025")</f>
        <v>0</v>
      </c>
      <c r="B6126" t="s">
        <v>83</v>
      </c>
      <c r="C6126" t="s">
        <v>256</v>
      </c>
      <c r="D6126" t="s">
        <v>648</v>
      </c>
      <c r="F6126" t="s">
        <v>2424</v>
      </c>
      <c r="G6126" t="s">
        <v>5595</v>
      </c>
      <c r="H6126" t="s">
        <v>5987</v>
      </c>
      <c r="I6126" t="s">
        <v>8112</v>
      </c>
      <c r="J6126" t="s">
        <v>9059</v>
      </c>
      <c r="K6126">
        <v>11225</v>
      </c>
      <c r="L6126" t="s">
        <v>9094</v>
      </c>
      <c r="M6126" t="s">
        <v>9095</v>
      </c>
      <c r="P6126" t="s">
        <v>11168</v>
      </c>
      <c r="R6126" t="s">
        <v>11180</v>
      </c>
      <c r="S6126" t="s">
        <v>9094</v>
      </c>
      <c r="T6126" t="s">
        <v>11183</v>
      </c>
      <c r="V6126" t="s">
        <v>295</v>
      </c>
      <c r="W6126">
        <v>0</v>
      </c>
      <c r="X6126" t="s">
        <v>11332</v>
      </c>
      <c r="Z6126" t="s">
        <v>13918</v>
      </c>
      <c r="AB6126" t="s">
        <v>15274</v>
      </c>
      <c r="AC6126">
        <v>14</v>
      </c>
      <c r="AF6126">
        <v>0</v>
      </c>
      <c r="AG6126">
        <v>2</v>
      </c>
      <c r="AH6126">
        <v>0</v>
      </c>
      <c r="AI6126">
        <v>480.19</v>
      </c>
      <c r="AL6126" t="s">
        <v>19614</v>
      </c>
      <c r="AM6126">
        <v>81200</v>
      </c>
      <c r="AS6126">
        <v>0</v>
      </c>
      <c r="AU6126" t="s">
        <v>215</v>
      </c>
      <c r="AV6126" t="s">
        <v>20733</v>
      </c>
    </row>
    <row r="6127" spans="1:48">
      <c r="A6127" s="1">
        <f>HYPERLINK("https://lsnyc.legalserver.org/matter/dynamic-profile/view/1900045","19-1900045")</f>
        <v>0</v>
      </c>
      <c r="B6127" t="s">
        <v>113</v>
      </c>
      <c r="C6127" t="s">
        <v>256</v>
      </c>
      <c r="D6127" t="s">
        <v>293</v>
      </c>
      <c r="F6127" t="s">
        <v>2024</v>
      </c>
      <c r="G6127" t="s">
        <v>5597</v>
      </c>
      <c r="H6127" t="s">
        <v>5864</v>
      </c>
      <c r="J6127" t="s">
        <v>9065</v>
      </c>
      <c r="K6127">
        <v>10460</v>
      </c>
      <c r="L6127" t="s">
        <v>9094</v>
      </c>
      <c r="M6127" t="s">
        <v>9095</v>
      </c>
      <c r="O6127" t="s">
        <v>9121</v>
      </c>
      <c r="P6127" t="s">
        <v>11166</v>
      </c>
      <c r="R6127" t="s">
        <v>11180</v>
      </c>
      <c r="S6127" t="s">
        <v>9094</v>
      </c>
      <c r="T6127" t="s">
        <v>11183</v>
      </c>
      <c r="V6127" t="s">
        <v>11218</v>
      </c>
      <c r="W6127">
        <v>1367</v>
      </c>
      <c r="X6127" t="s">
        <v>11333</v>
      </c>
      <c r="Y6127" t="s">
        <v>11346</v>
      </c>
      <c r="Z6127" t="s">
        <v>15147</v>
      </c>
      <c r="AB6127" t="s">
        <v>19436</v>
      </c>
      <c r="AC6127">
        <v>168</v>
      </c>
      <c r="AD6127" t="s">
        <v>19566</v>
      </c>
      <c r="AE6127" t="s">
        <v>9144</v>
      </c>
      <c r="AF6127">
        <v>34</v>
      </c>
      <c r="AG6127">
        <v>1</v>
      </c>
      <c r="AH6127">
        <v>0</v>
      </c>
      <c r="AI6127">
        <v>480.26</v>
      </c>
      <c r="AL6127" t="s">
        <v>19614</v>
      </c>
      <c r="AM6127">
        <v>59985</v>
      </c>
      <c r="AS6127">
        <v>0</v>
      </c>
      <c r="AU6127" t="s">
        <v>220</v>
      </c>
      <c r="AV6127" t="s">
        <v>20733</v>
      </c>
    </row>
    <row r="6128" spans="1:48">
      <c r="A6128" s="1">
        <f>HYPERLINK("https://lsnyc.legalserver.org/matter/dynamic-profile/view/1835983","17-1835983")</f>
        <v>0</v>
      </c>
      <c r="B6128" t="s">
        <v>136</v>
      </c>
      <c r="C6128" t="s">
        <v>256</v>
      </c>
      <c r="D6128" t="s">
        <v>821</v>
      </c>
      <c r="F6128" t="s">
        <v>1231</v>
      </c>
      <c r="G6128" t="s">
        <v>3811</v>
      </c>
      <c r="H6128" t="s">
        <v>6681</v>
      </c>
      <c r="I6128" t="s">
        <v>8308</v>
      </c>
      <c r="J6128" t="s">
        <v>9067</v>
      </c>
      <c r="K6128">
        <v>10040</v>
      </c>
      <c r="L6128" t="s">
        <v>9094</v>
      </c>
      <c r="M6128" t="s">
        <v>9095</v>
      </c>
      <c r="O6128" t="s">
        <v>11135</v>
      </c>
      <c r="P6128" t="s">
        <v>11168</v>
      </c>
      <c r="R6128" t="s">
        <v>11180</v>
      </c>
      <c r="S6128" t="s">
        <v>9094</v>
      </c>
      <c r="T6128" t="s">
        <v>11183</v>
      </c>
      <c r="V6128" t="s">
        <v>878</v>
      </c>
      <c r="W6128">
        <v>1102</v>
      </c>
      <c r="X6128" t="s">
        <v>11335</v>
      </c>
      <c r="Y6128" t="s">
        <v>11339</v>
      </c>
      <c r="Z6128" t="s">
        <v>12564</v>
      </c>
      <c r="AB6128" t="s">
        <v>19437</v>
      </c>
      <c r="AC6128">
        <v>43</v>
      </c>
      <c r="AD6128" t="s">
        <v>19566</v>
      </c>
      <c r="AE6128" t="s">
        <v>9144</v>
      </c>
      <c r="AF6128">
        <v>12</v>
      </c>
      <c r="AG6128">
        <v>2</v>
      </c>
      <c r="AH6128">
        <v>0</v>
      </c>
      <c r="AI6128">
        <v>480.3</v>
      </c>
      <c r="AJ6128" t="s">
        <v>1089</v>
      </c>
      <c r="AL6128" t="s">
        <v>19614</v>
      </c>
      <c r="AM6128">
        <v>78000</v>
      </c>
      <c r="AS6128">
        <v>0</v>
      </c>
      <c r="AU6128" t="s">
        <v>20657</v>
      </c>
    </row>
    <row r="6129" spans="1:48">
      <c r="A6129" s="1">
        <f>HYPERLINK("https://lsnyc.legalserver.org/matter/dynamic-profile/view/1908363","19-1908363")</f>
        <v>0</v>
      </c>
      <c r="B6129" t="s">
        <v>55</v>
      </c>
      <c r="C6129" t="s">
        <v>256</v>
      </c>
      <c r="D6129" t="s">
        <v>314</v>
      </c>
      <c r="F6129" t="s">
        <v>3268</v>
      </c>
      <c r="G6129" t="s">
        <v>5598</v>
      </c>
      <c r="H6129" t="s">
        <v>6954</v>
      </c>
      <c r="I6129" t="s">
        <v>8170</v>
      </c>
      <c r="J6129" t="s">
        <v>9050</v>
      </c>
      <c r="K6129">
        <v>11377</v>
      </c>
      <c r="L6129" t="s">
        <v>9094</v>
      </c>
      <c r="M6129" t="s">
        <v>9095</v>
      </c>
      <c r="N6129" t="s">
        <v>10067</v>
      </c>
      <c r="O6129" t="s">
        <v>11134</v>
      </c>
      <c r="P6129" t="s">
        <v>11168</v>
      </c>
      <c r="R6129" t="s">
        <v>11180</v>
      </c>
      <c r="S6129" t="s">
        <v>9094</v>
      </c>
      <c r="T6129" t="s">
        <v>11183</v>
      </c>
      <c r="U6129" t="s">
        <v>11201</v>
      </c>
      <c r="V6129" t="s">
        <v>314</v>
      </c>
      <c r="W6129">
        <v>1854</v>
      </c>
      <c r="X6129" t="s">
        <v>11331</v>
      </c>
      <c r="Y6129" t="s">
        <v>11346</v>
      </c>
      <c r="Z6129" t="s">
        <v>15148</v>
      </c>
      <c r="AB6129" t="s">
        <v>19438</v>
      </c>
      <c r="AC6129">
        <v>67</v>
      </c>
      <c r="AD6129" t="s">
        <v>19566</v>
      </c>
      <c r="AE6129" t="s">
        <v>9144</v>
      </c>
      <c r="AF6129">
        <v>26</v>
      </c>
      <c r="AG6129">
        <v>1</v>
      </c>
      <c r="AH6129">
        <v>0</v>
      </c>
      <c r="AI6129">
        <v>480.38</v>
      </c>
      <c r="AL6129" t="s">
        <v>19615</v>
      </c>
      <c r="AM6129">
        <v>60000</v>
      </c>
      <c r="AP6129" t="s">
        <v>11157</v>
      </c>
      <c r="AS6129">
        <v>0.4</v>
      </c>
      <c r="AT6129" t="s">
        <v>314</v>
      </c>
      <c r="AU6129" t="s">
        <v>20620</v>
      </c>
      <c r="AV6129" t="s">
        <v>20733</v>
      </c>
    </row>
    <row r="6130" spans="1:48">
      <c r="A6130" s="1">
        <f>HYPERLINK("https://lsnyc.legalserver.org/matter/dynamic-profile/view/1908367","19-1908367")</f>
        <v>0</v>
      </c>
      <c r="B6130" t="s">
        <v>55</v>
      </c>
      <c r="C6130" t="s">
        <v>256</v>
      </c>
      <c r="D6130" t="s">
        <v>314</v>
      </c>
      <c r="F6130" t="s">
        <v>3268</v>
      </c>
      <c r="G6130" t="s">
        <v>5598</v>
      </c>
      <c r="H6130" t="s">
        <v>6954</v>
      </c>
      <c r="I6130" t="s">
        <v>8170</v>
      </c>
      <c r="J6130" t="s">
        <v>9050</v>
      </c>
      <c r="K6130">
        <v>11377</v>
      </c>
      <c r="L6130" t="s">
        <v>9094</v>
      </c>
      <c r="M6130" t="s">
        <v>9095</v>
      </c>
      <c r="N6130" t="s">
        <v>10068</v>
      </c>
      <c r="O6130" t="s">
        <v>11134</v>
      </c>
      <c r="P6130" t="s">
        <v>11168</v>
      </c>
      <c r="R6130" t="s">
        <v>11180</v>
      </c>
      <c r="S6130" t="s">
        <v>9094</v>
      </c>
      <c r="T6130" t="s">
        <v>11183</v>
      </c>
      <c r="V6130" t="s">
        <v>11267</v>
      </c>
      <c r="W6130">
        <v>1854</v>
      </c>
      <c r="X6130" t="s">
        <v>11331</v>
      </c>
      <c r="Y6130" t="s">
        <v>11346</v>
      </c>
      <c r="Z6130" t="s">
        <v>15148</v>
      </c>
      <c r="AB6130" t="s">
        <v>19438</v>
      </c>
      <c r="AC6130">
        <v>66</v>
      </c>
      <c r="AD6130" t="s">
        <v>19566</v>
      </c>
      <c r="AE6130" t="s">
        <v>9144</v>
      </c>
      <c r="AF6130">
        <v>26</v>
      </c>
      <c r="AG6130">
        <v>1</v>
      </c>
      <c r="AH6130">
        <v>0</v>
      </c>
      <c r="AI6130">
        <v>480.38</v>
      </c>
      <c r="AL6130" t="s">
        <v>19615</v>
      </c>
      <c r="AM6130">
        <v>60000</v>
      </c>
      <c r="AS6130">
        <v>0.2</v>
      </c>
      <c r="AT6130" t="s">
        <v>314</v>
      </c>
      <c r="AU6130" t="s">
        <v>20620</v>
      </c>
      <c r="AV6130" t="s">
        <v>20733</v>
      </c>
    </row>
    <row r="6131" spans="1:48">
      <c r="A6131" s="1">
        <f>HYPERLINK("https://lsnyc.legalserver.org/matter/dynamic-profile/view/1905412","19-1905412")</f>
        <v>0</v>
      </c>
      <c r="B6131" t="s">
        <v>98</v>
      </c>
      <c r="C6131" t="s">
        <v>257</v>
      </c>
      <c r="D6131" t="s">
        <v>408</v>
      </c>
      <c r="E6131" t="s">
        <v>328</v>
      </c>
      <c r="F6131" t="s">
        <v>3269</v>
      </c>
      <c r="G6131" t="s">
        <v>3827</v>
      </c>
      <c r="H6131" t="s">
        <v>7995</v>
      </c>
      <c r="I6131" t="s">
        <v>8216</v>
      </c>
      <c r="J6131" t="s">
        <v>9065</v>
      </c>
      <c r="K6131">
        <v>10457</v>
      </c>
      <c r="L6131" t="s">
        <v>9094</v>
      </c>
      <c r="M6131" t="s">
        <v>9095</v>
      </c>
      <c r="N6131" t="s">
        <v>9171</v>
      </c>
      <c r="O6131" t="s">
        <v>11134</v>
      </c>
      <c r="P6131" t="s">
        <v>11164</v>
      </c>
      <c r="Q6131" t="s">
        <v>11172</v>
      </c>
      <c r="R6131" t="s">
        <v>11180</v>
      </c>
      <c r="S6131" t="s">
        <v>9096</v>
      </c>
      <c r="T6131" t="s">
        <v>11183</v>
      </c>
      <c r="V6131" t="s">
        <v>11207</v>
      </c>
      <c r="W6131">
        <v>885.9299999999999</v>
      </c>
      <c r="X6131" t="s">
        <v>11333</v>
      </c>
      <c r="Y6131" t="s">
        <v>11346</v>
      </c>
      <c r="Z6131" t="s">
        <v>15149</v>
      </c>
      <c r="AC6131">
        <v>73</v>
      </c>
      <c r="AD6131" t="s">
        <v>19566</v>
      </c>
      <c r="AE6131" t="s">
        <v>9144</v>
      </c>
      <c r="AF6131">
        <v>43</v>
      </c>
      <c r="AG6131">
        <v>1</v>
      </c>
      <c r="AH6131">
        <v>0</v>
      </c>
      <c r="AI6131">
        <v>480.38</v>
      </c>
      <c r="AL6131" t="s">
        <v>19614</v>
      </c>
      <c r="AM6131">
        <v>60000</v>
      </c>
      <c r="AS6131">
        <v>1.25</v>
      </c>
      <c r="AT6131" t="s">
        <v>328</v>
      </c>
      <c r="AU6131" t="s">
        <v>20642</v>
      </c>
      <c r="AV6131" t="s">
        <v>20733</v>
      </c>
    </row>
    <row r="6132" spans="1:48">
      <c r="A6132" s="1">
        <f>HYPERLINK("https://lsnyc.legalserver.org/matter/dynamic-profile/view/1909140","19-1909140")</f>
        <v>0</v>
      </c>
      <c r="B6132" t="s">
        <v>98</v>
      </c>
      <c r="C6132" t="s">
        <v>256</v>
      </c>
      <c r="D6132" t="s">
        <v>472</v>
      </c>
      <c r="F6132" t="s">
        <v>1580</v>
      </c>
      <c r="G6132" t="s">
        <v>3332</v>
      </c>
      <c r="H6132" t="s">
        <v>5879</v>
      </c>
      <c r="I6132" t="s">
        <v>8192</v>
      </c>
      <c r="J6132" t="s">
        <v>9065</v>
      </c>
      <c r="K6132">
        <v>10456</v>
      </c>
      <c r="L6132" t="s">
        <v>9094</v>
      </c>
      <c r="M6132" t="s">
        <v>9095</v>
      </c>
      <c r="O6132" t="s">
        <v>11134</v>
      </c>
      <c r="P6132" t="s">
        <v>11168</v>
      </c>
      <c r="R6132" t="s">
        <v>11180</v>
      </c>
      <c r="S6132" t="s">
        <v>9094</v>
      </c>
      <c r="T6132" t="s">
        <v>11183</v>
      </c>
      <c r="W6132">
        <v>30</v>
      </c>
      <c r="X6132" t="s">
        <v>11333</v>
      </c>
      <c r="Y6132" t="s">
        <v>11346</v>
      </c>
      <c r="Z6132" t="s">
        <v>11400</v>
      </c>
      <c r="AB6132" t="s">
        <v>19439</v>
      </c>
      <c r="AC6132">
        <v>30</v>
      </c>
      <c r="AD6132" t="s">
        <v>19566</v>
      </c>
      <c r="AE6132" t="s">
        <v>9144</v>
      </c>
      <c r="AF6132">
        <v>26</v>
      </c>
      <c r="AG6132">
        <v>1</v>
      </c>
      <c r="AH6132">
        <v>0</v>
      </c>
      <c r="AI6132">
        <v>480.38</v>
      </c>
      <c r="AL6132" t="s">
        <v>19614</v>
      </c>
      <c r="AM6132">
        <v>60000</v>
      </c>
      <c r="AS6132">
        <v>0</v>
      </c>
      <c r="AU6132" t="s">
        <v>20642</v>
      </c>
      <c r="AV6132" t="s">
        <v>20733</v>
      </c>
    </row>
    <row r="6133" spans="1:48">
      <c r="A6133" s="1">
        <f>HYPERLINK("https://lsnyc.legalserver.org/matter/dynamic-profile/view/1909139","19-1909139")</f>
        <v>0</v>
      </c>
      <c r="B6133" t="s">
        <v>98</v>
      </c>
      <c r="C6133" t="s">
        <v>256</v>
      </c>
      <c r="D6133" t="s">
        <v>472</v>
      </c>
      <c r="F6133" t="s">
        <v>1580</v>
      </c>
      <c r="G6133" t="s">
        <v>3332</v>
      </c>
      <c r="H6133" t="s">
        <v>5879</v>
      </c>
      <c r="I6133" t="s">
        <v>8192</v>
      </c>
      <c r="J6133" t="s">
        <v>9065</v>
      </c>
      <c r="K6133">
        <v>10456</v>
      </c>
      <c r="L6133" t="s">
        <v>9094</v>
      </c>
      <c r="M6133" t="s">
        <v>9095</v>
      </c>
      <c r="N6133" t="s">
        <v>9235</v>
      </c>
      <c r="O6133" t="s">
        <v>11130</v>
      </c>
      <c r="P6133" t="s">
        <v>11165</v>
      </c>
      <c r="R6133" t="s">
        <v>11180</v>
      </c>
      <c r="S6133" t="s">
        <v>9094</v>
      </c>
      <c r="T6133" t="s">
        <v>11183</v>
      </c>
      <c r="W6133">
        <v>1075</v>
      </c>
      <c r="X6133" t="s">
        <v>11333</v>
      </c>
      <c r="Y6133" t="s">
        <v>11346</v>
      </c>
      <c r="Z6133" t="s">
        <v>11400</v>
      </c>
      <c r="AB6133" t="s">
        <v>19439</v>
      </c>
      <c r="AC6133">
        <v>30</v>
      </c>
      <c r="AD6133" t="s">
        <v>19566</v>
      </c>
      <c r="AE6133" t="s">
        <v>9144</v>
      </c>
      <c r="AF6133">
        <v>26</v>
      </c>
      <c r="AG6133">
        <v>1</v>
      </c>
      <c r="AH6133">
        <v>0</v>
      </c>
      <c r="AI6133">
        <v>480.38</v>
      </c>
      <c r="AL6133" t="s">
        <v>19614</v>
      </c>
      <c r="AM6133">
        <v>60000</v>
      </c>
      <c r="AS6133">
        <v>0</v>
      </c>
      <c r="AU6133" t="s">
        <v>20642</v>
      </c>
      <c r="AV6133" t="s">
        <v>20733</v>
      </c>
    </row>
    <row r="6134" spans="1:48">
      <c r="A6134" s="1">
        <f>HYPERLINK("https://lsnyc.legalserver.org/matter/dynamic-profile/view/1890005","19-1890005")</f>
        <v>0</v>
      </c>
      <c r="B6134" t="s">
        <v>103</v>
      </c>
      <c r="C6134" t="s">
        <v>256</v>
      </c>
      <c r="D6134" t="s">
        <v>543</v>
      </c>
      <c r="F6134" t="s">
        <v>2426</v>
      </c>
      <c r="G6134" t="s">
        <v>3706</v>
      </c>
      <c r="H6134" t="s">
        <v>5887</v>
      </c>
      <c r="I6134" t="s">
        <v>8382</v>
      </c>
      <c r="J6134" t="s">
        <v>9065</v>
      </c>
      <c r="K6134">
        <v>10453</v>
      </c>
      <c r="L6134" t="s">
        <v>9094</v>
      </c>
      <c r="M6134" t="s">
        <v>9094</v>
      </c>
      <c r="O6134" t="s">
        <v>11134</v>
      </c>
      <c r="P6134" t="s">
        <v>11168</v>
      </c>
      <c r="R6134" t="s">
        <v>11180</v>
      </c>
      <c r="S6134" t="s">
        <v>9094</v>
      </c>
      <c r="T6134" t="s">
        <v>11183</v>
      </c>
      <c r="V6134" t="s">
        <v>512</v>
      </c>
      <c r="W6134">
        <v>897</v>
      </c>
      <c r="X6134" t="s">
        <v>11333</v>
      </c>
      <c r="Y6134" t="s">
        <v>11346</v>
      </c>
      <c r="Z6134" t="s">
        <v>15150</v>
      </c>
      <c r="AB6134" t="s">
        <v>19440</v>
      </c>
      <c r="AC6134">
        <v>170</v>
      </c>
      <c r="AD6134" t="s">
        <v>19566</v>
      </c>
      <c r="AF6134">
        <v>23</v>
      </c>
      <c r="AG6134">
        <v>1</v>
      </c>
      <c r="AH6134">
        <v>0</v>
      </c>
      <c r="AI6134">
        <v>480.38</v>
      </c>
      <c r="AL6134" t="s">
        <v>19614</v>
      </c>
      <c r="AM6134">
        <v>60000</v>
      </c>
      <c r="AS6134">
        <v>0</v>
      </c>
      <c r="AU6134" t="s">
        <v>158</v>
      </c>
    </row>
    <row r="6135" spans="1:48">
      <c r="A6135" s="1">
        <f>HYPERLINK("https://lsnyc.legalserver.org/matter/dynamic-profile/view/1904993","19-1904993")</f>
        <v>0</v>
      </c>
      <c r="B6135" t="s">
        <v>103</v>
      </c>
      <c r="C6135" t="s">
        <v>256</v>
      </c>
      <c r="D6135" t="s">
        <v>660</v>
      </c>
      <c r="F6135" t="s">
        <v>2426</v>
      </c>
      <c r="G6135" t="s">
        <v>3706</v>
      </c>
      <c r="H6135" t="s">
        <v>5887</v>
      </c>
      <c r="I6135" t="s">
        <v>8382</v>
      </c>
      <c r="J6135" t="s">
        <v>9065</v>
      </c>
      <c r="K6135">
        <v>10453</v>
      </c>
      <c r="L6135" t="s">
        <v>9094</v>
      </c>
      <c r="M6135" t="s">
        <v>9095</v>
      </c>
      <c r="N6135" t="s">
        <v>9239</v>
      </c>
      <c r="O6135" t="s">
        <v>11134</v>
      </c>
      <c r="P6135" t="s">
        <v>11168</v>
      </c>
      <c r="R6135" t="s">
        <v>11180</v>
      </c>
      <c r="S6135" t="s">
        <v>9094</v>
      </c>
      <c r="T6135" t="s">
        <v>11183</v>
      </c>
      <c r="V6135" t="s">
        <v>1061</v>
      </c>
      <c r="W6135">
        <v>872</v>
      </c>
      <c r="X6135" t="s">
        <v>11333</v>
      </c>
      <c r="Y6135" t="s">
        <v>11346</v>
      </c>
      <c r="Z6135" t="s">
        <v>15150</v>
      </c>
      <c r="AB6135" t="s">
        <v>19440</v>
      </c>
      <c r="AC6135">
        <v>170</v>
      </c>
      <c r="AD6135" t="s">
        <v>19566</v>
      </c>
      <c r="AE6135" t="s">
        <v>9144</v>
      </c>
      <c r="AF6135">
        <v>23</v>
      </c>
      <c r="AG6135">
        <v>1</v>
      </c>
      <c r="AH6135">
        <v>0</v>
      </c>
      <c r="AI6135">
        <v>480.38</v>
      </c>
      <c r="AL6135" t="s">
        <v>19614</v>
      </c>
      <c r="AM6135">
        <v>60000</v>
      </c>
      <c r="AS6135">
        <v>0</v>
      </c>
      <c r="AU6135" t="s">
        <v>163</v>
      </c>
      <c r="AV6135" t="s">
        <v>20733</v>
      </c>
    </row>
    <row r="6136" spans="1:48">
      <c r="A6136" s="1">
        <f>HYPERLINK("https://lsnyc.legalserver.org/matter/dynamic-profile/view/1905000","19-1905000")</f>
        <v>0</v>
      </c>
      <c r="B6136" t="s">
        <v>103</v>
      </c>
      <c r="C6136" t="s">
        <v>256</v>
      </c>
      <c r="D6136" t="s">
        <v>660</v>
      </c>
      <c r="F6136" t="s">
        <v>2426</v>
      </c>
      <c r="G6136" t="s">
        <v>3706</v>
      </c>
      <c r="H6136" t="s">
        <v>5887</v>
      </c>
      <c r="I6136" t="s">
        <v>8382</v>
      </c>
      <c r="J6136" t="s">
        <v>9065</v>
      </c>
      <c r="K6136">
        <v>10453</v>
      </c>
      <c r="L6136" t="s">
        <v>9094</v>
      </c>
      <c r="M6136" t="s">
        <v>9095</v>
      </c>
      <c r="N6136" t="s">
        <v>9240</v>
      </c>
      <c r="O6136" t="s">
        <v>11134</v>
      </c>
      <c r="P6136" t="s">
        <v>11168</v>
      </c>
      <c r="R6136" t="s">
        <v>11180</v>
      </c>
      <c r="S6136" t="s">
        <v>9094</v>
      </c>
      <c r="T6136" t="s">
        <v>11183</v>
      </c>
      <c r="V6136" t="s">
        <v>422</v>
      </c>
      <c r="W6136">
        <v>872</v>
      </c>
      <c r="X6136" t="s">
        <v>11333</v>
      </c>
      <c r="Y6136" t="s">
        <v>11346</v>
      </c>
      <c r="Z6136" t="s">
        <v>15150</v>
      </c>
      <c r="AB6136" t="s">
        <v>19440</v>
      </c>
      <c r="AC6136">
        <v>170</v>
      </c>
      <c r="AD6136" t="s">
        <v>19566</v>
      </c>
      <c r="AE6136" t="s">
        <v>19580</v>
      </c>
      <c r="AF6136">
        <v>23</v>
      </c>
      <c r="AG6136">
        <v>1</v>
      </c>
      <c r="AH6136">
        <v>0</v>
      </c>
      <c r="AI6136">
        <v>480.38</v>
      </c>
      <c r="AL6136" t="s">
        <v>19614</v>
      </c>
      <c r="AM6136">
        <v>60000</v>
      </c>
      <c r="AS6136">
        <v>0</v>
      </c>
      <c r="AU6136" t="s">
        <v>163</v>
      </c>
      <c r="AV6136" t="s">
        <v>20733</v>
      </c>
    </row>
    <row r="6137" spans="1:48">
      <c r="A6137" s="1">
        <f>HYPERLINK("https://lsnyc.legalserver.org/matter/dynamic-profile/view/1889994","19-1889994")</f>
        <v>0</v>
      </c>
      <c r="B6137" t="s">
        <v>103</v>
      </c>
      <c r="C6137" t="s">
        <v>256</v>
      </c>
      <c r="D6137" t="s">
        <v>543</v>
      </c>
      <c r="F6137" t="s">
        <v>2426</v>
      </c>
      <c r="G6137" t="s">
        <v>3706</v>
      </c>
      <c r="H6137" t="s">
        <v>5887</v>
      </c>
      <c r="I6137" t="s">
        <v>8382</v>
      </c>
      <c r="J6137" t="s">
        <v>9065</v>
      </c>
      <c r="K6137">
        <v>10453</v>
      </c>
      <c r="L6137" t="s">
        <v>9094</v>
      </c>
      <c r="M6137" t="s">
        <v>9094</v>
      </c>
      <c r="N6137" t="s">
        <v>9352</v>
      </c>
      <c r="O6137" t="s">
        <v>11130</v>
      </c>
      <c r="P6137" t="s">
        <v>11165</v>
      </c>
      <c r="R6137" t="s">
        <v>11180</v>
      </c>
      <c r="S6137" t="s">
        <v>9094</v>
      </c>
      <c r="T6137" t="s">
        <v>11183</v>
      </c>
      <c r="V6137" t="s">
        <v>512</v>
      </c>
      <c r="W6137">
        <v>897</v>
      </c>
      <c r="X6137" t="s">
        <v>11333</v>
      </c>
      <c r="Y6137" t="s">
        <v>11346</v>
      </c>
      <c r="Z6137" t="s">
        <v>15150</v>
      </c>
      <c r="AB6137" t="s">
        <v>19440</v>
      </c>
      <c r="AC6137">
        <v>170</v>
      </c>
      <c r="AD6137" t="s">
        <v>19566</v>
      </c>
      <c r="AF6137">
        <v>23</v>
      </c>
      <c r="AG6137">
        <v>1</v>
      </c>
      <c r="AH6137">
        <v>0</v>
      </c>
      <c r="AI6137">
        <v>480.38</v>
      </c>
      <c r="AL6137" t="s">
        <v>19614</v>
      </c>
      <c r="AM6137">
        <v>60000</v>
      </c>
      <c r="AS6137">
        <v>0</v>
      </c>
      <c r="AU6137" t="s">
        <v>158</v>
      </c>
    </row>
    <row r="6138" spans="1:48">
      <c r="A6138" s="1">
        <f>HYPERLINK("https://lsnyc.legalserver.org/matter/dynamic-profile/view/1910053","19-1910053")</f>
        <v>0</v>
      </c>
      <c r="B6138" t="s">
        <v>140</v>
      </c>
      <c r="C6138" t="s">
        <v>257</v>
      </c>
      <c r="D6138" t="s">
        <v>435</v>
      </c>
      <c r="E6138" t="s">
        <v>290</v>
      </c>
      <c r="F6138" t="s">
        <v>3239</v>
      </c>
      <c r="G6138" t="s">
        <v>5549</v>
      </c>
      <c r="H6138" t="s">
        <v>8070</v>
      </c>
      <c r="I6138">
        <v>33</v>
      </c>
      <c r="J6138" t="s">
        <v>9067</v>
      </c>
      <c r="K6138">
        <v>10040</v>
      </c>
      <c r="L6138" t="s">
        <v>9094</v>
      </c>
      <c r="M6138" t="s">
        <v>9095</v>
      </c>
      <c r="P6138" t="s">
        <v>11167</v>
      </c>
      <c r="Q6138" t="s">
        <v>11173</v>
      </c>
      <c r="R6138" t="s">
        <v>11180</v>
      </c>
      <c r="T6138" t="s">
        <v>11183</v>
      </c>
      <c r="W6138">
        <v>0</v>
      </c>
      <c r="X6138" t="s">
        <v>11335</v>
      </c>
      <c r="Z6138" t="s">
        <v>15078</v>
      </c>
      <c r="AB6138" t="s">
        <v>19377</v>
      </c>
      <c r="AC6138">
        <v>0</v>
      </c>
      <c r="AF6138">
        <v>0</v>
      </c>
      <c r="AG6138">
        <v>1</v>
      </c>
      <c r="AH6138">
        <v>0</v>
      </c>
      <c r="AI6138">
        <v>480.38</v>
      </c>
      <c r="AL6138" t="s">
        <v>19614</v>
      </c>
      <c r="AM6138">
        <v>60000</v>
      </c>
      <c r="AS6138">
        <v>1</v>
      </c>
      <c r="AT6138" t="s">
        <v>290</v>
      </c>
      <c r="AU6138" t="s">
        <v>130</v>
      </c>
      <c r="AV6138" t="s">
        <v>20733</v>
      </c>
    </row>
    <row r="6139" spans="1:48">
      <c r="A6139" s="1">
        <f>HYPERLINK("https://lsnyc.legalserver.org/matter/dynamic-profile/view/1903227","19-1903227")</f>
        <v>0</v>
      </c>
      <c r="B6139" t="s">
        <v>139</v>
      </c>
      <c r="C6139" t="s">
        <v>257</v>
      </c>
      <c r="D6139" t="s">
        <v>280</v>
      </c>
      <c r="E6139" t="s">
        <v>265</v>
      </c>
      <c r="F6139" t="s">
        <v>1346</v>
      </c>
      <c r="G6139" t="s">
        <v>5599</v>
      </c>
      <c r="H6139" t="s">
        <v>8082</v>
      </c>
      <c r="I6139" t="s">
        <v>8374</v>
      </c>
      <c r="J6139" t="s">
        <v>9067</v>
      </c>
      <c r="K6139">
        <v>10034</v>
      </c>
      <c r="L6139" t="s">
        <v>9094</v>
      </c>
      <c r="M6139" t="s">
        <v>9095</v>
      </c>
      <c r="O6139" t="s">
        <v>11136</v>
      </c>
      <c r="P6139" t="s">
        <v>11164</v>
      </c>
      <c r="Q6139" t="s">
        <v>11172</v>
      </c>
      <c r="R6139" t="s">
        <v>11180</v>
      </c>
      <c r="S6139" t="s">
        <v>9096</v>
      </c>
      <c r="T6139" t="s">
        <v>11183</v>
      </c>
      <c r="V6139" t="s">
        <v>280</v>
      </c>
      <c r="W6139">
        <v>1900</v>
      </c>
      <c r="X6139" t="s">
        <v>11335</v>
      </c>
      <c r="Y6139" t="s">
        <v>11338</v>
      </c>
      <c r="Z6139" t="s">
        <v>15151</v>
      </c>
      <c r="AB6139" t="s">
        <v>19441</v>
      </c>
      <c r="AC6139">
        <v>85</v>
      </c>
      <c r="AD6139" t="s">
        <v>19566</v>
      </c>
      <c r="AE6139" t="s">
        <v>9144</v>
      </c>
      <c r="AF6139">
        <v>10</v>
      </c>
      <c r="AG6139">
        <v>1</v>
      </c>
      <c r="AH6139">
        <v>0</v>
      </c>
      <c r="AI6139">
        <v>480.38</v>
      </c>
      <c r="AL6139" t="s">
        <v>19614</v>
      </c>
      <c r="AM6139">
        <v>60000</v>
      </c>
      <c r="AS6139">
        <v>1.3</v>
      </c>
      <c r="AT6139" t="s">
        <v>706</v>
      </c>
      <c r="AU6139" t="s">
        <v>130</v>
      </c>
      <c r="AV6139" t="s">
        <v>20733</v>
      </c>
    </row>
    <row r="6140" spans="1:48">
      <c r="A6140" s="1">
        <f>HYPERLINK("https://lsnyc.legalserver.org/matter/dynamic-profile/view/1904933","19-1904933")</f>
        <v>0</v>
      </c>
      <c r="B6140" t="s">
        <v>115</v>
      </c>
      <c r="C6140" t="s">
        <v>256</v>
      </c>
      <c r="D6140" t="s">
        <v>660</v>
      </c>
      <c r="F6140" t="s">
        <v>1655</v>
      </c>
      <c r="G6140" t="s">
        <v>3122</v>
      </c>
      <c r="H6140" t="s">
        <v>6051</v>
      </c>
      <c r="I6140" t="s">
        <v>8133</v>
      </c>
      <c r="J6140" t="s">
        <v>9065</v>
      </c>
      <c r="K6140">
        <v>10452</v>
      </c>
      <c r="L6140" t="s">
        <v>9094</v>
      </c>
      <c r="M6140" t="s">
        <v>9095</v>
      </c>
      <c r="O6140" t="s">
        <v>11134</v>
      </c>
      <c r="P6140" t="s">
        <v>11168</v>
      </c>
      <c r="R6140" t="s">
        <v>11180</v>
      </c>
      <c r="S6140" t="s">
        <v>9094</v>
      </c>
      <c r="T6140" t="s">
        <v>11183</v>
      </c>
      <c r="V6140" t="s">
        <v>11212</v>
      </c>
      <c r="W6140">
        <v>1454.43</v>
      </c>
      <c r="X6140" t="s">
        <v>11333</v>
      </c>
      <c r="Y6140" t="s">
        <v>11346</v>
      </c>
      <c r="Z6140" t="s">
        <v>15152</v>
      </c>
      <c r="AB6140" t="s">
        <v>19442</v>
      </c>
      <c r="AC6140">
        <v>52</v>
      </c>
      <c r="AD6140" t="s">
        <v>19566</v>
      </c>
      <c r="AE6140" t="s">
        <v>9144</v>
      </c>
      <c r="AF6140">
        <v>23</v>
      </c>
      <c r="AG6140">
        <v>5</v>
      </c>
      <c r="AH6140">
        <v>0</v>
      </c>
      <c r="AI6140">
        <v>482.6</v>
      </c>
      <c r="AL6140" t="s">
        <v>19614</v>
      </c>
      <c r="AM6140">
        <v>145600</v>
      </c>
      <c r="AS6140">
        <v>1</v>
      </c>
      <c r="AT6140" t="s">
        <v>660</v>
      </c>
      <c r="AU6140" t="s">
        <v>174</v>
      </c>
      <c r="AV6140" t="s">
        <v>20733</v>
      </c>
    </row>
    <row r="6141" spans="1:48">
      <c r="A6141" s="1">
        <f>HYPERLINK("https://lsnyc.legalserver.org/matter/dynamic-profile/view/1866845","18-1866845")</f>
        <v>0</v>
      </c>
      <c r="B6141" t="s">
        <v>78</v>
      </c>
      <c r="C6141" t="s">
        <v>256</v>
      </c>
      <c r="D6141" t="s">
        <v>600</v>
      </c>
      <c r="F6141" t="s">
        <v>2764</v>
      </c>
      <c r="G6141" t="s">
        <v>4048</v>
      </c>
      <c r="H6141" t="s">
        <v>5809</v>
      </c>
      <c r="I6141" t="s">
        <v>8266</v>
      </c>
      <c r="J6141" t="s">
        <v>9059</v>
      </c>
      <c r="K6141">
        <v>11212</v>
      </c>
      <c r="L6141" t="s">
        <v>9094</v>
      </c>
      <c r="M6141" t="s">
        <v>9095</v>
      </c>
      <c r="O6141" t="s">
        <v>9121</v>
      </c>
      <c r="P6141" t="s">
        <v>11168</v>
      </c>
      <c r="R6141" t="s">
        <v>11180</v>
      </c>
      <c r="S6141" t="s">
        <v>9094</v>
      </c>
      <c r="T6141" t="s">
        <v>11183</v>
      </c>
      <c r="V6141" t="s">
        <v>733</v>
      </c>
      <c r="W6141">
        <v>1120</v>
      </c>
      <c r="X6141" t="s">
        <v>11332</v>
      </c>
      <c r="Z6141" t="s">
        <v>14324</v>
      </c>
      <c r="AB6141" t="s">
        <v>18645</v>
      </c>
      <c r="AC6141">
        <v>31</v>
      </c>
      <c r="AD6141" t="s">
        <v>19566</v>
      </c>
      <c r="AF6141">
        <v>13</v>
      </c>
      <c r="AG6141">
        <v>2</v>
      </c>
      <c r="AH6141">
        <v>0</v>
      </c>
      <c r="AI6141">
        <v>482.65</v>
      </c>
      <c r="AL6141" t="s">
        <v>19614</v>
      </c>
      <c r="AM6141">
        <v>78382</v>
      </c>
      <c r="AS6141">
        <v>0.25</v>
      </c>
      <c r="AT6141" t="s">
        <v>600</v>
      </c>
      <c r="AU6141" t="s">
        <v>78</v>
      </c>
    </row>
    <row r="6142" spans="1:48">
      <c r="A6142" s="1">
        <f>HYPERLINK("https://lsnyc.legalserver.org/matter/dynamic-profile/view/1906208","19-1906208")</f>
        <v>0</v>
      </c>
      <c r="B6142" t="s">
        <v>137</v>
      </c>
      <c r="C6142" t="s">
        <v>256</v>
      </c>
      <c r="D6142" t="s">
        <v>282</v>
      </c>
      <c r="F6142" t="s">
        <v>2028</v>
      </c>
      <c r="G6142" t="s">
        <v>5600</v>
      </c>
      <c r="H6142" t="s">
        <v>8083</v>
      </c>
      <c r="I6142" t="s">
        <v>8777</v>
      </c>
      <c r="J6142" t="s">
        <v>9067</v>
      </c>
      <c r="K6142">
        <v>10024</v>
      </c>
      <c r="L6142" t="s">
        <v>9094</v>
      </c>
      <c r="M6142" t="s">
        <v>9095</v>
      </c>
      <c r="P6142" t="s">
        <v>11164</v>
      </c>
      <c r="R6142" t="s">
        <v>11180</v>
      </c>
      <c r="S6142" t="s">
        <v>9096</v>
      </c>
      <c r="T6142" t="s">
        <v>11183</v>
      </c>
      <c r="V6142" t="s">
        <v>282</v>
      </c>
      <c r="W6142">
        <v>3039.5</v>
      </c>
      <c r="X6142" t="s">
        <v>11335</v>
      </c>
      <c r="Y6142" t="s">
        <v>11338</v>
      </c>
      <c r="Z6142" t="s">
        <v>15153</v>
      </c>
      <c r="AB6142" t="s">
        <v>19443</v>
      </c>
      <c r="AC6142">
        <v>249</v>
      </c>
      <c r="AD6142" t="s">
        <v>19566</v>
      </c>
      <c r="AE6142" t="s">
        <v>9144</v>
      </c>
      <c r="AF6142">
        <v>20</v>
      </c>
      <c r="AG6142">
        <v>3</v>
      </c>
      <c r="AH6142">
        <v>0</v>
      </c>
      <c r="AI6142">
        <v>482.89</v>
      </c>
      <c r="AL6142" t="s">
        <v>19614</v>
      </c>
      <c r="AM6142">
        <v>103000</v>
      </c>
      <c r="AS6142">
        <v>3.5</v>
      </c>
      <c r="AT6142" t="s">
        <v>669</v>
      </c>
      <c r="AU6142" t="s">
        <v>130</v>
      </c>
      <c r="AV6142" t="s">
        <v>20733</v>
      </c>
    </row>
    <row r="6143" spans="1:48">
      <c r="A6143" s="1">
        <f>HYPERLINK("https://lsnyc.legalserver.org/matter/dynamic-profile/view/1865239","18-1865239")</f>
        <v>0</v>
      </c>
      <c r="B6143" t="s">
        <v>56</v>
      </c>
      <c r="C6143" t="s">
        <v>257</v>
      </c>
      <c r="D6143" t="s">
        <v>674</v>
      </c>
      <c r="E6143" t="s">
        <v>426</v>
      </c>
      <c r="F6143" t="s">
        <v>3270</v>
      </c>
      <c r="G6143" t="s">
        <v>5601</v>
      </c>
      <c r="H6143" t="s">
        <v>8084</v>
      </c>
      <c r="I6143" t="s">
        <v>8132</v>
      </c>
      <c r="J6143" t="s">
        <v>9069</v>
      </c>
      <c r="K6143">
        <v>11427</v>
      </c>
      <c r="L6143" t="s">
        <v>9094</v>
      </c>
      <c r="M6143" t="s">
        <v>9095</v>
      </c>
      <c r="N6143" t="s">
        <v>11113</v>
      </c>
      <c r="O6143" t="s">
        <v>11129</v>
      </c>
      <c r="P6143" t="s">
        <v>11164</v>
      </c>
      <c r="Q6143" t="s">
        <v>11172</v>
      </c>
      <c r="R6143" t="s">
        <v>11180</v>
      </c>
      <c r="S6143" t="s">
        <v>9096</v>
      </c>
      <c r="T6143" t="s">
        <v>11183</v>
      </c>
      <c r="U6143" t="s">
        <v>11201</v>
      </c>
      <c r="V6143" t="s">
        <v>426</v>
      </c>
      <c r="W6143">
        <v>1044</v>
      </c>
      <c r="X6143" t="s">
        <v>11331</v>
      </c>
      <c r="Y6143" t="s">
        <v>11157</v>
      </c>
      <c r="Z6143" t="s">
        <v>15154</v>
      </c>
      <c r="AB6143" t="s">
        <v>19444</v>
      </c>
      <c r="AC6143">
        <v>21</v>
      </c>
      <c r="AD6143" t="s">
        <v>19566</v>
      </c>
      <c r="AE6143" t="s">
        <v>11157</v>
      </c>
      <c r="AF6143">
        <v>40</v>
      </c>
      <c r="AG6143">
        <v>2</v>
      </c>
      <c r="AH6143">
        <v>0</v>
      </c>
      <c r="AI6143">
        <v>482.93</v>
      </c>
      <c r="AL6143" t="s">
        <v>19614</v>
      </c>
      <c r="AM6143">
        <v>79490.05</v>
      </c>
      <c r="AS6143">
        <v>1.1</v>
      </c>
      <c r="AT6143" t="s">
        <v>20582</v>
      </c>
      <c r="AU6143" t="s">
        <v>56</v>
      </c>
      <c r="AV6143" t="s">
        <v>20733</v>
      </c>
    </row>
    <row r="6144" spans="1:48">
      <c r="A6144" s="1">
        <f>HYPERLINK("https://lsnyc.legalserver.org/matter/dynamic-profile/view/1896149","19-1896149")</f>
        <v>0</v>
      </c>
      <c r="B6144" t="s">
        <v>66</v>
      </c>
      <c r="C6144" t="s">
        <v>256</v>
      </c>
      <c r="D6144" t="s">
        <v>374</v>
      </c>
      <c r="F6144" t="s">
        <v>3271</v>
      </c>
      <c r="G6144" t="s">
        <v>5602</v>
      </c>
      <c r="H6144" t="s">
        <v>7310</v>
      </c>
      <c r="I6144">
        <v>3</v>
      </c>
      <c r="J6144" t="s">
        <v>9059</v>
      </c>
      <c r="K6144">
        <v>11208</v>
      </c>
      <c r="L6144" t="s">
        <v>9094</v>
      </c>
      <c r="M6144" t="s">
        <v>9094</v>
      </c>
      <c r="N6144" t="s">
        <v>11114</v>
      </c>
      <c r="O6144" t="s">
        <v>11128</v>
      </c>
      <c r="P6144" t="s">
        <v>11165</v>
      </c>
      <c r="R6144" t="s">
        <v>11180</v>
      </c>
      <c r="S6144" t="s">
        <v>9094</v>
      </c>
      <c r="T6144" t="s">
        <v>11183</v>
      </c>
      <c r="V6144" t="s">
        <v>493</v>
      </c>
      <c r="W6144">
        <v>1300</v>
      </c>
      <c r="X6144" t="s">
        <v>11332</v>
      </c>
      <c r="Z6144" t="s">
        <v>15155</v>
      </c>
      <c r="AB6144" t="s">
        <v>19445</v>
      </c>
      <c r="AC6144">
        <v>4</v>
      </c>
      <c r="AF6144">
        <v>9</v>
      </c>
      <c r="AG6144">
        <v>2</v>
      </c>
      <c r="AH6144">
        <v>0</v>
      </c>
      <c r="AI6144">
        <v>484.92</v>
      </c>
      <c r="AL6144" t="s">
        <v>19614</v>
      </c>
      <c r="AM6144">
        <v>82000</v>
      </c>
      <c r="AN6144" t="s">
        <v>20248</v>
      </c>
      <c r="AS6144">
        <v>1</v>
      </c>
      <c r="AT6144" t="s">
        <v>299</v>
      </c>
      <c r="AU6144" t="s">
        <v>215</v>
      </c>
      <c r="AV6144" t="s">
        <v>20733</v>
      </c>
    </row>
    <row r="6145" spans="1:48">
      <c r="A6145" s="1">
        <f>HYPERLINK("https://lsnyc.legalserver.org/matter/dynamic-profile/view/0799256","16-0799256")</f>
        <v>0</v>
      </c>
      <c r="B6145" t="s">
        <v>101</v>
      </c>
      <c r="C6145" t="s">
        <v>256</v>
      </c>
      <c r="D6145" t="s">
        <v>656</v>
      </c>
      <c r="F6145" t="s">
        <v>2259</v>
      </c>
      <c r="G6145" t="s">
        <v>5596</v>
      </c>
      <c r="H6145" t="s">
        <v>6041</v>
      </c>
      <c r="I6145" t="s">
        <v>8302</v>
      </c>
      <c r="J6145" t="s">
        <v>9065</v>
      </c>
      <c r="K6145">
        <v>10452</v>
      </c>
      <c r="L6145" t="s">
        <v>9094</v>
      </c>
      <c r="M6145" t="s">
        <v>9095</v>
      </c>
      <c r="N6145" t="s">
        <v>9499</v>
      </c>
      <c r="O6145" t="s">
        <v>11135</v>
      </c>
      <c r="P6145" t="s">
        <v>11168</v>
      </c>
      <c r="R6145" t="s">
        <v>11180</v>
      </c>
      <c r="S6145" t="s">
        <v>9094</v>
      </c>
      <c r="T6145" t="s">
        <v>11183</v>
      </c>
      <c r="V6145" t="s">
        <v>1094</v>
      </c>
      <c r="W6145">
        <v>745.05</v>
      </c>
      <c r="X6145" t="s">
        <v>11333</v>
      </c>
      <c r="Y6145" t="s">
        <v>11346</v>
      </c>
      <c r="Z6145" t="s">
        <v>15146</v>
      </c>
      <c r="AB6145" t="s">
        <v>19435</v>
      </c>
      <c r="AC6145">
        <v>61</v>
      </c>
      <c r="AD6145" t="s">
        <v>19566</v>
      </c>
      <c r="AE6145" t="s">
        <v>9144</v>
      </c>
      <c r="AF6145">
        <v>39</v>
      </c>
      <c r="AG6145">
        <v>3</v>
      </c>
      <c r="AH6145">
        <v>1</v>
      </c>
      <c r="AI6145">
        <v>485.6</v>
      </c>
      <c r="AL6145" t="s">
        <v>19615</v>
      </c>
      <c r="AM6145">
        <v>118000</v>
      </c>
      <c r="AS6145">
        <v>0.5</v>
      </c>
      <c r="AT6145" t="s">
        <v>844</v>
      </c>
      <c r="AU6145" t="s">
        <v>109</v>
      </c>
    </row>
    <row r="6146" spans="1:48">
      <c r="A6146" s="1">
        <f>HYPERLINK("https://lsnyc.legalserver.org/matter/dynamic-profile/view/0816982","16-0816982")</f>
        <v>0</v>
      </c>
      <c r="B6146" t="s">
        <v>101</v>
      </c>
      <c r="C6146" t="s">
        <v>256</v>
      </c>
      <c r="D6146" t="s">
        <v>437</v>
      </c>
      <c r="F6146" t="s">
        <v>2259</v>
      </c>
      <c r="G6146" t="s">
        <v>5596</v>
      </c>
      <c r="H6146" t="s">
        <v>6041</v>
      </c>
      <c r="I6146" t="s">
        <v>8302</v>
      </c>
      <c r="J6146" t="s">
        <v>9065</v>
      </c>
      <c r="K6146">
        <v>10452</v>
      </c>
      <c r="L6146" t="s">
        <v>9094</v>
      </c>
      <c r="M6146" t="s">
        <v>9095</v>
      </c>
      <c r="N6146" t="s">
        <v>9500</v>
      </c>
      <c r="O6146" t="s">
        <v>11135</v>
      </c>
      <c r="P6146" t="s">
        <v>11168</v>
      </c>
      <c r="R6146" t="s">
        <v>11180</v>
      </c>
      <c r="S6146" t="s">
        <v>9096</v>
      </c>
      <c r="T6146" t="s">
        <v>11183</v>
      </c>
      <c r="V6146" t="s">
        <v>1024</v>
      </c>
      <c r="W6146">
        <v>745.05</v>
      </c>
      <c r="X6146" t="s">
        <v>11333</v>
      </c>
      <c r="Y6146" t="s">
        <v>11346</v>
      </c>
      <c r="Z6146" t="s">
        <v>15146</v>
      </c>
      <c r="AB6146" t="s">
        <v>19435</v>
      </c>
      <c r="AC6146">
        <v>62</v>
      </c>
      <c r="AD6146" t="s">
        <v>19566</v>
      </c>
      <c r="AE6146" t="s">
        <v>9144</v>
      </c>
      <c r="AF6146">
        <v>39</v>
      </c>
      <c r="AG6146">
        <v>3</v>
      </c>
      <c r="AH6146">
        <v>1</v>
      </c>
      <c r="AI6146">
        <v>485.6</v>
      </c>
      <c r="AL6146" t="s">
        <v>19615</v>
      </c>
      <c r="AM6146">
        <v>193000</v>
      </c>
      <c r="AS6146">
        <v>0.9</v>
      </c>
      <c r="AT6146" t="s">
        <v>738</v>
      </c>
      <c r="AU6146" t="s">
        <v>20643</v>
      </c>
    </row>
    <row r="6147" spans="1:48">
      <c r="A6147" s="1">
        <f>HYPERLINK("https://lsnyc.legalserver.org/matter/dynamic-profile/view/0822233","16-0822233")</f>
        <v>0</v>
      </c>
      <c r="B6147" t="s">
        <v>101</v>
      </c>
      <c r="C6147" t="s">
        <v>256</v>
      </c>
      <c r="D6147" t="s">
        <v>657</v>
      </c>
      <c r="F6147" t="s">
        <v>2259</v>
      </c>
      <c r="G6147" t="s">
        <v>5596</v>
      </c>
      <c r="H6147" t="s">
        <v>6041</v>
      </c>
      <c r="I6147" t="s">
        <v>8302</v>
      </c>
      <c r="J6147" t="s">
        <v>9065</v>
      </c>
      <c r="K6147">
        <v>10452</v>
      </c>
      <c r="L6147" t="s">
        <v>9094</v>
      </c>
      <c r="M6147" t="s">
        <v>9095</v>
      </c>
      <c r="N6147" t="s">
        <v>9501</v>
      </c>
      <c r="O6147" t="s">
        <v>11135</v>
      </c>
      <c r="P6147" t="s">
        <v>11168</v>
      </c>
      <c r="R6147" t="s">
        <v>11180</v>
      </c>
      <c r="S6147" t="s">
        <v>9094</v>
      </c>
      <c r="T6147" t="s">
        <v>11183</v>
      </c>
      <c r="V6147" t="s">
        <v>657</v>
      </c>
      <c r="W6147">
        <v>745.05</v>
      </c>
      <c r="X6147" t="s">
        <v>11333</v>
      </c>
      <c r="Y6147" t="s">
        <v>11346</v>
      </c>
      <c r="Z6147" t="s">
        <v>15146</v>
      </c>
      <c r="AB6147" t="s">
        <v>19435</v>
      </c>
      <c r="AC6147">
        <v>62</v>
      </c>
      <c r="AD6147" t="s">
        <v>19566</v>
      </c>
      <c r="AF6147">
        <v>39</v>
      </c>
      <c r="AG6147">
        <v>3</v>
      </c>
      <c r="AH6147">
        <v>1</v>
      </c>
      <c r="AI6147">
        <v>485.6</v>
      </c>
      <c r="AL6147" t="s">
        <v>19615</v>
      </c>
      <c r="AM6147">
        <v>193000</v>
      </c>
      <c r="AS6147">
        <v>0.3</v>
      </c>
      <c r="AT6147" t="s">
        <v>844</v>
      </c>
      <c r="AU6147" t="s">
        <v>20643</v>
      </c>
    </row>
    <row r="6148" spans="1:48">
      <c r="A6148" s="1">
        <f>HYPERLINK("https://lsnyc.legalserver.org/matter/dynamic-profile/view/1856063","18-1856063")</f>
        <v>0</v>
      </c>
      <c r="B6148" t="s">
        <v>139</v>
      </c>
      <c r="C6148" t="s">
        <v>256</v>
      </c>
      <c r="D6148" t="s">
        <v>898</v>
      </c>
      <c r="F6148" t="s">
        <v>1474</v>
      </c>
      <c r="G6148" t="s">
        <v>3699</v>
      </c>
      <c r="H6148" t="s">
        <v>5948</v>
      </c>
      <c r="J6148" t="s">
        <v>9067</v>
      </c>
      <c r="K6148">
        <v>10034</v>
      </c>
      <c r="L6148" t="s">
        <v>9094</v>
      </c>
      <c r="M6148" t="s">
        <v>9095</v>
      </c>
      <c r="O6148" t="s">
        <v>11130</v>
      </c>
      <c r="P6148" t="s">
        <v>11165</v>
      </c>
      <c r="R6148" t="s">
        <v>11180</v>
      </c>
      <c r="S6148" t="s">
        <v>9094</v>
      </c>
      <c r="T6148" t="s">
        <v>11183</v>
      </c>
      <c r="V6148" t="s">
        <v>898</v>
      </c>
      <c r="W6148">
        <v>0</v>
      </c>
      <c r="X6148" t="s">
        <v>11335</v>
      </c>
      <c r="Y6148" t="s">
        <v>11339</v>
      </c>
      <c r="Z6148" t="s">
        <v>15156</v>
      </c>
      <c r="AC6148">
        <v>49</v>
      </c>
      <c r="AD6148" t="s">
        <v>19566</v>
      </c>
      <c r="AE6148" t="s">
        <v>9144</v>
      </c>
      <c r="AF6148">
        <v>0</v>
      </c>
      <c r="AG6148">
        <v>2</v>
      </c>
      <c r="AH6148">
        <v>0</v>
      </c>
      <c r="AI6148">
        <v>486.45</v>
      </c>
      <c r="AL6148" t="s">
        <v>19615</v>
      </c>
      <c r="AM6148">
        <v>79000</v>
      </c>
      <c r="AS6148">
        <v>3.15</v>
      </c>
      <c r="AT6148" t="s">
        <v>411</v>
      </c>
      <c r="AU6148" t="s">
        <v>130</v>
      </c>
    </row>
    <row r="6149" spans="1:48">
      <c r="A6149" s="1">
        <f>HYPERLINK("https://lsnyc.legalserver.org/matter/dynamic-profile/view/1888917","19-1888917")</f>
        <v>0</v>
      </c>
      <c r="B6149" t="s">
        <v>118</v>
      </c>
      <c r="C6149" t="s">
        <v>256</v>
      </c>
      <c r="D6149" t="s">
        <v>616</v>
      </c>
      <c r="F6149" t="s">
        <v>1601</v>
      </c>
      <c r="G6149" t="s">
        <v>3673</v>
      </c>
      <c r="H6149" t="s">
        <v>6158</v>
      </c>
      <c r="I6149" t="s">
        <v>8501</v>
      </c>
      <c r="J6149" t="s">
        <v>9065</v>
      </c>
      <c r="K6149">
        <v>10452</v>
      </c>
      <c r="L6149" t="s">
        <v>9094</v>
      </c>
      <c r="M6149" t="s">
        <v>9094</v>
      </c>
      <c r="N6149" t="s">
        <v>9447</v>
      </c>
      <c r="O6149" t="s">
        <v>11132</v>
      </c>
      <c r="P6149" t="s">
        <v>11165</v>
      </c>
      <c r="R6149" t="s">
        <v>11180</v>
      </c>
      <c r="S6149" t="s">
        <v>9094</v>
      </c>
      <c r="T6149" t="s">
        <v>11183</v>
      </c>
      <c r="V6149" t="s">
        <v>11212</v>
      </c>
      <c r="W6149">
        <v>771</v>
      </c>
      <c r="X6149" t="s">
        <v>11333</v>
      </c>
      <c r="Y6149" t="s">
        <v>11346</v>
      </c>
      <c r="Z6149" t="s">
        <v>15157</v>
      </c>
      <c r="AB6149" t="s">
        <v>19446</v>
      </c>
      <c r="AC6149">
        <v>0</v>
      </c>
      <c r="AD6149" t="s">
        <v>19566</v>
      </c>
      <c r="AE6149" t="s">
        <v>9144</v>
      </c>
      <c r="AF6149">
        <v>31</v>
      </c>
      <c r="AG6149">
        <v>2</v>
      </c>
      <c r="AH6149">
        <v>1</v>
      </c>
      <c r="AI6149">
        <v>487.58</v>
      </c>
      <c r="AL6149" t="s">
        <v>19614</v>
      </c>
      <c r="AM6149">
        <v>104000</v>
      </c>
      <c r="AS6149">
        <v>8</v>
      </c>
      <c r="AT6149" t="s">
        <v>614</v>
      </c>
      <c r="AU6149" t="s">
        <v>174</v>
      </c>
      <c r="AV6149" t="s">
        <v>20733</v>
      </c>
    </row>
    <row r="6150" spans="1:48">
      <c r="A6150" s="1">
        <f>HYPERLINK("https://lsnyc.legalserver.org/matter/dynamic-profile/view/1906404","19-1906404")</f>
        <v>0</v>
      </c>
      <c r="B6150" t="s">
        <v>139</v>
      </c>
      <c r="C6150" t="s">
        <v>256</v>
      </c>
      <c r="D6150" t="s">
        <v>493</v>
      </c>
      <c r="F6150" t="s">
        <v>3272</v>
      </c>
      <c r="G6150" t="s">
        <v>5603</v>
      </c>
      <c r="H6150" t="s">
        <v>7528</v>
      </c>
      <c r="I6150">
        <v>5</v>
      </c>
      <c r="J6150" t="s">
        <v>9067</v>
      </c>
      <c r="K6150">
        <v>10032</v>
      </c>
      <c r="L6150" t="s">
        <v>9094</v>
      </c>
      <c r="M6150" t="s">
        <v>9095</v>
      </c>
      <c r="O6150" t="s">
        <v>11130</v>
      </c>
      <c r="P6150" t="s">
        <v>11166</v>
      </c>
      <c r="R6150" t="s">
        <v>11180</v>
      </c>
      <c r="S6150" t="s">
        <v>9094</v>
      </c>
      <c r="T6150" t="s">
        <v>11183</v>
      </c>
      <c r="V6150" t="s">
        <v>493</v>
      </c>
      <c r="W6150">
        <v>2250</v>
      </c>
      <c r="X6150" t="s">
        <v>11335</v>
      </c>
      <c r="Y6150" t="s">
        <v>11338</v>
      </c>
      <c r="Z6150" t="s">
        <v>15158</v>
      </c>
      <c r="AB6150" t="s">
        <v>19447</v>
      </c>
      <c r="AC6150">
        <v>46</v>
      </c>
      <c r="AD6150" t="s">
        <v>19566</v>
      </c>
      <c r="AE6150" t="s">
        <v>9144</v>
      </c>
      <c r="AF6150">
        <v>6</v>
      </c>
      <c r="AG6150">
        <v>1</v>
      </c>
      <c r="AH6150">
        <v>0</v>
      </c>
      <c r="AI6150">
        <v>490.39</v>
      </c>
      <c r="AL6150" t="s">
        <v>19614</v>
      </c>
      <c r="AM6150">
        <v>61250</v>
      </c>
      <c r="AS6150">
        <v>17.1</v>
      </c>
      <c r="AT6150" t="s">
        <v>321</v>
      </c>
      <c r="AU6150" t="s">
        <v>130</v>
      </c>
      <c r="AV6150" t="s">
        <v>20733</v>
      </c>
    </row>
    <row r="6151" spans="1:48">
      <c r="A6151" s="1">
        <f>HYPERLINK("https://lsnyc.legalserver.org/matter/dynamic-profile/view/0829646","17-0829646")</f>
        <v>0</v>
      </c>
      <c r="B6151" t="s">
        <v>148</v>
      </c>
      <c r="C6151" t="s">
        <v>256</v>
      </c>
      <c r="D6151" t="s">
        <v>1119</v>
      </c>
      <c r="F6151" t="s">
        <v>3273</v>
      </c>
      <c r="G6151" t="s">
        <v>5604</v>
      </c>
      <c r="H6151" t="s">
        <v>8041</v>
      </c>
      <c r="I6151" t="s">
        <v>8536</v>
      </c>
      <c r="J6151" t="s">
        <v>9067</v>
      </c>
      <c r="K6151">
        <v>10024</v>
      </c>
      <c r="L6151" t="s">
        <v>9095</v>
      </c>
      <c r="M6151" t="s">
        <v>9095</v>
      </c>
      <c r="O6151" t="s">
        <v>11130</v>
      </c>
      <c r="P6151" t="s">
        <v>11167</v>
      </c>
      <c r="R6151" t="s">
        <v>11180</v>
      </c>
      <c r="S6151" t="s">
        <v>9094</v>
      </c>
      <c r="T6151" t="s">
        <v>11183</v>
      </c>
      <c r="V6151" t="s">
        <v>11248</v>
      </c>
      <c r="W6151">
        <v>3150</v>
      </c>
      <c r="X6151" t="s">
        <v>11335</v>
      </c>
      <c r="Y6151" t="s">
        <v>11339</v>
      </c>
      <c r="Z6151" t="s">
        <v>15159</v>
      </c>
      <c r="AB6151" t="s">
        <v>19448</v>
      </c>
      <c r="AC6151">
        <v>12</v>
      </c>
      <c r="AD6151" t="s">
        <v>19565</v>
      </c>
      <c r="AE6151" t="s">
        <v>9144</v>
      </c>
      <c r="AF6151">
        <v>1</v>
      </c>
      <c r="AG6151">
        <v>2</v>
      </c>
      <c r="AH6151">
        <v>0</v>
      </c>
      <c r="AI6151">
        <v>492.61</v>
      </c>
      <c r="AL6151" t="s">
        <v>19614</v>
      </c>
      <c r="AM6151">
        <v>80000</v>
      </c>
      <c r="AS6151">
        <v>0</v>
      </c>
      <c r="AU6151" t="s">
        <v>20657</v>
      </c>
    </row>
    <row r="6152" spans="1:48">
      <c r="A6152" s="1">
        <f>HYPERLINK("https://lsnyc.legalserver.org/matter/dynamic-profile/view/1882523","18-1882523")</f>
        <v>0</v>
      </c>
      <c r="B6152" t="s">
        <v>83</v>
      </c>
      <c r="C6152" t="s">
        <v>256</v>
      </c>
      <c r="D6152" t="s">
        <v>323</v>
      </c>
      <c r="F6152" t="s">
        <v>2424</v>
      </c>
      <c r="G6152" t="s">
        <v>5595</v>
      </c>
      <c r="H6152" t="s">
        <v>5987</v>
      </c>
      <c r="I6152" t="s">
        <v>8112</v>
      </c>
      <c r="J6152" t="s">
        <v>9059</v>
      </c>
      <c r="K6152">
        <v>11225</v>
      </c>
      <c r="L6152" t="s">
        <v>9094</v>
      </c>
      <c r="M6152" t="s">
        <v>9095</v>
      </c>
      <c r="P6152" t="s">
        <v>11165</v>
      </c>
      <c r="R6152" t="s">
        <v>11180</v>
      </c>
      <c r="T6152" t="s">
        <v>11183</v>
      </c>
      <c r="V6152" t="s">
        <v>323</v>
      </c>
      <c r="W6152">
        <v>0</v>
      </c>
      <c r="X6152" t="s">
        <v>11332</v>
      </c>
      <c r="Z6152" t="s">
        <v>13918</v>
      </c>
      <c r="AB6152" t="s">
        <v>15274</v>
      </c>
      <c r="AC6152">
        <v>0</v>
      </c>
      <c r="AD6152" t="s">
        <v>19566</v>
      </c>
      <c r="AF6152">
        <v>0</v>
      </c>
      <c r="AG6152">
        <v>2</v>
      </c>
      <c r="AH6152">
        <v>0</v>
      </c>
      <c r="AI6152">
        <v>493.32</v>
      </c>
      <c r="AL6152" t="s">
        <v>19614</v>
      </c>
      <c r="AM6152">
        <v>81200</v>
      </c>
      <c r="AS6152">
        <v>3</v>
      </c>
      <c r="AT6152" t="s">
        <v>288</v>
      </c>
      <c r="AU6152" t="s">
        <v>20628</v>
      </c>
      <c r="AV6152" t="s">
        <v>20733</v>
      </c>
    </row>
    <row r="6153" spans="1:48">
      <c r="A6153" s="1">
        <f>HYPERLINK("https://lsnyc.legalserver.org/matter/dynamic-profile/view/1886506","18-1886506")</f>
        <v>0</v>
      </c>
      <c r="B6153" t="s">
        <v>113</v>
      </c>
      <c r="C6153" t="s">
        <v>256</v>
      </c>
      <c r="D6153" t="s">
        <v>347</v>
      </c>
      <c r="F6153" t="s">
        <v>2024</v>
      </c>
      <c r="G6153" t="s">
        <v>5597</v>
      </c>
      <c r="H6153" t="s">
        <v>5864</v>
      </c>
      <c r="J6153" t="s">
        <v>9065</v>
      </c>
      <c r="K6153">
        <v>10460</v>
      </c>
      <c r="L6153" t="s">
        <v>9094</v>
      </c>
      <c r="M6153" t="s">
        <v>9094</v>
      </c>
      <c r="N6153" t="s">
        <v>9222</v>
      </c>
      <c r="O6153" t="s">
        <v>11130</v>
      </c>
      <c r="P6153" t="s">
        <v>11165</v>
      </c>
      <c r="R6153" t="s">
        <v>11180</v>
      </c>
      <c r="S6153" t="s">
        <v>9094</v>
      </c>
      <c r="T6153" t="s">
        <v>11183</v>
      </c>
      <c r="V6153" t="s">
        <v>512</v>
      </c>
      <c r="W6153">
        <v>1367</v>
      </c>
      <c r="X6153" t="s">
        <v>11333</v>
      </c>
      <c r="Y6153" t="s">
        <v>11346</v>
      </c>
      <c r="Z6153" t="s">
        <v>15147</v>
      </c>
      <c r="AB6153" t="s">
        <v>19436</v>
      </c>
      <c r="AC6153">
        <v>0</v>
      </c>
      <c r="AD6153" t="s">
        <v>15441</v>
      </c>
      <c r="AE6153" t="s">
        <v>9144</v>
      </c>
      <c r="AF6153">
        <v>34</v>
      </c>
      <c r="AG6153">
        <v>1</v>
      </c>
      <c r="AH6153">
        <v>0</v>
      </c>
      <c r="AI6153">
        <v>494.11</v>
      </c>
      <c r="AL6153" t="s">
        <v>19614</v>
      </c>
      <c r="AM6153">
        <v>59985</v>
      </c>
      <c r="AS6153">
        <v>0</v>
      </c>
      <c r="AU6153" t="s">
        <v>20642</v>
      </c>
    </row>
    <row r="6154" spans="1:48">
      <c r="A6154" s="1">
        <f>HYPERLINK("https://lsnyc.legalserver.org/matter/dynamic-profile/view/1876914","18-1876914")</f>
        <v>0</v>
      </c>
      <c r="B6154" t="s">
        <v>165</v>
      </c>
      <c r="C6154" t="s">
        <v>256</v>
      </c>
      <c r="D6154" t="s">
        <v>803</v>
      </c>
      <c r="F6154" t="s">
        <v>3274</v>
      </c>
      <c r="G6154" t="s">
        <v>5127</v>
      </c>
      <c r="H6154" t="s">
        <v>6934</v>
      </c>
      <c r="I6154" t="s">
        <v>8227</v>
      </c>
      <c r="J6154" t="s">
        <v>9059</v>
      </c>
      <c r="K6154">
        <v>11216</v>
      </c>
      <c r="L6154" t="s">
        <v>9094</v>
      </c>
      <c r="M6154" t="s">
        <v>9094</v>
      </c>
      <c r="N6154" t="s">
        <v>10050</v>
      </c>
      <c r="O6154" t="s">
        <v>11132</v>
      </c>
      <c r="P6154" t="s">
        <v>11165</v>
      </c>
      <c r="R6154" t="s">
        <v>11180</v>
      </c>
      <c r="S6154" t="s">
        <v>9094</v>
      </c>
      <c r="T6154" t="s">
        <v>11183</v>
      </c>
      <c r="V6154" t="s">
        <v>688</v>
      </c>
      <c r="W6154">
        <v>2200</v>
      </c>
      <c r="X6154" t="s">
        <v>11332</v>
      </c>
      <c r="Y6154" t="s">
        <v>11339</v>
      </c>
      <c r="Z6154" t="s">
        <v>15160</v>
      </c>
      <c r="AB6154" t="s">
        <v>19449</v>
      </c>
      <c r="AC6154">
        <v>82</v>
      </c>
      <c r="AD6154" t="s">
        <v>19566</v>
      </c>
      <c r="AE6154" t="s">
        <v>9144</v>
      </c>
      <c r="AF6154">
        <v>1</v>
      </c>
      <c r="AG6154">
        <v>1</v>
      </c>
      <c r="AH6154">
        <v>0</v>
      </c>
      <c r="AI6154">
        <v>494.23</v>
      </c>
      <c r="AJ6154" t="s">
        <v>440</v>
      </c>
      <c r="AK6154" t="s">
        <v>19612</v>
      </c>
      <c r="AL6154" t="s">
        <v>19614</v>
      </c>
      <c r="AM6154">
        <v>60000</v>
      </c>
      <c r="AN6154" t="s">
        <v>20249</v>
      </c>
      <c r="AS6154">
        <v>0</v>
      </c>
      <c r="AU6154" t="s">
        <v>95</v>
      </c>
    </row>
    <row r="6155" spans="1:48">
      <c r="A6155" s="1">
        <f>HYPERLINK("https://lsnyc.legalserver.org/matter/dynamic-profile/view/1876913","18-1876913")</f>
        <v>0</v>
      </c>
      <c r="B6155" t="s">
        <v>165</v>
      </c>
      <c r="C6155" t="s">
        <v>256</v>
      </c>
      <c r="D6155" t="s">
        <v>803</v>
      </c>
      <c r="F6155" t="s">
        <v>3274</v>
      </c>
      <c r="G6155" t="s">
        <v>5127</v>
      </c>
      <c r="H6155" t="s">
        <v>6934</v>
      </c>
      <c r="I6155" t="s">
        <v>8227</v>
      </c>
      <c r="J6155" t="s">
        <v>9059</v>
      </c>
      <c r="K6155">
        <v>11216</v>
      </c>
      <c r="L6155" t="s">
        <v>9094</v>
      </c>
      <c r="M6155" t="s">
        <v>9094</v>
      </c>
      <c r="N6155" t="s">
        <v>9121</v>
      </c>
      <c r="O6155" t="s">
        <v>9121</v>
      </c>
      <c r="P6155" t="s">
        <v>11167</v>
      </c>
      <c r="R6155" t="s">
        <v>11180</v>
      </c>
      <c r="S6155" t="s">
        <v>9094</v>
      </c>
      <c r="T6155" t="s">
        <v>11183</v>
      </c>
      <c r="V6155" t="s">
        <v>419</v>
      </c>
      <c r="W6155">
        <v>2200</v>
      </c>
      <c r="X6155" t="s">
        <v>11332</v>
      </c>
      <c r="Y6155" t="s">
        <v>11339</v>
      </c>
      <c r="Z6155" t="s">
        <v>15160</v>
      </c>
      <c r="AB6155" t="s">
        <v>19449</v>
      </c>
      <c r="AC6155">
        <v>82</v>
      </c>
      <c r="AD6155" t="s">
        <v>19566</v>
      </c>
      <c r="AE6155" t="s">
        <v>9144</v>
      </c>
      <c r="AF6155">
        <v>1</v>
      </c>
      <c r="AG6155">
        <v>1</v>
      </c>
      <c r="AH6155">
        <v>0</v>
      </c>
      <c r="AI6155">
        <v>494.23</v>
      </c>
      <c r="AJ6155" t="s">
        <v>440</v>
      </c>
      <c r="AK6155" t="s">
        <v>19612</v>
      </c>
      <c r="AL6155" t="s">
        <v>19614</v>
      </c>
      <c r="AM6155">
        <v>60000</v>
      </c>
      <c r="AN6155" t="s">
        <v>19665</v>
      </c>
      <c r="AS6155">
        <v>0</v>
      </c>
      <c r="AU6155" t="s">
        <v>95</v>
      </c>
    </row>
    <row r="6156" spans="1:48">
      <c r="A6156" s="1">
        <f>HYPERLINK("https://lsnyc.legalserver.org/matter/dynamic-profile/view/1879671","18-1879671")</f>
        <v>0</v>
      </c>
      <c r="B6156" t="s">
        <v>76</v>
      </c>
      <c r="C6156" t="s">
        <v>257</v>
      </c>
      <c r="D6156" t="s">
        <v>855</v>
      </c>
      <c r="E6156" t="s">
        <v>328</v>
      </c>
      <c r="F6156" t="s">
        <v>1738</v>
      </c>
      <c r="G6156" t="s">
        <v>5605</v>
      </c>
      <c r="H6156" t="s">
        <v>6312</v>
      </c>
      <c r="I6156" t="s">
        <v>8141</v>
      </c>
      <c r="J6156" t="s">
        <v>9059</v>
      </c>
      <c r="K6156">
        <v>11207</v>
      </c>
      <c r="L6156" t="s">
        <v>9094</v>
      </c>
      <c r="M6156" t="s">
        <v>9096</v>
      </c>
      <c r="N6156" t="s">
        <v>9121</v>
      </c>
      <c r="O6156" t="s">
        <v>11143</v>
      </c>
      <c r="P6156" t="s">
        <v>11167</v>
      </c>
      <c r="Q6156" t="s">
        <v>11172</v>
      </c>
      <c r="R6156" t="s">
        <v>11180</v>
      </c>
      <c r="S6156" t="s">
        <v>9094</v>
      </c>
      <c r="T6156" t="s">
        <v>11183</v>
      </c>
      <c r="U6156" t="s">
        <v>11201</v>
      </c>
      <c r="V6156" t="s">
        <v>697</v>
      </c>
      <c r="W6156">
        <v>1000</v>
      </c>
      <c r="X6156" t="s">
        <v>11332</v>
      </c>
      <c r="Y6156" t="s">
        <v>11340</v>
      </c>
      <c r="Z6156" t="s">
        <v>15161</v>
      </c>
      <c r="AA6156" t="s">
        <v>9144</v>
      </c>
      <c r="AC6156">
        <v>6</v>
      </c>
      <c r="AD6156" t="s">
        <v>19566</v>
      </c>
      <c r="AE6156" t="s">
        <v>9144</v>
      </c>
      <c r="AF6156">
        <v>3</v>
      </c>
      <c r="AG6156">
        <v>1</v>
      </c>
      <c r="AH6156">
        <v>0</v>
      </c>
      <c r="AI6156">
        <v>494.23</v>
      </c>
      <c r="AL6156" t="s">
        <v>19614</v>
      </c>
      <c r="AM6156">
        <v>60000</v>
      </c>
      <c r="AN6156" t="s">
        <v>20250</v>
      </c>
      <c r="AS6156">
        <v>0.1</v>
      </c>
      <c r="AT6156" t="s">
        <v>328</v>
      </c>
      <c r="AU6156" t="s">
        <v>95</v>
      </c>
      <c r="AV6156" t="s">
        <v>20733</v>
      </c>
    </row>
    <row r="6157" spans="1:48">
      <c r="A6157" s="1">
        <f>HYPERLINK("https://lsnyc.legalserver.org/matter/dynamic-profile/view/1879674","18-1879674")</f>
        <v>0</v>
      </c>
      <c r="B6157" t="s">
        <v>76</v>
      </c>
      <c r="C6157" t="s">
        <v>256</v>
      </c>
      <c r="D6157" t="s">
        <v>855</v>
      </c>
      <c r="F6157" t="s">
        <v>1738</v>
      </c>
      <c r="G6157" t="s">
        <v>5605</v>
      </c>
      <c r="H6157" t="s">
        <v>6312</v>
      </c>
      <c r="I6157" t="s">
        <v>8141</v>
      </c>
      <c r="J6157" t="s">
        <v>9059</v>
      </c>
      <c r="K6157">
        <v>11207</v>
      </c>
      <c r="L6157" t="s">
        <v>9094</v>
      </c>
      <c r="M6157" t="s">
        <v>9096</v>
      </c>
      <c r="N6157" t="s">
        <v>9121</v>
      </c>
      <c r="O6157" t="s">
        <v>11132</v>
      </c>
      <c r="P6157" t="s">
        <v>11167</v>
      </c>
      <c r="R6157" t="s">
        <v>11180</v>
      </c>
      <c r="S6157" t="s">
        <v>9094</v>
      </c>
      <c r="T6157" t="s">
        <v>11183</v>
      </c>
      <c r="U6157" t="s">
        <v>11201</v>
      </c>
      <c r="V6157" t="s">
        <v>11236</v>
      </c>
      <c r="W6157">
        <v>1000</v>
      </c>
      <c r="X6157" t="s">
        <v>11332</v>
      </c>
      <c r="Y6157" t="s">
        <v>11340</v>
      </c>
      <c r="Z6157" t="s">
        <v>15161</v>
      </c>
      <c r="AA6157" t="s">
        <v>9144</v>
      </c>
      <c r="AC6157">
        <v>6</v>
      </c>
      <c r="AD6157" t="s">
        <v>19566</v>
      </c>
      <c r="AE6157" t="s">
        <v>9144</v>
      </c>
      <c r="AF6157">
        <v>3</v>
      </c>
      <c r="AG6157">
        <v>1</v>
      </c>
      <c r="AH6157">
        <v>0</v>
      </c>
      <c r="AI6157">
        <v>494.23</v>
      </c>
      <c r="AL6157" t="s">
        <v>19614</v>
      </c>
      <c r="AM6157">
        <v>60000</v>
      </c>
      <c r="AN6157" t="s">
        <v>20251</v>
      </c>
      <c r="AS6157">
        <v>0</v>
      </c>
      <c r="AU6157" t="s">
        <v>95</v>
      </c>
      <c r="AV6157" t="s">
        <v>20733</v>
      </c>
    </row>
    <row r="6158" spans="1:48">
      <c r="A6158" s="1">
        <f>HYPERLINK("https://lsnyc.legalserver.org/matter/dynamic-profile/view/1879662","18-1879662")</f>
        <v>0</v>
      </c>
      <c r="B6158" t="s">
        <v>76</v>
      </c>
      <c r="C6158" t="s">
        <v>256</v>
      </c>
      <c r="D6158" t="s">
        <v>855</v>
      </c>
      <c r="F6158" t="s">
        <v>1738</v>
      </c>
      <c r="G6158" t="s">
        <v>5605</v>
      </c>
      <c r="H6158" t="s">
        <v>6312</v>
      </c>
      <c r="I6158" t="s">
        <v>8141</v>
      </c>
      <c r="J6158" t="s">
        <v>9059</v>
      </c>
      <c r="K6158">
        <v>11207</v>
      </c>
      <c r="L6158" t="s">
        <v>9094</v>
      </c>
      <c r="M6158" t="s">
        <v>9096</v>
      </c>
      <c r="N6158" t="s">
        <v>11115</v>
      </c>
      <c r="O6158" t="s">
        <v>11134</v>
      </c>
      <c r="P6158" t="s">
        <v>11168</v>
      </c>
      <c r="R6158" t="s">
        <v>11180</v>
      </c>
      <c r="S6158" t="s">
        <v>9094</v>
      </c>
      <c r="T6158" t="s">
        <v>11183</v>
      </c>
      <c r="U6158" t="s">
        <v>11201</v>
      </c>
      <c r="V6158" t="s">
        <v>697</v>
      </c>
      <c r="W6158">
        <v>1000</v>
      </c>
      <c r="X6158" t="s">
        <v>11332</v>
      </c>
      <c r="Y6158" t="s">
        <v>11340</v>
      </c>
      <c r="Z6158" t="s">
        <v>15161</v>
      </c>
      <c r="AC6158">
        <v>6</v>
      </c>
      <c r="AD6158" t="s">
        <v>19566</v>
      </c>
      <c r="AE6158" t="s">
        <v>9144</v>
      </c>
      <c r="AF6158">
        <v>3</v>
      </c>
      <c r="AG6158">
        <v>1</v>
      </c>
      <c r="AH6158">
        <v>0</v>
      </c>
      <c r="AI6158">
        <v>494.23</v>
      </c>
      <c r="AL6158" t="s">
        <v>19614</v>
      </c>
      <c r="AM6158">
        <v>60000</v>
      </c>
      <c r="AN6158" t="s">
        <v>20250</v>
      </c>
      <c r="AS6158">
        <v>0</v>
      </c>
      <c r="AU6158" t="s">
        <v>95</v>
      </c>
      <c r="AV6158" t="s">
        <v>20733</v>
      </c>
    </row>
    <row r="6159" spans="1:48">
      <c r="A6159" s="1">
        <f>HYPERLINK("https://lsnyc.legalserver.org/matter/dynamic-profile/view/1879665","18-1879665")</f>
        <v>0</v>
      </c>
      <c r="B6159" t="s">
        <v>76</v>
      </c>
      <c r="C6159" t="s">
        <v>256</v>
      </c>
      <c r="D6159" t="s">
        <v>855</v>
      </c>
      <c r="F6159" t="s">
        <v>1738</v>
      </c>
      <c r="G6159" t="s">
        <v>5605</v>
      </c>
      <c r="H6159" t="s">
        <v>6312</v>
      </c>
      <c r="I6159" t="s">
        <v>8141</v>
      </c>
      <c r="J6159" t="s">
        <v>9059</v>
      </c>
      <c r="K6159">
        <v>11207</v>
      </c>
      <c r="L6159" t="s">
        <v>9094</v>
      </c>
      <c r="M6159" t="s">
        <v>9096</v>
      </c>
      <c r="N6159" t="s">
        <v>9579</v>
      </c>
      <c r="O6159" t="s">
        <v>11134</v>
      </c>
      <c r="P6159" t="s">
        <v>11168</v>
      </c>
      <c r="R6159" t="s">
        <v>11180</v>
      </c>
      <c r="S6159" t="s">
        <v>9094</v>
      </c>
      <c r="T6159" t="s">
        <v>11183</v>
      </c>
      <c r="U6159" t="s">
        <v>11201</v>
      </c>
      <c r="V6159" t="s">
        <v>11229</v>
      </c>
      <c r="W6159">
        <v>1000</v>
      </c>
      <c r="X6159" t="s">
        <v>11332</v>
      </c>
      <c r="Y6159" t="s">
        <v>11340</v>
      </c>
      <c r="Z6159" t="s">
        <v>15161</v>
      </c>
      <c r="AA6159" t="s">
        <v>9144</v>
      </c>
      <c r="AC6159">
        <v>6</v>
      </c>
      <c r="AD6159" t="s">
        <v>19566</v>
      </c>
      <c r="AE6159" t="s">
        <v>9144</v>
      </c>
      <c r="AF6159">
        <v>3</v>
      </c>
      <c r="AG6159">
        <v>1</v>
      </c>
      <c r="AH6159">
        <v>0</v>
      </c>
      <c r="AI6159">
        <v>494.23</v>
      </c>
      <c r="AL6159" t="s">
        <v>19614</v>
      </c>
      <c r="AM6159">
        <v>60000</v>
      </c>
      <c r="AN6159" t="s">
        <v>20252</v>
      </c>
      <c r="AS6159">
        <v>0.5</v>
      </c>
      <c r="AT6159" t="s">
        <v>746</v>
      </c>
      <c r="AU6159" t="s">
        <v>95</v>
      </c>
      <c r="AV6159" t="s">
        <v>20733</v>
      </c>
    </row>
    <row r="6160" spans="1:48">
      <c r="A6160" s="1">
        <f>HYPERLINK("https://lsnyc.legalserver.org/matter/dynamic-profile/view/1879667","18-1879667")</f>
        <v>0</v>
      </c>
      <c r="B6160" t="s">
        <v>76</v>
      </c>
      <c r="C6160" t="s">
        <v>256</v>
      </c>
      <c r="D6160" t="s">
        <v>855</v>
      </c>
      <c r="F6160" t="s">
        <v>1738</v>
      </c>
      <c r="G6160" t="s">
        <v>5605</v>
      </c>
      <c r="H6160" t="s">
        <v>6312</v>
      </c>
      <c r="I6160" t="s">
        <v>8141</v>
      </c>
      <c r="J6160" t="s">
        <v>9059</v>
      </c>
      <c r="K6160">
        <v>11207</v>
      </c>
      <c r="L6160" t="s">
        <v>9094</v>
      </c>
      <c r="M6160" t="s">
        <v>9096</v>
      </c>
      <c r="N6160" t="s">
        <v>9121</v>
      </c>
      <c r="O6160" t="s">
        <v>11134</v>
      </c>
      <c r="P6160" t="s">
        <v>11164</v>
      </c>
      <c r="R6160" t="s">
        <v>11180</v>
      </c>
      <c r="S6160" t="s">
        <v>9094</v>
      </c>
      <c r="T6160" t="s">
        <v>11183</v>
      </c>
      <c r="U6160" t="s">
        <v>11201</v>
      </c>
      <c r="V6160" t="s">
        <v>697</v>
      </c>
      <c r="W6160">
        <v>1000</v>
      </c>
      <c r="X6160" t="s">
        <v>11332</v>
      </c>
      <c r="Y6160" t="s">
        <v>11340</v>
      </c>
      <c r="Z6160" t="s">
        <v>15161</v>
      </c>
      <c r="AA6160" t="s">
        <v>9144</v>
      </c>
      <c r="AC6160">
        <v>6</v>
      </c>
      <c r="AD6160" t="s">
        <v>19566</v>
      </c>
      <c r="AE6160" t="s">
        <v>9144</v>
      </c>
      <c r="AF6160">
        <v>3</v>
      </c>
      <c r="AG6160">
        <v>1</v>
      </c>
      <c r="AH6160">
        <v>0</v>
      </c>
      <c r="AI6160">
        <v>494.23</v>
      </c>
      <c r="AL6160" t="s">
        <v>19614</v>
      </c>
      <c r="AM6160">
        <v>60000</v>
      </c>
      <c r="AN6160" t="s">
        <v>20250</v>
      </c>
      <c r="AS6160">
        <v>0</v>
      </c>
      <c r="AU6160" t="s">
        <v>95</v>
      </c>
      <c r="AV6160" t="s">
        <v>20733</v>
      </c>
    </row>
    <row r="6161" spans="1:48">
      <c r="A6161" s="1">
        <f>HYPERLINK("https://lsnyc.legalserver.org/matter/dynamic-profile/view/1879657","18-1879657")</f>
        <v>0</v>
      </c>
      <c r="B6161" t="s">
        <v>76</v>
      </c>
      <c r="C6161" t="s">
        <v>256</v>
      </c>
      <c r="D6161" t="s">
        <v>855</v>
      </c>
      <c r="F6161" t="s">
        <v>1738</v>
      </c>
      <c r="G6161" t="s">
        <v>5605</v>
      </c>
      <c r="H6161" t="s">
        <v>6312</v>
      </c>
      <c r="I6161" t="s">
        <v>8141</v>
      </c>
      <c r="J6161" t="s">
        <v>9059</v>
      </c>
      <c r="K6161">
        <v>11207</v>
      </c>
      <c r="L6161" t="s">
        <v>9094</v>
      </c>
      <c r="M6161" t="s">
        <v>9096</v>
      </c>
      <c r="N6161" t="s">
        <v>9121</v>
      </c>
      <c r="O6161" t="s">
        <v>9121</v>
      </c>
      <c r="P6161" t="s">
        <v>11167</v>
      </c>
      <c r="R6161" t="s">
        <v>11180</v>
      </c>
      <c r="S6161" t="s">
        <v>9094</v>
      </c>
      <c r="T6161" t="s">
        <v>11183</v>
      </c>
      <c r="U6161" t="s">
        <v>11201</v>
      </c>
      <c r="V6161" t="s">
        <v>572</v>
      </c>
      <c r="W6161">
        <v>1000</v>
      </c>
      <c r="X6161" t="s">
        <v>11332</v>
      </c>
      <c r="Y6161" t="s">
        <v>11340</v>
      </c>
      <c r="Z6161" t="s">
        <v>15161</v>
      </c>
      <c r="AC6161">
        <v>6</v>
      </c>
      <c r="AD6161" t="s">
        <v>19566</v>
      </c>
      <c r="AE6161" t="s">
        <v>9144</v>
      </c>
      <c r="AF6161">
        <v>3</v>
      </c>
      <c r="AG6161">
        <v>1</v>
      </c>
      <c r="AH6161">
        <v>0</v>
      </c>
      <c r="AI6161">
        <v>494.23</v>
      </c>
      <c r="AL6161" t="s">
        <v>19614</v>
      </c>
      <c r="AM6161">
        <v>60000</v>
      </c>
      <c r="AS6161">
        <v>0</v>
      </c>
      <c r="AU6161" t="s">
        <v>95</v>
      </c>
      <c r="AV6161" t="s">
        <v>20733</v>
      </c>
    </row>
    <row r="6162" spans="1:48">
      <c r="A6162" s="1">
        <f>HYPERLINK("https://lsnyc.legalserver.org/matter/dynamic-profile/view/1854566","17-1854566")</f>
        <v>0</v>
      </c>
      <c r="B6162" t="s">
        <v>70</v>
      </c>
      <c r="C6162" t="s">
        <v>257</v>
      </c>
      <c r="D6162" t="s">
        <v>801</v>
      </c>
      <c r="E6162" t="s">
        <v>328</v>
      </c>
      <c r="F6162" t="s">
        <v>1738</v>
      </c>
      <c r="G6162" t="s">
        <v>5605</v>
      </c>
      <c r="H6162" t="s">
        <v>6312</v>
      </c>
      <c r="I6162" t="s">
        <v>8141</v>
      </c>
      <c r="J6162" t="s">
        <v>9059</v>
      </c>
      <c r="K6162">
        <v>11207</v>
      </c>
      <c r="L6162" t="s">
        <v>9094</v>
      </c>
      <c r="M6162" t="s">
        <v>9095</v>
      </c>
      <c r="N6162" t="s">
        <v>11116</v>
      </c>
      <c r="O6162" t="s">
        <v>11128</v>
      </c>
      <c r="P6162" t="s">
        <v>11165</v>
      </c>
      <c r="Q6162" t="s">
        <v>11174</v>
      </c>
      <c r="R6162" t="s">
        <v>11180</v>
      </c>
      <c r="S6162" t="s">
        <v>9094</v>
      </c>
      <c r="T6162" t="s">
        <v>11183</v>
      </c>
      <c r="V6162" t="s">
        <v>856</v>
      </c>
      <c r="W6162">
        <v>1000</v>
      </c>
      <c r="X6162" t="s">
        <v>11332</v>
      </c>
      <c r="Y6162" t="s">
        <v>11340</v>
      </c>
      <c r="Z6162" t="s">
        <v>15161</v>
      </c>
      <c r="AC6162">
        <v>6</v>
      </c>
      <c r="AD6162" t="s">
        <v>19566</v>
      </c>
      <c r="AE6162" t="s">
        <v>9144</v>
      </c>
      <c r="AF6162">
        <v>3</v>
      </c>
      <c r="AG6162">
        <v>1</v>
      </c>
      <c r="AH6162">
        <v>0</v>
      </c>
      <c r="AI6162">
        <v>497.51</v>
      </c>
      <c r="AL6162" t="s">
        <v>19614</v>
      </c>
      <c r="AM6162">
        <v>60000</v>
      </c>
      <c r="AS6162">
        <v>1.55</v>
      </c>
      <c r="AT6162" t="s">
        <v>332</v>
      </c>
      <c r="AU6162" t="s">
        <v>59</v>
      </c>
    </row>
    <row r="6163" spans="1:48">
      <c r="A6163" s="1">
        <f>HYPERLINK("https://lsnyc.legalserver.org/matter/dynamic-profile/view/1842842","17-1842842")</f>
        <v>0</v>
      </c>
      <c r="B6163" t="s">
        <v>122</v>
      </c>
      <c r="C6163" t="s">
        <v>257</v>
      </c>
      <c r="D6163" t="s">
        <v>480</v>
      </c>
      <c r="E6163" t="s">
        <v>414</v>
      </c>
      <c r="F6163" t="s">
        <v>3275</v>
      </c>
      <c r="G6163" t="s">
        <v>5606</v>
      </c>
      <c r="H6163" t="s">
        <v>7873</v>
      </c>
      <c r="J6163" t="s">
        <v>9066</v>
      </c>
      <c r="K6163">
        <v>10314</v>
      </c>
      <c r="L6163" t="s">
        <v>9094</v>
      </c>
      <c r="M6163" t="s">
        <v>9095</v>
      </c>
      <c r="N6163" t="s">
        <v>9260</v>
      </c>
      <c r="O6163" t="s">
        <v>11135</v>
      </c>
      <c r="P6163" t="s">
        <v>11168</v>
      </c>
      <c r="Q6163" t="s">
        <v>11177</v>
      </c>
      <c r="R6163" t="s">
        <v>11180</v>
      </c>
      <c r="S6163" t="s">
        <v>9094</v>
      </c>
      <c r="T6163" t="s">
        <v>11183</v>
      </c>
      <c r="U6163" t="s">
        <v>11201</v>
      </c>
      <c r="V6163" t="s">
        <v>712</v>
      </c>
      <c r="W6163">
        <v>1511</v>
      </c>
      <c r="X6163" t="s">
        <v>11334</v>
      </c>
      <c r="Y6163" t="s">
        <v>11339</v>
      </c>
      <c r="Z6163" t="s">
        <v>15162</v>
      </c>
      <c r="AB6163" t="s">
        <v>19450</v>
      </c>
      <c r="AC6163">
        <v>96</v>
      </c>
      <c r="AD6163" t="s">
        <v>19566</v>
      </c>
      <c r="AE6163" t="s">
        <v>9144</v>
      </c>
      <c r="AF6163">
        <v>1</v>
      </c>
      <c r="AG6163">
        <v>1</v>
      </c>
      <c r="AH6163">
        <v>0</v>
      </c>
      <c r="AI6163">
        <v>497.51</v>
      </c>
      <c r="AJ6163" t="s">
        <v>19594</v>
      </c>
      <c r="AL6163" t="s">
        <v>19614</v>
      </c>
      <c r="AM6163">
        <v>60000</v>
      </c>
      <c r="AO6163" t="s">
        <v>20293</v>
      </c>
      <c r="AP6163" t="s">
        <v>20316</v>
      </c>
      <c r="AQ6163" t="s">
        <v>20369</v>
      </c>
      <c r="AR6163" t="s">
        <v>20580</v>
      </c>
      <c r="AS6163">
        <v>0.8</v>
      </c>
      <c r="AT6163" t="s">
        <v>414</v>
      </c>
      <c r="AU6163" t="s">
        <v>20651</v>
      </c>
      <c r="AV6163" t="s">
        <v>20733</v>
      </c>
    </row>
    <row r="6164" spans="1:48">
      <c r="A6164" s="1">
        <f>HYPERLINK("https://lsnyc.legalserver.org/matter/dynamic-profile/view/1902191","19-1902191")</f>
        <v>0</v>
      </c>
      <c r="B6164" t="s">
        <v>134</v>
      </c>
      <c r="C6164" t="s">
        <v>256</v>
      </c>
      <c r="D6164" t="s">
        <v>584</v>
      </c>
      <c r="F6164" t="s">
        <v>2260</v>
      </c>
      <c r="G6164" t="s">
        <v>5607</v>
      </c>
      <c r="H6164" t="s">
        <v>7938</v>
      </c>
      <c r="I6164" t="s">
        <v>9020</v>
      </c>
      <c r="J6164" t="s">
        <v>9067</v>
      </c>
      <c r="K6164">
        <v>10033</v>
      </c>
      <c r="L6164" t="s">
        <v>9094</v>
      </c>
      <c r="M6164" t="s">
        <v>9095</v>
      </c>
      <c r="P6164" t="s">
        <v>11164</v>
      </c>
      <c r="R6164" t="s">
        <v>11180</v>
      </c>
      <c r="S6164" t="s">
        <v>9096</v>
      </c>
      <c r="T6164" t="s">
        <v>11183</v>
      </c>
      <c r="V6164" t="s">
        <v>584</v>
      </c>
      <c r="W6164">
        <v>2070</v>
      </c>
      <c r="X6164" t="s">
        <v>11335</v>
      </c>
      <c r="Y6164" t="s">
        <v>11338</v>
      </c>
      <c r="Z6164" t="s">
        <v>15163</v>
      </c>
      <c r="AB6164" t="s">
        <v>19451</v>
      </c>
      <c r="AC6164">
        <v>91</v>
      </c>
      <c r="AD6164" t="s">
        <v>19566</v>
      </c>
      <c r="AE6164" t="s">
        <v>9144</v>
      </c>
      <c r="AF6164">
        <v>7</v>
      </c>
      <c r="AG6164">
        <v>1</v>
      </c>
      <c r="AH6164">
        <v>0</v>
      </c>
      <c r="AI6164">
        <v>498.83</v>
      </c>
      <c r="AL6164" t="s">
        <v>19614</v>
      </c>
      <c r="AM6164">
        <v>62304</v>
      </c>
      <c r="AS6164">
        <v>0</v>
      </c>
      <c r="AU6164" t="s">
        <v>130</v>
      </c>
      <c r="AV6164" t="s">
        <v>20733</v>
      </c>
    </row>
    <row r="6165" spans="1:48">
      <c r="A6165" s="1">
        <f>HYPERLINK("https://lsnyc.legalserver.org/matter/dynamic-profile/view/1863626","18-1863626")</f>
        <v>0</v>
      </c>
      <c r="B6165" t="s">
        <v>118</v>
      </c>
      <c r="C6165" t="s">
        <v>257</v>
      </c>
      <c r="D6165" t="s">
        <v>651</v>
      </c>
      <c r="E6165" t="s">
        <v>367</v>
      </c>
      <c r="F6165" t="s">
        <v>1601</v>
      </c>
      <c r="G6165" t="s">
        <v>3673</v>
      </c>
      <c r="H6165" t="s">
        <v>6158</v>
      </c>
      <c r="I6165" t="s">
        <v>8501</v>
      </c>
      <c r="J6165" t="s">
        <v>9065</v>
      </c>
      <c r="K6165">
        <v>10452</v>
      </c>
      <c r="L6165" t="s">
        <v>9094</v>
      </c>
      <c r="M6165" t="s">
        <v>9095</v>
      </c>
      <c r="O6165" t="s">
        <v>11137</v>
      </c>
      <c r="P6165" t="s">
        <v>11166</v>
      </c>
      <c r="Q6165" t="s">
        <v>11173</v>
      </c>
      <c r="R6165" t="s">
        <v>11180</v>
      </c>
      <c r="S6165" t="s">
        <v>9094</v>
      </c>
      <c r="T6165" t="s">
        <v>11183</v>
      </c>
      <c r="V6165" t="s">
        <v>745</v>
      </c>
      <c r="W6165">
        <v>771</v>
      </c>
      <c r="X6165" t="s">
        <v>11333</v>
      </c>
      <c r="Y6165" t="s">
        <v>11346</v>
      </c>
      <c r="Z6165" t="s">
        <v>15157</v>
      </c>
      <c r="AB6165" t="s">
        <v>19446</v>
      </c>
      <c r="AC6165">
        <v>0</v>
      </c>
      <c r="AD6165" t="s">
        <v>19566</v>
      </c>
      <c r="AE6165" t="s">
        <v>9144</v>
      </c>
      <c r="AF6165">
        <v>30</v>
      </c>
      <c r="AG6165">
        <v>2</v>
      </c>
      <c r="AH6165">
        <v>1</v>
      </c>
      <c r="AI6165">
        <v>500.48</v>
      </c>
      <c r="AL6165" t="s">
        <v>19614</v>
      </c>
      <c r="AM6165">
        <v>104000</v>
      </c>
      <c r="AS6165">
        <v>71.5</v>
      </c>
      <c r="AT6165" t="s">
        <v>660</v>
      </c>
      <c r="AU6165" t="s">
        <v>174</v>
      </c>
      <c r="AV6165" t="s">
        <v>20733</v>
      </c>
    </row>
    <row r="6166" spans="1:48">
      <c r="A6166" s="1">
        <f>HYPERLINK("https://lsnyc.legalserver.org/matter/dynamic-profile/view/1887820","19-1887820")</f>
        <v>0</v>
      </c>
      <c r="B6166" t="s">
        <v>78</v>
      </c>
      <c r="C6166" t="s">
        <v>256</v>
      </c>
      <c r="D6166" t="s">
        <v>363</v>
      </c>
      <c r="F6166" t="s">
        <v>1147</v>
      </c>
      <c r="G6166" t="s">
        <v>3394</v>
      </c>
      <c r="H6166" t="s">
        <v>5785</v>
      </c>
      <c r="I6166" t="s">
        <v>9021</v>
      </c>
      <c r="J6166" t="s">
        <v>9059</v>
      </c>
      <c r="K6166">
        <v>11225</v>
      </c>
      <c r="L6166" t="s">
        <v>9094</v>
      </c>
      <c r="M6166" t="s">
        <v>9095</v>
      </c>
      <c r="O6166" t="s">
        <v>11134</v>
      </c>
      <c r="P6166" t="s">
        <v>11168</v>
      </c>
      <c r="R6166" t="s">
        <v>11180</v>
      </c>
      <c r="S6166" t="s">
        <v>9094</v>
      </c>
      <c r="T6166" t="s">
        <v>11183</v>
      </c>
      <c r="V6166" t="s">
        <v>412</v>
      </c>
      <c r="W6166">
        <v>1552.37</v>
      </c>
      <c r="X6166" t="s">
        <v>11332</v>
      </c>
      <c r="Y6166" t="s">
        <v>11339</v>
      </c>
      <c r="Z6166" t="s">
        <v>15164</v>
      </c>
      <c r="AB6166" t="s">
        <v>19452</v>
      </c>
      <c r="AC6166">
        <v>89</v>
      </c>
      <c r="AD6166" t="s">
        <v>19566</v>
      </c>
      <c r="AE6166" t="s">
        <v>9144</v>
      </c>
      <c r="AF6166">
        <v>3</v>
      </c>
      <c r="AG6166">
        <v>1</v>
      </c>
      <c r="AH6166">
        <v>0</v>
      </c>
      <c r="AI6166">
        <v>502.47</v>
      </c>
      <c r="AL6166" t="s">
        <v>19614</v>
      </c>
      <c r="AM6166">
        <v>61000</v>
      </c>
      <c r="AS6166">
        <v>0</v>
      </c>
      <c r="AU6166" t="s">
        <v>79</v>
      </c>
    </row>
    <row r="6167" spans="1:48">
      <c r="A6167" s="1">
        <f>HYPERLINK("https://lsnyc.legalserver.org/matter/dynamic-profile/view/1898394","19-1898394")</f>
        <v>0</v>
      </c>
      <c r="B6167" t="s">
        <v>70</v>
      </c>
      <c r="C6167" t="s">
        <v>256</v>
      </c>
      <c r="D6167" t="s">
        <v>299</v>
      </c>
      <c r="F6167" t="s">
        <v>3276</v>
      </c>
      <c r="G6167" t="s">
        <v>4634</v>
      </c>
      <c r="H6167" t="s">
        <v>5748</v>
      </c>
      <c r="I6167" t="s">
        <v>9022</v>
      </c>
      <c r="J6167" t="s">
        <v>9059</v>
      </c>
      <c r="K6167">
        <v>11233</v>
      </c>
      <c r="L6167" t="s">
        <v>9094</v>
      </c>
      <c r="M6167" t="s">
        <v>9096</v>
      </c>
      <c r="N6167" t="s">
        <v>9145</v>
      </c>
      <c r="O6167" t="s">
        <v>11134</v>
      </c>
      <c r="P6167" t="s">
        <v>11168</v>
      </c>
      <c r="R6167" t="s">
        <v>11180</v>
      </c>
      <c r="S6167" t="s">
        <v>9094</v>
      </c>
      <c r="T6167" t="s">
        <v>11183</v>
      </c>
      <c r="U6167" t="s">
        <v>11201</v>
      </c>
      <c r="V6167" t="s">
        <v>482</v>
      </c>
      <c r="W6167">
        <v>1170.14</v>
      </c>
      <c r="X6167" t="s">
        <v>11332</v>
      </c>
      <c r="Y6167" t="s">
        <v>11157</v>
      </c>
      <c r="Z6167" t="s">
        <v>15165</v>
      </c>
      <c r="AC6167">
        <v>359</v>
      </c>
      <c r="AD6167" t="s">
        <v>19566</v>
      </c>
      <c r="AF6167">
        <v>19</v>
      </c>
      <c r="AG6167">
        <v>2</v>
      </c>
      <c r="AH6167">
        <v>0</v>
      </c>
      <c r="AI6167">
        <v>502.66</v>
      </c>
      <c r="AL6167" t="s">
        <v>19614</v>
      </c>
      <c r="AM6167">
        <v>85000</v>
      </c>
      <c r="AN6167" t="s">
        <v>19642</v>
      </c>
      <c r="AS6167">
        <v>0</v>
      </c>
      <c r="AU6167" t="s">
        <v>79</v>
      </c>
    </row>
    <row r="6168" spans="1:48">
      <c r="A6168" s="1">
        <f>HYPERLINK("https://lsnyc.legalserver.org/matter/dynamic-profile/view/1898399","19-1898399")</f>
        <v>0</v>
      </c>
      <c r="B6168" t="s">
        <v>70</v>
      </c>
      <c r="C6168" t="s">
        <v>256</v>
      </c>
      <c r="D6168" t="s">
        <v>299</v>
      </c>
      <c r="F6168" t="s">
        <v>3276</v>
      </c>
      <c r="G6168" t="s">
        <v>4634</v>
      </c>
      <c r="H6168" t="s">
        <v>5748</v>
      </c>
      <c r="I6168" t="s">
        <v>9022</v>
      </c>
      <c r="J6168" t="s">
        <v>9059</v>
      </c>
      <c r="K6168">
        <v>11233</v>
      </c>
      <c r="L6168" t="s">
        <v>9094</v>
      </c>
      <c r="M6168" t="s">
        <v>9096</v>
      </c>
      <c r="O6168" t="s">
        <v>11137</v>
      </c>
      <c r="P6168" t="s">
        <v>11167</v>
      </c>
      <c r="R6168" t="s">
        <v>11180</v>
      </c>
      <c r="S6168" t="s">
        <v>9094</v>
      </c>
      <c r="T6168" t="s">
        <v>11183</v>
      </c>
      <c r="U6168" t="s">
        <v>11201</v>
      </c>
      <c r="V6168" t="s">
        <v>749</v>
      </c>
      <c r="W6168">
        <v>1170.14</v>
      </c>
      <c r="X6168" t="s">
        <v>11332</v>
      </c>
      <c r="Y6168" t="s">
        <v>11157</v>
      </c>
      <c r="Z6168" t="s">
        <v>15165</v>
      </c>
      <c r="AC6168">
        <v>359</v>
      </c>
      <c r="AD6168" t="s">
        <v>19566</v>
      </c>
      <c r="AF6168">
        <v>19</v>
      </c>
      <c r="AG6168">
        <v>2</v>
      </c>
      <c r="AH6168">
        <v>0</v>
      </c>
      <c r="AI6168">
        <v>502.66</v>
      </c>
      <c r="AL6168" t="s">
        <v>19614</v>
      </c>
      <c r="AM6168">
        <v>85000</v>
      </c>
      <c r="AN6168" t="s">
        <v>20253</v>
      </c>
      <c r="AS6168">
        <v>0</v>
      </c>
      <c r="AU6168" t="s">
        <v>79</v>
      </c>
    </row>
    <row r="6169" spans="1:48">
      <c r="A6169" s="1">
        <f>HYPERLINK("https://lsnyc.legalserver.org/matter/dynamic-profile/view/1890552","19-1890552")</f>
        <v>0</v>
      </c>
      <c r="B6169" t="s">
        <v>70</v>
      </c>
      <c r="C6169" t="s">
        <v>256</v>
      </c>
      <c r="D6169" t="s">
        <v>695</v>
      </c>
      <c r="F6169" t="s">
        <v>2061</v>
      </c>
      <c r="G6169" t="s">
        <v>5608</v>
      </c>
      <c r="H6169" t="s">
        <v>5748</v>
      </c>
      <c r="I6169" t="s">
        <v>9023</v>
      </c>
      <c r="J6169" t="s">
        <v>9059</v>
      </c>
      <c r="K6169">
        <v>11233</v>
      </c>
      <c r="L6169" t="s">
        <v>9094</v>
      </c>
      <c r="M6169" t="s">
        <v>9096</v>
      </c>
      <c r="N6169" t="s">
        <v>9145</v>
      </c>
      <c r="O6169" t="s">
        <v>11134</v>
      </c>
      <c r="P6169" t="s">
        <v>11168</v>
      </c>
      <c r="R6169" t="s">
        <v>11180</v>
      </c>
      <c r="S6169" t="s">
        <v>9094</v>
      </c>
      <c r="T6169" t="s">
        <v>11183</v>
      </c>
      <c r="U6169" t="s">
        <v>11201</v>
      </c>
      <c r="V6169" t="s">
        <v>482</v>
      </c>
      <c r="W6169">
        <v>680</v>
      </c>
      <c r="X6169" t="s">
        <v>11332</v>
      </c>
      <c r="Y6169" t="s">
        <v>11157</v>
      </c>
      <c r="Z6169" t="s">
        <v>15166</v>
      </c>
      <c r="AC6169">
        <v>359</v>
      </c>
      <c r="AD6169" t="s">
        <v>19566</v>
      </c>
      <c r="AE6169" t="s">
        <v>9144</v>
      </c>
      <c r="AF6169">
        <v>3</v>
      </c>
      <c r="AG6169">
        <v>1</v>
      </c>
      <c r="AH6169">
        <v>0</v>
      </c>
      <c r="AI6169">
        <v>504.4</v>
      </c>
      <c r="AL6169" t="s">
        <v>19614</v>
      </c>
      <c r="AM6169">
        <v>63000</v>
      </c>
      <c r="AN6169" t="s">
        <v>20254</v>
      </c>
      <c r="AS6169">
        <v>0</v>
      </c>
      <c r="AU6169" t="s">
        <v>79</v>
      </c>
    </row>
    <row r="6170" spans="1:48">
      <c r="A6170" s="1">
        <f>HYPERLINK("https://lsnyc.legalserver.org/matter/dynamic-profile/view/1908379","19-1908379")</f>
        <v>0</v>
      </c>
      <c r="B6170" t="s">
        <v>64</v>
      </c>
      <c r="C6170" t="s">
        <v>256</v>
      </c>
      <c r="D6170" t="s">
        <v>314</v>
      </c>
      <c r="F6170" t="s">
        <v>1146</v>
      </c>
      <c r="G6170" t="s">
        <v>3406</v>
      </c>
      <c r="H6170" t="s">
        <v>5749</v>
      </c>
      <c r="I6170" t="s">
        <v>9024</v>
      </c>
      <c r="J6170" t="s">
        <v>9059</v>
      </c>
      <c r="K6170">
        <v>11233</v>
      </c>
      <c r="L6170" t="s">
        <v>9094</v>
      </c>
      <c r="M6170" t="s">
        <v>9095</v>
      </c>
      <c r="N6170" t="s">
        <v>11117</v>
      </c>
      <c r="O6170" t="s">
        <v>11128</v>
      </c>
      <c r="P6170" t="s">
        <v>11165</v>
      </c>
      <c r="R6170" t="s">
        <v>11180</v>
      </c>
      <c r="S6170" t="s">
        <v>9094</v>
      </c>
      <c r="T6170" t="s">
        <v>11183</v>
      </c>
      <c r="U6170" t="s">
        <v>11201</v>
      </c>
      <c r="V6170" t="s">
        <v>314</v>
      </c>
      <c r="W6170">
        <v>890</v>
      </c>
      <c r="X6170" t="s">
        <v>11332</v>
      </c>
      <c r="Y6170" t="s">
        <v>11342</v>
      </c>
      <c r="Z6170" t="s">
        <v>15167</v>
      </c>
      <c r="AA6170" t="s">
        <v>9144</v>
      </c>
      <c r="AB6170" t="s">
        <v>15957</v>
      </c>
      <c r="AC6170">
        <v>359</v>
      </c>
      <c r="AD6170" t="s">
        <v>19566</v>
      </c>
      <c r="AE6170" t="s">
        <v>9144</v>
      </c>
      <c r="AF6170">
        <v>9</v>
      </c>
      <c r="AG6170">
        <v>1</v>
      </c>
      <c r="AH6170">
        <v>0</v>
      </c>
      <c r="AI6170">
        <v>504.4</v>
      </c>
      <c r="AL6170" t="s">
        <v>19614</v>
      </c>
      <c r="AM6170">
        <v>63000</v>
      </c>
      <c r="AN6170" t="s">
        <v>20255</v>
      </c>
      <c r="AS6170">
        <v>14.8</v>
      </c>
      <c r="AT6170" t="s">
        <v>1130</v>
      </c>
      <c r="AU6170" t="s">
        <v>95</v>
      </c>
      <c r="AV6170" t="s">
        <v>20733</v>
      </c>
    </row>
    <row r="6171" spans="1:48">
      <c r="A6171" s="1">
        <f>HYPERLINK("https://lsnyc.legalserver.org/matter/dynamic-profile/view/1891861","19-1891861")</f>
        <v>0</v>
      </c>
      <c r="B6171" t="s">
        <v>70</v>
      </c>
      <c r="C6171" t="s">
        <v>256</v>
      </c>
      <c r="D6171" t="s">
        <v>383</v>
      </c>
      <c r="F6171" t="s">
        <v>2061</v>
      </c>
      <c r="G6171" t="s">
        <v>5608</v>
      </c>
      <c r="H6171" t="s">
        <v>5748</v>
      </c>
      <c r="I6171" t="s">
        <v>9023</v>
      </c>
      <c r="J6171" t="s">
        <v>9059</v>
      </c>
      <c r="K6171">
        <v>11233</v>
      </c>
      <c r="L6171" t="s">
        <v>9094</v>
      </c>
      <c r="M6171" t="s">
        <v>9096</v>
      </c>
      <c r="N6171" t="s">
        <v>9144</v>
      </c>
      <c r="O6171" t="s">
        <v>11137</v>
      </c>
      <c r="P6171" t="s">
        <v>11167</v>
      </c>
      <c r="R6171" t="s">
        <v>11180</v>
      </c>
      <c r="S6171" t="s">
        <v>9094</v>
      </c>
      <c r="T6171" t="s">
        <v>11183</v>
      </c>
      <c r="U6171" t="s">
        <v>11201</v>
      </c>
      <c r="V6171" t="s">
        <v>749</v>
      </c>
      <c r="W6171">
        <v>680</v>
      </c>
      <c r="X6171" t="s">
        <v>11332</v>
      </c>
      <c r="Z6171" t="s">
        <v>15166</v>
      </c>
      <c r="AC6171">
        <v>359</v>
      </c>
      <c r="AD6171" t="s">
        <v>19566</v>
      </c>
      <c r="AE6171" t="s">
        <v>9144</v>
      </c>
      <c r="AF6171">
        <v>3</v>
      </c>
      <c r="AG6171">
        <v>1</v>
      </c>
      <c r="AH6171">
        <v>0</v>
      </c>
      <c r="AI6171">
        <v>504.4</v>
      </c>
      <c r="AL6171" t="s">
        <v>19614</v>
      </c>
      <c r="AM6171">
        <v>63000</v>
      </c>
      <c r="AN6171" t="s">
        <v>20256</v>
      </c>
      <c r="AS6171">
        <v>0</v>
      </c>
      <c r="AU6171" t="s">
        <v>95</v>
      </c>
    </row>
    <row r="6172" spans="1:48">
      <c r="A6172" s="1">
        <f>HYPERLINK("https://lsnyc.legalserver.org/matter/dynamic-profile/view/1896194","19-1896194")</f>
        <v>0</v>
      </c>
      <c r="B6172" t="s">
        <v>158</v>
      </c>
      <c r="C6172" t="s">
        <v>256</v>
      </c>
      <c r="D6172" t="s">
        <v>374</v>
      </c>
      <c r="F6172" t="s">
        <v>1300</v>
      </c>
      <c r="G6172" t="s">
        <v>5609</v>
      </c>
      <c r="H6172" t="s">
        <v>8085</v>
      </c>
      <c r="I6172" t="s">
        <v>8176</v>
      </c>
      <c r="J6172" t="s">
        <v>9065</v>
      </c>
      <c r="K6172">
        <v>10453</v>
      </c>
      <c r="L6172" t="s">
        <v>9094</v>
      </c>
      <c r="M6172" t="s">
        <v>9094</v>
      </c>
      <c r="N6172" t="s">
        <v>11118</v>
      </c>
      <c r="O6172" t="s">
        <v>11128</v>
      </c>
      <c r="P6172" t="s">
        <v>11164</v>
      </c>
      <c r="R6172" t="s">
        <v>11180</v>
      </c>
      <c r="S6172" t="s">
        <v>9096</v>
      </c>
      <c r="T6172" t="s">
        <v>11183</v>
      </c>
      <c r="V6172" t="s">
        <v>374</v>
      </c>
      <c r="W6172">
        <v>1289.96</v>
      </c>
      <c r="X6172" t="s">
        <v>11333</v>
      </c>
      <c r="Y6172" t="s">
        <v>11345</v>
      </c>
      <c r="Z6172" t="s">
        <v>15168</v>
      </c>
      <c r="AB6172" t="s">
        <v>19453</v>
      </c>
      <c r="AC6172">
        <v>225</v>
      </c>
      <c r="AD6172" t="s">
        <v>19566</v>
      </c>
      <c r="AE6172" t="s">
        <v>9144</v>
      </c>
      <c r="AF6172">
        <v>20</v>
      </c>
      <c r="AG6172">
        <v>1</v>
      </c>
      <c r="AH6172">
        <v>0</v>
      </c>
      <c r="AI6172">
        <v>504.4</v>
      </c>
      <c r="AL6172" t="s">
        <v>19614</v>
      </c>
      <c r="AM6172">
        <v>63000</v>
      </c>
      <c r="AS6172">
        <v>0</v>
      </c>
      <c r="AU6172" t="s">
        <v>20671</v>
      </c>
      <c r="AV6172" t="s">
        <v>20733</v>
      </c>
    </row>
    <row r="6173" spans="1:48">
      <c r="A6173" s="1">
        <f>HYPERLINK("https://lsnyc.legalserver.org/matter/dynamic-profile/view/0822904","16-0822904")</f>
        <v>0</v>
      </c>
      <c r="B6173" t="s">
        <v>70</v>
      </c>
      <c r="C6173" t="s">
        <v>256</v>
      </c>
      <c r="D6173" t="s">
        <v>710</v>
      </c>
      <c r="F6173" t="s">
        <v>1738</v>
      </c>
      <c r="G6173" t="s">
        <v>5605</v>
      </c>
      <c r="H6173" t="s">
        <v>6312</v>
      </c>
      <c r="I6173" t="s">
        <v>8141</v>
      </c>
      <c r="J6173" t="s">
        <v>9059</v>
      </c>
      <c r="K6173">
        <v>11207</v>
      </c>
      <c r="L6173" t="s">
        <v>9094</v>
      </c>
      <c r="M6173" t="s">
        <v>9095</v>
      </c>
      <c r="N6173" t="s">
        <v>9605</v>
      </c>
      <c r="O6173" t="s">
        <v>11130</v>
      </c>
      <c r="P6173" t="s">
        <v>11165</v>
      </c>
      <c r="R6173" t="s">
        <v>11180</v>
      </c>
      <c r="S6173" t="s">
        <v>9094</v>
      </c>
      <c r="T6173" t="s">
        <v>11183</v>
      </c>
      <c r="V6173" t="s">
        <v>11215</v>
      </c>
      <c r="W6173">
        <v>1000</v>
      </c>
      <c r="X6173" t="s">
        <v>11332</v>
      </c>
      <c r="Y6173" t="s">
        <v>11340</v>
      </c>
      <c r="Z6173" t="s">
        <v>15161</v>
      </c>
      <c r="AC6173">
        <v>6</v>
      </c>
      <c r="AD6173" t="s">
        <v>19566</v>
      </c>
      <c r="AF6173">
        <v>3</v>
      </c>
      <c r="AG6173">
        <v>1</v>
      </c>
      <c r="AH6173">
        <v>0</v>
      </c>
      <c r="AI6173">
        <v>505.05</v>
      </c>
      <c r="AL6173" t="s">
        <v>19614</v>
      </c>
      <c r="AM6173">
        <v>60000</v>
      </c>
      <c r="AS6173">
        <v>2.5</v>
      </c>
      <c r="AT6173" t="s">
        <v>1111</v>
      </c>
      <c r="AU6173" t="s">
        <v>59</v>
      </c>
    </row>
    <row r="6174" spans="1:48">
      <c r="A6174" s="1">
        <f>HYPERLINK("https://lsnyc.legalserver.org/matter/dynamic-profile/view/0812567","16-0812567")</f>
        <v>0</v>
      </c>
      <c r="B6174" t="s">
        <v>108</v>
      </c>
      <c r="C6174" t="s">
        <v>256</v>
      </c>
      <c r="D6174" t="s">
        <v>460</v>
      </c>
      <c r="F6174" t="s">
        <v>2831</v>
      </c>
      <c r="G6174" t="s">
        <v>3419</v>
      </c>
      <c r="H6174" t="s">
        <v>6526</v>
      </c>
      <c r="I6174" t="s">
        <v>8149</v>
      </c>
      <c r="J6174" t="s">
        <v>9065</v>
      </c>
      <c r="K6174">
        <v>10452</v>
      </c>
      <c r="L6174" t="s">
        <v>9094</v>
      </c>
      <c r="M6174" t="s">
        <v>9095</v>
      </c>
      <c r="N6174" t="s">
        <v>9749</v>
      </c>
      <c r="O6174" t="s">
        <v>11135</v>
      </c>
      <c r="P6174" t="s">
        <v>11168</v>
      </c>
      <c r="R6174" t="s">
        <v>11180</v>
      </c>
      <c r="S6174" t="s">
        <v>9094</v>
      </c>
      <c r="T6174" t="s">
        <v>11183</v>
      </c>
      <c r="V6174" t="s">
        <v>11234</v>
      </c>
      <c r="W6174">
        <v>893.72</v>
      </c>
      <c r="X6174" t="s">
        <v>11333</v>
      </c>
      <c r="Y6174" t="s">
        <v>11346</v>
      </c>
      <c r="Z6174" t="s">
        <v>15169</v>
      </c>
      <c r="AB6174" t="s">
        <v>19454</v>
      </c>
      <c r="AC6174">
        <v>63</v>
      </c>
      <c r="AD6174" t="s">
        <v>19566</v>
      </c>
      <c r="AE6174" t="s">
        <v>9144</v>
      </c>
      <c r="AF6174">
        <v>20</v>
      </c>
      <c r="AG6174">
        <v>1</v>
      </c>
      <c r="AH6174">
        <v>0</v>
      </c>
      <c r="AI6174">
        <v>505.05</v>
      </c>
      <c r="AL6174" t="s">
        <v>19614</v>
      </c>
      <c r="AM6174">
        <v>60000</v>
      </c>
      <c r="AS6174">
        <v>0.2</v>
      </c>
      <c r="AT6174" t="s">
        <v>1122</v>
      </c>
      <c r="AU6174" t="s">
        <v>20647</v>
      </c>
    </row>
    <row r="6175" spans="1:48">
      <c r="A6175" s="1">
        <f>HYPERLINK("https://lsnyc.legalserver.org/matter/dynamic-profile/view/1894051","19-1894051")</f>
        <v>0</v>
      </c>
      <c r="B6175" t="s">
        <v>117</v>
      </c>
      <c r="C6175" t="s">
        <v>256</v>
      </c>
      <c r="D6175" t="s">
        <v>746</v>
      </c>
      <c r="F6175" t="s">
        <v>2106</v>
      </c>
      <c r="G6175" t="s">
        <v>5610</v>
      </c>
      <c r="H6175" t="s">
        <v>5888</v>
      </c>
      <c r="I6175" t="s">
        <v>8267</v>
      </c>
      <c r="J6175" t="s">
        <v>9065</v>
      </c>
      <c r="K6175">
        <v>10453</v>
      </c>
      <c r="L6175" t="s">
        <v>9094</v>
      </c>
      <c r="M6175" t="s">
        <v>9094</v>
      </c>
      <c r="O6175" t="s">
        <v>11134</v>
      </c>
      <c r="P6175" t="s">
        <v>11168</v>
      </c>
      <c r="R6175" t="s">
        <v>11180</v>
      </c>
      <c r="S6175" t="s">
        <v>9094</v>
      </c>
      <c r="T6175" t="s">
        <v>11183</v>
      </c>
      <c r="V6175" t="s">
        <v>512</v>
      </c>
      <c r="W6175">
        <v>1102.63</v>
      </c>
      <c r="X6175" t="s">
        <v>11333</v>
      </c>
      <c r="Y6175" t="s">
        <v>11346</v>
      </c>
      <c r="Z6175" t="s">
        <v>15170</v>
      </c>
      <c r="AB6175" t="s">
        <v>19455</v>
      </c>
      <c r="AC6175">
        <v>0</v>
      </c>
      <c r="AD6175" t="s">
        <v>19566</v>
      </c>
      <c r="AE6175" t="s">
        <v>9144</v>
      </c>
      <c r="AF6175">
        <v>28</v>
      </c>
      <c r="AG6175">
        <v>1</v>
      </c>
      <c r="AH6175">
        <v>0</v>
      </c>
      <c r="AI6175">
        <v>510.77</v>
      </c>
      <c r="AL6175" t="s">
        <v>19615</v>
      </c>
      <c r="AM6175">
        <v>62007.92</v>
      </c>
      <c r="AS6175">
        <v>0</v>
      </c>
      <c r="AU6175" t="s">
        <v>163</v>
      </c>
    </row>
    <row r="6176" spans="1:48">
      <c r="A6176" s="1">
        <f>HYPERLINK("https://lsnyc.legalserver.org/matter/dynamic-profile/view/1894050","19-1894050")</f>
        <v>0</v>
      </c>
      <c r="B6176" t="s">
        <v>117</v>
      </c>
      <c r="C6176" t="s">
        <v>256</v>
      </c>
      <c r="D6176" t="s">
        <v>746</v>
      </c>
      <c r="F6176" t="s">
        <v>2106</v>
      </c>
      <c r="G6176" t="s">
        <v>5610</v>
      </c>
      <c r="H6176" t="s">
        <v>5888</v>
      </c>
      <c r="I6176" t="s">
        <v>8267</v>
      </c>
      <c r="J6176" t="s">
        <v>9065</v>
      </c>
      <c r="K6176">
        <v>10453</v>
      </c>
      <c r="L6176" t="s">
        <v>9094</v>
      </c>
      <c r="M6176" t="s">
        <v>9094</v>
      </c>
      <c r="N6176" t="s">
        <v>9243</v>
      </c>
      <c r="O6176" t="s">
        <v>11130</v>
      </c>
      <c r="P6176" t="s">
        <v>11165</v>
      </c>
      <c r="R6176" t="s">
        <v>11180</v>
      </c>
      <c r="S6176" t="s">
        <v>9094</v>
      </c>
      <c r="T6176" t="s">
        <v>11183</v>
      </c>
      <c r="V6176" t="s">
        <v>512</v>
      </c>
      <c r="W6176">
        <v>1102.63</v>
      </c>
      <c r="X6176" t="s">
        <v>11333</v>
      </c>
      <c r="Y6176" t="s">
        <v>11346</v>
      </c>
      <c r="Z6176" t="s">
        <v>15170</v>
      </c>
      <c r="AB6176" t="s">
        <v>19455</v>
      </c>
      <c r="AC6176">
        <v>44</v>
      </c>
      <c r="AD6176" t="s">
        <v>19566</v>
      </c>
      <c r="AE6176" t="s">
        <v>9144</v>
      </c>
      <c r="AF6176">
        <v>28</v>
      </c>
      <c r="AG6176">
        <v>1</v>
      </c>
      <c r="AH6176">
        <v>0</v>
      </c>
      <c r="AI6176">
        <v>510.77</v>
      </c>
      <c r="AL6176" t="s">
        <v>19615</v>
      </c>
      <c r="AM6176">
        <v>62007.92</v>
      </c>
      <c r="AS6176">
        <v>0</v>
      </c>
      <c r="AU6176" t="s">
        <v>163</v>
      </c>
    </row>
    <row r="6177" spans="1:48">
      <c r="A6177" s="1">
        <f>HYPERLINK("https://lsnyc.legalserver.org/matter/dynamic-profile/view/1898826","19-1898826")</f>
        <v>0</v>
      </c>
      <c r="B6177" t="s">
        <v>70</v>
      </c>
      <c r="C6177" t="s">
        <v>256</v>
      </c>
      <c r="D6177" t="s">
        <v>337</v>
      </c>
      <c r="F6177" t="s">
        <v>1146</v>
      </c>
      <c r="G6177" t="s">
        <v>3406</v>
      </c>
      <c r="H6177" t="s">
        <v>6474</v>
      </c>
      <c r="I6177" t="s">
        <v>9024</v>
      </c>
      <c r="J6177" t="s">
        <v>9059</v>
      </c>
      <c r="K6177">
        <v>11233</v>
      </c>
      <c r="L6177" t="s">
        <v>9094</v>
      </c>
      <c r="M6177" t="s">
        <v>9096</v>
      </c>
      <c r="N6177" t="s">
        <v>9146</v>
      </c>
      <c r="O6177" t="s">
        <v>11134</v>
      </c>
      <c r="P6177" t="s">
        <v>11168</v>
      </c>
      <c r="R6177" t="s">
        <v>11180</v>
      </c>
      <c r="S6177" t="s">
        <v>9094</v>
      </c>
      <c r="T6177" t="s">
        <v>11183</v>
      </c>
      <c r="U6177" t="s">
        <v>11201</v>
      </c>
      <c r="V6177" t="s">
        <v>482</v>
      </c>
      <c r="W6177">
        <v>950</v>
      </c>
      <c r="X6177" t="s">
        <v>11332</v>
      </c>
      <c r="Y6177" t="s">
        <v>11157</v>
      </c>
      <c r="Z6177" t="s">
        <v>15167</v>
      </c>
      <c r="AC6177">
        <v>359</v>
      </c>
      <c r="AD6177" t="s">
        <v>19566</v>
      </c>
      <c r="AF6177">
        <v>9</v>
      </c>
      <c r="AG6177">
        <v>1</v>
      </c>
      <c r="AH6177">
        <v>0</v>
      </c>
      <c r="AI6177">
        <v>511.84</v>
      </c>
      <c r="AL6177" t="s">
        <v>19614</v>
      </c>
      <c r="AM6177">
        <v>63929</v>
      </c>
      <c r="AN6177" t="s">
        <v>19642</v>
      </c>
      <c r="AS6177">
        <v>0</v>
      </c>
      <c r="AU6177" t="s">
        <v>79</v>
      </c>
    </row>
    <row r="6178" spans="1:48">
      <c r="A6178" s="1">
        <f>HYPERLINK("https://lsnyc.legalserver.org/matter/dynamic-profile/view/1898836","19-1898836")</f>
        <v>0</v>
      </c>
      <c r="B6178" t="s">
        <v>70</v>
      </c>
      <c r="C6178" t="s">
        <v>256</v>
      </c>
      <c r="D6178" t="s">
        <v>337</v>
      </c>
      <c r="F6178" t="s">
        <v>1146</v>
      </c>
      <c r="G6178" t="s">
        <v>3406</v>
      </c>
      <c r="H6178" t="s">
        <v>6474</v>
      </c>
      <c r="I6178" t="s">
        <v>9024</v>
      </c>
      <c r="J6178" t="s">
        <v>9059</v>
      </c>
      <c r="K6178">
        <v>11233</v>
      </c>
      <c r="L6178" t="s">
        <v>9094</v>
      </c>
      <c r="M6178" t="s">
        <v>9096</v>
      </c>
      <c r="O6178" t="s">
        <v>11137</v>
      </c>
      <c r="P6178" t="s">
        <v>11167</v>
      </c>
      <c r="R6178" t="s">
        <v>11180</v>
      </c>
      <c r="S6178" t="s">
        <v>9094</v>
      </c>
      <c r="T6178" t="s">
        <v>11183</v>
      </c>
      <c r="U6178" t="s">
        <v>11201</v>
      </c>
      <c r="V6178" t="s">
        <v>749</v>
      </c>
      <c r="W6178">
        <v>950</v>
      </c>
      <c r="X6178" t="s">
        <v>11332</v>
      </c>
      <c r="Y6178" t="s">
        <v>11157</v>
      </c>
      <c r="Z6178" t="s">
        <v>15167</v>
      </c>
      <c r="AC6178">
        <v>359</v>
      </c>
      <c r="AD6178" t="s">
        <v>19566</v>
      </c>
      <c r="AF6178">
        <v>9</v>
      </c>
      <c r="AG6178">
        <v>1</v>
      </c>
      <c r="AH6178">
        <v>0</v>
      </c>
      <c r="AI6178">
        <v>511.84</v>
      </c>
      <c r="AL6178" t="s">
        <v>19614</v>
      </c>
      <c r="AM6178">
        <v>63929</v>
      </c>
      <c r="AN6178" t="s">
        <v>20257</v>
      </c>
      <c r="AS6178">
        <v>0.2</v>
      </c>
      <c r="AT6178" t="s">
        <v>669</v>
      </c>
      <c r="AU6178" t="s">
        <v>79</v>
      </c>
    </row>
    <row r="6179" spans="1:48">
      <c r="A6179" s="1">
        <f>HYPERLINK("https://lsnyc.legalserver.org/matter/dynamic-profile/view/0830619","17-0830619")</f>
        <v>0</v>
      </c>
      <c r="B6179" t="s">
        <v>120</v>
      </c>
      <c r="C6179" t="s">
        <v>256</v>
      </c>
      <c r="D6179" t="s">
        <v>778</v>
      </c>
      <c r="F6179" t="s">
        <v>3277</v>
      </c>
      <c r="G6179" t="s">
        <v>3540</v>
      </c>
      <c r="H6179" t="s">
        <v>5898</v>
      </c>
      <c r="I6179" t="s">
        <v>8227</v>
      </c>
      <c r="J6179" t="s">
        <v>9065</v>
      </c>
      <c r="K6179">
        <v>10452</v>
      </c>
      <c r="L6179" t="s">
        <v>9094</v>
      </c>
      <c r="M6179" t="s">
        <v>9095</v>
      </c>
      <c r="O6179" t="s">
        <v>11157</v>
      </c>
      <c r="P6179" t="s">
        <v>11166</v>
      </c>
      <c r="R6179" t="s">
        <v>11180</v>
      </c>
      <c r="S6179" t="s">
        <v>9094</v>
      </c>
      <c r="T6179" t="s">
        <v>11183</v>
      </c>
      <c r="V6179" t="s">
        <v>765</v>
      </c>
      <c r="W6179">
        <v>748.29</v>
      </c>
      <c r="X6179" t="s">
        <v>11333</v>
      </c>
      <c r="Y6179" t="s">
        <v>11346</v>
      </c>
      <c r="Z6179" t="s">
        <v>15171</v>
      </c>
      <c r="AB6179" t="s">
        <v>19456</v>
      </c>
      <c r="AC6179">
        <v>130</v>
      </c>
      <c r="AD6179" t="s">
        <v>19566</v>
      </c>
      <c r="AF6179">
        <v>10</v>
      </c>
      <c r="AG6179">
        <v>2</v>
      </c>
      <c r="AH6179">
        <v>0</v>
      </c>
      <c r="AI6179">
        <v>512.3200000000001</v>
      </c>
      <c r="AL6179" t="s">
        <v>19614</v>
      </c>
      <c r="AM6179">
        <v>83200</v>
      </c>
      <c r="AS6179">
        <v>2.75</v>
      </c>
      <c r="AT6179" t="s">
        <v>1010</v>
      </c>
      <c r="AU6179" t="s">
        <v>20643</v>
      </c>
    </row>
    <row r="6180" spans="1:48">
      <c r="A6180" s="1">
        <f>HYPERLINK("https://lsnyc.legalserver.org/matter/dynamic-profile/view/1896653","19-1896653")</f>
        <v>0</v>
      </c>
      <c r="B6180" t="s">
        <v>78</v>
      </c>
      <c r="C6180" t="s">
        <v>256</v>
      </c>
      <c r="D6180" t="s">
        <v>454</v>
      </c>
      <c r="F6180" t="s">
        <v>3078</v>
      </c>
      <c r="G6180" t="s">
        <v>5372</v>
      </c>
      <c r="H6180" t="s">
        <v>6407</v>
      </c>
      <c r="I6180" t="s">
        <v>8955</v>
      </c>
      <c r="J6180" t="s">
        <v>9059</v>
      </c>
      <c r="K6180">
        <v>11213</v>
      </c>
      <c r="L6180" t="s">
        <v>9094</v>
      </c>
      <c r="M6180" t="s">
        <v>9094</v>
      </c>
      <c r="N6180" t="s">
        <v>11119</v>
      </c>
      <c r="O6180" t="s">
        <v>11134</v>
      </c>
      <c r="P6180" t="s">
        <v>11168</v>
      </c>
      <c r="R6180" t="s">
        <v>11180</v>
      </c>
      <c r="S6180" t="s">
        <v>9094</v>
      </c>
      <c r="T6180" t="s">
        <v>11183</v>
      </c>
      <c r="V6180" t="s">
        <v>473</v>
      </c>
      <c r="W6180">
        <v>540</v>
      </c>
      <c r="X6180" t="s">
        <v>11332</v>
      </c>
      <c r="Y6180" t="s">
        <v>11346</v>
      </c>
      <c r="Z6180" t="s">
        <v>14776</v>
      </c>
      <c r="AB6180" t="s">
        <v>19457</v>
      </c>
      <c r="AC6180">
        <v>6</v>
      </c>
      <c r="AD6180" t="s">
        <v>19566</v>
      </c>
      <c r="AE6180" t="s">
        <v>9144</v>
      </c>
      <c r="AF6180">
        <v>18</v>
      </c>
      <c r="AG6180">
        <v>1</v>
      </c>
      <c r="AH6180">
        <v>0</v>
      </c>
      <c r="AI6180">
        <v>512.41</v>
      </c>
      <c r="AL6180" t="s">
        <v>19614</v>
      </c>
      <c r="AM6180">
        <v>64000</v>
      </c>
      <c r="AN6180" t="s">
        <v>20258</v>
      </c>
      <c r="AS6180">
        <v>0</v>
      </c>
      <c r="AU6180" t="s">
        <v>79</v>
      </c>
      <c r="AV6180" t="s">
        <v>20733</v>
      </c>
    </row>
    <row r="6181" spans="1:48">
      <c r="A6181" s="1">
        <f>HYPERLINK("https://lsnyc.legalserver.org/matter/dynamic-profile/view/1896659","19-1896659")</f>
        <v>0</v>
      </c>
      <c r="B6181" t="s">
        <v>78</v>
      </c>
      <c r="C6181" t="s">
        <v>256</v>
      </c>
      <c r="D6181" t="s">
        <v>454</v>
      </c>
      <c r="F6181" t="s">
        <v>3078</v>
      </c>
      <c r="G6181" t="s">
        <v>5372</v>
      </c>
      <c r="H6181" t="s">
        <v>6407</v>
      </c>
      <c r="I6181" t="s">
        <v>8955</v>
      </c>
      <c r="J6181" t="s">
        <v>9059</v>
      </c>
      <c r="K6181">
        <v>11213</v>
      </c>
      <c r="L6181" t="s">
        <v>9094</v>
      </c>
      <c r="M6181" t="s">
        <v>9094</v>
      </c>
      <c r="N6181" t="s">
        <v>9144</v>
      </c>
      <c r="O6181" t="s">
        <v>11134</v>
      </c>
      <c r="P6181" t="s">
        <v>11168</v>
      </c>
      <c r="R6181" t="s">
        <v>11180</v>
      </c>
      <c r="S6181" t="s">
        <v>9094</v>
      </c>
      <c r="T6181" t="s">
        <v>11183</v>
      </c>
      <c r="V6181" t="s">
        <v>11218</v>
      </c>
      <c r="W6181">
        <v>540</v>
      </c>
      <c r="X6181" t="s">
        <v>11332</v>
      </c>
      <c r="Y6181" t="s">
        <v>11346</v>
      </c>
      <c r="Z6181" t="s">
        <v>14776</v>
      </c>
      <c r="AB6181" t="s">
        <v>19457</v>
      </c>
      <c r="AC6181">
        <v>6</v>
      </c>
      <c r="AD6181" t="s">
        <v>19566</v>
      </c>
      <c r="AE6181" t="s">
        <v>9144</v>
      </c>
      <c r="AF6181">
        <v>18</v>
      </c>
      <c r="AG6181">
        <v>1</v>
      </c>
      <c r="AH6181">
        <v>0</v>
      </c>
      <c r="AI6181">
        <v>512.41</v>
      </c>
      <c r="AL6181" t="s">
        <v>19614</v>
      </c>
      <c r="AM6181">
        <v>64000</v>
      </c>
      <c r="AN6181" t="s">
        <v>20259</v>
      </c>
      <c r="AS6181">
        <v>0</v>
      </c>
      <c r="AU6181" t="s">
        <v>79</v>
      </c>
      <c r="AV6181" t="s">
        <v>20733</v>
      </c>
    </row>
    <row r="6182" spans="1:48">
      <c r="A6182" s="1">
        <f>HYPERLINK("https://lsnyc.legalserver.org/matter/dynamic-profile/view/1896656","19-1896656")</f>
        <v>0</v>
      </c>
      <c r="B6182" t="s">
        <v>78</v>
      </c>
      <c r="C6182" t="s">
        <v>256</v>
      </c>
      <c r="D6182" t="s">
        <v>454</v>
      </c>
      <c r="F6182" t="s">
        <v>3078</v>
      </c>
      <c r="G6182" t="s">
        <v>5372</v>
      </c>
      <c r="H6182" t="s">
        <v>6407</v>
      </c>
      <c r="I6182" t="s">
        <v>8955</v>
      </c>
      <c r="J6182" t="s">
        <v>9059</v>
      </c>
      <c r="K6182">
        <v>11213</v>
      </c>
      <c r="L6182" t="s">
        <v>9094</v>
      </c>
      <c r="M6182" t="s">
        <v>9094</v>
      </c>
      <c r="N6182" t="s">
        <v>9644</v>
      </c>
      <c r="O6182" t="s">
        <v>11130</v>
      </c>
      <c r="P6182" t="s">
        <v>11165</v>
      </c>
      <c r="R6182" t="s">
        <v>11180</v>
      </c>
      <c r="S6182" t="s">
        <v>9094</v>
      </c>
      <c r="T6182" t="s">
        <v>11183</v>
      </c>
      <c r="V6182" t="s">
        <v>635</v>
      </c>
      <c r="W6182">
        <v>540</v>
      </c>
      <c r="X6182" t="s">
        <v>11332</v>
      </c>
      <c r="Y6182" t="s">
        <v>11346</v>
      </c>
      <c r="Z6182" t="s">
        <v>14776</v>
      </c>
      <c r="AB6182" t="s">
        <v>19457</v>
      </c>
      <c r="AC6182">
        <v>6</v>
      </c>
      <c r="AD6182" t="s">
        <v>19566</v>
      </c>
      <c r="AE6182" t="s">
        <v>9144</v>
      </c>
      <c r="AF6182">
        <v>18</v>
      </c>
      <c r="AG6182">
        <v>1</v>
      </c>
      <c r="AH6182">
        <v>0</v>
      </c>
      <c r="AI6182">
        <v>512.41</v>
      </c>
      <c r="AL6182" t="s">
        <v>19614</v>
      </c>
      <c r="AM6182">
        <v>64000</v>
      </c>
      <c r="AN6182" t="s">
        <v>20260</v>
      </c>
      <c r="AS6182">
        <v>0</v>
      </c>
      <c r="AU6182" t="s">
        <v>79</v>
      </c>
      <c r="AV6182" t="s">
        <v>20733</v>
      </c>
    </row>
    <row r="6183" spans="1:48">
      <c r="A6183" s="1">
        <f>HYPERLINK("https://lsnyc.legalserver.org/matter/dynamic-profile/view/1896646","19-1896646")</f>
        <v>0</v>
      </c>
      <c r="B6183" t="s">
        <v>78</v>
      </c>
      <c r="C6183" t="s">
        <v>256</v>
      </c>
      <c r="D6183" t="s">
        <v>454</v>
      </c>
      <c r="F6183" t="s">
        <v>3078</v>
      </c>
      <c r="G6183" t="s">
        <v>5372</v>
      </c>
      <c r="H6183" t="s">
        <v>6407</v>
      </c>
      <c r="I6183" t="s">
        <v>8955</v>
      </c>
      <c r="J6183" t="s">
        <v>9059</v>
      </c>
      <c r="K6183">
        <v>11213</v>
      </c>
      <c r="L6183" t="s">
        <v>9094</v>
      </c>
      <c r="M6183" t="s">
        <v>9094</v>
      </c>
      <c r="N6183" t="s">
        <v>9121</v>
      </c>
      <c r="O6183" t="s">
        <v>11137</v>
      </c>
      <c r="P6183" t="s">
        <v>11167</v>
      </c>
      <c r="R6183" t="s">
        <v>11180</v>
      </c>
      <c r="S6183" t="s">
        <v>9094</v>
      </c>
      <c r="T6183" t="s">
        <v>11183</v>
      </c>
      <c r="V6183" t="s">
        <v>353</v>
      </c>
      <c r="W6183">
        <v>540</v>
      </c>
      <c r="X6183" t="s">
        <v>11332</v>
      </c>
      <c r="Y6183" t="s">
        <v>11346</v>
      </c>
      <c r="Z6183" t="s">
        <v>14776</v>
      </c>
      <c r="AA6183" t="s">
        <v>9144</v>
      </c>
      <c r="AB6183" t="s">
        <v>19457</v>
      </c>
      <c r="AC6183">
        <v>6</v>
      </c>
      <c r="AD6183" t="s">
        <v>19566</v>
      </c>
      <c r="AE6183" t="s">
        <v>9144</v>
      </c>
      <c r="AF6183">
        <v>18</v>
      </c>
      <c r="AG6183">
        <v>1</v>
      </c>
      <c r="AH6183">
        <v>0</v>
      </c>
      <c r="AI6183">
        <v>512.41</v>
      </c>
      <c r="AL6183" t="s">
        <v>19614</v>
      </c>
      <c r="AM6183">
        <v>64000</v>
      </c>
      <c r="AS6183">
        <v>0</v>
      </c>
      <c r="AU6183" t="s">
        <v>79</v>
      </c>
      <c r="AV6183" t="s">
        <v>20733</v>
      </c>
    </row>
    <row r="6184" spans="1:48">
      <c r="A6184" s="1">
        <f>HYPERLINK("https://lsnyc.legalserver.org/matter/dynamic-profile/view/1896648","19-1896648")</f>
        <v>0</v>
      </c>
      <c r="B6184" t="s">
        <v>78</v>
      </c>
      <c r="C6184" t="s">
        <v>256</v>
      </c>
      <c r="D6184" t="s">
        <v>454</v>
      </c>
      <c r="F6184" t="s">
        <v>3078</v>
      </c>
      <c r="G6184" t="s">
        <v>5372</v>
      </c>
      <c r="H6184" t="s">
        <v>6407</v>
      </c>
      <c r="I6184" t="s">
        <v>8955</v>
      </c>
      <c r="J6184" t="s">
        <v>9059</v>
      </c>
      <c r="K6184">
        <v>11213</v>
      </c>
      <c r="L6184" t="s">
        <v>9094</v>
      </c>
      <c r="M6184" t="s">
        <v>9094</v>
      </c>
      <c r="N6184" t="s">
        <v>9121</v>
      </c>
      <c r="O6184" t="s">
        <v>11137</v>
      </c>
      <c r="P6184" t="s">
        <v>11167</v>
      </c>
      <c r="R6184" t="s">
        <v>11180</v>
      </c>
      <c r="S6184" t="s">
        <v>9094</v>
      </c>
      <c r="T6184" t="s">
        <v>11183</v>
      </c>
      <c r="V6184" t="s">
        <v>278</v>
      </c>
      <c r="W6184">
        <v>540</v>
      </c>
      <c r="X6184" t="s">
        <v>11332</v>
      </c>
      <c r="Y6184" t="s">
        <v>11346</v>
      </c>
      <c r="Z6184" t="s">
        <v>14776</v>
      </c>
      <c r="AB6184" t="s">
        <v>19457</v>
      </c>
      <c r="AC6184">
        <v>6</v>
      </c>
      <c r="AD6184" t="s">
        <v>19566</v>
      </c>
      <c r="AE6184" t="s">
        <v>9144</v>
      </c>
      <c r="AF6184">
        <v>18</v>
      </c>
      <c r="AG6184">
        <v>1</v>
      </c>
      <c r="AH6184">
        <v>0</v>
      </c>
      <c r="AI6184">
        <v>512.41</v>
      </c>
      <c r="AL6184" t="s">
        <v>19614</v>
      </c>
      <c r="AM6184">
        <v>64000</v>
      </c>
      <c r="AN6184" t="s">
        <v>20261</v>
      </c>
      <c r="AS6184">
        <v>0</v>
      </c>
      <c r="AU6184" t="s">
        <v>79</v>
      </c>
      <c r="AV6184" t="s">
        <v>20733</v>
      </c>
    </row>
    <row r="6185" spans="1:48">
      <c r="A6185" s="1">
        <f>HYPERLINK("https://lsnyc.legalserver.org/matter/dynamic-profile/view/1905902","19-1905902")</f>
        <v>0</v>
      </c>
      <c r="B6185" t="s">
        <v>78</v>
      </c>
      <c r="C6185" t="s">
        <v>256</v>
      </c>
      <c r="D6185" t="s">
        <v>426</v>
      </c>
      <c r="F6185" t="s">
        <v>3078</v>
      </c>
      <c r="G6185" t="s">
        <v>5372</v>
      </c>
      <c r="H6185" t="s">
        <v>6407</v>
      </c>
      <c r="I6185" t="s">
        <v>8955</v>
      </c>
      <c r="J6185" t="s">
        <v>9059</v>
      </c>
      <c r="K6185">
        <v>11213</v>
      </c>
      <c r="L6185" t="s">
        <v>9094</v>
      </c>
      <c r="M6185" t="s">
        <v>9095</v>
      </c>
      <c r="N6185" t="s">
        <v>9102</v>
      </c>
      <c r="O6185" t="s">
        <v>11137</v>
      </c>
      <c r="P6185" t="s">
        <v>11167</v>
      </c>
      <c r="R6185" t="s">
        <v>11180</v>
      </c>
      <c r="S6185" t="s">
        <v>9094</v>
      </c>
      <c r="T6185" t="s">
        <v>11183</v>
      </c>
      <c r="U6185" t="s">
        <v>11201</v>
      </c>
      <c r="V6185" t="s">
        <v>11212</v>
      </c>
      <c r="W6185">
        <v>540</v>
      </c>
      <c r="X6185" t="s">
        <v>11332</v>
      </c>
      <c r="Y6185" t="s">
        <v>11340</v>
      </c>
      <c r="Z6185" t="s">
        <v>14776</v>
      </c>
      <c r="AA6185" t="s">
        <v>9144</v>
      </c>
      <c r="AB6185" t="s">
        <v>19457</v>
      </c>
      <c r="AC6185">
        <v>6</v>
      </c>
      <c r="AD6185" t="s">
        <v>19566</v>
      </c>
      <c r="AE6185" t="s">
        <v>9144</v>
      </c>
      <c r="AF6185">
        <v>18</v>
      </c>
      <c r="AG6185">
        <v>1</v>
      </c>
      <c r="AH6185">
        <v>0</v>
      </c>
      <c r="AI6185">
        <v>512.41</v>
      </c>
      <c r="AL6185" t="s">
        <v>19614</v>
      </c>
      <c r="AM6185">
        <v>64000</v>
      </c>
      <c r="AN6185" t="s">
        <v>20262</v>
      </c>
      <c r="AS6185">
        <v>0</v>
      </c>
      <c r="AU6185" t="s">
        <v>95</v>
      </c>
      <c r="AV6185" t="s">
        <v>20733</v>
      </c>
    </row>
    <row r="6186" spans="1:48">
      <c r="A6186" s="1">
        <f>HYPERLINK("https://lsnyc.legalserver.org/matter/dynamic-profile/view/1900482","19-1900482")</f>
        <v>0</v>
      </c>
      <c r="B6186" t="s">
        <v>73</v>
      </c>
      <c r="C6186" t="s">
        <v>256</v>
      </c>
      <c r="D6186" t="s">
        <v>262</v>
      </c>
      <c r="F6186" t="s">
        <v>3078</v>
      </c>
      <c r="G6186" t="s">
        <v>5372</v>
      </c>
      <c r="H6186" t="s">
        <v>6407</v>
      </c>
      <c r="I6186" t="s">
        <v>8955</v>
      </c>
      <c r="J6186" t="s">
        <v>9059</v>
      </c>
      <c r="K6186">
        <v>11213</v>
      </c>
      <c r="L6186" t="s">
        <v>9094</v>
      </c>
      <c r="M6186" t="s">
        <v>9095</v>
      </c>
      <c r="N6186" t="s">
        <v>11120</v>
      </c>
      <c r="O6186" t="s">
        <v>11129</v>
      </c>
      <c r="P6186" t="s">
        <v>11165</v>
      </c>
      <c r="R6186" t="s">
        <v>11180</v>
      </c>
      <c r="S6186" t="s">
        <v>9096</v>
      </c>
      <c r="T6186" t="s">
        <v>11183</v>
      </c>
      <c r="U6186" t="s">
        <v>11201</v>
      </c>
      <c r="V6186" t="s">
        <v>777</v>
      </c>
      <c r="W6186">
        <v>540</v>
      </c>
      <c r="X6186" t="s">
        <v>11332</v>
      </c>
      <c r="Y6186" t="s">
        <v>11340</v>
      </c>
      <c r="Z6186" t="s">
        <v>14776</v>
      </c>
      <c r="AA6186" t="s">
        <v>9144</v>
      </c>
      <c r="AB6186" t="s">
        <v>19457</v>
      </c>
      <c r="AC6186">
        <v>6</v>
      </c>
      <c r="AD6186" t="s">
        <v>19566</v>
      </c>
      <c r="AE6186" t="s">
        <v>9144</v>
      </c>
      <c r="AF6186">
        <v>18</v>
      </c>
      <c r="AG6186">
        <v>1</v>
      </c>
      <c r="AH6186">
        <v>0</v>
      </c>
      <c r="AI6186">
        <v>512.41</v>
      </c>
      <c r="AL6186" t="s">
        <v>19614</v>
      </c>
      <c r="AM6186">
        <v>64000</v>
      </c>
      <c r="AN6186" t="s">
        <v>20263</v>
      </c>
      <c r="AS6186">
        <v>2.4</v>
      </c>
      <c r="AT6186" t="s">
        <v>367</v>
      </c>
      <c r="AU6186" t="s">
        <v>95</v>
      </c>
      <c r="AV6186" t="s">
        <v>20733</v>
      </c>
    </row>
    <row r="6187" spans="1:48">
      <c r="A6187" s="1">
        <f>HYPERLINK("https://lsnyc.legalserver.org/matter/dynamic-profile/view/1894378","19-1894378")</f>
        <v>0</v>
      </c>
      <c r="B6187" t="s">
        <v>70</v>
      </c>
      <c r="C6187" t="s">
        <v>256</v>
      </c>
      <c r="D6187" t="s">
        <v>526</v>
      </c>
      <c r="F6187" t="s">
        <v>3220</v>
      </c>
      <c r="G6187" t="s">
        <v>4260</v>
      </c>
      <c r="H6187" t="s">
        <v>6621</v>
      </c>
      <c r="I6187">
        <v>28</v>
      </c>
      <c r="J6187" t="s">
        <v>9059</v>
      </c>
      <c r="K6187">
        <v>11213</v>
      </c>
      <c r="L6187" t="s">
        <v>9094</v>
      </c>
      <c r="M6187" t="s">
        <v>9094</v>
      </c>
      <c r="N6187" t="s">
        <v>11121</v>
      </c>
      <c r="O6187" t="s">
        <v>11129</v>
      </c>
      <c r="P6187" t="s">
        <v>11165</v>
      </c>
      <c r="R6187" t="s">
        <v>11180</v>
      </c>
      <c r="S6187" t="s">
        <v>9096</v>
      </c>
      <c r="T6187" t="s">
        <v>11183</v>
      </c>
      <c r="U6187" t="s">
        <v>11201</v>
      </c>
      <c r="V6187" t="s">
        <v>791</v>
      </c>
      <c r="W6187">
        <v>1326</v>
      </c>
      <c r="X6187" t="s">
        <v>11332</v>
      </c>
      <c r="Y6187" t="s">
        <v>11340</v>
      </c>
      <c r="Z6187" t="s">
        <v>15029</v>
      </c>
      <c r="AB6187" t="s">
        <v>19338</v>
      </c>
      <c r="AC6187">
        <v>31</v>
      </c>
      <c r="AD6187" t="s">
        <v>19566</v>
      </c>
      <c r="AE6187" t="s">
        <v>9144</v>
      </c>
      <c r="AF6187">
        <v>2</v>
      </c>
      <c r="AG6187">
        <v>1</v>
      </c>
      <c r="AH6187">
        <v>0</v>
      </c>
      <c r="AI6187">
        <v>513.79</v>
      </c>
      <c r="AL6187" t="s">
        <v>19614</v>
      </c>
      <c r="AM6187">
        <v>64172</v>
      </c>
      <c r="AS6187">
        <v>21.95</v>
      </c>
      <c r="AT6187" t="s">
        <v>521</v>
      </c>
      <c r="AU6187" t="s">
        <v>151</v>
      </c>
      <c r="AV6187" t="s">
        <v>20733</v>
      </c>
    </row>
    <row r="6188" spans="1:48">
      <c r="A6188" s="1">
        <f>HYPERLINK("https://lsnyc.legalserver.org/matter/dynamic-profile/view/1894525","19-1894525")</f>
        <v>0</v>
      </c>
      <c r="B6188" t="s">
        <v>103</v>
      </c>
      <c r="C6188" t="s">
        <v>256</v>
      </c>
      <c r="D6188" t="s">
        <v>421</v>
      </c>
      <c r="F6188" t="s">
        <v>3278</v>
      </c>
      <c r="G6188" t="s">
        <v>5611</v>
      </c>
      <c r="H6188" t="s">
        <v>5887</v>
      </c>
      <c r="I6188" t="s">
        <v>8239</v>
      </c>
      <c r="J6188" t="s">
        <v>9065</v>
      </c>
      <c r="K6188">
        <v>10453</v>
      </c>
      <c r="L6188" t="s">
        <v>9094</v>
      </c>
      <c r="M6188" t="s">
        <v>9094</v>
      </c>
      <c r="O6188" t="s">
        <v>11134</v>
      </c>
      <c r="P6188" t="s">
        <v>11168</v>
      </c>
      <c r="R6188" t="s">
        <v>11180</v>
      </c>
      <c r="S6188" t="s">
        <v>9094</v>
      </c>
      <c r="T6188" t="s">
        <v>11183</v>
      </c>
      <c r="V6188" t="s">
        <v>993</v>
      </c>
      <c r="W6188">
        <v>1500</v>
      </c>
      <c r="X6188" t="s">
        <v>11333</v>
      </c>
      <c r="Y6188" t="s">
        <v>11339</v>
      </c>
      <c r="Z6188" t="s">
        <v>15172</v>
      </c>
      <c r="AB6188" t="s">
        <v>19458</v>
      </c>
      <c r="AC6188">
        <v>170</v>
      </c>
      <c r="AD6188" t="s">
        <v>19566</v>
      </c>
      <c r="AE6188" t="s">
        <v>9144</v>
      </c>
      <c r="AF6188">
        <v>2</v>
      </c>
      <c r="AG6188">
        <v>2</v>
      </c>
      <c r="AH6188">
        <v>0</v>
      </c>
      <c r="AI6188">
        <v>514.49</v>
      </c>
      <c r="AM6188">
        <v>87000</v>
      </c>
      <c r="AS6188">
        <v>0</v>
      </c>
      <c r="AU6188" t="s">
        <v>220</v>
      </c>
    </row>
    <row r="6189" spans="1:48">
      <c r="A6189" s="1">
        <f>HYPERLINK("https://lsnyc.legalserver.org/matter/dynamic-profile/view/1894519","19-1894519")</f>
        <v>0</v>
      </c>
      <c r="B6189" t="s">
        <v>103</v>
      </c>
      <c r="C6189" t="s">
        <v>256</v>
      </c>
      <c r="D6189" t="s">
        <v>421</v>
      </c>
      <c r="F6189" t="s">
        <v>3278</v>
      </c>
      <c r="G6189" t="s">
        <v>5611</v>
      </c>
      <c r="H6189" t="s">
        <v>5887</v>
      </c>
      <c r="I6189" t="s">
        <v>8239</v>
      </c>
      <c r="J6189" t="s">
        <v>9065</v>
      </c>
      <c r="K6189">
        <v>10453</v>
      </c>
      <c r="L6189" t="s">
        <v>9094</v>
      </c>
      <c r="M6189" t="s">
        <v>9094</v>
      </c>
      <c r="N6189" t="s">
        <v>9352</v>
      </c>
      <c r="O6189" t="s">
        <v>11130</v>
      </c>
      <c r="P6189" t="s">
        <v>11165</v>
      </c>
      <c r="R6189" t="s">
        <v>11180</v>
      </c>
      <c r="S6189" t="s">
        <v>9094</v>
      </c>
      <c r="T6189" t="s">
        <v>11183</v>
      </c>
      <c r="V6189" t="s">
        <v>993</v>
      </c>
      <c r="W6189">
        <v>1500</v>
      </c>
      <c r="X6189" t="s">
        <v>11333</v>
      </c>
      <c r="Y6189" t="s">
        <v>11339</v>
      </c>
      <c r="Z6189" t="s">
        <v>15172</v>
      </c>
      <c r="AB6189" t="s">
        <v>19458</v>
      </c>
      <c r="AC6189">
        <v>170</v>
      </c>
      <c r="AD6189" t="s">
        <v>19566</v>
      </c>
      <c r="AE6189" t="s">
        <v>9144</v>
      </c>
      <c r="AF6189">
        <v>2</v>
      </c>
      <c r="AG6189">
        <v>2</v>
      </c>
      <c r="AH6189">
        <v>0</v>
      </c>
      <c r="AI6189">
        <v>514.49</v>
      </c>
      <c r="AM6189">
        <v>87000</v>
      </c>
      <c r="AS6189">
        <v>0</v>
      </c>
      <c r="AU6189" t="s">
        <v>220</v>
      </c>
    </row>
    <row r="6190" spans="1:48">
      <c r="A6190" s="1">
        <f>HYPERLINK("https://lsnyc.legalserver.org/matter/dynamic-profile/view/1878068","18-1878068")</f>
        <v>0</v>
      </c>
      <c r="B6190" t="s">
        <v>165</v>
      </c>
      <c r="C6190" t="s">
        <v>256</v>
      </c>
      <c r="D6190" t="s">
        <v>671</v>
      </c>
      <c r="F6190" t="s">
        <v>2851</v>
      </c>
      <c r="G6190" t="s">
        <v>5612</v>
      </c>
      <c r="H6190" t="s">
        <v>6934</v>
      </c>
      <c r="I6190" t="s">
        <v>8176</v>
      </c>
      <c r="J6190" t="s">
        <v>9059</v>
      </c>
      <c r="K6190">
        <v>11216</v>
      </c>
      <c r="L6190" t="s">
        <v>9094</v>
      </c>
      <c r="M6190" t="s">
        <v>9094</v>
      </c>
      <c r="N6190" t="s">
        <v>10050</v>
      </c>
      <c r="O6190" t="s">
        <v>11132</v>
      </c>
      <c r="P6190" t="s">
        <v>11165</v>
      </c>
      <c r="R6190" t="s">
        <v>11180</v>
      </c>
      <c r="T6190" t="s">
        <v>11183</v>
      </c>
      <c r="V6190" t="s">
        <v>649</v>
      </c>
      <c r="W6190">
        <v>1390.98</v>
      </c>
      <c r="X6190" t="s">
        <v>11332</v>
      </c>
      <c r="Y6190" t="s">
        <v>11339</v>
      </c>
      <c r="Z6190" t="s">
        <v>15173</v>
      </c>
      <c r="AB6190" t="s">
        <v>19459</v>
      </c>
      <c r="AC6190">
        <v>82</v>
      </c>
      <c r="AD6190" t="s">
        <v>19566</v>
      </c>
      <c r="AE6190" t="s">
        <v>9144</v>
      </c>
      <c r="AF6190">
        <v>7</v>
      </c>
      <c r="AG6190">
        <v>2</v>
      </c>
      <c r="AH6190">
        <v>0</v>
      </c>
      <c r="AI6190">
        <v>516.4</v>
      </c>
      <c r="AJ6190" t="s">
        <v>440</v>
      </c>
      <c r="AK6190" t="s">
        <v>19612</v>
      </c>
      <c r="AL6190" t="s">
        <v>19614</v>
      </c>
      <c r="AM6190">
        <v>85000</v>
      </c>
      <c r="AN6190" t="s">
        <v>19720</v>
      </c>
      <c r="AS6190">
        <v>0</v>
      </c>
      <c r="AU6190" t="s">
        <v>95</v>
      </c>
    </row>
    <row r="6191" spans="1:48">
      <c r="A6191" s="1">
        <f>HYPERLINK("https://lsnyc.legalserver.org/matter/dynamic-profile/view/1878063","18-1878063")</f>
        <v>0</v>
      </c>
      <c r="B6191" t="s">
        <v>165</v>
      </c>
      <c r="C6191" t="s">
        <v>256</v>
      </c>
      <c r="D6191" t="s">
        <v>671</v>
      </c>
      <c r="F6191" t="s">
        <v>2851</v>
      </c>
      <c r="G6191" t="s">
        <v>5612</v>
      </c>
      <c r="H6191" t="s">
        <v>6934</v>
      </c>
      <c r="I6191" t="s">
        <v>8176</v>
      </c>
      <c r="J6191" t="s">
        <v>9059</v>
      </c>
      <c r="K6191">
        <v>11216</v>
      </c>
      <c r="L6191" t="s">
        <v>9094</v>
      </c>
      <c r="M6191" t="s">
        <v>9094</v>
      </c>
      <c r="N6191" t="s">
        <v>9121</v>
      </c>
      <c r="O6191" t="s">
        <v>9121</v>
      </c>
      <c r="P6191" t="s">
        <v>11167</v>
      </c>
      <c r="R6191" t="s">
        <v>11180</v>
      </c>
      <c r="T6191" t="s">
        <v>11183</v>
      </c>
      <c r="V6191" t="s">
        <v>500</v>
      </c>
      <c r="W6191">
        <v>1390</v>
      </c>
      <c r="X6191" t="s">
        <v>11332</v>
      </c>
      <c r="Y6191" t="s">
        <v>11339</v>
      </c>
      <c r="Z6191" t="s">
        <v>15173</v>
      </c>
      <c r="AB6191" t="s">
        <v>19459</v>
      </c>
      <c r="AC6191">
        <v>82</v>
      </c>
      <c r="AD6191" t="s">
        <v>19566</v>
      </c>
      <c r="AE6191" t="s">
        <v>9144</v>
      </c>
      <c r="AF6191">
        <v>7</v>
      </c>
      <c r="AG6191">
        <v>2</v>
      </c>
      <c r="AH6191">
        <v>0</v>
      </c>
      <c r="AI6191">
        <v>516.4</v>
      </c>
      <c r="AJ6191" t="s">
        <v>440</v>
      </c>
      <c r="AK6191" t="s">
        <v>19612</v>
      </c>
      <c r="AL6191" t="s">
        <v>19614</v>
      </c>
      <c r="AM6191">
        <v>85000</v>
      </c>
      <c r="AN6191" t="s">
        <v>19720</v>
      </c>
      <c r="AS6191">
        <v>0</v>
      </c>
      <c r="AU6191" t="s">
        <v>95</v>
      </c>
    </row>
    <row r="6192" spans="1:48">
      <c r="A6192" s="1">
        <f>HYPERLINK("https://lsnyc.legalserver.org/matter/dynamic-profile/view/1886079","18-1886079")</f>
        <v>0</v>
      </c>
      <c r="B6192" t="s">
        <v>136</v>
      </c>
      <c r="C6192" t="s">
        <v>256</v>
      </c>
      <c r="D6192" t="s">
        <v>397</v>
      </c>
      <c r="F6192" t="s">
        <v>1788</v>
      </c>
      <c r="G6192" t="s">
        <v>3586</v>
      </c>
      <c r="H6192" t="s">
        <v>7475</v>
      </c>
      <c r="I6192">
        <v>8</v>
      </c>
      <c r="J6192" t="s">
        <v>9067</v>
      </c>
      <c r="K6192">
        <v>10029</v>
      </c>
      <c r="L6192" t="s">
        <v>9094</v>
      </c>
      <c r="M6192" t="s">
        <v>9094</v>
      </c>
      <c r="N6192" t="s">
        <v>10538</v>
      </c>
      <c r="O6192" t="s">
        <v>11130</v>
      </c>
      <c r="P6192" t="s">
        <v>11165</v>
      </c>
      <c r="R6192" t="s">
        <v>11180</v>
      </c>
      <c r="S6192" t="s">
        <v>9094</v>
      </c>
      <c r="T6192" t="s">
        <v>11183</v>
      </c>
      <c r="U6192" t="s">
        <v>11201</v>
      </c>
      <c r="V6192" t="s">
        <v>397</v>
      </c>
      <c r="W6192">
        <v>932.17</v>
      </c>
      <c r="X6192" t="s">
        <v>11335</v>
      </c>
      <c r="Y6192" t="s">
        <v>11339</v>
      </c>
      <c r="Z6192" t="s">
        <v>11520</v>
      </c>
      <c r="AB6192" t="s">
        <v>19460</v>
      </c>
      <c r="AC6192">
        <v>6</v>
      </c>
      <c r="AD6192" t="s">
        <v>19566</v>
      </c>
      <c r="AE6192" t="s">
        <v>9144</v>
      </c>
      <c r="AF6192">
        <v>23</v>
      </c>
      <c r="AG6192">
        <v>4</v>
      </c>
      <c r="AH6192">
        <v>1</v>
      </c>
      <c r="AI6192">
        <v>516.66</v>
      </c>
      <c r="AL6192" t="s">
        <v>19615</v>
      </c>
      <c r="AM6192">
        <v>152000</v>
      </c>
      <c r="AS6192">
        <v>5.05</v>
      </c>
      <c r="AT6192" t="s">
        <v>632</v>
      </c>
      <c r="AU6192" t="s">
        <v>20657</v>
      </c>
    </row>
    <row r="6193" spans="1:48">
      <c r="A6193" s="1">
        <f>HYPERLINK("https://lsnyc.legalserver.org/matter/dynamic-profile/view/1897510","19-1897510")</f>
        <v>0</v>
      </c>
      <c r="B6193" t="s">
        <v>50</v>
      </c>
      <c r="C6193" t="s">
        <v>256</v>
      </c>
      <c r="D6193" t="s">
        <v>318</v>
      </c>
      <c r="F6193" t="s">
        <v>1266</v>
      </c>
      <c r="G6193" t="s">
        <v>5613</v>
      </c>
      <c r="H6193" t="s">
        <v>8000</v>
      </c>
      <c r="I6193" t="s">
        <v>8142</v>
      </c>
      <c r="J6193" t="s">
        <v>9054</v>
      </c>
      <c r="K6193">
        <v>11368</v>
      </c>
      <c r="L6193" t="s">
        <v>9094</v>
      </c>
      <c r="M6193" t="s">
        <v>9094</v>
      </c>
      <c r="N6193" t="s">
        <v>9126</v>
      </c>
      <c r="O6193" t="s">
        <v>11134</v>
      </c>
      <c r="P6193" t="s">
        <v>11168</v>
      </c>
      <c r="R6193" t="s">
        <v>11180</v>
      </c>
      <c r="S6193" t="s">
        <v>9094</v>
      </c>
      <c r="T6193" t="s">
        <v>11183</v>
      </c>
      <c r="U6193" t="s">
        <v>11201</v>
      </c>
      <c r="V6193" t="s">
        <v>11217</v>
      </c>
      <c r="W6193">
        <v>1586</v>
      </c>
      <c r="X6193" t="s">
        <v>11331</v>
      </c>
      <c r="Y6193" t="s">
        <v>11157</v>
      </c>
      <c r="Z6193" t="s">
        <v>15174</v>
      </c>
      <c r="AA6193" t="s">
        <v>15274</v>
      </c>
      <c r="AB6193" t="s">
        <v>19461</v>
      </c>
      <c r="AC6193">
        <v>50</v>
      </c>
      <c r="AD6193" t="s">
        <v>19566</v>
      </c>
      <c r="AE6193" t="s">
        <v>9144</v>
      </c>
      <c r="AF6193">
        <v>19</v>
      </c>
      <c r="AG6193">
        <v>1</v>
      </c>
      <c r="AH6193">
        <v>0</v>
      </c>
      <c r="AI6193">
        <v>520.42</v>
      </c>
      <c r="AL6193" t="s">
        <v>19614</v>
      </c>
      <c r="AM6193">
        <v>65000</v>
      </c>
      <c r="AS6193">
        <v>0</v>
      </c>
      <c r="AU6193" t="s">
        <v>50</v>
      </c>
      <c r="AV6193" t="s">
        <v>20733</v>
      </c>
    </row>
    <row r="6194" spans="1:48">
      <c r="A6194" s="1">
        <f>HYPERLINK("https://lsnyc.legalserver.org/matter/dynamic-profile/view/1895704","19-1895704")</f>
        <v>0</v>
      </c>
      <c r="B6194" t="s">
        <v>66</v>
      </c>
      <c r="C6194" t="s">
        <v>256</v>
      </c>
      <c r="D6194" t="s">
        <v>360</v>
      </c>
      <c r="F6194" t="s">
        <v>3279</v>
      </c>
      <c r="G6194" t="s">
        <v>5614</v>
      </c>
      <c r="H6194" t="s">
        <v>8086</v>
      </c>
      <c r="I6194" t="s">
        <v>9025</v>
      </c>
      <c r="J6194" t="s">
        <v>9059</v>
      </c>
      <c r="K6194">
        <v>11230</v>
      </c>
      <c r="L6194" t="s">
        <v>9094</v>
      </c>
      <c r="M6194" t="s">
        <v>9094</v>
      </c>
      <c r="N6194" t="s">
        <v>11122</v>
      </c>
      <c r="O6194" t="s">
        <v>11129</v>
      </c>
      <c r="P6194" t="s">
        <v>11165</v>
      </c>
      <c r="R6194" t="s">
        <v>11180</v>
      </c>
      <c r="S6194" t="s">
        <v>9096</v>
      </c>
      <c r="T6194" t="s">
        <v>11183</v>
      </c>
      <c r="V6194" t="s">
        <v>278</v>
      </c>
      <c r="W6194">
        <v>558.89</v>
      </c>
      <c r="X6194" t="s">
        <v>11332</v>
      </c>
      <c r="Y6194" t="s">
        <v>11336</v>
      </c>
      <c r="Z6194" t="s">
        <v>15175</v>
      </c>
      <c r="AB6194" t="s">
        <v>19462</v>
      </c>
      <c r="AC6194">
        <v>0</v>
      </c>
      <c r="AD6194" t="s">
        <v>19566</v>
      </c>
      <c r="AF6194">
        <v>39</v>
      </c>
      <c r="AG6194">
        <v>1</v>
      </c>
      <c r="AH6194">
        <v>0</v>
      </c>
      <c r="AI6194">
        <v>520.42</v>
      </c>
      <c r="AJ6194" t="s">
        <v>278</v>
      </c>
      <c r="AK6194" t="s">
        <v>19612</v>
      </c>
      <c r="AL6194" t="s">
        <v>19615</v>
      </c>
      <c r="AM6194">
        <v>65000</v>
      </c>
      <c r="AP6194" t="s">
        <v>20317</v>
      </c>
      <c r="AQ6194" t="s">
        <v>20369</v>
      </c>
      <c r="AR6194" t="s">
        <v>20581</v>
      </c>
      <c r="AS6194">
        <v>0.5</v>
      </c>
      <c r="AT6194" t="s">
        <v>499</v>
      </c>
      <c r="AU6194" t="s">
        <v>215</v>
      </c>
    </row>
    <row r="6195" spans="1:48">
      <c r="A6195" s="1">
        <f>HYPERLINK("https://lsnyc.legalserver.org/matter/dynamic-profile/view/1892920","19-1892920")</f>
        <v>0</v>
      </c>
      <c r="B6195" t="s">
        <v>82</v>
      </c>
      <c r="C6195" t="s">
        <v>256</v>
      </c>
      <c r="D6195" t="s">
        <v>523</v>
      </c>
      <c r="F6195" t="s">
        <v>3280</v>
      </c>
      <c r="G6195" t="s">
        <v>5615</v>
      </c>
      <c r="H6195" t="s">
        <v>5785</v>
      </c>
      <c r="I6195" t="s">
        <v>8165</v>
      </c>
      <c r="J6195" t="s">
        <v>9059</v>
      </c>
      <c r="K6195">
        <v>11225</v>
      </c>
      <c r="L6195" t="s">
        <v>9094</v>
      </c>
      <c r="M6195" t="s">
        <v>9094</v>
      </c>
      <c r="N6195" t="s">
        <v>11060</v>
      </c>
      <c r="O6195" t="s">
        <v>11134</v>
      </c>
      <c r="P6195" t="s">
        <v>11165</v>
      </c>
      <c r="R6195" t="s">
        <v>11180</v>
      </c>
      <c r="S6195" t="s">
        <v>9094</v>
      </c>
      <c r="T6195" t="s">
        <v>11183</v>
      </c>
      <c r="V6195" t="s">
        <v>381</v>
      </c>
      <c r="W6195">
        <v>1740.79</v>
      </c>
      <c r="X6195" t="s">
        <v>11332</v>
      </c>
      <c r="Y6195" t="s">
        <v>11346</v>
      </c>
      <c r="Z6195" t="s">
        <v>15176</v>
      </c>
      <c r="AB6195" t="s">
        <v>19463</v>
      </c>
      <c r="AC6195">
        <v>89</v>
      </c>
      <c r="AD6195" t="s">
        <v>19566</v>
      </c>
      <c r="AF6195">
        <v>7</v>
      </c>
      <c r="AG6195">
        <v>1</v>
      </c>
      <c r="AH6195">
        <v>0</v>
      </c>
      <c r="AI6195">
        <v>520.42</v>
      </c>
      <c r="AL6195" t="s">
        <v>19614</v>
      </c>
      <c r="AM6195">
        <v>65000</v>
      </c>
      <c r="AS6195">
        <v>0</v>
      </c>
      <c r="AU6195" t="s">
        <v>215</v>
      </c>
    </row>
    <row r="6196" spans="1:48">
      <c r="A6196" s="1">
        <f>HYPERLINK("https://lsnyc.legalserver.org/matter/dynamic-profile/view/1915073","19-1915073")</f>
        <v>0</v>
      </c>
      <c r="B6196" t="s">
        <v>92</v>
      </c>
      <c r="C6196" t="s">
        <v>256</v>
      </c>
      <c r="D6196" t="s">
        <v>377</v>
      </c>
      <c r="F6196" t="s">
        <v>1221</v>
      </c>
      <c r="G6196" t="s">
        <v>1884</v>
      </c>
      <c r="H6196" t="s">
        <v>6059</v>
      </c>
      <c r="I6196" t="s">
        <v>8153</v>
      </c>
      <c r="J6196" t="s">
        <v>9059</v>
      </c>
      <c r="K6196">
        <v>11212</v>
      </c>
      <c r="L6196" t="s">
        <v>9094</v>
      </c>
      <c r="M6196" t="s">
        <v>9095</v>
      </c>
      <c r="N6196" t="s">
        <v>9102</v>
      </c>
      <c r="O6196" t="s">
        <v>11137</v>
      </c>
      <c r="P6196" t="s">
        <v>11167</v>
      </c>
      <c r="R6196" t="s">
        <v>11180</v>
      </c>
      <c r="S6196" t="s">
        <v>9094</v>
      </c>
      <c r="T6196" t="s">
        <v>11183</v>
      </c>
      <c r="U6196" t="s">
        <v>11201</v>
      </c>
      <c r="W6196">
        <v>789.73</v>
      </c>
      <c r="X6196" t="s">
        <v>11332</v>
      </c>
      <c r="Y6196" t="s">
        <v>11339</v>
      </c>
      <c r="Z6196" t="s">
        <v>11371</v>
      </c>
      <c r="AA6196" t="s">
        <v>9171</v>
      </c>
      <c r="AB6196" t="s">
        <v>19330</v>
      </c>
      <c r="AC6196">
        <v>19</v>
      </c>
      <c r="AD6196" t="s">
        <v>19566</v>
      </c>
      <c r="AE6196" t="s">
        <v>9144</v>
      </c>
      <c r="AF6196">
        <v>0</v>
      </c>
      <c r="AG6196">
        <v>1</v>
      </c>
      <c r="AH6196">
        <v>0</v>
      </c>
      <c r="AI6196">
        <v>520.42</v>
      </c>
      <c r="AL6196" t="s">
        <v>19614</v>
      </c>
      <c r="AM6196">
        <v>65000</v>
      </c>
      <c r="AN6196" t="s">
        <v>20264</v>
      </c>
      <c r="AS6196">
        <v>0</v>
      </c>
      <c r="AU6196" t="s">
        <v>95</v>
      </c>
      <c r="AV6196" t="s">
        <v>20733</v>
      </c>
    </row>
    <row r="6197" spans="1:48">
      <c r="A6197" s="1">
        <f>HYPERLINK("https://lsnyc.legalserver.org/matter/dynamic-profile/view/1915071","19-1915071")</f>
        <v>0</v>
      </c>
      <c r="B6197" t="s">
        <v>92</v>
      </c>
      <c r="C6197" t="s">
        <v>256</v>
      </c>
      <c r="D6197" t="s">
        <v>377</v>
      </c>
      <c r="F6197" t="s">
        <v>1221</v>
      </c>
      <c r="G6197" t="s">
        <v>1884</v>
      </c>
      <c r="H6197" t="s">
        <v>6059</v>
      </c>
      <c r="I6197" t="s">
        <v>8153</v>
      </c>
      <c r="J6197" t="s">
        <v>9059</v>
      </c>
      <c r="K6197">
        <v>11212</v>
      </c>
      <c r="L6197" t="s">
        <v>9094</v>
      </c>
      <c r="M6197" t="s">
        <v>9095</v>
      </c>
      <c r="N6197" t="s">
        <v>9512</v>
      </c>
      <c r="O6197" t="s">
        <v>11136</v>
      </c>
      <c r="P6197" t="s">
        <v>11170</v>
      </c>
      <c r="R6197" t="s">
        <v>11180</v>
      </c>
      <c r="S6197" t="s">
        <v>9094</v>
      </c>
      <c r="T6197" t="s">
        <v>11183</v>
      </c>
      <c r="U6197" t="s">
        <v>11201</v>
      </c>
      <c r="W6197">
        <v>789.73</v>
      </c>
      <c r="X6197" t="s">
        <v>11332</v>
      </c>
      <c r="Y6197" t="s">
        <v>11339</v>
      </c>
      <c r="Z6197" t="s">
        <v>11371</v>
      </c>
      <c r="AA6197" t="s">
        <v>9171</v>
      </c>
      <c r="AB6197" t="s">
        <v>19330</v>
      </c>
      <c r="AC6197">
        <v>19</v>
      </c>
      <c r="AD6197" t="s">
        <v>19566</v>
      </c>
      <c r="AE6197" t="s">
        <v>9144</v>
      </c>
      <c r="AF6197">
        <v>0</v>
      </c>
      <c r="AG6197">
        <v>1</v>
      </c>
      <c r="AH6197">
        <v>0</v>
      </c>
      <c r="AI6197">
        <v>520.42</v>
      </c>
      <c r="AL6197" t="s">
        <v>19614</v>
      </c>
      <c r="AM6197">
        <v>65000</v>
      </c>
      <c r="AN6197" t="s">
        <v>20265</v>
      </c>
      <c r="AS6197">
        <v>0</v>
      </c>
      <c r="AU6197" t="s">
        <v>95</v>
      </c>
      <c r="AV6197" t="s">
        <v>20733</v>
      </c>
    </row>
    <row r="6198" spans="1:48">
      <c r="A6198" s="1">
        <f>HYPERLINK("https://lsnyc.legalserver.org/matter/dynamic-profile/view/1896237","19-1896237")</f>
        <v>0</v>
      </c>
      <c r="B6198" t="s">
        <v>103</v>
      </c>
      <c r="C6198" t="s">
        <v>256</v>
      </c>
      <c r="D6198" t="s">
        <v>374</v>
      </c>
      <c r="F6198" t="s">
        <v>1588</v>
      </c>
      <c r="G6198" t="s">
        <v>5616</v>
      </c>
      <c r="H6198" t="s">
        <v>5887</v>
      </c>
      <c r="I6198" t="s">
        <v>8575</v>
      </c>
      <c r="J6198" t="s">
        <v>9065</v>
      </c>
      <c r="K6198">
        <v>10453</v>
      </c>
      <c r="L6198" t="s">
        <v>9094</v>
      </c>
      <c r="M6198" t="s">
        <v>9094</v>
      </c>
      <c r="N6198" t="s">
        <v>9352</v>
      </c>
      <c r="O6198" t="s">
        <v>11130</v>
      </c>
      <c r="P6198" t="s">
        <v>11165</v>
      </c>
      <c r="R6198" t="s">
        <v>11180</v>
      </c>
      <c r="S6198" t="s">
        <v>9094</v>
      </c>
      <c r="T6198" t="s">
        <v>11183</v>
      </c>
      <c r="V6198" t="s">
        <v>512</v>
      </c>
      <c r="W6198">
        <v>450</v>
      </c>
      <c r="X6198" t="s">
        <v>11333</v>
      </c>
      <c r="Y6198" t="s">
        <v>11339</v>
      </c>
      <c r="Z6198" t="s">
        <v>15177</v>
      </c>
      <c r="AB6198" t="s">
        <v>19464</v>
      </c>
      <c r="AC6198">
        <v>170</v>
      </c>
      <c r="AD6198" t="s">
        <v>19566</v>
      </c>
      <c r="AE6198" t="s">
        <v>9144</v>
      </c>
      <c r="AF6198">
        <v>1</v>
      </c>
      <c r="AG6198">
        <v>1</v>
      </c>
      <c r="AH6198">
        <v>0</v>
      </c>
      <c r="AI6198">
        <v>520.42</v>
      </c>
      <c r="AL6198" t="s">
        <v>19614</v>
      </c>
      <c r="AM6198">
        <v>65000</v>
      </c>
      <c r="AS6198">
        <v>0</v>
      </c>
      <c r="AU6198" t="s">
        <v>220</v>
      </c>
    </row>
    <row r="6199" spans="1:48">
      <c r="A6199" s="1">
        <f>HYPERLINK("https://lsnyc.legalserver.org/matter/dynamic-profile/view/1846417","17-1846417")</f>
        <v>0</v>
      </c>
      <c r="B6199" t="s">
        <v>135</v>
      </c>
      <c r="C6199" t="s">
        <v>257</v>
      </c>
      <c r="D6199" t="s">
        <v>1112</v>
      </c>
      <c r="E6199" t="s">
        <v>334</v>
      </c>
      <c r="F6199" t="s">
        <v>1282</v>
      </c>
      <c r="G6199" t="s">
        <v>5617</v>
      </c>
      <c r="H6199" t="s">
        <v>8087</v>
      </c>
      <c r="I6199" t="s">
        <v>8193</v>
      </c>
      <c r="J6199" t="s">
        <v>9067</v>
      </c>
      <c r="K6199">
        <v>10035</v>
      </c>
      <c r="L6199" t="s">
        <v>9094</v>
      </c>
      <c r="M6199" t="s">
        <v>9095</v>
      </c>
      <c r="N6199" t="s">
        <v>9308</v>
      </c>
      <c r="O6199" t="s">
        <v>11130</v>
      </c>
      <c r="P6199" t="s">
        <v>11165</v>
      </c>
      <c r="Q6199" t="s">
        <v>11174</v>
      </c>
      <c r="R6199" t="s">
        <v>11180</v>
      </c>
      <c r="S6199" t="s">
        <v>9094</v>
      </c>
      <c r="T6199" t="s">
        <v>11183</v>
      </c>
      <c r="U6199" t="s">
        <v>11201</v>
      </c>
      <c r="V6199" t="s">
        <v>1112</v>
      </c>
      <c r="W6199">
        <v>1830</v>
      </c>
      <c r="X6199" t="s">
        <v>11335</v>
      </c>
      <c r="Y6199" t="s">
        <v>11339</v>
      </c>
      <c r="Z6199" t="s">
        <v>15178</v>
      </c>
      <c r="AB6199" t="s">
        <v>19465</v>
      </c>
      <c r="AC6199">
        <v>35</v>
      </c>
      <c r="AD6199" t="s">
        <v>19566</v>
      </c>
      <c r="AE6199" t="s">
        <v>9144</v>
      </c>
      <c r="AF6199">
        <v>8</v>
      </c>
      <c r="AG6199">
        <v>1</v>
      </c>
      <c r="AH6199">
        <v>0</v>
      </c>
      <c r="AI6199">
        <v>522.39</v>
      </c>
      <c r="AL6199" t="s">
        <v>19614</v>
      </c>
      <c r="AM6199">
        <v>63000</v>
      </c>
      <c r="AO6199" t="s">
        <v>20296</v>
      </c>
      <c r="AP6199" t="s">
        <v>20319</v>
      </c>
      <c r="AQ6199" t="s">
        <v>20369</v>
      </c>
      <c r="AR6199" t="s">
        <v>20398</v>
      </c>
      <c r="AS6199">
        <v>12.85</v>
      </c>
      <c r="AT6199" t="s">
        <v>415</v>
      </c>
      <c r="AU6199" t="s">
        <v>20657</v>
      </c>
      <c r="AV6199" t="s">
        <v>20733</v>
      </c>
    </row>
    <row r="6200" spans="1:48">
      <c r="A6200" s="1">
        <f>HYPERLINK("https://lsnyc.legalserver.org/matter/dynamic-profile/view/1882728","18-1882728")</f>
        <v>0</v>
      </c>
      <c r="B6200" t="s">
        <v>106</v>
      </c>
      <c r="C6200" t="s">
        <v>256</v>
      </c>
      <c r="D6200" t="s">
        <v>433</v>
      </c>
      <c r="F6200" t="s">
        <v>3281</v>
      </c>
      <c r="G6200" t="s">
        <v>5618</v>
      </c>
      <c r="H6200" t="s">
        <v>5874</v>
      </c>
      <c r="I6200" t="s">
        <v>8112</v>
      </c>
      <c r="J6200" t="s">
        <v>9065</v>
      </c>
      <c r="K6200">
        <v>10457</v>
      </c>
      <c r="L6200" t="s">
        <v>9094</v>
      </c>
      <c r="M6200" t="s">
        <v>9094</v>
      </c>
      <c r="N6200" t="s">
        <v>9230</v>
      </c>
      <c r="O6200" t="s">
        <v>11134</v>
      </c>
      <c r="P6200" t="s">
        <v>11168</v>
      </c>
      <c r="R6200" t="s">
        <v>11180</v>
      </c>
      <c r="S6200" t="s">
        <v>9094</v>
      </c>
      <c r="T6200" t="s">
        <v>11183</v>
      </c>
      <c r="V6200" t="s">
        <v>738</v>
      </c>
      <c r="W6200">
        <v>1284.72</v>
      </c>
      <c r="X6200" t="s">
        <v>11333</v>
      </c>
      <c r="Y6200" t="s">
        <v>11346</v>
      </c>
      <c r="Z6200" t="s">
        <v>14181</v>
      </c>
      <c r="AB6200" t="s">
        <v>19466</v>
      </c>
      <c r="AC6200">
        <v>47</v>
      </c>
      <c r="AD6200" t="s">
        <v>19566</v>
      </c>
      <c r="AE6200" t="s">
        <v>9144</v>
      </c>
      <c r="AF6200">
        <v>7</v>
      </c>
      <c r="AG6200">
        <v>2</v>
      </c>
      <c r="AH6200">
        <v>2</v>
      </c>
      <c r="AI6200">
        <v>525.9</v>
      </c>
      <c r="AL6200" t="s">
        <v>19614</v>
      </c>
      <c r="AM6200">
        <v>132000</v>
      </c>
      <c r="AS6200">
        <v>0.7</v>
      </c>
      <c r="AT6200" t="s">
        <v>718</v>
      </c>
      <c r="AU6200" t="s">
        <v>20642</v>
      </c>
    </row>
    <row r="6201" spans="1:48">
      <c r="A6201" s="1">
        <f>HYPERLINK("https://lsnyc.legalserver.org/matter/dynamic-profile/view/0812548","16-0812548")</f>
        <v>0</v>
      </c>
      <c r="B6201" t="s">
        <v>108</v>
      </c>
      <c r="C6201" t="s">
        <v>256</v>
      </c>
      <c r="D6201" t="s">
        <v>460</v>
      </c>
      <c r="F6201" t="s">
        <v>1137</v>
      </c>
      <c r="G6201" t="s">
        <v>4898</v>
      </c>
      <c r="H6201" t="s">
        <v>6526</v>
      </c>
      <c r="I6201" t="s">
        <v>8270</v>
      </c>
      <c r="J6201" t="s">
        <v>9065</v>
      </c>
      <c r="K6201">
        <v>10452</v>
      </c>
      <c r="L6201" t="s">
        <v>9094</v>
      </c>
      <c r="M6201" t="s">
        <v>9095</v>
      </c>
      <c r="N6201" t="s">
        <v>9749</v>
      </c>
      <c r="O6201" t="s">
        <v>11135</v>
      </c>
      <c r="P6201" t="s">
        <v>11168</v>
      </c>
      <c r="R6201" t="s">
        <v>11180</v>
      </c>
      <c r="S6201" t="s">
        <v>9094</v>
      </c>
      <c r="T6201" t="s">
        <v>11183</v>
      </c>
      <c r="V6201" t="s">
        <v>11234</v>
      </c>
      <c r="W6201">
        <v>650.92</v>
      </c>
      <c r="X6201" t="s">
        <v>11333</v>
      </c>
      <c r="Y6201" t="s">
        <v>11346</v>
      </c>
      <c r="Z6201" t="s">
        <v>13211</v>
      </c>
      <c r="AB6201" t="s">
        <v>19467</v>
      </c>
      <c r="AC6201">
        <v>63</v>
      </c>
      <c r="AD6201" t="s">
        <v>19566</v>
      </c>
      <c r="AE6201" t="s">
        <v>9144</v>
      </c>
      <c r="AF6201">
        <v>35</v>
      </c>
      <c r="AG6201">
        <v>1</v>
      </c>
      <c r="AH6201">
        <v>0</v>
      </c>
      <c r="AI6201">
        <v>526.08</v>
      </c>
      <c r="AL6201" t="s">
        <v>19614</v>
      </c>
      <c r="AM6201">
        <v>62498</v>
      </c>
      <c r="AS6201">
        <v>1.2</v>
      </c>
      <c r="AT6201" t="s">
        <v>1122</v>
      </c>
      <c r="AU6201" t="s">
        <v>20647</v>
      </c>
    </row>
    <row r="6202" spans="1:48">
      <c r="A6202" s="1">
        <f>HYPERLINK("https://lsnyc.legalserver.org/matter/dynamic-profile/view/1891795","19-1891795")</f>
        <v>0</v>
      </c>
      <c r="B6202" t="s">
        <v>82</v>
      </c>
      <c r="C6202" t="s">
        <v>256</v>
      </c>
      <c r="D6202" t="s">
        <v>383</v>
      </c>
      <c r="F6202" t="s">
        <v>1147</v>
      </c>
      <c r="G6202" t="s">
        <v>3394</v>
      </c>
      <c r="H6202" t="s">
        <v>5785</v>
      </c>
      <c r="J6202" t="s">
        <v>9059</v>
      </c>
      <c r="K6202">
        <v>11225</v>
      </c>
      <c r="L6202" t="s">
        <v>9094</v>
      </c>
      <c r="M6202" t="s">
        <v>9094</v>
      </c>
      <c r="N6202" t="s">
        <v>11061</v>
      </c>
      <c r="O6202" t="s">
        <v>11134</v>
      </c>
      <c r="P6202" t="s">
        <v>11168</v>
      </c>
      <c r="R6202" t="s">
        <v>11180</v>
      </c>
      <c r="S6202" t="s">
        <v>9094</v>
      </c>
      <c r="T6202" t="s">
        <v>11183</v>
      </c>
      <c r="V6202" t="s">
        <v>381</v>
      </c>
      <c r="W6202">
        <v>1552.37</v>
      </c>
      <c r="X6202" t="s">
        <v>11332</v>
      </c>
      <c r="Y6202" t="s">
        <v>11346</v>
      </c>
      <c r="Z6202" t="s">
        <v>15164</v>
      </c>
      <c r="AB6202" t="s">
        <v>19452</v>
      </c>
      <c r="AC6202">
        <v>89</v>
      </c>
      <c r="AD6202" t="s">
        <v>19566</v>
      </c>
      <c r="AF6202">
        <v>3</v>
      </c>
      <c r="AG6202">
        <v>1</v>
      </c>
      <c r="AH6202">
        <v>0</v>
      </c>
      <c r="AI6202">
        <v>528.42</v>
      </c>
      <c r="AL6202" t="s">
        <v>19614</v>
      </c>
      <c r="AM6202">
        <v>66000</v>
      </c>
      <c r="AS6202">
        <v>0.2</v>
      </c>
      <c r="AT6202" t="s">
        <v>523</v>
      </c>
      <c r="AU6202" t="s">
        <v>215</v>
      </c>
    </row>
    <row r="6203" spans="1:48">
      <c r="A6203" s="1">
        <f>HYPERLINK("https://lsnyc.legalserver.org/matter/dynamic-profile/view/1892956","19-1892956")</f>
        <v>0</v>
      </c>
      <c r="B6203" t="s">
        <v>82</v>
      </c>
      <c r="C6203" t="s">
        <v>256</v>
      </c>
      <c r="D6203" t="s">
        <v>523</v>
      </c>
      <c r="F6203" t="s">
        <v>1147</v>
      </c>
      <c r="G6203" t="s">
        <v>3394</v>
      </c>
      <c r="H6203" t="s">
        <v>5785</v>
      </c>
      <c r="J6203" t="s">
        <v>9059</v>
      </c>
      <c r="K6203">
        <v>11225</v>
      </c>
      <c r="L6203" t="s">
        <v>9094</v>
      </c>
      <c r="M6203" t="s">
        <v>9094</v>
      </c>
      <c r="N6203" t="s">
        <v>11060</v>
      </c>
      <c r="O6203" t="s">
        <v>11134</v>
      </c>
      <c r="P6203" t="s">
        <v>11168</v>
      </c>
      <c r="R6203" t="s">
        <v>11180</v>
      </c>
      <c r="S6203" t="s">
        <v>9094</v>
      </c>
      <c r="T6203" t="s">
        <v>11183</v>
      </c>
      <c r="V6203" t="s">
        <v>381</v>
      </c>
      <c r="W6203">
        <v>1552.37</v>
      </c>
      <c r="X6203" t="s">
        <v>11332</v>
      </c>
      <c r="Y6203" t="s">
        <v>11346</v>
      </c>
      <c r="Z6203" t="s">
        <v>15164</v>
      </c>
      <c r="AB6203" t="s">
        <v>19452</v>
      </c>
      <c r="AC6203">
        <v>89</v>
      </c>
      <c r="AD6203" t="s">
        <v>19566</v>
      </c>
      <c r="AF6203">
        <v>3</v>
      </c>
      <c r="AG6203">
        <v>1</v>
      </c>
      <c r="AH6203">
        <v>0</v>
      </c>
      <c r="AI6203">
        <v>528.42</v>
      </c>
      <c r="AL6203" t="s">
        <v>19614</v>
      </c>
      <c r="AM6203">
        <v>66000</v>
      </c>
      <c r="AS6203">
        <v>0</v>
      </c>
      <c r="AU6203" t="s">
        <v>215</v>
      </c>
    </row>
    <row r="6204" spans="1:48">
      <c r="A6204" s="1">
        <f>HYPERLINK("https://lsnyc.legalserver.org/matter/dynamic-profile/view/1887827","19-1887827")</f>
        <v>0</v>
      </c>
      <c r="B6204" t="s">
        <v>78</v>
      </c>
      <c r="C6204" t="s">
        <v>256</v>
      </c>
      <c r="D6204" t="s">
        <v>363</v>
      </c>
      <c r="F6204" t="s">
        <v>2493</v>
      </c>
      <c r="G6204" t="s">
        <v>3366</v>
      </c>
      <c r="H6204" t="s">
        <v>5785</v>
      </c>
      <c r="I6204" t="s">
        <v>9026</v>
      </c>
      <c r="J6204" t="s">
        <v>9059</v>
      </c>
      <c r="K6204">
        <v>11225</v>
      </c>
      <c r="L6204" t="s">
        <v>9094</v>
      </c>
      <c r="M6204" t="s">
        <v>9095</v>
      </c>
      <c r="O6204" t="s">
        <v>11134</v>
      </c>
      <c r="P6204" t="s">
        <v>11168</v>
      </c>
      <c r="R6204" t="s">
        <v>11180</v>
      </c>
      <c r="S6204" t="s">
        <v>9094</v>
      </c>
      <c r="T6204" t="s">
        <v>11183</v>
      </c>
      <c r="V6204" t="s">
        <v>412</v>
      </c>
      <c r="W6204">
        <v>1166.85</v>
      </c>
      <c r="X6204" t="s">
        <v>11332</v>
      </c>
      <c r="Z6204" t="s">
        <v>15179</v>
      </c>
      <c r="AB6204" t="s">
        <v>19468</v>
      </c>
      <c r="AC6204">
        <v>89</v>
      </c>
      <c r="AD6204" t="s">
        <v>19566</v>
      </c>
      <c r="AE6204" t="s">
        <v>9144</v>
      </c>
      <c r="AF6204">
        <v>30</v>
      </c>
      <c r="AG6204">
        <v>3</v>
      </c>
      <c r="AH6204">
        <v>0</v>
      </c>
      <c r="AI6204">
        <v>529.36</v>
      </c>
      <c r="AL6204" t="s">
        <v>19614</v>
      </c>
      <c r="AM6204">
        <v>110000</v>
      </c>
      <c r="AS6204">
        <v>0</v>
      </c>
      <c r="AU6204" t="s">
        <v>79</v>
      </c>
    </row>
    <row r="6205" spans="1:48">
      <c r="A6205" s="1">
        <f>HYPERLINK("https://lsnyc.legalserver.org/matter/dynamic-profile/view/1905679","19-1905679")</f>
        <v>0</v>
      </c>
      <c r="B6205" t="s">
        <v>82</v>
      </c>
      <c r="C6205" t="s">
        <v>256</v>
      </c>
      <c r="D6205" t="s">
        <v>328</v>
      </c>
      <c r="F6205" t="s">
        <v>2061</v>
      </c>
      <c r="G6205" t="s">
        <v>5619</v>
      </c>
      <c r="H6205" t="s">
        <v>6393</v>
      </c>
      <c r="I6205" t="s">
        <v>8149</v>
      </c>
      <c r="J6205" t="s">
        <v>9059</v>
      </c>
      <c r="K6205">
        <v>11226</v>
      </c>
      <c r="L6205" t="s">
        <v>9094</v>
      </c>
      <c r="M6205" t="s">
        <v>9095</v>
      </c>
      <c r="O6205" t="s">
        <v>11134</v>
      </c>
      <c r="P6205" t="s">
        <v>11168</v>
      </c>
      <c r="R6205" t="s">
        <v>11180</v>
      </c>
      <c r="S6205" t="s">
        <v>9094</v>
      </c>
      <c r="T6205" t="s">
        <v>11183</v>
      </c>
      <c r="V6205" t="s">
        <v>328</v>
      </c>
      <c r="W6205">
        <v>0</v>
      </c>
      <c r="X6205" t="s">
        <v>11332</v>
      </c>
      <c r="Z6205" t="s">
        <v>15180</v>
      </c>
      <c r="AB6205" t="s">
        <v>19469</v>
      </c>
      <c r="AC6205">
        <v>36</v>
      </c>
      <c r="AD6205" t="s">
        <v>19566</v>
      </c>
      <c r="AF6205">
        <v>0</v>
      </c>
      <c r="AG6205">
        <v>2</v>
      </c>
      <c r="AH6205">
        <v>0</v>
      </c>
      <c r="AI6205">
        <v>532.23</v>
      </c>
      <c r="AL6205" t="s">
        <v>19614</v>
      </c>
      <c r="AM6205">
        <v>90000</v>
      </c>
      <c r="AS6205">
        <v>0.2</v>
      </c>
      <c r="AT6205" t="s">
        <v>328</v>
      </c>
      <c r="AU6205" t="s">
        <v>67</v>
      </c>
    </row>
    <row r="6206" spans="1:48">
      <c r="A6206" s="1">
        <f>HYPERLINK("https://lsnyc.legalserver.org/matter/dynamic-profile/view/1914246","19-1914246")</f>
        <v>0</v>
      </c>
      <c r="B6206" t="s">
        <v>135</v>
      </c>
      <c r="C6206" t="s">
        <v>256</v>
      </c>
      <c r="D6206" t="s">
        <v>496</v>
      </c>
      <c r="F6206" t="s">
        <v>3282</v>
      </c>
      <c r="G6206" t="s">
        <v>5620</v>
      </c>
      <c r="H6206" t="s">
        <v>8088</v>
      </c>
      <c r="I6206" t="s">
        <v>8360</v>
      </c>
      <c r="J6206" t="s">
        <v>9067</v>
      </c>
      <c r="K6206">
        <v>10037</v>
      </c>
      <c r="L6206" t="s">
        <v>9094</v>
      </c>
      <c r="M6206" t="s">
        <v>9095</v>
      </c>
      <c r="O6206" t="s">
        <v>11130</v>
      </c>
      <c r="P6206" t="s">
        <v>11165</v>
      </c>
      <c r="R6206" t="s">
        <v>11180</v>
      </c>
      <c r="S6206" t="s">
        <v>9094</v>
      </c>
      <c r="T6206" t="s">
        <v>11183</v>
      </c>
      <c r="U6206" t="s">
        <v>11201</v>
      </c>
      <c r="V6206" t="s">
        <v>301</v>
      </c>
      <c r="W6206">
        <v>2850</v>
      </c>
      <c r="X6206" t="s">
        <v>11335</v>
      </c>
      <c r="Y6206" t="s">
        <v>11339</v>
      </c>
      <c r="Z6206" t="s">
        <v>15181</v>
      </c>
      <c r="AB6206" t="s">
        <v>19470</v>
      </c>
      <c r="AC6206">
        <v>259</v>
      </c>
      <c r="AD6206" t="s">
        <v>19566</v>
      </c>
      <c r="AE6206" t="s">
        <v>9144</v>
      </c>
      <c r="AF6206">
        <v>2</v>
      </c>
      <c r="AG6206">
        <v>2</v>
      </c>
      <c r="AH6206">
        <v>0</v>
      </c>
      <c r="AI6206">
        <v>532.23</v>
      </c>
      <c r="AL6206" t="s">
        <v>19614</v>
      </c>
      <c r="AM6206">
        <v>90000</v>
      </c>
      <c r="AS6206">
        <v>0</v>
      </c>
      <c r="AU6206" t="s">
        <v>20657</v>
      </c>
      <c r="AV6206" t="s">
        <v>20733</v>
      </c>
    </row>
    <row r="6207" spans="1:48">
      <c r="A6207" s="1">
        <f>HYPERLINK("https://lsnyc.legalserver.org/matter/dynamic-profile/view/1904206","19-1904206")</f>
        <v>0</v>
      </c>
      <c r="B6207" t="s">
        <v>136</v>
      </c>
      <c r="C6207" t="s">
        <v>256</v>
      </c>
      <c r="D6207" t="s">
        <v>312</v>
      </c>
      <c r="F6207" t="s">
        <v>3283</v>
      </c>
      <c r="G6207" t="s">
        <v>3473</v>
      </c>
      <c r="H6207" t="s">
        <v>6055</v>
      </c>
      <c r="I6207" t="s">
        <v>8151</v>
      </c>
      <c r="J6207" t="s">
        <v>9067</v>
      </c>
      <c r="K6207">
        <v>10024</v>
      </c>
      <c r="L6207" t="s">
        <v>9094</v>
      </c>
      <c r="M6207" t="s">
        <v>9095</v>
      </c>
      <c r="N6207" t="s">
        <v>9371</v>
      </c>
      <c r="O6207" t="s">
        <v>11134</v>
      </c>
      <c r="P6207" t="s">
        <v>11168</v>
      </c>
      <c r="R6207" t="s">
        <v>11180</v>
      </c>
      <c r="S6207" t="s">
        <v>9096</v>
      </c>
      <c r="T6207" t="s">
        <v>11183</v>
      </c>
      <c r="U6207" t="s">
        <v>11201</v>
      </c>
      <c r="V6207" t="s">
        <v>312</v>
      </c>
      <c r="W6207">
        <v>1300</v>
      </c>
      <c r="X6207" t="s">
        <v>11335</v>
      </c>
      <c r="Y6207" t="s">
        <v>11351</v>
      </c>
      <c r="Z6207" t="s">
        <v>12850</v>
      </c>
      <c r="AB6207" t="s">
        <v>19471</v>
      </c>
      <c r="AC6207">
        <v>10</v>
      </c>
      <c r="AD6207" t="s">
        <v>19566</v>
      </c>
      <c r="AE6207" t="s">
        <v>9144</v>
      </c>
      <c r="AF6207">
        <v>30</v>
      </c>
      <c r="AG6207">
        <v>2</v>
      </c>
      <c r="AH6207">
        <v>0</v>
      </c>
      <c r="AI6207">
        <v>532.23</v>
      </c>
      <c r="AL6207" t="s">
        <v>19614</v>
      </c>
      <c r="AM6207">
        <v>90000</v>
      </c>
      <c r="AS6207">
        <v>48.05</v>
      </c>
      <c r="AT6207" t="s">
        <v>992</v>
      </c>
      <c r="AU6207" t="s">
        <v>20657</v>
      </c>
      <c r="AV6207" t="s">
        <v>20733</v>
      </c>
    </row>
    <row r="6208" spans="1:48">
      <c r="A6208" s="1">
        <f>HYPERLINK("https://lsnyc.legalserver.org/matter/dynamic-profile/view/1887826","19-1887826")</f>
        <v>0</v>
      </c>
      <c r="B6208" t="s">
        <v>78</v>
      </c>
      <c r="C6208" t="s">
        <v>256</v>
      </c>
      <c r="D6208" t="s">
        <v>363</v>
      </c>
      <c r="F6208" t="s">
        <v>3280</v>
      </c>
      <c r="G6208" t="s">
        <v>5615</v>
      </c>
      <c r="H6208" t="s">
        <v>5785</v>
      </c>
      <c r="I6208" t="s">
        <v>8165</v>
      </c>
      <c r="J6208" t="s">
        <v>9059</v>
      </c>
      <c r="K6208">
        <v>11225</v>
      </c>
      <c r="L6208" t="s">
        <v>9094</v>
      </c>
      <c r="M6208" t="s">
        <v>9095</v>
      </c>
      <c r="N6208" t="s">
        <v>9170</v>
      </c>
      <c r="O6208" t="s">
        <v>11134</v>
      </c>
      <c r="P6208" t="s">
        <v>11168</v>
      </c>
      <c r="R6208" t="s">
        <v>11180</v>
      </c>
      <c r="S6208" t="s">
        <v>9094</v>
      </c>
      <c r="T6208" t="s">
        <v>11183</v>
      </c>
      <c r="W6208">
        <v>1740.79</v>
      </c>
      <c r="X6208" t="s">
        <v>11332</v>
      </c>
      <c r="Y6208" t="s">
        <v>11339</v>
      </c>
      <c r="Z6208" t="s">
        <v>15182</v>
      </c>
      <c r="AB6208" t="s">
        <v>19463</v>
      </c>
      <c r="AC6208">
        <v>89</v>
      </c>
      <c r="AD6208" t="s">
        <v>19566</v>
      </c>
      <c r="AE6208" t="s">
        <v>9144</v>
      </c>
      <c r="AF6208">
        <v>7</v>
      </c>
      <c r="AG6208">
        <v>1</v>
      </c>
      <c r="AH6208">
        <v>0</v>
      </c>
      <c r="AI6208">
        <v>535.42</v>
      </c>
      <c r="AL6208" t="s">
        <v>19614</v>
      </c>
      <c r="AM6208">
        <v>65000</v>
      </c>
      <c r="AS6208">
        <v>0</v>
      </c>
      <c r="AU6208" t="s">
        <v>79</v>
      </c>
    </row>
    <row r="6209" spans="1:48">
      <c r="A6209" s="1">
        <f>HYPERLINK("https://lsnyc.legalserver.org/matter/dynamic-profile/view/1876766","18-1876766")</f>
        <v>0</v>
      </c>
      <c r="B6209" t="s">
        <v>165</v>
      </c>
      <c r="C6209" t="s">
        <v>256</v>
      </c>
      <c r="D6209" t="s">
        <v>500</v>
      </c>
      <c r="F6209" t="s">
        <v>1641</v>
      </c>
      <c r="G6209" t="s">
        <v>5621</v>
      </c>
      <c r="H6209" t="s">
        <v>6934</v>
      </c>
      <c r="I6209" t="s">
        <v>8202</v>
      </c>
      <c r="J6209" t="s">
        <v>9059</v>
      </c>
      <c r="K6209">
        <v>11216</v>
      </c>
      <c r="L6209" t="s">
        <v>9094</v>
      </c>
      <c r="M6209" t="s">
        <v>9094</v>
      </c>
      <c r="N6209" t="s">
        <v>10050</v>
      </c>
      <c r="O6209" t="s">
        <v>11132</v>
      </c>
      <c r="P6209" t="s">
        <v>11165</v>
      </c>
      <c r="R6209" t="s">
        <v>11180</v>
      </c>
      <c r="S6209" t="s">
        <v>9094</v>
      </c>
      <c r="T6209" t="s">
        <v>11183</v>
      </c>
      <c r="V6209" t="s">
        <v>419</v>
      </c>
      <c r="W6209">
        <v>2450</v>
      </c>
      <c r="X6209" t="s">
        <v>11332</v>
      </c>
      <c r="Y6209" t="s">
        <v>11339</v>
      </c>
      <c r="Z6209" t="s">
        <v>15183</v>
      </c>
      <c r="AC6209">
        <v>82</v>
      </c>
      <c r="AD6209" t="s">
        <v>19566</v>
      </c>
      <c r="AE6209" t="s">
        <v>9144</v>
      </c>
      <c r="AF6209">
        <v>1</v>
      </c>
      <c r="AG6209">
        <v>1</v>
      </c>
      <c r="AH6209">
        <v>0</v>
      </c>
      <c r="AI6209">
        <v>535.42</v>
      </c>
      <c r="AJ6209" t="s">
        <v>440</v>
      </c>
      <c r="AK6209" t="s">
        <v>19612</v>
      </c>
      <c r="AL6209" t="s">
        <v>19614</v>
      </c>
      <c r="AM6209">
        <v>65000</v>
      </c>
      <c r="AN6209" t="s">
        <v>19720</v>
      </c>
      <c r="AS6209">
        <v>0</v>
      </c>
      <c r="AU6209" t="s">
        <v>95</v>
      </c>
    </row>
    <row r="6210" spans="1:48">
      <c r="A6210" s="1">
        <f>HYPERLINK("https://lsnyc.legalserver.org/matter/dynamic-profile/view/1876749","18-1876749")</f>
        <v>0</v>
      </c>
      <c r="B6210" t="s">
        <v>165</v>
      </c>
      <c r="C6210" t="s">
        <v>256</v>
      </c>
      <c r="D6210" t="s">
        <v>500</v>
      </c>
      <c r="F6210" t="s">
        <v>1641</v>
      </c>
      <c r="G6210" t="s">
        <v>5621</v>
      </c>
      <c r="H6210" t="s">
        <v>6934</v>
      </c>
      <c r="I6210" t="s">
        <v>8202</v>
      </c>
      <c r="J6210" t="s">
        <v>9059</v>
      </c>
      <c r="K6210">
        <v>11216</v>
      </c>
      <c r="L6210" t="s">
        <v>9094</v>
      </c>
      <c r="M6210" t="s">
        <v>9094</v>
      </c>
      <c r="O6210" t="s">
        <v>9121</v>
      </c>
      <c r="P6210" t="s">
        <v>11167</v>
      </c>
      <c r="R6210" t="s">
        <v>11180</v>
      </c>
      <c r="T6210" t="s">
        <v>11183</v>
      </c>
      <c r="V6210" t="s">
        <v>419</v>
      </c>
      <c r="W6210">
        <v>2450</v>
      </c>
      <c r="X6210" t="s">
        <v>11332</v>
      </c>
      <c r="Y6210" t="s">
        <v>11339</v>
      </c>
      <c r="Z6210" t="s">
        <v>15183</v>
      </c>
      <c r="AC6210">
        <v>82</v>
      </c>
      <c r="AD6210" t="s">
        <v>19566</v>
      </c>
      <c r="AE6210" t="s">
        <v>9144</v>
      </c>
      <c r="AF6210">
        <v>1</v>
      </c>
      <c r="AG6210">
        <v>1</v>
      </c>
      <c r="AH6210">
        <v>0</v>
      </c>
      <c r="AI6210">
        <v>535.42</v>
      </c>
      <c r="AJ6210" t="s">
        <v>440</v>
      </c>
      <c r="AK6210" t="s">
        <v>19612</v>
      </c>
      <c r="AL6210" t="s">
        <v>19614</v>
      </c>
      <c r="AM6210">
        <v>65000</v>
      </c>
      <c r="AN6210" t="s">
        <v>19720</v>
      </c>
      <c r="AS6210">
        <v>0</v>
      </c>
      <c r="AU6210" t="s">
        <v>95</v>
      </c>
    </row>
    <row r="6211" spans="1:48">
      <c r="A6211" s="1">
        <f>HYPERLINK("https://lsnyc.legalserver.org/matter/dynamic-profile/view/1871396","18-1871396")</f>
        <v>0</v>
      </c>
      <c r="B6211" t="s">
        <v>103</v>
      </c>
      <c r="C6211" t="s">
        <v>257</v>
      </c>
      <c r="D6211" t="s">
        <v>767</v>
      </c>
      <c r="E6211" t="s">
        <v>275</v>
      </c>
      <c r="F6211" t="s">
        <v>1711</v>
      </c>
      <c r="G6211" t="s">
        <v>5622</v>
      </c>
      <c r="H6211" t="s">
        <v>5854</v>
      </c>
      <c r="I6211" t="s">
        <v>8302</v>
      </c>
      <c r="J6211" t="s">
        <v>9065</v>
      </c>
      <c r="K6211">
        <v>10468</v>
      </c>
      <c r="L6211" t="s">
        <v>9094</v>
      </c>
      <c r="M6211" t="s">
        <v>9094</v>
      </c>
      <c r="O6211" t="s">
        <v>11135</v>
      </c>
      <c r="P6211" t="s">
        <v>11168</v>
      </c>
      <c r="Q6211" t="s">
        <v>11176</v>
      </c>
      <c r="R6211" t="s">
        <v>11180</v>
      </c>
      <c r="S6211" t="s">
        <v>9094</v>
      </c>
      <c r="T6211" t="s">
        <v>11183</v>
      </c>
      <c r="V6211" t="s">
        <v>808</v>
      </c>
      <c r="W6211">
        <v>1613.2</v>
      </c>
      <c r="X6211" t="s">
        <v>11333</v>
      </c>
      <c r="Y6211" t="s">
        <v>11346</v>
      </c>
      <c r="Z6211" t="s">
        <v>15184</v>
      </c>
      <c r="AB6211" t="s">
        <v>19472</v>
      </c>
      <c r="AC6211">
        <v>58</v>
      </c>
      <c r="AD6211" t="s">
        <v>19566</v>
      </c>
      <c r="AE6211" t="s">
        <v>9144</v>
      </c>
      <c r="AF6211">
        <v>20</v>
      </c>
      <c r="AG6211">
        <v>1</v>
      </c>
      <c r="AH6211">
        <v>0</v>
      </c>
      <c r="AI6211">
        <v>535.42</v>
      </c>
      <c r="AL6211" t="s">
        <v>19615</v>
      </c>
      <c r="AM6211">
        <v>65000</v>
      </c>
      <c r="AS6211">
        <v>0.8</v>
      </c>
      <c r="AT6211" t="s">
        <v>275</v>
      </c>
      <c r="AU6211" t="s">
        <v>20642</v>
      </c>
    </row>
    <row r="6212" spans="1:48">
      <c r="A6212" s="1">
        <f>HYPERLINK("https://lsnyc.legalserver.org/matter/dynamic-profile/view/1871390","18-1871390")</f>
        <v>0</v>
      </c>
      <c r="B6212" t="s">
        <v>103</v>
      </c>
      <c r="C6212" t="s">
        <v>257</v>
      </c>
      <c r="D6212" t="s">
        <v>767</v>
      </c>
      <c r="E6212" t="s">
        <v>275</v>
      </c>
      <c r="F6212" t="s">
        <v>1711</v>
      </c>
      <c r="G6212" t="s">
        <v>5622</v>
      </c>
      <c r="H6212" t="s">
        <v>5854</v>
      </c>
      <c r="I6212" t="s">
        <v>8302</v>
      </c>
      <c r="J6212" t="s">
        <v>9065</v>
      </c>
      <c r="K6212">
        <v>10468</v>
      </c>
      <c r="L6212" t="s">
        <v>9094</v>
      </c>
      <c r="M6212" t="s">
        <v>9094</v>
      </c>
      <c r="N6212" t="s">
        <v>9219</v>
      </c>
      <c r="O6212" t="s">
        <v>11130</v>
      </c>
      <c r="P6212" t="s">
        <v>11165</v>
      </c>
      <c r="Q6212" t="s">
        <v>11174</v>
      </c>
      <c r="R6212" t="s">
        <v>11180</v>
      </c>
      <c r="S6212" t="s">
        <v>9094</v>
      </c>
      <c r="T6212" t="s">
        <v>11183</v>
      </c>
      <c r="U6212" t="s">
        <v>11201</v>
      </c>
      <c r="V6212" t="s">
        <v>767</v>
      </c>
      <c r="W6212">
        <v>1613.2</v>
      </c>
      <c r="X6212" t="s">
        <v>11333</v>
      </c>
      <c r="Y6212" t="s">
        <v>11346</v>
      </c>
      <c r="Z6212" t="s">
        <v>15184</v>
      </c>
      <c r="AB6212" t="s">
        <v>19472</v>
      </c>
      <c r="AC6212">
        <v>58</v>
      </c>
      <c r="AD6212" t="s">
        <v>19566</v>
      </c>
      <c r="AE6212" t="s">
        <v>9144</v>
      </c>
      <c r="AF6212">
        <v>20</v>
      </c>
      <c r="AG6212">
        <v>1</v>
      </c>
      <c r="AH6212">
        <v>0</v>
      </c>
      <c r="AI6212">
        <v>535.42</v>
      </c>
      <c r="AL6212" t="s">
        <v>19615</v>
      </c>
      <c r="AM6212">
        <v>65000</v>
      </c>
      <c r="AS6212">
        <v>0.8</v>
      </c>
      <c r="AT6212" t="s">
        <v>275</v>
      </c>
      <c r="AU6212" t="s">
        <v>20642</v>
      </c>
    </row>
    <row r="6213" spans="1:48">
      <c r="A6213" s="1">
        <f>HYPERLINK("https://lsnyc.legalserver.org/matter/dynamic-profile/view/1863590","18-1863590")</f>
        <v>0</v>
      </c>
      <c r="B6213" t="s">
        <v>115</v>
      </c>
      <c r="C6213" t="s">
        <v>256</v>
      </c>
      <c r="D6213" t="s">
        <v>595</v>
      </c>
      <c r="F6213" t="s">
        <v>2003</v>
      </c>
      <c r="G6213" t="s">
        <v>3533</v>
      </c>
      <c r="H6213" t="s">
        <v>5908</v>
      </c>
      <c r="I6213" t="s">
        <v>8475</v>
      </c>
      <c r="J6213" t="s">
        <v>9065</v>
      </c>
      <c r="K6213">
        <v>10451</v>
      </c>
      <c r="L6213" t="s">
        <v>9094</v>
      </c>
      <c r="M6213" t="s">
        <v>9095</v>
      </c>
      <c r="O6213" t="s">
        <v>11137</v>
      </c>
      <c r="P6213" t="s">
        <v>11166</v>
      </c>
      <c r="R6213" t="s">
        <v>11180</v>
      </c>
      <c r="S6213" t="s">
        <v>9096</v>
      </c>
      <c r="T6213" t="s">
        <v>11183</v>
      </c>
      <c r="V6213" t="s">
        <v>588</v>
      </c>
      <c r="W6213">
        <v>1064.5</v>
      </c>
      <c r="X6213" t="s">
        <v>11333</v>
      </c>
      <c r="Y6213" t="s">
        <v>11338</v>
      </c>
      <c r="Z6213" t="s">
        <v>13860</v>
      </c>
      <c r="AB6213" t="s">
        <v>19473</v>
      </c>
      <c r="AC6213">
        <v>81</v>
      </c>
      <c r="AD6213" t="s">
        <v>19566</v>
      </c>
      <c r="AE6213" t="s">
        <v>9144</v>
      </c>
      <c r="AF6213">
        <v>21</v>
      </c>
      <c r="AG6213">
        <v>1</v>
      </c>
      <c r="AH6213">
        <v>0</v>
      </c>
      <c r="AI6213">
        <v>535.42</v>
      </c>
      <c r="AL6213" t="s">
        <v>19614</v>
      </c>
      <c r="AM6213">
        <v>65000</v>
      </c>
      <c r="AN6213" t="s">
        <v>20266</v>
      </c>
      <c r="AS6213">
        <v>16.3</v>
      </c>
      <c r="AT6213" t="s">
        <v>418</v>
      </c>
      <c r="AU6213" t="s">
        <v>174</v>
      </c>
    </row>
    <row r="6214" spans="1:48">
      <c r="A6214" s="1">
        <f>HYPERLINK("https://lsnyc.legalserver.org/matter/dynamic-profile/view/1874199","18-1874199")</f>
        <v>0</v>
      </c>
      <c r="B6214" t="s">
        <v>132</v>
      </c>
      <c r="C6214" t="s">
        <v>257</v>
      </c>
      <c r="D6214" t="s">
        <v>585</v>
      </c>
      <c r="E6214" t="s">
        <v>331</v>
      </c>
      <c r="F6214" t="s">
        <v>2174</v>
      </c>
      <c r="G6214" t="s">
        <v>1532</v>
      </c>
      <c r="H6214" t="s">
        <v>5953</v>
      </c>
      <c r="I6214" t="s">
        <v>9027</v>
      </c>
      <c r="J6214" t="s">
        <v>9067</v>
      </c>
      <c r="K6214">
        <v>10033</v>
      </c>
      <c r="L6214" t="s">
        <v>9094</v>
      </c>
      <c r="M6214" t="s">
        <v>9094</v>
      </c>
      <c r="O6214" t="s">
        <v>11130</v>
      </c>
      <c r="P6214" t="s">
        <v>11165</v>
      </c>
      <c r="Q6214" t="s">
        <v>11178</v>
      </c>
      <c r="R6214" t="s">
        <v>11180</v>
      </c>
      <c r="S6214" t="s">
        <v>9094</v>
      </c>
      <c r="T6214" t="s">
        <v>11183</v>
      </c>
      <c r="V6214" t="s">
        <v>585</v>
      </c>
      <c r="W6214">
        <v>2595</v>
      </c>
      <c r="X6214" t="s">
        <v>11335</v>
      </c>
      <c r="Y6214" t="s">
        <v>11339</v>
      </c>
      <c r="Z6214" t="s">
        <v>15185</v>
      </c>
      <c r="AB6214" t="s">
        <v>19474</v>
      </c>
      <c r="AC6214">
        <v>232</v>
      </c>
      <c r="AD6214" t="s">
        <v>19566</v>
      </c>
      <c r="AE6214" t="s">
        <v>9144</v>
      </c>
      <c r="AF6214">
        <v>1</v>
      </c>
      <c r="AG6214">
        <v>1</v>
      </c>
      <c r="AH6214">
        <v>0</v>
      </c>
      <c r="AI6214">
        <v>535.42</v>
      </c>
      <c r="AL6214" t="s">
        <v>19614</v>
      </c>
      <c r="AM6214">
        <v>65000</v>
      </c>
      <c r="AS6214">
        <v>0.7</v>
      </c>
      <c r="AT6214" t="s">
        <v>521</v>
      </c>
      <c r="AU6214" t="s">
        <v>130</v>
      </c>
      <c r="AV6214" t="s">
        <v>20733</v>
      </c>
    </row>
    <row r="6215" spans="1:48">
      <c r="A6215" s="1">
        <f>HYPERLINK("https://lsnyc.legalserver.org/matter/dynamic-profile/view/1899152","19-1899152")</f>
        <v>0</v>
      </c>
      <c r="B6215" t="s">
        <v>98</v>
      </c>
      <c r="C6215" t="s">
        <v>257</v>
      </c>
      <c r="D6215" t="s">
        <v>492</v>
      </c>
      <c r="E6215" t="s">
        <v>574</v>
      </c>
      <c r="F6215" t="s">
        <v>3284</v>
      </c>
      <c r="G6215" t="s">
        <v>1248</v>
      </c>
      <c r="H6215" t="s">
        <v>6081</v>
      </c>
      <c r="I6215" t="s">
        <v>8119</v>
      </c>
      <c r="J6215" t="s">
        <v>9065</v>
      </c>
      <c r="K6215">
        <v>10452</v>
      </c>
      <c r="L6215" t="s">
        <v>9094</v>
      </c>
      <c r="M6215" t="s">
        <v>9095</v>
      </c>
      <c r="O6215" t="s">
        <v>11134</v>
      </c>
      <c r="P6215" t="s">
        <v>11167</v>
      </c>
      <c r="Q6215" t="s">
        <v>11173</v>
      </c>
      <c r="R6215" t="s">
        <v>11180</v>
      </c>
      <c r="S6215" t="s">
        <v>9094</v>
      </c>
      <c r="T6215" t="s">
        <v>11183</v>
      </c>
      <c r="V6215" t="s">
        <v>299</v>
      </c>
      <c r="W6215">
        <v>1477.27</v>
      </c>
      <c r="X6215" t="s">
        <v>11333</v>
      </c>
      <c r="Y6215" t="s">
        <v>11346</v>
      </c>
      <c r="Z6215" t="s">
        <v>15186</v>
      </c>
      <c r="AB6215" t="s">
        <v>19475</v>
      </c>
      <c r="AC6215">
        <v>41</v>
      </c>
      <c r="AD6215" t="s">
        <v>19566</v>
      </c>
      <c r="AE6215" t="s">
        <v>9144</v>
      </c>
      <c r="AF6215">
        <v>12</v>
      </c>
      <c r="AG6215">
        <v>1</v>
      </c>
      <c r="AH6215">
        <v>0</v>
      </c>
      <c r="AI6215">
        <v>536.4299999999999</v>
      </c>
      <c r="AL6215" t="s">
        <v>19614</v>
      </c>
      <c r="AM6215">
        <v>67000</v>
      </c>
      <c r="AS6215">
        <v>0.25</v>
      </c>
      <c r="AT6215" t="s">
        <v>410</v>
      </c>
      <c r="AU6215" t="s">
        <v>20642</v>
      </c>
      <c r="AV6215" t="s">
        <v>20733</v>
      </c>
    </row>
    <row r="6216" spans="1:48">
      <c r="A6216" s="1">
        <f>HYPERLINK("https://lsnyc.legalserver.org/matter/dynamic-profile/view/1876539","18-1876539")</f>
        <v>0</v>
      </c>
      <c r="B6216" t="s">
        <v>165</v>
      </c>
      <c r="C6216" t="s">
        <v>256</v>
      </c>
      <c r="D6216" t="s">
        <v>1061</v>
      </c>
      <c r="F6216" t="s">
        <v>3285</v>
      </c>
      <c r="G6216" t="s">
        <v>5623</v>
      </c>
      <c r="H6216" t="s">
        <v>6934</v>
      </c>
      <c r="I6216" t="s">
        <v>8264</v>
      </c>
      <c r="J6216" t="s">
        <v>9059</v>
      </c>
      <c r="K6216">
        <v>11216</v>
      </c>
      <c r="L6216" t="s">
        <v>9094</v>
      </c>
      <c r="M6216" t="s">
        <v>9094</v>
      </c>
      <c r="N6216" t="s">
        <v>9121</v>
      </c>
      <c r="O6216" t="s">
        <v>9121</v>
      </c>
      <c r="P6216" t="s">
        <v>11167</v>
      </c>
      <c r="R6216" t="s">
        <v>11180</v>
      </c>
      <c r="S6216" t="s">
        <v>9094</v>
      </c>
      <c r="T6216" t="s">
        <v>11183</v>
      </c>
      <c r="V6216" t="s">
        <v>11328</v>
      </c>
      <c r="W6216">
        <v>2300</v>
      </c>
      <c r="X6216" t="s">
        <v>11332</v>
      </c>
      <c r="Y6216" t="s">
        <v>11339</v>
      </c>
      <c r="Z6216" t="s">
        <v>15187</v>
      </c>
      <c r="AB6216" t="s">
        <v>19476</v>
      </c>
      <c r="AC6216">
        <v>8</v>
      </c>
      <c r="AD6216" t="s">
        <v>19566</v>
      </c>
      <c r="AE6216" t="s">
        <v>9144</v>
      </c>
      <c r="AF6216">
        <v>2</v>
      </c>
      <c r="AG6216">
        <v>2</v>
      </c>
      <c r="AH6216">
        <v>2</v>
      </c>
      <c r="AI6216">
        <v>537.85</v>
      </c>
      <c r="AJ6216" t="s">
        <v>440</v>
      </c>
      <c r="AK6216" t="s">
        <v>19612</v>
      </c>
      <c r="AL6216" t="s">
        <v>19614</v>
      </c>
      <c r="AM6216">
        <v>135000</v>
      </c>
      <c r="AN6216" t="s">
        <v>19720</v>
      </c>
      <c r="AS6216">
        <v>0</v>
      </c>
      <c r="AU6216" t="s">
        <v>95</v>
      </c>
    </row>
    <row r="6217" spans="1:48">
      <c r="A6217" s="1">
        <f>HYPERLINK("https://lsnyc.legalserver.org/matter/dynamic-profile/view/1838174","17-1838174")</f>
        <v>0</v>
      </c>
      <c r="B6217" t="s">
        <v>103</v>
      </c>
      <c r="C6217" t="s">
        <v>256</v>
      </c>
      <c r="D6217" t="s">
        <v>277</v>
      </c>
      <c r="F6217" t="s">
        <v>1534</v>
      </c>
      <c r="G6217" t="s">
        <v>5204</v>
      </c>
      <c r="H6217" t="s">
        <v>6927</v>
      </c>
      <c r="I6217" t="s">
        <v>9028</v>
      </c>
      <c r="J6217" t="s">
        <v>9065</v>
      </c>
      <c r="K6217">
        <v>10473</v>
      </c>
      <c r="L6217" t="s">
        <v>9094</v>
      </c>
      <c r="M6217" t="s">
        <v>9095</v>
      </c>
      <c r="N6217" t="s">
        <v>10045</v>
      </c>
      <c r="O6217" t="s">
        <v>11135</v>
      </c>
      <c r="P6217" t="s">
        <v>11168</v>
      </c>
      <c r="R6217" t="s">
        <v>11180</v>
      </c>
      <c r="S6217" t="s">
        <v>9094</v>
      </c>
      <c r="T6217" t="s">
        <v>11183</v>
      </c>
      <c r="V6217" t="s">
        <v>11223</v>
      </c>
      <c r="W6217">
        <v>1107.16</v>
      </c>
      <c r="X6217" t="s">
        <v>11333</v>
      </c>
      <c r="Y6217" t="s">
        <v>11351</v>
      </c>
      <c r="Z6217" t="s">
        <v>15188</v>
      </c>
      <c r="AB6217" t="s">
        <v>19477</v>
      </c>
      <c r="AC6217">
        <v>976</v>
      </c>
      <c r="AD6217" t="s">
        <v>19566</v>
      </c>
      <c r="AE6217" t="s">
        <v>9144</v>
      </c>
      <c r="AF6217">
        <v>16</v>
      </c>
      <c r="AG6217">
        <v>1</v>
      </c>
      <c r="AH6217">
        <v>0</v>
      </c>
      <c r="AI6217">
        <v>538.97</v>
      </c>
      <c r="AJ6217" t="s">
        <v>936</v>
      </c>
      <c r="AL6217" t="s">
        <v>19614</v>
      </c>
      <c r="AM6217">
        <v>65000</v>
      </c>
      <c r="AS6217">
        <v>0</v>
      </c>
      <c r="AU6217" t="s">
        <v>20643</v>
      </c>
    </row>
    <row r="6218" spans="1:48">
      <c r="A6218" s="1">
        <f>HYPERLINK("https://lsnyc.legalserver.org/matter/dynamic-profile/view/1902983","19-1902983")</f>
        <v>0</v>
      </c>
      <c r="B6218" t="s">
        <v>86</v>
      </c>
      <c r="C6218" t="s">
        <v>256</v>
      </c>
      <c r="D6218" t="s">
        <v>403</v>
      </c>
      <c r="F6218" t="s">
        <v>1805</v>
      </c>
      <c r="G6218" t="s">
        <v>5624</v>
      </c>
      <c r="H6218" t="s">
        <v>7787</v>
      </c>
      <c r="I6218" t="s">
        <v>8170</v>
      </c>
      <c r="J6218" t="s">
        <v>9059</v>
      </c>
      <c r="K6218">
        <v>11213</v>
      </c>
      <c r="L6218" t="s">
        <v>9094</v>
      </c>
      <c r="M6218" t="s">
        <v>9095</v>
      </c>
      <c r="O6218" t="s">
        <v>11129</v>
      </c>
      <c r="P6218" t="s">
        <v>11165</v>
      </c>
      <c r="R6218" t="s">
        <v>11180</v>
      </c>
      <c r="S6218" t="s">
        <v>9096</v>
      </c>
      <c r="T6218" t="s">
        <v>11183</v>
      </c>
      <c r="V6218" t="s">
        <v>403</v>
      </c>
      <c r="W6218">
        <v>0</v>
      </c>
      <c r="X6218" t="s">
        <v>11332</v>
      </c>
      <c r="Z6218" t="s">
        <v>15189</v>
      </c>
      <c r="AB6218" t="s">
        <v>19478</v>
      </c>
      <c r="AC6218">
        <v>0</v>
      </c>
      <c r="AF6218">
        <v>0</v>
      </c>
      <c r="AG6218">
        <v>1</v>
      </c>
      <c r="AH6218">
        <v>0</v>
      </c>
      <c r="AI6218">
        <v>541.23</v>
      </c>
      <c r="AM6218">
        <v>67600</v>
      </c>
      <c r="AS6218">
        <v>3</v>
      </c>
      <c r="AT6218" t="s">
        <v>760</v>
      </c>
      <c r="AU6218" t="s">
        <v>215</v>
      </c>
    </row>
    <row r="6219" spans="1:48">
      <c r="A6219" s="1">
        <f>HYPERLINK("https://lsnyc.legalserver.org/matter/dynamic-profile/view/1890634","19-1890634")</f>
        <v>0</v>
      </c>
      <c r="B6219" t="s">
        <v>70</v>
      </c>
      <c r="C6219" t="s">
        <v>256</v>
      </c>
      <c r="D6219" t="s">
        <v>695</v>
      </c>
      <c r="F6219" t="s">
        <v>1197</v>
      </c>
      <c r="G6219" t="s">
        <v>2412</v>
      </c>
      <c r="H6219" t="s">
        <v>5749</v>
      </c>
      <c r="I6219" t="s">
        <v>8446</v>
      </c>
      <c r="J6219" t="s">
        <v>9059</v>
      </c>
      <c r="K6219">
        <v>11233</v>
      </c>
      <c r="L6219" t="s">
        <v>9094</v>
      </c>
      <c r="M6219" t="s">
        <v>9096</v>
      </c>
      <c r="N6219" t="s">
        <v>9146</v>
      </c>
      <c r="O6219" t="s">
        <v>11134</v>
      </c>
      <c r="P6219" t="s">
        <v>11168</v>
      </c>
      <c r="R6219" t="s">
        <v>11180</v>
      </c>
      <c r="S6219" t="s">
        <v>9094</v>
      </c>
      <c r="T6219" t="s">
        <v>11183</v>
      </c>
      <c r="U6219" t="s">
        <v>11201</v>
      </c>
      <c r="V6219" t="s">
        <v>482</v>
      </c>
      <c r="W6219">
        <v>776.46</v>
      </c>
      <c r="X6219" t="s">
        <v>11332</v>
      </c>
      <c r="Y6219" t="s">
        <v>11157</v>
      </c>
      <c r="Z6219" t="s">
        <v>15190</v>
      </c>
      <c r="AC6219">
        <v>359</v>
      </c>
      <c r="AD6219" t="s">
        <v>19566</v>
      </c>
      <c r="AE6219" t="s">
        <v>9144</v>
      </c>
      <c r="AF6219">
        <v>2</v>
      </c>
      <c r="AG6219">
        <v>2</v>
      </c>
      <c r="AH6219">
        <v>0</v>
      </c>
      <c r="AI6219">
        <v>543.35</v>
      </c>
      <c r="AL6219" t="s">
        <v>19614</v>
      </c>
      <c r="AM6219">
        <v>91879.89999999999</v>
      </c>
      <c r="AN6219" t="s">
        <v>20267</v>
      </c>
      <c r="AS6219">
        <v>0</v>
      </c>
      <c r="AU6219" t="s">
        <v>79</v>
      </c>
      <c r="AV6219" t="s">
        <v>9144</v>
      </c>
    </row>
    <row r="6220" spans="1:48">
      <c r="A6220" s="1">
        <f>HYPERLINK("https://lsnyc.legalserver.org/matter/dynamic-profile/view/1891621","19-1891621")</f>
        <v>0</v>
      </c>
      <c r="B6220" t="s">
        <v>70</v>
      </c>
      <c r="C6220" t="s">
        <v>256</v>
      </c>
      <c r="D6220" t="s">
        <v>788</v>
      </c>
      <c r="F6220" t="s">
        <v>1197</v>
      </c>
      <c r="G6220" t="s">
        <v>2412</v>
      </c>
      <c r="H6220" t="s">
        <v>5749</v>
      </c>
      <c r="I6220" t="s">
        <v>8446</v>
      </c>
      <c r="J6220" t="s">
        <v>9059</v>
      </c>
      <c r="K6220">
        <v>11233</v>
      </c>
      <c r="L6220" t="s">
        <v>9094</v>
      </c>
      <c r="M6220" t="s">
        <v>9096</v>
      </c>
      <c r="O6220" t="s">
        <v>11137</v>
      </c>
      <c r="P6220" t="s">
        <v>11167</v>
      </c>
      <c r="R6220" t="s">
        <v>11180</v>
      </c>
      <c r="S6220" t="s">
        <v>9094</v>
      </c>
      <c r="T6220" t="s">
        <v>11183</v>
      </c>
      <c r="U6220" t="s">
        <v>11201</v>
      </c>
      <c r="V6220" t="s">
        <v>482</v>
      </c>
      <c r="W6220">
        <v>776.46</v>
      </c>
      <c r="X6220" t="s">
        <v>11332</v>
      </c>
      <c r="Y6220" t="s">
        <v>11157</v>
      </c>
      <c r="Z6220" t="s">
        <v>15190</v>
      </c>
      <c r="AA6220" t="s">
        <v>9144</v>
      </c>
      <c r="AC6220">
        <v>359</v>
      </c>
      <c r="AD6220" t="s">
        <v>19566</v>
      </c>
      <c r="AE6220" t="s">
        <v>9144</v>
      </c>
      <c r="AF6220">
        <v>2</v>
      </c>
      <c r="AG6220">
        <v>2</v>
      </c>
      <c r="AH6220">
        <v>0</v>
      </c>
      <c r="AI6220">
        <v>543.35</v>
      </c>
      <c r="AL6220" t="s">
        <v>19614</v>
      </c>
      <c r="AM6220">
        <v>91879.89999999999</v>
      </c>
      <c r="AN6220" t="s">
        <v>20268</v>
      </c>
      <c r="AS6220">
        <v>0</v>
      </c>
      <c r="AU6220" t="s">
        <v>79</v>
      </c>
      <c r="AV6220" t="s">
        <v>9144</v>
      </c>
    </row>
    <row r="6221" spans="1:48">
      <c r="A6221" s="1">
        <f>HYPERLINK("https://lsnyc.legalserver.org/matter/dynamic-profile/view/1876746","18-1876746")</f>
        <v>0</v>
      </c>
      <c r="B6221" t="s">
        <v>165</v>
      </c>
      <c r="C6221" t="s">
        <v>256</v>
      </c>
      <c r="D6221" t="s">
        <v>500</v>
      </c>
      <c r="F6221" t="s">
        <v>3286</v>
      </c>
      <c r="G6221" t="s">
        <v>5625</v>
      </c>
      <c r="H6221" t="s">
        <v>6934</v>
      </c>
      <c r="I6221" t="s">
        <v>9029</v>
      </c>
      <c r="J6221" t="s">
        <v>9059</v>
      </c>
      <c r="K6221">
        <v>11216</v>
      </c>
      <c r="L6221" t="s">
        <v>9094</v>
      </c>
      <c r="M6221" t="s">
        <v>9094</v>
      </c>
      <c r="N6221" t="s">
        <v>10050</v>
      </c>
      <c r="O6221" t="s">
        <v>11132</v>
      </c>
      <c r="P6221" t="s">
        <v>11165</v>
      </c>
      <c r="R6221" t="s">
        <v>11180</v>
      </c>
      <c r="S6221" t="s">
        <v>9094</v>
      </c>
      <c r="T6221" t="s">
        <v>11183</v>
      </c>
      <c r="V6221" t="s">
        <v>688</v>
      </c>
      <c r="W6221">
        <v>1575</v>
      </c>
      <c r="X6221" t="s">
        <v>11332</v>
      </c>
      <c r="Y6221" t="s">
        <v>11339</v>
      </c>
      <c r="Z6221" t="s">
        <v>15191</v>
      </c>
      <c r="AB6221" t="s">
        <v>19479</v>
      </c>
      <c r="AC6221">
        <v>82</v>
      </c>
      <c r="AD6221" t="s">
        <v>19566</v>
      </c>
      <c r="AE6221" t="s">
        <v>9144</v>
      </c>
      <c r="AF6221">
        <v>2</v>
      </c>
      <c r="AG6221">
        <v>1</v>
      </c>
      <c r="AH6221">
        <v>0</v>
      </c>
      <c r="AI6221">
        <v>543.66</v>
      </c>
      <c r="AJ6221" t="s">
        <v>440</v>
      </c>
      <c r="AK6221" t="s">
        <v>19612</v>
      </c>
      <c r="AL6221" t="s">
        <v>19614</v>
      </c>
      <c r="AM6221">
        <v>66000</v>
      </c>
      <c r="AN6221" t="s">
        <v>19720</v>
      </c>
      <c r="AS6221">
        <v>0</v>
      </c>
      <c r="AU6221" t="s">
        <v>95</v>
      </c>
    </row>
    <row r="6222" spans="1:48">
      <c r="A6222" s="1">
        <f>HYPERLINK("https://lsnyc.legalserver.org/matter/dynamic-profile/view/1876744","18-1876744")</f>
        <v>0</v>
      </c>
      <c r="B6222" t="s">
        <v>165</v>
      </c>
      <c r="C6222" t="s">
        <v>256</v>
      </c>
      <c r="D6222" t="s">
        <v>500</v>
      </c>
      <c r="F6222" t="s">
        <v>3286</v>
      </c>
      <c r="G6222" t="s">
        <v>5625</v>
      </c>
      <c r="H6222" t="s">
        <v>6934</v>
      </c>
      <c r="I6222" t="s">
        <v>9029</v>
      </c>
      <c r="J6222" t="s">
        <v>9059</v>
      </c>
      <c r="K6222">
        <v>11216</v>
      </c>
      <c r="L6222" t="s">
        <v>9094</v>
      </c>
      <c r="M6222" t="s">
        <v>9094</v>
      </c>
      <c r="N6222" t="s">
        <v>9121</v>
      </c>
      <c r="O6222" t="s">
        <v>9121</v>
      </c>
      <c r="P6222" t="s">
        <v>11167</v>
      </c>
      <c r="R6222" t="s">
        <v>11180</v>
      </c>
      <c r="T6222" t="s">
        <v>11183</v>
      </c>
      <c r="V6222" t="s">
        <v>419</v>
      </c>
      <c r="W6222">
        <v>1575</v>
      </c>
      <c r="X6222" t="s">
        <v>11332</v>
      </c>
      <c r="Y6222" t="s">
        <v>11339</v>
      </c>
      <c r="Z6222" t="s">
        <v>15191</v>
      </c>
      <c r="AB6222" t="s">
        <v>19479</v>
      </c>
      <c r="AC6222">
        <v>82</v>
      </c>
      <c r="AD6222" t="s">
        <v>19566</v>
      </c>
      <c r="AE6222" t="s">
        <v>9144</v>
      </c>
      <c r="AF6222">
        <v>2</v>
      </c>
      <c r="AG6222">
        <v>1</v>
      </c>
      <c r="AH6222">
        <v>0</v>
      </c>
      <c r="AI6222">
        <v>543.66</v>
      </c>
      <c r="AJ6222" t="s">
        <v>440</v>
      </c>
      <c r="AK6222" t="s">
        <v>19612</v>
      </c>
      <c r="AL6222" t="s">
        <v>19614</v>
      </c>
      <c r="AM6222">
        <v>66000</v>
      </c>
      <c r="AN6222" t="s">
        <v>19720</v>
      </c>
      <c r="AS6222">
        <v>0</v>
      </c>
      <c r="AU6222" t="s">
        <v>95</v>
      </c>
    </row>
    <row r="6223" spans="1:48">
      <c r="A6223" s="1">
        <f>HYPERLINK("https://lsnyc.legalserver.org/matter/dynamic-profile/view/1876618","18-1876618")</f>
        <v>0</v>
      </c>
      <c r="B6223" t="s">
        <v>165</v>
      </c>
      <c r="C6223" t="s">
        <v>256</v>
      </c>
      <c r="D6223" t="s">
        <v>593</v>
      </c>
      <c r="F6223" t="s">
        <v>1143</v>
      </c>
      <c r="G6223" t="s">
        <v>3383</v>
      </c>
      <c r="H6223" t="s">
        <v>6934</v>
      </c>
      <c r="I6223" t="s">
        <v>8364</v>
      </c>
      <c r="J6223" t="s">
        <v>9059</v>
      </c>
      <c r="K6223">
        <v>11216</v>
      </c>
      <c r="L6223" t="s">
        <v>9094</v>
      </c>
      <c r="M6223" t="s">
        <v>9094</v>
      </c>
      <c r="N6223" t="s">
        <v>10050</v>
      </c>
      <c r="O6223" t="s">
        <v>11132</v>
      </c>
      <c r="P6223" t="s">
        <v>11165</v>
      </c>
      <c r="R6223" t="s">
        <v>11180</v>
      </c>
      <c r="S6223" t="s">
        <v>9094</v>
      </c>
      <c r="T6223" t="s">
        <v>11183</v>
      </c>
      <c r="V6223" t="s">
        <v>688</v>
      </c>
      <c r="W6223">
        <v>2100</v>
      </c>
      <c r="X6223" t="s">
        <v>11332</v>
      </c>
      <c r="Y6223" t="s">
        <v>11339</v>
      </c>
      <c r="Z6223" t="s">
        <v>15192</v>
      </c>
      <c r="AB6223" t="s">
        <v>19480</v>
      </c>
      <c r="AC6223">
        <v>82</v>
      </c>
      <c r="AD6223" t="s">
        <v>19566</v>
      </c>
      <c r="AE6223" t="s">
        <v>9144</v>
      </c>
      <c r="AF6223">
        <v>4</v>
      </c>
      <c r="AG6223">
        <v>2</v>
      </c>
      <c r="AH6223">
        <v>0</v>
      </c>
      <c r="AI6223">
        <v>543.74</v>
      </c>
      <c r="AL6223" t="s">
        <v>19614</v>
      </c>
      <c r="AM6223">
        <v>89500</v>
      </c>
      <c r="AN6223" t="s">
        <v>19720</v>
      </c>
      <c r="AS6223">
        <v>0</v>
      </c>
      <c r="AU6223" t="s">
        <v>95</v>
      </c>
    </row>
    <row r="6224" spans="1:48">
      <c r="A6224" s="1">
        <f>HYPERLINK("https://lsnyc.legalserver.org/matter/dynamic-profile/view/1876613","18-1876613")</f>
        <v>0</v>
      </c>
      <c r="B6224" t="s">
        <v>165</v>
      </c>
      <c r="C6224" t="s">
        <v>256</v>
      </c>
      <c r="D6224" t="s">
        <v>593</v>
      </c>
      <c r="F6224" t="s">
        <v>1143</v>
      </c>
      <c r="G6224" t="s">
        <v>3383</v>
      </c>
      <c r="H6224" t="s">
        <v>6934</v>
      </c>
      <c r="I6224" t="s">
        <v>8364</v>
      </c>
      <c r="J6224" t="s">
        <v>9059</v>
      </c>
      <c r="K6224">
        <v>11216</v>
      </c>
      <c r="L6224" t="s">
        <v>9094</v>
      </c>
      <c r="M6224" t="s">
        <v>9094</v>
      </c>
      <c r="N6224" t="s">
        <v>9121</v>
      </c>
      <c r="O6224" t="s">
        <v>9121</v>
      </c>
      <c r="P6224" t="s">
        <v>11167</v>
      </c>
      <c r="R6224" t="s">
        <v>11180</v>
      </c>
      <c r="T6224" t="s">
        <v>11183</v>
      </c>
      <c r="V6224" t="s">
        <v>419</v>
      </c>
      <c r="W6224">
        <v>2100</v>
      </c>
      <c r="X6224" t="s">
        <v>11332</v>
      </c>
      <c r="Y6224" t="s">
        <v>11339</v>
      </c>
      <c r="Z6224" t="s">
        <v>15192</v>
      </c>
      <c r="AB6224" t="s">
        <v>19480</v>
      </c>
      <c r="AC6224">
        <v>82</v>
      </c>
      <c r="AD6224" t="s">
        <v>19566</v>
      </c>
      <c r="AE6224" t="s">
        <v>9144</v>
      </c>
      <c r="AF6224">
        <v>4</v>
      </c>
      <c r="AG6224">
        <v>2</v>
      </c>
      <c r="AH6224">
        <v>0</v>
      </c>
      <c r="AI6224">
        <v>543.74</v>
      </c>
      <c r="AL6224" t="s">
        <v>19614</v>
      </c>
      <c r="AM6224">
        <v>89500</v>
      </c>
      <c r="AN6224" t="s">
        <v>19720</v>
      </c>
      <c r="AS6224">
        <v>0</v>
      </c>
      <c r="AU6224" t="s">
        <v>95</v>
      </c>
    </row>
    <row r="6225" spans="1:48">
      <c r="A6225" s="1">
        <f>HYPERLINK("https://lsnyc.legalserver.org/matter/dynamic-profile/view/1889908","19-1889908")</f>
        <v>0</v>
      </c>
      <c r="B6225" t="s">
        <v>103</v>
      </c>
      <c r="C6225" t="s">
        <v>256</v>
      </c>
      <c r="D6225" t="s">
        <v>447</v>
      </c>
      <c r="F6225" t="s">
        <v>1534</v>
      </c>
      <c r="G6225" t="s">
        <v>5626</v>
      </c>
      <c r="H6225" t="s">
        <v>5887</v>
      </c>
      <c r="I6225" t="s">
        <v>8132</v>
      </c>
      <c r="J6225" t="s">
        <v>9065</v>
      </c>
      <c r="K6225">
        <v>10453</v>
      </c>
      <c r="L6225" t="s">
        <v>9094</v>
      </c>
      <c r="M6225" t="s">
        <v>9094</v>
      </c>
      <c r="O6225" t="s">
        <v>11134</v>
      </c>
      <c r="P6225" t="s">
        <v>11168</v>
      </c>
      <c r="R6225" t="s">
        <v>11180</v>
      </c>
      <c r="S6225" t="s">
        <v>9094</v>
      </c>
      <c r="T6225" t="s">
        <v>11183</v>
      </c>
      <c r="V6225" t="s">
        <v>512</v>
      </c>
      <c r="W6225">
        <v>1120.87</v>
      </c>
      <c r="X6225" t="s">
        <v>11333</v>
      </c>
      <c r="Y6225" t="s">
        <v>11346</v>
      </c>
      <c r="Z6225" t="s">
        <v>12685</v>
      </c>
      <c r="AB6225" t="s">
        <v>19481</v>
      </c>
      <c r="AC6225">
        <v>167</v>
      </c>
      <c r="AD6225" t="s">
        <v>19566</v>
      </c>
      <c r="AE6225" t="s">
        <v>9144</v>
      </c>
      <c r="AF6225">
        <v>18</v>
      </c>
      <c r="AG6225">
        <v>1</v>
      </c>
      <c r="AH6225">
        <v>0</v>
      </c>
      <c r="AI6225">
        <v>544.4400000000001</v>
      </c>
      <c r="AL6225" t="s">
        <v>19614</v>
      </c>
      <c r="AM6225">
        <v>68000</v>
      </c>
      <c r="AS6225">
        <v>0</v>
      </c>
      <c r="AU6225" t="s">
        <v>20642</v>
      </c>
    </row>
    <row r="6226" spans="1:48">
      <c r="A6226" s="1">
        <f>HYPERLINK("https://lsnyc.legalserver.org/matter/dynamic-profile/view/1905188","19-1905188")</f>
        <v>0</v>
      </c>
      <c r="B6226" t="s">
        <v>103</v>
      </c>
      <c r="C6226" t="s">
        <v>256</v>
      </c>
      <c r="D6226" t="s">
        <v>414</v>
      </c>
      <c r="F6226" t="s">
        <v>1534</v>
      </c>
      <c r="G6226" t="s">
        <v>5626</v>
      </c>
      <c r="H6226" t="s">
        <v>5887</v>
      </c>
      <c r="I6226" t="s">
        <v>8132</v>
      </c>
      <c r="J6226" t="s">
        <v>9065</v>
      </c>
      <c r="K6226">
        <v>10453</v>
      </c>
      <c r="L6226" t="s">
        <v>9094</v>
      </c>
      <c r="M6226" t="s">
        <v>9095</v>
      </c>
      <c r="N6226" t="s">
        <v>9239</v>
      </c>
      <c r="O6226" t="s">
        <v>11134</v>
      </c>
      <c r="P6226" t="s">
        <v>11168</v>
      </c>
      <c r="R6226" t="s">
        <v>11180</v>
      </c>
      <c r="S6226" t="s">
        <v>9094</v>
      </c>
      <c r="T6226" t="s">
        <v>11183</v>
      </c>
      <c r="V6226" t="s">
        <v>1061</v>
      </c>
      <c r="W6226">
        <v>1120.87</v>
      </c>
      <c r="X6226" t="s">
        <v>11333</v>
      </c>
      <c r="Y6226" t="s">
        <v>11346</v>
      </c>
      <c r="Z6226" t="s">
        <v>12685</v>
      </c>
      <c r="AB6226" t="s">
        <v>19481</v>
      </c>
      <c r="AC6226">
        <v>170</v>
      </c>
      <c r="AD6226" t="s">
        <v>19566</v>
      </c>
      <c r="AE6226" t="s">
        <v>9144</v>
      </c>
      <c r="AF6226">
        <v>18</v>
      </c>
      <c r="AG6226">
        <v>1</v>
      </c>
      <c r="AH6226">
        <v>0</v>
      </c>
      <c r="AI6226">
        <v>544.4400000000001</v>
      </c>
      <c r="AL6226" t="s">
        <v>19614</v>
      </c>
      <c r="AM6226">
        <v>68000</v>
      </c>
      <c r="AS6226">
        <v>0</v>
      </c>
      <c r="AU6226" t="s">
        <v>20642</v>
      </c>
      <c r="AV6226" t="s">
        <v>20733</v>
      </c>
    </row>
    <row r="6227" spans="1:48">
      <c r="A6227" s="1">
        <f>HYPERLINK("https://lsnyc.legalserver.org/matter/dynamic-profile/view/1905191","19-1905191")</f>
        <v>0</v>
      </c>
      <c r="B6227" t="s">
        <v>103</v>
      </c>
      <c r="C6227" t="s">
        <v>256</v>
      </c>
      <c r="D6227" t="s">
        <v>414</v>
      </c>
      <c r="F6227" t="s">
        <v>1534</v>
      </c>
      <c r="G6227" t="s">
        <v>5626</v>
      </c>
      <c r="H6227" t="s">
        <v>5887</v>
      </c>
      <c r="I6227" t="s">
        <v>8132</v>
      </c>
      <c r="J6227" t="s">
        <v>9065</v>
      </c>
      <c r="K6227">
        <v>10453</v>
      </c>
      <c r="L6227" t="s">
        <v>9094</v>
      </c>
      <c r="M6227" t="s">
        <v>9095</v>
      </c>
      <c r="N6227" t="s">
        <v>9240</v>
      </c>
      <c r="O6227" t="s">
        <v>11134</v>
      </c>
      <c r="P6227" t="s">
        <v>11168</v>
      </c>
      <c r="R6227" t="s">
        <v>11180</v>
      </c>
      <c r="S6227" t="s">
        <v>9094</v>
      </c>
      <c r="T6227" t="s">
        <v>11183</v>
      </c>
      <c r="V6227" t="s">
        <v>422</v>
      </c>
      <c r="W6227">
        <v>1120.87</v>
      </c>
      <c r="X6227" t="s">
        <v>11333</v>
      </c>
      <c r="Y6227" t="s">
        <v>11346</v>
      </c>
      <c r="Z6227" t="s">
        <v>12685</v>
      </c>
      <c r="AB6227" t="s">
        <v>19481</v>
      </c>
      <c r="AC6227">
        <v>170</v>
      </c>
      <c r="AD6227" t="s">
        <v>19566</v>
      </c>
      <c r="AE6227" t="s">
        <v>9144</v>
      </c>
      <c r="AF6227">
        <v>18</v>
      </c>
      <c r="AG6227">
        <v>1</v>
      </c>
      <c r="AH6227">
        <v>0</v>
      </c>
      <c r="AI6227">
        <v>544.4400000000001</v>
      </c>
      <c r="AL6227" t="s">
        <v>19614</v>
      </c>
      <c r="AM6227">
        <v>68000</v>
      </c>
      <c r="AS6227">
        <v>0</v>
      </c>
      <c r="AU6227" t="s">
        <v>20642</v>
      </c>
      <c r="AV6227" t="s">
        <v>20733</v>
      </c>
    </row>
    <row r="6228" spans="1:48">
      <c r="A6228" s="1">
        <f>HYPERLINK("https://lsnyc.legalserver.org/matter/dynamic-profile/view/1889905","19-1889905")</f>
        <v>0</v>
      </c>
      <c r="B6228" t="s">
        <v>103</v>
      </c>
      <c r="C6228" t="s">
        <v>256</v>
      </c>
      <c r="D6228" t="s">
        <v>447</v>
      </c>
      <c r="F6228" t="s">
        <v>1534</v>
      </c>
      <c r="G6228" t="s">
        <v>5626</v>
      </c>
      <c r="H6228" t="s">
        <v>5887</v>
      </c>
      <c r="I6228" t="s">
        <v>8132</v>
      </c>
      <c r="J6228" t="s">
        <v>9065</v>
      </c>
      <c r="K6228">
        <v>10453</v>
      </c>
      <c r="L6228" t="s">
        <v>9094</v>
      </c>
      <c r="M6228" t="s">
        <v>9094</v>
      </c>
      <c r="N6228" t="s">
        <v>9352</v>
      </c>
      <c r="O6228" t="s">
        <v>11130</v>
      </c>
      <c r="P6228" t="s">
        <v>11165</v>
      </c>
      <c r="R6228" t="s">
        <v>11180</v>
      </c>
      <c r="S6228" t="s">
        <v>9094</v>
      </c>
      <c r="T6228" t="s">
        <v>11183</v>
      </c>
      <c r="V6228" t="s">
        <v>512</v>
      </c>
      <c r="W6228">
        <v>1120.87</v>
      </c>
      <c r="X6228" t="s">
        <v>11333</v>
      </c>
      <c r="Y6228" t="s">
        <v>11346</v>
      </c>
      <c r="Z6228" t="s">
        <v>12685</v>
      </c>
      <c r="AB6228" t="s">
        <v>19481</v>
      </c>
      <c r="AC6228">
        <v>167</v>
      </c>
      <c r="AD6228" t="s">
        <v>19566</v>
      </c>
      <c r="AE6228" t="s">
        <v>9144</v>
      </c>
      <c r="AF6228">
        <v>18</v>
      </c>
      <c r="AG6228">
        <v>1</v>
      </c>
      <c r="AH6228">
        <v>0</v>
      </c>
      <c r="AI6228">
        <v>544.4400000000001</v>
      </c>
      <c r="AL6228" t="s">
        <v>19614</v>
      </c>
      <c r="AM6228">
        <v>68000</v>
      </c>
      <c r="AS6228">
        <v>0</v>
      </c>
      <c r="AU6228" t="s">
        <v>20642</v>
      </c>
    </row>
    <row r="6229" spans="1:48">
      <c r="A6229" s="1">
        <f>HYPERLINK("https://lsnyc.legalserver.org/matter/dynamic-profile/view/1901465","19-1901465")</f>
        <v>0</v>
      </c>
      <c r="B6229" t="s">
        <v>101</v>
      </c>
      <c r="C6229" t="s">
        <v>256</v>
      </c>
      <c r="D6229" t="s">
        <v>559</v>
      </c>
      <c r="F6229" t="s">
        <v>1274</v>
      </c>
      <c r="G6229" t="s">
        <v>1260</v>
      </c>
      <c r="H6229" t="s">
        <v>6113</v>
      </c>
      <c r="I6229" t="s">
        <v>8308</v>
      </c>
      <c r="J6229" t="s">
        <v>9065</v>
      </c>
      <c r="K6229">
        <v>10452</v>
      </c>
      <c r="L6229" t="s">
        <v>9094</v>
      </c>
      <c r="M6229" t="s">
        <v>9095</v>
      </c>
      <c r="O6229" t="s">
        <v>11134</v>
      </c>
      <c r="P6229" t="s">
        <v>11168</v>
      </c>
      <c r="R6229" t="s">
        <v>11180</v>
      </c>
      <c r="S6229" t="s">
        <v>9094</v>
      </c>
      <c r="T6229" t="s">
        <v>11183</v>
      </c>
      <c r="V6229" t="s">
        <v>11218</v>
      </c>
      <c r="W6229">
        <v>1113.95</v>
      </c>
      <c r="X6229" t="s">
        <v>11333</v>
      </c>
      <c r="Y6229" t="s">
        <v>11346</v>
      </c>
      <c r="Z6229" t="s">
        <v>15193</v>
      </c>
      <c r="AB6229" t="s">
        <v>19482</v>
      </c>
      <c r="AC6229">
        <v>52</v>
      </c>
      <c r="AD6229" t="s">
        <v>19566</v>
      </c>
      <c r="AE6229" t="s">
        <v>9144</v>
      </c>
      <c r="AF6229">
        <v>36</v>
      </c>
      <c r="AG6229">
        <v>1</v>
      </c>
      <c r="AH6229">
        <v>0</v>
      </c>
      <c r="AI6229">
        <v>544.4400000000001</v>
      </c>
      <c r="AL6229" t="s">
        <v>19614</v>
      </c>
      <c r="AM6229">
        <v>68000</v>
      </c>
      <c r="AS6229">
        <v>0</v>
      </c>
      <c r="AU6229" t="s">
        <v>220</v>
      </c>
      <c r="AV6229" t="s">
        <v>20733</v>
      </c>
    </row>
    <row r="6230" spans="1:48">
      <c r="A6230" s="1">
        <f>HYPERLINK("https://lsnyc.legalserver.org/matter/dynamic-profile/view/1876606","18-1876606")</f>
        <v>0</v>
      </c>
      <c r="B6230" t="s">
        <v>165</v>
      </c>
      <c r="C6230" t="s">
        <v>256</v>
      </c>
      <c r="D6230" t="s">
        <v>593</v>
      </c>
      <c r="F6230" t="s">
        <v>2362</v>
      </c>
      <c r="G6230" t="s">
        <v>5627</v>
      </c>
      <c r="H6230" t="s">
        <v>6934</v>
      </c>
      <c r="I6230" t="s">
        <v>8364</v>
      </c>
      <c r="J6230" t="s">
        <v>9059</v>
      </c>
      <c r="K6230">
        <v>11216</v>
      </c>
      <c r="L6230" t="s">
        <v>9094</v>
      </c>
      <c r="M6230" t="s">
        <v>9094</v>
      </c>
      <c r="N6230" t="s">
        <v>10050</v>
      </c>
      <c r="O6230" t="s">
        <v>11132</v>
      </c>
      <c r="P6230" t="s">
        <v>11165</v>
      </c>
      <c r="R6230" t="s">
        <v>11180</v>
      </c>
      <c r="S6230" t="s">
        <v>9094</v>
      </c>
      <c r="T6230" t="s">
        <v>11183</v>
      </c>
      <c r="V6230" t="s">
        <v>688</v>
      </c>
      <c r="W6230">
        <v>2100</v>
      </c>
      <c r="X6230" t="s">
        <v>11332</v>
      </c>
      <c r="Y6230" t="s">
        <v>11339</v>
      </c>
      <c r="Z6230" t="s">
        <v>14970</v>
      </c>
      <c r="AB6230" t="s">
        <v>19483</v>
      </c>
      <c r="AC6230">
        <v>82</v>
      </c>
      <c r="AD6230" t="s">
        <v>19566</v>
      </c>
      <c r="AE6230" t="s">
        <v>9144</v>
      </c>
      <c r="AF6230">
        <v>4</v>
      </c>
      <c r="AG6230">
        <v>2</v>
      </c>
      <c r="AH6230">
        <v>0</v>
      </c>
      <c r="AI6230">
        <v>546.78</v>
      </c>
      <c r="AL6230" t="s">
        <v>19614</v>
      </c>
      <c r="AM6230">
        <v>90000</v>
      </c>
      <c r="AN6230" t="s">
        <v>19720</v>
      </c>
      <c r="AS6230">
        <v>0</v>
      </c>
      <c r="AU6230" t="s">
        <v>95</v>
      </c>
    </row>
    <row r="6231" spans="1:48">
      <c r="A6231" s="1">
        <f>HYPERLINK("https://lsnyc.legalserver.org/matter/dynamic-profile/view/1876602","18-1876602")</f>
        <v>0</v>
      </c>
      <c r="B6231" t="s">
        <v>165</v>
      </c>
      <c r="C6231" t="s">
        <v>256</v>
      </c>
      <c r="D6231" t="s">
        <v>593</v>
      </c>
      <c r="F6231" t="s">
        <v>2362</v>
      </c>
      <c r="G6231" t="s">
        <v>5627</v>
      </c>
      <c r="H6231" t="s">
        <v>6934</v>
      </c>
      <c r="I6231" t="s">
        <v>8364</v>
      </c>
      <c r="J6231" t="s">
        <v>9059</v>
      </c>
      <c r="K6231">
        <v>11216</v>
      </c>
      <c r="L6231" t="s">
        <v>9094</v>
      </c>
      <c r="M6231" t="s">
        <v>9094</v>
      </c>
      <c r="N6231" t="s">
        <v>9121</v>
      </c>
      <c r="O6231" t="s">
        <v>9121</v>
      </c>
      <c r="P6231" t="s">
        <v>11167</v>
      </c>
      <c r="R6231" t="s">
        <v>11180</v>
      </c>
      <c r="S6231" t="s">
        <v>9094</v>
      </c>
      <c r="T6231" t="s">
        <v>11183</v>
      </c>
      <c r="V6231" t="s">
        <v>419</v>
      </c>
      <c r="W6231">
        <v>2100</v>
      </c>
      <c r="X6231" t="s">
        <v>11332</v>
      </c>
      <c r="Y6231" t="s">
        <v>11339</v>
      </c>
      <c r="Z6231" t="s">
        <v>14970</v>
      </c>
      <c r="AB6231" t="s">
        <v>19483</v>
      </c>
      <c r="AC6231">
        <v>82</v>
      </c>
      <c r="AD6231" t="s">
        <v>19566</v>
      </c>
      <c r="AE6231" t="s">
        <v>9144</v>
      </c>
      <c r="AF6231">
        <v>4</v>
      </c>
      <c r="AG6231">
        <v>2</v>
      </c>
      <c r="AH6231">
        <v>0</v>
      </c>
      <c r="AI6231">
        <v>546.78</v>
      </c>
      <c r="AL6231" t="s">
        <v>19614</v>
      </c>
      <c r="AM6231">
        <v>90000</v>
      </c>
      <c r="AN6231" t="s">
        <v>19720</v>
      </c>
      <c r="AS6231">
        <v>0</v>
      </c>
      <c r="AU6231" t="s">
        <v>95</v>
      </c>
    </row>
    <row r="6232" spans="1:48">
      <c r="A6232" s="1">
        <f>HYPERLINK("https://lsnyc.legalserver.org/matter/dynamic-profile/view/1853703","17-1853703")</f>
        <v>0</v>
      </c>
      <c r="B6232" t="s">
        <v>114</v>
      </c>
      <c r="C6232" t="s">
        <v>256</v>
      </c>
      <c r="D6232" t="s">
        <v>850</v>
      </c>
      <c r="F6232" t="s">
        <v>3287</v>
      </c>
      <c r="G6232" t="s">
        <v>5628</v>
      </c>
      <c r="H6232" t="s">
        <v>5889</v>
      </c>
      <c r="I6232" t="s">
        <v>8169</v>
      </c>
      <c r="J6232" t="s">
        <v>9065</v>
      </c>
      <c r="K6232">
        <v>10453</v>
      </c>
      <c r="L6232" t="s">
        <v>9094</v>
      </c>
      <c r="M6232" t="s">
        <v>9095</v>
      </c>
      <c r="O6232" t="s">
        <v>9121</v>
      </c>
      <c r="P6232" t="s">
        <v>11166</v>
      </c>
      <c r="R6232" t="s">
        <v>11180</v>
      </c>
      <c r="T6232" t="s">
        <v>11183</v>
      </c>
      <c r="V6232" t="s">
        <v>467</v>
      </c>
      <c r="W6232">
        <v>921.09</v>
      </c>
      <c r="X6232" t="s">
        <v>11333</v>
      </c>
      <c r="Y6232" t="s">
        <v>11346</v>
      </c>
      <c r="Z6232" t="s">
        <v>15194</v>
      </c>
      <c r="AB6232" t="s">
        <v>19484</v>
      </c>
      <c r="AC6232">
        <v>21</v>
      </c>
      <c r="AD6232" t="s">
        <v>19566</v>
      </c>
      <c r="AE6232" t="s">
        <v>9144</v>
      </c>
      <c r="AF6232">
        <v>11</v>
      </c>
      <c r="AG6232">
        <v>1</v>
      </c>
      <c r="AH6232">
        <v>0</v>
      </c>
      <c r="AI6232">
        <v>547.26</v>
      </c>
      <c r="AL6232" t="s">
        <v>19614</v>
      </c>
      <c r="AM6232">
        <v>66000</v>
      </c>
      <c r="AN6232" t="s">
        <v>20121</v>
      </c>
      <c r="AS6232">
        <v>1.7</v>
      </c>
      <c r="AT6232" t="s">
        <v>485</v>
      </c>
      <c r="AU6232" t="s">
        <v>20643</v>
      </c>
    </row>
    <row r="6233" spans="1:48">
      <c r="A6233" s="1">
        <f>HYPERLINK("https://lsnyc.legalserver.org/matter/dynamic-profile/view/1910061","19-1910061")</f>
        <v>0</v>
      </c>
      <c r="B6233" t="s">
        <v>99</v>
      </c>
      <c r="C6233" t="s">
        <v>257</v>
      </c>
      <c r="D6233" t="s">
        <v>435</v>
      </c>
      <c r="E6233" t="s">
        <v>728</v>
      </c>
      <c r="F6233" t="s">
        <v>1260</v>
      </c>
      <c r="G6233" t="s">
        <v>5561</v>
      </c>
      <c r="H6233" t="s">
        <v>5899</v>
      </c>
      <c r="I6233" t="s">
        <v>8109</v>
      </c>
      <c r="J6233" t="s">
        <v>9065</v>
      </c>
      <c r="K6233">
        <v>10452</v>
      </c>
      <c r="L6233" t="s">
        <v>9094</v>
      </c>
      <c r="M6233" t="s">
        <v>9095</v>
      </c>
      <c r="O6233" t="s">
        <v>9121</v>
      </c>
      <c r="P6233" t="s">
        <v>11167</v>
      </c>
      <c r="Q6233" t="s">
        <v>11173</v>
      </c>
      <c r="R6233" t="s">
        <v>11180</v>
      </c>
      <c r="S6233" t="s">
        <v>9096</v>
      </c>
      <c r="T6233" t="s">
        <v>11183</v>
      </c>
      <c r="V6233" t="s">
        <v>308</v>
      </c>
      <c r="W6233">
        <v>930.77</v>
      </c>
      <c r="X6233" t="s">
        <v>11333</v>
      </c>
      <c r="Y6233" t="s">
        <v>11346</v>
      </c>
      <c r="Z6233" t="s">
        <v>15097</v>
      </c>
      <c r="AB6233" t="s">
        <v>19390</v>
      </c>
      <c r="AC6233">
        <v>63</v>
      </c>
      <c r="AD6233" t="s">
        <v>19566</v>
      </c>
      <c r="AE6233" t="s">
        <v>9144</v>
      </c>
      <c r="AF6233">
        <v>30</v>
      </c>
      <c r="AG6233">
        <v>1</v>
      </c>
      <c r="AH6233">
        <v>0</v>
      </c>
      <c r="AI6233">
        <v>547.64</v>
      </c>
      <c r="AL6233" t="s">
        <v>19614</v>
      </c>
      <c r="AM6233">
        <v>68400</v>
      </c>
      <c r="AS6233">
        <v>3.5</v>
      </c>
      <c r="AT6233" t="s">
        <v>728</v>
      </c>
      <c r="AU6233" t="s">
        <v>99</v>
      </c>
      <c r="AV6233" t="s">
        <v>20733</v>
      </c>
    </row>
    <row r="6234" spans="1:48">
      <c r="A6234" s="1">
        <f>HYPERLINK("https://lsnyc.legalserver.org/matter/dynamic-profile/view/1909946","19-1909946")</f>
        <v>0</v>
      </c>
      <c r="B6234" t="s">
        <v>117</v>
      </c>
      <c r="C6234" t="s">
        <v>256</v>
      </c>
      <c r="D6234" t="s">
        <v>992</v>
      </c>
      <c r="F6234" t="s">
        <v>1260</v>
      </c>
      <c r="G6234" t="s">
        <v>5561</v>
      </c>
      <c r="H6234" t="s">
        <v>5899</v>
      </c>
      <c r="I6234" t="s">
        <v>8109</v>
      </c>
      <c r="J6234" t="s">
        <v>9065</v>
      </c>
      <c r="K6234">
        <v>10452</v>
      </c>
      <c r="L6234" t="s">
        <v>9094</v>
      </c>
      <c r="M6234" t="s">
        <v>9095</v>
      </c>
      <c r="R6234" t="s">
        <v>11180</v>
      </c>
      <c r="T6234" t="s">
        <v>11183</v>
      </c>
      <c r="W6234">
        <v>930.77</v>
      </c>
      <c r="X6234" t="s">
        <v>11333</v>
      </c>
      <c r="Y6234" t="s">
        <v>11346</v>
      </c>
      <c r="Z6234" t="s">
        <v>15097</v>
      </c>
      <c r="AB6234" t="s">
        <v>19485</v>
      </c>
      <c r="AC6234">
        <v>63</v>
      </c>
      <c r="AD6234" t="s">
        <v>19566</v>
      </c>
      <c r="AE6234" t="s">
        <v>9144</v>
      </c>
      <c r="AF6234">
        <v>0</v>
      </c>
      <c r="AG6234">
        <v>1</v>
      </c>
      <c r="AH6234">
        <v>0</v>
      </c>
      <c r="AI6234">
        <v>547.64</v>
      </c>
      <c r="AL6234" t="s">
        <v>19614</v>
      </c>
      <c r="AM6234">
        <v>68400</v>
      </c>
      <c r="AS6234">
        <v>0</v>
      </c>
      <c r="AU6234" t="s">
        <v>163</v>
      </c>
    </row>
    <row r="6235" spans="1:48">
      <c r="A6235" s="1">
        <f>HYPERLINK("https://lsnyc.legalserver.org/matter/dynamic-profile/view/1914697","19-1914697")</f>
        <v>0</v>
      </c>
      <c r="B6235" t="s">
        <v>117</v>
      </c>
      <c r="C6235" t="s">
        <v>256</v>
      </c>
      <c r="D6235" t="s">
        <v>476</v>
      </c>
      <c r="F6235" t="s">
        <v>1260</v>
      </c>
      <c r="G6235" t="s">
        <v>5561</v>
      </c>
      <c r="H6235" t="s">
        <v>5899</v>
      </c>
      <c r="I6235" t="s">
        <v>8109</v>
      </c>
      <c r="J6235" t="s">
        <v>9065</v>
      </c>
      <c r="K6235">
        <v>10452</v>
      </c>
      <c r="L6235" t="s">
        <v>9094</v>
      </c>
      <c r="M6235" t="s">
        <v>9095</v>
      </c>
      <c r="R6235" t="s">
        <v>11180</v>
      </c>
      <c r="S6235" t="s">
        <v>9094</v>
      </c>
      <c r="T6235" t="s">
        <v>11183</v>
      </c>
      <c r="W6235">
        <v>930.77</v>
      </c>
      <c r="X6235" t="s">
        <v>11333</v>
      </c>
      <c r="Y6235" t="s">
        <v>11346</v>
      </c>
      <c r="Z6235" t="s">
        <v>15097</v>
      </c>
      <c r="AB6235" t="s">
        <v>19485</v>
      </c>
      <c r="AC6235">
        <v>63</v>
      </c>
      <c r="AD6235" t="s">
        <v>19566</v>
      </c>
      <c r="AE6235" t="s">
        <v>9144</v>
      </c>
      <c r="AF6235">
        <v>0</v>
      </c>
      <c r="AG6235">
        <v>1</v>
      </c>
      <c r="AH6235">
        <v>0</v>
      </c>
      <c r="AI6235">
        <v>547.64</v>
      </c>
      <c r="AL6235" t="s">
        <v>19614</v>
      </c>
      <c r="AM6235">
        <v>68400</v>
      </c>
      <c r="AS6235">
        <v>0</v>
      </c>
      <c r="AU6235" t="s">
        <v>20642</v>
      </c>
    </row>
    <row r="6236" spans="1:48">
      <c r="A6236" s="1">
        <f>HYPERLINK("https://lsnyc.legalserver.org/matter/dynamic-profile/view/1884053","18-1884053")</f>
        <v>0</v>
      </c>
      <c r="B6236" t="s">
        <v>98</v>
      </c>
      <c r="C6236" t="s">
        <v>256</v>
      </c>
      <c r="D6236" t="s">
        <v>358</v>
      </c>
      <c r="F6236" t="s">
        <v>3284</v>
      </c>
      <c r="G6236" t="s">
        <v>1248</v>
      </c>
      <c r="H6236" t="s">
        <v>6081</v>
      </c>
      <c r="I6236" t="s">
        <v>8119</v>
      </c>
      <c r="J6236" t="s">
        <v>9065</v>
      </c>
      <c r="K6236">
        <v>10452</v>
      </c>
      <c r="L6236" t="s">
        <v>9094</v>
      </c>
      <c r="M6236" t="s">
        <v>9094</v>
      </c>
      <c r="N6236" t="s">
        <v>11123</v>
      </c>
      <c r="O6236" t="s">
        <v>11128</v>
      </c>
      <c r="P6236" t="s">
        <v>11165</v>
      </c>
      <c r="R6236" t="s">
        <v>11180</v>
      </c>
      <c r="S6236" t="s">
        <v>9096</v>
      </c>
      <c r="T6236" t="s">
        <v>11183</v>
      </c>
      <c r="U6236" t="s">
        <v>11201</v>
      </c>
      <c r="V6236" t="s">
        <v>738</v>
      </c>
      <c r="W6236">
        <v>1477.27</v>
      </c>
      <c r="X6236" t="s">
        <v>11333</v>
      </c>
      <c r="Y6236" t="s">
        <v>11340</v>
      </c>
      <c r="Z6236" t="s">
        <v>15186</v>
      </c>
      <c r="AB6236" t="s">
        <v>19475</v>
      </c>
      <c r="AC6236">
        <v>41</v>
      </c>
      <c r="AD6236" t="s">
        <v>19566</v>
      </c>
      <c r="AE6236" t="s">
        <v>9144</v>
      </c>
      <c r="AF6236">
        <v>12</v>
      </c>
      <c r="AG6236">
        <v>1</v>
      </c>
      <c r="AH6236">
        <v>0</v>
      </c>
      <c r="AI6236">
        <v>551.89</v>
      </c>
      <c r="AL6236" t="s">
        <v>19614</v>
      </c>
      <c r="AM6236">
        <v>67000</v>
      </c>
      <c r="AS6236">
        <v>28.85</v>
      </c>
      <c r="AT6236" t="s">
        <v>584</v>
      </c>
      <c r="AU6236" t="s">
        <v>20642</v>
      </c>
    </row>
    <row r="6237" spans="1:48">
      <c r="A6237" s="1">
        <f>HYPERLINK("https://lsnyc.legalserver.org/matter/dynamic-profile/view/1883436","18-1883436")</f>
        <v>0</v>
      </c>
      <c r="B6237" t="s">
        <v>98</v>
      </c>
      <c r="C6237" t="s">
        <v>257</v>
      </c>
      <c r="D6237" t="s">
        <v>583</v>
      </c>
      <c r="E6237" t="s">
        <v>574</v>
      </c>
      <c r="F6237" t="s">
        <v>3284</v>
      </c>
      <c r="G6237" t="s">
        <v>1248</v>
      </c>
      <c r="H6237" t="s">
        <v>6081</v>
      </c>
      <c r="I6237" t="s">
        <v>8119</v>
      </c>
      <c r="J6237" t="s">
        <v>9065</v>
      </c>
      <c r="K6237">
        <v>10452</v>
      </c>
      <c r="L6237" t="s">
        <v>9094</v>
      </c>
      <c r="M6237" t="s">
        <v>9094</v>
      </c>
      <c r="N6237" t="s">
        <v>9397</v>
      </c>
      <c r="O6237" t="s">
        <v>11130</v>
      </c>
      <c r="P6237" t="s">
        <v>11165</v>
      </c>
      <c r="Q6237" t="s">
        <v>11174</v>
      </c>
      <c r="R6237" t="s">
        <v>11180</v>
      </c>
      <c r="S6237" t="s">
        <v>9094</v>
      </c>
      <c r="T6237" t="s">
        <v>11183</v>
      </c>
      <c r="V6237" t="s">
        <v>738</v>
      </c>
      <c r="W6237">
        <v>1477.27</v>
      </c>
      <c r="X6237" t="s">
        <v>11333</v>
      </c>
      <c r="Y6237" t="s">
        <v>11339</v>
      </c>
      <c r="Z6237" t="s">
        <v>15186</v>
      </c>
      <c r="AB6237" t="s">
        <v>19475</v>
      </c>
      <c r="AC6237">
        <v>41</v>
      </c>
      <c r="AD6237" t="s">
        <v>19566</v>
      </c>
      <c r="AE6237" t="s">
        <v>9144</v>
      </c>
      <c r="AF6237">
        <v>12</v>
      </c>
      <c r="AG6237">
        <v>1</v>
      </c>
      <c r="AH6237">
        <v>0</v>
      </c>
      <c r="AI6237">
        <v>551.89</v>
      </c>
      <c r="AL6237" t="s">
        <v>19614</v>
      </c>
      <c r="AM6237">
        <v>67000</v>
      </c>
      <c r="AS6237">
        <v>0.15</v>
      </c>
      <c r="AT6237" t="s">
        <v>335</v>
      </c>
      <c r="AU6237" t="s">
        <v>20642</v>
      </c>
    </row>
    <row r="6238" spans="1:48">
      <c r="A6238" s="1">
        <f>HYPERLINK("https://lsnyc.legalserver.org/matter/dynamic-profile/view/1900472","19-1900472")</f>
        <v>0</v>
      </c>
      <c r="B6238" t="s">
        <v>55</v>
      </c>
      <c r="C6238" t="s">
        <v>256</v>
      </c>
      <c r="D6238" t="s">
        <v>262</v>
      </c>
      <c r="F6238" t="s">
        <v>2091</v>
      </c>
      <c r="G6238" t="s">
        <v>3424</v>
      </c>
      <c r="H6238" t="s">
        <v>8089</v>
      </c>
      <c r="I6238" t="s">
        <v>8618</v>
      </c>
      <c r="J6238" t="s">
        <v>9050</v>
      </c>
      <c r="K6238">
        <v>11377</v>
      </c>
      <c r="L6238" t="s">
        <v>9094</v>
      </c>
      <c r="M6238" t="s">
        <v>9095</v>
      </c>
      <c r="N6238" t="s">
        <v>11124</v>
      </c>
      <c r="O6238" t="s">
        <v>11128</v>
      </c>
      <c r="P6238" t="s">
        <v>11165</v>
      </c>
      <c r="R6238" t="s">
        <v>11180</v>
      </c>
      <c r="S6238" t="s">
        <v>9096</v>
      </c>
      <c r="T6238" t="s">
        <v>11183</v>
      </c>
      <c r="U6238" t="s">
        <v>11201</v>
      </c>
      <c r="V6238" t="s">
        <v>11212</v>
      </c>
      <c r="W6238">
        <v>864.95</v>
      </c>
      <c r="X6238" t="s">
        <v>11331</v>
      </c>
      <c r="Y6238" t="s">
        <v>11346</v>
      </c>
      <c r="Z6238" t="s">
        <v>15195</v>
      </c>
      <c r="AA6238" t="s">
        <v>15274</v>
      </c>
      <c r="AB6238" t="s">
        <v>19486</v>
      </c>
      <c r="AC6238">
        <v>15</v>
      </c>
      <c r="AD6238" t="s">
        <v>19566</v>
      </c>
      <c r="AE6238" t="s">
        <v>9144</v>
      </c>
      <c r="AF6238">
        <v>5</v>
      </c>
      <c r="AG6238">
        <v>1</v>
      </c>
      <c r="AH6238">
        <v>0</v>
      </c>
      <c r="AI6238">
        <v>555.04</v>
      </c>
      <c r="AL6238" t="s">
        <v>19615</v>
      </c>
      <c r="AM6238">
        <v>69324.60000000001</v>
      </c>
      <c r="AS6238">
        <v>9.199999999999999</v>
      </c>
      <c r="AT6238" t="s">
        <v>612</v>
      </c>
      <c r="AU6238" t="s">
        <v>55</v>
      </c>
      <c r="AV6238" t="s">
        <v>20733</v>
      </c>
    </row>
    <row r="6239" spans="1:48">
      <c r="A6239" s="1">
        <f>HYPERLINK("https://lsnyc.legalserver.org/matter/dynamic-profile/view/1878115","18-1878115")</f>
        <v>0</v>
      </c>
      <c r="B6239" t="s">
        <v>165</v>
      </c>
      <c r="C6239" t="s">
        <v>256</v>
      </c>
      <c r="D6239" t="s">
        <v>671</v>
      </c>
      <c r="F6239" t="s">
        <v>1777</v>
      </c>
      <c r="G6239" t="s">
        <v>3971</v>
      </c>
      <c r="H6239" t="s">
        <v>6934</v>
      </c>
      <c r="I6239" t="s">
        <v>8191</v>
      </c>
      <c r="J6239" t="s">
        <v>9059</v>
      </c>
      <c r="K6239">
        <v>11216</v>
      </c>
      <c r="L6239" t="s">
        <v>9094</v>
      </c>
      <c r="M6239" t="s">
        <v>9095</v>
      </c>
      <c r="N6239" t="s">
        <v>10050</v>
      </c>
      <c r="O6239" t="s">
        <v>11132</v>
      </c>
      <c r="P6239" t="s">
        <v>11165</v>
      </c>
      <c r="R6239" t="s">
        <v>11180</v>
      </c>
      <c r="S6239" t="s">
        <v>9094</v>
      </c>
      <c r="T6239" t="s">
        <v>11183</v>
      </c>
      <c r="V6239" t="s">
        <v>958</v>
      </c>
      <c r="W6239">
        <v>1400</v>
      </c>
      <c r="X6239" t="s">
        <v>11332</v>
      </c>
      <c r="Y6239" t="s">
        <v>11339</v>
      </c>
      <c r="Z6239" t="s">
        <v>15196</v>
      </c>
      <c r="AC6239">
        <v>82</v>
      </c>
      <c r="AD6239" t="s">
        <v>19569</v>
      </c>
      <c r="AE6239" t="s">
        <v>9144</v>
      </c>
      <c r="AF6239">
        <v>3</v>
      </c>
      <c r="AG6239">
        <v>1</v>
      </c>
      <c r="AH6239">
        <v>0</v>
      </c>
      <c r="AI6239">
        <v>556.01</v>
      </c>
      <c r="AL6239" t="s">
        <v>19614</v>
      </c>
      <c r="AM6239">
        <v>67500</v>
      </c>
      <c r="AN6239" t="s">
        <v>20269</v>
      </c>
      <c r="AS6239">
        <v>0</v>
      </c>
      <c r="AU6239" t="s">
        <v>95</v>
      </c>
      <c r="AV6239" t="s">
        <v>20733</v>
      </c>
    </row>
    <row r="6240" spans="1:48">
      <c r="A6240" s="1">
        <f>HYPERLINK("https://lsnyc.legalserver.org/matter/dynamic-profile/view/1878112","18-1878112")</f>
        <v>0</v>
      </c>
      <c r="B6240" t="s">
        <v>165</v>
      </c>
      <c r="C6240" t="s">
        <v>256</v>
      </c>
      <c r="D6240" t="s">
        <v>671</v>
      </c>
      <c r="F6240" t="s">
        <v>1777</v>
      </c>
      <c r="G6240" t="s">
        <v>3971</v>
      </c>
      <c r="H6240" t="s">
        <v>6934</v>
      </c>
      <c r="I6240" t="s">
        <v>8191</v>
      </c>
      <c r="J6240" t="s">
        <v>9059</v>
      </c>
      <c r="K6240">
        <v>11216</v>
      </c>
      <c r="L6240" t="s">
        <v>9094</v>
      </c>
      <c r="M6240" t="s">
        <v>9095</v>
      </c>
      <c r="N6240" t="s">
        <v>9102</v>
      </c>
      <c r="O6240" t="s">
        <v>9121</v>
      </c>
      <c r="P6240" t="s">
        <v>11167</v>
      </c>
      <c r="R6240" t="s">
        <v>11180</v>
      </c>
      <c r="S6240" t="s">
        <v>9094</v>
      </c>
      <c r="T6240" t="s">
        <v>11183</v>
      </c>
      <c r="V6240" t="s">
        <v>958</v>
      </c>
      <c r="W6240">
        <v>1400</v>
      </c>
      <c r="X6240" t="s">
        <v>11332</v>
      </c>
      <c r="Y6240" t="s">
        <v>11339</v>
      </c>
      <c r="Z6240" t="s">
        <v>15196</v>
      </c>
      <c r="AC6240">
        <v>82</v>
      </c>
      <c r="AD6240" t="s">
        <v>19566</v>
      </c>
      <c r="AE6240" t="s">
        <v>9144</v>
      </c>
      <c r="AF6240">
        <v>3</v>
      </c>
      <c r="AG6240">
        <v>1</v>
      </c>
      <c r="AH6240">
        <v>0</v>
      </c>
      <c r="AI6240">
        <v>556.01</v>
      </c>
      <c r="AL6240" t="s">
        <v>19614</v>
      </c>
      <c r="AM6240">
        <v>67500</v>
      </c>
      <c r="AN6240" t="s">
        <v>11167</v>
      </c>
      <c r="AS6240">
        <v>1.9</v>
      </c>
      <c r="AT6240" t="s">
        <v>372</v>
      </c>
      <c r="AU6240" t="s">
        <v>95</v>
      </c>
      <c r="AV6240" t="s">
        <v>20733</v>
      </c>
    </row>
    <row r="6241" spans="1:48">
      <c r="A6241" s="1">
        <f>HYPERLINK("https://lsnyc.legalserver.org/matter/dynamic-profile/view/1898855","19-1898855")</f>
        <v>0</v>
      </c>
      <c r="B6241" t="s">
        <v>138</v>
      </c>
      <c r="C6241" t="s">
        <v>256</v>
      </c>
      <c r="D6241" t="s">
        <v>337</v>
      </c>
      <c r="F6241" t="s">
        <v>1489</v>
      </c>
      <c r="G6241" t="s">
        <v>5629</v>
      </c>
      <c r="H6241" t="s">
        <v>8090</v>
      </c>
      <c r="I6241" t="s">
        <v>8267</v>
      </c>
      <c r="J6241" t="s">
        <v>9067</v>
      </c>
      <c r="K6241">
        <v>10040</v>
      </c>
      <c r="L6241" t="s">
        <v>9094</v>
      </c>
      <c r="M6241" t="s">
        <v>9094</v>
      </c>
      <c r="O6241" t="s">
        <v>11136</v>
      </c>
      <c r="P6241" t="s">
        <v>11164</v>
      </c>
      <c r="R6241" t="s">
        <v>11180</v>
      </c>
      <c r="S6241" t="s">
        <v>9096</v>
      </c>
      <c r="T6241" t="s">
        <v>11183</v>
      </c>
      <c r="V6241" t="s">
        <v>337</v>
      </c>
      <c r="W6241">
        <v>1065</v>
      </c>
      <c r="X6241" t="s">
        <v>11335</v>
      </c>
      <c r="Y6241" t="s">
        <v>11338</v>
      </c>
      <c r="Z6241" t="s">
        <v>15197</v>
      </c>
      <c r="AB6241" t="s">
        <v>19487</v>
      </c>
      <c r="AC6241">
        <v>30</v>
      </c>
      <c r="AD6241" t="s">
        <v>19566</v>
      </c>
      <c r="AE6241" t="s">
        <v>9144</v>
      </c>
      <c r="AF6241">
        <v>21</v>
      </c>
      <c r="AG6241">
        <v>3</v>
      </c>
      <c r="AH6241">
        <v>0</v>
      </c>
      <c r="AI6241">
        <v>557.9</v>
      </c>
      <c r="AL6241" t="s">
        <v>19614</v>
      </c>
      <c r="AM6241">
        <v>119000</v>
      </c>
      <c r="AS6241">
        <v>1.5</v>
      </c>
      <c r="AT6241" t="s">
        <v>361</v>
      </c>
      <c r="AU6241" t="s">
        <v>130</v>
      </c>
      <c r="AV6241" t="s">
        <v>20733</v>
      </c>
    </row>
    <row r="6242" spans="1:48">
      <c r="A6242" s="1">
        <f>HYPERLINK("https://lsnyc.legalserver.org/matter/dynamic-profile/view/1838994","17-1838994")</f>
        <v>0</v>
      </c>
      <c r="B6242" t="s">
        <v>103</v>
      </c>
      <c r="C6242" t="s">
        <v>256</v>
      </c>
      <c r="D6242" t="s">
        <v>1059</v>
      </c>
      <c r="F6242" t="s">
        <v>1147</v>
      </c>
      <c r="G6242" t="s">
        <v>5630</v>
      </c>
      <c r="H6242" t="s">
        <v>6915</v>
      </c>
      <c r="I6242" t="s">
        <v>8386</v>
      </c>
      <c r="J6242" t="s">
        <v>9065</v>
      </c>
      <c r="K6242">
        <v>10473</v>
      </c>
      <c r="L6242" t="s">
        <v>9094</v>
      </c>
      <c r="M6242" t="s">
        <v>9095</v>
      </c>
      <c r="N6242" t="s">
        <v>10039</v>
      </c>
      <c r="O6242" t="s">
        <v>11135</v>
      </c>
      <c r="P6242" t="s">
        <v>11168</v>
      </c>
      <c r="R6242" t="s">
        <v>11180</v>
      </c>
      <c r="S6242" t="s">
        <v>9094</v>
      </c>
      <c r="T6242" t="s">
        <v>11183</v>
      </c>
      <c r="V6242" t="s">
        <v>11223</v>
      </c>
      <c r="W6242">
        <v>921.92</v>
      </c>
      <c r="X6242" t="s">
        <v>11333</v>
      </c>
      <c r="Y6242" t="s">
        <v>11351</v>
      </c>
      <c r="Z6242" t="s">
        <v>15198</v>
      </c>
      <c r="AB6242" t="s">
        <v>19488</v>
      </c>
      <c r="AC6242">
        <v>976</v>
      </c>
      <c r="AD6242" t="s">
        <v>19566</v>
      </c>
      <c r="AE6242" t="s">
        <v>9144</v>
      </c>
      <c r="AF6242">
        <v>18</v>
      </c>
      <c r="AG6242">
        <v>1</v>
      </c>
      <c r="AH6242">
        <v>0</v>
      </c>
      <c r="AI6242">
        <v>559.7</v>
      </c>
      <c r="AJ6242" t="s">
        <v>936</v>
      </c>
      <c r="AL6242" t="s">
        <v>19614</v>
      </c>
      <c r="AM6242">
        <v>67500</v>
      </c>
      <c r="AS6242">
        <v>0</v>
      </c>
      <c r="AU6242" t="s">
        <v>20643</v>
      </c>
    </row>
    <row r="6243" spans="1:48">
      <c r="A6243" s="1">
        <f>HYPERLINK("https://lsnyc.legalserver.org/matter/dynamic-profile/view/1908743","19-1908743")</f>
        <v>0</v>
      </c>
      <c r="B6243" t="s">
        <v>57</v>
      </c>
      <c r="C6243" t="s">
        <v>256</v>
      </c>
      <c r="D6243" t="s">
        <v>326</v>
      </c>
      <c r="F6243" t="s">
        <v>2018</v>
      </c>
      <c r="G6243" t="s">
        <v>5631</v>
      </c>
      <c r="H6243" t="s">
        <v>8091</v>
      </c>
      <c r="I6243" t="s">
        <v>8283</v>
      </c>
      <c r="J6243" t="s">
        <v>9062</v>
      </c>
      <c r="K6243">
        <v>11104</v>
      </c>
      <c r="L6243" t="s">
        <v>9094</v>
      </c>
      <c r="M6243" t="s">
        <v>9095</v>
      </c>
      <c r="O6243" t="s">
        <v>9121</v>
      </c>
      <c r="P6243" t="s">
        <v>11164</v>
      </c>
      <c r="R6243" t="s">
        <v>11181</v>
      </c>
      <c r="S6243" t="s">
        <v>9096</v>
      </c>
      <c r="T6243" t="s">
        <v>11183</v>
      </c>
      <c r="V6243" t="s">
        <v>326</v>
      </c>
      <c r="W6243">
        <v>2015</v>
      </c>
      <c r="X6243" t="s">
        <v>11331</v>
      </c>
      <c r="Y6243" t="s">
        <v>11337</v>
      </c>
      <c r="Z6243" t="s">
        <v>15199</v>
      </c>
      <c r="AB6243" t="s">
        <v>19489</v>
      </c>
      <c r="AC6243">
        <v>95</v>
      </c>
      <c r="AD6243" t="s">
        <v>19566</v>
      </c>
      <c r="AF6243">
        <v>-1</v>
      </c>
      <c r="AG6243">
        <v>1</v>
      </c>
      <c r="AH6243">
        <v>0</v>
      </c>
      <c r="AI6243">
        <v>560.45</v>
      </c>
      <c r="AJ6243" t="s">
        <v>19591</v>
      </c>
      <c r="AK6243" t="s">
        <v>19608</v>
      </c>
      <c r="AL6243" t="s">
        <v>19614</v>
      </c>
      <c r="AM6243">
        <v>70000</v>
      </c>
      <c r="AS6243">
        <v>1.5</v>
      </c>
      <c r="AT6243" t="s">
        <v>570</v>
      </c>
      <c r="AU6243" t="s">
        <v>57</v>
      </c>
      <c r="AV6243" t="s">
        <v>20733</v>
      </c>
    </row>
    <row r="6244" spans="1:48">
      <c r="A6244" s="1">
        <f>HYPERLINK("https://lsnyc.legalserver.org/matter/dynamic-profile/view/1907723","19-1907723")</f>
        <v>0</v>
      </c>
      <c r="B6244" t="s">
        <v>119</v>
      </c>
      <c r="C6244" t="s">
        <v>256</v>
      </c>
      <c r="D6244" t="s">
        <v>429</v>
      </c>
      <c r="F6244" t="s">
        <v>3288</v>
      </c>
      <c r="G6244" t="s">
        <v>4866</v>
      </c>
      <c r="H6244" t="s">
        <v>8092</v>
      </c>
      <c r="I6244">
        <v>52</v>
      </c>
      <c r="J6244" t="s">
        <v>9065</v>
      </c>
      <c r="K6244">
        <v>10452</v>
      </c>
      <c r="L6244" t="s">
        <v>9094</v>
      </c>
      <c r="M6244" t="s">
        <v>9095</v>
      </c>
      <c r="R6244" t="s">
        <v>11180</v>
      </c>
      <c r="S6244" t="s">
        <v>9094</v>
      </c>
      <c r="T6244" t="s">
        <v>11183</v>
      </c>
      <c r="W6244">
        <v>1380.54</v>
      </c>
      <c r="X6244" t="s">
        <v>11333</v>
      </c>
      <c r="Y6244" t="s">
        <v>11346</v>
      </c>
      <c r="Z6244" t="s">
        <v>15200</v>
      </c>
      <c r="AB6244" t="s">
        <v>19490</v>
      </c>
      <c r="AC6244">
        <v>31</v>
      </c>
      <c r="AD6244" t="s">
        <v>19566</v>
      </c>
      <c r="AE6244" t="s">
        <v>9144</v>
      </c>
      <c r="AF6244">
        <v>3</v>
      </c>
      <c r="AG6244">
        <v>1</v>
      </c>
      <c r="AH6244">
        <v>0</v>
      </c>
      <c r="AI6244">
        <v>560.45</v>
      </c>
      <c r="AL6244" t="s">
        <v>19614</v>
      </c>
      <c r="AM6244">
        <v>70000</v>
      </c>
      <c r="AS6244">
        <v>0</v>
      </c>
      <c r="AU6244" t="s">
        <v>20647</v>
      </c>
      <c r="AV6244" t="s">
        <v>20733</v>
      </c>
    </row>
    <row r="6245" spans="1:48">
      <c r="A6245" s="1">
        <f>HYPERLINK("https://lsnyc.legalserver.org/matter/dynamic-profile/view/1905028","19-1905028")</f>
        <v>0</v>
      </c>
      <c r="B6245" t="s">
        <v>135</v>
      </c>
      <c r="C6245" t="s">
        <v>256</v>
      </c>
      <c r="D6245" t="s">
        <v>367</v>
      </c>
      <c r="F6245" t="s">
        <v>3289</v>
      </c>
      <c r="G6245" t="s">
        <v>5632</v>
      </c>
      <c r="H6245" t="s">
        <v>7022</v>
      </c>
      <c r="I6245" t="s">
        <v>8151</v>
      </c>
      <c r="J6245" t="s">
        <v>9067</v>
      </c>
      <c r="K6245">
        <v>10024</v>
      </c>
      <c r="L6245" t="s">
        <v>9094</v>
      </c>
      <c r="M6245" t="s">
        <v>9095</v>
      </c>
      <c r="O6245" t="s">
        <v>11130</v>
      </c>
      <c r="P6245" t="s">
        <v>11169</v>
      </c>
      <c r="R6245" t="s">
        <v>11180</v>
      </c>
      <c r="S6245" t="s">
        <v>9094</v>
      </c>
      <c r="T6245" t="s">
        <v>11183</v>
      </c>
      <c r="U6245" t="s">
        <v>11201</v>
      </c>
      <c r="V6245" t="s">
        <v>706</v>
      </c>
      <c r="W6245">
        <v>2085</v>
      </c>
      <c r="X6245" t="s">
        <v>11335</v>
      </c>
      <c r="Y6245" t="s">
        <v>11351</v>
      </c>
      <c r="Z6245" t="s">
        <v>15201</v>
      </c>
      <c r="AB6245" t="s">
        <v>19491</v>
      </c>
      <c r="AC6245">
        <v>29</v>
      </c>
      <c r="AD6245" t="s">
        <v>19566</v>
      </c>
      <c r="AE6245" t="s">
        <v>9144</v>
      </c>
      <c r="AF6245">
        <v>2</v>
      </c>
      <c r="AG6245">
        <v>1</v>
      </c>
      <c r="AH6245">
        <v>0</v>
      </c>
      <c r="AI6245">
        <v>560.45</v>
      </c>
      <c r="AL6245" t="s">
        <v>19614</v>
      </c>
      <c r="AM6245">
        <v>70000</v>
      </c>
      <c r="AS6245">
        <v>0.1</v>
      </c>
      <c r="AT6245" t="s">
        <v>408</v>
      </c>
      <c r="AU6245" t="s">
        <v>20657</v>
      </c>
      <c r="AV6245" t="s">
        <v>20733</v>
      </c>
    </row>
    <row r="6246" spans="1:48">
      <c r="A6246" s="1">
        <f>HYPERLINK("https://lsnyc.legalserver.org/matter/dynamic-profile/view/1901428","19-1901428")</f>
        <v>0</v>
      </c>
      <c r="B6246" t="s">
        <v>101</v>
      </c>
      <c r="C6246" t="s">
        <v>256</v>
      </c>
      <c r="D6246" t="s">
        <v>559</v>
      </c>
      <c r="F6246" t="s">
        <v>3290</v>
      </c>
      <c r="G6246" t="s">
        <v>5633</v>
      </c>
      <c r="H6246" t="s">
        <v>6113</v>
      </c>
      <c r="I6246" t="s">
        <v>8134</v>
      </c>
      <c r="J6246" t="s">
        <v>9065</v>
      </c>
      <c r="K6246">
        <v>10452</v>
      </c>
      <c r="L6246" t="s">
        <v>9094</v>
      </c>
      <c r="M6246" t="s">
        <v>9095</v>
      </c>
      <c r="O6246" t="s">
        <v>11134</v>
      </c>
      <c r="P6246" t="s">
        <v>11168</v>
      </c>
      <c r="R6246" t="s">
        <v>11180</v>
      </c>
      <c r="S6246" t="s">
        <v>9094</v>
      </c>
      <c r="T6246" t="s">
        <v>11183</v>
      </c>
      <c r="V6246" t="s">
        <v>11218</v>
      </c>
      <c r="W6246">
        <v>1800</v>
      </c>
      <c r="X6246" t="s">
        <v>11333</v>
      </c>
      <c r="Y6246" t="s">
        <v>11346</v>
      </c>
      <c r="Z6246" t="s">
        <v>15202</v>
      </c>
      <c r="AB6246" t="s">
        <v>19492</v>
      </c>
      <c r="AC6246">
        <v>52</v>
      </c>
      <c r="AE6246" t="s">
        <v>9144</v>
      </c>
      <c r="AF6246">
        <v>1</v>
      </c>
      <c r="AG6246">
        <v>2</v>
      </c>
      <c r="AH6246">
        <v>0</v>
      </c>
      <c r="AI6246">
        <v>561.8</v>
      </c>
      <c r="AL6246" t="s">
        <v>19614</v>
      </c>
      <c r="AM6246">
        <v>95000</v>
      </c>
      <c r="AS6246">
        <v>0</v>
      </c>
      <c r="AU6246" t="s">
        <v>220</v>
      </c>
      <c r="AV6246" t="s">
        <v>20733</v>
      </c>
    </row>
    <row r="6247" spans="1:48">
      <c r="A6247" s="1">
        <f>HYPERLINK("https://lsnyc.legalserver.org/matter/dynamic-profile/view/1894881","19-1894881")</f>
        <v>0</v>
      </c>
      <c r="B6247" t="s">
        <v>139</v>
      </c>
      <c r="C6247" t="s">
        <v>256</v>
      </c>
      <c r="D6247" t="s">
        <v>264</v>
      </c>
      <c r="F6247" t="s">
        <v>1303</v>
      </c>
      <c r="G6247" t="s">
        <v>5634</v>
      </c>
      <c r="H6247" t="s">
        <v>6488</v>
      </c>
      <c r="I6247">
        <v>53</v>
      </c>
      <c r="J6247" t="s">
        <v>9067</v>
      </c>
      <c r="K6247">
        <v>10034</v>
      </c>
      <c r="L6247" t="s">
        <v>9094</v>
      </c>
      <c r="M6247" t="s">
        <v>9094</v>
      </c>
      <c r="N6247" t="s">
        <v>9709</v>
      </c>
      <c r="O6247" t="s">
        <v>11130</v>
      </c>
      <c r="P6247" t="s">
        <v>11165</v>
      </c>
      <c r="R6247" t="s">
        <v>11180</v>
      </c>
      <c r="S6247" t="s">
        <v>9094</v>
      </c>
      <c r="T6247" t="s">
        <v>11183</v>
      </c>
      <c r="V6247" t="s">
        <v>317</v>
      </c>
      <c r="W6247">
        <v>2012.58</v>
      </c>
      <c r="X6247" t="s">
        <v>11335</v>
      </c>
      <c r="Y6247" t="s">
        <v>11338</v>
      </c>
      <c r="Z6247" t="s">
        <v>14895</v>
      </c>
      <c r="AB6247" t="s">
        <v>19493</v>
      </c>
      <c r="AC6247">
        <v>20</v>
      </c>
      <c r="AD6247" t="s">
        <v>19566</v>
      </c>
      <c r="AE6247" t="s">
        <v>9144</v>
      </c>
      <c r="AF6247">
        <v>9</v>
      </c>
      <c r="AG6247">
        <v>3</v>
      </c>
      <c r="AH6247">
        <v>0</v>
      </c>
      <c r="AI6247">
        <v>565.4</v>
      </c>
      <c r="AK6247" t="s">
        <v>19612</v>
      </c>
      <c r="AL6247" t="s">
        <v>19614</v>
      </c>
      <c r="AM6247">
        <v>120600</v>
      </c>
      <c r="AS6247">
        <v>73.5</v>
      </c>
      <c r="AT6247" t="s">
        <v>1063</v>
      </c>
      <c r="AU6247" t="s">
        <v>20706</v>
      </c>
      <c r="AV6247" t="s">
        <v>20733</v>
      </c>
    </row>
    <row r="6248" spans="1:48">
      <c r="A6248" s="1">
        <f>HYPERLINK("https://lsnyc.legalserver.org/matter/dynamic-profile/view/1904807","19-1904807")</f>
        <v>0</v>
      </c>
      <c r="B6248" t="s">
        <v>115</v>
      </c>
      <c r="C6248" t="s">
        <v>256</v>
      </c>
      <c r="D6248" t="s">
        <v>748</v>
      </c>
      <c r="F6248" t="s">
        <v>3291</v>
      </c>
      <c r="G6248" t="s">
        <v>4018</v>
      </c>
      <c r="H6248" t="s">
        <v>6005</v>
      </c>
      <c r="I6248">
        <v>2</v>
      </c>
      <c r="J6248" t="s">
        <v>9065</v>
      </c>
      <c r="K6248">
        <v>10458</v>
      </c>
      <c r="L6248" t="s">
        <v>9094</v>
      </c>
      <c r="M6248" t="s">
        <v>9095</v>
      </c>
      <c r="N6248" t="s">
        <v>10369</v>
      </c>
      <c r="O6248" t="s">
        <v>11134</v>
      </c>
      <c r="P6248" t="s">
        <v>11168</v>
      </c>
      <c r="R6248" t="s">
        <v>11180</v>
      </c>
      <c r="S6248" t="s">
        <v>9094</v>
      </c>
      <c r="T6248" t="s">
        <v>11183</v>
      </c>
      <c r="V6248" t="s">
        <v>11218</v>
      </c>
      <c r="W6248">
        <v>1343</v>
      </c>
      <c r="X6248" t="s">
        <v>11333</v>
      </c>
      <c r="Y6248" t="s">
        <v>11346</v>
      </c>
      <c r="Z6248" t="s">
        <v>987</v>
      </c>
      <c r="AB6248" t="s">
        <v>19494</v>
      </c>
      <c r="AC6248">
        <v>48</v>
      </c>
      <c r="AD6248" t="s">
        <v>19566</v>
      </c>
      <c r="AE6248" t="s">
        <v>9144</v>
      </c>
      <c r="AF6248">
        <v>30</v>
      </c>
      <c r="AG6248">
        <v>4</v>
      </c>
      <c r="AH6248">
        <v>0</v>
      </c>
      <c r="AI6248">
        <v>566.99</v>
      </c>
      <c r="AL6248" t="s">
        <v>19614</v>
      </c>
      <c r="AM6248">
        <v>146000</v>
      </c>
      <c r="AS6248">
        <v>1</v>
      </c>
      <c r="AT6248" t="s">
        <v>748</v>
      </c>
      <c r="AU6248" t="s">
        <v>174</v>
      </c>
      <c r="AV6248" t="s">
        <v>20733</v>
      </c>
    </row>
    <row r="6249" spans="1:48">
      <c r="A6249" s="1">
        <f>HYPERLINK("https://lsnyc.legalserver.org/matter/dynamic-profile/view/1893963","19-1893963")</f>
        <v>0</v>
      </c>
      <c r="B6249" t="s">
        <v>115</v>
      </c>
      <c r="C6249" t="s">
        <v>256</v>
      </c>
      <c r="D6249" t="s">
        <v>413</v>
      </c>
      <c r="F6249" t="s">
        <v>3291</v>
      </c>
      <c r="G6249" t="s">
        <v>4018</v>
      </c>
      <c r="H6249" t="s">
        <v>6005</v>
      </c>
      <c r="I6249">
        <v>2</v>
      </c>
      <c r="J6249" t="s">
        <v>9065</v>
      </c>
      <c r="K6249">
        <v>10458</v>
      </c>
      <c r="L6249" t="s">
        <v>9094</v>
      </c>
      <c r="M6249" t="s">
        <v>9094</v>
      </c>
      <c r="O6249" t="s">
        <v>11136</v>
      </c>
      <c r="P6249" t="s">
        <v>11164</v>
      </c>
      <c r="R6249" t="s">
        <v>11180</v>
      </c>
      <c r="S6249" t="s">
        <v>9094</v>
      </c>
      <c r="T6249" t="s">
        <v>11183</v>
      </c>
      <c r="V6249" t="s">
        <v>11218</v>
      </c>
      <c r="W6249">
        <v>1340</v>
      </c>
      <c r="X6249" t="s">
        <v>11333</v>
      </c>
      <c r="Y6249" t="s">
        <v>11346</v>
      </c>
      <c r="Z6249" t="s">
        <v>987</v>
      </c>
      <c r="AB6249" t="s">
        <v>19494</v>
      </c>
      <c r="AC6249">
        <v>48</v>
      </c>
      <c r="AD6249" t="s">
        <v>19566</v>
      </c>
      <c r="AE6249" t="s">
        <v>9144</v>
      </c>
      <c r="AF6249">
        <v>30</v>
      </c>
      <c r="AG6249">
        <v>4</v>
      </c>
      <c r="AH6249">
        <v>0</v>
      </c>
      <c r="AI6249">
        <v>566.99</v>
      </c>
      <c r="AL6249" t="s">
        <v>19614</v>
      </c>
      <c r="AM6249">
        <v>146000</v>
      </c>
      <c r="AS6249">
        <v>1</v>
      </c>
      <c r="AT6249" t="s">
        <v>413</v>
      </c>
      <c r="AU6249" t="s">
        <v>174</v>
      </c>
      <c r="AV6249" t="s">
        <v>20733</v>
      </c>
    </row>
    <row r="6250" spans="1:48">
      <c r="A6250" s="1">
        <f>HYPERLINK("https://lsnyc.legalserver.org/matter/dynamic-profile/view/1891983","19-1891983")</f>
        <v>0</v>
      </c>
      <c r="B6250" t="s">
        <v>70</v>
      </c>
      <c r="C6250" t="s">
        <v>256</v>
      </c>
      <c r="D6250" t="s">
        <v>868</v>
      </c>
      <c r="F6250" t="s">
        <v>2028</v>
      </c>
      <c r="G6250" t="s">
        <v>5635</v>
      </c>
      <c r="H6250" t="s">
        <v>5749</v>
      </c>
      <c r="I6250" t="s">
        <v>9030</v>
      </c>
      <c r="J6250" t="s">
        <v>9059</v>
      </c>
      <c r="K6250">
        <v>11233</v>
      </c>
      <c r="L6250" t="s">
        <v>9094</v>
      </c>
      <c r="M6250" t="s">
        <v>9096</v>
      </c>
      <c r="N6250" t="s">
        <v>9146</v>
      </c>
      <c r="O6250" t="s">
        <v>11134</v>
      </c>
      <c r="P6250" t="s">
        <v>11168</v>
      </c>
      <c r="R6250" t="s">
        <v>11180</v>
      </c>
      <c r="S6250" t="s">
        <v>9094</v>
      </c>
      <c r="T6250" t="s">
        <v>11183</v>
      </c>
      <c r="U6250" t="s">
        <v>11201</v>
      </c>
      <c r="V6250" t="s">
        <v>482</v>
      </c>
      <c r="W6250">
        <v>989.35</v>
      </c>
      <c r="X6250" t="s">
        <v>11332</v>
      </c>
      <c r="Y6250" t="s">
        <v>11157</v>
      </c>
      <c r="Z6250" t="s">
        <v>15203</v>
      </c>
      <c r="AC6250">
        <v>359</v>
      </c>
      <c r="AD6250" t="s">
        <v>19566</v>
      </c>
      <c r="AE6250" t="s">
        <v>9144</v>
      </c>
      <c r="AF6250">
        <v>16</v>
      </c>
      <c r="AG6250">
        <v>2</v>
      </c>
      <c r="AH6250">
        <v>0</v>
      </c>
      <c r="AI6250">
        <v>567.71</v>
      </c>
      <c r="AL6250" t="s">
        <v>19614</v>
      </c>
      <c r="AM6250">
        <v>96000</v>
      </c>
      <c r="AN6250" t="s">
        <v>20270</v>
      </c>
      <c r="AS6250">
        <v>0</v>
      </c>
      <c r="AU6250" t="s">
        <v>79</v>
      </c>
    </row>
    <row r="6251" spans="1:48">
      <c r="A6251" s="1">
        <f>HYPERLINK("https://lsnyc.legalserver.org/matter/dynamic-profile/view/1891988","19-1891988")</f>
        <v>0</v>
      </c>
      <c r="B6251" t="s">
        <v>70</v>
      </c>
      <c r="C6251" t="s">
        <v>256</v>
      </c>
      <c r="D6251" t="s">
        <v>868</v>
      </c>
      <c r="F6251" t="s">
        <v>2028</v>
      </c>
      <c r="G6251" t="s">
        <v>5635</v>
      </c>
      <c r="H6251" t="s">
        <v>5749</v>
      </c>
      <c r="I6251" t="s">
        <v>9030</v>
      </c>
      <c r="J6251" t="s">
        <v>9059</v>
      </c>
      <c r="K6251">
        <v>11233</v>
      </c>
      <c r="L6251" t="s">
        <v>9094</v>
      </c>
      <c r="M6251" t="s">
        <v>9096</v>
      </c>
      <c r="O6251" t="s">
        <v>11137</v>
      </c>
      <c r="P6251" t="s">
        <v>11167</v>
      </c>
      <c r="R6251" t="s">
        <v>11180</v>
      </c>
      <c r="S6251" t="s">
        <v>9094</v>
      </c>
      <c r="T6251" t="s">
        <v>11183</v>
      </c>
      <c r="U6251" t="s">
        <v>11201</v>
      </c>
      <c r="V6251" t="s">
        <v>749</v>
      </c>
      <c r="W6251">
        <v>989.35</v>
      </c>
      <c r="X6251" t="s">
        <v>11332</v>
      </c>
      <c r="Y6251" t="s">
        <v>11157</v>
      </c>
      <c r="Z6251" t="s">
        <v>15203</v>
      </c>
      <c r="AC6251">
        <v>359</v>
      </c>
      <c r="AD6251" t="s">
        <v>19566</v>
      </c>
      <c r="AE6251" t="s">
        <v>9144</v>
      </c>
      <c r="AF6251">
        <v>16</v>
      </c>
      <c r="AG6251">
        <v>2</v>
      </c>
      <c r="AH6251">
        <v>0</v>
      </c>
      <c r="AI6251">
        <v>567.71</v>
      </c>
      <c r="AL6251" t="s">
        <v>19614</v>
      </c>
      <c r="AM6251">
        <v>96000</v>
      </c>
      <c r="AN6251" t="s">
        <v>20271</v>
      </c>
      <c r="AS6251">
        <v>0</v>
      </c>
      <c r="AU6251" t="s">
        <v>79</v>
      </c>
    </row>
    <row r="6252" spans="1:48">
      <c r="A6252" s="1">
        <f>HYPERLINK("https://lsnyc.legalserver.org/matter/dynamic-profile/view/1876838","18-1876838")</f>
        <v>0</v>
      </c>
      <c r="B6252" t="s">
        <v>165</v>
      </c>
      <c r="C6252" t="s">
        <v>256</v>
      </c>
      <c r="D6252" t="s">
        <v>500</v>
      </c>
      <c r="F6252" t="s">
        <v>3292</v>
      </c>
      <c r="G6252" t="s">
        <v>1299</v>
      </c>
      <c r="H6252" t="s">
        <v>6934</v>
      </c>
      <c r="I6252" t="s">
        <v>8227</v>
      </c>
      <c r="J6252" t="s">
        <v>9059</v>
      </c>
      <c r="K6252">
        <v>11216</v>
      </c>
      <c r="L6252" t="s">
        <v>9094</v>
      </c>
      <c r="M6252" t="s">
        <v>9094</v>
      </c>
      <c r="N6252" t="s">
        <v>10050</v>
      </c>
      <c r="O6252" t="s">
        <v>11132</v>
      </c>
      <c r="P6252" t="s">
        <v>11165</v>
      </c>
      <c r="R6252" t="s">
        <v>11180</v>
      </c>
      <c r="S6252" t="s">
        <v>9094</v>
      </c>
      <c r="T6252" t="s">
        <v>11183</v>
      </c>
      <c r="V6252" t="s">
        <v>688</v>
      </c>
      <c r="W6252">
        <v>2200</v>
      </c>
      <c r="X6252" t="s">
        <v>11332</v>
      </c>
      <c r="Y6252" t="s">
        <v>11339</v>
      </c>
      <c r="Z6252" t="s">
        <v>15204</v>
      </c>
      <c r="AB6252" t="s">
        <v>19495</v>
      </c>
      <c r="AC6252">
        <v>82</v>
      </c>
      <c r="AD6252" t="s">
        <v>19566</v>
      </c>
      <c r="AE6252" t="s">
        <v>9144</v>
      </c>
      <c r="AF6252">
        <v>1</v>
      </c>
      <c r="AG6252">
        <v>1</v>
      </c>
      <c r="AH6252">
        <v>0</v>
      </c>
      <c r="AI6252">
        <v>568.37</v>
      </c>
      <c r="AL6252" t="s">
        <v>19614</v>
      </c>
      <c r="AM6252">
        <v>69000</v>
      </c>
      <c r="AN6252" t="s">
        <v>19720</v>
      </c>
      <c r="AS6252">
        <v>0</v>
      </c>
      <c r="AU6252" t="s">
        <v>95</v>
      </c>
    </row>
    <row r="6253" spans="1:48">
      <c r="A6253" s="1">
        <f>HYPERLINK("https://lsnyc.legalserver.org/matter/dynamic-profile/view/1876837","18-1876837")</f>
        <v>0</v>
      </c>
      <c r="B6253" t="s">
        <v>165</v>
      </c>
      <c r="C6253" t="s">
        <v>256</v>
      </c>
      <c r="D6253" t="s">
        <v>500</v>
      </c>
      <c r="F6253" t="s">
        <v>3292</v>
      </c>
      <c r="G6253" t="s">
        <v>1299</v>
      </c>
      <c r="H6253" t="s">
        <v>6934</v>
      </c>
      <c r="I6253" t="s">
        <v>8227</v>
      </c>
      <c r="J6253" t="s">
        <v>9059</v>
      </c>
      <c r="K6253">
        <v>11216</v>
      </c>
      <c r="L6253" t="s">
        <v>9094</v>
      </c>
      <c r="M6253" t="s">
        <v>9094</v>
      </c>
      <c r="N6253" t="s">
        <v>9121</v>
      </c>
      <c r="O6253" t="s">
        <v>9121</v>
      </c>
      <c r="P6253" t="s">
        <v>11167</v>
      </c>
      <c r="R6253" t="s">
        <v>11180</v>
      </c>
      <c r="S6253" t="s">
        <v>9094</v>
      </c>
      <c r="T6253" t="s">
        <v>11183</v>
      </c>
      <c r="V6253" t="s">
        <v>419</v>
      </c>
      <c r="W6253">
        <v>2200</v>
      </c>
      <c r="X6253" t="s">
        <v>11332</v>
      </c>
      <c r="Y6253" t="s">
        <v>11339</v>
      </c>
      <c r="Z6253" t="s">
        <v>15204</v>
      </c>
      <c r="AB6253" t="s">
        <v>19495</v>
      </c>
      <c r="AC6253">
        <v>82</v>
      </c>
      <c r="AD6253" t="s">
        <v>19566</v>
      </c>
      <c r="AE6253" t="s">
        <v>9144</v>
      </c>
      <c r="AF6253">
        <v>1</v>
      </c>
      <c r="AG6253">
        <v>1</v>
      </c>
      <c r="AH6253">
        <v>0</v>
      </c>
      <c r="AI6253">
        <v>568.37</v>
      </c>
      <c r="AL6253" t="s">
        <v>19614</v>
      </c>
      <c r="AM6253">
        <v>69000</v>
      </c>
      <c r="AN6253" t="s">
        <v>19665</v>
      </c>
      <c r="AS6253">
        <v>0</v>
      </c>
      <c r="AU6253" t="s">
        <v>95</v>
      </c>
    </row>
    <row r="6254" spans="1:48">
      <c r="A6254" s="1">
        <f>HYPERLINK("https://lsnyc.legalserver.org/matter/dynamic-profile/view/1865769","18-1865769")</f>
        <v>0</v>
      </c>
      <c r="B6254" t="s">
        <v>108</v>
      </c>
      <c r="C6254" t="s">
        <v>256</v>
      </c>
      <c r="D6254" t="s">
        <v>1056</v>
      </c>
      <c r="F6254" t="s">
        <v>3252</v>
      </c>
      <c r="G6254" t="s">
        <v>5572</v>
      </c>
      <c r="H6254" t="s">
        <v>7624</v>
      </c>
      <c r="I6254" t="s">
        <v>8348</v>
      </c>
      <c r="J6254" t="s">
        <v>9065</v>
      </c>
      <c r="K6254">
        <v>10453</v>
      </c>
      <c r="L6254" t="s">
        <v>9094</v>
      </c>
      <c r="M6254" t="s">
        <v>9095</v>
      </c>
      <c r="P6254" t="s">
        <v>11166</v>
      </c>
      <c r="R6254" t="s">
        <v>11180</v>
      </c>
      <c r="T6254" t="s">
        <v>11183</v>
      </c>
      <c r="V6254" t="s">
        <v>11219</v>
      </c>
      <c r="W6254">
        <v>0</v>
      </c>
      <c r="X6254" t="s">
        <v>11333</v>
      </c>
      <c r="Z6254" t="s">
        <v>15110</v>
      </c>
      <c r="AB6254" t="s">
        <v>19404</v>
      </c>
      <c r="AC6254">
        <v>0</v>
      </c>
      <c r="AF6254">
        <v>0</v>
      </c>
      <c r="AG6254">
        <v>1</v>
      </c>
      <c r="AH6254">
        <v>0</v>
      </c>
      <c r="AI6254">
        <v>569.6900000000001</v>
      </c>
      <c r="AL6254" t="s">
        <v>19614</v>
      </c>
      <c r="AM6254">
        <v>86320</v>
      </c>
      <c r="AS6254">
        <v>2.35</v>
      </c>
      <c r="AT6254" t="s">
        <v>402</v>
      </c>
      <c r="AU6254" t="s">
        <v>163</v>
      </c>
    </row>
    <row r="6255" spans="1:48">
      <c r="A6255" s="1">
        <f>HYPERLINK("https://lsnyc.legalserver.org/matter/dynamic-profile/view/1838835","17-1838835")</f>
        <v>0</v>
      </c>
      <c r="B6255" t="s">
        <v>103</v>
      </c>
      <c r="C6255" t="s">
        <v>256</v>
      </c>
      <c r="D6255" t="s">
        <v>796</v>
      </c>
      <c r="F6255" t="s">
        <v>2608</v>
      </c>
      <c r="G6255" t="s">
        <v>3572</v>
      </c>
      <c r="H6255" t="s">
        <v>7246</v>
      </c>
      <c r="I6255" t="s">
        <v>8507</v>
      </c>
      <c r="J6255" t="s">
        <v>9065</v>
      </c>
      <c r="K6255">
        <v>10473</v>
      </c>
      <c r="L6255" t="s">
        <v>9094</v>
      </c>
      <c r="M6255" t="s">
        <v>9095</v>
      </c>
      <c r="N6255" t="s">
        <v>10468</v>
      </c>
      <c r="O6255" t="s">
        <v>11135</v>
      </c>
      <c r="P6255" t="s">
        <v>11168</v>
      </c>
      <c r="R6255" t="s">
        <v>11180</v>
      </c>
      <c r="S6255" t="s">
        <v>9094</v>
      </c>
      <c r="T6255" t="s">
        <v>11183</v>
      </c>
      <c r="V6255" t="s">
        <v>11223</v>
      </c>
      <c r="W6255">
        <v>930.9</v>
      </c>
      <c r="X6255" t="s">
        <v>11333</v>
      </c>
      <c r="Y6255" t="s">
        <v>11351</v>
      </c>
      <c r="Z6255" t="s">
        <v>15205</v>
      </c>
      <c r="AB6255" t="s">
        <v>19496</v>
      </c>
      <c r="AC6255">
        <v>976</v>
      </c>
      <c r="AD6255" t="s">
        <v>19566</v>
      </c>
      <c r="AE6255" t="s">
        <v>9144</v>
      </c>
      <c r="AF6255">
        <v>32</v>
      </c>
      <c r="AG6255">
        <v>1</v>
      </c>
      <c r="AH6255">
        <v>0</v>
      </c>
      <c r="AI6255">
        <v>572.14</v>
      </c>
      <c r="AJ6255" t="s">
        <v>936</v>
      </c>
      <c r="AL6255" t="s">
        <v>19614</v>
      </c>
      <c r="AM6255">
        <v>69000</v>
      </c>
      <c r="AS6255">
        <v>0</v>
      </c>
      <c r="AU6255" t="s">
        <v>20643</v>
      </c>
    </row>
    <row r="6256" spans="1:48">
      <c r="A6256" s="1">
        <f>HYPERLINK("https://lsnyc.legalserver.org/matter/dynamic-profile/view/1876591","18-1876591")</f>
        <v>0</v>
      </c>
      <c r="B6256" t="s">
        <v>165</v>
      </c>
      <c r="C6256" t="s">
        <v>256</v>
      </c>
      <c r="D6256" t="s">
        <v>593</v>
      </c>
      <c r="F6256" t="s">
        <v>3293</v>
      </c>
      <c r="G6256" t="s">
        <v>4064</v>
      </c>
      <c r="H6256" t="s">
        <v>6934</v>
      </c>
      <c r="I6256" t="s">
        <v>8279</v>
      </c>
      <c r="J6256" t="s">
        <v>9059</v>
      </c>
      <c r="K6256">
        <v>11216</v>
      </c>
      <c r="L6256" t="s">
        <v>9094</v>
      </c>
      <c r="M6256" t="s">
        <v>9094</v>
      </c>
      <c r="N6256" t="s">
        <v>10050</v>
      </c>
      <c r="O6256" t="s">
        <v>11132</v>
      </c>
      <c r="P6256" t="s">
        <v>11165</v>
      </c>
      <c r="R6256" t="s">
        <v>11180</v>
      </c>
      <c r="S6256" t="s">
        <v>9094</v>
      </c>
      <c r="T6256" t="s">
        <v>11183</v>
      </c>
      <c r="V6256" t="s">
        <v>940</v>
      </c>
      <c r="W6256">
        <v>1500</v>
      </c>
      <c r="X6256" t="s">
        <v>11332</v>
      </c>
      <c r="Y6256" t="s">
        <v>11339</v>
      </c>
      <c r="Z6256" t="s">
        <v>15206</v>
      </c>
      <c r="AC6256">
        <v>8</v>
      </c>
      <c r="AD6256" t="s">
        <v>19566</v>
      </c>
      <c r="AE6256" t="s">
        <v>9144</v>
      </c>
      <c r="AF6256">
        <v>1</v>
      </c>
      <c r="AG6256">
        <v>1</v>
      </c>
      <c r="AH6256">
        <v>0</v>
      </c>
      <c r="AI6256">
        <v>576.61</v>
      </c>
      <c r="AL6256" t="s">
        <v>19614</v>
      </c>
      <c r="AM6256">
        <v>70000</v>
      </c>
      <c r="AN6256" t="s">
        <v>19720</v>
      </c>
      <c r="AS6256">
        <v>0</v>
      </c>
      <c r="AU6256" t="s">
        <v>95</v>
      </c>
    </row>
    <row r="6257" spans="1:48">
      <c r="A6257" s="1">
        <f>HYPERLINK("https://lsnyc.legalserver.org/matter/dynamic-profile/view/1876587","18-1876587")</f>
        <v>0</v>
      </c>
      <c r="B6257" t="s">
        <v>165</v>
      </c>
      <c r="C6257" t="s">
        <v>256</v>
      </c>
      <c r="D6257" t="s">
        <v>593</v>
      </c>
      <c r="F6257" t="s">
        <v>3293</v>
      </c>
      <c r="G6257" t="s">
        <v>4064</v>
      </c>
      <c r="H6257" t="s">
        <v>6934</v>
      </c>
      <c r="I6257" t="s">
        <v>8279</v>
      </c>
      <c r="J6257" t="s">
        <v>9059</v>
      </c>
      <c r="K6257">
        <v>11216</v>
      </c>
      <c r="L6257" t="s">
        <v>9094</v>
      </c>
      <c r="M6257" t="s">
        <v>9094</v>
      </c>
      <c r="O6257" t="s">
        <v>9121</v>
      </c>
      <c r="P6257" t="s">
        <v>11167</v>
      </c>
      <c r="R6257" t="s">
        <v>11180</v>
      </c>
      <c r="S6257" t="s">
        <v>9094</v>
      </c>
      <c r="T6257" t="s">
        <v>11183</v>
      </c>
      <c r="V6257" t="s">
        <v>940</v>
      </c>
      <c r="W6257">
        <v>1500</v>
      </c>
      <c r="X6257" t="s">
        <v>11332</v>
      </c>
      <c r="Y6257" t="s">
        <v>11339</v>
      </c>
      <c r="Z6257" t="s">
        <v>15206</v>
      </c>
      <c r="AC6257">
        <v>8</v>
      </c>
      <c r="AD6257" t="s">
        <v>19566</v>
      </c>
      <c r="AE6257" t="s">
        <v>9144</v>
      </c>
      <c r="AF6257">
        <v>1</v>
      </c>
      <c r="AG6257">
        <v>1</v>
      </c>
      <c r="AH6257">
        <v>0</v>
      </c>
      <c r="AI6257">
        <v>576.61</v>
      </c>
      <c r="AL6257" t="s">
        <v>19614</v>
      </c>
      <c r="AM6257">
        <v>70000</v>
      </c>
      <c r="AN6257" t="s">
        <v>19720</v>
      </c>
      <c r="AS6257">
        <v>0</v>
      </c>
      <c r="AU6257" t="s">
        <v>95</v>
      </c>
    </row>
    <row r="6258" spans="1:48">
      <c r="A6258" s="1">
        <f>HYPERLINK("https://lsnyc.legalserver.org/matter/dynamic-profile/view/1876808","18-1876808")</f>
        <v>0</v>
      </c>
      <c r="B6258" t="s">
        <v>165</v>
      </c>
      <c r="C6258" t="s">
        <v>256</v>
      </c>
      <c r="D6258" t="s">
        <v>500</v>
      </c>
      <c r="F6258" t="s">
        <v>3294</v>
      </c>
      <c r="G6258" t="s">
        <v>5636</v>
      </c>
      <c r="H6258" t="s">
        <v>6934</v>
      </c>
      <c r="I6258" t="s">
        <v>8209</v>
      </c>
      <c r="J6258" t="s">
        <v>9059</v>
      </c>
      <c r="K6258">
        <v>11216</v>
      </c>
      <c r="L6258" t="s">
        <v>9094</v>
      </c>
      <c r="M6258" t="s">
        <v>9094</v>
      </c>
      <c r="N6258" t="s">
        <v>10050</v>
      </c>
      <c r="O6258" t="s">
        <v>11132</v>
      </c>
      <c r="P6258" t="s">
        <v>11165</v>
      </c>
      <c r="R6258" t="s">
        <v>11180</v>
      </c>
      <c r="S6258" t="s">
        <v>9094</v>
      </c>
      <c r="T6258" t="s">
        <v>11183</v>
      </c>
      <c r="V6258" t="s">
        <v>11308</v>
      </c>
      <c r="W6258">
        <v>1350</v>
      </c>
      <c r="X6258" t="s">
        <v>11332</v>
      </c>
      <c r="Y6258" t="s">
        <v>11339</v>
      </c>
      <c r="Z6258" t="s">
        <v>13695</v>
      </c>
      <c r="AB6258" t="s">
        <v>19497</v>
      </c>
      <c r="AC6258">
        <v>82</v>
      </c>
      <c r="AD6258" t="s">
        <v>19566</v>
      </c>
      <c r="AE6258" t="s">
        <v>9144</v>
      </c>
      <c r="AF6258">
        <v>1</v>
      </c>
      <c r="AG6258">
        <v>1</v>
      </c>
      <c r="AH6258">
        <v>0</v>
      </c>
      <c r="AI6258">
        <v>577.11</v>
      </c>
      <c r="AL6258" t="s">
        <v>19614</v>
      </c>
      <c r="AM6258">
        <v>70061</v>
      </c>
      <c r="AN6258" t="s">
        <v>19720</v>
      </c>
      <c r="AS6258">
        <v>0</v>
      </c>
      <c r="AU6258" t="s">
        <v>95</v>
      </c>
    </row>
    <row r="6259" spans="1:48">
      <c r="A6259" s="1">
        <f>HYPERLINK("https://lsnyc.legalserver.org/matter/dynamic-profile/view/1876806","18-1876806")</f>
        <v>0</v>
      </c>
      <c r="B6259" t="s">
        <v>165</v>
      </c>
      <c r="C6259" t="s">
        <v>256</v>
      </c>
      <c r="D6259" t="s">
        <v>500</v>
      </c>
      <c r="F6259" t="s">
        <v>3294</v>
      </c>
      <c r="G6259" t="s">
        <v>5636</v>
      </c>
      <c r="H6259" t="s">
        <v>6934</v>
      </c>
      <c r="I6259" t="s">
        <v>8209</v>
      </c>
      <c r="J6259" t="s">
        <v>9059</v>
      </c>
      <c r="K6259">
        <v>11216</v>
      </c>
      <c r="L6259" t="s">
        <v>9094</v>
      </c>
      <c r="M6259" t="s">
        <v>9094</v>
      </c>
      <c r="N6259" t="s">
        <v>9121</v>
      </c>
      <c r="O6259" t="s">
        <v>9121</v>
      </c>
      <c r="P6259" t="s">
        <v>11167</v>
      </c>
      <c r="R6259" t="s">
        <v>11180</v>
      </c>
      <c r="S6259" t="s">
        <v>9094</v>
      </c>
      <c r="T6259" t="s">
        <v>11183</v>
      </c>
      <c r="V6259" t="s">
        <v>568</v>
      </c>
      <c r="W6259">
        <v>1350</v>
      </c>
      <c r="X6259" t="s">
        <v>11332</v>
      </c>
      <c r="Y6259" t="s">
        <v>11339</v>
      </c>
      <c r="Z6259" t="s">
        <v>13695</v>
      </c>
      <c r="AB6259" t="s">
        <v>19497</v>
      </c>
      <c r="AC6259">
        <v>82</v>
      </c>
      <c r="AD6259" t="s">
        <v>19566</v>
      </c>
      <c r="AE6259" t="s">
        <v>9144</v>
      </c>
      <c r="AF6259">
        <v>1</v>
      </c>
      <c r="AG6259">
        <v>1</v>
      </c>
      <c r="AH6259">
        <v>0</v>
      </c>
      <c r="AI6259">
        <v>577.11</v>
      </c>
      <c r="AL6259" t="s">
        <v>19614</v>
      </c>
      <c r="AM6259">
        <v>70061</v>
      </c>
      <c r="AN6259" t="s">
        <v>19720</v>
      </c>
      <c r="AS6259">
        <v>0.1</v>
      </c>
      <c r="AT6259" t="s">
        <v>361</v>
      </c>
      <c r="AU6259" t="s">
        <v>95</v>
      </c>
    </row>
    <row r="6260" spans="1:48">
      <c r="A6260" s="1">
        <f>HYPERLINK("https://lsnyc.legalserver.org/matter/dynamic-profile/view/1871583","18-1871583")</f>
        <v>0</v>
      </c>
      <c r="B6260" t="s">
        <v>138</v>
      </c>
      <c r="C6260" t="s">
        <v>256</v>
      </c>
      <c r="D6260" t="s">
        <v>389</v>
      </c>
      <c r="F6260" t="s">
        <v>1346</v>
      </c>
      <c r="G6260" t="s">
        <v>5637</v>
      </c>
      <c r="H6260" t="s">
        <v>5943</v>
      </c>
      <c r="I6260" t="s">
        <v>8178</v>
      </c>
      <c r="J6260" t="s">
        <v>9067</v>
      </c>
      <c r="K6260">
        <v>10034</v>
      </c>
      <c r="L6260" t="s">
        <v>9094</v>
      </c>
      <c r="M6260" t="s">
        <v>9094</v>
      </c>
      <c r="N6260" t="s">
        <v>9279</v>
      </c>
      <c r="O6260" t="s">
        <v>11130</v>
      </c>
      <c r="P6260" t="s">
        <v>11165</v>
      </c>
      <c r="R6260" t="s">
        <v>11180</v>
      </c>
      <c r="S6260" t="s">
        <v>9094</v>
      </c>
      <c r="T6260" t="s">
        <v>11183</v>
      </c>
      <c r="V6260" t="s">
        <v>389</v>
      </c>
      <c r="W6260">
        <v>1595</v>
      </c>
      <c r="X6260" t="s">
        <v>11335</v>
      </c>
      <c r="Y6260" t="s">
        <v>11338</v>
      </c>
      <c r="Z6260" t="s">
        <v>13223</v>
      </c>
      <c r="AC6260">
        <v>67</v>
      </c>
      <c r="AD6260" t="s">
        <v>19566</v>
      </c>
      <c r="AE6260" t="s">
        <v>9144</v>
      </c>
      <c r="AF6260">
        <v>1</v>
      </c>
      <c r="AG6260">
        <v>1</v>
      </c>
      <c r="AH6260">
        <v>0</v>
      </c>
      <c r="AI6260">
        <v>589.36</v>
      </c>
      <c r="AL6260" t="s">
        <v>19614</v>
      </c>
      <c r="AM6260">
        <v>71548</v>
      </c>
      <c r="AS6260">
        <v>0.2</v>
      </c>
      <c r="AT6260" t="s">
        <v>855</v>
      </c>
      <c r="AU6260" t="s">
        <v>130</v>
      </c>
      <c r="AV6260" t="s">
        <v>20733</v>
      </c>
    </row>
    <row r="6261" spans="1:48">
      <c r="A6261" s="1">
        <f>HYPERLINK("https://lsnyc.legalserver.org/matter/dynamic-profile/view/1907697","19-1907697")</f>
        <v>0</v>
      </c>
      <c r="B6261" t="s">
        <v>55</v>
      </c>
      <c r="C6261" t="s">
        <v>256</v>
      </c>
      <c r="D6261" t="s">
        <v>429</v>
      </c>
      <c r="F6261" t="s">
        <v>1227</v>
      </c>
      <c r="G6261" t="s">
        <v>4691</v>
      </c>
      <c r="H6261" t="s">
        <v>7925</v>
      </c>
      <c r="J6261" t="s">
        <v>9050</v>
      </c>
      <c r="K6261">
        <v>11377</v>
      </c>
      <c r="L6261" t="s">
        <v>9094</v>
      </c>
      <c r="M6261" t="s">
        <v>9095</v>
      </c>
      <c r="N6261" t="s">
        <v>10947</v>
      </c>
      <c r="O6261" t="s">
        <v>11134</v>
      </c>
      <c r="P6261" t="s">
        <v>11168</v>
      </c>
      <c r="R6261" t="s">
        <v>11180</v>
      </c>
      <c r="S6261" t="s">
        <v>9094</v>
      </c>
      <c r="T6261" t="s">
        <v>11183</v>
      </c>
      <c r="U6261" t="s">
        <v>11201</v>
      </c>
      <c r="V6261" t="s">
        <v>429</v>
      </c>
      <c r="W6261">
        <v>1543</v>
      </c>
      <c r="X6261" t="s">
        <v>11331</v>
      </c>
      <c r="Y6261" t="s">
        <v>11346</v>
      </c>
      <c r="Z6261" t="s">
        <v>15207</v>
      </c>
      <c r="AB6261" t="s">
        <v>19498</v>
      </c>
      <c r="AC6261">
        <v>390</v>
      </c>
      <c r="AD6261" t="s">
        <v>15441</v>
      </c>
      <c r="AE6261" t="s">
        <v>9144</v>
      </c>
      <c r="AF6261">
        <v>2</v>
      </c>
      <c r="AG6261">
        <v>2</v>
      </c>
      <c r="AH6261">
        <v>0</v>
      </c>
      <c r="AI6261">
        <v>591.37</v>
      </c>
      <c r="AL6261" t="s">
        <v>19615</v>
      </c>
      <c r="AM6261">
        <v>100000</v>
      </c>
      <c r="AP6261" t="s">
        <v>11157</v>
      </c>
      <c r="AS6261">
        <v>0.4</v>
      </c>
      <c r="AT6261" t="s">
        <v>429</v>
      </c>
      <c r="AU6261" t="s">
        <v>20620</v>
      </c>
      <c r="AV6261" t="s">
        <v>20733</v>
      </c>
    </row>
    <row r="6262" spans="1:48">
      <c r="A6262" s="1">
        <f>HYPERLINK("https://lsnyc.legalserver.org/matter/dynamic-profile/view/1913712","19-1913712")</f>
        <v>0</v>
      </c>
      <c r="B6262" t="s">
        <v>135</v>
      </c>
      <c r="C6262" t="s">
        <v>256</v>
      </c>
      <c r="D6262" t="s">
        <v>484</v>
      </c>
      <c r="F6262" t="s">
        <v>3295</v>
      </c>
      <c r="G6262" t="s">
        <v>5638</v>
      </c>
      <c r="H6262" t="s">
        <v>8093</v>
      </c>
      <c r="I6262" t="s">
        <v>8218</v>
      </c>
      <c r="J6262" t="s">
        <v>9067</v>
      </c>
      <c r="K6262">
        <v>10035</v>
      </c>
      <c r="L6262" t="s">
        <v>9094</v>
      </c>
      <c r="M6262" t="s">
        <v>9095</v>
      </c>
      <c r="O6262" t="s">
        <v>9121</v>
      </c>
      <c r="P6262" t="s">
        <v>11166</v>
      </c>
      <c r="R6262" t="s">
        <v>11180</v>
      </c>
      <c r="S6262" t="s">
        <v>9096</v>
      </c>
      <c r="T6262" t="s">
        <v>11183</v>
      </c>
      <c r="U6262" t="s">
        <v>11201</v>
      </c>
      <c r="V6262" t="s">
        <v>286</v>
      </c>
      <c r="W6262">
        <v>0</v>
      </c>
      <c r="X6262" t="s">
        <v>11335</v>
      </c>
      <c r="Y6262" t="s">
        <v>11350</v>
      </c>
      <c r="Z6262" t="s">
        <v>15208</v>
      </c>
      <c r="AB6262" t="s">
        <v>19499</v>
      </c>
      <c r="AC6262">
        <v>35</v>
      </c>
      <c r="AD6262" t="s">
        <v>19566</v>
      </c>
      <c r="AE6262" t="s">
        <v>9144</v>
      </c>
      <c r="AF6262">
        <v>2</v>
      </c>
      <c r="AG6262">
        <v>2</v>
      </c>
      <c r="AH6262">
        <v>0</v>
      </c>
      <c r="AI6262">
        <v>591.37</v>
      </c>
      <c r="AL6262" t="s">
        <v>19614</v>
      </c>
      <c r="AM6262">
        <v>100000</v>
      </c>
      <c r="AS6262">
        <v>3.5</v>
      </c>
      <c r="AT6262" t="s">
        <v>286</v>
      </c>
      <c r="AU6262" t="s">
        <v>20657</v>
      </c>
      <c r="AV6262" t="s">
        <v>20733</v>
      </c>
    </row>
    <row r="6263" spans="1:48">
      <c r="A6263" s="1">
        <f>HYPERLINK("https://lsnyc.legalserver.org/matter/dynamic-profile/view/1867785","18-1867785")</f>
        <v>0</v>
      </c>
      <c r="B6263" t="s">
        <v>132</v>
      </c>
      <c r="C6263" t="s">
        <v>256</v>
      </c>
      <c r="D6263" t="s">
        <v>666</v>
      </c>
      <c r="F6263" t="s">
        <v>2045</v>
      </c>
      <c r="G6263" t="s">
        <v>4517</v>
      </c>
      <c r="H6263" t="s">
        <v>8094</v>
      </c>
      <c r="I6263" t="s">
        <v>8216</v>
      </c>
      <c r="J6263" t="s">
        <v>9067</v>
      </c>
      <c r="K6263">
        <v>10032</v>
      </c>
      <c r="L6263" t="s">
        <v>9094</v>
      </c>
      <c r="M6263" t="s">
        <v>9095</v>
      </c>
      <c r="P6263" t="s">
        <v>11165</v>
      </c>
      <c r="R6263" t="s">
        <v>11180</v>
      </c>
      <c r="S6263" t="s">
        <v>9096</v>
      </c>
      <c r="T6263" t="s">
        <v>11183</v>
      </c>
      <c r="V6263" t="s">
        <v>666</v>
      </c>
      <c r="W6263">
        <v>1465.22</v>
      </c>
      <c r="X6263" t="s">
        <v>11335</v>
      </c>
      <c r="Y6263" t="s">
        <v>11338</v>
      </c>
      <c r="Z6263" t="s">
        <v>15209</v>
      </c>
      <c r="AB6263" t="s">
        <v>19500</v>
      </c>
      <c r="AC6263">
        <v>0</v>
      </c>
      <c r="AD6263" t="s">
        <v>19566</v>
      </c>
      <c r="AE6263" t="s">
        <v>9144</v>
      </c>
      <c r="AF6263">
        <v>24</v>
      </c>
      <c r="AG6263">
        <v>1</v>
      </c>
      <c r="AH6263">
        <v>0</v>
      </c>
      <c r="AI6263">
        <v>593.08</v>
      </c>
      <c r="AL6263" t="s">
        <v>19615</v>
      </c>
      <c r="AM6263">
        <v>72000</v>
      </c>
      <c r="AS6263">
        <v>118.9</v>
      </c>
      <c r="AT6263" t="s">
        <v>574</v>
      </c>
      <c r="AU6263" t="s">
        <v>130</v>
      </c>
    </row>
    <row r="6264" spans="1:48">
      <c r="A6264" s="1">
        <f>HYPERLINK("https://lsnyc.legalserver.org/matter/dynamic-profile/view/1887967","19-1887967")</f>
        <v>0</v>
      </c>
      <c r="B6264" t="s">
        <v>138</v>
      </c>
      <c r="C6264" t="s">
        <v>256</v>
      </c>
      <c r="D6264" t="s">
        <v>443</v>
      </c>
      <c r="F6264" t="s">
        <v>3296</v>
      </c>
      <c r="G6264" t="s">
        <v>4996</v>
      </c>
      <c r="H6264" t="s">
        <v>8095</v>
      </c>
      <c r="I6264">
        <v>4</v>
      </c>
      <c r="J6264" t="s">
        <v>9067</v>
      </c>
      <c r="K6264">
        <v>10034</v>
      </c>
      <c r="L6264" t="s">
        <v>9094</v>
      </c>
      <c r="M6264" t="s">
        <v>9094</v>
      </c>
      <c r="N6264" t="s">
        <v>9999</v>
      </c>
      <c r="O6264" t="s">
        <v>11130</v>
      </c>
      <c r="P6264" t="s">
        <v>11165</v>
      </c>
      <c r="R6264" t="s">
        <v>11180</v>
      </c>
      <c r="S6264" t="s">
        <v>9094</v>
      </c>
      <c r="T6264" t="s">
        <v>11183</v>
      </c>
      <c r="V6264" t="s">
        <v>443</v>
      </c>
      <c r="W6264">
        <v>1614.34</v>
      </c>
      <c r="X6264" t="s">
        <v>11335</v>
      </c>
      <c r="Y6264" t="s">
        <v>11338</v>
      </c>
      <c r="Z6264" t="s">
        <v>15210</v>
      </c>
      <c r="AB6264" t="s">
        <v>19501</v>
      </c>
      <c r="AC6264">
        <v>25</v>
      </c>
      <c r="AD6264" t="s">
        <v>19566</v>
      </c>
      <c r="AE6264" t="s">
        <v>9144</v>
      </c>
      <c r="AF6264">
        <v>8</v>
      </c>
      <c r="AG6264">
        <v>3</v>
      </c>
      <c r="AH6264">
        <v>0</v>
      </c>
      <c r="AI6264">
        <v>594.3200000000001</v>
      </c>
      <c r="AL6264" t="s">
        <v>19615</v>
      </c>
      <c r="AM6264">
        <v>123500</v>
      </c>
      <c r="AS6264">
        <v>0.3</v>
      </c>
      <c r="AT6264" t="s">
        <v>1135</v>
      </c>
      <c r="AU6264" t="s">
        <v>130</v>
      </c>
      <c r="AV6264" t="s">
        <v>20733</v>
      </c>
    </row>
    <row r="6265" spans="1:48">
      <c r="A6265" s="1">
        <f>HYPERLINK("https://lsnyc.legalserver.org/matter/dynamic-profile/view/1913056","19-1913056")</f>
        <v>0</v>
      </c>
      <c r="B6265" t="s">
        <v>130</v>
      </c>
      <c r="C6265" t="s">
        <v>257</v>
      </c>
      <c r="D6265" t="s">
        <v>833</v>
      </c>
      <c r="E6265" t="s">
        <v>484</v>
      </c>
      <c r="F6265" t="s">
        <v>3297</v>
      </c>
      <c r="G6265" t="s">
        <v>5639</v>
      </c>
      <c r="H6265" t="s">
        <v>8096</v>
      </c>
      <c r="I6265" t="s">
        <v>8119</v>
      </c>
      <c r="J6265" t="s">
        <v>9067</v>
      </c>
      <c r="K6265">
        <v>10002</v>
      </c>
      <c r="L6265" t="s">
        <v>9094</v>
      </c>
      <c r="M6265" t="s">
        <v>9095</v>
      </c>
      <c r="O6265" t="s">
        <v>9121</v>
      </c>
      <c r="P6265" t="s">
        <v>11164</v>
      </c>
      <c r="Q6265" t="s">
        <v>11172</v>
      </c>
      <c r="R6265" t="s">
        <v>11181</v>
      </c>
      <c r="S6265" t="s">
        <v>9096</v>
      </c>
      <c r="T6265" t="s">
        <v>11183</v>
      </c>
      <c r="V6265" t="s">
        <v>833</v>
      </c>
      <c r="W6265">
        <v>1250</v>
      </c>
      <c r="X6265" t="s">
        <v>11335</v>
      </c>
      <c r="Y6265" t="s">
        <v>11337</v>
      </c>
      <c r="Z6265" t="s">
        <v>15211</v>
      </c>
      <c r="AC6265">
        <v>0</v>
      </c>
      <c r="AD6265" t="s">
        <v>19566</v>
      </c>
      <c r="AE6265" t="s">
        <v>9144</v>
      </c>
      <c r="AF6265">
        <v>5</v>
      </c>
      <c r="AG6265">
        <v>1</v>
      </c>
      <c r="AH6265">
        <v>0</v>
      </c>
      <c r="AI6265">
        <v>600.48</v>
      </c>
      <c r="AJ6265" t="s">
        <v>19591</v>
      </c>
      <c r="AK6265" t="s">
        <v>19608</v>
      </c>
      <c r="AL6265" t="s">
        <v>19614</v>
      </c>
      <c r="AM6265">
        <v>75000</v>
      </c>
      <c r="AS6265">
        <v>2</v>
      </c>
      <c r="AT6265" t="s">
        <v>484</v>
      </c>
      <c r="AU6265" t="s">
        <v>130</v>
      </c>
      <c r="AV6265" t="s">
        <v>20733</v>
      </c>
    </row>
    <row r="6266" spans="1:48">
      <c r="A6266" s="1">
        <f>HYPERLINK("https://lsnyc.legalserver.org/matter/dynamic-profile/view/1900598","19-1900598")</f>
        <v>0</v>
      </c>
      <c r="B6266" t="s">
        <v>82</v>
      </c>
      <c r="C6266" t="s">
        <v>256</v>
      </c>
      <c r="D6266" t="s">
        <v>283</v>
      </c>
      <c r="F6266" t="s">
        <v>2061</v>
      </c>
      <c r="G6266" t="s">
        <v>5619</v>
      </c>
      <c r="H6266" t="s">
        <v>6393</v>
      </c>
      <c r="I6266" t="s">
        <v>8149</v>
      </c>
      <c r="J6266" t="s">
        <v>9059</v>
      </c>
      <c r="K6266">
        <v>11226</v>
      </c>
      <c r="L6266" t="s">
        <v>9094</v>
      </c>
      <c r="M6266" t="s">
        <v>9095</v>
      </c>
      <c r="N6266" t="s">
        <v>9634</v>
      </c>
      <c r="O6266" t="s">
        <v>11130</v>
      </c>
      <c r="P6266" t="s">
        <v>11165</v>
      </c>
      <c r="R6266" t="s">
        <v>11180</v>
      </c>
      <c r="S6266" t="s">
        <v>9094</v>
      </c>
      <c r="T6266" t="s">
        <v>11183</v>
      </c>
      <c r="U6266" t="s">
        <v>11201</v>
      </c>
      <c r="V6266" t="s">
        <v>283</v>
      </c>
      <c r="W6266">
        <v>1670</v>
      </c>
      <c r="X6266" t="s">
        <v>11332</v>
      </c>
      <c r="Y6266" t="s">
        <v>11339</v>
      </c>
      <c r="Z6266" t="s">
        <v>15180</v>
      </c>
      <c r="AB6266" t="s">
        <v>19469</v>
      </c>
      <c r="AC6266">
        <v>36</v>
      </c>
      <c r="AD6266" t="s">
        <v>19566</v>
      </c>
      <c r="AE6266" t="s">
        <v>9144</v>
      </c>
      <c r="AF6266">
        <v>4</v>
      </c>
      <c r="AG6266">
        <v>2</v>
      </c>
      <c r="AH6266">
        <v>0</v>
      </c>
      <c r="AI6266">
        <v>603.1900000000001</v>
      </c>
      <c r="AL6266" t="s">
        <v>19614</v>
      </c>
      <c r="AM6266">
        <v>102000</v>
      </c>
      <c r="AS6266">
        <v>0.3</v>
      </c>
      <c r="AT6266" t="s">
        <v>283</v>
      </c>
      <c r="AU6266" t="s">
        <v>67</v>
      </c>
      <c r="AV6266" t="s">
        <v>20733</v>
      </c>
    </row>
    <row r="6267" spans="1:48">
      <c r="A6267" s="1">
        <f>HYPERLINK("https://lsnyc.legalserver.org/matter/dynamic-profile/view/1902043","19-1902043")</f>
        <v>0</v>
      </c>
      <c r="B6267" t="s">
        <v>115</v>
      </c>
      <c r="C6267" t="s">
        <v>256</v>
      </c>
      <c r="D6267" t="s">
        <v>319</v>
      </c>
      <c r="F6267" t="s">
        <v>1144</v>
      </c>
      <c r="G6267" t="s">
        <v>5640</v>
      </c>
      <c r="H6267" t="s">
        <v>6051</v>
      </c>
      <c r="I6267" t="s">
        <v>8267</v>
      </c>
      <c r="J6267" t="s">
        <v>9065</v>
      </c>
      <c r="K6267">
        <v>10452</v>
      </c>
      <c r="L6267" t="s">
        <v>9094</v>
      </c>
      <c r="M6267" t="s">
        <v>9095</v>
      </c>
      <c r="O6267" t="s">
        <v>11134</v>
      </c>
      <c r="P6267" t="s">
        <v>11168</v>
      </c>
      <c r="R6267" t="s">
        <v>11180</v>
      </c>
      <c r="S6267" t="s">
        <v>9094</v>
      </c>
      <c r="T6267" t="s">
        <v>11183</v>
      </c>
      <c r="V6267" t="s">
        <v>11212</v>
      </c>
      <c r="W6267">
        <v>1156.92</v>
      </c>
      <c r="X6267" t="s">
        <v>11333</v>
      </c>
      <c r="Y6267" t="s">
        <v>11346</v>
      </c>
      <c r="Z6267" t="s">
        <v>15212</v>
      </c>
      <c r="AB6267" t="s">
        <v>19502</v>
      </c>
      <c r="AC6267">
        <v>52</v>
      </c>
      <c r="AD6267" t="s">
        <v>19566</v>
      </c>
      <c r="AE6267" t="s">
        <v>9144</v>
      </c>
      <c r="AF6267">
        <v>16</v>
      </c>
      <c r="AG6267">
        <v>2</v>
      </c>
      <c r="AH6267">
        <v>0</v>
      </c>
      <c r="AI6267">
        <v>603.1900000000001</v>
      </c>
      <c r="AL6267" t="s">
        <v>19614</v>
      </c>
      <c r="AM6267">
        <v>102000</v>
      </c>
      <c r="AS6267">
        <v>1.2</v>
      </c>
      <c r="AT6267" t="s">
        <v>319</v>
      </c>
      <c r="AU6267" t="s">
        <v>174</v>
      </c>
      <c r="AV6267" t="s">
        <v>20733</v>
      </c>
    </row>
    <row r="6268" spans="1:48">
      <c r="A6268" s="1">
        <f>HYPERLINK("https://lsnyc.legalserver.org/matter/dynamic-profile/view/1911834","19-1911834")</f>
        <v>0</v>
      </c>
      <c r="B6268" t="s">
        <v>115</v>
      </c>
      <c r="C6268" t="s">
        <v>256</v>
      </c>
      <c r="D6268" t="s">
        <v>284</v>
      </c>
      <c r="F6268" t="s">
        <v>1144</v>
      </c>
      <c r="G6268" t="s">
        <v>5640</v>
      </c>
      <c r="H6268" t="s">
        <v>6051</v>
      </c>
      <c r="I6268" t="s">
        <v>8267</v>
      </c>
      <c r="J6268" t="s">
        <v>9065</v>
      </c>
      <c r="K6268">
        <v>10452</v>
      </c>
      <c r="L6268" t="s">
        <v>9094</v>
      </c>
      <c r="M6268" t="s">
        <v>9095</v>
      </c>
      <c r="O6268" t="s">
        <v>11134</v>
      </c>
      <c r="P6268" t="s">
        <v>11168</v>
      </c>
      <c r="R6268" t="s">
        <v>11180</v>
      </c>
      <c r="S6268" t="s">
        <v>9094</v>
      </c>
      <c r="T6268" t="s">
        <v>11183</v>
      </c>
      <c r="W6268">
        <v>1156.92</v>
      </c>
      <c r="X6268" t="s">
        <v>11333</v>
      </c>
      <c r="Y6268" t="s">
        <v>11346</v>
      </c>
      <c r="Z6268" t="s">
        <v>15212</v>
      </c>
      <c r="AB6268" t="s">
        <v>19502</v>
      </c>
      <c r="AC6268">
        <v>52</v>
      </c>
      <c r="AD6268" t="s">
        <v>19566</v>
      </c>
      <c r="AE6268" t="s">
        <v>9144</v>
      </c>
      <c r="AF6268">
        <v>16</v>
      </c>
      <c r="AG6268">
        <v>2</v>
      </c>
      <c r="AH6268">
        <v>0</v>
      </c>
      <c r="AI6268">
        <v>603.1900000000001</v>
      </c>
      <c r="AL6268" t="s">
        <v>19614</v>
      </c>
      <c r="AM6268">
        <v>102000</v>
      </c>
      <c r="AS6268">
        <v>0.4</v>
      </c>
      <c r="AT6268" t="s">
        <v>284</v>
      </c>
      <c r="AU6268" t="s">
        <v>174</v>
      </c>
      <c r="AV6268" t="s">
        <v>20733</v>
      </c>
    </row>
    <row r="6269" spans="1:48">
      <c r="A6269" s="1">
        <f>HYPERLINK("https://lsnyc.legalserver.org/matter/dynamic-profile/view/1908347","19-1908347")</f>
        <v>0</v>
      </c>
      <c r="B6269" t="s">
        <v>115</v>
      </c>
      <c r="C6269" t="s">
        <v>256</v>
      </c>
      <c r="D6269" t="s">
        <v>335</v>
      </c>
      <c r="F6269" t="s">
        <v>1144</v>
      </c>
      <c r="G6269" t="s">
        <v>5640</v>
      </c>
      <c r="H6269" t="s">
        <v>6051</v>
      </c>
      <c r="I6269" t="s">
        <v>8267</v>
      </c>
      <c r="J6269" t="s">
        <v>9065</v>
      </c>
      <c r="K6269">
        <v>10452</v>
      </c>
      <c r="L6269" t="s">
        <v>9094</v>
      </c>
      <c r="M6269" t="s">
        <v>9095</v>
      </c>
      <c r="O6269" t="s">
        <v>11130</v>
      </c>
      <c r="P6269" t="s">
        <v>11165</v>
      </c>
      <c r="R6269" t="s">
        <v>11180</v>
      </c>
      <c r="S6269" t="s">
        <v>9094</v>
      </c>
      <c r="T6269" t="s">
        <v>11183</v>
      </c>
      <c r="W6269">
        <v>1156.92</v>
      </c>
      <c r="X6269" t="s">
        <v>11333</v>
      </c>
      <c r="Y6269" t="s">
        <v>11346</v>
      </c>
      <c r="Z6269" t="s">
        <v>15212</v>
      </c>
      <c r="AB6269" t="s">
        <v>19502</v>
      </c>
      <c r="AC6269">
        <v>52</v>
      </c>
      <c r="AD6269" t="s">
        <v>19566</v>
      </c>
      <c r="AE6269" t="s">
        <v>9144</v>
      </c>
      <c r="AF6269">
        <v>16</v>
      </c>
      <c r="AG6269">
        <v>2</v>
      </c>
      <c r="AH6269">
        <v>0</v>
      </c>
      <c r="AI6269">
        <v>603.1900000000001</v>
      </c>
      <c r="AL6269" t="s">
        <v>19614</v>
      </c>
      <c r="AM6269">
        <v>102000</v>
      </c>
      <c r="AS6269">
        <v>29.1</v>
      </c>
      <c r="AT6269" t="s">
        <v>1135</v>
      </c>
      <c r="AU6269" t="s">
        <v>174</v>
      </c>
      <c r="AV6269" t="s">
        <v>20733</v>
      </c>
    </row>
    <row r="6270" spans="1:48">
      <c r="A6270" s="1">
        <f>HYPERLINK("https://lsnyc.legalserver.org/matter/dynamic-profile/view/1855940","18-1855940")</f>
        <v>0</v>
      </c>
      <c r="B6270" t="s">
        <v>103</v>
      </c>
      <c r="C6270" t="s">
        <v>256</v>
      </c>
      <c r="D6270" t="s">
        <v>558</v>
      </c>
      <c r="F6270" t="s">
        <v>2166</v>
      </c>
      <c r="G6270" t="s">
        <v>5641</v>
      </c>
      <c r="H6270" t="s">
        <v>7562</v>
      </c>
      <c r="I6270" t="s">
        <v>8269</v>
      </c>
      <c r="J6270" t="s">
        <v>9065</v>
      </c>
      <c r="K6270">
        <v>10473</v>
      </c>
      <c r="L6270" t="s">
        <v>9094</v>
      </c>
      <c r="M6270" t="s">
        <v>9095</v>
      </c>
      <c r="N6270" t="s">
        <v>10609</v>
      </c>
      <c r="O6270" t="s">
        <v>11135</v>
      </c>
      <c r="P6270" t="s">
        <v>11168</v>
      </c>
      <c r="R6270" t="s">
        <v>11180</v>
      </c>
      <c r="S6270" t="s">
        <v>9094</v>
      </c>
      <c r="T6270" t="s">
        <v>11183</v>
      </c>
      <c r="V6270" t="s">
        <v>11223</v>
      </c>
      <c r="W6270">
        <v>1304</v>
      </c>
      <c r="X6270" t="s">
        <v>11333</v>
      </c>
      <c r="Y6270" t="s">
        <v>11157</v>
      </c>
      <c r="Z6270" t="s">
        <v>15213</v>
      </c>
      <c r="AB6270" t="s">
        <v>19503</v>
      </c>
      <c r="AC6270">
        <v>976</v>
      </c>
      <c r="AD6270" t="s">
        <v>19568</v>
      </c>
      <c r="AE6270" t="s">
        <v>9144</v>
      </c>
      <c r="AF6270">
        <v>8</v>
      </c>
      <c r="AG6270">
        <v>1</v>
      </c>
      <c r="AH6270">
        <v>0</v>
      </c>
      <c r="AI6270">
        <v>605.3099999999999</v>
      </c>
      <c r="AJ6270" t="s">
        <v>936</v>
      </c>
      <c r="AL6270" t="s">
        <v>19614</v>
      </c>
      <c r="AM6270">
        <v>73000</v>
      </c>
      <c r="AS6270">
        <v>8.5</v>
      </c>
      <c r="AT6270" t="s">
        <v>487</v>
      </c>
      <c r="AU6270" t="s">
        <v>228</v>
      </c>
    </row>
    <row r="6271" spans="1:48">
      <c r="A6271" s="1">
        <f>HYPERLINK("https://lsnyc.legalserver.org/matter/dynamic-profile/view/1858397","18-1858397")</f>
        <v>0</v>
      </c>
      <c r="B6271" t="s">
        <v>114</v>
      </c>
      <c r="C6271" t="s">
        <v>256</v>
      </c>
      <c r="D6271" t="s">
        <v>946</v>
      </c>
      <c r="F6271" t="s">
        <v>2694</v>
      </c>
      <c r="G6271" t="s">
        <v>3419</v>
      </c>
      <c r="H6271" t="s">
        <v>8097</v>
      </c>
      <c r="I6271" t="s">
        <v>9031</v>
      </c>
      <c r="J6271" t="s">
        <v>9065</v>
      </c>
      <c r="K6271">
        <v>10453</v>
      </c>
      <c r="L6271" t="s">
        <v>9094</v>
      </c>
      <c r="M6271" t="s">
        <v>9095</v>
      </c>
      <c r="N6271" t="s">
        <v>11125</v>
      </c>
      <c r="P6271" t="s">
        <v>11165</v>
      </c>
      <c r="R6271" t="s">
        <v>11180</v>
      </c>
      <c r="T6271" t="s">
        <v>11183</v>
      </c>
      <c r="V6271" t="s">
        <v>637</v>
      </c>
      <c r="W6271">
        <v>738</v>
      </c>
      <c r="X6271" t="s">
        <v>11333</v>
      </c>
      <c r="Z6271" t="s">
        <v>15214</v>
      </c>
      <c r="AB6271" t="s">
        <v>19504</v>
      </c>
      <c r="AC6271">
        <v>0</v>
      </c>
      <c r="AF6271">
        <v>25</v>
      </c>
      <c r="AG6271">
        <v>3</v>
      </c>
      <c r="AH6271">
        <v>0</v>
      </c>
      <c r="AI6271">
        <v>606.0700000000001</v>
      </c>
      <c r="AL6271" t="s">
        <v>19615</v>
      </c>
      <c r="AM6271">
        <v>136132</v>
      </c>
      <c r="AN6271" t="s">
        <v>20272</v>
      </c>
      <c r="AS6271">
        <v>67.90000000000001</v>
      </c>
      <c r="AT6271" t="s">
        <v>302</v>
      </c>
      <c r="AU6271" t="s">
        <v>20642</v>
      </c>
    </row>
    <row r="6272" spans="1:48">
      <c r="A6272" s="1">
        <f>HYPERLINK("https://lsnyc.legalserver.org/matter/dynamic-profile/view/1878081","18-1878081")</f>
        <v>0</v>
      </c>
      <c r="B6272" t="s">
        <v>165</v>
      </c>
      <c r="C6272" t="s">
        <v>256</v>
      </c>
      <c r="D6272" t="s">
        <v>671</v>
      </c>
      <c r="F6272" t="s">
        <v>3298</v>
      </c>
      <c r="G6272" t="s">
        <v>5642</v>
      </c>
      <c r="H6272" t="s">
        <v>6934</v>
      </c>
      <c r="I6272" t="s">
        <v>8576</v>
      </c>
      <c r="J6272" t="s">
        <v>9059</v>
      </c>
      <c r="K6272">
        <v>11216</v>
      </c>
      <c r="L6272" t="s">
        <v>9094</v>
      </c>
      <c r="M6272" t="s">
        <v>9094</v>
      </c>
      <c r="N6272" t="s">
        <v>10050</v>
      </c>
      <c r="O6272" t="s">
        <v>11132</v>
      </c>
      <c r="P6272" t="s">
        <v>11165</v>
      </c>
      <c r="R6272" t="s">
        <v>11180</v>
      </c>
      <c r="S6272" t="s">
        <v>9094</v>
      </c>
      <c r="T6272" t="s">
        <v>11183</v>
      </c>
      <c r="V6272" t="s">
        <v>688</v>
      </c>
      <c r="W6272">
        <v>2300</v>
      </c>
      <c r="X6272" t="s">
        <v>11332</v>
      </c>
      <c r="Y6272" t="s">
        <v>11339</v>
      </c>
      <c r="Z6272" t="s">
        <v>15215</v>
      </c>
      <c r="AB6272" t="s">
        <v>19505</v>
      </c>
      <c r="AC6272">
        <v>82</v>
      </c>
      <c r="AD6272" t="s">
        <v>19566</v>
      </c>
      <c r="AE6272" t="s">
        <v>9144</v>
      </c>
      <c r="AF6272">
        <v>3</v>
      </c>
      <c r="AG6272">
        <v>2</v>
      </c>
      <c r="AH6272">
        <v>0</v>
      </c>
      <c r="AI6272">
        <v>607.53</v>
      </c>
      <c r="AL6272" t="s">
        <v>19614</v>
      </c>
      <c r="AM6272">
        <v>100000</v>
      </c>
      <c r="AN6272" t="s">
        <v>19880</v>
      </c>
      <c r="AS6272">
        <v>0</v>
      </c>
      <c r="AU6272" t="s">
        <v>95</v>
      </c>
    </row>
    <row r="6273" spans="1:48">
      <c r="A6273" s="1">
        <f>HYPERLINK("https://lsnyc.legalserver.org/matter/dynamic-profile/view/1878074","18-1878074")</f>
        <v>0</v>
      </c>
      <c r="B6273" t="s">
        <v>165</v>
      </c>
      <c r="C6273" t="s">
        <v>256</v>
      </c>
      <c r="D6273" t="s">
        <v>671</v>
      </c>
      <c r="F6273" t="s">
        <v>3298</v>
      </c>
      <c r="G6273" t="s">
        <v>5642</v>
      </c>
      <c r="H6273" t="s">
        <v>6934</v>
      </c>
      <c r="I6273" t="s">
        <v>8576</v>
      </c>
      <c r="J6273" t="s">
        <v>9059</v>
      </c>
      <c r="K6273">
        <v>11216</v>
      </c>
      <c r="L6273" t="s">
        <v>9094</v>
      </c>
      <c r="M6273" t="s">
        <v>9094</v>
      </c>
      <c r="N6273" t="s">
        <v>9121</v>
      </c>
      <c r="O6273" t="s">
        <v>9121</v>
      </c>
      <c r="P6273" t="s">
        <v>11167</v>
      </c>
      <c r="R6273" t="s">
        <v>11180</v>
      </c>
      <c r="S6273" t="s">
        <v>9094</v>
      </c>
      <c r="T6273" t="s">
        <v>11183</v>
      </c>
      <c r="V6273" t="s">
        <v>419</v>
      </c>
      <c r="W6273">
        <v>2300</v>
      </c>
      <c r="X6273" t="s">
        <v>11332</v>
      </c>
      <c r="Y6273" t="s">
        <v>11339</v>
      </c>
      <c r="Z6273" t="s">
        <v>15215</v>
      </c>
      <c r="AB6273" t="s">
        <v>19505</v>
      </c>
      <c r="AC6273">
        <v>82</v>
      </c>
      <c r="AD6273" t="s">
        <v>19566</v>
      </c>
      <c r="AE6273" t="s">
        <v>9144</v>
      </c>
      <c r="AF6273">
        <v>3</v>
      </c>
      <c r="AG6273">
        <v>2</v>
      </c>
      <c r="AH6273">
        <v>0</v>
      </c>
      <c r="AI6273">
        <v>607.53</v>
      </c>
      <c r="AL6273" t="s">
        <v>19614</v>
      </c>
      <c r="AM6273">
        <v>100000</v>
      </c>
      <c r="AN6273" t="s">
        <v>19720</v>
      </c>
      <c r="AS6273">
        <v>0</v>
      </c>
      <c r="AU6273" t="s">
        <v>95</v>
      </c>
    </row>
    <row r="6274" spans="1:48">
      <c r="A6274" s="1">
        <f>HYPERLINK("https://lsnyc.legalserver.org/matter/dynamic-profile/view/1890019","19-1890019")</f>
        <v>0</v>
      </c>
      <c r="B6274" t="s">
        <v>103</v>
      </c>
      <c r="C6274" t="s">
        <v>256</v>
      </c>
      <c r="D6274" t="s">
        <v>447</v>
      </c>
      <c r="F6274" t="s">
        <v>2119</v>
      </c>
      <c r="G6274" t="s">
        <v>5643</v>
      </c>
      <c r="H6274" t="s">
        <v>5887</v>
      </c>
      <c r="I6274" t="s">
        <v>8797</v>
      </c>
      <c r="J6274" t="s">
        <v>9065</v>
      </c>
      <c r="K6274">
        <v>10453</v>
      </c>
      <c r="L6274" t="s">
        <v>9094</v>
      </c>
      <c r="M6274" t="s">
        <v>9094</v>
      </c>
      <c r="O6274" t="s">
        <v>11134</v>
      </c>
      <c r="P6274" t="s">
        <v>11168</v>
      </c>
      <c r="R6274" t="s">
        <v>11180</v>
      </c>
      <c r="S6274" t="s">
        <v>9094</v>
      </c>
      <c r="T6274" t="s">
        <v>11183</v>
      </c>
      <c r="V6274" t="s">
        <v>512</v>
      </c>
      <c r="W6274">
        <v>1058.89</v>
      </c>
      <c r="X6274" t="s">
        <v>11333</v>
      </c>
      <c r="Y6274" t="s">
        <v>11346</v>
      </c>
      <c r="Z6274" t="s">
        <v>15216</v>
      </c>
      <c r="AB6274" t="s">
        <v>19506</v>
      </c>
      <c r="AC6274">
        <v>167</v>
      </c>
      <c r="AD6274" t="s">
        <v>19566</v>
      </c>
      <c r="AE6274" t="s">
        <v>9144</v>
      </c>
      <c r="AF6274">
        <v>18</v>
      </c>
      <c r="AG6274">
        <v>1</v>
      </c>
      <c r="AH6274">
        <v>0</v>
      </c>
      <c r="AI6274">
        <v>608.49</v>
      </c>
      <c r="AL6274" t="s">
        <v>19614</v>
      </c>
      <c r="AM6274">
        <v>76000</v>
      </c>
      <c r="AS6274">
        <v>0</v>
      </c>
      <c r="AU6274" t="s">
        <v>20642</v>
      </c>
    </row>
    <row r="6275" spans="1:48">
      <c r="A6275" s="1">
        <f>HYPERLINK("https://lsnyc.legalserver.org/matter/dynamic-profile/view/1890015","19-1890015")</f>
        <v>0</v>
      </c>
      <c r="B6275" t="s">
        <v>103</v>
      </c>
      <c r="C6275" t="s">
        <v>256</v>
      </c>
      <c r="D6275" t="s">
        <v>447</v>
      </c>
      <c r="F6275" t="s">
        <v>2119</v>
      </c>
      <c r="G6275" t="s">
        <v>5643</v>
      </c>
      <c r="H6275" t="s">
        <v>5887</v>
      </c>
      <c r="I6275" t="s">
        <v>8797</v>
      </c>
      <c r="J6275" t="s">
        <v>9065</v>
      </c>
      <c r="K6275">
        <v>10453</v>
      </c>
      <c r="L6275" t="s">
        <v>9094</v>
      </c>
      <c r="M6275" t="s">
        <v>9094</v>
      </c>
      <c r="N6275" t="s">
        <v>9352</v>
      </c>
      <c r="O6275" t="s">
        <v>11130</v>
      </c>
      <c r="P6275" t="s">
        <v>11165</v>
      </c>
      <c r="R6275" t="s">
        <v>11180</v>
      </c>
      <c r="S6275" t="s">
        <v>9094</v>
      </c>
      <c r="T6275" t="s">
        <v>11183</v>
      </c>
      <c r="V6275" t="s">
        <v>512</v>
      </c>
      <c r="W6275">
        <v>1058.89</v>
      </c>
      <c r="X6275" t="s">
        <v>11333</v>
      </c>
      <c r="Y6275" t="s">
        <v>11346</v>
      </c>
      <c r="Z6275" t="s">
        <v>15216</v>
      </c>
      <c r="AB6275" t="s">
        <v>19506</v>
      </c>
      <c r="AC6275">
        <v>167</v>
      </c>
      <c r="AD6275" t="s">
        <v>19566</v>
      </c>
      <c r="AE6275" t="s">
        <v>9144</v>
      </c>
      <c r="AF6275">
        <v>18</v>
      </c>
      <c r="AG6275">
        <v>1</v>
      </c>
      <c r="AH6275">
        <v>0</v>
      </c>
      <c r="AI6275">
        <v>608.49</v>
      </c>
      <c r="AL6275" t="s">
        <v>19614</v>
      </c>
      <c r="AM6275">
        <v>76000</v>
      </c>
      <c r="AS6275">
        <v>0</v>
      </c>
      <c r="AU6275" t="s">
        <v>20642</v>
      </c>
    </row>
    <row r="6276" spans="1:48">
      <c r="A6276" s="1">
        <f>HYPERLINK("https://lsnyc.legalserver.org/matter/dynamic-profile/view/1914160","19-1914160")</f>
        <v>0</v>
      </c>
      <c r="B6276" t="s">
        <v>135</v>
      </c>
      <c r="C6276" t="s">
        <v>256</v>
      </c>
      <c r="D6276" t="s">
        <v>395</v>
      </c>
      <c r="F6276" t="s">
        <v>1150</v>
      </c>
      <c r="G6276" t="s">
        <v>5644</v>
      </c>
      <c r="H6276" t="s">
        <v>5940</v>
      </c>
      <c r="I6276" t="s">
        <v>8223</v>
      </c>
      <c r="J6276" t="s">
        <v>9067</v>
      </c>
      <c r="K6276">
        <v>10037</v>
      </c>
      <c r="L6276" t="s">
        <v>9094</v>
      </c>
      <c r="M6276" t="s">
        <v>9095</v>
      </c>
      <c r="O6276" t="s">
        <v>11130</v>
      </c>
      <c r="P6276" t="s">
        <v>11169</v>
      </c>
      <c r="R6276" t="s">
        <v>11180</v>
      </c>
      <c r="S6276" t="s">
        <v>9094</v>
      </c>
      <c r="T6276" t="s">
        <v>11183</v>
      </c>
      <c r="U6276" t="s">
        <v>11201</v>
      </c>
      <c r="V6276" t="s">
        <v>301</v>
      </c>
      <c r="W6276">
        <v>1011.93</v>
      </c>
      <c r="X6276" t="s">
        <v>11335</v>
      </c>
      <c r="Y6276" t="s">
        <v>11339</v>
      </c>
      <c r="Z6276" t="s">
        <v>14252</v>
      </c>
      <c r="AB6276" t="s">
        <v>19507</v>
      </c>
      <c r="AC6276">
        <v>259</v>
      </c>
      <c r="AD6276" t="s">
        <v>19566</v>
      </c>
      <c r="AE6276" t="s">
        <v>9144</v>
      </c>
      <c r="AF6276">
        <v>12</v>
      </c>
      <c r="AG6276">
        <v>1</v>
      </c>
      <c r="AH6276">
        <v>0</v>
      </c>
      <c r="AI6276">
        <v>608.49</v>
      </c>
      <c r="AL6276" t="s">
        <v>19614</v>
      </c>
      <c r="AM6276">
        <v>76000</v>
      </c>
      <c r="AS6276">
        <v>0</v>
      </c>
      <c r="AU6276" t="s">
        <v>20657</v>
      </c>
      <c r="AV6276" t="s">
        <v>20733</v>
      </c>
    </row>
    <row r="6277" spans="1:48">
      <c r="A6277" s="1">
        <f>HYPERLINK("https://lsnyc.legalserver.org/matter/dynamic-profile/view/1901474","19-1901474")</f>
        <v>0</v>
      </c>
      <c r="B6277" t="s">
        <v>101</v>
      </c>
      <c r="C6277" t="s">
        <v>256</v>
      </c>
      <c r="D6277" t="s">
        <v>559</v>
      </c>
      <c r="F6277" t="s">
        <v>2142</v>
      </c>
      <c r="G6277" t="s">
        <v>5645</v>
      </c>
      <c r="H6277" t="s">
        <v>6113</v>
      </c>
      <c r="I6277" t="s">
        <v>8109</v>
      </c>
      <c r="J6277" t="s">
        <v>9065</v>
      </c>
      <c r="K6277">
        <v>10452</v>
      </c>
      <c r="L6277" t="s">
        <v>9094</v>
      </c>
      <c r="M6277" t="s">
        <v>9095</v>
      </c>
      <c r="O6277" t="s">
        <v>11134</v>
      </c>
      <c r="P6277" t="s">
        <v>11168</v>
      </c>
      <c r="R6277" t="s">
        <v>11180</v>
      </c>
      <c r="S6277" t="s">
        <v>9094</v>
      </c>
      <c r="T6277" t="s">
        <v>11183</v>
      </c>
      <c r="V6277" t="s">
        <v>11218</v>
      </c>
      <c r="W6277">
        <v>2250</v>
      </c>
      <c r="X6277" t="s">
        <v>11333</v>
      </c>
      <c r="Y6277" t="s">
        <v>11346</v>
      </c>
      <c r="Z6277" t="s">
        <v>15217</v>
      </c>
      <c r="AB6277" t="s">
        <v>19508</v>
      </c>
      <c r="AC6277">
        <v>52</v>
      </c>
      <c r="AD6277" t="s">
        <v>19566</v>
      </c>
      <c r="AE6277" t="s">
        <v>9144</v>
      </c>
      <c r="AF6277">
        <v>1</v>
      </c>
      <c r="AG6277">
        <v>3</v>
      </c>
      <c r="AH6277">
        <v>0</v>
      </c>
      <c r="AI6277">
        <v>609.47</v>
      </c>
      <c r="AL6277" t="s">
        <v>19615</v>
      </c>
      <c r="AM6277">
        <v>130000</v>
      </c>
      <c r="AS6277">
        <v>0</v>
      </c>
      <c r="AU6277" t="s">
        <v>220</v>
      </c>
      <c r="AV6277" t="s">
        <v>20733</v>
      </c>
    </row>
    <row r="6278" spans="1:48">
      <c r="A6278" s="1">
        <f>HYPERLINK("https://lsnyc.legalserver.org/matter/dynamic-profile/view/1862268","18-1862268")</f>
        <v>0</v>
      </c>
      <c r="B6278" t="s">
        <v>103</v>
      </c>
      <c r="C6278" t="s">
        <v>256</v>
      </c>
      <c r="D6278" t="s">
        <v>575</v>
      </c>
      <c r="F6278" t="s">
        <v>3299</v>
      </c>
      <c r="G6278" t="s">
        <v>1721</v>
      </c>
      <c r="H6278" t="s">
        <v>5873</v>
      </c>
      <c r="I6278" t="s">
        <v>8199</v>
      </c>
      <c r="J6278" t="s">
        <v>9065</v>
      </c>
      <c r="K6278">
        <v>10457</v>
      </c>
      <c r="L6278" t="s">
        <v>9094</v>
      </c>
      <c r="M6278" t="s">
        <v>9095</v>
      </c>
      <c r="N6278" t="s">
        <v>9233</v>
      </c>
      <c r="O6278" t="s">
        <v>11135</v>
      </c>
      <c r="P6278" t="s">
        <v>11168</v>
      </c>
      <c r="R6278" t="s">
        <v>11180</v>
      </c>
      <c r="T6278" t="s">
        <v>11183</v>
      </c>
      <c r="V6278" t="s">
        <v>675</v>
      </c>
      <c r="W6278">
        <v>0</v>
      </c>
      <c r="X6278" t="s">
        <v>11333</v>
      </c>
      <c r="Y6278" t="s">
        <v>11340</v>
      </c>
      <c r="Z6278" t="s">
        <v>15218</v>
      </c>
      <c r="AB6278" t="s">
        <v>19509</v>
      </c>
      <c r="AC6278">
        <v>0</v>
      </c>
      <c r="AD6278" t="s">
        <v>19566</v>
      </c>
      <c r="AF6278">
        <v>0</v>
      </c>
      <c r="AG6278">
        <v>1</v>
      </c>
      <c r="AH6278">
        <v>0</v>
      </c>
      <c r="AI6278">
        <v>617.79</v>
      </c>
      <c r="AL6278" t="s">
        <v>19614</v>
      </c>
      <c r="AM6278">
        <v>75000</v>
      </c>
      <c r="AS6278">
        <v>1.4</v>
      </c>
      <c r="AT6278" t="s">
        <v>439</v>
      </c>
      <c r="AU6278" t="s">
        <v>20642</v>
      </c>
    </row>
    <row r="6279" spans="1:48">
      <c r="A6279" s="1">
        <f>HYPERLINK("https://lsnyc.legalserver.org/matter/dynamic-profile/view/1905984","19-1905984")</f>
        <v>0</v>
      </c>
      <c r="B6279" t="s">
        <v>76</v>
      </c>
      <c r="C6279" t="s">
        <v>256</v>
      </c>
      <c r="D6279" t="s">
        <v>329</v>
      </c>
      <c r="F6279" t="s">
        <v>1143</v>
      </c>
      <c r="G6279" t="s">
        <v>1698</v>
      </c>
      <c r="H6279" t="s">
        <v>5748</v>
      </c>
      <c r="I6279" t="s">
        <v>9032</v>
      </c>
      <c r="J6279" t="s">
        <v>9059</v>
      </c>
      <c r="K6279">
        <v>11233</v>
      </c>
      <c r="L6279" t="s">
        <v>9094</v>
      </c>
      <c r="M6279" t="s">
        <v>9095</v>
      </c>
      <c r="N6279" t="s">
        <v>9154</v>
      </c>
      <c r="O6279" t="s">
        <v>11137</v>
      </c>
      <c r="R6279" t="s">
        <v>11180</v>
      </c>
      <c r="S6279" t="s">
        <v>9094</v>
      </c>
      <c r="T6279" t="s">
        <v>11183</v>
      </c>
      <c r="U6279" t="s">
        <v>11201</v>
      </c>
      <c r="W6279">
        <v>1001.91</v>
      </c>
      <c r="X6279" t="s">
        <v>11332</v>
      </c>
      <c r="Y6279" t="s">
        <v>11339</v>
      </c>
      <c r="Z6279" t="s">
        <v>12891</v>
      </c>
      <c r="AA6279" t="s">
        <v>9171</v>
      </c>
      <c r="AC6279">
        <v>1117</v>
      </c>
      <c r="AD6279" t="s">
        <v>19566</v>
      </c>
      <c r="AE6279" t="s">
        <v>9144</v>
      </c>
      <c r="AF6279">
        <v>40</v>
      </c>
      <c r="AG6279">
        <v>2</v>
      </c>
      <c r="AH6279">
        <v>0</v>
      </c>
      <c r="AI6279">
        <v>620.9299999999999</v>
      </c>
      <c r="AK6279" t="s">
        <v>19612</v>
      </c>
      <c r="AL6279" t="s">
        <v>19614</v>
      </c>
      <c r="AM6279">
        <v>105000</v>
      </c>
      <c r="AN6279" t="s">
        <v>20264</v>
      </c>
      <c r="AS6279">
        <v>0</v>
      </c>
      <c r="AU6279" t="s">
        <v>95</v>
      </c>
      <c r="AV6279" t="s">
        <v>20733</v>
      </c>
    </row>
    <row r="6280" spans="1:48">
      <c r="A6280" s="1">
        <f>HYPERLINK("https://lsnyc.legalserver.org/matter/dynamic-profile/view/1904499","19-1904499")</f>
        <v>0</v>
      </c>
      <c r="B6280" t="s">
        <v>114</v>
      </c>
      <c r="C6280" t="s">
        <v>257</v>
      </c>
      <c r="D6280" t="s">
        <v>615</v>
      </c>
      <c r="E6280" t="s">
        <v>476</v>
      </c>
      <c r="F6280" t="s">
        <v>3107</v>
      </c>
      <c r="G6280" t="s">
        <v>1299</v>
      </c>
      <c r="H6280" t="s">
        <v>6340</v>
      </c>
      <c r="I6280" t="s">
        <v>8119</v>
      </c>
      <c r="J6280" t="s">
        <v>9065</v>
      </c>
      <c r="K6280">
        <v>10470</v>
      </c>
      <c r="L6280" t="s">
        <v>9094</v>
      </c>
      <c r="M6280" t="s">
        <v>9095</v>
      </c>
      <c r="N6280" t="s">
        <v>9426</v>
      </c>
      <c r="O6280" t="s">
        <v>11130</v>
      </c>
      <c r="P6280" t="s">
        <v>11165</v>
      </c>
      <c r="Q6280" t="s">
        <v>11174</v>
      </c>
      <c r="R6280" t="s">
        <v>11180</v>
      </c>
      <c r="S6280" t="s">
        <v>9094</v>
      </c>
      <c r="T6280" t="s">
        <v>11183</v>
      </c>
      <c r="W6280">
        <v>1402.5</v>
      </c>
      <c r="X6280" t="s">
        <v>11333</v>
      </c>
      <c r="Y6280" t="s">
        <v>11346</v>
      </c>
      <c r="Z6280" t="s">
        <v>15219</v>
      </c>
      <c r="AB6280" t="s">
        <v>19510</v>
      </c>
      <c r="AC6280">
        <v>63</v>
      </c>
      <c r="AD6280" t="s">
        <v>19566</v>
      </c>
      <c r="AE6280" t="s">
        <v>9144</v>
      </c>
      <c r="AF6280">
        <v>3</v>
      </c>
      <c r="AG6280">
        <v>1</v>
      </c>
      <c r="AH6280">
        <v>0</v>
      </c>
      <c r="AI6280">
        <v>624.5</v>
      </c>
      <c r="AL6280" t="s">
        <v>19614</v>
      </c>
      <c r="AM6280">
        <v>78000</v>
      </c>
      <c r="AS6280">
        <v>0.5</v>
      </c>
      <c r="AT6280" t="s">
        <v>476</v>
      </c>
      <c r="AU6280" t="s">
        <v>20642</v>
      </c>
      <c r="AV6280" t="s">
        <v>20733</v>
      </c>
    </row>
    <row r="6281" spans="1:48">
      <c r="A6281" s="1">
        <f>HYPERLINK("https://lsnyc.legalserver.org/matter/dynamic-profile/view/1876344","18-1876344")</f>
        <v>0</v>
      </c>
      <c r="B6281" t="s">
        <v>103</v>
      </c>
      <c r="C6281" t="s">
        <v>256</v>
      </c>
      <c r="D6281" t="s">
        <v>479</v>
      </c>
      <c r="F6281" t="s">
        <v>1280</v>
      </c>
      <c r="G6281" t="s">
        <v>4463</v>
      </c>
      <c r="H6281" t="s">
        <v>6413</v>
      </c>
      <c r="I6281" t="s">
        <v>8302</v>
      </c>
      <c r="J6281" t="s">
        <v>9065</v>
      </c>
      <c r="K6281">
        <v>10456</v>
      </c>
      <c r="L6281" t="s">
        <v>9094</v>
      </c>
      <c r="M6281" t="s">
        <v>9094</v>
      </c>
      <c r="N6281" t="s">
        <v>9648</v>
      </c>
      <c r="O6281" t="s">
        <v>11134</v>
      </c>
      <c r="P6281" t="s">
        <v>11168</v>
      </c>
      <c r="R6281" t="s">
        <v>11180</v>
      </c>
      <c r="S6281" t="s">
        <v>9094</v>
      </c>
      <c r="T6281" t="s">
        <v>11183</v>
      </c>
      <c r="V6281" t="s">
        <v>945</v>
      </c>
      <c r="W6281">
        <v>1200</v>
      </c>
      <c r="X6281" t="s">
        <v>11333</v>
      </c>
      <c r="Y6281" t="s">
        <v>11346</v>
      </c>
      <c r="Z6281" t="s">
        <v>13107</v>
      </c>
      <c r="AB6281" t="s">
        <v>17467</v>
      </c>
      <c r="AC6281">
        <v>61</v>
      </c>
      <c r="AD6281" t="s">
        <v>19566</v>
      </c>
      <c r="AE6281" t="s">
        <v>9144</v>
      </c>
      <c r="AF6281">
        <v>0</v>
      </c>
      <c r="AG6281">
        <v>2</v>
      </c>
      <c r="AH6281">
        <v>0</v>
      </c>
      <c r="AI6281">
        <v>625.15</v>
      </c>
      <c r="AL6281" t="s">
        <v>19614</v>
      </c>
      <c r="AM6281">
        <v>102900</v>
      </c>
      <c r="AS6281">
        <v>0</v>
      </c>
      <c r="AU6281" t="s">
        <v>163</v>
      </c>
    </row>
    <row r="6282" spans="1:48">
      <c r="A6282" s="1">
        <f>HYPERLINK("https://lsnyc.legalserver.org/matter/dynamic-profile/view/1903818","19-1903818")</f>
        <v>0</v>
      </c>
      <c r="B6282" t="s">
        <v>86</v>
      </c>
      <c r="C6282" t="s">
        <v>256</v>
      </c>
      <c r="D6282" t="s">
        <v>597</v>
      </c>
      <c r="F6282" t="s">
        <v>3300</v>
      </c>
      <c r="G6282" t="s">
        <v>5646</v>
      </c>
      <c r="H6282" t="s">
        <v>7032</v>
      </c>
      <c r="I6282" t="s">
        <v>8419</v>
      </c>
      <c r="J6282" t="s">
        <v>9059</v>
      </c>
      <c r="K6282">
        <v>11220</v>
      </c>
      <c r="L6282" t="s">
        <v>9094</v>
      </c>
      <c r="M6282" t="s">
        <v>9095</v>
      </c>
      <c r="O6282" t="s">
        <v>11130</v>
      </c>
      <c r="P6282" t="s">
        <v>11165</v>
      </c>
      <c r="R6282" t="s">
        <v>11180</v>
      </c>
      <c r="S6282" t="s">
        <v>9094</v>
      </c>
      <c r="T6282" t="s">
        <v>11183</v>
      </c>
      <c r="V6282" t="s">
        <v>785</v>
      </c>
      <c r="W6282">
        <v>0</v>
      </c>
      <c r="X6282" t="s">
        <v>11332</v>
      </c>
      <c r="Z6282" t="s">
        <v>15220</v>
      </c>
      <c r="AB6282" t="s">
        <v>19511</v>
      </c>
      <c r="AC6282">
        <v>0</v>
      </c>
      <c r="AF6282">
        <v>0</v>
      </c>
      <c r="AG6282">
        <v>3</v>
      </c>
      <c r="AH6282">
        <v>0</v>
      </c>
      <c r="AI6282">
        <v>625.9299999999999</v>
      </c>
      <c r="AK6282" t="s">
        <v>19612</v>
      </c>
      <c r="AL6282" t="s">
        <v>19614</v>
      </c>
      <c r="AM6282">
        <v>133510</v>
      </c>
      <c r="AS6282">
        <v>1.8</v>
      </c>
      <c r="AT6282" t="s">
        <v>484</v>
      </c>
      <c r="AU6282" t="s">
        <v>67</v>
      </c>
      <c r="AV6282" t="s">
        <v>20733</v>
      </c>
    </row>
    <row r="6283" spans="1:48">
      <c r="A6283" s="1">
        <f>HYPERLINK("https://lsnyc.legalserver.org/matter/dynamic-profile/view/1904890","19-1904890")</f>
        <v>0</v>
      </c>
      <c r="B6283" t="s">
        <v>103</v>
      </c>
      <c r="C6283" t="s">
        <v>256</v>
      </c>
      <c r="D6283" t="s">
        <v>660</v>
      </c>
      <c r="F6283" t="s">
        <v>2119</v>
      </c>
      <c r="G6283" t="s">
        <v>5643</v>
      </c>
      <c r="H6283" t="s">
        <v>5887</v>
      </c>
      <c r="I6283" t="s">
        <v>8797</v>
      </c>
      <c r="J6283" t="s">
        <v>9065</v>
      </c>
      <c r="K6283">
        <v>10453</v>
      </c>
      <c r="L6283" t="s">
        <v>9094</v>
      </c>
      <c r="M6283" t="s">
        <v>9095</v>
      </c>
      <c r="N6283" t="s">
        <v>9239</v>
      </c>
      <c r="O6283" t="s">
        <v>11134</v>
      </c>
      <c r="P6283" t="s">
        <v>11168</v>
      </c>
      <c r="R6283" t="s">
        <v>11180</v>
      </c>
      <c r="S6283" t="s">
        <v>9094</v>
      </c>
      <c r="T6283" t="s">
        <v>11183</v>
      </c>
      <c r="V6283" t="s">
        <v>945</v>
      </c>
      <c r="W6283">
        <v>1058.89</v>
      </c>
      <c r="X6283" t="s">
        <v>11333</v>
      </c>
      <c r="Y6283" t="s">
        <v>11346</v>
      </c>
      <c r="Z6283" t="s">
        <v>15216</v>
      </c>
      <c r="AB6283" t="s">
        <v>19506</v>
      </c>
      <c r="AC6283">
        <v>167</v>
      </c>
      <c r="AD6283" t="s">
        <v>19566</v>
      </c>
      <c r="AE6283" t="s">
        <v>9144</v>
      </c>
      <c r="AF6283">
        <v>18</v>
      </c>
      <c r="AG6283">
        <v>1</v>
      </c>
      <c r="AH6283">
        <v>0</v>
      </c>
      <c r="AI6283">
        <v>626.03</v>
      </c>
      <c r="AL6283" t="s">
        <v>19614</v>
      </c>
      <c r="AM6283">
        <v>76000</v>
      </c>
      <c r="AS6283">
        <v>0</v>
      </c>
      <c r="AU6283" t="s">
        <v>220</v>
      </c>
      <c r="AV6283" t="s">
        <v>20733</v>
      </c>
    </row>
    <row r="6284" spans="1:48">
      <c r="A6284" s="1">
        <f>HYPERLINK("https://lsnyc.legalserver.org/matter/dynamic-profile/view/1904899","19-1904899")</f>
        <v>0</v>
      </c>
      <c r="B6284" t="s">
        <v>103</v>
      </c>
      <c r="C6284" t="s">
        <v>256</v>
      </c>
      <c r="D6284" t="s">
        <v>660</v>
      </c>
      <c r="F6284" t="s">
        <v>2119</v>
      </c>
      <c r="G6284" t="s">
        <v>5643</v>
      </c>
      <c r="H6284" t="s">
        <v>5887</v>
      </c>
      <c r="I6284" t="s">
        <v>8797</v>
      </c>
      <c r="J6284" t="s">
        <v>9065</v>
      </c>
      <c r="K6284">
        <v>10453</v>
      </c>
      <c r="L6284" t="s">
        <v>9094</v>
      </c>
      <c r="M6284" t="s">
        <v>9095</v>
      </c>
      <c r="N6284" t="s">
        <v>9240</v>
      </c>
      <c r="O6284" t="s">
        <v>11134</v>
      </c>
      <c r="P6284" t="s">
        <v>11168</v>
      </c>
      <c r="R6284" t="s">
        <v>11180</v>
      </c>
      <c r="S6284" t="s">
        <v>9094</v>
      </c>
      <c r="T6284" t="s">
        <v>11183</v>
      </c>
      <c r="V6284" t="s">
        <v>422</v>
      </c>
      <c r="W6284">
        <v>1058.89</v>
      </c>
      <c r="X6284" t="s">
        <v>11333</v>
      </c>
      <c r="Y6284" t="s">
        <v>11346</v>
      </c>
      <c r="Z6284" t="s">
        <v>15216</v>
      </c>
      <c r="AB6284" t="s">
        <v>19506</v>
      </c>
      <c r="AC6284">
        <v>167</v>
      </c>
      <c r="AD6284" t="s">
        <v>19566</v>
      </c>
      <c r="AE6284" t="s">
        <v>9144</v>
      </c>
      <c r="AF6284">
        <v>18</v>
      </c>
      <c r="AG6284">
        <v>1</v>
      </c>
      <c r="AH6284">
        <v>0</v>
      </c>
      <c r="AI6284">
        <v>626.03</v>
      </c>
      <c r="AL6284" t="s">
        <v>19614</v>
      </c>
      <c r="AM6284">
        <v>76000</v>
      </c>
      <c r="AS6284">
        <v>0</v>
      </c>
      <c r="AU6284" t="s">
        <v>220</v>
      </c>
      <c r="AV6284" t="s">
        <v>20733</v>
      </c>
    </row>
    <row r="6285" spans="1:48">
      <c r="A6285" s="1">
        <f>HYPERLINK("https://lsnyc.legalserver.org/matter/dynamic-profile/view/1909425","19-1909425")</f>
        <v>0</v>
      </c>
      <c r="B6285" t="s">
        <v>84</v>
      </c>
      <c r="C6285" t="s">
        <v>256</v>
      </c>
      <c r="D6285" t="s">
        <v>339</v>
      </c>
      <c r="F6285" t="s">
        <v>3301</v>
      </c>
      <c r="G6285" t="s">
        <v>5647</v>
      </c>
      <c r="H6285" t="s">
        <v>7590</v>
      </c>
      <c r="I6285" t="s">
        <v>8215</v>
      </c>
      <c r="J6285" t="s">
        <v>9059</v>
      </c>
      <c r="K6285">
        <v>11219</v>
      </c>
      <c r="L6285" t="s">
        <v>9094</v>
      </c>
      <c r="M6285" t="s">
        <v>9095</v>
      </c>
      <c r="P6285" t="s">
        <v>11166</v>
      </c>
      <c r="R6285" t="s">
        <v>11180</v>
      </c>
      <c r="S6285" t="s">
        <v>9094</v>
      </c>
      <c r="T6285" t="s">
        <v>11183</v>
      </c>
      <c r="V6285" t="s">
        <v>339</v>
      </c>
      <c r="W6285">
        <v>0</v>
      </c>
      <c r="X6285" t="s">
        <v>11332</v>
      </c>
      <c r="Z6285" t="s">
        <v>14430</v>
      </c>
      <c r="AB6285" t="s">
        <v>19512</v>
      </c>
      <c r="AC6285">
        <v>20</v>
      </c>
      <c r="AF6285">
        <v>0</v>
      </c>
      <c r="AG6285">
        <v>2</v>
      </c>
      <c r="AH6285">
        <v>0</v>
      </c>
      <c r="AI6285">
        <v>626.85</v>
      </c>
      <c r="AL6285" t="s">
        <v>19626</v>
      </c>
      <c r="AM6285">
        <v>106000</v>
      </c>
      <c r="AS6285">
        <v>0.2</v>
      </c>
      <c r="AT6285" t="s">
        <v>339</v>
      </c>
      <c r="AU6285" t="s">
        <v>67</v>
      </c>
      <c r="AV6285" t="s">
        <v>20733</v>
      </c>
    </row>
    <row r="6286" spans="1:48">
      <c r="A6286" s="1">
        <f>HYPERLINK("https://lsnyc.legalserver.org/matter/dynamic-profile/view/1909501","19-1909501")</f>
        <v>0</v>
      </c>
      <c r="B6286" t="s">
        <v>139</v>
      </c>
      <c r="C6286" t="s">
        <v>256</v>
      </c>
      <c r="D6286" t="s">
        <v>273</v>
      </c>
      <c r="F6286" t="s">
        <v>3302</v>
      </c>
      <c r="G6286" t="s">
        <v>5648</v>
      </c>
      <c r="H6286" t="s">
        <v>6653</v>
      </c>
      <c r="I6286" t="s">
        <v>8375</v>
      </c>
      <c r="J6286" t="s">
        <v>9067</v>
      </c>
      <c r="K6286">
        <v>10040</v>
      </c>
      <c r="L6286" t="s">
        <v>9094</v>
      </c>
      <c r="M6286" t="s">
        <v>9095</v>
      </c>
      <c r="O6286" t="s">
        <v>11130</v>
      </c>
      <c r="P6286" t="s">
        <v>11169</v>
      </c>
      <c r="R6286" t="s">
        <v>11180</v>
      </c>
      <c r="S6286" t="s">
        <v>9094</v>
      </c>
      <c r="T6286" t="s">
        <v>11183</v>
      </c>
      <c r="V6286" t="s">
        <v>273</v>
      </c>
      <c r="W6286">
        <v>1738.34</v>
      </c>
      <c r="X6286" t="s">
        <v>11335</v>
      </c>
      <c r="Y6286" t="s">
        <v>11338</v>
      </c>
      <c r="Z6286" t="s">
        <v>11787</v>
      </c>
      <c r="AB6286" t="s">
        <v>19513</v>
      </c>
      <c r="AC6286">
        <v>77</v>
      </c>
      <c r="AD6286" t="s">
        <v>19566</v>
      </c>
      <c r="AE6286" t="s">
        <v>9144</v>
      </c>
      <c r="AF6286">
        <v>5</v>
      </c>
      <c r="AG6286">
        <v>2</v>
      </c>
      <c r="AH6286">
        <v>0</v>
      </c>
      <c r="AI6286">
        <v>626.85</v>
      </c>
      <c r="AL6286" t="s">
        <v>19614</v>
      </c>
      <c r="AM6286">
        <v>106000</v>
      </c>
      <c r="AS6286">
        <v>0.1</v>
      </c>
      <c r="AT6286" t="s">
        <v>425</v>
      </c>
      <c r="AU6286" t="s">
        <v>130</v>
      </c>
      <c r="AV6286" t="s">
        <v>20733</v>
      </c>
    </row>
    <row r="6287" spans="1:48">
      <c r="A6287" s="1">
        <f>HYPERLINK("https://lsnyc.legalserver.org/matter/dynamic-profile/view/1914079","19-1914079")</f>
        <v>0</v>
      </c>
      <c r="B6287" t="s">
        <v>135</v>
      </c>
      <c r="C6287" t="s">
        <v>256</v>
      </c>
      <c r="D6287" t="s">
        <v>395</v>
      </c>
      <c r="F6287" t="s">
        <v>1687</v>
      </c>
      <c r="G6287" t="s">
        <v>5649</v>
      </c>
      <c r="H6287" t="s">
        <v>7141</v>
      </c>
      <c r="I6287" t="s">
        <v>8178</v>
      </c>
      <c r="J6287" t="s">
        <v>9067</v>
      </c>
      <c r="K6287">
        <v>10035</v>
      </c>
      <c r="L6287" t="s">
        <v>9094</v>
      </c>
      <c r="M6287" t="s">
        <v>9095</v>
      </c>
      <c r="O6287" t="s">
        <v>9121</v>
      </c>
      <c r="P6287" t="s">
        <v>11166</v>
      </c>
      <c r="R6287" t="s">
        <v>11180</v>
      </c>
      <c r="S6287" t="s">
        <v>9094</v>
      </c>
      <c r="T6287" t="s">
        <v>11183</v>
      </c>
      <c r="U6287" t="s">
        <v>11201</v>
      </c>
      <c r="V6287" t="s">
        <v>556</v>
      </c>
      <c r="W6287">
        <v>2025</v>
      </c>
      <c r="X6287" t="s">
        <v>11335</v>
      </c>
      <c r="Y6287" t="s">
        <v>11339</v>
      </c>
      <c r="Z6287" t="s">
        <v>15221</v>
      </c>
      <c r="AB6287" t="s">
        <v>19514</v>
      </c>
      <c r="AC6287">
        <v>33</v>
      </c>
      <c r="AD6287" t="s">
        <v>19566</v>
      </c>
      <c r="AE6287" t="s">
        <v>9144</v>
      </c>
      <c r="AF6287">
        <v>5</v>
      </c>
      <c r="AG6287">
        <v>2</v>
      </c>
      <c r="AH6287">
        <v>0</v>
      </c>
      <c r="AI6287">
        <v>626.85</v>
      </c>
      <c r="AL6287" t="s">
        <v>19614</v>
      </c>
      <c r="AM6287">
        <v>106000</v>
      </c>
      <c r="AS6287">
        <v>2.75</v>
      </c>
      <c r="AT6287" t="s">
        <v>556</v>
      </c>
      <c r="AU6287" t="s">
        <v>20657</v>
      </c>
      <c r="AV6287" t="s">
        <v>20733</v>
      </c>
    </row>
    <row r="6288" spans="1:48">
      <c r="A6288" s="1">
        <f>HYPERLINK("https://lsnyc.legalserver.org/matter/dynamic-profile/view/0800070","16-0800070")</f>
        <v>0</v>
      </c>
      <c r="B6288" t="s">
        <v>103</v>
      </c>
      <c r="C6288" t="s">
        <v>256</v>
      </c>
      <c r="D6288" t="s">
        <v>430</v>
      </c>
      <c r="F6288" t="s">
        <v>3299</v>
      </c>
      <c r="G6288" t="s">
        <v>1721</v>
      </c>
      <c r="H6288" t="s">
        <v>5873</v>
      </c>
      <c r="I6288" t="s">
        <v>8199</v>
      </c>
      <c r="J6288" t="s">
        <v>9065</v>
      </c>
      <c r="K6288">
        <v>10457</v>
      </c>
      <c r="L6288" t="s">
        <v>9094</v>
      </c>
      <c r="M6288" t="s">
        <v>9095</v>
      </c>
      <c r="O6288" t="s">
        <v>11135</v>
      </c>
      <c r="P6288" t="s">
        <v>11168</v>
      </c>
      <c r="R6288" t="s">
        <v>11180</v>
      </c>
      <c r="S6288" t="s">
        <v>9094</v>
      </c>
      <c r="T6288" t="s">
        <v>11183</v>
      </c>
      <c r="V6288" t="s">
        <v>1038</v>
      </c>
      <c r="W6288">
        <v>1290</v>
      </c>
      <c r="X6288" t="s">
        <v>11333</v>
      </c>
      <c r="Y6288" t="s">
        <v>11338</v>
      </c>
      <c r="Z6288" t="s">
        <v>15218</v>
      </c>
      <c r="AB6288" t="s">
        <v>19509</v>
      </c>
      <c r="AC6288">
        <v>0</v>
      </c>
      <c r="AD6288" t="s">
        <v>19566</v>
      </c>
      <c r="AE6288" t="s">
        <v>9144</v>
      </c>
      <c r="AF6288">
        <v>20</v>
      </c>
      <c r="AG6288">
        <v>1</v>
      </c>
      <c r="AH6288">
        <v>0</v>
      </c>
      <c r="AI6288">
        <v>631.3099999999999</v>
      </c>
      <c r="AL6288" t="s">
        <v>19614</v>
      </c>
      <c r="AM6288">
        <v>75000</v>
      </c>
      <c r="AS6288">
        <v>2.6</v>
      </c>
      <c r="AT6288" t="s">
        <v>558</v>
      </c>
      <c r="AU6288" t="s">
        <v>109</v>
      </c>
    </row>
    <row r="6289" spans="1:48">
      <c r="A6289" s="1">
        <f>HYPERLINK("https://lsnyc.legalserver.org/matter/dynamic-profile/view/0816919","16-0816919")</f>
        <v>0</v>
      </c>
      <c r="B6289" t="s">
        <v>103</v>
      </c>
      <c r="C6289" t="s">
        <v>256</v>
      </c>
      <c r="D6289" t="s">
        <v>437</v>
      </c>
      <c r="F6289" t="s">
        <v>3299</v>
      </c>
      <c r="G6289" t="s">
        <v>1721</v>
      </c>
      <c r="H6289" t="s">
        <v>5873</v>
      </c>
      <c r="I6289" t="s">
        <v>8199</v>
      </c>
      <c r="J6289" t="s">
        <v>9065</v>
      </c>
      <c r="K6289">
        <v>10457</v>
      </c>
      <c r="L6289" t="s">
        <v>9094</v>
      </c>
      <c r="M6289" t="s">
        <v>9095</v>
      </c>
      <c r="N6289" t="s">
        <v>9228</v>
      </c>
      <c r="O6289" t="s">
        <v>11135</v>
      </c>
      <c r="P6289" t="s">
        <v>11168</v>
      </c>
      <c r="R6289" t="s">
        <v>11180</v>
      </c>
      <c r="S6289" t="s">
        <v>9094</v>
      </c>
      <c r="T6289" t="s">
        <v>11183</v>
      </c>
      <c r="V6289" t="s">
        <v>1024</v>
      </c>
      <c r="W6289">
        <v>1290</v>
      </c>
      <c r="X6289" t="s">
        <v>11333</v>
      </c>
      <c r="Y6289" t="s">
        <v>11338</v>
      </c>
      <c r="Z6289" t="s">
        <v>15218</v>
      </c>
      <c r="AB6289" t="s">
        <v>19509</v>
      </c>
      <c r="AC6289">
        <v>100</v>
      </c>
      <c r="AD6289" t="s">
        <v>19566</v>
      </c>
      <c r="AE6289" t="s">
        <v>9144</v>
      </c>
      <c r="AF6289">
        <v>20</v>
      </c>
      <c r="AG6289">
        <v>1</v>
      </c>
      <c r="AH6289">
        <v>0</v>
      </c>
      <c r="AI6289">
        <v>631.3099999999999</v>
      </c>
      <c r="AJ6289" t="s">
        <v>11262</v>
      </c>
      <c r="AL6289" t="s">
        <v>19614</v>
      </c>
      <c r="AM6289">
        <v>75000</v>
      </c>
      <c r="AS6289">
        <v>0.5</v>
      </c>
      <c r="AT6289" t="s">
        <v>437</v>
      </c>
      <c r="AU6289" t="s">
        <v>20643</v>
      </c>
    </row>
    <row r="6290" spans="1:48">
      <c r="A6290" s="1">
        <f>HYPERLINK("https://lsnyc.legalserver.org/matter/dynamic-profile/view/1869099","18-1869099")</f>
        <v>0</v>
      </c>
      <c r="B6290" t="s">
        <v>197</v>
      </c>
      <c r="C6290" t="s">
        <v>256</v>
      </c>
      <c r="D6290" t="s">
        <v>959</v>
      </c>
      <c r="F6290" t="s">
        <v>2278</v>
      </c>
      <c r="G6290" t="s">
        <v>5650</v>
      </c>
      <c r="H6290" t="s">
        <v>7627</v>
      </c>
      <c r="I6290" t="s">
        <v>8262</v>
      </c>
      <c r="J6290" t="s">
        <v>9067</v>
      </c>
      <c r="K6290">
        <v>10034</v>
      </c>
      <c r="L6290" t="s">
        <v>9094</v>
      </c>
      <c r="M6290" t="s">
        <v>9095</v>
      </c>
      <c r="N6290" t="s">
        <v>10661</v>
      </c>
      <c r="O6290" t="s">
        <v>11135</v>
      </c>
      <c r="P6290" t="s">
        <v>11168</v>
      </c>
      <c r="R6290" t="s">
        <v>11180</v>
      </c>
      <c r="S6290" t="s">
        <v>9094</v>
      </c>
      <c r="T6290" t="s">
        <v>11183</v>
      </c>
      <c r="V6290" t="s">
        <v>959</v>
      </c>
      <c r="W6290">
        <v>1750.51</v>
      </c>
      <c r="X6290" t="s">
        <v>11335</v>
      </c>
      <c r="Y6290" t="s">
        <v>11351</v>
      </c>
      <c r="Z6290" t="s">
        <v>13107</v>
      </c>
      <c r="AB6290" t="s">
        <v>19515</v>
      </c>
      <c r="AC6290">
        <v>72</v>
      </c>
      <c r="AD6290" t="s">
        <v>19566</v>
      </c>
      <c r="AE6290" t="s">
        <v>9144</v>
      </c>
      <c r="AF6290">
        <v>11</v>
      </c>
      <c r="AG6290">
        <v>2</v>
      </c>
      <c r="AH6290">
        <v>0</v>
      </c>
      <c r="AI6290">
        <v>631.83</v>
      </c>
      <c r="AL6290" t="s">
        <v>19614</v>
      </c>
      <c r="AM6290">
        <v>104000</v>
      </c>
      <c r="AS6290">
        <v>1</v>
      </c>
      <c r="AT6290" t="s">
        <v>338</v>
      </c>
      <c r="AU6290" t="s">
        <v>130</v>
      </c>
    </row>
    <row r="6291" spans="1:48">
      <c r="A6291" s="1">
        <f>HYPERLINK("https://lsnyc.legalserver.org/matter/dynamic-profile/view/1869102","18-1869102")</f>
        <v>0</v>
      </c>
      <c r="B6291" t="s">
        <v>197</v>
      </c>
      <c r="C6291" t="s">
        <v>256</v>
      </c>
      <c r="D6291" t="s">
        <v>959</v>
      </c>
      <c r="F6291" t="s">
        <v>2278</v>
      </c>
      <c r="G6291" t="s">
        <v>5650</v>
      </c>
      <c r="H6291" t="s">
        <v>7627</v>
      </c>
      <c r="I6291" t="s">
        <v>8262</v>
      </c>
      <c r="J6291" t="s">
        <v>9067</v>
      </c>
      <c r="K6291">
        <v>10034</v>
      </c>
      <c r="L6291" t="s">
        <v>9094</v>
      </c>
      <c r="M6291" t="s">
        <v>9095</v>
      </c>
      <c r="N6291" t="s">
        <v>10662</v>
      </c>
      <c r="O6291" t="s">
        <v>11135</v>
      </c>
      <c r="P6291" t="s">
        <v>11168</v>
      </c>
      <c r="R6291" t="s">
        <v>11180</v>
      </c>
      <c r="S6291" t="s">
        <v>9094</v>
      </c>
      <c r="T6291" t="s">
        <v>11183</v>
      </c>
      <c r="V6291" t="s">
        <v>959</v>
      </c>
      <c r="W6291">
        <v>1750.51</v>
      </c>
      <c r="X6291" t="s">
        <v>11335</v>
      </c>
      <c r="Y6291" t="s">
        <v>11351</v>
      </c>
      <c r="Z6291" t="s">
        <v>13107</v>
      </c>
      <c r="AB6291" t="s">
        <v>19515</v>
      </c>
      <c r="AC6291">
        <v>72</v>
      </c>
      <c r="AD6291" t="s">
        <v>19566</v>
      </c>
      <c r="AE6291" t="s">
        <v>9144</v>
      </c>
      <c r="AF6291">
        <v>11</v>
      </c>
      <c r="AG6291">
        <v>2</v>
      </c>
      <c r="AH6291">
        <v>0</v>
      </c>
      <c r="AI6291">
        <v>631.83</v>
      </c>
      <c r="AL6291" t="s">
        <v>19614</v>
      </c>
      <c r="AM6291">
        <v>104000</v>
      </c>
      <c r="AS6291">
        <v>0</v>
      </c>
      <c r="AU6291" t="s">
        <v>130</v>
      </c>
    </row>
    <row r="6292" spans="1:48">
      <c r="A6292" s="1">
        <f>HYPERLINK("https://lsnyc.legalserver.org/matter/dynamic-profile/view/1914166","19-1914166")</f>
        <v>0</v>
      </c>
      <c r="B6292" t="s">
        <v>135</v>
      </c>
      <c r="C6292" t="s">
        <v>256</v>
      </c>
      <c r="D6292" t="s">
        <v>395</v>
      </c>
      <c r="F6292" t="s">
        <v>1146</v>
      </c>
      <c r="G6292" t="s">
        <v>4691</v>
      </c>
      <c r="H6292" t="s">
        <v>5940</v>
      </c>
      <c r="I6292" t="s">
        <v>8337</v>
      </c>
      <c r="J6292" t="s">
        <v>9067</v>
      </c>
      <c r="K6292">
        <v>10037</v>
      </c>
      <c r="L6292" t="s">
        <v>9094</v>
      </c>
      <c r="M6292" t="s">
        <v>9095</v>
      </c>
      <c r="O6292" t="s">
        <v>11130</v>
      </c>
      <c r="P6292" t="s">
        <v>11169</v>
      </c>
      <c r="R6292" t="s">
        <v>11180</v>
      </c>
      <c r="S6292" t="s">
        <v>9094</v>
      </c>
      <c r="T6292" t="s">
        <v>11183</v>
      </c>
      <c r="U6292" t="s">
        <v>11201</v>
      </c>
      <c r="V6292" t="s">
        <v>301</v>
      </c>
      <c r="W6292">
        <v>2198</v>
      </c>
      <c r="X6292" t="s">
        <v>11335</v>
      </c>
      <c r="Y6292" t="s">
        <v>11339</v>
      </c>
      <c r="Z6292" t="s">
        <v>15222</v>
      </c>
      <c r="AB6292" t="s">
        <v>19516</v>
      </c>
      <c r="AC6292">
        <v>259</v>
      </c>
      <c r="AD6292" t="s">
        <v>19566</v>
      </c>
      <c r="AE6292" t="s">
        <v>9144</v>
      </c>
      <c r="AF6292">
        <v>2</v>
      </c>
      <c r="AG6292">
        <v>2</v>
      </c>
      <c r="AH6292">
        <v>1</v>
      </c>
      <c r="AI6292">
        <v>632.91</v>
      </c>
      <c r="AL6292" t="s">
        <v>19614</v>
      </c>
      <c r="AM6292">
        <v>135000</v>
      </c>
      <c r="AS6292">
        <v>0</v>
      </c>
      <c r="AU6292" t="s">
        <v>20657</v>
      </c>
      <c r="AV6292" t="s">
        <v>20733</v>
      </c>
    </row>
    <row r="6293" spans="1:48">
      <c r="A6293" s="1">
        <f>HYPERLINK("https://lsnyc.legalserver.org/matter/dynamic-profile/view/0796462","16-0796462")</f>
        <v>0</v>
      </c>
      <c r="B6293" t="s">
        <v>103</v>
      </c>
      <c r="C6293" t="s">
        <v>256</v>
      </c>
      <c r="D6293" t="s">
        <v>1036</v>
      </c>
      <c r="F6293" t="s">
        <v>3299</v>
      </c>
      <c r="G6293" t="s">
        <v>1721</v>
      </c>
      <c r="H6293" t="s">
        <v>5873</v>
      </c>
      <c r="I6293" t="s">
        <v>8329</v>
      </c>
      <c r="J6293" t="s">
        <v>9065</v>
      </c>
      <c r="K6293">
        <v>10457</v>
      </c>
      <c r="L6293" t="s">
        <v>9094</v>
      </c>
      <c r="M6293" t="s">
        <v>9095</v>
      </c>
      <c r="N6293" t="s">
        <v>9229</v>
      </c>
      <c r="O6293" t="s">
        <v>11132</v>
      </c>
      <c r="P6293" t="s">
        <v>11165</v>
      </c>
      <c r="R6293" t="s">
        <v>11180</v>
      </c>
      <c r="S6293" t="s">
        <v>9094</v>
      </c>
      <c r="T6293" t="s">
        <v>11183</v>
      </c>
      <c r="V6293" t="s">
        <v>1038</v>
      </c>
      <c r="W6293">
        <v>1290</v>
      </c>
      <c r="X6293" t="s">
        <v>11333</v>
      </c>
      <c r="Y6293" t="s">
        <v>11338</v>
      </c>
      <c r="Z6293" t="s">
        <v>15218</v>
      </c>
      <c r="AB6293" t="s">
        <v>19509</v>
      </c>
      <c r="AC6293">
        <v>0</v>
      </c>
      <c r="AD6293" t="s">
        <v>19566</v>
      </c>
      <c r="AE6293" t="s">
        <v>9144</v>
      </c>
      <c r="AF6293">
        <v>20</v>
      </c>
      <c r="AG6293">
        <v>1</v>
      </c>
      <c r="AH6293">
        <v>0</v>
      </c>
      <c r="AI6293">
        <v>637.21</v>
      </c>
      <c r="AJ6293" t="s">
        <v>11262</v>
      </c>
      <c r="AL6293" t="s">
        <v>19614</v>
      </c>
      <c r="AM6293">
        <v>75000</v>
      </c>
      <c r="AS6293">
        <v>5.5</v>
      </c>
      <c r="AT6293" t="s">
        <v>685</v>
      </c>
      <c r="AU6293" t="s">
        <v>109</v>
      </c>
    </row>
    <row r="6294" spans="1:48">
      <c r="A6294" s="1">
        <f>HYPERLINK("https://lsnyc.legalserver.org/matter/dynamic-profile/view/1891146","19-1891146")</f>
        <v>0</v>
      </c>
      <c r="B6294" t="s">
        <v>98</v>
      </c>
      <c r="C6294" t="s">
        <v>257</v>
      </c>
      <c r="D6294" t="s">
        <v>491</v>
      </c>
      <c r="E6294" t="s">
        <v>676</v>
      </c>
      <c r="F6294" t="s">
        <v>1395</v>
      </c>
      <c r="G6294" t="s">
        <v>5651</v>
      </c>
      <c r="H6294" t="s">
        <v>7643</v>
      </c>
      <c r="I6294" t="s">
        <v>8112</v>
      </c>
      <c r="J6294" t="s">
        <v>9065</v>
      </c>
      <c r="K6294">
        <v>10461</v>
      </c>
      <c r="L6294" t="s">
        <v>9094</v>
      </c>
      <c r="M6294" t="s">
        <v>9094</v>
      </c>
      <c r="O6294" t="s">
        <v>11134</v>
      </c>
      <c r="P6294" t="s">
        <v>11167</v>
      </c>
      <c r="Q6294" t="s">
        <v>11173</v>
      </c>
      <c r="R6294" t="s">
        <v>11180</v>
      </c>
      <c r="S6294" t="s">
        <v>9094</v>
      </c>
      <c r="T6294" t="s">
        <v>11183</v>
      </c>
      <c r="V6294" t="s">
        <v>596</v>
      </c>
      <c r="W6294">
        <v>1450</v>
      </c>
      <c r="X6294" t="s">
        <v>11333</v>
      </c>
      <c r="Y6294" t="s">
        <v>11346</v>
      </c>
      <c r="Z6294" t="s">
        <v>15223</v>
      </c>
      <c r="AC6294">
        <v>125</v>
      </c>
      <c r="AD6294" t="s">
        <v>19566</v>
      </c>
      <c r="AE6294" t="s">
        <v>9144</v>
      </c>
      <c r="AF6294">
        <v>1</v>
      </c>
      <c r="AG6294">
        <v>1</v>
      </c>
      <c r="AH6294">
        <v>0</v>
      </c>
      <c r="AI6294">
        <v>640.51</v>
      </c>
      <c r="AL6294" t="s">
        <v>19614</v>
      </c>
      <c r="AM6294">
        <v>80000</v>
      </c>
      <c r="AS6294">
        <v>0.06</v>
      </c>
      <c r="AT6294" t="s">
        <v>676</v>
      </c>
      <c r="AU6294" t="s">
        <v>20642</v>
      </c>
    </row>
    <row r="6295" spans="1:48">
      <c r="A6295" s="1">
        <f>HYPERLINK("https://lsnyc.legalserver.org/matter/dynamic-profile/view/1869088","18-1869088")</f>
        <v>0</v>
      </c>
      <c r="B6295" t="s">
        <v>197</v>
      </c>
      <c r="C6295" t="s">
        <v>256</v>
      </c>
      <c r="D6295" t="s">
        <v>959</v>
      </c>
      <c r="F6295" t="s">
        <v>1345</v>
      </c>
      <c r="G6295" t="s">
        <v>5652</v>
      </c>
      <c r="H6295" t="s">
        <v>7627</v>
      </c>
      <c r="I6295" t="s">
        <v>8134</v>
      </c>
      <c r="J6295" t="s">
        <v>9067</v>
      </c>
      <c r="K6295">
        <v>10034</v>
      </c>
      <c r="L6295" t="s">
        <v>9094</v>
      </c>
      <c r="M6295" t="s">
        <v>9095</v>
      </c>
      <c r="N6295" t="s">
        <v>10661</v>
      </c>
      <c r="O6295" t="s">
        <v>11135</v>
      </c>
      <c r="P6295" t="s">
        <v>11168</v>
      </c>
      <c r="R6295" t="s">
        <v>11180</v>
      </c>
      <c r="S6295" t="s">
        <v>9094</v>
      </c>
      <c r="T6295" t="s">
        <v>11183</v>
      </c>
      <c r="V6295" t="s">
        <v>959</v>
      </c>
      <c r="W6295">
        <v>1753</v>
      </c>
      <c r="X6295" t="s">
        <v>11335</v>
      </c>
      <c r="Y6295" t="s">
        <v>11351</v>
      </c>
      <c r="Z6295" t="s">
        <v>12823</v>
      </c>
      <c r="AB6295" t="s">
        <v>19517</v>
      </c>
      <c r="AC6295">
        <v>72</v>
      </c>
      <c r="AD6295" t="s">
        <v>19566</v>
      </c>
      <c r="AE6295" t="s">
        <v>9144</v>
      </c>
      <c r="AF6295">
        <v>22</v>
      </c>
      <c r="AG6295">
        <v>2</v>
      </c>
      <c r="AH6295">
        <v>0</v>
      </c>
      <c r="AI6295">
        <v>642.58</v>
      </c>
      <c r="AL6295" t="s">
        <v>19614</v>
      </c>
      <c r="AM6295">
        <v>105768</v>
      </c>
      <c r="AS6295">
        <v>3.9</v>
      </c>
      <c r="AT6295" t="s">
        <v>338</v>
      </c>
      <c r="AU6295" t="s">
        <v>130</v>
      </c>
    </row>
    <row r="6296" spans="1:48">
      <c r="A6296" s="1">
        <f>HYPERLINK("https://lsnyc.legalserver.org/matter/dynamic-profile/view/1869096","18-1869096")</f>
        <v>0</v>
      </c>
      <c r="B6296" t="s">
        <v>197</v>
      </c>
      <c r="C6296" t="s">
        <v>256</v>
      </c>
      <c r="D6296" t="s">
        <v>959</v>
      </c>
      <c r="F6296" t="s">
        <v>1345</v>
      </c>
      <c r="G6296" t="s">
        <v>5652</v>
      </c>
      <c r="H6296" t="s">
        <v>7627</v>
      </c>
      <c r="I6296" t="s">
        <v>8134</v>
      </c>
      <c r="J6296" t="s">
        <v>9067</v>
      </c>
      <c r="K6296">
        <v>10034</v>
      </c>
      <c r="L6296" t="s">
        <v>9094</v>
      </c>
      <c r="M6296" t="s">
        <v>9095</v>
      </c>
      <c r="N6296" t="s">
        <v>10662</v>
      </c>
      <c r="O6296" t="s">
        <v>11135</v>
      </c>
      <c r="P6296" t="s">
        <v>11168</v>
      </c>
      <c r="R6296" t="s">
        <v>11180</v>
      </c>
      <c r="S6296" t="s">
        <v>9094</v>
      </c>
      <c r="T6296" t="s">
        <v>11183</v>
      </c>
      <c r="V6296" t="s">
        <v>959</v>
      </c>
      <c r="W6296">
        <v>1753</v>
      </c>
      <c r="X6296" t="s">
        <v>11335</v>
      </c>
      <c r="Y6296" t="s">
        <v>11351</v>
      </c>
      <c r="Z6296" t="s">
        <v>12823</v>
      </c>
      <c r="AB6296" t="s">
        <v>19517</v>
      </c>
      <c r="AC6296">
        <v>72</v>
      </c>
      <c r="AD6296" t="s">
        <v>19566</v>
      </c>
      <c r="AE6296" t="s">
        <v>9144</v>
      </c>
      <c r="AF6296">
        <v>22</v>
      </c>
      <c r="AG6296">
        <v>2</v>
      </c>
      <c r="AH6296">
        <v>0</v>
      </c>
      <c r="AI6296">
        <v>642.58</v>
      </c>
      <c r="AL6296" t="s">
        <v>19614</v>
      </c>
      <c r="AM6296">
        <v>105768</v>
      </c>
      <c r="AS6296">
        <v>45.35</v>
      </c>
      <c r="AT6296" t="s">
        <v>270</v>
      </c>
      <c r="AU6296" t="s">
        <v>130</v>
      </c>
    </row>
    <row r="6297" spans="1:48">
      <c r="A6297" s="1">
        <f>HYPERLINK("https://lsnyc.legalserver.org/matter/dynamic-profile/view/1845615","17-1845615")</f>
        <v>0</v>
      </c>
      <c r="B6297" t="s">
        <v>150</v>
      </c>
      <c r="C6297" t="s">
        <v>256</v>
      </c>
      <c r="D6297" t="s">
        <v>646</v>
      </c>
      <c r="F6297" t="s">
        <v>3303</v>
      </c>
      <c r="G6297" t="s">
        <v>5653</v>
      </c>
      <c r="H6297" t="s">
        <v>6207</v>
      </c>
      <c r="J6297" t="s">
        <v>9059</v>
      </c>
      <c r="K6297">
        <v>11213</v>
      </c>
      <c r="L6297" t="s">
        <v>9094</v>
      </c>
      <c r="M6297" t="s">
        <v>9095</v>
      </c>
      <c r="O6297" t="s">
        <v>11137</v>
      </c>
      <c r="P6297" t="s">
        <v>11167</v>
      </c>
      <c r="R6297" t="s">
        <v>11180</v>
      </c>
      <c r="S6297" t="s">
        <v>9094</v>
      </c>
      <c r="T6297" t="s">
        <v>11183</v>
      </c>
      <c r="V6297" t="s">
        <v>837</v>
      </c>
      <c r="W6297">
        <v>0</v>
      </c>
      <c r="X6297" t="s">
        <v>11332</v>
      </c>
      <c r="Z6297" t="s">
        <v>15224</v>
      </c>
      <c r="AC6297">
        <v>74</v>
      </c>
      <c r="AD6297" t="s">
        <v>19566</v>
      </c>
      <c r="AF6297">
        <v>0</v>
      </c>
      <c r="AG6297">
        <v>2</v>
      </c>
      <c r="AH6297">
        <v>0</v>
      </c>
      <c r="AI6297">
        <v>646.55</v>
      </c>
      <c r="AJ6297" t="s">
        <v>1108</v>
      </c>
      <c r="AL6297" t="s">
        <v>19614</v>
      </c>
      <c r="AM6297">
        <v>145000</v>
      </c>
      <c r="AS6297">
        <v>0</v>
      </c>
      <c r="AU6297" t="s">
        <v>20636</v>
      </c>
    </row>
    <row r="6298" spans="1:48">
      <c r="A6298" s="1">
        <f>HYPERLINK("https://lsnyc.legalserver.org/matter/dynamic-profile/view/1907714","19-1907714")</f>
        <v>0</v>
      </c>
      <c r="B6298" t="s">
        <v>55</v>
      </c>
      <c r="C6298" t="s">
        <v>256</v>
      </c>
      <c r="D6298" t="s">
        <v>429</v>
      </c>
      <c r="F6298" t="s">
        <v>3304</v>
      </c>
      <c r="G6298" t="s">
        <v>5654</v>
      </c>
      <c r="H6298" t="s">
        <v>7925</v>
      </c>
      <c r="I6298" t="s">
        <v>8191</v>
      </c>
      <c r="J6298" t="s">
        <v>9050</v>
      </c>
      <c r="K6298">
        <v>11377</v>
      </c>
      <c r="L6298" t="s">
        <v>9094</v>
      </c>
      <c r="M6298" t="s">
        <v>9095</v>
      </c>
      <c r="N6298" t="s">
        <v>10947</v>
      </c>
      <c r="O6298" t="s">
        <v>11134</v>
      </c>
      <c r="P6298" t="s">
        <v>11168</v>
      </c>
      <c r="R6298" t="s">
        <v>11180</v>
      </c>
      <c r="S6298" t="s">
        <v>9094</v>
      </c>
      <c r="T6298" t="s">
        <v>11183</v>
      </c>
      <c r="U6298" t="s">
        <v>11201</v>
      </c>
      <c r="V6298" t="s">
        <v>429</v>
      </c>
      <c r="W6298">
        <v>2000</v>
      </c>
      <c r="X6298" t="s">
        <v>11331</v>
      </c>
      <c r="Y6298" t="s">
        <v>11346</v>
      </c>
      <c r="Z6298" t="s">
        <v>11497</v>
      </c>
      <c r="AB6298" t="s">
        <v>19518</v>
      </c>
      <c r="AC6298">
        <v>390</v>
      </c>
      <c r="AD6298" t="s">
        <v>19566</v>
      </c>
      <c r="AE6298" t="s">
        <v>11157</v>
      </c>
      <c r="AF6298">
        <v>-1</v>
      </c>
      <c r="AG6298">
        <v>2</v>
      </c>
      <c r="AH6298">
        <v>0</v>
      </c>
      <c r="AI6298">
        <v>650.5</v>
      </c>
      <c r="AL6298" t="s">
        <v>19614</v>
      </c>
      <c r="AM6298">
        <v>110000</v>
      </c>
      <c r="AP6298" t="s">
        <v>11157</v>
      </c>
      <c r="AS6298">
        <v>0.4</v>
      </c>
      <c r="AT6298" t="s">
        <v>429</v>
      </c>
      <c r="AU6298" t="s">
        <v>20620</v>
      </c>
      <c r="AV6298" t="s">
        <v>20733</v>
      </c>
    </row>
    <row r="6299" spans="1:48">
      <c r="A6299" s="1">
        <f>HYPERLINK("https://lsnyc.legalserver.org/matter/dynamic-profile/view/1903219","19-1903219")</f>
        <v>0</v>
      </c>
      <c r="B6299" t="s">
        <v>165</v>
      </c>
      <c r="C6299" t="s">
        <v>256</v>
      </c>
      <c r="D6299" t="s">
        <v>280</v>
      </c>
      <c r="F6299" t="s">
        <v>3305</v>
      </c>
      <c r="G6299" t="s">
        <v>5655</v>
      </c>
      <c r="H6299" t="s">
        <v>6934</v>
      </c>
      <c r="I6299" t="s">
        <v>8507</v>
      </c>
      <c r="J6299" t="s">
        <v>9059</v>
      </c>
      <c r="K6299">
        <v>11216</v>
      </c>
      <c r="L6299" t="s">
        <v>9094</v>
      </c>
      <c r="M6299" t="s">
        <v>9095</v>
      </c>
      <c r="N6299" t="s">
        <v>10050</v>
      </c>
      <c r="O6299" t="s">
        <v>11132</v>
      </c>
      <c r="P6299" t="s">
        <v>11165</v>
      </c>
      <c r="R6299" t="s">
        <v>11180</v>
      </c>
      <c r="S6299" t="s">
        <v>9096</v>
      </c>
      <c r="T6299" t="s">
        <v>11183</v>
      </c>
      <c r="U6299" t="s">
        <v>11201</v>
      </c>
      <c r="V6299" t="s">
        <v>280</v>
      </c>
      <c r="W6299">
        <v>2500</v>
      </c>
      <c r="X6299" t="s">
        <v>11332</v>
      </c>
      <c r="Y6299" t="s">
        <v>11339</v>
      </c>
      <c r="Z6299" t="s">
        <v>15225</v>
      </c>
      <c r="AA6299" t="s">
        <v>9171</v>
      </c>
      <c r="AB6299" t="s">
        <v>19519</v>
      </c>
      <c r="AC6299">
        <v>82</v>
      </c>
      <c r="AD6299" t="s">
        <v>19566</v>
      </c>
      <c r="AE6299" t="s">
        <v>9144</v>
      </c>
      <c r="AF6299">
        <v>5</v>
      </c>
      <c r="AG6299">
        <v>2</v>
      </c>
      <c r="AH6299">
        <v>0</v>
      </c>
      <c r="AI6299">
        <v>650.5</v>
      </c>
      <c r="AL6299" t="s">
        <v>19626</v>
      </c>
      <c r="AM6299">
        <v>110000</v>
      </c>
      <c r="AN6299" t="s">
        <v>20264</v>
      </c>
      <c r="AS6299">
        <v>0</v>
      </c>
      <c r="AU6299" t="s">
        <v>95</v>
      </c>
      <c r="AV6299" t="s">
        <v>20733</v>
      </c>
    </row>
    <row r="6300" spans="1:48">
      <c r="A6300" s="1">
        <f>HYPERLINK("https://lsnyc.legalserver.org/matter/dynamic-profile/view/1903202","19-1903202")</f>
        <v>0</v>
      </c>
      <c r="B6300" t="s">
        <v>165</v>
      </c>
      <c r="C6300" t="s">
        <v>256</v>
      </c>
      <c r="D6300" t="s">
        <v>785</v>
      </c>
      <c r="F6300" t="s">
        <v>3305</v>
      </c>
      <c r="G6300" t="s">
        <v>5655</v>
      </c>
      <c r="H6300" t="s">
        <v>6934</v>
      </c>
      <c r="I6300" t="s">
        <v>8507</v>
      </c>
      <c r="J6300" t="s">
        <v>9059</v>
      </c>
      <c r="K6300">
        <v>11216</v>
      </c>
      <c r="L6300" t="s">
        <v>9094</v>
      </c>
      <c r="M6300" t="s">
        <v>9095</v>
      </c>
      <c r="N6300" t="s">
        <v>9154</v>
      </c>
      <c r="O6300" t="s">
        <v>9121</v>
      </c>
      <c r="P6300" t="s">
        <v>11167</v>
      </c>
      <c r="R6300" t="s">
        <v>11180</v>
      </c>
      <c r="S6300" t="s">
        <v>9094</v>
      </c>
      <c r="T6300" t="s">
        <v>11183</v>
      </c>
      <c r="U6300" t="s">
        <v>11201</v>
      </c>
      <c r="V6300" t="s">
        <v>785</v>
      </c>
      <c r="W6300">
        <v>2500</v>
      </c>
      <c r="X6300" t="s">
        <v>11332</v>
      </c>
      <c r="Y6300" t="s">
        <v>11339</v>
      </c>
      <c r="Z6300" t="s">
        <v>15225</v>
      </c>
      <c r="AA6300" t="s">
        <v>9144</v>
      </c>
      <c r="AB6300" t="s">
        <v>19519</v>
      </c>
      <c r="AC6300">
        <v>82</v>
      </c>
      <c r="AD6300" t="s">
        <v>19566</v>
      </c>
      <c r="AE6300" t="s">
        <v>9144</v>
      </c>
      <c r="AF6300">
        <v>5</v>
      </c>
      <c r="AG6300">
        <v>2</v>
      </c>
      <c r="AH6300">
        <v>0</v>
      </c>
      <c r="AI6300">
        <v>650.5</v>
      </c>
      <c r="AL6300" t="s">
        <v>19626</v>
      </c>
      <c r="AM6300">
        <v>110000</v>
      </c>
      <c r="AN6300" t="s">
        <v>20273</v>
      </c>
      <c r="AS6300">
        <v>0</v>
      </c>
      <c r="AU6300" t="s">
        <v>95</v>
      </c>
      <c r="AV6300" t="s">
        <v>20733</v>
      </c>
    </row>
    <row r="6301" spans="1:48">
      <c r="A6301" s="1">
        <f>HYPERLINK("https://lsnyc.legalserver.org/matter/dynamic-profile/view/0824155","17-0824155")</f>
        <v>0</v>
      </c>
      <c r="B6301" t="s">
        <v>139</v>
      </c>
      <c r="C6301" t="s">
        <v>256</v>
      </c>
      <c r="D6301" t="s">
        <v>1065</v>
      </c>
      <c r="F6301" t="s">
        <v>2111</v>
      </c>
      <c r="G6301" t="s">
        <v>5656</v>
      </c>
      <c r="H6301" t="s">
        <v>6363</v>
      </c>
      <c r="I6301" t="s">
        <v>8169</v>
      </c>
      <c r="J6301" t="s">
        <v>9067</v>
      </c>
      <c r="K6301">
        <v>10040</v>
      </c>
      <c r="L6301" t="s">
        <v>9094</v>
      </c>
      <c r="M6301" t="s">
        <v>9095</v>
      </c>
      <c r="N6301" t="s">
        <v>9887</v>
      </c>
      <c r="O6301" t="s">
        <v>11130</v>
      </c>
      <c r="P6301" t="s">
        <v>11165</v>
      </c>
      <c r="R6301" t="s">
        <v>11180</v>
      </c>
      <c r="S6301" t="s">
        <v>9094</v>
      </c>
      <c r="T6301" t="s">
        <v>11183</v>
      </c>
      <c r="V6301" t="s">
        <v>866</v>
      </c>
      <c r="W6301">
        <v>1250</v>
      </c>
      <c r="X6301" t="s">
        <v>11335</v>
      </c>
      <c r="Y6301" t="s">
        <v>11339</v>
      </c>
      <c r="Z6301" t="s">
        <v>15226</v>
      </c>
      <c r="AB6301" t="s">
        <v>19520</v>
      </c>
      <c r="AC6301">
        <v>83</v>
      </c>
      <c r="AD6301" t="s">
        <v>19566</v>
      </c>
      <c r="AE6301" t="s">
        <v>9144</v>
      </c>
      <c r="AF6301">
        <v>3</v>
      </c>
      <c r="AG6301">
        <v>2</v>
      </c>
      <c r="AH6301">
        <v>0</v>
      </c>
      <c r="AI6301">
        <v>655.4299999999999</v>
      </c>
      <c r="AJ6301" t="s">
        <v>463</v>
      </c>
      <c r="AL6301" t="s">
        <v>19614</v>
      </c>
      <c r="AM6301">
        <v>105000</v>
      </c>
      <c r="AS6301">
        <v>0</v>
      </c>
      <c r="AT6301" t="s">
        <v>537</v>
      </c>
      <c r="AU6301" t="s">
        <v>20657</v>
      </c>
    </row>
    <row r="6302" spans="1:48">
      <c r="A6302" s="1">
        <f>HYPERLINK("https://lsnyc.legalserver.org/matter/dynamic-profile/view/1899107","19-1899107")</f>
        <v>0</v>
      </c>
      <c r="B6302" t="s">
        <v>98</v>
      </c>
      <c r="C6302" t="s">
        <v>257</v>
      </c>
      <c r="D6302" t="s">
        <v>492</v>
      </c>
      <c r="E6302" t="s">
        <v>574</v>
      </c>
      <c r="F6302" t="s">
        <v>1358</v>
      </c>
      <c r="G6302" t="s">
        <v>3621</v>
      </c>
      <c r="H6302" t="s">
        <v>6081</v>
      </c>
      <c r="I6302" t="s">
        <v>8112</v>
      </c>
      <c r="J6302" t="s">
        <v>9065</v>
      </c>
      <c r="K6302">
        <v>10452</v>
      </c>
      <c r="L6302" t="s">
        <v>9094</v>
      </c>
      <c r="M6302" t="s">
        <v>9095</v>
      </c>
      <c r="O6302" t="s">
        <v>11134</v>
      </c>
      <c r="P6302" t="s">
        <v>11167</v>
      </c>
      <c r="Q6302" t="s">
        <v>11173</v>
      </c>
      <c r="R6302" t="s">
        <v>11180</v>
      </c>
      <c r="S6302" t="s">
        <v>9094</v>
      </c>
      <c r="T6302" t="s">
        <v>11183</v>
      </c>
      <c r="V6302" t="s">
        <v>299</v>
      </c>
      <c r="W6302">
        <v>1677</v>
      </c>
      <c r="X6302" t="s">
        <v>11333</v>
      </c>
      <c r="Y6302" t="s">
        <v>11346</v>
      </c>
      <c r="Z6302" t="s">
        <v>15227</v>
      </c>
      <c r="AC6302">
        <v>41</v>
      </c>
      <c r="AD6302" t="s">
        <v>19565</v>
      </c>
      <c r="AE6302" t="s">
        <v>9144</v>
      </c>
      <c r="AF6302">
        <v>4</v>
      </c>
      <c r="AG6302">
        <v>2</v>
      </c>
      <c r="AH6302">
        <v>1</v>
      </c>
      <c r="AI6302">
        <v>656.35</v>
      </c>
      <c r="AL6302" t="s">
        <v>19615</v>
      </c>
      <c r="AM6302">
        <v>140000</v>
      </c>
      <c r="AS6302">
        <v>0.25</v>
      </c>
      <c r="AT6302" t="s">
        <v>410</v>
      </c>
      <c r="AU6302" t="s">
        <v>20642</v>
      </c>
      <c r="AV6302" t="s">
        <v>20733</v>
      </c>
    </row>
    <row r="6303" spans="1:48">
      <c r="A6303" s="1">
        <f>HYPERLINK("https://lsnyc.legalserver.org/matter/dynamic-profile/view/1892318","19-1892318")</f>
        <v>0</v>
      </c>
      <c r="B6303" t="s">
        <v>83</v>
      </c>
      <c r="C6303" t="s">
        <v>256</v>
      </c>
      <c r="D6303" t="s">
        <v>473</v>
      </c>
      <c r="F6303" t="s">
        <v>3306</v>
      </c>
      <c r="G6303" t="s">
        <v>3462</v>
      </c>
      <c r="H6303" t="s">
        <v>5987</v>
      </c>
      <c r="I6303" t="s">
        <v>8160</v>
      </c>
      <c r="J6303" t="s">
        <v>9059</v>
      </c>
      <c r="K6303">
        <v>11225</v>
      </c>
      <c r="L6303" t="s">
        <v>9094</v>
      </c>
      <c r="M6303" t="s">
        <v>9094</v>
      </c>
      <c r="N6303" t="s">
        <v>9304</v>
      </c>
      <c r="O6303" t="s">
        <v>11132</v>
      </c>
      <c r="P6303" t="s">
        <v>11165</v>
      </c>
      <c r="R6303" t="s">
        <v>11180</v>
      </c>
      <c r="S6303" t="s">
        <v>9094</v>
      </c>
      <c r="T6303" t="s">
        <v>11183</v>
      </c>
      <c r="V6303" t="s">
        <v>473</v>
      </c>
      <c r="W6303">
        <v>0</v>
      </c>
      <c r="X6303" t="s">
        <v>11332</v>
      </c>
      <c r="Z6303" t="s">
        <v>15228</v>
      </c>
      <c r="AB6303" t="s">
        <v>19521</v>
      </c>
      <c r="AC6303">
        <v>0</v>
      </c>
      <c r="AF6303">
        <v>0</v>
      </c>
      <c r="AG6303">
        <v>2</v>
      </c>
      <c r="AH6303">
        <v>0</v>
      </c>
      <c r="AI6303">
        <v>656.42</v>
      </c>
      <c r="AL6303" t="s">
        <v>19614</v>
      </c>
      <c r="AM6303">
        <v>111000</v>
      </c>
      <c r="AS6303">
        <v>0.5</v>
      </c>
      <c r="AT6303" t="s">
        <v>274</v>
      </c>
      <c r="AU6303" t="s">
        <v>215</v>
      </c>
    </row>
    <row r="6304" spans="1:48">
      <c r="A6304" s="1">
        <f>HYPERLINK("https://lsnyc.legalserver.org/matter/dynamic-profile/view/1892896","19-1892896")</f>
        <v>0</v>
      </c>
      <c r="B6304" t="s">
        <v>83</v>
      </c>
      <c r="C6304" t="s">
        <v>256</v>
      </c>
      <c r="D6304" t="s">
        <v>523</v>
      </c>
      <c r="F6304" t="s">
        <v>3306</v>
      </c>
      <c r="G6304" t="s">
        <v>3462</v>
      </c>
      <c r="H6304" t="s">
        <v>5987</v>
      </c>
      <c r="I6304" t="s">
        <v>8160</v>
      </c>
      <c r="J6304" t="s">
        <v>9059</v>
      </c>
      <c r="K6304">
        <v>11225</v>
      </c>
      <c r="L6304" t="s">
        <v>9094</v>
      </c>
      <c r="M6304" t="s">
        <v>9094</v>
      </c>
      <c r="O6304" t="s">
        <v>11134</v>
      </c>
      <c r="P6304" t="s">
        <v>11168</v>
      </c>
      <c r="R6304" t="s">
        <v>11180</v>
      </c>
      <c r="S6304" t="s">
        <v>9094</v>
      </c>
      <c r="T6304" t="s">
        <v>11183</v>
      </c>
      <c r="V6304" t="s">
        <v>577</v>
      </c>
      <c r="W6304">
        <v>0</v>
      </c>
      <c r="X6304" t="s">
        <v>11332</v>
      </c>
      <c r="Z6304" t="s">
        <v>15228</v>
      </c>
      <c r="AB6304" t="s">
        <v>19521</v>
      </c>
      <c r="AC6304">
        <v>0</v>
      </c>
      <c r="AF6304">
        <v>0</v>
      </c>
      <c r="AG6304">
        <v>2</v>
      </c>
      <c r="AH6304">
        <v>0</v>
      </c>
      <c r="AI6304">
        <v>656.42</v>
      </c>
      <c r="AL6304" t="s">
        <v>19614</v>
      </c>
      <c r="AM6304">
        <v>111000</v>
      </c>
      <c r="AN6304" t="s">
        <v>20274</v>
      </c>
      <c r="AS6304">
        <v>446.54</v>
      </c>
      <c r="AT6304" t="s">
        <v>1135</v>
      </c>
      <c r="AU6304" t="s">
        <v>215</v>
      </c>
    </row>
    <row r="6305" spans="1:48">
      <c r="A6305" s="1">
        <f>HYPERLINK("https://lsnyc.legalserver.org/matter/dynamic-profile/view/1892363","19-1892363")</f>
        <v>0</v>
      </c>
      <c r="B6305" t="s">
        <v>83</v>
      </c>
      <c r="C6305" t="s">
        <v>256</v>
      </c>
      <c r="D6305" t="s">
        <v>635</v>
      </c>
      <c r="F6305" t="s">
        <v>3306</v>
      </c>
      <c r="G6305" t="s">
        <v>3462</v>
      </c>
      <c r="H6305" t="s">
        <v>5987</v>
      </c>
      <c r="I6305" t="s">
        <v>8160</v>
      </c>
      <c r="J6305" t="s">
        <v>9059</v>
      </c>
      <c r="K6305">
        <v>11225</v>
      </c>
      <c r="L6305" t="s">
        <v>9094</v>
      </c>
      <c r="M6305" t="s">
        <v>9094</v>
      </c>
      <c r="P6305" t="s">
        <v>11168</v>
      </c>
      <c r="R6305" t="s">
        <v>11180</v>
      </c>
      <c r="S6305" t="s">
        <v>9094</v>
      </c>
      <c r="T6305" t="s">
        <v>11183</v>
      </c>
      <c r="V6305" t="s">
        <v>700</v>
      </c>
      <c r="W6305">
        <v>0</v>
      </c>
      <c r="X6305" t="s">
        <v>11332</v>
      </c>
      <c r="Z6305" t="s">
        <v>15228</v>
      </c>
      <c r="AB6305" t="s">
        <v>19521</v>
      </c>
      <c r="AC6305">
        <v>0</v>
      </c>
      <c r="AF6305">
        <v>0</v>
      </c>
      <c r="AG6305">
        <v>2</v>
      </c>
      <c r="AH6305">
        <v>0</v>
      </c>
      <c r="AI6305">
        <v>656.42</v>
      </c>
      <c r="AL6305" t="s">
        <v>19614</v>
      </c>
      <c r="AM6305">
        <v>111000</v>
      </c>
      <c r="AS6305">
        <v>2.5</v>
      </c>
      <c r="AT6305" t="s">
        <v>418</v>
      </c>
      <c r="AU6305" t="s">
        <v>215</v>
      </c>
    </row>
    <row r="6306" spans="1:48">
      <c r="A6306" s="1">
        <f>HYPERLINK("https://lsnyc.legalserver.org/matter/dynamic-profile/view/1910421","19-1910421")</f>
        <v>0</v>
      </c>
      <c r="B6306" t="s">
        <v>83</v>
      </c>
      <c r="C6306" t="s">
        <v>256</v>
      </c>
      <c r="D6306" t="s">
        <v>341</v>
      </c>
      <c r="F6306" t="s">
        <v>3306</v>
      </c>
      <c r="G6306" t="s">
        <v>3462</v>
      </c>
      <c r="H6306" t="s">
        <v>5987</v>
      </c>
      <c r="I6306" t="s">
        <v>8160</v>
      </c>
      <c r="J6306" t="s">
        <v>9059</v>
      </c>
      <c r="K6306">
        <v>11225</v>
      </c>
      <c r="L6306" t="s">
        <v>9094</v>
      </c>
      <c r="M6306" t="s">
        <v>9095</v>
      </c>
      <c r="P6306" t="s">
        <v>11168</v>
      </c>
      <c r="R6306" t="s">
        <v>11180</v>
      </c>
      <c r="S6306" t="s">
        <v>9094</v>
      </c>
      <c r="T6306" t="s">
        <v>11183</v>
      </c>
      <c r="V6306" t="s">
        <v>435</v>
      </c>
      <c r="W6306">
        <v>0</v>
      </c>
      <c r="X6306" t="s">
        <v>11332</v>
      </c>
      <c r="Z6306" t="s">
        <v>15228</v>
      </c>
      <c r="AB6306" t="s">
        <v>19521</v>
      </c>
      <c r="AC6306">
        <v>14</v>
      </c>
      <c r="AF6306">
        <v>0</v>
      </c>
      <c r="AG6306">
        <v>2</v>
      </c>
      <c r="AH6306">
        <v>0</v>
      </c>
      <c r="AI6306">
        <v>656.42</v>
      </c>
      <c r="AL6306" t="s">
        <v>19614</v>
      </c>
      <c r="AM6306">
        <v>111000</v>
      </c>
      <c r="AS6306">
        <v>0</v>
      </c>
      <c r="AU6306" t="s">
        <v>215</v>
      </c>
      <c r="AV6306" t="s">
        <v>20733</v>
      </c>
    </row>
    <row r="6307" spans="1:48">
      <c r="A6307" s="1">
        <f>HYPERLINK("https://lsnyc.legalserver.org/matter/dynamic-profile/view/1911067","19-1911067")</f>
        <v>0</v>
      </c>
      <c r="B6307" t="s">
        <v>83</v>
      </c>
      <c r="C6307" t="s">
        <v>256</v>
      </c>
      <c r="D6307" t="s">
        <v>648</v>
      </c>
      <c r="F6307" t="s">
        <v>3306</v>
      </c>
      <c r="G6307" t="s">
        <v>3462</v>
      </c>
      <c r="H6307" t="s">
        <v>5987</v>
      </c>
      <c r="I6307" t="s">
        <v>8160</v>
      </c>
      <c r="J6307" t="s">
        <v>9059</v>
      </c>
      <c r="K6307">
        <v>11225</v>
      </c>
      <c r="L6307" t="s">
        <v>9094</v>
      </c>
      <c r="M6307" t="s">
        <v>9095</v>
      </c>
      <c r="P6307" t="s">
        <v>11168</v>
      </c>
      <c r="R6307" t="s">
        <v>11180</v>
      </c>
      <c r="S6307" t="s">
        <v>9094</v>
      </c>
      <c r="T6307" t="s">
        <v>11183</v>
      </c>
      <c r="V6307" t="s">
        <v>295</v>
      </c>
      <c r="W6307">
        <v>0</v>
      </c>
      <c r="X6307" t="s">
        <v>11332</v>
      </c>
      <c r="Z6307" t="s">
        <v>15228</v>
      </c>
      <c r="AB6307" t="s">
        <v>19521</v>
      </c>
      <c r="AC6307">
        <v>14</v>
      </c>
      <c r="AF6307">
        <v>0</v>
      </c>
      <c r="AG6307">
        <v>2</v>
      </c>
      <c r="AH6307">
        <v>0</v>
      </c>
      <c r="AI6307">
        <v>656.42</v>
      </c>
      <c r="AL6307" t="s">
        <v>19614</v>
      </c>
      <c r="AM6307">
        <v>111000</v>
      </c>
      <c r="AS6307">
        <v>0</v>
      </c>
      <c r="AU6307" t="s">
        <v>215</v>
      </c>
      <c r="AV6307" t="s">
        <v>20733</v>
      </c>
    </row>
    <row r="6308" spans="1:48">
      <c r="A6308" s="1">
        <f>HYPERLINK("https://lsnyc.legalserver.org/matter/dynamic-profile/view/1915060","19-1915060")</f>
        <v>0</v>
      </c>
      <c r="B6308" t="s">
        <v>83</v>
      </c>
      <c r="C6308" t="s">
        <v>256</v>
      </c>
      <c r="D6308" t="s">
        <v>377</v>
      </c>
      <c r="F6308" t="s">
        <v>3306</v>
      </c>
      <c r="G6308" t="s">
        <v>3462</v>
      </c>
      <c r="H6308" t="s">
        <v>5987</v>
      </c>
      <c r="I6308" t="s">
        <v>8160</v>
      </c>
      <c r="J6308" t="s">
        <v>9059</v>
      </c>
      <c r="K6308">
        <v>11225</v>
      </c>
      <c r="L6308" t="s">
        <v>9094</v>
      </c>
      <c r="M6308" t="s">
        <v>9095</v>
      </c>
      <c r="P6308" t="s">
        <v>11165</v>
      </c>
      <c r="R6308" t="s">
        <v>11180</v>
      </c>
      <c r="S6308" t="s">
        <v>9094</v>
      </c>
      <c r="T6308" t="s">
        <v>11183</v>
      </c>
      <c r="V6308" t="s">
        <v>650</v>
      </c>
      <c r="W6308">
        <v>0</v>
      </c>
      <c r="X6308" t="s">
        <v>11332</v>
      </c>
      <c r="Z6308" t="s">
        <v>15228</v>
      </c>
      <c r="AB6308" t="s">
        <v>19521</v>
      </c>
      <c r="AC6308">
        <v>0</v>
      </c>
      <c r="AF6308">
        <v>0</v>
      </c>
      <c r="AG6308">
        <v>2</v>
      </c>
      <c r="AH6308">
        <v>0</v>
      </c>
      <c r="AI6308">
        <v>656.42</v>
      </c>
      <c r="AL6308" t="s">
        <v>19614</v>
      </c>
      <c r="AM6308">
        <v>111000</v>
      </c>
      <c r="AS6308">
        <v>0</v>
      </c>
      <c r="AU6308" t="s">
        <v>215</v>
      </c>
      <c r="AV6308" t="s">
        <v>20733</v>
      </c>
    </row>
    <row r="6309" spans="1:48">
      <c r="A6309" s="1">
        <f>HYPERLINK("https://lsnyc.legalserver.org/matter/dynamic-profile/view/1880269","18-1880269")</f>
        <v>0</v>
      </c>
      <c r="B6309" t="s">
        <v>134</v>
      </c>
      <c r="C6309" t="s">
        <v>256</v>
      </c>
      <c r="D6309" t="s">
        <v>569</v>
      </c>
      <c r="F6309" t="s">
        <v>2188</v>
      </c>
      <c r="G6309" t="s">
        <v>1404</v>
      </c>
      <c r="H6309" t="s">
        <v>8098</v>
      </c>
      <c r="I6309" t="s">
        <v>8329</v>
      </c>
      <c r="J6309" t="s">
        <v>9067</v>
      </c>
      <c r="K6309">
        <v>10463</v>
      </c>
      <c r="L6309" t="s">
        <v>9094</v>
      </c>
      <c r="M6309" t="s">
        <v>9094</v>
      </c>
      <c r="O6309" t="s">
        <v>11130</v>
      </c>
      <c r="P6309" t="s">
        <v>11165</v>
      </c>
      <c r="R6309" t="s">
        <v>11180</v>
      </c>
      <c r="S6309" t="s">
        <v>9094</v>
      </c>
      <c r="T6309" t="s">
        <v>11183</v>
      </c>
      <c r="V6309" t="s">
        <v>569</v>
      </c>
      <c r="W6309">
        <v>1652</v>
      </c>
      <c r="X6309" t="s">
        <v>11335</v>
      </c>
      <c r="Y6309" t="s">
        <v>11338</v>
      </c>
      <c r="Z6309" t="s">
        <v>15229</v>
      </c>
      <c r="AC6309">
        <v>84</v>
      </c>
      <c r="AD6309" t="s">
        <v>19566</v>
      </c>
      <c r="AE6309" t="s">
        <v>9144</v>
      </c>
      <c r="AF6309">
        <v>10</v>
      </c>
      <c r="AG6309">
        <v>1</v>
      </c>
      <c r="AH6309">
        <v>0</v>
      </c>
      <c r="AI6309">
        <v>658.98</v>
      </c>
      <c r="AL6309" t="s">
        <v>19614</v>
      </c>
      <c r="AM6309">
        <v>80000</v>
      </c>
      <c r="AS6309">
        <v>20.6</v>
      </c>
      <c r="AT6309" t="s">
        <v>615</v>
      </c>
      <c r="AU6309" t="s">
        <v>130</v>
      </c>
      <c r="AV6309" t="s">
        <v>9144</v>
      </c>
    </row>
    <row r="6310" spans="1:48">
      <c r="A6310" s="1">
        <f>HYPERLINK("https://lsnyc.legalserver.org/matter/dynamic-profile/view/1863061","18-1863061")</f>
        <v>0</v>
      </c>
      <c r="B6310" t="s">
        <v>140</v>
      </c>
      <c r="C6310" t="s">
        <v>256</v>
      </c>
      <c r="D6310" t="s">
        <v>873</v>
      </c>
      <c r="F6310" t="s">
        <v>3307</v>
      </c>
      <c r="G6310" t="s">
        <v>1665</v>
      </c>
      <c r="H6310" t="s">
        <v>5942</v>
      </c>
      <c r="I6310" t="s">
        <v>8329</v>
      </c>
      <c r="J6310" t="s">
        <v>9067</v>
      </c>
      <c r="K6310">
        <v>10034</v>
      </c>
      <c r="L6310" t="s">
        <v>9094</v>
      </c>
      <c r="M6310" t="s">
        <v>9094</v>
      </c>
      <c r="O6310" t="s">
        <v>11130</v>
      </c>
      <c r="P6310" t="s">
        <v>11165</v>
      </c>
      <c r="R6310" t="s">
        <v>11180</v>
      </c>
      <c r="S6310" t="s">
        <v>9094</v>
      </c>
      <c r="T6310" t="s">
        <v>11183</v>
      </c>
      <c r="V6310" t="s">
        <v>11229</v>
      </c>
      <c r="W6310">
        <v>1363.5</v>
      </c>
      <c r="X6310" t="s">
        <v>11335</v>
      </c>
      <c r="Y6310" t="s">
        <v>11338</v>
      </c>
      <c r="Z6310" t="s">
        <v>13938</v>
      </c>
      <c r="AB6310" t="s">
        <v>19522</v>
      </c>
      <c r="AC6310">
        <v>63</v>
      </c>
      <c r="AD6310" t="s">
        <v>19566</v>
      </c>
      <c r="AE6310" t="s">
        <v>9144</v>
      </c>
      <c r="AF6310">
        <v>4</v>
      </c>
      <c r="AG6310">
        <v>2</v>
      </c>
      <c r="AH6310">
        <v>0</v>
      </c>
      <c r="AI6310">
        <v>662.21</v>
      </c>
      <c r="AL6310" t="s">
        <v>19614</v>
      </c>
      <c r="AM6310">
        <v>109000</v>
      </c>
      <c r="AS6310">
        <v>0.05</v>
      </c>
      <c r="AT6310" t="s">
        <v>327</v>
      </c>
      <c r="AU6310" t="s">
        <v>130</v>
      </c>
    </row>
    <row r="6311" spans="1:48">
      <c r="A6311" s="1">
        <f>HYPERLINK("https://lsnyc.legalserver.org/matter/dynamic-profile/view/1853338","17-1853338")</f>
        <v>0</v>
      </c>
      <c r="B6311" t="s">
        <v>114</v>
      </c>
      <c r="C6311" t="s">
        <v>256</v>
      </c>
      <c r="D6311" t="s">
        <v>449</v>
      </c>
      <c r="F6311" t="s">
        <v>1450</v>
      </c>
      <c r="G6311" t="s">
        <v>3818</v>
      </c>
      <c r="H6311" t="s">
        <v>5889</v>
      </c>
      <c r="I6311" t="s">
        <v>8678</v>
      </c>
      <c r="J6311" t="s">
        <v>9065</v>
      </c>
      <c r="K6311">
        <v>10453</v>
      </c>
      <c r="L6311" t="s">
        <v>9094</v>
      </c>
      <c r="M6311" t="s">
        <v>9095</v>
      </c>
      <c r="N6311" t="s">
        <v>9241</v>
      </c>
      <c r="O6311" t="s">
        <v>11135</v>
      </c>
      <c r="P6311" t="s">
        <v>11168</v>
      </c>
      <c r="R6311" t="s">
        <v>11180</v>
      </c>
      <c r="S6311" t="s">
        <v>9094</v>
      </c>
      <c r="T6311" t="s">
        <v>11183</v>
      </c>
      <c r="V6311" t="s">
        <v>11223</v>
      </c>
      <c r="W6311">
        <v>855.4400000000001</v>
      </c>
      <c r="X6311" t="s">
        <v>11333</v>
      </c>
      <c r="Y6311" t="s">
        <v>11346</v>
      </c>
      <c r="Z6311" t="s">
        <v>15230</v>
      </c>
      <c r="AB6311" t="s">
        <v>19523</v>
      </c>
      <c r="AC6311">
        <v>21</v>
      </c>
      <c r="AD6311" t="s">
        <v>19566</v>
      </c>
      <c r="AF6311">
        <v>0</v>
      </c>
      <c r="AG6311">
        <v>4</v>
      </c>
      <c r="AH6311">
        <v>0</v>
      </c>
      <c r="AI6311">
        <v>666.67</v>
      </c>
      <c r="AL6311" t="s">
        <v>19615</v>
      </c>
      <c r="AM6311">
        <v>164000</v>
      </c>
      <c r="AS6311">
        <v>0.25</v>
      </c>
      <c r="AT6311" t="s">
        <v>376</v>
      </c>
      <c r="AU6311" t="s">
        <v>20645</v>
      </c>
    </row>
    <row r="6312" spans="1:48">
      <c r="A6312" s="1">
        <f>HYPERLINK("https://lsnyc.legalserver.org/matter/dynamic-profile/view/1876628","18-1876628")</f>
        <v>0</v>
      </c>
      <c r="B6312" t="s">
        <v>119</v>
      </c>
      <c r="C6312" t="s">
        <v>256</v>
      </c>
      <c r="D6312" t="s">
        <v>593</v>
      </c>
      <c r="F6312" t="s">
        <v>3057</v>
      </c>
      <c r="G6312" t="s">
        <v>4265</v>
      </c>
      <c r="H6312" t="s">
        <v>6095</v>
      </c>
      <c r="I6312" t="s">
        <v>8250</v>
      </c>
      <c r="J6312" t="s">
        <v>9065</v>
      </c>
      <c r="K6312">
        <v>10456</v>
      </c>
      <c r="L6312" t="s">
        <v>9094</v>
      </c>
      <c r="M6312" t="s">
        <v>9094</v>
      </c>
      <c r="N6312" t="s">
        <v>9403</v>
      </c>
      <c r="O6312" t="s">
        <v>11130</v>
      </c>
      <c r="P6312" t="s">
        <v>11165</v>
      </c>
      <c r="R6312" t="s">
        <v>11180</v>
      </c>
      <c r="S6312" t="s">
        <v>9094</v>
      </c>
      <c r="T6312" t="s">
        <v>11183</v>
      </c>
      <c r="V6312" t="s">
        <v>593</v>
      </c>
      <c r="W6312">
        <v>706</v>
      </c>
      <c r="X6312" t="s">
        <v>11333</v>
      </c>
      <c r="Y6312" t="s">
        <v>11346</v>
      </c>
      <c r="Z6312" t="s">
        <v>14869</v>
      </c>
      <c r="AB6312" t="s">
        <v>19524</v>
      </c>
      <c r="AC6312">
        <v>131</v>
      </c>
      <c r="AD6312" t="s">
        <v>19566</v>
      </c>
      <c r="AE6312" t="s">
        <v>9144</v>
      </c>
      <c r="AF6312">
        <v>8</v>
      </c>
      <c r="AG6312">
        <v>2</v>
      </c>
      <c r="AH6312">
        <v>1</v>
      </c>
      <c r="AI6312">
        <v>668.91</v>
      </c>
      <c r="AL6312" t="s">
        <v>19614</v>
      </c>
      <c r="AM6312">
        <v>139000</v>
      </c>
      <c r="AS6312">
        <v>0</v>
      </c>
      <c r="AU6312" t="s">
        <v>163</v>
      </c>
    </row>
    <row r="6313" spans="1:48">
      <c r="A6313" s="1">
        <f>HYPERLINK("https://lsnyc.legalserver.org/matter/dynamic-profile/view/1883398","18-1883398")</f>
        <v>0</v>
      </c>
      <c r="B6313" t="s">
        <v>98</v>
      </c>
      <c r="C6313" t="s">
        <v>257</v>
      </c>
      <c r="D6313" t="s">
        <v>583</v>
      </c>
      <c r="E6313" t="s">
        <v>574</v>
      </c>
      <c r="F6313" t="s">
        <v>1358</v>
      </c>
      <c r="G6313" t="s">
        <v>3621</v>
      </c>
      <c r="H6313" t="s">
        <v>6081</v>
      </c>
      <c r="I6313" t="s">
        <v>8112</v>
      </c>
      <c r="J6313" t="s">
        <v>9065</v>
      </c>
      <c r="K6313">
        <v>10452</v>
      </c>
      <c r="L6313" t="s">
        <v>9094</v>
      </c>
      <c r="M6313" t="s">
        <v>9094</v>
      </c>
      <c r="N6313" t="s">
        <v>9397</v>
      </c>
      <c r="O6313" t="s">
        <v>11130</v>
      </c>
      <c r="P6313" t="s">
        <v>11165</v>
      </c>
      <c r="Q6313" t="s">
        <v>11174</v>
      </c>
      <c r="R6313" t="s">
        <v>11180</v>
      </c>
      <c r="S6313" t="s">
        <v>9094</v>
      </c>
      <c r="T6313" t="s">
        <v>11183</v>
      </c>
      <c r="V6313" t="s">
        <v>738</v>
      </c>
      <c r="W6313">
        <v>1677</v>
      </c>
      <c r="X6313" t="s">
        <v>11333</v>
      </c>
      <c r="Y6313" t="s">
        <v>11346</v>
      </c>
      <c r="Z6313" t="s">
        <v>15227</v>
      </c>
      <c r="AC6313">
        <v>41</v>
      </c>
      <c r="AD6313" t="s">
        <v>19565</v>
      </c>
      <c r="AE6313" t="s">
        <v>9144</v>
      </c>
      <c r="AF6313">
        <v>4</v>
      </c>
      <c r="AG6313">
        <v>2</v>
      </c>
      <c r="AH6313">
        <v>1</v>
      </c>
      <c r="AI6313">
        <v>673.72</v>
      </c>
      <c r="AL6313" t="s">
        <v>19615</v>
      </c>
      <c r="AM6313">
        <v>140000</v>
      </c>
      <c r="AN6313" t="s">
        <v>19909</v>
      </c>
      <c r="AS6313">
        <v>1.15</v>
      </c>
      <c r="AT6313" t="s">
        <v>335</v>
      </c>
      <c r="AU6313" t="s">
        <v>20642</v>
      </c>
    </row>
    <row r="6314" spans="1:48">
      <c r="A6314" s="1">
        <f>HYPERLINK("https://lsnyc.legalserver.org/matter/dynamic-profile/view/1891452","19-1891452")</f>
        <v>0</v>
      </c>
      <c r="B6314" t="s">
        <v>70</v>
      </c>
      <c r="C6314" t="s">
        <v>256</v>
      </c>
      <c r="D6314" t="s">
        <v>316</v>
      </c>
      <c r="F6314" t="s">
        <v>1280</v>
      </c>
      <c r="G6314" t="s">
        <v>5657</v>
      </c>
      <c r="H6314" t="s">
        <v>5749</v>
      </c>
      <c r="I6314" t="s">
        <v>8222</v>
      </c>
      <c r="J6314" t="s">
        <v>9059</v>
      </c>
      <c r="K6314">
        <v>11233</v>
      </c>
      <c r="L6314" t="s">
        <v>9094</v>
      </c>
      <c r="M6314" t="s">
        <v>9094</v>
      </c>
      <c r="O6314" t="s">
        <v>11137</v>
      </c>
      <c r="P6314" t="s">
        <v>11167</v>
      </c>
      <c r="R6314" t="s">
        <v>11180</v>
      </c>
      <c r="S6314" t="s">
        <v>9094</v>
      </c>
      <c r="T6314" t="s">
        <v>11183</v>
      </c>
      <c r="U6314" t="s">
        <v>11201</v>
      </c>
      <c r="V6314" t="s">
        <v>749</v>
      </c>
      <c r="W6314">
        <v>1133</v>
      </c>
      <c r="X6314" t="s">
        <v>11332</v>
      </c>
      <c r="Y6314" t="s">
        <v>11339</v>
      </c>
      <c r="Z6314" t="s">
        <v>15231</v>
      </c>
      <c r="AB6314" t="s">
        <v>19525</v>
      </c>
      <c r="AC6314">
        <v>764</v>
      </c>
      <c r="AD6314" t="s">
        <v>19566</v>
      </c>
      <c r="AE6314" t="s">
        <v>9144</v>
      </c>
      <c r="AF6314">
        <v>36</v>
      </c>
      <c r="AG6314">
        <v>2</v>
      </c>
      <c r="AH6314">
        <v>0</v>
      </c>
      <c r="AI6314">
        <v>674.16</v>
      </c>
      <c r="AL6314" t="s">
        <v>19614</v>
      </c>
      <c r="AM6314">
        <v>114000</v>
      </c>
      <c r="AN6314" t="s">
        <v>20275</v>
      </c>
      <c r="AS6314">
        <v>0</v>
      </c>
      <c r="AU6314" t="s">
        <v>79</v>
      </c>
    </row>
    <row r="6315" spans="1:48">
      <c r="A6315" s="1">
        <f>HYPERLINK("https://lsnyc.legalserver.org/matter/dynamic-profile/view/1905957","19-1905957")</f>
        <v>0</v>
      </c>
      <c r="B6315" t="s">
        <v>115</v>
      </c>
      <c r="C6315" t="s">
        <v>256</v>
      </c>
      <c r="D6315" t="s">
        <v>329</v>
      </c>
      <c r="F6315" t="s">
        <v>1617</v>
      </c>
      <c r="G6315" t="s">
        <v>3333</v>
      </c>
      <c r="H6315" t="s">
        <v>6051</v>
      </c>
      <c r="I6315" t="s">
        <v>8124</v>
      </c>
      <c r="J6315" t="s">
        <v>9065</v>
      </c>
      <c r="K6315">
        <v>10452</v>
      </c>
      <c r="L6315" t="s">
        <v>9094</v>
      </c>
      <c r="M6315" t="s">
        <v>9095</v>
      </c>
      <c r="O6315" t="s">
        <v>11134</v>
      </c>
      <c r="P6315" t="s">
        <v>11168</v>
      </c>
      <c r="R6315" t="s">
        <v>11180</v>
      </c>
      <c r="S6315" t="s">
        <v>9094</v>
      </c>
      <c r="T6315" t="s">
        <v>11183</v>
      </c>
      <c r="W6315">
        <v>1728.15</v>
      </c>
      <c r="X6315" t="s">
        <v>11333</v>
      </c>
      <c r="Y6315" t="s">
        <v>11346</v>
      </c>
      <c r="Z6315" t="s">
        <v>15232</v>
      </c>
      <c r="AB6315" t="s">
        <v>19526</v>
      </c>
      <c r="AC6315">
        <v>52</v>
      </c>
      <c r="AD6315" t="s">
        <v>19566</v>
      </c>
      <c r="AE6315" t="s">
        <v>9144</v>
      </c>
      <c r="AF6315">
        <v>8</v>
      </c>
      <c r="AG6315">
        <v>2</v>
      </c>
      <c r="AH6315">
        <v>0</v>
      </c>
      <c r="AI6315">
        <v>679.74</v>
      </c>
      <c r="AL6315" t="s">
        <v>19614</v>
      </c>
      <c r="AM6315">
        <v>114944.72</v>
      </c>
      <c r="AS6315">
        <v>0.6</v>
      </c>
      <c r="AT6315" t="s">
        <v>329</v>
      </c>
      <c r="AU6315" t="s">
        <v>174</v>
      </c>
      <c r="AV6315" t="s">
        <v>20733</v>
      </c>
    </row>
    <row r="6316" spans="1:48">
      <c r="A6316" s="1">
        <f>HYPERLINK("https://lsnyc.legalserver.org/matter/dynamic-profile/view/1911818","19-1911818")</f>
        <v>0</v>
      </c>
      <c r="B6316" t="s">
        <v>115</v>
      </c>
      <c r="C6316" t="s">
        <v>256</v>
      </c>
      <c r="D6316" t="s">
        <v>284</v>
      </c>
      <c r="F6316" t="s">
        <v>1617</v>
      </c>
      <c r="G6316" t="s">
        <v>3333</v>
      </c>
      <c r="H6316" t="s">
        <v>6051</v>
      </c>
      <c r="I6316" t="s">
        <v>8124</v>
      </c>
      <c r="J6316" t="s">
        <v>9065</v>
      </c>
      <c r="K6316">
        <v>10452</v>
      </c>
      <c r="L6316" t="s">
        <v>9094</v>
      </c>
      <c r="M6316" t="s">
        <v>9095</v>
      </c>
      <c r="O6316" t="s">
        <v>11134</v>
      </c>
      <c r="P6316" t="s">
        <v>11168</v>
      </c>
      <c r="R6316" t="s">
        <v>11180</v>
      </c>
      <c r="S6316" t="s">
        <v>9094</v>
      </c>
      <c r="T6316" t="s">
        <v>11183</v>
      </c>
      <c r="W6316">
        <v>1728.15</v>
      </c>
      <c r="X6316" t="s">
        <v>11333</v>
      </c>
      <c r="Y6316" t="s">
        <v>11346</v>
      </c>
      <c r="Z6316" t="s">
        <v>15232</v>
      </c>
      <c r="AB6316" t="s">
        <v>19526</v>
      </c>
      <c r="AC6316">
        <v>52</v>
      </c>
      <c r="AD6316" t="s">
        <v>19566</v>
      </c>
      <c r="AE6316" t="s">
        <v>9144</v>
      </c>
      <c r="AF6316">
        <v>8</v>
      </c>
      <c r="AG6316">
        <v>2</v>
      </c>
      <c r="AH6316">
        <v>0</v>
      </c>
      <c r="AI6316">
        <v>679.74</v>
      </c>
      <c r="AL6316" t="s">
        <v>19614</v>
      </c>
      <c r="AM6316">
        <v>114944.72</v>
      </c>
      <c r="AS6316">
        <v>0.4</v>
      </c>
      <c r="AT6316" t="s">
        <v>284</v>
      </c>
      <c r="AU6316" t="s">
        <v>174</v>
      </c>
      <c r="AV6316" t="s">
        <v>20733</v>
      </c>
    </row>
    <row r="6317" spans="1:48">
      <c r="A6317" s="1">
        <f>HYPERLINK("https://lsnyc.legalserver.org/matter/dynamic-profile/view/1907527","19-1907527")</f>
        <v>0</v>
      </c>
      <c r="B6317" t="s">
        <v>98</v>
      </c>
      <c r="C6317" t="s">
        <v>256</v>
      </c>
      <c r="D6317" t="s">
        <v>275</v>
      </c>
      <c r="F6317" t="s">
        <v>3308</v>
      </c>
      <c r="G6317" t="s">
        <v>3592</v>
      </c>
      <c r="H6317" t="s">
        <v>5851</v>
      </c>
      <c r="I6317" t="s">
        <v>8134</v>
      </c>
      <c r="J6317" t="s">
        <v>9065</v>
      </c>
      <c r="K6317">
        <v>10474</v>
      </c>
      <c r="L6317" t="s">
        <v>9095</v>
      </c>
      <c r="M6317" t="s">
        <v>9095</v>
      </c>
      <c r="N6317" t="s">
        <v>9218</v>
      </c>
      <c r="O6317" t="s">
        <v>11134</v>
      </c>
      <c r="P6317" t="s">
        <v>11168</v>
      </c>
      <c r="R6317" t="s">
        <v>11180</v>
      </c>
      <c r="S6317" t="s">
        <v>9094</v>
      </c>
      <c r="T6317" t="s">
        <v>11183</v>
      </c>
      <c r="W6317">
        <v>1350</v>
      </c>
      <c r="X6317" t="s">
        <v>11333</v>
      </c>
      <c r="Y6317" t="s">
        <v>11346</v>
      </c>
      <c r="Z6317" t="s">
        <v>15233</v>
      </c>
      <c r="AB6317" t="s">
        <v>19527</v>
      </c>
      <c r="AC6317">
        <v>0</v>
      </c>
      <c r="AD6317" t="s">
        <v>19566</v>
      </c>
      <c r="AF6317">
        <v>2</v>
      </c>
      <c r="AG6317">
        <v>2</v>
      </c>
      <c r="AH6317">
        <v>0</v>
      </c>
      <c r="AI6317">
        <v>680.0700000000001</v>
      </c>
      <c r="AL6317" t="s">
        <v>19640</v>
      </c>
      <c r="AM6317">
        <v>115000</v>
      </c>
      <c r="AS6317">
        <v>0</v>
      </c>
      <c r="AU6317" t="s">
        <v>98</v>
      </c>
    </row>
    <row r="6318" spans="1:48">
      <c r="A6318" s="1">
        <f>HYPERLINK("https://lsnyc.legalserver.org/matter/dynamic-profile/view/1886541","18-1886541")</f>
        <v>0</v>
      </c>
      <c r="B6318" t="s">
        <v>70</v>
      </c>
      <c r="C6318" t="s">
        <v>256</v>
      </c>
      <c r="D6318" t="s">
        <v>427</v>
      </c>
      <c r="F6318" t="s">
        <v>1280</v>
      </c>
      <c r="G6318" t="s">
        <v>5657</v>
      </c>
      <c r="H6318" t="s">
        <v>5749</v>
      </c>
      <c r="I6318" t="s">
        <v>8222</v>
      </c>
      <c r="J6318" t="s">
        <v>9059</v>
      </c>
      <c r="K6318">
        <v>11233</v>
      </c>
      <c r="L6318" t="s">
        <v>9094</v>
      </c>
      <c r="M6318" t="s">
        <v>9094</v>
      </c>
      <c r="N6318" t="s">
        <v>9146</v>
      </c>
      <c r="O6318" t="s">
        <v>11134</v>
      </c>
      <c r="P6318" t="s">
        <v>11168</v>
      </c>
      <c r="R6318" t="s">
        <v>11180</v>
      </c>
      <c r="S6318" t="s">
        <v>9094</v>
      </c>
      <c r="T6318" t="s">
        <v>11183</v>
      </c>
      <c r="U6318" t="s">
        <v>11201</v>
      </c>
      <c r="V6318" t="s">
        <v>11329</v>
      </c>
      <c r="W6318">
        <v>1133</v>
      </c>
      <c r="X6318" t="s">
        <v>11332</v>
      </c>
      <c r="Y6318" t="s">
        <v>11347</v>
      </c>
      <c r="Z6318" t="s">
        <v>15231</v>
      </c>
      <c r="AB6318" t="s">
        <v>19525</v>
      </c>
      <c r="AC6318">
        <v>764</v>
      </c>
      <c r="AD6318" t="s">
        <v>19566</v>
      </c>
      <c r="AE6318" t="s">
        <v>9144</v>
      </c>
      <c r="AF6318">
        <v>36</v>
      </c>
      <c r="AG6318">
        <v>2</v>
      </c>
      <c r="AH6318">
        <v>0</v>
      </c>
      <c r="AI6318">
        <v>692.59</v>
      </c>
      <c r="AL6318" t="s">
        <v>19614</v>
      </c>
      <c r="AM6318">
        <v>114000</v>
      </c>
      <c r="AS6318">
        <v>0</v>
      </c>
      <c r="AU6318" t="s">
        <v>79</v>
      </c>
    </row>
    <row r="6319" spans="1:48">
      <c r="A6319" s="1">
        <f>HYPERLINK("https://lsnyc.legalserver.org/matter/dynamic-profile/view/0824249","17-0824249")</f>
        <v>0</v>
      </c>
      <c r="B6319" t="s">
        <v>139</v>
      </c>
      <c r="C6319" t="s">
        <v>256</v>
      </c>
      <c r="D6319" t="s">
        <v>934</v>
      </c>
      <c r="F6319" t="s">
        <v>2649</v>
      </c>
      <c r="G6319" t="s">
        <v>5658</v>
      </c>
      <c r="H6319" t="s">
        <v>6958</v>
      </c>
      <c r="I6319" t="s">
        <v>8149</v>
      </c>
      <c r="J6319" t="s">
        <v>9067</v>
      </c>
      <c r="K6319">
        <v>10040</v>
      </c>
      <c r="L6319" t="s">
        <v>9094</v>
      </c>
      <c r="M6319" t="s">
        <v>9095</v>
      </c>
      <c r="N6319" t="s">
        <v>9887</v>
      </c>
      <c r="O6319" t="s">
        <v>11130</v>
      </c>
      <c r="P6319" t="s">
        <v>11165</v>
      </c>
      <c r="R6319" t="s">
        <v>11180</v>
      </c>
      <c r="S6319" t="s">
        <v>9094</v>
      </c>
      <c r="T6319" t="s">
        <v>11183</v>
      </c>
      <c r="V6319" t="s">
        <v>866</v>
      </c>
      <c r="W6319">
        <v>2450</v>
      </c>
      <c r="X6319" t="s">
        <v>11335</v>
      </c>
      <c r="Y6319" t="s">
        <v>11339</v>
      </c>
      <c r="Z6319" t="s">
        <v>15234</v>
      </c>
      <c r="AB6319" t="s">
        <v>19528</v>
      </c>
      <c r="AC6319">
        <v>83</v>
      </c>
      <c r="AD6319" t="s">
        <v>19566</v>
      </c>
      <c r="AE6319" t="s">
        <v>9144</v>
      </c>
      <c r="AF6319">
        <v>0</v>
      </c>
      <c r="AG6319">
        <v>2</v>
      </c>
      <c r="AH6319">
        <v>0</v>
      </c>
      <c r="AI6319">
        <v>692.88</v>
      </c>
      <c r="AJ6319" t="s">
        <v>463</v>
      </c>
      <c r="AL6319" t="s">
        <v>19614</v>
      </c>
      <c r="AM6319">
        <v>111000</v>
      </c>
      <c r="AS6319">
        <v>0</v>
      </c>
      <c r="AT6319" t="s">
        <v>537</v>
      </c>
      <c r="AU6319" t="s">
        <v>20657</v>
      </c>
    </row>
    <row r="6320" spans="1:48">
      <c r="A6320" s="1">
        <f>HYPERLINK("https://lsnyc.legalserver.org/matter/dynamic-profile/view/1897050","19-1897050")</f>
        <v>0</v>
      </c>
      <c r="B6320" t="s">
        <v>61</v>
      </c>
      <c r="C6320" t="s">
        <v>257</v>
      </c>
      <c r="D6320" t="s">
        <v>296</v>
      </c>
      <c r="E6320" t="s">
        <v>328</v>
      </c>
      <c r="F6320" t="s">
        <v>3309</v>
      </c>
      <c r="G6320" t="s">
        <v>5659</v>
      </c>
      <c r="H6320" t="s">
        <v>8099</v>
      </c>
      <c r="I6320" t="s">
        <v>8197</v>
      </c>
      <c r="J6320" t="s">
        <v>9051</v>
      </c>
      <c r="K6320">
        <v>11374</v>
      </c>
      <c r="L6320" t="s">
        <v>9094</v>
      </c>
      <c r="M6320" t="s">
        <v>9094</v>
      </c>
      <c r="N6320" t="s">
        <v>9171</v>
      </c>
      <c r="O6320" t="s">
        <v>9121</v>
      </c>
      <c r="P6320" t="s">
        <v>11164</v>
      </c>
      <c r="Q6320" t="s">
        <v>11172</v>
      </c>
      <c r="R6320" t="s">
        <v>11181</v>
      </c>
      <c r="S6320" t="s">
        <v>9096</v>
      </c>
      <c r="T6320" t="s">
        <v>11183</v>
      </c>
      <c r="U6320" t="s">
        <v>11201</v>
      </c>
      <c r="V6320" t="s">
        <v>296</v>
      </c>
      <c r="W6320">
        <v>2175</v>
      </c>
      <c r="X6320" t="s">
        <v>11331</v>
      </c>
      <c r="Y6320" t="s">
        <v>11337</v>
      </c>
      <c r="Z6320" t="s">
        <v>15235</v>
      </c>
      <c r="AA6320" t="s">
        <v>15279</v>
      </c>
      <c r="AB6320" t="s">
        <v>19529</v>
      </c>
      <c r="AC6320">
        <v>181</v>
      </c>
      <c r="AD6320" t="s">
        <v>19565</v>
      </c>
      <c r="AE6320" t="s">
        <v>9144</v>
      </c>
      <c r="AF6320">
        <v>1</v>
      </c>
      <c r="AG6320">
        <v>1</v>
      </c>
      <c r="AH6320">
        <v>0</v>
      </c>
      <c r="AI6320">
        <v>696.5599999999999</v>
      </c>
      <c r="AJ6320" t="s">
        <v>19591</v>
      </c>
      <c r="AK6320" t="s">
        <v>19608</v>
      </c>
      <c r="AL6320" t="s">
        <v>19615</v>
      </c>
      <c r="AM6320">
        <v>87000</v>
      </c>
      <c r="AS6320">
        <v>1.6</v>
      </c>
      <c r="AT6320" t="s">
        <v>492</v>
      </c>
      <c r="AU6320" t="s">
        <v>61</v>
      </c>
    </row>
    <row r="6321" spans="1:48">
      <c r="A6321" s="1">
        <f>HYPERLINK("https://lsnyc.legalserver.org/matter/dynamic-profile/view/1891531","19-1891531")</f>
        <v>0</v>
      </c>
      <c r="B6321" t="s">
        <v>70</v>
      </c>
      <c r="C6321" t="s">
        <v>256</v>
      </c>
      <c r="D6321" t="s">
        <v>316</v>
      </c>
      <c r="F6321" t="s">
        <v>1214</v>
      </c>
      <c r="G6321" t="s">
        <v>3410</v>
      </c>
      <c r="H6321" t="s">
        <v>5748</v>
      </c>
      <c r="I6321" t="s">
        <v>8155</v>
      </c>
      <c r="J6321" t="s">
        <v>9059</v>
      </c>
      <c r="K6321">
        <v>11233</v>
      </c>
      <c r="L6321" t="s">
        <v>9094</v>
      </c>
      <c r="M6321" t="s">
        <v>9096</v>
      </c>
      <c r="N6321" t="s">
        <v>9145</v>
      </c>
      <c r="O6321" t="s">
        <v>11134</v>
      </c>
      <c r="P6321" t="s">
        <v>11168</v>
      </c>
      <c r="R6321" t="s">
        <v>11180</v>
      </c>
      <c r="S6321" t="s">
        <v>9094</v>
      </c>
      <c r="T6321" t="s">
        <v>11183</v>
      </c>
      <c r="U6321" t="s">
        <v>11201</v>
      </c>
      <c r="V6321" t="s">
        <v>482</v>
      </c>
      <c r="W6321">
        <v>1195</v>
      </c>
      <c r="X6321" t="s">
        <v>11332</v>
      </c>
      <c r="Z6321" t="s">
        <v>11422</v>
      </c>
      <c r="AA6321" t="s">
        <v>9144</v>
      </c>
      <c r="AC6321">
        <v>359</v>
      </c>
      <c r="AD6321" t="s">
        <v>19566</v>
      </c>
      <c r="AE6321" t="s">
        <v>9144</v>
      </c>
      <c r="AF6321">
        <v>30</v>
      </c>
      <c r="AG6321">
        <v>2</v>
      </c>
      <c r="AH6321">
        <v>0</v>
      </c>
      <c r="AI6321">
        <v>696.9400000000001</v>
      </c>
      <c r="AL6321" t="s">
        <v>19614</v>
      </c>
      <c r="AM6321">
        <v>117853</v>
      </c>
      <c r="AN6321" t="s">
        <v>19641</v>
      </c>
      <c r="AS6321">
        <v>0</v>
      </c>
      <c r="AU6321" t="s">
        <v>95</v>
      </c>
      <c r="AV6321" t="s">
        <v>9144</v>
      </c>
    </row>
    <row r="6322" spans="1:48">
      <c r="A6322" s="1">
        <f>HYPERLINK("https://lsnyc.legalserver.org/matter/dynamic-profile/view/1894909","19-1894909")</f>
        <v>0</v>
      </c>
      <c r="B6322" t="s">
        <v>139</v>
      </c>
      <c r="C6322" t="s">
        <v>256</v>
      </c>
      <c r="D6322" t="s">
        <v>317</v>
      </c>
      <c r="F6322" t="s">
        <v>1193</v>
      </c>
      <c r="G6322" t="s">
        <v>3865</v>
      </c>
      <c r="H6322" t="s">
        <v>6488</v>
      </c>
      <c r="I6322">
        <v>52</v>
      </c>
      <c r="J6322" t="s">
        <v>9067</v>
      </c>
      <c r="K6322">
        <v>10034</v>
      </c>
      <c r="L6322" t="s">
        <v>9094</v>
      </c>
      <c r="M6322" t="s">
        <v>9094</v>
      </c>
      <c r="N6322" t="s">
        <v>9709</v>
      </c>
      <c r="O6322" t="s">
        <v>11130</v>
      </c>
      <c r="P6322" t="s">
        <v>11165</v>
      </c>
      <c r="R6322" t="s">
        <v>11180</v>
      </c>
      <c r="S6322" t="s">
        <v>9094</v>
      </c>
      <c r="T6322" t="s">
        <v>11183</v>
      </c>
      <c r="V6322" t="s">
        <v>317</v>
      </c>
      <c r="W6322">
        <v>1818.44</v>
      </c>
      <c r="X6322" t="s">
        <v>11335</v>
      </c>
      <c r="Y6322" t="s">
        <v>11338</v>
      </c>
      <c r="Z6322" t="s">
        <v>15236</v>
      </c>
      <c r="AB6322" t="s">
        <v>19530</v>
      </c>
      <c r="AC6322">
        <v>20</v>
      </c>
      <c r="AD6322" t="s">
        <v>19566</v>
      </c>
      <c r="AE6322" t="s">
        <v>9144</v>
      </c>
      <c r="AF6322">
        <v>12</v>
      </c>
      <c r="AG6322">
        <v>4</v>
      </c>
      <c r="AH6322">
        <v>0</v>
      </c>
      <c r="AI6322">
        <v>701.75</v>
      </c>
      <c r="AL6322" t="s">
        <v>19614</v>
      </c>
      <c r="AM6322">
        <v>180700</v>
      </c>
      <c r="AS6322">
        <v>0</v>
      </c>
      <c r="AU6322" t="s">
        <v>20706</v>
      </c>
      <c r="AV6322" t="s">
        <v>20733</v>
      </c>
    </row>
    <row r="6323" spans="1:48">
      <c r="A6323" s="1">
        <f>HYPERLINK("https://lsnyc.legalserver.org/matter/dynamic-profile/view/1870331","18-1870331")</f>
        <v>0</v>
      </c>
      <c r="B6323" t="s">
        <v>197</v>
      </c>
      <c r="C6323" t="s">
        <v>256</v>
      </c>
      <c r="D6323" t="s">
        <v>795</v>
      </c>
      <c r="F6323" t="s">
        <v>1365</v>
      </c>
      <c r="G6323" t="s">
        <v>5660</v>
      </c>
      <c r="H6323" t="s">
        <v>7627</v>
      </c>
      <c r="I6323" t="s">
        <v>8288</v>
      </c>
      <c r="J6323" t="s">
        <v>9067</v>
      </c>
      <c r="K6323">
        <v>10034</v>
      </c>
      <c r="L6323" t="s">
        <v>9094</v>
      </c>
      <c r="M6323" t="s">
        <v>9095</v>
      </c>
      <c r="N6323" t="s">
        <v>10661</v>
      </c>
      <c r="O6323" t="s">
        <v>11135</v>
      </c>
      <c r="P6323" t="s">
        <v>11168</v>
      </c>
      <c r="R6323" t="s">
        <v>11180</v>
      </c>
      <c r="S6323" t="s">
        <v>9094</v>
      </c>
      <c r="T6323" t="s">
        <v>11183</v>
      </c>
      <c r="V6323" t="s">
        <v>365</v>
      </c>
      <c r="W6323">
        <v>1618.37</v>
      </c>
      <c r="X6323" t="s">
        <v>11335</v>
      </c>
      <c r="Y6323" t="s">
        <v>11351</v>
      </c>
      <c r="Z6323" t="s">
        <v>15237</v>
      </c>
      <c r="AB6323" t="s">
        <v>19531</v>
      </c>
      <c r="AC6323">
        <v>72</v>
      </c>
      <c r="AD6323" t="s">
        <v>19566</v>
      </c>
      <c r="AE6323" t="s">
        <v>9144</v>
      </c>
      <c r="AF6323">
        <v>29</v>
      </c>
      <c r="AG6323">
        <v>1</v>
      </c>
      <c r="AH6323">
        <v>0</v>
      </c>
      <c r="AI6323">
        <v>702.96</v>
      </c>
      <c r="AL6323" t="s">
        <v>19614</v>
      </c>
      <c r="AM6323">
        <v>85339.92</v>
      </c>
      <c r="AS6323">
        <v>0</v>
      </c>
      <c r="AU6323" t="s">
        <v>130</v>
      </c>
    </row>
    <row r="6324" spans="1:48">
      <c r="A6324" s="1">
        <f>HYPERLINK("https://lsnyc.legalserver.org/matter/dynamic-profile/view/1870334","18-1870334")</f>
        <v>0</v>
      </c>
      <c r="B6324" t="s">
        <v>197</v>
      </c>
      <c r="C6324" t="s">
        <v>256</v>
      </c>
      <c r="D6324" t="s">
        <v>795</v>
      </c>
      <c r="F6324" t="s">
        <v>1365</v>
      </c>
      <c r="G6324" t="s">
        <v>5660</v>
      </c>
      <c r="H6324" t="s">
        <v>7627</v>
      </c>
      <c r="I6324" t="s">
        <v>8288</v>
      </c>
      <c r="J6324" t="s">
        <v>9067</v>
      </c>
      <c r="K6324">
        <v>10034</v>
      </c>
      <c r="L6324" t="s">
        <v>9094</v>
      </c>
      <c r="M6324" t="s">
        <v>9095</v>
      </c>
      <c r="N6324" t="s">
        <v>10662</v>
      </c>
      <c r="O6324" t="s">
        <v>11135</v>
      </c>
      <c r="P6324" t="s">
        <v>11168</v>
      </c>
      <c r="R6324" t="s">
        <v>11180</v>
      </c>
      <c r="S6324" t="s">
        <v>9094</v>
      </c>
      <c r="T6324" t="s">
        <v>11183</v>
      </c>
      <c r="V6324" t="s">
        <v>365</v>
      </c>
      <c r="W6324">
        <v>1618.37</v>
      </c>
      <c r="X6324" t="s">
        <v>11335</v>
      </c>
      <c r="Y6324" t="s">
        <v>11351</v>
      </c>
      <c r="Z6324" t="s">
        <v>15237</v>
      </c>
      <c r="AB6324" t="s">
        <v>19531</v>
      </c>
      <c r="AC6324">
        <v>72</v>
      </c>
      <c r="AD6324" t="s">
        <v>19566</v>
      </c>
      <c r="AE6324" t="s">
        <v>9144</v>
      </c>
      <c r="AF6324">
        <v>29</v>
      </c>
      <c r="AG6324">
        <v>1</v>
      </c>
      <c r="AH6324">
        <v>0</v>
      </c>
      <c r="AI6324">
        <v>702.96</v>
      </c>
      <c r="AL6324" t="s">
        <v>19614</v>
      </c>
      <c r="AM6324">
        <v>85339.92</v>
      </c>
      <c r="AS6324">
        <v>0</v>
      </c>
      <c r="AU6324" t="s">
        <v>130</v>
      </c>
    </row>
    <row r="6325" spans="1:48">
      <c r="A6325" s="1">
        <f>HYPERLINK("https://lsnyc.legalserver.org/matter/dynamic-profile/view/1881503","18-1881503")</f>
        <v>0</v>
      </c>
      <c r="B6325" t="s">
        <v>165</v>
      </c>
      <c r="C6325" t="s">
        <v>256</v>
      </c>
      <c r="D6325" t="s">
        <v>834</v>
      </c>
      <c r="F6325" t="s">
        <v>1749</v>
      </c>
      <c r="G6325" t="s">
        <v>2223</v>
      </c>
      <c r="H6325" t="s">
        <v>6934</v>
      </c>
      <c r="I6325" t="s">
        <v>8170</v>
      </c>
      <c r="J6325" t="s">
        <v>9059</v>
      </c>
      <c r="K6325">
        <v>11216</v>
      </c>
      <c r="L6325" t="s">
        <v>9094</v>
      </c>
      <c r="M6325" t="s">
        <v>9094</v>
      </c>
      <c r="N6325" t="s">
        <v>10050</v>
      </c>
      <c r="O6325" t="s">
        <v>11132</v>
      </c>
      <c r="P6325" t="s">
        <v>11165</v>
      </c>
      <c r="R6325" t="s">
        <v>11180</v>
      </c>
      <c r="S6325" t="s">
        <v>9094</v>
      </c>
      <c r="T6325" t="s">
        <v>11183</v>
      </c>
      <c r="U6325" t="s">
        <v>11201</v>
      </c>
      <c r="V6325" t="s">
        <v>723</v>
      </c>
      <c r="W6325">
        <v>1450</v>
      </c>
      <c r="X6325" t="s">
        <v>11332</v>
      </c>
      <c r="Y6325" t="s">
        <v>11339</v>
      </c>
      <c r="Z6325" t="s">
        <v>15238</v>
      </c>
      <c r="AA6325" t="s">
        <v>9144</v>
      </c>
      <c r="AB6325" t="s">
        <v>19532</v>
      </c>
      <c r="AC6325">
        <v>8</v>
      </c>
      <c r="AD6325" t="s">
        <v>19566</v>
      </c>
      <c r="AE6325" t="s">
        <v>9144</v>
      </c>
      <c r="AF6325">
        <v>2</v>
      </c>
      <c r="AG6325">
        <v>1</v>
      </c>
      <c r="AH6325">
        <v>0</v>
      </c>
      <c r="AI6325">
        <v>708.4</v>
      </c>
      <c r="AK6325" t="s">
        <v>19612</v>
      </c>
      <c r="AL6325" t="s">
        <v>19614</v>
      </c>
      <c r="AM6325">
        <v>86000</v>
      </c>
      <c r="AN6325" t="s">
        <v>20276</v>
      </c>
      <c r="AS6325">
        <v>0</v>
      </c>
      <c r="AU6325" t="s">
        <v>95</v>
      </c>
    </row>
    <row r="6326" spans="1:48">
      <c r="A6326" s="1">
        <f>HYPERLINK("https://lsnyc.legalserver.org/matter/dynamic-profile/view/1881496","18-1881496")</f>
        <v>0</v>
      </c>
      <c r="B6326" t="s">
        <v>165</v>
      </c>
      <c r="C6326" t="s">
        <v>256</v>
      </c>
      <c r="D6326" t="s">
        <v>834</v>
      </c>
      <c r="F6326" t="s">
        <v>1749</v>
      </c>
      <c r="G6326" t="s">
        <v>2223</v>
      </c>
      <c r="H6326" t="s">
        <v>6934</v>
      </c>
      <c r="I6326" t="s">
        <v>8170</v>
      </c>
      <c r="J6326" t="s">
        <v>9059</v>
      </c>
      <c r="K6326">
        <v>11216</v>
      </c>
      <c r="L6326" t="s">
        <v>9094</v>
      </c>
      <c r="M6326" t="s">
        <v>9094</v>
      </c>
      <c r="N6326" t="s">
        <v>9121</v>
      </c>
      <c r="O6326" t="s">
        <v>9121</v>
      </c>
      <c r="P6326" t="s">
        <v>11167</v>
      </c>
      <c r="R6326" t="s">
        <v>11180</v>
      </c>
      <c r="S6326" t="s">
        <v>9094</v>
      </c>
      <c r="T6326" t="s">
        <v>11183</v>
      </c>
      <c r="U6326" t="s">
        <v>11201</v>
      </c>
      <c r="V6326" t="s">
        <v>723</v>
      </c>
      <c r="W6326">
        <v>1450</v>
      </c>
      <c r="X6326" t="s">
        <v>11332</v>
      </c>
      <c r="Y6326" t="s">
        <v>11339</v>
      </c>
      <c r="Z6326" t="s">
        <v>15238</v>
      </c>
      <c r="AA6326" t="s">
        <v>9144</v>
      </c>
      <c r="AB6326" t="s">
        <v>19532</v>
      </c>
      <c r="AC6326">
        <v>8</v>
      </c>
      <c r="AD6326" t="s">
        <v>19566</v>
      </c>
      <c r="AE6326" t="s">
        <v>9144</v>
      </c>
      <c r="AF6326">
        <v>2</v>
      </c>
      <c r="AG6326">
        <v>1</v>
      </c>
      <c r="AH6326">
        <v>0</v>
      </c>
      <c r="AI6326">
        <v>708.4</v>
      </c>
      <c r="AK6326" t="s">
        <v>19612</v>
      </c>
      <c r="AL6326" t="s">
        <v>19614</v>
      </c>
      <c r="AM6326">
        <v>86000</v>
      </c>
      <c r="AN6326" t="s">
        <v>20277</v>
      </c>
      <c r="AS6326">
        <v>0</v>
      </c>
      <c r="AU6326" t="s">
        <v>95</v>
      </c>
    </row>
    <row r="6327" spans="1:48">
      <c r="A6327" s="1">
        <f>HYPERLINK("https://lsnyc.legalserver.org/matter/dynamic-profile/view/1904892","19-1904892")</f>
        <v>0</v>
      </c>
      <c r="B6327" t="s">
        <v>138</v>
      </c>
      <c r="C6327" t="s">
        <v>257</v>
      </c>
      <c r="D6327" t="s">
        <v>660</v>
      </c>
      <c r="E6327" t="s">
        <v>426</v>
      </c>
      <c r="F6327" t="s">
        <v>1833</v>
      </c>
      <c r="G6327" t="s">
        <v>5661</v>
      </c>
      <c r="H6327" t="s">
        <v>8100</v>
      </c>
      <c r="I6327" t="s">
        <v>8168</v>
      </c>
      <c r="J6327" t="s">
        <v>9067</v>
      </c>
      <c r="K6327">
        <v>10033</v>
      </c>
      <c r="L6327" t="s">
        <v>9094</v>
      </c>
      <c r="M6327" t="s">
        <v>9095</v>
      </c>
      <c r="O6327" t="s">
        <v>11136</v>
      </c>
      <c r="P6327" t="s">
        <v>11164</v>
      </c>
      <c r="Q6327" t="s">
        <v>11172</v>
      </c>
      <c r="R6327" t="s">
        <v>11180</v>
      </c>
      <c r="S6327" t="s">
        <v>9096</v>
      </c>
      <c r="T6327" t="s">
        <v>11183</v>
      </c>
      <c r="V6327" t="s">
        <v>660</v>
      </c>
      <c r="W6327">
        <v>2100</v>
      </c>
      <c r="X6327" t="s">
        <v>11335</v>
      </c>
      <c r="Y6327" t="s">
        <v>11338</v>
      </c>
      <c r="Z6327" t="s">
        <v>15239</v>
      </c>
      <c r="AB6327" t="s">
        <v>19533</v>
      </c>
      <c r="AC6327">
        <v>95</v>
      </c>
      <c r="AD6327" t="s">
        <v>19566</v>
      </c>
      <c r="AE6327" t="s">
        <v>9144</v>
      </c>
      <c r="AF6327">
        <v>2</v>
      </c>
      <c r="AG6327">
        <v>2</v>
      </c>
      <c r="AH6327">
        <v>0</v>
      </c>
      <c r="AI6327">
        <v>709.64</v>
      </c>
      <c r="AL6327" t="s">
        <v>19614</v>
      </c>
      <c r="AM6327">
        <v>120000</v>
      </c>
      <c r="AS6327">
        <v>1.1</v>
      </c>
      <c r="AT6327" t="s">
        <v>736</v>
      </c>
      <c r="AU6327" t="s">
        <v>130</v>
      </c>
      <c r="AV6327" t="s">
        <v>20733</v>
      </c>
    </row>
    <row r="6328" spans="1:48">
      <c r="A6328" s="1">
        <f>HYPERLINK("https://lsnyc.legalserver.org/matter/dynamic-profile/view/1898268","19-1898268")</f>
        <v>0</v>
      </c>
      <c r="B6328" t="s">
        <v>70</v>
      </c>
      <c r="C6328" t="s">
        <v>256</v>
      </c>
      <c r="D6328" t="s">
        <v>596</v>
      </c>
      <c r="F6328" t="s">
        <v>3310</v>
      </c>
      <c r="G6328" t="s">
        <v>4945</v>
      </c>
      <c r="H6328" t="s">
        <v>5748</v>
      </c>
      <c r="I6328" t="s">
        <v>8671</v>
      </c>
      <c r="J6328" t="s">
        <v>9059</v>
      </c>
      <c r="K6328">
        <v>11233</v>
      </c>
      <c r="L6328" t="s">
        <v>9094</v>
      </c>
      <c r="M6328" t="s">
        <v>9096</v>
      </c>
      <c r="N6328" t="s">
        <v>9145</v>
      </c>
      <c r="O6328" t="s">
        <v>11134</v>
      </c>
      <c r="P6328" t="s">
        <v>11168</v>
      </c>
      <c r="R6328" t="s">
        <v>11180</v>
      </c>
      <c r="S6328" t="s">
        <v>9094</v>
      </c>
      <c r="T6328" t="s">
        <v>11183</v>
      </c>
      <c r="U6328" t="s">
        <v>11201</v>
      </c>
      <c r="V6328" t="s">
        <v>482</v>
      </c>
      <c r="W6328">
        <v>0</v>
      </c>
      <c r="X6328" t="s">
        <v>11332</v>
      </c>
      <c r="Z6328" t="s">
        <v>14560</v>
      </c>
      <c r="AC6328">
        <v>359</v>
      </c>
      <c r="AD6328" t="s">
        <v>19566</v>
      </c>
      <c r="AF6328">
        <v>14</v>
      </c>
      <c r="AG6328">
        <v>1</v>
      </c>
      <c r="AH6328">
        <v>0</v>
      </c>
      <c r="AI6328">
        <v>720.58</v>
      </c>
      <c r="AL6328" t="s">
        <v>19614</v>
      </c>
      <c r="AM6328">
        <v>90000</v>
      </c>
      <c r="AN6328" t="s">
        <v>19642</v>
      </c>
      <c r="AS6328">
        <v>0</v>
      </c>
      <c r="AU6328" t="s">
        <v>79</v>
      </c>
    </row>
    <row r="6329" spans="1:48">
      <c r="A6329" s="1">
        <f>HYPERLINK("https://lsnyc.legalserver.org/matter/dynamic-profile/view/1898269","19-1898269")</f>
        <v>0</v>
      </c>
      <c r="B6329" t="s">
        <v>70</v>
      </c>
      <c r="C6329" t="s">
        <v>256</v>
      </c>
      <c r="D6329" t="s">
        <v>596</v>
      </c>
      <c r="F6329" t="s">
        <v>3310</v>
      </c>
      <c r="G6329" t="s">
        <v>4945</v>
      </c>
      <c r="H6329" t="s">
        <v>5748</v>
      </c>
      <c r="I6329" t="s">
        <v>8671</v>
      </c>
      <c r="J6329" t="s">
        <v>9059</v>
      </c>
      <c r="K6329">
        <v>11233</v>
      </c>
      <c r="L6329" t="s">
        <v>9094</v>
      </c>
      <c r="M6329" t="s">
        <v>9096</v>
      </c>
      <c r="O6329" t="s">
        <v>11137</v>
      </c>
      <c r="P6329" t="s">
        <v>11167</v>
      </c>
      <c r="R6329" t="s">
        <v>11180</v>
      </c>
      <c r="S6329" t="s">
        <v>9094</v>
      </c>
      <c r="T6329" t="s">
        <v>11183</v>
      </c>
      <c r="U6329" t="s">
        <v>11201</v>
      </c>
      <c r="V6329" t="s">
        <v>749</v>
      </c>
      <c r="W6329">
        <v>0</v>
      </c>
      <c r="X6329" t="s">
        <v>11332</v>
      </c>
      <c r="Y6329" t="s">
        <v>11157</v>
      </c>
      <c r="Z6329" t="s">
        <v>14560</v>
      </c>
      <c r="AC6329">
        <v>359</v>
      </c>
      <c r="AD6329" t="s">
        <v>19566</v>
      </c>
      <c r="AF6329">
        <v>14</v>
      </c>
      <c r="AG6329">
        <v>1</v>
      </c>
      <c r="AH6329">
        <v>0</v>
      </c>
      <c r="AI6329">
        <v>720.58</v>
      </c>
      <c r="AL6329" t="s">
        <v>19614</v>
      </c>
      <c r="AM6329">
        <v>90000</v>
      </c>
      <c r="AN6329" t="s">
        <v>20278</v>
      </c>
      <c r="AS6329">
        <v>0</v>
      </c>
      <c r="AU6329" t="s">
        <v>79</v>
      </c>
    </row>
    <row r="6330" spans="1:48">
      <c r="A6330" s="1">
        <f>HYPERLINK("https://lsnyc.legalserver.org/matter/dynamic-profile/view/1914226","19-1914226")</f>
        <v>0</v>
      </c>
      <c r="B6330" t="s">
        <v>135</v>
      </c>
      <c r="C6330" t="s">
        <v>256</v>
      </c>
      <c r="D6330" t="s">
        <v>496</v>
      </c>
      <c r="F6330" t="s">
        <v>3311</v>
      </c>
      <c r="G6330" t="s">
        <v>5662</v>
      </c>
      <c r="H6330" t="s">
        <v>5940</v>
      </c>
      <c r="I6330" t="s">
        <v>8836</v>
      </c>
      <c r="J6330" t="s">
        <v>9067</v>
      </c>
      <c r="K6330">
        <v>10037</v>
      </c>
      <c r="L6330" t="s">
        <v>9094</v>
      </c>
      <c r="M6330" t="s">
        <v>9095</v>
      </c>
      <c r="O6330" t="s">
        <v>11130</v>
      </c>
      <c r="P6330" t="s">
        <v>11169</v>
      </c>
      <c r="R6330" t="s">
        <v>11180</v>
      </c>
      <c r="S6330" t="s">
        <v>9094</v>
      </c>
      <c r="T6330" t="s">
        <v>11183</v>
      </c>
      <c r="U6330" t="s">
        <v>11201</v>
      </c>
      <c r="V6330" t="s">
        <v>301</v>
      </c>
      <c r="W6330">
        <v>1826</v>
      </c>
      <c r="X6330" t="s">
        <v>11335</v>
      </c>
      <c r="Y6330" t="s">
        <v>11339</v>
      </c>
      <c r="Z6330" t="s">
        <v>15129</v>
      </c>
      <c r="AB6330" t="s">
        <v>19534</v>
      </c>
      <c r="AC6330">
        <v>259</v>
      </c>
      <c r="AD6330" t="s">
        <v>19566</v>
      </c>
      <c r="AF6330">
        <v>2</v>
      </c>
      <c r="AG6330">
        <v>1</v>
      </c>
      <c r="AH6330">
        <v>0</v>
      </c>
      <c r="AI6330">
        <v>720.58</v>
      </c>
      <c r="AL6330" t="s">
        <v>19614</v>
      </c>
      <c r="AM6330">
        <v>90000</v>
      </c>
      <c r="AS6330">
        <v>0</v>
      </c>
      <c r="AU6330" t="s">
        <v>20657</v>
      </c>
      <c r="AV6330" t="s">
        <v>20733</v>
      </c>
    </row>
    <row r="6331" spans="1:48">
      <c r="A6331" s="1">
        <f>HYPERLINK("https://lsnyc.legalserver.org/matter/dynamic-profile/view/1890497","19-1890497")</f>
        <v>0</v>
      </c>
      <c r="B6331" t="s">
        <v>98</v>
      </c>
      <c r="C6331" t="s">
        <v>257</v>
      </c>
      <c r="D6331" t="s">
        <v>482</v>
      </c>
      <c r="E6331" t="s">
        <v>676</v>
      </c>
      <c r="F6331" t="s">
        <v>3312</v>
      </c>
      <c r="G6331" t="s">
        <v>5663</v>
      </c>
      <c r="H6331" t="s">
        <v>7643</v>
      </c>
      <c r="I6331" t="s">
        <v>8259</v>
      </c>
      <c r="J6331" t="s">
        <v>9065</v>
      </c>
      <c r="K6331">
        <v>10461</v>
      </c>
      <c r="L6331" t="s">
        <v>9094</v>
      </c>
      <c r="M6331" t="s">
        <v>9094</v>
      </c>
      <c r="O6331" t="s">
        <v>11134</v>
      </c>
      <c r="P6331" t="s">
        <v>11167</v>
      </c>
      <c r="Q6331" t="s">
        <v>11173</v>
      </c>
      <c r="R6331" t="s">
        <v>11180</v>
      </c>
      <c r="S6331" t="s">
        <v>9094</v>
      </c>
      <c r="T6331" t="s">
        <v>11183</v>
      </c>
      <c r="V6331" t="s">
        <v>596</v>
      </c>
      <c r="W6331">
        <v>1410</v>
      </c>
      <c r="X6331" t="s">
        <v>11333</v>
      </c>
      <c r="Y6331" t="s">
        <v>11351</v>
      </c>
      <c r="Z6331" t="s">
        <v>11415</v>
      </c>
      <c r="AB6331" t="s">
        <v>19535</v>
      </c>
      <c r="AC6331">
        <v>125</v>
      </c>
      <c r="AD6331" t="s">
        <v>19566</v>
      </c>
      <c r="AE6331" t="s">
        <v>9144</v>
      </c>
      <c r="AF6331">
        <v>4</v>
      </c>
      <c r="AG6331">
        <v>1</v>
      </c>
      <c r="AH6331">
        <v>0</v>
      </c>
      <c r="AI6331">
        <v>728.58</v>
      </c>
      <c r="AL6331" t="s">
        <v>19614</v>
      </c>
      <c r="AM6331">
        <v>91000</v>
      </c>
      <c r="AS6331">
        <v>65</v>
      </c>
      <c r="AT6331" t="s">
        <v>608</v>
      </c>
      <c r="AU6331" t="s">
        <v>99</v>
      </c>
    </row>
    <row r="6332" spans="1:48">
      <c r="A6332" s="1">
        <f>HYPERLINK("https://lsnyc.legalserver.org/matter/dynamic-profile/view/1902106","19-1902106")</f>
        <v>0</v>
      </c>
      <c r="B6332" t="s">
        <v>165</v>
      </c>
      <c r="C6332" t="s">
        <v>256</v>
      </c>
      <c r="D6332" t="s">
        <v>319</v>
      </c>
      <c r="F6332" t="s">
        <v>3313</v>
      </c>
      <c r="G6332" t="s">
        <v>5664</v>
      </c>
      <c r="H6332" t="s">
        <v>6934</v>
      </c>
      <c r="I6332" t="s">
        <v>8419</v>
      </c>
      <c r="J6332" t="s">
        <v>9059</v>
      </c>
      <c r="K6332">
        <v>11216</v>
      </c>
      <c r="L6332" t="s">
        <v>9094</v>
      </c>
      <c r="M6332" t="s">
        <v>9095</v>
      </c>
      <c r="N6332" t="s">
        <v>11107</v>
      </c>
      <c r="O6332" t="s">
        <v>11132</v>
      </c>
      <c r="P6332" t="s">
        <v>11165</v>
      </c>
      <c r="R6332" t="s">
        <v>11180</v>
      </c>
      <c r="S6332" t="s">
        <v>9094</v>
      </c>
      <c r="T6332" t="s">
        <v>11183</v>
      </c>
      <c r="U6332" t="s">
        <v>11201</v>
      </c>
      <c r="V6332" t="s">
        <v>319</v>
      </c>
      <c r="W6332">
        <v>0</v>
      </c>
      <c r="X6332" t="s">
        <v>11332</v>
      </c>
      <c r="Y6332" t="s">
        <v>11339</v>
      </c>
      <c r="Z6332" t="s">
        <v>15240</v>
      </c>
      <c r="AA6332" t="s">
        <v>9171</v>
      </c>
      <c r="AB6332" t="s">
        <v>19536</v>
      </c>
      <c r="AC6332">
        <v>82</v>
      </c>
      <c r="AD6332" t="s">
        <v>19566</v>
      </c>
      <c r="AE6332" t="s">
        <v>9144</v>
      </c>
      <c r="AF6332">
        <v>0</v>
      </c>
      <c r="AG6332">
        <v>1</v>
      </c>
      <c r="AH6332">
        <v>0</v>
      </c>
      <c r="AI6332">
        <v>730.1799999999999</v>
      </c>
      <c r="AL6332" t="s">
        <v>19640</v>
      </c>
      <c r="AM6332">
        <v>91200</v>
      </c>
      <c r="AN6332" t="s">
        <v>20227</v>
      </c>
      <c r="AS6332">
        <v>0</v>
      </c>
      <c r="AU6332" t="s">
        <v>95</v>
      </c>
      <c r="AV6332" t="s">
        <v>20733</v>
      </c>
    </row>
    <row r="6333" spans="1:48">
      <c r="A6333" s="1">
        <f>HYPERLINK("https://lsnyc.legalserver.org/matter/dynamic-profile/view/1904494","19-1904494")</f>
        <v>0</v>
      </c>
      <c r="B6333" t="s">
        <v>114</v>
      </c>
      <c r="C6333" t="s">
        <v>257</v>
      </c>
      <c r="D6333" t="s">
        <v>615</v>
      </c>
      <c r="E6333" t="s">
        <v>476</v>
      </c>
      <c r="F6333" t="s">
        <v>3314</v>
      </c>
      <c r="G6333" t="s">
        <v>5156</v>
      </c>
      <c r="H6333" t="s">
        <v>6132</v>
      </c>
      <c r="I6333" t="s">
        <v>8124</v>
      </c>
      <c r="J6333" t="s">
        <v>9065</v>
      </c>
      <c r="K6333">
        <v>10470</v>
      </c>
      <c r="L6333" t="s">
        <v>9094</v>
      </c>
      <c r="M6333" t="s">
        <v>9095</v>
      </c>
      <c r="N6333" t="s">
        <v>9426</v>
      </c>
      <c r="O6333" t="s">
        <v>11130</v>
      </c>
      <c r="P6333" t="s">
        <v>11165</v>
      </c>
      <c r="Q6333" t="s">
        <v>11174</v>
      </c>
      <c r="R6333" t="s">
        <v>11180</v>
      </c>
      <c r="S6333" t="s">
        <v>9094</v>
      </c>
      <c r="T6333" t="s">
        <v>11183</v>
      </c>
      <c r="W6333">
        <v>931</v>
      </c>
      <c r="X6333" t="s">
        <v>11333</v>
      </c>
      <c r="Y6333" t="s">
        <v>11345</v>
      </c>
      <c r="Z6333" t="s">
        <v>15241</v>
      </c>
      <c r="AB6333" t="s">
        <v>19537</v>
      </c>
      <c r="AC6333">
        <v>63</v>
      </c>
      <c r="AD6333" t="s">
        <v>15441</v>
      </c>
      <c r="AE6333" t="s">
        <v>9144</v>
      </c>
      <c r="AF6333">
        <v>11</v>
      </c>
      <c r="AG6333">
        <v>2</v>
      </c>
      <c r="AH6333">
        <v>0</v>
      </c>
      <c r="AI6333">
        <v>739.21</v>
      </c>
      <c r="AL6333" t="s">
        <v>19614</v>
      </c>
      <c r="AM6333">
        <v>125000</v>
      </c>
      <c r="AS6333">
        <v>0.25</v>
      </c>
      <c r="AT6333" t="s">
        <v>476</v>
      </c>
      <c r="AU6333" t="s">
        <v>20642</v>
      </c>
      <c r="AV6333" t="s">
        <v>20733</v>
      </c>
    </row>
    <row r="6334" spans="1:48">
      <c r="A6334" s="1">
        <f>HYPERLINK("https://lsnyc.legalserver.org/matter/dynamic-profile/view/1869108","18-1869108")</f>
        <v>0</v>
      </c>
      <c r="B6334" t="s">
        <v>197</v>
      </c>
      <c r="C6334" t="s">
        <v>256</v>
      </c>
      <c r="D6334" t="s">
        <v>959</v>
      </c>
      <c r="F6334" t="s">
        <v>1804</v>
      </c>
      <c r="G6334" t="s">
        <v>3398</v>
      </c>
      <c r="H6334" t="s">
        <v>7627</v>
      </c>
      <c r="I6334" t="s">
        <v>8259</v>
      </c>
      <c r="J6334" t="s">
        <v>9067</v>
      </c>
      <c r="K6334">
        <v>10034</v>
      </c>
      <c r="L6334" t="s">
        <v>9094</v>
      </c>
      <c r="M6334" t="s">
        <v>9095</v>
      </c>
      <c r="N6334" t="s">
        <v>10661</v>
      </c>
      <c r="O6334" t="s">
        <v>11135</v>
      </c>
      <c r="P6334" t="s">
        <v>11168</v>
      </c>
      <c r="R6334" t="s">
        <v>11180</v>
      </c>
      <c r="S6334" t="s">
        <v>9094</v>
      </c>
      <c r="T6334" t="s">
        <v>11183</v>
      </c>
      <c r="V6334" t="s">
        <v>959</v>
      </c>
      <c r="W6334">
        <v>1835</v>
      </c>
      <c r="X6334" t="s">
        <v>11335</v>
      </c>
      <c r="Y6334" t="s">
        <v>11351</v>
      </c>
      <c r="Z6334" t="s">
        <v>15242</v>
      </c>
      <c r="AB6334" t="s">
        <v>19538</v>
      </c>
      <c r="AC6334">
        <v>72</v>
      </c>
      <c r="AD6334" t="s">
        <v>19566</v>
      </c>
      <c r="AE6334" t="s">
        <v>9144</v>
      </c>
      <c r="AF6334">
        <v>4</v>
      </c>
      <c r="AG6334">
        <v>1</v>
      </c>
      <c r="AH6334">
        <v>0</v>
      </c>
      <c r="AI6334">
        <v>741.35</v>
      </c>
      <c r="AL6334" t="s">
        <v>19614</v>
      </c>
      <c r="AM6334">
        <v>90000</v>
      </c>
      <c r="AS6334">
        <v>0</v>
      </c>
      <c r="AU6334" t="s">
        <v>130</v>
      </c>
    </row>
    <row r="6335" spans="1:48">
      <c r="A6335" s="1">
        <f>HYPERLINK("https://lsnyc.legalserver.org/matter/dynamic-profile/view/1869110","18-1869110")</f>
        <v>0</v>
      </c>
      <c r="B6335" t="s">
        <v>197</v>
      </c>
      <c r="C6335" t="s">
        <v>256</v>
      </c>
      <c r="D6335" t="s">
        <v>959</v>
      </c>
      <c r="F6335" t="s">
        <v>1804</v>
      </c>
      <c r="G6335" t="s">
        <v>3398</v>
      </c>
      <c r="H6335" t="s">
        <v>7627</v>
      </c>
      <c r="I6335" t="s">
        <v>8259</v>
      </c>
      <c r="J6335" t="s">
        <v>9067</v>
      </c>
      <c r="K6335">
        <v>10034</v>
      </c>
      <c r="L6335" t="s">
        <v>9094</v>
      </c>
      <c r="M6335" t="s">
        <v>9095</v>
      </c>
      <c r="N6335" t="s">
        <v>10662</v>
      </c>
      <c r="O6335" t="s">
        <v>11135</v>
      </c>
      <c r="P6335" t="s">
        <v>11168</v>
      </c>
      <c r="R6335" t="s">
        <v>11180</v>
      </c>
      <c r="S6335" t="s">
        <v>9094</v>
      </c>
      <c r="T6335" t="s">
        <v>11183</v>
      </c>
      <c r="V6335" t="s">
        <v>959</v>
      </c>
      <c r="W6335">
        <v>1835</v>
      </c>
      <c r="X6335" t="s">
        <v>11335</v>
      </c>
      <c r="Y6335" t="s">
        <v>11351</v>
      </c>
      <c r="Z6335" t="s">
        <v>15242</v>
      </c>
      <c r="AB6335" t="s">
        <v>19538</v>
      </c>
      <c r="AC6335">
        <v>72</v>
      </c>
      <c r="AD6335" t="s">
        <v>19566</v>
      </c>
      <c r="AE6335" t="s">
        <v>9144</v>
      </c>
      <c r="AF6335">
        <v>4</v>
      </c>
      <c r="AG6335">
        <v>1</v>
      </c>
      <c r="AH6335">
        <v>0</v>
      </c>
      <c r="AI6335">
        <v>741.35</v>
      </c>
      <c r="AL6335" t="s">
        <v>19614</v>
      </c>
      <c r="AM6335">
        <v>90000</v>
      </c>
      <c r="AS6335">
        <v>0.8</v>
      </c>
      <c r="AT6335" t="s">
        <v>338</v>
      </c>
      <c r="AU6335" t="s">
        <v>130</v>
      </c>
    </row>
    <row r="6336" spans="1:48">
      <c r="A6336" s="1">
        <f>HYPERLINK("https://lsnyc.legalserver.org/matter/dynamic-profile/view/0808962","16-0808962")</f>
        <v>0</v>
      </c>
      <c r="B6336" t="s">
        <v>106</v>
      </c>
      <c r="C6336" t="s">
        <v>257</v>
      </c>
      <c r="D6336" t="s">
        <v>431</v>
      </c>
      <c r="E6336" t="s">
        <v>551</v>
      </c>
      <c r="F6336" t="s">
        <v>1450</v>
      </c>
      <c r="G6336" t="s">
        <v>5435</v>
      </c>
      <c r="H6336" t="s">
        <v>5908</v>
      </c>
      <c r="I6336" t="s">
        <v>8112</v>
      </c>
      <c r="J6336" t="s">
        <v>9065</v>
      </c>
      <c r="K6336">
        <v>10451</v>
      </c>
      <c r="L6336" t="s">
        <v>9094</v>
      </c>
      <c r="M6336" t="s">
        <v>9095</v>
      </c>
      <c r="O6336" t="s">
        <v>11148</v>
      </c>
      <c r="P6336" t="s">
        <v>11166</v>
      </c>
      <c r="Q6336" t="s">
        <v>11174</v>
      </c>
      <c r="R6336" t="s">
        <v>11180</v>
      </c>
      <c r="S6336" t="s">
        <v>9094</v>
      </c>
      <c r="T6336" t="s">
        <v>11183</v>
      </c>
      <c r="V6336" t="s">
        <v>431</v>
      </c>
      <c r="W6336">
        <v>0</v>
      </c>
      <c r="X6336" t="s">
        <v>11333</v>
      </c>
      <c r="Y6336" t="s">
        <v>11346</v>
      </c>
      <c r="Z6336" t="s">
        <v>13135</v>
      </c>
      <c r="AB6336" t="s">
        <v>19210</v>
      </c>
      <c r="AC6336">
        <v>0</v>
      </c>
      <c r="AD6336" t="s">
        <v>19566</v>
      </c>
      <c r="AF6336">
        <v>0</v>
      </c>
      <c r="AG6336">
        <v>2</v>
      </c>
      <c r="AH6336">
        <v>0</v>
      </c>
      <c r="AI6336">
        <v>749.0599999999999</v>
      </c>
      <c r="AJ6336" t="s">
        <v>388</v>
      </c>
      <c r="AL6336" t="s">
        <v>19614</v>
      </c>
      <c r="AM6336">
        <v>168000</v>
      </c>
      <c r="AO6336" t="s">
        <v>20296</v>
      </c>
      <c r="AP6336" t="s">
        <v>20347</v>
      </c>
      <c r="AQ6336" t="s">
        <v>20369</v>
      </c>
      <c r="AR6336" t="s">
        <v>20533</v>
      </c>
      <c r="AS6336">
        <v>47.48</v>
      </c>
      <c r="AT6336" t="s">
        <v>551</v>
      </c>
      <c r="AU6336" t="s">
        <v>109</v>
      </c>
    </row>
    <row r="6337" spans="1:48">
      <c r="A6337" s="1">
        <f>HYPERLINK("https://lsnyc.legalserver.org/matter/dynamic-profile/view/1911660","19-1911660")</f>
        <v>0</v>
      </c>
      <c r="B6337" t="s">
        <v>231</v>
      </c>
      <c r="C6337" t="s">
        <v>256</v>
      </c>
      <c r="D6337" t="s">
        <v>728</v>
      </c>
      <c r="F6337" t="s">
        <v>3315</v>
      </c>
      <c r="G6337" t="s">
        <v>5665</v>
      </c>
      <c r="H6337" t="s">
        <v>8101</v>
      </c>
      <c r="I6337" t="s">
        <v>8169</v>
      </c>
      <c r="J6337" t="s">
        <v>9067</v>
      </c>
      <c r="K6337">
        <v>10040</v>
      </c>
      <c r="L6337" t="s">
        <v>9094</v>
      </c>
      <c r="M6337" t="s">
        <v>9095</v>
      </c>
      <c r="P6337" t="s">
        <v>11169</v>
      </c>
      <c r="R6337" t="s">
        <v>11180</v>
      </c>
      <c r="S6337" t="s">
        <v>9096</v>
      </c>
      <c r="T6337" t="s">
        <v>11183</v>
      </c>
      <c r="V6337" t="s">
        <v>728</v>
      </c>
      <c r="W6337">
        <v>1850</v>
      </c>
      <c r="X6337" t="s">
        <v>11335</v>
      </c>
      <c r="Y6337" t="s">
        <v>11351</v>
      </c>
      <c r="Z6337" t="s">
        <v>15243</v>
      </c>
      <c r="AB6337" t="s">
        <v>19539</v>
      </c>
      <c r="AC6337">
        <v>33</v>
      </c>
      <c r="AD6337" t="s">
        <v>19565</v>
      </c>
      <c r="AE6337" t="s">
        <v>9144</v>
      </c>
      <c r="AF6337">
        <v>4</v>
      </c>
      <c r="AG6337">
        <v>2</v>
      </c>
      <c r="AH6337">
        <v>0</v>
      </c>
      <c r="AI6337">
        <v>751.03</v>
      </c>
      <c r="AL6337" t="s">
        <v>19614</v>
      </c>
      <c r="AM6337">
        <v>127000</v>
      </c>
      <c r="AS6337">
        <v>2</v>
      </c>
      <c r="AT6337" t="s">
        <v>570</v>
      </c>
      <c r="AU6337" t="s">
        <v>130</v>
      </c>
      <c r="AV6337" t="s">
        <v>20733</v>
      </c>
    </row>
    <row r="6338" spans="1:48">
      <c r="A6338" s="1">
        <f>HYPERLINK("https://lsnyc.legalserver.org/matter/dynamic-profile/view/1903289","19-1903289")</f>
        <v>0</v>
      </c>
      <c r="B6338" t="s">
        <v>141</v>
      </c>
      <c r="C6338" t="s">
        <v>256</v>
      </c>
      <c r="D6338" t="s">
        <v>280</v>
      </c>
      <c r="F6338" t="s">
        <v>1724</v>
      </c>
      <c r="G6338" t="s">
        <v>5666</v>
      </c>
      <c r="H6338" t="s">
        <v>8102</v>
      </c>
      <c r="I6338" t="s">
        <v>8223</v>
      </c>
      <c r="J6338" t="s">
        <v>9067</v>
      </c>
      <c r="K6338">
        <v>10033</v>
      </c>
      <c r="L6338" t="s">
        <v>9094</v>
      </c>
      <c r="M6338" t="s">
        <v>9095</v>
      </c>
      <c r="O6338" t="s">
        <v>11136</v>
      </c>
      <c r="P6338" t="s">
        <v>11164</v>
      </c>
      <c r="R6338" t="s">
        <v>11180</v>
      </c>
      <c r="S6338" t="s">
        <v>9096</v>
      </c>
      <c r="T6338" t="s">
        <v>11183</v>
      </c>
      <c r="V6338" t="s">
        <v>280</v>
      </c>
      <c r="W6338">
        <v>1800</v>
      </c>
      <c r="X6338" t="s">
        <v>11335</v>
      </c>
      <c r="Y6338" t="s">
        <v>11338</v>
      </c>
      <c r="Z6338" t="s">
        <v>15244</v>
      </c>
      <c r="AB6338" t="s">
        <v>19540</v>
      </c>
      <c r="AC6338">
        <v>689</v>
      </c>
      <c r="AD6338" t="s">
        <v>19566</v>
      </c>
      <c r="AE6338" t="s">
        <v>9144</v>
      </c>
      <c r="AF6338">
        <v>5</v>
      </c>
      <c r="AG6338">
        <v>1</v>
      </c>
      <c r="AH6338">
        <v>0</v>
      </c>
      <c r="AI6338">
        <v>760.61</v>
      </c>
      <c r="AL6338" t="s">
        <v>19614</v>
      </c>
      <c r="AM6338">
        <v>95000</v>
      </c>
      <c r="AS6338">
        <v>0</v>
      </c>
      <c r="AU6338" t="s">
        <v>130</v>
      </c>
      <c r="AV6338" t="s">
        <v>20733</v>
      </c>
    </row>
    <row r="6339" spans="1:48">
      <c r="A6339" s="1">
        <f>HYPERLINK("https://lsnyc.legalserver.org/matter/dynamic-profile/view/1889220","19-1889220")</f>
        <v>0</v>
      </c>
      <c r="B6339" t="s">
        <v>65</v>
      </c>
      <c r="C6339" t="s">
        <v>256</v>
      </c>
      <c r="D6339" t="s">
        <v>602</v>
      </c>
      <c r="F6339" t="s">
        <v>1769</v>
      </c>
      <c r="G6339" t="s">
        <v>5667</v>
      </c>
      <c r="H6339" t="s">
        <v>5774</v>
      </c>
      <c r="J6339" t="s">
        <v>9059</v>
      </c>
      <c r="K6339">
        <v>11226</v>
      </c>
      <c r="L6339" t="s">
        <v>9094</v>
      </c>
      <c r="M6339" t="s">
        <v>9094</v>
      </c>
      <c r="N6339" t="s">
        <v>9293</v>
      </c>
      <c r="O6339" t="s">
        <v>11134</v>
      </c>
      <c r="P6339" t="s">
        <v>11168</v>
      </c>
      <c r="R6339" t="s">
        <v>11180</v>
      </c>
      <c r="S6339" t="s">
        <v>9094</v>
      </c>
      <c r="T6339" t="s">
        <v>11183</v>
      </c>
      <c r="V6339" t="s">
        <v>635</v>
      </c>
      <c r="W6339">
        <v>2937</v>
      </c>
      <c r="X6339" t="s">
        <v>11332</v>
      </c>
      <c r="Y6339" t="s">
        <v>11338</v>
      </c>
      <c r="Z6339" t="s">
        <v>15245</v>
      </c>
      <c r="AB6339" t="s">
        <v>19541</v>
      </c>
      <c r="AC6339">
        <v>43</v>
      </c>
      <c r="AD6339" t="s">
        <v>19566</v>
      </c>
      <c r="AF6339">
        <v>3</v>
      </c>
      <c r="AG6339">
        <v>2</v>
      </c>
      <c r="AH6339">
        <v>1</v>
      </c>
      <c r="AI6339">
        <v>761.84</v>
      </c>
      <c r="AL6339" t="s">
        <v>19614</v>
      </c>
      <c r="AM6339">
        <v>162500</v>
      </c>
      <c r="AO6339" t="s">
        <v>20293</v>
      </c>
      <c r="AS6339">
        <v>0.2</v>
      </c>
      <c r="AT6339" t="s">
        <v>288</v>
      </c>
      <c r="AU6339" t="s">
        <v>215</v>
      </c>
      <c r="AV6339" t="s">
        <v>20733</v>
      </c>
    </row>
    <row r="6340" spans="1:48">
      <c r="A6340" s="1">
        <f>HYPERLINK("https://lsnyc.legalserver.org/matter/dynamic-profile/view/1871582","18-1871582")</f>
        <v>0</v>
      </c>
      <c r="B6340" t="s">
        <v>138</v>
      </c>
      <c r="C6340" t="s">
        <v>256</v>
      </c>
      <c r="D6340" t="s">
        <v>389</v>
      </c>
      <c r="F6340" t="s">
        <v>1556</v>
      </c>
      <c r="G6340" t="s">
        <v>5668</v>
      </c>
      <c r="H6340" t="s">
        <v>5943</v>
      </c>
      <c r="J6340" t="s">
        <v>9067</v>
      </c>
      <c r="K6340">
        <v>10034</v>
      </c>
      <c r="L6340" t="s">
        <v>9094</v>
      </c>
      <c r="M6340" t="s">
        <v>9094</v>
      </c>
      <c r="N6340" t="s">
        <v>9279</v>
      </c>
      <c r="O6340" t="s">
        <v>11130</v>
      </c>
      <c r="P6340" t="s">
        <v>11165</v>
      </c>
      <c r="R6340" t="s">
        <v>11180</v>
      </c>
      <c r="S6340" t="s">
        <v>9094</v>
      </c>
      <c r="T6340" t="s">
        <v>11183</v>
      </c>
      <c r="V6340" t="s">
        <v>389</v>
      </c>
      <c r="W6340">
        <v>1920</v>
      </c>
      <c r="X6340" t="s">
        <v>11335</v>
      </c>
      <c r="Y6340" t="s">
        <v>11338</v>
      </c>
      <c r="Z6340" t="s">
        <v>15246</v>
      </c>
      <c r="AB6340" t="s">
        <v>19542</v>
      </c>
      <c r="AC6340">
        <v>67</v>
      </c>
      <c r="AD6340" t="s">
        <v>19566</v>
      </c>
      <c r="AE6340" t="s">
        <v>9144</v>
      </c>
      <c r="AF6340">
        <v>1</v>
      </c>
      <c r="AG6340">
        <v>1</v>
      </c>
      <c r="AH6340">
        <v>0</v>
      </c>
      <c r="AI6340">
        <v>766.0599999999999</v>
      </c>
      <c r="AL6340" t="s">
        <v>19614</v>
      </c>
      <c r="AM6340">
        <v>93000</v>
      </c>
      <c r="AS6340">
        <v>1.4</v>
      </c>
      <c r="AT6340" t="s">
        <v>760</v>
      </c>
      <c r="AU6340" t="s">
        <v>130</v>
      </c>
      <c r="AV6340" t="s">
        <v>20733</v>
      </c>
    </row>
    <row r="6341" spans="1:48">
      <c r="A6341" s="1">
        <f>HYPERLINK("https://lsnyc.legalserver.org/matter/dynamic-profile/view/1908229","19-1908229")</f>
        <v>0</v>
      </c>
      <c r="B6341" t="s">
        <v>165</v>
      </c>
      <c r="C6341" t="s">
        <v>256</v>
      </c>
      <c r="D6341" t="s">
        <v>899</v>
      </c>
      <c r="F6341" t="s">
        <v>2896</v>
      </c>
      <c r="G6341" t="s">
        <v>5669</v>
      </c>
      <c r="H6341" t="s">
        <v>6934</v>
      </c>
      <c r="I6341" t="s">
        <v>9033</v>
      </c>
      <c r="J6341" t="s">
        <v>9059</v>
      </c>
      <c r="K6341">
        <v>11216</v>
      </c>
      <c r="L6341" t="s">
        <v>9094</v>
      </c>
      <c r="M6341" t="s">
        <v>9095</v>
      </c>
      <c r="N6341" t="s">
        <v>10050</v>
      </c>
      <c r="O6341" t="s">
        <v>11132</v>
      </c>
      <c r="P6341" t="s">
        <v>11165</v>
      </c>
      <c r="R6341" t="s">
        <v>11180</v>
      </c>
      <c r="S6341" t="s">
        <v>9094</v>
      </c>
      <c r="T6341" t="s">
        <v>11183</v>
      </c>
      <c r="U6341" t="s">
        <v>11201</v>
      </c>
      <c r="V6341" t="s">
        <v>308</v>
      </c>
      <c r="W6341">
        <v>1624.29</v>
      </c>
      <c r="X6341" t="s">
        <v>11332</v>
      </c>
      <c r="Y6341" t="s">
        <v>11339</v>
      </c>
      <c r="Z6341" t="s">
        <v>15247</v>
      </c>
      <c r="AA6341" t="s">
        <v>9171</v>
      </c>
      <c r="AB6341" t="s">
        <v>19543</v>
      </c>
      <c r="AC6341">
        <v>82</v>
      </c>
      <c r="AD6341" t="s">
        <v>19566</v>
      </c>
      <c r="AF6341">
        <v>-1</v>
      </c>
      <c r="AG6341">
        <v>1</v>
      </c>
      <c r="AH6341">
        <v>0</v>
      </c>
      <c r="AI6341">
        <v>780.62</v>
      </c>
      <c r="AL6341" t="s">
        <v>19614</v>
      </c>
      <c r="AM6341">
        <v>97500</v>
      </c>
      <c r="AS6341">
        <v>0</v>
      </c>
      <c r="AU6341" t="s">
        <v>95</v>
      </c>
      <c r="AV6341" t="s">
        <v>20733</v>
      </c>
    </row>
    <row r="6342" spans="1:48">
      <c r="A6342" s="1">
        <f>HYPERLINK("https://lsnyc.legalserver.org/matter/dynamic-profile/view/1908228","19-1908228")</f>
        <v>0</v>
      </c>
      <c r="B6342" t="s">
        <v>165</v>
      </c>
      <c r="C6342" t="s">
        <v>256</v>
      </c>
      <c r="D6342" t="s">
        <v>899</v>
      </c>
      <c r="F6342" t="s">
        <v>2896</v>
      </c>
      <c r="G6342" t="s">
        <v>5669</v>
      </c>
      <c r="H6342" t="s">
        <v>6934</v>
      </c>
      <c r="I6342" t="s">
        <v>9033</v>
      </c>
      <c r="J6342" t="s">
        <v>9059</v>
      </c>
      <c r="K6342">
        <v>11216</v>
      </c>
      <c r="L6342" t="s">
        <v>9094</v>
      </c>
      <c r="M6342" t="s">
        <v>9095</v>
      </c>
      <c r="N6342" t="s">
        <v>9144</v>
      </c>
      <c r="O6342" t="s">
        <v>11137</v>
      </c>
      <c r="P6342" t="s">
        <v>11167</v>
      </c>
      <c r="R6342" t="s">
        <v>11180</v>
      </c>
      <c r="S6342" t="s">
        <v>9094</v>
      </c>
      <c r="T6342" t="s">
        <v>11183</v>
      </c>
      <c r="U6342" t="s">
        <v>11201</v>
      </c>
      <c r="V6342" t="s">
        <v>574</v>
      </c>
      <c r="W6342">
        <v>1624.29</v>
      </c>
      <c r="X6342" t="s">
        <v>11332</v>
      </c>
      <c r="Y6342" t="s">
        <v>11339</v>
      </c>
      <c r="Z6342" t="s">
        <v>15247</v>
      </c>
      <c r="AA6342" t="s">
        <v>9171</v>
      </c>
      <c r="AB6342" t="s">
        <v>19543</v>
      </c>
      <c r="AC6342">
        <v>82</v>
      </c>
      <c r="AD6342" t="s">
        <v>19566</v>
      </c>
      <c r="AE6342" t="s">
        <v>9144</v>
      </c>
      <c r="AF6342">
        <v>-1</v>
      </c>
      <c r="AG6342">
        <v>1</v>
      </c>
      <c r="AH6342">
        <v>0</v>
      </c>
      <c r="AI6342">
        <v>780.62</v>
      </c>
      <c r="AL6342" t="s">
        <v>19614</v>
      </c>
      <c r="AM6342">
        <v>97500</v>
      </c>
      <c r="AS6342">
        <v>0</v>
      </c>
      <c r="AU6342" t="s">
        <v>95</v>
      </c>
      <c r="AV6342" t="s">
        <v>20733</v>
      </c>
    </row>
    <row r="6343" spans="1:48">
      <c r="A6343" s="1">
        <f>HYPERLINK("https://lsnyc.legalserver.org/matter/dynamic-profile/view/1872554","18-1872554")</f>
        <v>0</v>
      </c>
      <c r="B6343" t="s">
        <v>56</v>
      </c>
      <c r="C6343" t="s">
        <v>257</v>
      </c>
      <c r="D6343" t="s">
        <v>822</v>
      </c>
      <c r="E6343" t="s">
        <v>329</v>
      </c>
      <c r="F6343" t="s">
        <v>1212</v>
      </c>
      <c r="G6343" t="s">
        <v>5670</v>
      </c>
      <c r="H6343" t="s">
        <v>6510</v>
      </c>
      <c r="I6343" t="s">
        <v>8690</v>
      </c>
      <c r="J6343" t="s">
        <v>9053</v>
      </c>
      <c r="K6343">
        <v>11372</v>
      </c>
      <c r="L6343" t="s">
        <v>9094</v>
      </c>
      <c r="M6343" t="s">
        <v>9094</v>
      </c>
      <c r="N6343" t="s">
        <v>9121</v>
      </c>
      <c r="O6343" t="s">
        <v>11136</v>
      </c>
      <c r="P6343" t="s">
        <v>11166</v>
      </c>
      <c r="Q6343" t="s">
        <v>11173</v>
      </c>
      <c r="R6343" t="s">
        <v>11180</v>
      </c>
      <c r="S6343" t="s">
        <v>9094</v>
      </c>
      <c r="T6343" t="s">
        <v>11183</v>
      </c>
      <c r="U6343" t="s">
        <v>11201</v>
      </c>
      <c r="V6343" t="s">
        <v>672</v>
      </c>
      <c r="W6343">
        <v>2950</v>
      </c>
      <c r="X6343" t="s">
        <v>11331</v>
      </c>
      <c r="Y6343" t="s">
        <v>11336</v>
      </c>
      <c r="Z6343" t="s">
        <v>15248</v>
      </c>
      <c r="AA6343" t="s">
        <v>15274</v>
      </c>
      <c r="AB6343" t="s">
        <v>19544</v>
      </c>
      <c r="AC6343">
        <v>60</v>
      </c>
      <c r="AD6343" t="s">
        <v>15441</v>
      </c>
      <c r="AE6343" t="s">
        <v>9144</v>
      </c>
      <c r="AF6343">
        <v>4</v>
      </c>
      <c r="AG6343">
        <v>4</v>
      </c>
      <c r="AH6343">
        <v>0</v>
      </c>
      <c r="AI6343">
        <v>786.42</v>
      </c>
      <c r="AL6343" t="s">
        <v>19614</v>
      </c>
      <c r="AM6343">
        <v>197392</v>
      </c>
      <c r="AS6343">
        <v>0.35</v>
      </c>
      <c r="AT6343" t="s">
        <v>426</v>
      </c>
      <c r="AU6343" t="s">
        <v>20620</v>
      </c>
      <c r="AV6343" t="s">
        <v>20733</v>
      </c>
    </row>
    <row r="6344" spans="1:48">
      <c r="A6344" s="1">
        <f>HYPERLINK("https://lsnyc.legalserver.org/matter/dynamic-profile/view/1914892","19-1914892")</f>
        <v>0</v>
      </c>
      <c r="B6344" t="s">
        <v>202</v>
      </c>
      <c r="C6344" t="s">
        <v>256</v>
      </c>
      <c r="D6344" t="s">
        <v>331</v>
      </c>
      <c r="F6344" t="s">
        <v>3316</v>
      </c>
      <c r="G6344" t="s">
        <v>2334</v>
      </c>
      <c r="H6344" t="s">
        <v>6621</v>
      </c>
      <c r="I6344">
        <v>31</v>
      </c>
      <c r="J6344" t="s">
        <v>9059</v>
      </c>
      <c r="K6344">
        <v>11213</v>
      </c>
      <c r="L6344" t="s">
        <v>9094</v>
      </c>
      <c r="M6344" t="s">
        <v>9095</v>
      </c>
      <c r="N6344" t="s">
        <v>10263</v>
      </c>
      <c r="O6344" t="s">
        <v>11132</v>
      </c>
      <c r="P6344" t="s">
        <v>11165</v>
      </c>
      <c r="R6344" t="s">
        <v>11180</v>
      </c>
      <c r="S6344" t="s">
        <v>9094</v>
      </c>
      <c r="T6344" t="s">
        <v>11183</v>
      </c>
      <c r="U6344" t="s">
        <v>11201</v>
      </c>
      <c r="W6344">
        <v>944.38</v>
      </c>
      <c r="X6344" t="s">
        <v>11332</v>
      </c>
      <c r="Y6344" t="s">
        <v>11339</v>
      </c>
      <c r="Z6344" t="s">
        <v>15249</v>
      </c>
      <c r="AA6344" t="s">
        <v>9171</v>
      </c>
      <c r="AB6344" t="s">
        <v>19545</v>
      </c>
      <c r="AC6344">
        <v>31</v>
      </c>
      <c r="AD6344" t="s">
        <v>19566</v>
      </c>
      <c r="AE6344" t="s">
        <v>9144</v>
      </c>
      <c r="AF6344">
        <v>15</v>
      </c>
      <c r="AG6344">
        <v>2</v>
      </c>
      <c r="AH6344">
        <v>0</v>
      </c>
      <c r="AI6344">
        <v>786.52</v>
      </c>
      <c r="AK6344" t="s">
        <v>19612</v>
      </c>
      <c r="AL6344" t="s">
        <v>19614</v>
      </c>
      <c r="AM6344">
        <v>133000</v>
      </c>
      <c r="AN6344" t="s">
        <v>20097</v>
      </c>
      <c r="AS6344">
        <v>0</v>
      </c>
      <c r="AU6344" t="s">
        <v>95</v>
      </c>
      <c r="AV6344" t="s">
        <v>20733</v>
      </c>
    </row>
    <row r="6345" spans="1:48">
      <c r="A6345" s="1">
        <f>HYPERLINK("https://lsnyc.legalserver.org/matter/dynamic-profile/view/1913097","19-1913097")</f>
        <v>0</v>
      </c>
      <c r="B6345" t="s">
        <v>202</v>
      </c>
      <c r="C6345" t="s">
        <v>256</v>
      </c>
      <c r="D6345" t="s">
        <v>833</v>
      </c>
      <c r="F6345" t="s">
        <v>3316</v>
      </c>
      <c r="G6345" t="s">
        <v>2334</v>
      </c>
      <c r="H6345" t="s">
        <v>6621</v>
      </c>
      <c r="I6345">
        <v>31</v>
      </c>
      <c r="J6345" t="s">
        <v>9059</v>
      </c>
      <c r="K6345">
        <v>11213</v>
      </c>
      <c r="L6345" t="s">
        <v>9094</v>
      </c>
      <c r="M6345" t="s">
        <v>9095</v>
      </c>
      <c r="N6345" t="s">
        <v>9144</v>
      </c>
      <c r="O6345" t="s">
        <v>9121</v>
      </c>
      <c r="P6345" t="s">
        <v>11167</v>
      </c>
      <c r="R6345" t="s">
        <v>11180</v>
      </c>
      <c r="S6345" t="s">
        <v>9094</v>
      </c>
      <c r="T6345" t="s">
        <v>11183</v>
      </c>
      <c r="U6345" t="s">
        <v>11201</v>
      </c>
      <c r="V6345" t="s">
        <v>833</v>
      </c>
      <c r="W6345">
        <v>944.38</v>
      </c>
      <c r="X6345" t="s">
        <v>11332</v>
      </c>
      <c r="Y6345" t="s">
        <v>11339</v>
      </c>
      <c r="Z6345" t="s">
        <v>15249</v>
      </c>
      <c r="AB6345" t="s">
        <v>19545</v>
      </c>
      <c r="AC6345">
        <v>31</v>
      </c>
      <c r="AD6345" t="s">
        <v>19566</v>
      </c>
      <c r="AE6345" t="s">
        <v>9144</v>
      </c>
      <c r="AF6345">
        <v>15</v>
      </c>
      <c r="AG6345">
        <v>2</v>
      </c>
      <c r="AH6345">
        <v>0</v>
      </c>
      <c r="AI6345">
        <v>786.52</v>
      </c>
      <c r="AL6345" t="s">
        <v>19614</v>
      </c>
      <c r="AM6345">
        <v>133000</v>
      </c>
      <c r="AS6345">
        <v>4.3</v>
      </c>
      <c r="AT6345" t="s">
        <v>1063</v>
      </c>
      <c r="AU6345" t="s">
        <v>202</v>
      </c>
      <c r="AV6345" t="s">
        <v>20733</v>
      </c>
    </row>
    <row r="6346" spans="1:48">
      <c r="A6346" s="1">
        <f>HYPERLINK("https://lsnyc.legalserver.org/matter/dynamic-profile/view/1906359","19-1906359")</f>
        <v>0</v>
      </c>
      <c r="B6346" t="s">
        <v>165</v>
      </c>
      <c r="C6346" t="s">
        <v>256</v>
      </c>
      <c r="D6346" t="s">
        <v>493</v>
      </c>
      <c r="F6346" t="s">
        <v>3317</v>
      </c>
      <c r="G6346" t="s">
        <v>3551</v>
      </c>
      <c r="H6346" t="s">
        <v>6934</v>
      </c>
      <c r="I6346" t="s">
        <v>8265</v>
      </c>
      <c r="J6346" t="s">
        <v>9059</v>
      </c>
      <c r="K6346">
        <v>11216</v>
      </c>
      <c r="L6346" t="s">
        <v>9094</v>
      </c>
      <c r="M6346" t="s">
        <v>9095</v>
      </c>
      <c r="N6346" t="s">
        <v>10050</v>
      </c>
      <c r="O6346" t="s">
        <v>11132</v>
      </c>
      <c r="P6346" t="s">
        <v>11165</v>
      </c>
      <c r="R6346" t="s">
        <v>11180</v>
      </c>
      <c r="S6346" t="s">
        <v>9094</v>
      </c>
      <c r="T6346" t="s">
        <v>11183</v>
      </c>
      <c r="U6346" t="s">
        <v>11201</v>
      </c>
      <c r="V6346" t="s">
        <v>11207</v>
      </c>
      <c r="W6346">
        <v>1550</v>
      </c>
      <c r="X6346" t="s">
        <v>11332</v>
      </c>
      <c r="Y6346" t="s">
        <v>11339</v>
      </c>
      <c r="Z6346" t="s">
        <v>15250</v>
      </c>
      <c r="AA6346" t="s">
        <v>9171</v>
      </c>
      <c r="AB6346" t="s">
        <v>19546</v>
      </c>
      <c r="AC6346">
        <v>82</v>
      </c>
      <c r="AD6346" t="s">
        <v>19566</v>
      </c>
      <c r="AE6346" t="s">
        <v>9144</v>
      </c>
      <c r="AF6346">
        <v>8</v>
      </c>
      <c r="AG6346">
        <v>1</v>
      </c>
      <c r="AH6346">
        <v>0</v>
      </c>
      <c r="AI6346">
        <v>792.63</v>
      </c>
      <c r="AK6346" t="s">
        <v>19612</v>
      </c>
      <c r="AL6346" t="s">
        <v>19614</v>
      </c>
      <c r="AM6346">
        <v>99000</v>
      </c>
      <c r="AN6346" t="s">
        <v>20279</v>
      </c>
      <c r="AS6346">
        <v>0</v>
      </c>
      <c r="AU6346" t="s">
        <v>95</v>
      </c>
      <c r="AV6346" t="s">
        <v>20733</v>
      </c>
    </row>
    <row r="6347" spans="1:48">
      <c r="A6347" s="1">
        <f>HYPERLINK("https://lsnyc.legalserver.org/matter/dynamic-profile/view/1906363","19-1906363")</f>
        <v>0</v>
      </c>
      <c r="B6347" t="s">
        <v>92</v>
      </c>
      <c r="C6347" t="s">
        <v>256</v>
      </c>
      <c r="D6347" t="s">
        <v>493</v>
      </c>
      <c r="F6347" t="s">
        <v>3317</v>
      </c>
      <c r="G6347" t="s">
        <v>3551</v>
      </c>
      <c r="H6347" t="s">
        <v>6934</v>
      </c>
      <c r="I6347" t="s">
        <v>8265</v>
      </c>
      <c r="J6347" t="s">
        <v>9059</v>
      </c>
      <c r="K6347">
        <v>11216</v>
      </c>
      <c r="L6347" t="s">
        <v>9094</v>
      </c>
      <c r="M6347" t="s">
        <v>9095</v>
      </c>
      <c r="N6347" t="s">
        <v>9171</v>
      </c>
      <c r="O6347" t="s">
        <v>9121</v>
      </c>
      <c r="P6347" t="s">
        <v>11167</v>
      </c>
      <c r="R6347" t="s">
        <v>11180</v>
      </c>
      <c r="S6347" t="s">
        <v>9094</v>
      </c>
      <c r="T6347" t="s">
        <v>11183</v>
      </c>
      <c r="U6347" t="s">
        <v>11201</v>
      </c>
      <c r="V6347" t="s">
        <v>275</v>
      </c>
      <c r="W6347">
        <v>1550</v>
      </c>
      <c r="X6347" t="s">
        <v>11332</v>
      </c>
      <c r="Y6347" t="s">
        <v>11339</v>
      </c>
      <c r="Z6347" t="s">
        <v>15250</v>
      </c>
      <c r="AA6347" t="s">
        <v>9171</v>
      </c>
      <c r="AB6347" t="s">
        <v>19546</v>
      </c>
      <c r="AC6347">
        <v>82</v>
      </c>
      <c r="AD6347" t="s">
        <v>19566</v>
      </c>
      <c r="AE6347" t="s">
        <v>9144</v>
      </c>
      <c r="AF6347">
        <v>8</v>
      </c>
      <c r="AG6347">
        <v>1</v>
      </c>
      <c r="AH6347">
        <v>0</v>
      </c>
      <c r="AI6347">
        <v>792.63</v>
      </c>
      <c r="AK6347" t="s">
        <v>19612</v>
      </c>
      <c r="AL6347" t="s">
        <v>19614</v>
      </c>
      <c r="AM6347">
        <v>99000</v>
      </c>
      <c r="AN6347" t="s">
        <v>20280</v>
      </c>
      <c r="AS6347">
        <v>0</v>
      </c>
      <c r="AU6347" t="s">
        <v>95</v>
      </c>
      <c r="AV6347" t="s">
        <v>20733</v>
      </c>
    </row>
    <row r="6348" spans="1:48">
      <c r="A6348" s="1">
        <f>HYPERLINK("https://lsnyc.legalserver.org/matter/dynamic-profile/view/1906367","19-1906367")</f>
        <v>0</v>
      </c>
      <c r="B6348" t="s">
        <v>92</v>
      </c>
      <c r="C6348" t="s">
        <v>256</v>
      </c>
      <c r="D6348" t="s">
        <v>493</v>
      </c>
      <c r="F6348" t="s">
        <v>3317</v>
      </c>
      <c r="G6348" t="s">
        <v>3551</v>
      </c>
      <c r="H6348" t="s">
        <v>6934</v>
      </c>
      <c r="I6348" t="s">
        <v>8265</v>
      </c>
      <c r="J6348" t="s">
        <v>9059</v>
      </c>
      <c r="K6348">
        <v>11216</v>
      </c>
      <c r="L6348" t="s">
        <v>9094</v>
      </c>
      <c r="M6348" t="s">
        <v>9095</v>
      </c>
      <c r="N6348" t="s">
        <v>11126</v>
      </c>
      <c r="O6348" t="s">
        <v>11129</v>
      </c>
      <c r="P6348" t="s">
        <v>11165</v>
      </c>
      <c r="R6348" t="s">
        <v>11180</v>
      </c>
      <c r="S6348" t="s">
        <v>9094</v>
      </c>
      <c r="T6348" t="s">
        <v>11183</v>
      </c>
      <c r="U6348" t="s">
        <v>11199</v>
      </c>
      <c r="V6348" t="s">
        <v>372</v>
      </c>
      <c r="W6348">
        <v>1550</v>
      </c>
      <c r="X6348" t="s">
        <v>11332</v>
      </c>
      <c r="Y6348" t="s">
        <v>11339</v>
      </c>
      <c r="Z6348" t="s">
        <v>15250</v>
      </c>
      <c r="AA6348" t="s">
        <v>9171</v>
      </c>
      <c r="AB6348" t="s">
        <v>19546</v>
      </c>
      <c r="AC6348">
        <v>82</v>
      </c>
      <c r="AD6348" t="s">
        <v>19566</v>
      </c>
      <c r="AE6348" t="s">
        <v>9144</v>
      </c>
      <c r="AF6348">
        <v>8</v>
      </c>
      <c r="AG6348">
        <v>1</v>
      </c>
      <c r="AH6348">
        <v>0</v>
      </c>
      <c r="AI6348">
        <v>792.63</v>
      </c>
      <c r="AK6348" t="s">
        <v>19612</v>
      </c>
      <c r="AL6348" t="s">
        <v>19614</v>
      </c>
      <c r="AM6348">
        <v>99000</v>
      </c>
      <c r="AN6348" t="s">
        <v>20281</v>
      </c>
      <c r="AS6348">
        <v>46.6</v>
      </c>
      <c r="AT6348" t="s">
        <v>331</v>
      </c>
      <c r="AU6348" t="s">
        <v>95</v>
      </c>
      <c r="AV6348" t="s">
        <v>20733</v>
      </c>
    </row>
    <row r="6349" spans="1:48">
      <c r="A6349" s="1">
        <f>HYPERLINK("https://lsnyc.legalserver.org/matter/dynamic-profile/view/0831069","17-0831069")</f>
        <v>0</v>
      </c>
      <c r="B6349" t="s">
        <v>139</v>
      </c>
      <c r="C6349" t="s">
        <v>256</v>
      </c>
      <c r="D6349" t="s">
        <v>655</v>
      </c>
      <c r="F6349" t="s">
        <v>1192</v>
      </c>
      <c r="G6349" t="s">
        <v>5527</v>
      </c>
      <c r="H6349" t="s">
        <v>6363</v>
      </c>
      <c r="I6349" t="s">
        <v>8419</v>
      </c>
      <c r="J6349" t="s">
        <v>9067</v>
      </c>
      <c r="K6349">
        <v>10040</v>
      </c>
      <c r="L6349" t="s">
        <v>9095</v>
      </c>
      <c r="M6349" t="s">
        <v>9095</v>
      </c>
      <c r="N6349" t="s">
        <v>9887</v>
      </c>
      <c r="O6349" t="s">
        <v>11130</v>
      </c>
      <c r="P6349" t="s">
        <v>11165</v>
      </c>
      <c r="R6349" t="s">
        <v>11180</v>
      </c>
      <c r="S6349" t="s">
        <v>9096</v>
      </c>
      <c r="T6349" t="s">
        <v>11183</v>
      </c>
      <c r="V6349" t="s">
        <v>11298</v>
      </c>
      <c r="W6349">
        <v>1651.64</v>
      </c>
      <c r="X6349" t="s">
        <v>11335</v>
      </c>
      <c r="Z6349" t="s">
        <v>15251</v>
      </c>
      <c r="AC6349">
        <v>83</v>
      </c>
      <c r="AD6349" t="s">
        <v>19566</v>
      </c>
      <c r="AE6349" t="s">
        <v>9144</v>
      </c>
      <c r="AF6349">
        <v>16</v>
      </c>
      <c r="AG6349">
        <v>1</v>
      </c>
      <c r="AH6349">
        <v>0</v>
      </c>
      <c r="AI6349">
        <v>796.02</v>
      </c>
      <c r="AJ6349" t="s">
        <v>463</v>
      </c>
      <c r="AL6349" t="s">
        <v>19614</v>
      </c>
      <c r="AM6349">
        <v>96000</v>
      </c>
      <c r="AS6349">
        <v>0</v>
      </c>
      <c r="AT6349" t="s">
        <v>537</v>
      </c>
      <c r="AU6349" t="s">
        <v>20657</v>
      </c>
    </row>
    <row r="6350" spans="1:48">
      <c r="A6350" s="1">
        <f>HYPERLINK("https://lsnyc.legalserver.org/matter/dynamic-profile/view/0831075","17-0831075")</f>
        <v>0</v>
      </c>
      <c r="B6350" t="s">
        <v>139</v>
      </c>
      <c r="C6350" t="s">
        <v>256</v>
      </c>
      <c r="D6350" t="s">
        <v>655</v>
      </c>
      <c r="F6350" t="s">
        <v>1192</v>
      </c>
      <c r="G6350" t="s">
        <v>5527</v>
      </c>
      <c r="H6350" t="s">
        <v>6363</v>
      </c>
      <c r="I6350" t="s">
        <v>8419</v>
      </c>
      <c r="J6350" t="s">
        <v>9067</v>
      </c>
      <c r="K6350">
        <v>10040</v>
      </c>
      <c r="L6350" t="s">
        <v>9095</v>
      </c>
      <c r="M6350" t="s">
        <v>9095</v>
      </c>
      <c r="N6350" t="s">
        <v>9887</v>
      </c>
      <c r="O6350" t="s">
        <v>9121</v>
      </c>
      <c r="P6350" t="s">
        <v>11166</v>
      </c>
      <c r="R6350" t="s">
        <v>11180</v>
      </c>
      <c r="S6350" t="s">
        <v>9094</v>
      </c>
      <c r="T6350" t="s">
        <v>11183</v>
      </c>
      <c r="V6350" t="s">
        <v>11298</v>
      </c>
      <c r="W6350">
        <v>1651.64</v>
      </c>
      <c r="X6350" t="s">
        <v>11335</v>
      </c>
      <c r="Y6350" t="s">
        <v>11339</v>
      </c>
      <c r="Z6350" t="s">
        <v>15251</v>
      </c>
      <c r="AC6350">
        <v>83</v>
      </c>
      <c r="AD6350" t="s">
        <v>19566</v>
      </c>
      <c r="AE6350" t="s">
        <v>9144</v>
      </c>
      <c r="AF6350">
        <v>16</v>
      </c>
      <c r="AG6350">
        <v>1</v>
      </c>
      <c r="AH6350">
        <v>0</v>
      </c>
      <c r="AI6350">
        <v>796.02</v>
      </c>
      <c r="AJ6350" t="s">
        <v>463</v>
      </c>
      <c r="AL6350" t="s">
        <v>19614</v>
      </c>
      <c r="AM6350">
        <v>96000</v>
      </c>
      <c r="AS6350">
        <v>0</v>
      </c>
      <c r="AU6350" t="s">
        <v>20657</v>
      </c>
    </row>
    <row r="6351" spans="1:48">
      <c r="A6351" s="1">
        <f>HYPERLINK("https://lsnyc.legalserver.org/matter/dynamic-profile/view/1870384","18-1870384")</f>
        <v>0</v>
      </c>
      <c r="B6351" t="s">
        <v>56</v>
      </c>
      <c r="C6351" t="s">
        <v>257</v>
      </c>
      <c r="D6351" t="s">
        <v>795</v>
      </c>
      <c r="E6351" t="s">
        <v>329</v>
      </c>
      <c r="F6351" t="s">
        <v>3318</v>
      </c>
      <c r="G6351" t="s">
        <v>5671</v>
      </c>
      <c r="H6351" t="s">
        <v>8103</v>
      </c>
      <c r="I6351" t="s">
        <v>8959</v>
      </c>
      <c r="J6351" t="s">
        <v>9078</v>
      </c>
      <c r="K6351">
        <v>11372</v>
      </c>
      <c r="L6351" t="s">
        <v>9094</v>
      </c>
      <c r="M6351" t="s">
        <v>9095</v>
      </c>
      <c r="N6351" t="s">
        <v>9171</v>
      </c>
      <c r="O6351" t="s">
        <v>11136</v>
      </c>
      <c r="P6351" t="s">
        <v>11167</v>
      </c>
      <c r="Q6351" t="s">
        <v>11173</v>
      </c>
      <c r="R6351" t="s">
        <v>11180</v>
      </c>
      <c r="S6351" t="s">
        <v>9094</v>
      </c>
      <c r="T6351" t="s">
        <v>11183</v>
      </c>
      <c r="V6351" t="s">
        <v>767</v>
      </c>
      <c r="W6351">
        <v>2250</v>
      </c>
      <c r="X6351" t="s">
        <v>11331</v>
      </c>
      <c r="Y6351" t="s">
        <v>11336</v>
      </c>
      <c r="Z6351" t="s">
        <v>12893</v>
      </c>
      <c r="AB6351" t="s">
        <v>19547</v>
      </c>
      <c r="AC6351">
        <v>1</v>
      </c>
      <c r="AD6351" t="s">
        <v>15441</v>
      </c>
      <c r="AE6351" t="s">
        <v>9144</v>
      </c>
      <c r="AF6351">
        <v>5</v>
      </c>
      <c r="AG6351">
        <v>2</v>
      </c>
      <c r="AH6351">
        <v>2</v>
      </c>
      <c r="AI6351">
        <v>796.8099999999999</v>
      </c>
      <c r="AL6351" t="s">
        <v>19614</v>
      </c>
      <c r="AM6351">
        <v>200000</v>
      </c>
      <c r="AS6351">
        <v>0.3</v>
      </c>
      <c r="AT6351" t="s">
        <v>20582</v>
      </c>
      <c r="AU6351" t="s">
        <v>20620</v>
      </c>
      <c r="AV6351" t="s">
        <v>20733</v>
      </c>
    </row>
    <row r="6352" spans="1:48">
      <c r="A6352" s="1">
        <f>HYPERLINK("https://lsnyc.legalserver.org/matter/dynamic-profile/view/1912910","19-1912910")</f>
        <v>0</v>
      </c>
      <c r="B6352" t="s">
        <v>98</v>
      </c>
      <c r="C6352" t="s">
        <v>256</v>
      </c>
      <c r="D6352" t="s">
        <v>294</v>
      </c>
      <c r="F6352" t="s">
        <v>3319</v>
      </c>
      <c r="G6352" t="s">
        <v>5672</v>
      </c>
      <c r="H6352" t="s">
        <v>6713</v>
      </c>
      <c r="I6352" t="s">
        <v>8109</v>
      </c>
      <c r="J6352" t="s">
        <v>9065</v>
      </c>
      <c r="K6352">
        <v>10458</v>
      </c>
      <c r="L6352" t="s">
        <v>9094</v>
      </c>
      <c r="M6352" t="s">
        <v>9095</v>
      </c>
      <c r="O6352" t="s">
        <v>11130</v>
      </c>
      <c r="P6352" t="s">
        <v>11165</v>
      </c>
      <c r="R6352" t="s">
        <v>11180</v>
      </c>
      <c r="S6352" t="s">
        <v>9094</v>
      </c>
      <c r="T6352" t="s">
        <v>11183</v>
      </c>
      <c r="W6352">
        <v>1020</v>
      </c>
      <c r="X6352" t="s">
        <v>11333</v>
      </c>
      <c r="Y6352" t="s">
        <v>11346</v>
      </c>
      <c r="AB6352" t="s">
        <v>19548</v>
      </c>
      <c r="AC6352">
        <v>94</v>
      </c>
      <c r="AD6352" t="s">
        <v>19566</v>
      </c>
      <c r="AE6352" t="s">
        <v>9144</v>
      </c>
      <c r="AF6352">
        <v>34</v>
      </c>
      <c r="AG6352">
        <v>2</v>
      </c>
      <c r="AH6352">
        <v>0</v>
      </c>
      <c r="AI6352">
        <v>798.34</v>
      </c>
      <c r="AL6352" t="s">
        <v>19614</v>
      </c>
      <c r="AM6352">
        <v>135000</v>
      </c>
      <c r="AS6352">
        <v>0</v>
      </c>
      <c r="AU6352" t="s">
        <v>20642</v>
      </c>
      <c r="AV6352" t="s">
        <v>20733</v>
      </c>
    </row>
    <row r="6353" spans="1:48">
      <c r="A6353" s="1">
        <f>HYPERLINK("https://lsnyc.legalserver.org/matter/dynamic-profile/view/1891137","19-1891137")</f>
        <v>0</v>
      </c>
      <c r="B6353" t="s">
        <v>82</v>
      </c>
      <c r="C6353" t="s">
        <v>256</v>
      </c>
      <c r="D6353" t="s">
        <v>900</v>
      </c>
      <c r="F6353" t="s">
        <v>1145</v>
      </c>
      <c r="G6353" t="s">
        <v>3650</v>
      </c>
      <c r="H6353" t="s">
        <v>5785</v>
      </c>
      <c r="I6353" t="s">
        <v>9034</v>
      </c>
      <c r="J6353" t="s">
        <v>9059</v>
      </c>
      <c r="K6353">
        <v>11225</v>
      </c>
      <c r="L6353" t="s">
        <v>9094</v>
      </c>
      <c r="M6353" t="s">
        <v>9094</v>
      </c>
      <c r="N6353" t="s">
        <v>11061</v>
      </c>
      <c r="O6353" t="s">
        <v>11134</v>
      </c>
      <c r="P6353" t="s">
        <v>11168</v>
      </c>
      <c r="R6353" t="s">
        <v>11180</v>
      </c>
      <c r="S6353" t="s">
        <v>9094</v>
      </c>
      <c r="T6353" t="s">
        <v>11183</v>
      </c>
      <c r="V6353" t="s">
        <v>635</v>
      </c>
      <c r="W6353">
        <v>1510</v>
      </c>
      <c r="X6353" t="s">
        <v>11332</v>
      </c>
      <c r="Y6353" t="s">
        <v>11346</v>
      </c>
      <c r="Z6353" t="s">
        <v>15252</v>
      </c>
      <c r="AB6353" t="s">
        <v>19549</v>
      </c>
      <c r="AC6353">
        <v>89</v>
      </c>
      <c r="AD6353" t="s">
        <v>19566</v>
      </c>
      <c r="AF6353">
        <v>5</v>
      </c>
      <c r="AG6353">
        <v>1</v>
      </c>
      <c r="AH6353">
        <v>0</v>
      </c>
      <c r="AI6353">
        <v>800.64</v>
      </c>
      <c r="AL6353" t="s">
        <v>19614</v>
      </c>
      <c r="AM6353">
        <v>100000</v>
      </c>
      <c r="AS6353">
        <v>0</v>
      </c>
      <c r="AU6353" t="s">
        <v>215</v>
      </c>
    </row>
    <row r="6354" spans="1:48">
      <c r="A6354" s="1">
        <f>HYPERLINK("https://lsnyc.legalserver.org/matter/dynamic-profile/view/1892946","19-1892946")</f>
        <v>0</v>
      </c>
      <c r="B6354" t="s">
        <v>82</v>
      </c>
      <c r="C6354" t="s">
        <v>256</v>
      </c>
      <c r="D6354" t="s">
        <v>523</v>
      </c>
      <c r="F6354" t="s">
        <v>1145</v>
      </c>
      <c r="G6354" t="s">
        <v>3650</v>
      </c>
      <c r="H6354" t="s">
        <v>5785</v>
      </c>
      <c r="I6354" t="s">
        <v>9034</v>
      </c>
      <c r="J6354" t="s">
        <v>9059</v>
      </c>
      <c r="K6354">
        <v>11225</v>
      </c>
      <c r="L6354" t="s">
        <v>9094</v>
      </c>
      <c r="M6354" t="s">
        <v>9094</v>
      </c>
      <c r="N6354" t="s">
        <v>11060</v>
      </c>
      <c r="O6354" t="s">
        <v>11134</v>
      </c>
      <c r="P6354" t="s">
        <v>11165</v>
      </c>
      <c r="R6354" t="s">
        <v>11180</v>
      </c>
      <c r="S6354" t="s">
        <v>9094</v>
      </c>
      <c r="T6354" t="s">
        <v>11183</v>
      </c>
      <c r="U6354" t="s">
        <v>11201</v>
      </c>
      <c r="V6354" t="s">
        <v>381</v>
      </c>
      <c r="W6354">
        <v>1510</v>
      </c>
      <c r="X6354" t="s">
        <v>11332</v>
      </c>
      <c r="Y6354" t="s">
        <v>11346</v>
      </c>
      <c r="Z6354" t="s">
        <v>15252</v>
      </c>
      <c r="AB6354" t="s">
        <v>19549</v>
      </c>
      <c r="AC6354">
        <v>86</v>
      </c>
      <c r="AD6354" t="s">
        <v>19566</v>
      </c>
      <c r="AF6354">
        <v>5</v>
      </c>
      <c r="AG6354">
        <v>1</v>
      </c>
      <c r="AH6354">
        <v>0</v>
      </c>
      <c r="AI6354">
        <v>800.64</v>
      </c>
      <c r="AL6354" t="s">
        <v>19614</v>
      </c>
      <c r="AM6354">
        <v>100000</v>
      </c>
      <c r="AS6354">
        <v>0</v>
      </c>
      <c r="AU6354" t="s">
        <v>215</v>
      </c>
    </row>
    <row r="6355" spans="1:48">
      <c r="A6355" s="1">
        <f>HYPERLINK("https://lsnyc.legalserver.org/matter/dynamic-profile/view/1908412","19-1908412")</f>
        <v>0</v>
      </c>
      <c r="B6355" t="s">
        <v>142</v>
      </c>
      <c r="C6355" t="s">
        <v>256</v>
      </c>
      <c r="D6355" t="s">
        <v>314</v>
      </c>
      <c r="F6355" t="s">
        <v>1244</v>
      </c>
      <c r="G6355" t="s">
        <v>5673</v>
      </c>
      <c r="H6355" t="s">
        <v>6326</v>
      </c>
      <c r="I6355" t="s">
        <v>8155</v>
      </c>
      <c r="J6355" t="s">
        <v>9067</v>
      </c>
      <c r="K6355">
        <v>10035</v>
      </c>
      <c r="L6355" t="s">
        <v>9094</v>
      </c>
      <c r="M6355" t="s">
        <v>9095</v>
      </c>
      <c r="O6355" t="s">
        <v>11130</v>
      </c>
      <c r="P6355" t="s">
        <v>11167</v>
      </c>
      <c r="R6355" t="s">
        <v>11180</v>
      </c>
      <c r="S6355" t="s">
        <v>9094</v>
      </c>
      <c r="T6355" t="s">
        <v>11183</v>
      </c>
      <c r="U6355" t="s">
        <v>11201</v>
      </c>
      <c r="V6355" t="s">
        <v>779</v>
      </c>
      <c r="W6355">
        <v>1510</v>
      </c>
      <c r="X6355" t="s">
        <v>11335</v>
      </c>
      <c r="Y6355" t="s">
        <v>11339</v>
      </c>
      <c r="Z6355" t="s">
        <v>15253</v>
      </c>
      <c r="AA6355" t="s">
        <v>9144</v>
      </c>
      <c r="AB6355" t="s">
        <v>19550</v>
      </c>
      <c r="AC6355">
        <v>72</v>
      </c>
      <c r="AD6355" t="s">
        <v>19566</v>
      </c>
      <c r="AE6355" t="s">
        <v>9144</v>
      </c>
      <c r="AF6355">
        <v>6</v>
      </c>
      <c r="AG6355">
        <v>1</v>
      </c>
      <c r="AH6355">
        <v>0</v>
      </c>
      <c r="AI6355">
        <v>800.64</v>
      </c>
      <c r="AL6355" t="s">
        <v>19614</v>
      </c>
      <c r="AM6355">
        <v>100000</v>
      </c>
      <c r="AN6355" t="s">
        <v>20101</v>
      </c>
      <c r="AS6355">
        <v>0</v>
      </c>
      <c r="AU6355" t="s">
        <v>20657</v>
      </c>
      <c r="AV6355" t="s">
        <v>20733</v>
      </c>
    </row>
    <row r="6356" spans="1:48">
      <c r="A6356" s="1">
        <f>HYPERLINK("https://lsnyc.legalserver.org/matter/dynamic-profile/view/1876541","18-1876541")</f>
        <v>0</v>
      </c>
      <c r="B6356" t="s">
        <v>165</v>
      </c>
      <c r="C6356" t="s">
        <v>256</v>
      </c>
      <c r="D6356" t="s">
        <v>1061</v>
      </c>
      <c r="F6356" t="s">
        <v>3285</v>
      </c>
      <c r="G6356" t="s">
        <v>5623</v>
      </c>
      <c r="H6356" t="s">
        <v>6934</v>
      </c>
      <c r="I6356" t="s">
        <v>8264</v>
      </c>
      <c r="J6356" t="s">
        <v>9059</v>
      </c>
      <c r="K6356">
        <v>11216</v>
      </c>
      <c r="L6356" t="s">
        <v>9094</v>
      </c>
      <c r="M6356" t="s">
        <v>9094</v>
      </c>
      <c r="N6356" t="s">
        <v>10050</v>
      </c>
      <c r="O6356" t="s">
        <v>11132</v>
      </c>
      <c r="P6356" t="s">
        <v>11165</v>
      </c>
      <c r="R6356" t="s">
        <v>11180</v>
      </c>
      <c r="S6356" t="s">
        <v>9094</v>
      </c>
      <c r="T6356" t="s">
        <v>11183</v>
      </c>
      <c r="V6356" t="s">
        <v>397</v>
      </c>
      <c r="W6356">
        <v>2300</v>
      </c>
      <c r="X6356" t="s">
        <v>11332</v>
      </c>
      <c r="Y6356" t="s">
        <v>11339</v>
      </c>
      <c r="Z6356" t="s">
        <v>15187</v>
      </c>
      <c r="AB6356" t="s">
        <v>19476</v>
      </c>
      <c r="AC6356">
        <v>8</v>
      </c>
      <c r="AD6356" t="s">
        <v>19566</v>
      </c>
      <c r="AE6356" t="s">
        <v>9144</v>
      </c>
      <c r="AF6356">
        <v>2</v>
      </c>
      <c r="AG6356">
        <v>2</v>
      </c>
      <c r="AH6356">
        <v>0</v>
      </c>
      <c r="AI6356">
        <v>820.17</v>
      </c>
      <c r="AJ6356" t="s">
        <v>440</v>
      </c>
      <c r="AK6356" t="s">
        <v>19612</v>
      </c>
      <c r="AL6356" t="s">
        <v>19614</v>
      </c>
      <c r="AM6356">
        <v>135000</v>
      </c>
      <c r="AN6356" t="s">
        <v>19720</v>
      </c>
      <c r="AS6356">
        <v>0</v>
      </c>
      <c r="AU6356" t="s">
        <v>95</v>
      </c>
    </row>
    <row r="6357" spans="1:48">
      <c r="A6357" s="1">
        <f>HYPERLINK("https://lsnyc.legalserver.org/matter/dynamic-profile/view/1876803","18-1876803")</f>
        <v>0</v>
      </c>
      <c r="B6357" t="s">
        <v>165</v>
      </c>
      <c r="C6357" t="s">
        <v>256</v>
      </c>
      <c r="D6357" t="s">
        <v>500</v>
      </c>
      <c r="F6357" t="s">
        <v>3320</v>
      </c>
      <c r="G6357" t="s">
        <v>5674</v>
      </c>
      <c r="H6357" t="s">
        <v>6934</v>
      </c>
      <c r="I6357" t="s">
        <v>8149</v>
      </c>
      <c r="J6357" t="s">
        <v>9059</v>
      </c>
      <c r="K6357">
        <v>11216</v>
      </c>
      <c r="L6357" t="s">
        <v>9094</v>
      </c>
      <c r="M6357" t="s">
        <v>9094</v>
      </c>
      <c r="N6357" t="s">
        <v>10050</v>
      </c>
      <c r="O6357" t="s">
        <v>11132</v>
      </c>
      <c r="P6357" t="s">
        <v>11165</v>
      </c>
      <c r="R6357" t="s">
        <v>11180</v>
      </c>
      <c r="S6357" t="s">
        <v>9094</v>
      </c>
      <c r="T6357" t="s">
        <v>11183</v>
      </c>
      <c r="V6357" t="s">
        <v>419</v>
      </c>
      <c r="W6357">
        <v>1550</v>
      </c>
      <c r="X6357" t="s">
        <v>11332</v>
      </c>
      <c r="Y6357" t="s">
        <v>11339</v>
      </c>
      <c r="Z6357" t="s">
        <v>15254</v>
      </c>
      <c r="AC6357">
        <v>82</v>
      </c>
      <c r="AD6357" t="s">
        <v>19566</v>
      </c>
      <c r="AE6357" t="s">
        <v>9144</v>
      </c>
      <c r="AF6357">
        <v>1</v>
      </c>
      <c r="AG6357">
        <v>1</v>
      </c>
      <c r="AH6357">
        <v>0</v>
      </c>
      <c r="AI6357">
        <v>823.72</v>
      </c>
      <c r="AL6357" t="s">
        <v>19614</v>
      </c>
      <c r="AM6357">
        <v>100000</v>
      </c>
      <c r="AN6357" t="s">
        <v>20282</v>
      </c>
      <c r="AS6357">
        <v>0</v>
      </c>
      <c r="AU6357" t="s">
        <v>95</v>
      </c>
    </row>
    <row r="6358" spans="1:48">
      <c r="A6358" s="1">
        <f>HYPERLINK("https://lsnyc.legalserver.org/matter/dynamic-profile/view/1876799","18-1876799")</f>
        <v>0</v>
      </c>
      <c r="B6358" t="s">
        <v>165</v>
      </c>
      <c r="C6358" t="s">
        <v>256</v>
      </c>
      <c r="D6358" t="s">
        <v>500</v>
      </c>
      <c r="F6358" t="s">
        <v>3320</v>
      </c>
      <c r="G6358" t="s">
        <v>5674</v>
      </c>
      <c r="H6358" t="s">
        <v>6934</v>
      </c>
      <c r="I6358" t="s">
        <v>8149</v>
      </c>
      <c r="J6358" t="s">
        <v>9059</v>
      </c>
      <c r="K6358">
        <v>11216</v>
      </c>
      <c r="L6358" t="s">
        <v>9094</v>
      </c>
      <c r="M6358" t="s">
        <v>9094</v>
      </c>
      <c r="O6358" t="s">
        <v>9121</v>
      </c>
      <c r="P6358" t="s">
        <v>11167</v>
      </c>
      <c r="R6358" t="s">
        <v>11180</v>
      </c>
      <c r="S6358" t="s">
        <v>9094</v>
      </c>
      <c r="T6358" t="s">
        <v>11183</v>
      </c>
      <c r="V6358" t="s">
        <v>419</v>
      </c>
      <c r="W6358">
        <v>1550</v>
      </c>
      <c r="X6358" t="s">
        <v>11332</v>
      </c>
      <c r="Y6358" t="s">
        <v>11339</v>
      </c>
      <c r="Z6358" t="s">
        <v>15254</v>
      </c>
      <c r="AC6358">
        <v>82</v>
      </c>
      <c r="AD6358" t="s">
        <v>19566</v>
      </c>
      <c r="AE6358" t="s">
        <v>9144</v>
      </c>
      <c r="AF6358">
        <v>1</v>
      </c>
      <c r="AG6358">
        <v>1</v>
      </c>
      <c r="AH6358">
        <v>0</v>
      </c>
      <c r="AI6358">
        <v>823.72</v>
      </c>
      <c r="AL6358" t="s">
        <v>19614</v>
      </c>
      <c r="AM6358">
        <v>100000</v>
      </c>
      <c r="AN6358" t="s">
        <v>19665</v>
      </c>
      <c r="AS6358">
        <v>0</v>
      </c>
      <c r="AU6358" t="s">
        <v>95</v>
      </c>
    </row>
    <row r="6359" spans="1:48">
      <c r="A6359" s="1">
        <f>HYPERLINK("https://lsnyc.legalserver.org/matter/dynamic-profile/view/1906006","19-1906006")</f>
        <v>0</v>
      </c>
      <c r="B6359" t="s">
        <v>137</v>
      </c>
      <c r="C6359" t="s">
        <v>256</v>
      </c>
      <c r="D6359" t="s">
        <v>282</v>
      </c>
      <c r="F6359" t="s">
        <v>3321</v>
      </c>
      <c r="G6359" t="s">
        <v>5675</v>
      </c>
      <c r="H6359" t="s">
        <v>8104</v>
      </c>
      <c r="I6359" t="s">
        <v>8170</v>
      </c>
      <c r="J6359" t="s">
        <v>9067</v>
      </c>
      <c r="K6359">
        <v>10033</v>
      </c>
      <c r="L6359" t="s">
        <v>9094</v>
      </c>
      <c r="M6359" t="s">
        <v>9095</v>
      </c>
      <c r="P6359" t="s">
        <v>11169</v>
      </c>
      <c r="R6359" t="s">
        <v>11180</v>
      </c>
      <c r="S6359" t="s">
        <v>9096</v>
      </c>
      <c r="T6359" t="s">
        <v>11183</v>
      </c>
      <c r="V6359" t="s">
        <v>282</v>
      </c>
      <c r="W6359">
        <v>2275</v>
      </c>
      <c r="X6359" t="s">
        <v>11335</v>
      </c>
      <c r="Y6359" t="s">
        <v>11338</v>
      </c>
      <c r="Z6359" t="s">
        <v>15255</v>
      </c>
      <c r="AB6359" t="s">
        <v>19551</v>
      </c>
      <c r="AC6359">
        <v>49</v>
      </c>
      <c r="AD6359" t="s">
        <v>19566</v>
      </c>
      <c r="AE6359" t="s">
        <v>9144</v>
      </c>
      <c r="AF6359">
        <v>8</v>
      </c>
      <c r="AG6359">
        <v>3</v>
      </c>
      <c r="AH6359">
        <v>0</v>
      </c>
      <c r="AI6359">
        <v>825.13</v>
      </c>
      <c r="AL6359" t="s">
        <v>19614</v>
      </c>
      <c r="AM6359">
        <v>176000</v>
      </c>
      <c r="AS6359">
        <v>0</v>
      </c>
      <c r="AU6359" t="s">
        <v>130</v>
      </c>
      <c r="AV6359" t="s">
        <v>20733</v>
      </c>
    </row>
    <row r="6360" spans="1:48">
      <c r="A6360" s="1">
        <f>HYPERLINK("https://lsnyc.legalserver.org/matter/dynamic-profile/view/1876833","18-1876833")</f>
        <v>0</v>
      </c>
      <c r="B6360" t="s">
        <v>165</v>
      </c>
      <c r="C6360" t="s">
        <v>256</v>
      </c>
      <c r="D6360" t="s">
        <v>500</v>
      </c>
      <c r="F6360" t="s">
        <v>3196</v>
      </c>
      <c r="G6360" t="s">
        <v>5676</v>
      </c>
      <c r="H6360" t="s">
        <v>6934</v>
      </c>
      <c r="I6360" t="s">
        <v>8216</v>
      </c>
      <c r="J6360" t="s">
        <v>9059</v>
      </c>
      <c r="K6360">
        <v>11216</v>
      </c>
      <c r="L6360" t="s">
        <v>9094</v>
      </c>
      <c r="M6360" t="s">
        <v>9094</v>
      </c>
      <c r="N6360" t="s">
        <v>10050</v>
      </c>
      <c r="O6360" t="s">
        <v>11132</v>
      </c>
      <c r="P6360" t="s">
        <v>11165</v>
      </c>
      <c r="R6360" t="s">
        <v>11180</v>
      </c>
      <c r="S6360" t="s">
        <v>9094</v>
      </c>
      <c r="T6360" t="s">
        <v>11183</v>
      </c>
      <c r="V6360" t="s">
        <v>688</v>
      </c>
      <c r="W6360">
        <v>1400</v>
      </c>
      <c r="X6360" t="s">
        <v>11332</v>
      </c>
      <c r="Y6360" t="s">
        <v>11339</v>
      </c>
      <c r="Z6360" t="s">
        <v>15256</v>
      </c>
      <c r="AB6360" t="s">
        <v>19552</v>
      </c>
      <c r="AC6360">
        <v>82</v>
      </c>
      <c r="AD6360" t="s">
        <v>19566</v>
      </c>
      <c r="AE6360" t="s">
        <v>9144</v>
      </c>
      <c r="AF6360">
        <v>2</v>
      </c>
      <c r="AG6360">
        <v>1</v>
      </c>
      <c r="AH6360">
        <v>0</v>
      </c>
      <c r="AI6360">
        <v>838.59</v>
      </c>
      <c r="AL6360" t="s">
        <v>19614</v>
      </c>
      <c r="AM6360">
        <v>101805</v>
      </c>
      <c r="AN6360" t="s">
        <v>20283</v>
      </c>
      <c r="AS6360">
        <v>0</v>
      </c>
      <c r="AU6360" t="s">
        <v>95</v>
      </c>
    </row>
    <row r="6361" spans="1:48">
      <c r="A6361" s="1">
        <f>HYPERLINK("https://lsnyc.legalserver.org/matter/dynamic-profile/view/1876828","18-1876828")</f>
        <v>0</v>
      </c>
      <c r="B6361" t="s">
        <v>165</v>
      </c>
      <c r="C6361" t="s">
        <v>256</v>
      </c>
      <c r="D6361" t="s">
        <v>500</v>
      </c>
      <c r="F6361" t="s">
        <v>3196</v>
      </c>
      <c r="G6361" t="s">
        <v>5676</v>
      </c>
      <c r="H6361" t="s">
        <v>6934</v>
      </c>
      <c r="I6361" t="s">
        <v>8216</v>
      </c>
      <c r="J6361" t="s">
        <v>9059</v>
      </c>
      <c r="K6361">
        <v>11216</v>
      </c>
      <c r="L6361" t="s">
        <v>9094</v>
      </c>
      <c r="M6361" t="s">
        <v>9094</v>
      </c>
      <c r="N6361" t="s">
        <v>9121</v>
      </c>
      <c r="O6361" t="s">
        <v>9121</v>
      </c>
      <c r="P6361" t="s">
        <v>11167</v>
      </c>
      <c r="R6361" t="s">
        <v>11180</v>
      </c>
      <c r="S6361" t="s">
        <v>9094</v>
      </c>
      <c r="T6361" t="s">
        <v>11183</v>
      </c>
      <c r="V6361" t="s">
        <v>419</v>
      </c>
      <c r="W6361">
        <v>1400</v>
      </c>
      <c r="X6361" t="s">
        <v>11332</v>
      </c>
      <c r="Y6361" t="s">
        <v>11339</v>
      </c>
      <c r="Z6361" t="s">
        <v>15256</v>
      </c>
      <c r="AB6361" t="s">
        <v>19552</v>
      </c>
      <c r="AC6361">
        <v>82</v>
      </c>
      <c r="AD6361" t="s">
        <v>19566</v>
      </c>
      <c r="AE6361" t="s">
        <v>9144</v>
      </c>
      <c r="AF6361">
        <v>2</v>
      </c>
      <c r="AG6361">
        <v>1</v>
      </c>
      <c r="AH6361">
        <v>0</v>
      </c>
      <c r="AI6361">
        <v>838.59</v>
      </c>
      <c r="AL6361" t="s">
        <v>19614</v>
      </c>
      <c r="AM6361">
        <v>101805</v>
      </c>
      <c r="AN6361" t="s">
        <v>19665</v>
      </c>
      <c r="AS6361">
        <v>0</v>
      </c>
      <c r="AU6361" t="s">
        <v>95</v>
      </c>
    </row>
    <row r="6362" spans="1:48">
      <c r="A6362" s="1">
        <f>HYPERLINK("https://lsnyc.legalserver.org/matter/dynamic-profile/view/1907063","19-1907063")</f>
        <v>0</v>
      </c>
      <c r="B6362" t="s">
        <v>86</v>
      </c>
      <c r="C6362" t="s">
        <v>256</v>
      </c>
      <c r="D6362" t="s">
        <v>498</v>
      </c>
      <c r="F6362" t="s">
        <v>1594</v>
      </c>
      <c r="G6362" t="s">
        <v>5677</v>
      </c>
      <c r="H6362" t="s">
        <v>7279</v>
      </c>
      <c r="I6362" t="s">
        <v>8419</v>
      </c>
      <c r="J6362" t="s">
        <v>9059</v>
      </c>
      <c r="K6362">
        <v>11213</v>
      </c>
      <c r="L6362" t="s">
        <v>9094</v>
      </c>
      <c r="M6362" t="s">
        <v>9095</v>
      </c>
      <c r="O6362" t="s">
        <v>11137</v>
      </c>
      <c r="P6362" t="s">
        <v>11166</v>
      </c>
      <c r="R6362" t="s">
        <v>11180</v>
      </c>
      <c r="T6362" t="s">
        <v>11183</v>
      </c>
      <c r="V6362" t="s">
        <v>370</v>
      </c>
      <c r="W6362">
        <v>0</v>
      </c>
      <c r="X6362" t="s">
        <v>11332</v>
      </c>
      <c r="Z6362" t="s">
        <v>15257</v>
      </c>
      <c r="AB6362" t="s">
        <v>19553</v>
      </c>
      <c r="AC6362">
        <v>38</v>
      </c>
      <c r="AF6362">
        <v>0</v>
      </c>
      <c r="AG6362">
        <v>2</v>
      </c>
      <c r="AH6362">
        <v>0</v>
      </c>
      <c r="AI6362">
        <v>839.15</v>
      </c>
      <c r="AL6362" t="s">
        <v>19614</v>
      </c>
      <c r="AM6362">
        <v>141900</v>
      </c>
      <c r="AS6362">
        <v>1.4</v>
      </c>
      <c r="AT6362" t="s">
        <v>498</v>
      </c>
      <c r="AU6362" t="s">
        <v>67</v>
      </c>
      <c r="AV6362" t="s">
        <v>9144</v>
      </c>
    </row>
    <row r="6363" spans="1:48">
      <c r="A6363" s="1">
        <f>HYPERLINK("https://lsnyc.legalserver.org/matter/dynamic-profile/view/1903635","19-1903635")</f>
        <v>0</v>
      </c>
      <c r="B6363" t="s">
        <v>134</v>
      </c>
      <c r="C6363" t="s">
        <v>256</v>
      </c>
      <c r="D6363" t="s">
        <v>700</v>
      </c>
      <c r="F6363" t="s">
        <v>3322</v>
      </c>
      <c r="G6363" t="s">
        <v>4411</v>
      </c>
      <c r="H6363" t="s">
        <v>7114</v>
      </c>
      <c r="I6363" t="s">
        <v>8149</v>
      </c>
      <c r="J6363" t="s">
        <v>9067</v>
      </c>
      <c r="K6363">
        <v>10034</v>
      </c>
      <c r="L6363" t="s">
        <v>9094</v>
      </c>
      <c r="M6363" t="s">
        <v>9095</v>
      </c>
      <c r="O6363" t="s">
        <v>11130</v>
      </c>
      <c r="P6363" t="s">
        <v>11164</v>
      </c>
      <c r="R6363" t="s">
        <v>11180</v>
      </c>
      <c r="S6363" t="s">
        <v>9096</v>
      </c>
      <c r="T6363" t="s">
        <v>11183</v>
      </c>
      <c r="V6363" t="s">
        <v>700</v>
      </c>
      <c r="W6363">
        <v>2450</v>
      </c>
      <c r="X6363" t="s">
        <v>11335</v>
      </c>
      <c r="Y6363" t="s">
        <v>11338</v>
      </c>
      <c r="Z6363" t="s">
        <v>15258</v>
      </c>
      <c r="AB6363" t="s">
        <v>19554</v>
      </c>
      <c r="AC6363">
        <v>47</v>
      </c>
      <c r="AD6363" t="s">
        <v>19566</v>
      </c>
      <c r="AE6363" t="s">
        <v>9144</v>
      </c>
      <c r="AF6363">
        <v>3</v>
      </c>
      <c r="AG6363">
        <v>2</v>
      </c>
      <c r="AH6363">
        <v>1</v>
      </c>
      <c r="AI6363">
        <v>839.1900000000001</v>
      </c>
      <c r="AL6363" t="s">
        <v>19614</v>
      </c>
      <c r="AM6363">
        <v>179000</v>
      </c>
      <c r="AS6363">
        <v>1.2</v>
      </c>
      <c r="AT6363" t="s">
        <v>435</v>
      </c>
      <c r="AU6363" t="s">
        <v>130</v>
      </c>
      <c r="AV6363" t="s">
        <v>20733</v>
      </c>
    </row>
    <row r="6364" spans="1:48">
      <c r="A6364" s="1">
        <f>HYPERLINK("https://lsnyc.legalserver.org/matter/dynamic-profile/view/1871568","18-1871568")</f>
        <v>0</v>
      </c>
      <c r="B6364" t="s">
        <v>138</v>
      </c>
      <c r="C6364" t="s">
        <v>256</v>
      </c>
      <c r="D6364" t="s">
        <v>389</v>
      </c>
      <c r="F6364" t="s">
        <v>3323</v>
      </c>
      <c r="G6364" t="s">
        <v>3634</v>
      </c>
      <c r="H6364" t="s">
        <v>5943</v>
      </c>
      <c r="I6364" t="s">
        <v>8308</v>
      </c>
      <c r="J6364" t="s">
        <v>9067</v>
      </c>
      <c r="K6364">
        <v>10034</v>
      </c>
      <c r="L6364" t="s">
        <v>9094</v>
      </c>
      <c r="M6364" t="s">
        <v>9094</v>
      </c>
      <c r="N6364" t="s">
        <v>9279</v>
      </c>
      <c r="O6364" t="s">
        <v>11130</v>
      </c>
      <c r="P6364" t="s">
        <v>11165</v>
      </c>
      <c r="R6364" t="s">
        <v>11180</v>
      </c>
      <c r="S6364" t="s">
        <v>9094</v>
      </c>
      <c r="T6364" t="s">
        <v>11183</v>
      </c>
      <c r="V6364" t="s">
        <v>389</v>
      </c>
      <c r="W6364">
        <v>1589.4</v>
      </c>
      <c r="X6364" t="s">
        <v>11335</v>
      </c>
      <c r="Y6364" t="s">
        <v>11338</v>
      </c>
      <c r="Z6364" t="s">
        <v>15259</v>
      </c>
      <c r="AB6364" t="s">
        <v>19555</v>
      </c>
      <c r="AC6364">
        <v>67</v>
      </c>
      <c r="AD6364" t="s">
        <v>19566</v>
      </c>
      <c r="AE6364" t="s">
        <v>9144</v>
      </c>
      <c r="AF6364">
        <v>4</v>
      </c>
      <c r="AG6364">
        <v>1</v>
      </c>
      <c r="AH6364">
        <v>0</v>
      </c>
      <c r="AI6364">
        <v>864.91</v>
      </c>
      <c r="AL6364" t="s">
        <v>19614</v>
      </c>
      <c r="AM6364">
        <v>105000</v>
      </c>
      <c r="AS6364">
        <v>0.4</v>
      </c>
      <c r="AT6364" t="s">
        <v>855</v>
      </c>
      <c r="AU6364" t="s">
        <v>130</v>
      </c>
      <c r="AV6364" t="s">
        <v>20733</v>
      </c>
    </row>
    <row r="6365" spans="1:48">
      <c r="A6365" s="1">
        <f>HYPERLINK("https://lsnyc.legalserver.org/matter/dynamic-profile/view/1876797","18-1876797")</f>
        <v>0</v>
      </c>
      <c r="B6365" t="s">
        <v>165</v>
      </c>
      <c r="C6365" t="s">
        <v>256</v>
      </c>
      <c r="D6365" t="s">
        <v>500</v>
      </c>
      <c r="F6365" t="s">
        <v>3324</v>
      </c>
      <c r="G6365" t="s">
        <v>5678</v>
      </c>
      <c r="H6365" t="s">
        <v>6934</v>
      </c>
      <c r="I6365" t="s">
        <v>8222</v>
      </c>
      <c r="J6365" t="s">
        <v>9059</v>
      </c>
      <c r="K6365">
        <v>11216</v>
      </c>
      <c r="L6365" t="s">
        <v>9094</v>
      </c>
      <c r="M6365" t="s">
        <v>9094</v>
      </c>
      <c r="N6365" t="s">
        <v>10050</v>
      </c>
      <c r="O6365" t="s">
        <v>11132</v>
      </c>
      <c r="P6365" t="s">
        <v>11165</v>
      </c>
      <c r="R6365" t="s">
        <v>11180</v>
      </c>
      <c r="S6365" t="s">
        <v>9094</v>
      </c>
      <c r="T6365" t="s">
        <v>11183</v>
      </c>
      <c r="V6365" t="s">
        <v>688</v>
      </c>
      <c r="W6365">
        <v>1450</v>
      </c>
      <c r="X6365" t="s">
        <v>11332</v>
      </c>
      <c r="Y6365" t="s">
        <v>11339</v>
      </c>
      <c r="Z6365" t="s">
        <v>15260</v>
      </c>
      <c r="AB6365" t="s">
        <v>19556</v>
      </c>
      <c r="AC6365">
        <v>0</v>
      </c>
      <c r="AD6365" t="s">
        <v>19566</v>
      </c>
      <c r="AE6365" t="s">
        <v>9144</v>
      </c>
      <c r="AF6365">
        <v>0</v>
      </c>
      <c r="AG6365">
        <v>1</v>
      </c>
      <c r="AH6365">
        <v>0</v>
      </c>
      <c r="AI6365">
        <v>873.15</v>
      </c>
      <c r="AL6365" t="s">
        <v>19640</v>
      </c>
      <c r="AM6365">
        <v>106000</v>
      </c>
      <c r="AN6365" t="s">
        <v>20284</v>
      </c>
      <c r="AS6365">
        <v>0</v>
      </c>
      <c r="AU6365" t="s">
        <v>95</v>
      </c>
    </row>
    <row r="6366" spans="1:48">
      <c r="A6366" s="1">
        <f>HYPERLINK("https://lsnyc.legalserver.org/matter/dynamic-profile/view/1876793","18-1876793")</f>
        <v>0</v>
      </c>
      <c r="B6366" t="s">
        <v>165</v>
      </c>
      <c r="C6366" t="s">
        <v>256</v>
      </c>
      <c r="D6366" t="s">
        <v>500</v>
      </c>
      <c r="F6366" t="s">
        <v>3324</v>
      </c>
      <c r="G6366" t="s">
        <v>5678</v>
      </c>
      <c r="H6366" t="s">
        <v>6934</v>
      </c>
      <c r="I6366" t="s">
        <v>8222</v>
      </c>
      <c r="J6366" t="s">
        <v>9059</v>
      </c>
      <c r="K6366">
        <v>11216</v>
      </c>
      <c r="L6366" t="s">
        <v>9094</v>
      </c>
      <c r="M6366" t="s">
        <v>9094</v>
      </c>
      <c r="N6366" t="s">
        <v>9121</v>
      </c>
      <c r="O6366" t="s">
        <v>9121</v>
      </c>
      <c r="P6366" t="s">
        <v>11167</v>
      </c>
      <c r="R6366" t="s">
        <v>11180</v>
      </c>
      <c r="S6366" t="s">
        <v>9094</v>
      </c>
      <c r="T6366" t="s">
        <v>11183</v>
      </c>
      <c r="V6366" t="s">
        <v>419</v>
      </c>
      <c r="W6366">
        <v>1450</v>
      </c>
      <c r="X6366" t="s">
        <v>11332</v>
      </c>
      <c r="Y6366" t="s">
        <v>11339</v>
      </c>
      <c r="Z6366" t="s">
        <v>15260</v>
      </c>
      <c r="AB6366" t="s">
        <v>19556</v>
      </c>
      <c r="AC6366">
        <v>82</v>
      </c>
      <c r="AD6366" t="s">
        <v>19566</v>
      </c>
      <c r="AE6366" t="s">
        <v>9144</v>
      </c>
      <c r="AF6366">
        <v>0</v>
      </c>
      <c r="AG6366">
        <v>1</v>
      </c>
      <c r="AH6366">
        <v>0</v>
      </c>
      <c r="AI6366">
        <v>873.15</v>
      </c>
      <c r="AL6366" t="s">
        <v>19640</v>
      </c>
      <c r="AM6366">
        <v>106000</v>
      </c>
      <c r="AN6366" t="s">
        <v>19665</v>
      </c>
      <c r="AS6366">
        <v>0</v>
      </c>
      <c r="AU6366" t="s">
        <v>95</v>
      </c>
    </row>
    <row r="6367" spans="1:48">
      <c r="A6367" s="1">
        <f>HYPERLINK("https://lsnyc.legalserver.org/matter/dynamic-profile/view/1889442","19-1889442")</f>
        <v>0</v>
      </c>
      <c r="B6367" t="s">
        <v>70</v>
      </c>
      <c r="C6367" t="s">
        <v>256</v>
      </c>
      <c r="D6367" t="s">
        <v>543</v>
      </c>
      <c r="F6367" t="s">
        <v>3325</v>
      </c>
      <c r="G6367" t="s">
        <v>4144</v>
      </c>
      <c r="H6367" t="s">
        <v>5749</v>
      </c>
      <c r="I6367" t="s">
        <v>9035</v>
      </c>
      <c r="J6367" t="s">
        <v>9059</v>
      </c>
      <c r="K6367">
        <v>11233</v>
      </c>
      <c r="L6367" t="s">
        <v>9094</v>
      </c>
      <c r="M6367" t="s">
        <v>9094</v>
      </c>
      <c r="N6367" t="s">
        <v>9146</v>
      </c>
      <c r="O6367" t="s">
        <v>11134</v>
      </c>
      <c r="P6367" t="s">
        <v>11168</v>
      </c>
      <c r="R6367" t="s">
        <v>11180</v>
      </c>
      <c r="S6367" t="s">
        <v>9094</v>
      </c>
      <c r="T6367" t="s">
        <v>11183</v>
      </c>
      <c r="U6367" t="s">
        <v>11201</v>
      </c>
      <c r="V6367" t="s">
        <v>848</v>
      </c>
      <c r="W6367">
        <v>0</v>
      </c>
      <c r="X6367" t="s">
        <v>11332</v>
      </c>
      <c r="Z6367" t="s">
        <v>15261</v>
      </c>
      <c r="AC6367">
        <v>0</v>
      </c>
      <c r="AD6367" t="s">
        <v>19566</v>
      </c>
      <c r="AF6367">
        <v>0</v>
      </c>
      <c r="AG6367">
        <v>3</v>
      </c>
      <c r="AH6367">
        <v>0</v>
      </c>
      <c r="AI6367">
        <v>909.52</v>
      </c>
      <c r="AL6367" t="s">
        <v>19614</v>
      </c>
      <c r="AM6367">
        <v>194000</v>
      </c>
      <c r="AS6367">
        <v>0</v>
      </c>
      <c r="AU6367" t="s">
        <v>79</v>
      </c>
    </row>
    <row r="6368" spans="1:48">
      <c r="A6368" s="1">
        <f>HYPERLINK("https://lsnyc.legalserver.org/matter/dynamic-profile/view/1891458","19-1891458")</f>
        <v>0</v>
      </c>
      <c r="B6368" t="s">
        <v>70</v>
      </c>
      <c r="C6368" t="s">
        <v>256</v>
      </c>
      <c r="D6368" t="s">
        <v>316</v>
      </c>
      <c r="F6368" t="s">
        <v>3325</v>
      </c>
      <c r="G6368" t="s">
        <v>4144</v>
      </c>
      <c r="H6368" t="s">
        <v>5749</v>
      </c>
      <c r="I6368" t="s">
        <v>9035</v>
      </c>
      <c r="J6368" t="s">
        <v>9059</v>
      </c>
      <c r="K6368">
        <v>11233</v>
      </c>
      <c r="L6368" t="s">
        <v>9094</v>
      </c>
      <c r="M6368" t="s">
        <v>9094</v>
      </c>
      <c r="O6368" t="s">
        <v>11137</v>
      </c>
      <c r="P6368" t="s">
        <v>11167</v>
      </c>
      <c r="R6368" t="s">
        <v>11180</v>
      </c>
      <c r="S6368" t="s">
        <v>9094</v>
      </c>
      <c r="T6368" t="s">
        <v>11183</v>
      </c>
      <c r="U6368" t="s">
        <v>11201</v>
      </c>
      <c r="V6368" t="s">
        <v>749</v>
      </c>
      <c r="W6368">
        <v>0</v>
      </c>
      <c r="X6368" t="s">
        <v>11332</v>
      </c>
      <c r="Y6368" t="s">
        <v>11339</v>
      </c>
      <c r="Z6368" t="s">
        <v>15261</v>
      </c>
      <c r="AC6368">
        <v>764</v>
      </c>
      <c r="AD6368" t="s">
        <v>19566</v>
      </c>
      <c r="AE6368" t="s">
        <v>9144</v>
      </c>
      <c r="AF6368">
        <v>0</v>
      </c>
      <c r="AG6368">
        <v>3</v>
      </c>
      <c r="AH6368">
        <v>0</v>
      </c>
      <c r="AI6368">
        <v>909.52</v>
      </c>
      <c r="AL6368" t="s">
        <v>19614</v>
      </c>
      <c r="AM6368">
        <v>194000</v>
      </c>
      <c r="AN6368" t="s">
        <v>20285</v>
      </c>
      <c r="AS6368">
        <v>0</v>
      </c>
      <c r="AU6368" t="s">
        <v>79</v>
      </c>
    </row>
    <row r="6369" spans="1:48">
      <c r="A6369" s="1">
        <f>HYPERLINK("https://lsnyc.legalserver.org/matter/dynamic-profile/view/1914645","19-1914645")</f>
        <v>0</v>
      </c>
      <c r="B6369" t="s">
        <v>135</v>
      </c>
      <c r="C6369" t="s">
        <v>256</v>
      </c>
      <c r="D6369" t="s">
        <v>476</v>
      </c>
      <c r="F6369" t="s">
        <v>1323</v>
      </c>
      <c r="G6369" t="s">
        <v>5679</v>
      </c>
      <c r="H6369" t="s">
        <v>7141</v>
      </c>
      <c r="I6369" t="s">
        <v>8119</v>
      </c>
      <c r="J6369" t="s">
        <v>9067</v>
      </c>
      <c r="K6369">
        <v>10035</v>
      </c>
      <c r="L6369" t="s">
        <v>9094</v>
      </c>
      <c r="M6369" t="s">
        <v>9095</v>
      </c>
      <c r="O6369" t="s">
        <v>11130</v>
      </c>
      <c r="P6369" t="s">
        <v>11169</v>
      </c>
      <c r="R6369" t="s">
        <v>11180</v>
      </c>
      <c r="S6369" t="s">
        <v>9094</v>
      </c>
      <c r="T6369" t="s">
        <v>11183</v>
      </c>
      <c r="U6369" t="s">
        <v>11201</v>
      </c>
      <c r="V6369" t="s">
        <v>484</v>
      </c>
      <c r="W6369">
        <v>2100</v>
      </c>
      <c r="X6369" t="s">
        <v>11335</v>
      </c>
      <c r="Y6369" t="s">
        <v>11339</v>
      </c>
      <c r="Z6369" t="s">
        <v>14322</v>
      </c>
      <c r="AC6369">
        <v>33</v>
      </c>
      <c r="AD6369" t="s">
        <v>19566</v>
      </c>
      <c r="AE6369" t="s">
        <v>9144</v>
      </c>
      <c r="AF6369">
        <v>2</v>
      </c>
      <c r="AG6369">
        <v>1</v>
      </c>
      <c r="AH6369">
        <v>0</v>
      </c>
      <c r="AI6369">
        <v>920.74</v>
      </c>
      <c r="AL6369" t="s">
        <v>19614</v>
      </c>
      <c r="AM6369">
        <v>115000</v>
      </c>
      <c r="AS6369">
        <v>1.5</v>
      </c>
      <c r="AT6369" t="s">
        <v>1063</v>
      </c>
      <c r="AU6369" t="s">
        <v>20657</v>
      </c>
      <c r="AV6369" t="s">
        <v>20733</v>
      </c>
    </row>
    <row r="6370" spans="1:48">
      <c r="A6370" s="1">
        <f>HYPERLINK("https://lsnyc.legalserver.org/matter/dynamic-profile/view/0826989","17-0826989")</f>
        <v>0</v>
      </c>
      <c r="B6370" t="s">
        <v>139</v>
      </c>
      <c r="C6370" t="s">
        <v>256</v>
      </c>
      <c r="D6370" t="s">
        <v>858</v>
      </c>
      <c r="F6370" t="s">
        <v>1370</v>
      </c>
      <c r="G6370" t="s">
        <v>4197</v>
      </c>
      <c r="H6370" t="s">
        <v>6958</v>
      </c>
      <c r="I6370" t="s">
        <v>8213</v>
      </c>
      <c r="J6370" t="s">
        <v>9067</v>
      </c>
      <c r="K6370">
        <v>10040</v>
      </c>
      <c r="L6370" t="s">
        <v>9094</v>
      </c>
      <c r="M6370" t="s">
        <v>9095</v>
      </c>
      <c r="N6370" t="s">
        <v>9887</v>
      </c>
      <c r="O6370" t="s">
        <v>11130</v>
      </c>
      <c r="P6370" t="s">
        <v>11165</v>
      </c>
      <c r="R6370" t="s">
        <v>11180</v>
      </c>
      <c r="S6370" t="s">
        <v>9094</v>
      </c>
      <c r="T6370" t="s">
        <v>11183</v>
      </c>
      <c r="V6370" t="s">
        <v>866</v>
      </c>
      <c r="W6370">
        <v>1056.82</v>
      </c>
      <c r="X6370" t="s">
        <v>11335</v>
      </c>
      <c r="Y6370" t="s">
        <v>11339</v>
      </c>
      <c r="Z6370" t="s">
        <v>15262</v>
      </c>
      <c r="AB6370" t="s">
        <v>19557</v>
      </c>
      <c r="AC6370">
        <v>83</v>
      </c>
      <c r="AD6370" t="s">
        <v>19566</v>
      </c>
      <c r="AE6370" t="s">
        <v>9144</v>
      </c>
      <c r="AF6370">
        <v>0</v>
      </c>
      <c r="AG6370">
        <v>1</v>
      </c>
      <c r="AH6370">
        <v>0</v>
      </c>
      <c r="AI6370">
        <v>995.02</v>
      </c>
      <c r="AJ6370" t="s">
        <v>463</v>
      </c>
      <c r="AL6370" t="s">
        <v>19614</v>
      </c>
      <c r="AM6370">
        <v>120000</v>
      </c>
      <c r="AS6370">
        <v>0.7</v>
      </c>
      <c r="AT6370" t="s">
        <v>920</v>
      </c>
      <c r="AU6370" t="s">
        <v>20657</v>
      </c>
    </row>
    <row r="6371" spans="1:48">
      <c r="A6371" s="1">
        <f>HYPERLINK("https://lsnyc.legalserver.org/matter/dynamic-profile/view/1871586","18-1871586")</f>
        <v>0</v>
      </c>
      <c r="B6371" t="s">
        <v>138</v>
      </c>
      <c r="C6371" t="s">
        <v>256</v>
      </c>
      <c r="D6371" t="s">
        <v>389</v>
      </c>
      <c r="F6371" t="s">
        <v>2399</v>
      </c>
      <c r="G6371" t="s">
        <v>5680</v>
      </c>
      <c r="H6371" t="s">
        <v>5943</v>
      </c>
      <c r="I6371" t="s">
        <v>8197</v>
      </c>
      <c r="J6371" t="s">
        <v>9067</v>
      </c>
      <c r="K6371">
        <v>10034</v>
      </c>
      <c r="L6371" t="s">
        <v>9094</v>
      </c>
      <c r="M6371" t="s">
        <v>9095</v>
      </c>
      <c r="N6371" t="s">
        <v>9279</v>
      </c>
      <c r="O6371" t="s">
        <v>11130</v>
      </c>
      <c r="P6371" t="s">
        <v>11165</v>
      </c>
      <c r="R6371" t="s">
        <v>11180</v>
      </c>
      <c r="S6371" t="s">
        <v>9094</v>
      </c>
      <c r="T6371" t="s">
        <v>11183</v>
      </c>
      <c r="V6371" t="s">
        <v>389</v>
      </c>
      <c r="W6371">
        <v>1800</v>
      </c>
      <c r="X6371" t="s">
        <v>11335</v>
      </c>
      <c r="Y6371" t="s">
        <v>11338</v>
      </c>
      <c r="Z6371" t="s">
        <v>15263</v>
      </c>
      <c r="AC6371">
        <v>67</v>
      </c>
      <c r="AD6371" t="s">
        <v>19566</v>
      </c>
      <c r="AE6371" t="s">
        <v>9144</v>
      </c>
      <c r="AF6371">
        <v>1</v>
      </c>
      <c r="AG6371">
        <v>1</v>
      </c>
      <c r="AH6371">
        <v>0</v>
      </c>
      <c r="AI6371">
        <v>1029.65</v>
      </c>
      <c r="AL6371" t="s">
        <v>19614</v>
      </c>
      <c r="AM6371">
        <v>125000</v>
      </c>
      <c r="AS6371">
        <v>0.4</v>
      </c>
      <c r="AT6371" t="s">
        <v>855</v>
      </c>
      <c r="AU6371" t="s">
        <v>130</v>
      </c>
      <c r="AV6371" t="s">
        <v>20733</v>
      </c>
    </row>
    <row r="6372" spans="1:48">
      <c r="A6372" s="1">
        <f>HYPERLINK("https://lsnyc.legalserver.org/matter/dynamic-profile/view/0831104","17-0831104")</f>
        <v>0</v>
      </c>
      <c r="B6372" t="s">
        <v>139</v>
      </c>
      <c r="C6372" t="s">
        <v>256</v>
      </c>
      <c r="D6372" t="s">
        <v>655</v>
      </c>
      <c r="F6372" t="s">
        <v>3326</v>
      </c>
      <c r="G6372" t="s">
        <v>5681</v>
      </c>
      <c r="H6372" t="s">
        <v>6958</v>
      </c>
      <c r="I6372" t="s">
        <v>8109</v>
      </c>
      <c r="J6372" t="s">
        <v>9067</v>
      </c>
      <c r="K6372">
        <v>10040</v>
      </c>
      <c r="L6372" t="s">
        <v>9095</v>
      </c>
      <c r="M6372" t="s">
        <v>9095</v>
      </c>
      <c r="N6372" t="s">
        <v>9887</v>
      </c>
      <c r="O6372" t="s">
        <v>11130</v>
      </c>
      <c r="P6372" t="s">
        <v>11165</v>
      </c>
      <c r="R6372" t="s">
        <v>11180</v>
      </c>
      <c r="S6372" t="s">
        <v>9094</v>
      </c>
      <c r="T6372" t="s">
        <v>11183</v>
      </c>
      <c r="V6372" t="s">
        <v>866</v>
      </c>
      <c r="W6372">
        <v>2500</v>
      </c>
      <c r="X6372" t="s">
        <v>11335</v>
      </c>
      <c r="Y6372" t="s">
        <v>11339</v>
      </c>
      <c r="Z6372" t="s">
        <v>15264</v>
      </c>
      <c r="AC6372">
        <v>83</v>
      </c>
      <c r="AD6372" t="s">
        <v>19566</v>
      </c>
      <c r="AE6372" t="s">
        <v>9144</v>
      </c>
      <c r="AF6372">
        <v>0</v>
      </c>
      <c r="AG6372">
        <v>2</v>
      </c>
      <c r="AH6372">
        <v>0</v>
      </c>
      <c r="AI6372">
        <v>1035.71</v>
      </c>
      <c r="AJ6372" t="s">
        <v>463</v>
      </c>
      <c r="AL6372" t="s">
        <v>19614</v>
      </c>
      <c r="AM6372">
        <v>168200</v>
      </c>
      <c r="AS6372">
        <v>0</v>
      </c>
      <c r="AT6372" t="s">
        <v>537</v>
      </c>
      <c r="AU6372" t="s">
        <v>20657</v>
      </c>
    </row>
    <row r="6373" spans="1:48">
      <c r="A6373" s="1">
        <f>HYPERLINK("https://lsnyc.legalserver.org/matter/dynamic-profile/view/1876947","18-1876947")</f>
        <v>0</v>
      </c>
      <c r="B6373" t="s">
        <v>165</v>
      </c>
      <c r="C6373" t="s">
        <v>256</v>
      </c>
      <c r="D6373" t="s">
        <v>803</v>
      </c>
      <c r="F6373" t="s">
        <v>1846</v>
      </c>
      <c r="G6373" t="s">
        <v>2693</v>
      </c>
      <c r="H6373" t="s">
        <v>6934</v>
      </c>
      <c r="I6373" t="s">
        <v>8160</v>
      </c>
      <c r="J6373" t="s">
        <v>9059</v>
      </c>
      <c r="K6373">
        <v>11216</v>
      </c>
      <c r="L6373" t="s">
        <v>9094</v>
      </c>
      <c r="M6373" t="s">
        <v>9094</v>
      </c>
      <c r="N6373" t="s">
        <v>10050</v>
      </c>
      <c r="O6373" t="s">
        <v>11132</v>
      </c>
      <c r="P6373" t="s">
        <v>11165</v>
      </c>
      <c r="R6373" t="s">
        <v>11180</v>
      </c>
      <c r="S6373" t="s">
        <v>9094</v>
      </c>
      <c r="T6373" t="s">
        <v>11183</v>
      </c>
      <c r="V6373" t="s">
        <v>393</v>
      </c>
      <c r="W6373">
        <v>2450</v>
      </c>
      <c r="X6373" t="s">
        <v>11332</v>
      </c>
      <c r="Y6373" t="s">
        <v>11339</v>
      </c>
      <c r="Z6373" t="s">
        <v>15265</v>
      </c>
      <c r="AB6373" t="s">
        <v>19558</v>
      </c>
      <c r="AC6373">
        <v>82</v>
      </c>
      <c r="AD6373" t="s">
        <v>19566</v>
      </c>
      <c r="AE6373" t="s">
        <v>9144</v>
      </c>
      <c r="AF6373">
        <v>3</v>
      </c>
      <c r="AG6373">
        <v>1</v>
      </c>
      <c r="AH6373">
        <v>0</v>
      </c>
      <c r="AI6373">
        <v>1087.31</v>
      </c>
      <c r="AL6373" t="s">
        <v>19614</v>
      </c>
      <c r="AM6373">
        <v>132000</v>
      </c>
      <c r="AN6373" t="s">
        <v>20286</v>
      </c>
      <c r="AS6373">
        <v>0.5</v>
      </c>
      <c r="AT6373" t="s">
        <v>917</v>
      </c>
      <c r="AU6373" t="s">
        <v>95</v>
      </c>
    </row>
    <row r="6374" spans="1:48">
      <c r="A6374" s="1">
        <f>HYPERLINK("https://lsnyc.legalserver.org/matter/dynamic-profile/view/1876941","18-1876941")</f>
        <v>0</v>
      </c>
      <c r="B6374" t="s">
        <v>165</v>
      </c>
      <c r="C6374" t="s">
        <v>256</v>
      </c>
      <c r="D6374" t="s">
        <v>803</v>
      </c>
      <c r="F6374" t="s">
        <v>1846</v>
      </c>
      <c r="G6374" t="s">
        <v>2693</v>
      </c>
      <c r="H6374" t="s">
        <v>6934</v>
      </c>
      <c r="I6374" t="s">
        <v>8160</v>
      </c>
      <c r="J6374" t="s">
        <v>9059</v>
      </c>
      <c r="K6374">
        <v>11216</v>
      </c>
      <c r="L6374" t="s">
        <v>9094</v>
      </c>
      <c r="M6374" t="s">
        <v>9094</v>
      </c>
      <c r="N6374" t="s">
        <v>9121</v>
      </c>
      <c r="O6374" t="s">
        <v>9121</v>
      </c>
      <c r="P6374" t="s">
        <v>11167</v>
      </c>
      <c r="R6374" t="s">
        <v>11180</v>
      </c>
      <c r="S6374" t="s">
        <v>9094</v>
      </c>
      <c r="T6374" t="s">
        <v>11183</v>
      </c>
      <c r="V6374" t="s">
        <v>624</v>
      </c>
      <c r="W6374">
        <v>2450</v>
      </c>
      <c r="X6374" t="s">
        <v>11332</v>
      </c>
      <c r="Y6374" t="s">
        <v>11339</v>
      </c>
      <c r="Z6374" t="s">
        <v>15265</v>
      </c>
      <c r="AB6374" t="s">
        <v>19558</v>
      </c>
      <c r="AC6374">
        <v>82</v>
      </c>
      <c r="AD6374" t="s">
        <v>19566</v>
      </c>
      <c r="AE6374" t="s">
        <v>9144</v>
      </c>
      <c r="AF6374">
        <v>3</v>
      </c>
      <c r="AG6374">
        <v>1</v>
      </c>
      <c r="AH6374">
        <v>0</v>
      </c>
      <c r="AI6374">
        <v>1087.31</v>
      </c>
      <c r="AL6374" t="s">
        <v>19614</v>
      </c>
      <c r="AM6374">
        <v>132000</v>
      </c>
      <c r="AN6374" t="s">
        <v>19665</v>
      </c>
      <c r="AS6374">
        <v>0</v>
      </c>
      <c r="AU6374" t="s">
        <v>95</v>
      </c>
    </row>
    <row r="6375" spans="1:48">
      <c r="A6375" s="1">
        <f>HYPERLINK("https://lsnyc.legalserver.org/matter/dynamic-profile/view/1910121","19-1910121")</f>
        <v>0</v>
      </c>
      <c r="B6375" t="s">
        <v>118</v>
      </c>
      <c r="C6375" t="s">
        <v>256</v>
      </c>
      <c r="D6375" t="s">
        <v>435</v>
      </c>
      <c r="F6375" t="s">
        <v>1823</v>
      </c>
      <c r="G6375" t="s">
        <v>3916</v>
      </c>
      <c r="H6375" t="s">
        <v>8105</v>
      </c>
      <c r="I6375" t="s">
        <v>8229</v>
      </c>
      <c r="J6375" t="s">
        <v>9065</v>
      </c>
      <c r="K6375">
        <v>10463</v>
      </c>
      <c r="L6375" t="s">
        <v>9094</v>
      </c>
      <c r="M6375" t="s">
        <v>9095</v>
      </c>
      <c r="P6375" t="s">
        <v>11167</v>
      </c>
      <c r="R6375" t="s">
        <v>11180</v>
      </c>
      <c r="S6375" t="s">
        <v>9096</v>
      </c>
      <c r="T6375" t="s">
        <v>11183</v>
      </c>
      <c r="W6375">
        <v>1200</v>
      </c>
      <c r="X6375" t="s">
        <v>11333</v>
      </c>
      <c r="Y6375" t="s">
        <v>11346</v>
      </c>
      <c r="Z6375" t="s">
        <v>13040</v>
      </c>
      <c r="AB6375" t="s">
        <v>19559</v>
      </c>
      <c r="AC6375">
        <v>0</v>
      </c>
      <c r="AD6375" t="s">
        <v>19573</v>
      </c>
      <c r="AF6375">
        <v>24</v>
      </c>
      <c r="AG6375">
        <v>2</v>
      </c>
      <c r="AH6375">
        <v>0</v>
      </c>
      <c r="AI6375">
        <v>1096.89</v>
      </c>
      <c r="AL6375" t="s">
        <v>19615</v>
      </c>
      <c r="AM6375">
        <v>185484</v>
      </c>
      <c r="AS6375">
        <v>0</v>
      </c>
      <c r="AU6375" t="s">
        <v>118</v>
      </c>
      <c r="AV6375" t="s">
        <v>20733</v>
      </c>
    </row>
    <row r="6376" spans="1:48">
      <c r="A6376" s="1">
        <f>HYPERLINK("https://lsnyc.legalserver.org/matter/dynamic-profile/view/1907507","19-1907507")</f>
        <v>0</v>
      </c>
      <c r="B6376" t="s">
        <v>86</v>
      </c>
      <c r="C6376" t="s">
        <v>256</v>
      </c>
      <c r="D6376" t="s">
        <v>275</v>
      </c>
      <c r="F6376" t="s">
        <v>3327</v>
      </c>
      <c r="G6376" t="s">
        <v>5682</v>
      </c>
      <c r="H6376" t="s">
        <v>5786</v>
      </c>
      <c r="I6376" t="s">
        <v>8602</v>
      </c>
      <c r="J6376" t="s">
        <v>9059</v>
      </c>
      <c r="K6376">
        <v>11225</v>
      </c>
      <c r="L6376" t="s">
        <v>9094</v>
      </c>
      <c r="M6376" t="s">
        <v>9095</v>
      </c>
      <c r="O6376" t="s">
        <v>11137</v>
      </c>
      <c r="P6376" t="s">
        <v>11166</v>
      </c>
      <c r="R6376" t="s">
        <v>11180</v>
      </c>
      <c r="S6376" t="s">
        <v>9094</v>
      </c>
      <c r="T6376" t="s">
        <v>11183</v>
      </c>
      <c r="V6376" t="s">
        <v>275</v>
      </c>
      <c r="W6376">
        <v>0</v>
      </c>
      <c r="X6376" t="s">
        <v>11332</v>
      </c>
      <c r="Z6376" t="s">
        <v>15266</v>
      </c>
      <c r="AB6376" t="s">
        <v>19560</v>
      </c>
      <c r="AC6376">
        <v>46</v>
      </c>
      <c r="AF6376">
        <v>0</v>
      </c>
      <c r="AG6376">
        <v>1</v>
      </c>
      <c r="AH6376">
        <v>0</v>
      </c>
      <c r="AI6376">
        <v>1136.91</v>
      </c>
      <c r="AL6376" t="s">
        <v>19614</v>
      </c>
      <c r="AM6376">
        <v>142000</v>
      </c>
      <c r="AS6376">
        <v>0</v>
      </c>
      <c r="AU6376" t="s">
        <v>215</v>
      </c>
      <c r="AV6376" t="s">
        <v>20733</v>
      </c>
    </row>
    <row r="6377" spans="1:48">
      <c r="A6377" s="1">
        <f>HYPERLINK("https://lsnyc.legalserver.org/matter/dynamic-profile/view/1863360","18-1863360")</f>
        <v>0</v>
      </c>
      <c r="B6377" t="s">
        <v>86</v>
      </c>
      <c r="C6377" t="s">
        <v>256</v>
      </c>
      <c r="D6377" t="s">
        <v>693</v>
      </c>
      <c r="F6377" t="s">
        <v>3327</v>
      </c>
      <c r="G6377" t="s">
        <v>5682</v>
      </c>
      <c r="H6377" t="s">
        <v>5786</v>
      </c>
      <c r="I6377" t="s">
        <v>8602</v>
      </c>
      <c r="J6377" t="s">
        <v>9059</v>
      </c>
      <c r="K6377">
        <v>11225</v>
      </c>
      <c r="L6377" t="s">
        <v>9094</v>
      </c>
      <c r="M6377" t="s">
        <v>9095</v>
      </c>
      <c r="O6377" t="s">
        <v>11130</v>
      </c>
      <c r="P6377" t="s">
        <v>11165</v>
      </c>
      <c r="R6377" t="s">
        <v>11180</v>
      </c>
      <c r="S6377" t="s">
        <v>9094</v>
      </c>
      <c r="T6377" t="s">
        <v>11183</v>
      </c>
      <c r="V6377" t="s">
        <v>11212</v>
      </c>
      <c r="W6377">
        <v>1327</v>
      </c>
      <c r="X6377" t="s">
        <v>11332</v>
      </c>
      <c r="Y6377" t="s">
        <v>11346</v>
      </c>
      <c r="Z6377" t="s">
        <v>15266</v>
      </c>
      <c r="AB6377" t="s">
        <v>19560</v>
      </c>
      <c r="AC6377">
        <v>61</v>
      </c>
      <c r="AD6377" t="s">
        <v>19566</v>
      </c>
      <c r="AE6377" t="s">
        <v>9144</v>
      </c>
      <c r="AF6377">
        <v>6</v>
      </c>
      <c r="AG6377">
        <v>1</v>
      </c>
      <c r="AH6377">
        <v>0</v>
      </c>
      <c r="AI6377">
        <v>1169.69</v>
      </c>
      <c r="AL6377" t="s">
        <v>19614</v>
      </c>
      <c r="AM6377">
        <v>142000</v>
      </c>
      <c r="AS6377">
        <v>1</v>
      </c>
      <c r="AT6377" t="s">
        <v>619</v>
      </c>
      <c r="AU6377" t="s">
        <v>20630</v>
      </c>
      <c r="AV6377" t="s">
        <v>20733</v>
      </c>
    </row>
    <row r="6378" spans="1:48">
      <c r="A6378" s="1">
        <f>HYPERLINK("https://lsnyc.legalserver.org/matter/dynamic-profile/view/0831141","17-0831141")</f>
        <v>0</v>
      </c>
      <c r="B6378" t="s">
        <v>139</v>
      </c>
      <c r="C6378" t="s">
        <v>256</v>
      </c>
      <c r="D6378" t="s">
        <v>655</v>
      </c>
      <c r="F6378" t="s">
        <v>3328</v>
      </c>
      <c r="G6378" t="s">
        <v>5683</v>
      </c>
      <c r="H6378" t="s">
        <v>6363</v>
      </c>
      <c r="I6378" t="s">
        <v>8507</v>
      </c>
      <c r="J6378" t="s">
        <v>9067</v>
      </c>
      <c r="K6378">
        <v>10040</v>
      </c>
      <c r="L6378" t="s">
        <v>9095</v>
      </c>
      <c r="M6378" t="s">
        <v>9095</v>
      </c>
      <c r="N6378" t="s">
        <v>9887</v>
      </c>
      <c r="O6378" t="s">
        <v>9121</v>
      </c>
      <c r="P6378" t="s">
        <v>11166</v>
      </c>
      <c r="R6378" t="s">
        <v>11180</v>
      </c>
      <c r="S6378" t="s">
        <v>9094</v>
      </c>
      <c r="T6378" t="s">
        <v>11183</v>
      </c>
      <c r="V6378" t="s">
        <v>11298</v>
      </c>
      <c r="W6378">
        <v>1480</v>
      </c>
      <c r="X6378" t="s">
        <v>11335</v>
      </c>
      <c r="Y6378" t="s">
        <v>11339</v>
      </c>
      <c r="Z6378" t="s">
        <v>15267</v>
      </c>
      <c r="AC6378">
        <v>83</v>
      </c>
      <c r="AD6378" t="s">
        <v>19566</v>
      </c>
      <c r="AE6378" t="s">
        <v>9144</v>
      </c>
      <c r="AF6378">
        <v>10</v>
      </c>
      <c r="AG6378">
        <v>2</v>
      </c>
      <c r="AH6378">
        <v>0</v>
      </c>
      <c r="AI6378">
        <v>1169.95</v>
      </c>
      <c r="AJ6378" t="s">
        <v>463</v>
      </c>
      <c r="AL6378" t="s">
        <v>19614</v>
      </c>
      <c r="AM6378">
        <v>310000</v>
      </c>
      <c r="AS6378">
        <v>0.1</v>
      </c>
      <c r="AT6378" t="s">
        <v>719</v>
      </c>
      <c r="AU6378" t="s">
        <v>20657</v>
      </c>
    </row>
    <row r="6379" spans="1:48">
      <c r="A6379" s="1">
        <f>HYPERLINK("https://lsnyc.legalserver.org/matter/dynamic-profile/view/0827033","17-0827033")</f>
        <v>0</v>
      </c>
      <c r="B6379" t="s">
        <v>139</v>
      </c>
      <c r="C6379" t="s">
        <v>256</v>
      </c>
      <c r="D6379" t="s">
        <v>858</v>
      </c>
      <c r="F6379" t="s">
        <v>1653</v>
      </c>
      <c r="G6379" t="s">
        <v>4258</v>
      </c>
      <c r="H6379" t="s">
        <v>6363</v>
      </c>
      <c r="I6379" t="s">
        <v>8139</v>
      </c>
      <c r="J6379" t="s">
        <v>9067</v>
      </c>
      <c r="K6379">
        <v>10040</v>
      </c>
      <c r="L6379" t="s">
        <v>9094</v>
      </c>
      <c r="M6379" t="s">
        <v>9095</v>
      </c>
      <c r="N6379" t="s">
        <v>9887</v>
      </c>
      <c r="O6379" t="s">
        <v>11130</v>
      </c>
      <c r="P6379" t="s">
        <v>11165</v>
      </c>
      <c r="R6379" t="s">
        <v>11180</v>
      </c>
      <c r="S6379" t="s">
        <v>9094</v>
      </c>
      <c r="T6379" t="s">
        <v>11183</v>
      </c>
      <c r="V6379" t="s">
        <v>866</v>
      </c>
      <c r="W6379">
        <v>1194.29</v>
      </c>
      <c r="X6379" t="s">
        <v>11335</v>
      </c>
      <c r="Y6379" t="s">
        <v>11339</v>
      </c>
      <c r="Z6379" t="s">
        <v>15268</v>
      </c>
      <c r="AB6379" t="s">
        <v>19561</v>
      </c>
      <c r="AC6379">
        <v>83</v>
      </c>
      <c r="AD6379" t="s">
        <v>19566</v>
      </c>
      <c r="AE6379" t="s">
        <v>9144</v>
      </c>
      <c r="AF6379">
        <v>8</v>
      </c>
      <c r="AG6379">
        <v>2</v>
      </c>
      <c r="AH6379">
        <v>0</v>
      </c>
      <c r="AI6379">
        <v>1434.73</v>
      </c>
      <c r="AJ6379" t="s">
        <v>463</v>
      </c>
      <c r="AL6379" t="s">
        <v>19614</v>
      </c>
      <c r="AM6379">
        <v>233000</v>
      </c>
      <c r="AS6379">
        <v>0</v>
      </c>
      <c r="AT6379" t="s">
        <v>537</v>
      </c>
      <c r="AU6379" t="s">
        <v>20657</v>
      </c>
    </row>
    <row r="6380" spans="1:48">
      <c r="A6380" s="1">
        <f>HYPERLINK("https://lsnyc.legalserver.org/matter/dynamic-profile/view/1884563","18-1884563")</f>
        <v>0</v>
      </c>
      <c r="B6380" t="s">
        <v>65</v>
      </c>
      <c r="C6380" t="s">
        <v>256</v>
      </c>
      <c r="D6380" t="s">
        <v>1111</v>
      </c>
      <c r="F6380" t="s">
        <v>2541</v>
      </c>
      <c r="G6380" t="s">
        <v>4625</v>
      </c>
      <c r="H6380" t="s">
        <v>5744</v>
      </c>
      <c r="I6380">
        <v>10</v>
      </c>
      <c r="J6380" t="s">
        <v>9059</v>
      </c>
      <c r="K6380">
        <v>11238</v>
      </c>
      <c r="L6380" t="s">
        <v>9095</v>
      </c>
      <c r="M6380" t="s">
        <v>9095</v>
      </c>
      <c r="O6380" t="s">
        <v>11136</v>
      </c>
      <c r="P6380" t="s">
        <v>11166</v>
      </c>
      <c r="R6380" t="s">
        <v>11180</v>
      </c>
      <c r="T6380" t="s">
        <v>11183</v>
      </c>
      <c r="W6380">
        <v>0</v>
      </c>
      <c r="X6380" t="s">
        <v>11332</v>
      </c>
      <c r="Z6380" t="s">
        <v>12141</v>
      </c>
      <c r="AC6380">
        <v>0</v>
      </c>
      <c r="AD6380" t="s">
        <v>19566</v>
      </c>
      <c r="AF6380">
        <v>0</v>
      </c>
      <c r="AG6380">
        <v>2</v>
      </c>
      <c r="AH6380">
        <v>0</v>
      </c>
      <c r="AI6380">
        <v>1439.85</v>
      </c>
      <c r="AL6380" t="s">
        <v>19614</v>
      </c>
      <c r="AM6380">
        <v>255000</v>
      </c>
      <c r="AN6380" t="s">
        <v>20287</v>
      </c>
      <c r="AS6380">
        <v>1.26</v>
      </c>
      <c r="AT6380" t="s">
        <v>426</v>
      </c>
      <c r="AU6380" t="s">
        <v>20628</v>
      </c>
    </row>
    <row r="6381" spans="1:48">
      <c r="A6381" s="1">
        <f>HYPERLINK("https://lsnyc.legalserver.org/matter/dynamic-profile/view/1884554","18-1884554")</f>
        <v>0</v>
      </c>
      <c r="B6381" t="s">
        <v>65</v>
      </c>
      <c r="C6381" t="s">
        <v>256</v>
      </c>
      <c r="D6381" t="s">
        <v>1111</v>
      </c>
      <c r="F6381" t="s">
        <v>3329</v>
      </c>
      <c r="G6381" t="s">
        <v>4625</v>
      </c>
      <c r="H6381" t="s">
        <v>5744</v>
      </c>
      <c r="I6381">
        <v>10</v>
      </c>
      <c r="J6381" t="s">
        <v>9059</v>
      </c>
      <c r="K6381">
        <v>11238</v>
      </c>
      <c r="L6381" t="s">
        <v>9095</v>
      </c>
      <c r="M6381" t="s">
        <v>9095</v>
      </c>
      <c r="P6381" t="s">
        <v>11166</v>
      </c>
      <c r="R6381" t="s">
        <v>11180</v>
      </c>
      <c r="T6381" t="s">
        <v>11183</v>
      </c>
      <c r="V6381" t="s">
        <v>11236</v>
      </c>
      <c r="W6381">
        <v>0</v>
      </c>
      <c r="X6381" t="s">
        <v>11332</v>
      </c>
      <c r="Z6381" t="s">
        <v>12141</v>
      </c>
      <c r="AC6381">
        <v>0</v>
      </c>
      <c r="AD6381" t="s">
        <v>19566</v>
      </c>
      <c r="AF6381">
        <v>0</v>
      </c>
      <c r="AG6381">
        <v>2</v>
      </c>
      <c r="AH6381">
        <v>0</v>
      </c>
      <c r="AI6381">
        <v>1439.85</v>
      </c>
      <c r="AL6381" t="s">
        <v>19614</v>
      </c>
      <c r="AM6381">
        <v>255000</v>
      </c>
      <c r="AS6381">
        <v>1.1</v>
      </c>
      <c r="AT6381" t="s">
        <v>396</v>
      </c>
      <c r="AU6381" t="s">
        <v>20628</v>
      </c>
    </row>
    <row r="6382" spans="1:48">
      <c r="A6382" s="1">
        <f>HYPERLINK("https://lsnyc.legalserver.org/matter/dynamic-profile/view/0830990","17-0830990")</f>
        <v>0</v>
      </c>
      <c r="B6382" t="s">
        <v>60</v>
      </c>
      <c r="C6382" t="s">
        <v>256</v>
      </c>
      <c r="D6382" t="s">
        <v>368</v>
      </c>
      <c r="F6382" t="s">
        <v>2080</v>
      </c>
      <c r="G6382" t="s">
        <v>3364</v>
      </c>
      <c r="H6382" t="s">
        <v>7038</v>
      </c>
      <c r="I6382" t="s">
        <v>8112</v>
      </c>
      <c r="J6382" t="s">
        <v>9063</v>
      </c>
      <c r="K6382">
        <v>11101</v>
      </c>
      <c r="L6382" t="s">
        <v>9094</v>
      </c>
      <c r="M6382" t="s">
        <v>9095</v>
      </c>
      <c r="N6382" t="s">
        <v>11127</v>
      </c>
      <c r="O6382" t="s">
        <v>11129</v>
      </c>
      <c r="P6382" t="s">
        <v>11165</v>
      </c>
      <c r="R6382" t="s">
        <v>11180</v>
      </c>
      <c r="S6382" t="s">
        <v>9096</v>
      </c>
      <c r="T6382" t="s">
        <v>11183</v>
      </c>
      <c r="V6382" t="s">
        <v>368</v>
      </c>
      <c r="W6382">
        <v>753</v>
      </c>
      <c r="X6382" t="s">
        <v>11331</v>
      </c>
      <c r="Y6382" t="s">
        <v>11340</v>
      </c>
      <c r="Z6382" t="s">
        <v>12471</v>
      </c>
      <c r="AA6382" t="s">
        <v>9325</v>
      </c>
      <c r="AB6382" t="s">
        <v>17532</v>
      </c>
      <c r="AC6382">
        <v>45</v>
      </c>
      <c r="AD6382" t="s">
        <v>19566</v>
      </c>
      <c r="AE6382" t="s">
        <v>9144</v>
      </c>
      <c r="AF6382">
        <v>10</v>
      </c>
      <c r="AG6382">
        <v>1</v>
      </c>
      <c r="AH6382">
        <v>1</v>
      </c>
      <c r="AI6382">
        <v>1477.83</v>
      </c>
      <c r="AL6382" t="s">
        <v>19614</v>
      </c>
      <c r="AM6382">
        <v>240000</v>
      </c>
      <c r="AS6382">
        <v>172.1</v>
      </c>
      <c r="AT6382" t="s">
        <v>672</v>
      </c>
      <c r="AU6382" t="s">
        <v>60</v>
      </c>
    </row>
    <row r="6383" spans="1:48">
      <c r="A6383" s="1">
        <f>HYPERLINK("https://lsnyc.legalserver.org/matter/dynamic-profile/view/0822127","16-0822127")</f>
        <v>0</v>
      </c>
      <c r="B6383" t="s">
        <v>103</v>
      </c>
      <c r="C6383" t="s">
        <v>256</v>
      </c>
      <c r="D6383" t="s">
        <v>720</v>
      </c>
      <c r="F6383" t="s">
        <v>1264</v>
      </c>
      <c r="G6383" t="s">
        <v>5684</v>
      </c>
      <c r="H6383" t="s">
        <v>5899</v>
      </c>
      <c r="I6383" t="s">
        <v>8259</v>
      </c>
      <c r="J6383" t="s">
        <v>9065</v>
      </c>
      <c r="K6383">
        <v>10452</v>
      </c>
      <c r="L6383" t="s">
        <v>9094</v>
      </c>
      <c r="M6383" t="s">
        <v>9095</v>
      </c>
      <c r="O6383" t="s">
        <v>11135</v>
      </c>
      <c r="P6383" t="s">
        <v>11168</v>
      </c>
      <c r="R6383" t="s">
        <v>11180</v>
      </c>
      <c r="S6383" t="s">
        <v>9094</v>
      </c>
      <c r="T6383" t="s">
        <v>11183</v>
      </c>
      <c r="V6383" t="s">
        <v>720</v>
      </c>
      <c r="W6383">
        <v>735</v>
      </c>
      <c r="X6383" t="s">
        <v>11333</v>
      </c>
      <c r="Y6383" t="s">
        <v>11346</v>
      </c>
      <c r="Z6383" t="s">
        <v>15269</v>
      </c>
      <c r="AB6383" t="s">
        <v>19562</v>
      </c>
      <c r="AC6383">
        <v>63</v>
      </c>
      <c r="AD6383" t="s">
        <v>19566</v>
      </c>
      <c r="AE6383" t="s">
        <v>9144</v>
      </c>
      <c r="AF6383">
        <v>43</v>
      </c>
      <c r="AG6383">
        <v>2</v>
      </c>
      <c r="AH6383">
        <v>0</v>
      </c>
      <c r="AI6383">
        <v>1699.48</v>
      </c>
      <c r="AL6383" t="s">
        <v>19614</v>
      </c>
      <c r="AM6383">
        <v>272256</v>
      </c>
      <c r="AS6383">
        <v>0</v>
      </c>
      <c r="AU6383" t="s">
        <v>20643</v>
      </c>
    </row>
    <row r="6384" spans="1:48">
      <c r="A6384" s="1">
        <f>HYPERLINK("https://lsnyc.legalserver.org/matter/dynamic-profile/view/0822131","16-0822131")</f>
        <v>0</v>
      </c>
      <c r="B6384" t="s">
        <v>103</v>
      </c>
      <c r="C6384" t="s">
        <v>256</v>
      </c>
      <c r="D6384" t="s">
        <v>519</v>
      </c>
      <c r="F6384" t="s">
        <v>1264</v>
      </c>
      <c r="G6384" t="s">
        <v>5684</v>
      </c>
      <c r="H6384" t="s">
        <v>5899</v>
      </c>
      <c r="I6384" t="s">
        <v>8259</v>
      </c>
      <c r="J6384" t="s">
        <v>9065</v>
      </c>
      <c r="K6384">
        <v>10452</v>
      </c>
      <c r="L6384" t="s">
        <v>9094</v>
      </c>
      <c r="M6384" t="s">
        <v>9095</v>
      </c>
      <c r="O6384" t="s">
        <v>11135</v>
      </c>
      <c r="P6384" t="s">
        <v>11168</v>
      </c>
      <c r="R6384" t="s">
        <v>11180</v>
      </c>
      <c r="S6384" t="s">
        <v>9094</v>
      </c>
      <c r="T6384" t="s">
        <v>11183</v>
      </c>
      <c r="V6384" t="s">
        <v>519</v>
      </c>
      <c r="W6384">
        <v>735</v>
      </c>
      <c r="X6384" t="s">
        <v>11333</v>
      </c>
      <c r="Y6384" t="s">
        <v>11346</v>
      </c>
      <c r="Z6384" t="s">
        <v>15269</v>
      </c>
      <c r="AB6384" t="s">
        <v>19562</v>
      </c>
      <c r="AC6384">
        <v>63</v>
      </c>
      <c r="AD6384" t="s">
        <v>19566</v>
      </c>
      <c r="AE6384" t="s">
        <v>9144</v>
      </c>
      <c r="AF6384">
        <v>43</v>
      </c>
      <c r="AG6384">
        <v>2</v>
      </c>
      <c r="AH6384">
        <v>0</v>
      </c>
      <c r="AI6384">
        <v>1699.48</v>
      </c>
      <c r="AL6384" t="s">
        <v>19614</v>
      </c>
      <c r="AM6384">
        <v>345360</v>
      </c>
      <c r="AS6384">
        <v>0</v>
      </c>
      <c r="AU6384" t="s">
        <v>20643</v>
      </c>
    </row>
    <row r="6385" spans="1:48">
      <c r="A6385" s="1">
        <f>HYPERLINK("https://lsnyc.legalserver.org/matter/dynamic-profile/view/1900008","19-1900008")</f>
        <v>0</v>
      </c>
      <c r="B6385" t="s">
        <v>118</v>
      </c>
      <c r="C6385" t="s">
        <v>257</v>
      </c>
      <c r="D6385" t="s">
        <v>293</v>
      </c>
      <c r="E6385" t="s">
        <v>312</v>
      </c>
      <c r="F6385" t="s">
        <v>2127</v>
      </c>
      <c r="G6385" t="s">
        <v>4986</v>
      </c>
      <c r="H6385" t="s">
        <v>7817</v>
      </c>
      <c r="I6385" t="s">
        <v>8270</v>
      </c>
      <c r="J6385" t="s">
        <v>9065</v>
      </c>
      <c r="K6385">
        <v>10452</v>
      </c>
      <c r="L6385" t="s">
        <v>9094</v>
      </c>
      <c r="M6385" t="s">
        <v>9095</v>
      </c>
      <c r="O6385" t="s">
        <v>11134</v>
      </c>
      <c r="P6385" t="s">
        <v>11164</v>
      </c>
      <c r="Q6385" t="s">
        <v>11172</v>
      </c>
      <c r="R6385" t="s">
        <v>11180</v>
      </c>
      <c r="S6385" t="s">
        <v>9096</v>
      </c>
      <c r="T6385" t="s">
        <v>11183</v>
      </c>
      <c r="V6385" t="s">
        <v>11218</v>
      </c>
      <c r="W6385">
        <v>1085</v>
      </c>
      <c r="X6385" t="s">
        <v>11333</v>
      </c>
      <c r="Y6385" t="s">
        <v>11346</v>
      </c>
      <c r="Z6385" t="s">
        <v>11443</v>
      </c>
      <c r="AB6385" t="s">
        <v>18822</v>
      </c>
      <c r="AC6385">
        <v>0</v>
      </c>
      <c r="AD6385" t="s">
        <v>19566</v>
      </c>
      <c r="AF6385">
        <v>20</v>
      </c>
      <c r="AG6385">
        <v>1</v>
      </c>
      <c r="AH6385">
        <v>0</v>
      </c>
      <c r="AI6385">
        <v>2403.84</v>
      </c>
      <c r="AL6385" t="s">
        <v>19614</v>
      </c>
      <c r="AM6385">
        <v>300240</v>
      </c>
      <c r="AS6385">
        <v>0.3</v>
      </c>
      <c r="AT6385" t="s">
        <v>312</v>
      </c>
      <c r="AU6385" t="s">
        <v>118</v>
      </c>
      <c r="AV6385" t="s">
        <v>20733</v>
      </c>
    </row>
    <row r="6386" spans="1:48">
      <c r="A6386" s="1">
        <f>HYPERLINK("https://lsnyc.legalserver.org/matter/dynamic-profile/view/1915043","19-1915043")</f>
        <v>0</v>
      </c>
      <c r="B6386" t="s">
        <v>83</v>
      </c>
      <c r="C6386" t="s">
        <v>256</v>
      </c>
      <c r="D6386" t="s">
        <v>377</v>
      </c>
      <c r="F6386" t="s">
        <v>2424</v>
      </c>
      <c r="G6386" t="s">
        <v>5595</v>
      </c>
      <c r="H6386" t="s">
        <v>5987</v>
      </c>
      <c r="I6386" t="s">
        <v>8112</v>
      </c>
      <c r="J6386" t="s">
        <v>9059</v>
      </c>
      <c r="K6386">
        <v>11225</v>
      </c>
      <c r="L6386" t="s">
        <v>9094</v>
      </c>
      <c r="M6386" t="s">
        <v>9095</v>
      </c>
      <c r="P6386" t="s">
        <v>11165</v>
      </c>
      <c r="R6386" t="s">
        <v>11180</v>
      </c>
      <c r="S6386" t="s">
        <v>9094</v>
      </c>
      <c r="T6386" t="s">
        <v>11183</v>
      </c>
      <c r="V6386" t="s">
        <v>648</v>
      </c>
      <c r="W6386">
        <v>0</v>
      </c>
      <c r="X6386" t="s">
        <v>11332</v>
      </c>
      <c r="Z6386" t="s">
        <v>13918</v>
      </c>
      <c r="AB6386" t="s">
        <v>15274</v>
      </c>
      <c r="AC6386">
        <v>0</v>
      </c>
      <c r="AF6386">
        <v>0</v>
      </c>
      <c r="AG6386">
        <v>2</v>
      </c>
      <c r="AH6386">
        <v>0</v>
      </c>
      <c r="AI6386">
        <v>2509.76</v>
      </c>
      <c r="AL6386" t="s">
        <v>19614</v>
      </c>
      <c r="AM6386">
        <v>424400</v>
      </c>
      <c r="AS6386">
        <v>0</v>
      </c>
      <c r="AU6386" t="s">
        <v>215</v>
      </c>
      <c r="AV6386" t="s">
        <v>20733</v>
      </c>
    </row>
    <row r="6387" spans="1:48">
      <c r="A6387" s="1">
        <f>HYPERLINK("https://lsnyc.legalserver.org/matter/dynamic-profile/view/1889235","19-1889235")</f>
        <v>0</v>
      </c>
      <c r="B6387" t="s">
        <v>66</v>
      </c>
      <c r="C6387" t="s">
        <v>256</v>
      </c>
      <c r="D6387" t="s">
        <v>602</v>
      </c>
      <c r="F6387" t="s">
        <v>1769</v>
      </c>
      <c r="G6387" t="s">
        <v>5667</v>
      </c>
      <c r="H6387" t="s">
        <v>5774</v>
      </c>
      <c r="J6387" t="s">
        <v>9059</v>
      </c>
      <c r="K6387">
        <v>11226</v>
      </c>
      <c r="L6387" t="s">
        <v>9094</v>
      </c>
      <c r="M6387" t="s">
        <v>9094</v>
      </c>
      <c r="O6387" t="s">
        <v>11134</v>
      </c>
      <c r="P6387" t="s">
        <v>11168</v>
      </c>
      <c r="R6387" t="s">
        <v>11180</v>
      </c>
      <c r="S6387" t="s">
        <v>9094</v>
      </c>
      <c r="T6387" t="s">
        <v>11183</v>
      </c>
      <c r="V6387" t="s">
        <v>402</v>
      </c>
      <c r="W6387">
        <v>1937</v>
      </c>
      <c r="X6387" t="s">
        <v>11332</v>
      </c>
      <c r="Z6387" t="s">
        <v>15245</v>
      </c>
      <c r="AB6387" t="s">
        <v>19541</v>
      </c>
      <c r="AC6387">
        <v>0</v>
      </c>
      <c r="AF6387">
        <v>3</v>
      </c>
      <c r="AG6387">
        <v>2</v>
      </c>
      <c r="AH6387">
        <v>1</v>
      </c>
      <c r="AI6387">
        <v>3211.44</v>
      </c>
      <c r="AL6387" t="s">
        <v>19614</v>
      </c>
      <c r="AM6387">
        <v>685000</v>
      </c>
      <c r="AS6387">
        <v>1.5</v>
      </c>
      <c r="AT6387" t="s">
        <v>577</v>
      </c>
      <c r="AU6387" t="s">
        <v>215</v>
      </c>
    </row>
    <row r="6388" spans="1:48">
      <c r="A6388" s="1">
        <f>HYPERLINK("https://lsnyc.legalserver.org/matter/dynamic-profile/view/1905195","19-1905195")</f>
        <v>0</v>
      </c>
      <c r="B6388" t="s">
        <v>103</v>
      </c>
      <c r="C6388" t="s">
        <v>256</v>
      </c>
      <c r="D6388" t="s">
        <v>414</v>
      </c>
      <c r="F6388" t="s">
        <v>3150</v>
      </c>
      <c r="G6388" t="s">
        <v>5441</v>
      </c>
      <c r="H6388" t="s">
        <v>5887</v>
      </c>
      <c r="I6388" t="s">
        <v>8119</v>
      </c>
      <c r="J6388" t="s">
        <v>9065</v>
      </c>
      <c r="K6388">
        <v>10453</v>
      </c>
      <c r="L6388" t="s">
        <v>9094</v>
      </c>
      <c r="M6388" t="s">
        <v>9095</v>
      </c>
      <c r="N6388" t="s">
        <v>9240</v>
      </c>
      <c r="O6388" t="s">
        <v>11134</v>
      </c>
      <c r="P6388" t="s">
        <v>11168</v>
      </c>
      <c r="R6388" t="s">
        <v>11180</v>
      </c>
      <c r="S6388" t="s">
        <v>9094</v>
      </c>
      <c r="T6388" t="s">
        <v>11183</v>
      </c>
      <c r="V6388" t="s">
        <v>422</v>
      </c>
      <c r="W6388">
        <v>736</v>
      </c>
      <c r="X6388" t="s">
        <v>11333</v>
      </c>
      <c r="Y6388" t="s">
        <v>11346</v>
      </c>
      <c r="Z6388" t="s">
        <v>14896</v>
      </c>
      <c r="AB6388" t="s">
        <v>19218</v>
      </c>
      <c r="AC6388">
        <v>170</v>
      </c>
      <c r="AD6388" t="s">
        <v>19566</v>
      </c>
      <c r="AE6388" t="s">
        <v>9144</v>
      </c>
      <c r="AF6388">
        <v>37</v>
      </c>
      <c r="AG6388">
        <v>2</v>
      </c>
      <c r="AH6388">
        <v>0</v>
      </c>
      <c r="AI6388">
        <v>3548.2</v>
      </c>
      <c r="AL6388" t="s">
        <v>19614</v>
      </c>
      <c r="AM6388">
        <v>600000</v>
      </c>
      <c r="AS6388">
        <v>0</v>
      </c>
      <c r="AU6388" t="s">
        <v>20642</v>
      </c>
      <c r="AV6388" t="s">
        <v>20733</v>
      </c>
    </row>
    <row r="6389" spans="1:48">
      <c r="A6389" s="1">
        <f>HYPERLINK("https://lsnyc.legalserver.org/matter/dynamic-profile/view/1898263","19-1898263")</f>
        <v>0</v>
      </c>
      <c r="B6389" t="s">
        <v>70</v>
      </c>
      <c r="C6389" t="s">
        <v>256</v>
      </c>
      <c r="D6389" t="s">
        <v>596</v>
      </c>
      <c r="F6389" t="s">
        <v>3166</v>
      </c>
      <c r="G6389" t="s">
        <v>5460</v>
      </c>
      <c r="H6389" t="s">
        <v>5748</v>
      </c>
      <c r="I6389" t="s">
        <v>8139</v>
      </c>
      <c r="J6389" t="s">
        <v>9059</v>
      </c>
      <c r="K6389">
        <v>11233</v>
      </c>
      <c r="L6389" t="s">
        <v>9094</v>
      </c>
      <c r="M6389" t="s">
        <v>9096</v>
      </c>
      <c r="O6389" t="s">
        <v>11137</v>
      </c>
      <c r="P6389" t="s">
        <v>11167</v>
      </c>
      <c r="R6389" t="s">
        <v>11180</v>
      </c>
      <c r="S6389" t="s">
        <v>9094</v>
      </c>
      <c r="T6389" t="s">
        <v>11183</v>
      </c>
      <c r="U6389" t="s">
        <v>11201</v>
      </c>
      <c r="V6389" t="s">
        <v>749</v>
      </c>
      <c r="W6389">
        <v>1872.98</v>
      </c>
      <c r="X6389" t="s">
        <v>11332</v>
      </c>
      <c r="Z6389" t="s">
        <v>11422</v>
      </c>
      <c r="AC6389">
        <v>359</v>
      </c>
      <c r="AD6389" t="s">
        <v>19566</v>
      </c>
      <c r="AF6389">
        <v>2</v>
      </c>
      <c r="AG6389">
        <v>1</v>
      </c>
      <c r="AH6389">
        <v>0</v>
      </c>
      <c r="AI6389">
        <v>3747</v>
      </c>
      <c r="AL6389" t="s">
        <v>19614</v>
      </c>
      <c r="AM6389">
        <v>468000</v>
      </c>
      <c r="AN6389" t="s">
        <v>20288</v>
      </c>
      <c r="AS6389">
        <v>0</v>
      </c>
      <c r="AU6389" t="s">
        <v>79</v>
      </c>
    </row>
    <row r="6390" spans="1:48">
      <c r="A6390" s="1">
        <f>HYPERLINK("https://lsnyc.legalserver.org/matter/dynamic-profile/view/1892098","19-1892098")</f>
        <v>0</v>
      </c>
      <c r="B6390" t="s">
        <v>70</v>
      </c>
      <c r="C6390" t="s">
        <v>256</v>
      </c>
      <c r="D6390" t="s">
        <v>428</v>
      </c>
      <c r="F6390" t="s">
        <v>1322</v>
      </c>
      <c r="G6390" t="s">
        <v>3344</v>
      </c>
      <c r="H6390" t="s">
        <v>5748</v>
      </c>
      <c r="I6390" t="s">
        <v>9002</v>
      </c>
      <c r="J6390" t="s">
        <v>9059</v>
      </c>
      <c r="K6390">
        <v>11233</v>
      </c>
      <c r="L6390" t="s">
        <v>9094</v>
      </c>
      <c r="M6390" t="s">
        <v>9096</v>
      </c>
      <c r="O6390" t="s">
        <v>11137</v>
      </c>
      <c r="P6390" t="s">
        <v>11167</v>
      </c>
      <c r="R6390" t="s">
        <v>11180</v>
      </c>
      <c r="S6390" t="s">
        <v>9094</v>
      </c>
      <c r="T6390" t="s">
        <v>11183</v>
      </c>
      <c r="U6390" t="s">
        <v>11201</v>
      </c>
      <c r="V6390" t="s">
        <v>749</v>
      </c>
      <c r="W6390">
        <v>1037</v>
      </c>
      <c r="X6390" t="s">
        <v>11332</v>
      </c>
      <c r="Y6390" t="s">
        <v>11157</v>
      </c>
      <c r="Z6390" t="s">
        <v>15019</v>
      </c>
      <c r="AC6390">
        <v>359</v>
      </c>
      <c r="AD6390" t="s">
        <v>19566</v>
      </c>
      <c r="AF6390">
        <v>49</v>
      </c>
      <c r="AG6390">
        <v>3</v>
      </c>
      <c r="AH6390">
        <v>0</v>
      </c>
      <c r="AI6390">
        <v>4388.19</v>
      </c>
      <c r="AL6390" t="s">
        <v>19614</v>
      </c>
      <c r="AM6390">
        <v>936000</v>
      </c>
      <c r="AN6390" t="s">
        <v>20289</v>
      </c>
      <c r="AS6390">
        <v>0</v>
      </c>
      <c r="AU6390" t="s">
        <v>79</v>
      </c>
    </row>
    <row r="6391" spans="1:48">
      <c r="A6391" s="1">
        <f>HYPERLINK("https://lsnyc.legalserver.org/matter/dynamic-profile/view/1870381","18-1870381")</f>
        <v>0</v>
      </c>
      <c r="B6391" t="s">
        <v>56</v>
      </c>
      <c r="C6391" t="s">
        <v>256</v>
      </c>
      <c r="D6391" t="s">
        <v>795</v>
      </c>
      <c r="F6391" t="s">
        <v>3330</v>
      </c>
      <c r="G6391" t="s">
        <v>5685</v>
      </c>
      <c r="H6391" t="s">
        <v>8103</v>
      </c>
      <c r="I6391" t="s">
        <v>9036</v>
      </c>
      <c r="J6391" t="s">
        <v>9053</v>
      </c>
      <c r="K6391">
        <v>11372</v>
      </c>
      <c r="L6391" t="s">
        <v>9094</v>
      </c>
      <c r="M6391" t="s">
        <v>9095</v>
      </c>
      <c r="N6391" t="s">
        <v>9171</v>
      </c>
      <c r="O6391" t="s">
        <v>11136</v>
      </c>
      <c r="P6391" t="s">
        <v>11166</v>
      </c>
      <c r="R6391" t="s">
        <v>11180</v>
      </c>
      <c r="S6391" t="s">
        <v>9094</v>
      </c>
      <c r="T6391" t="s">
        <v>11183</v>
      </c>
      <c r="U6391" t="s">
        <v>11201</v>
      </c>
      <c r="V6391" t="s">
        <v>767</v>
      </c>
      <c r="W6391">
        <v>2350</v>
      </c>
      <c r="X6391" t="s">
        <v>11331</v>
      </c>
      <c r="Y6391" t="s">
        <v>11336</v>
      </c>
      <c r="Z6391" t="s">
        <v>15270</v>
      </c>
      <c r="AB6391" t="s">
        <v>19563</v>
      </c>
      <c r="AC6391">
        <v>56</v>
      </c>
      <c r="AD6391" t="s">
        <v>15441</v>
      </c>
      <c r="AE6391" t="s">
        <v>9144</v>
      </c>
      <c r="AF6391">
        <v>3</v>
      </c>
      <c r="AG6391">
        <v>2</v>
      </c>
      <c r="AH6391">
        <v>0</v>
      </c>
      <c r="AI6391">
        <v>4556.5</v>
      </c>
      <c r="AL6391" t="s">
        <v>19614</v>
      </c>
      <c r="AM6391">
        <v>750000</v>
      </c>
      <c r="AS6391">
        <v>1.4</v>
      </c>
      <c r="AT6391" t="s">
        <v>426</v>
      </c>
      <c r="AU6391" t="s">
        <v>20620</v>
      </c>
      <c r="AV6391" t="s">
        <v>20733</v>
      </c>
    </row>
    <row r="6392" spans="1:48">
      <c r="A6392" s="1">
        <f>HYPERLINK("https://lsnyc.legalserver.org/matter/dynamic-profile/view/1910816","19-1910816")</f>
        <v>0</v>
      </c>
      <c r="B6392" t="s">
        <v>180</v>
      </c>
      <c r="C6392" t="s">
        <v>257</v>
      </c>
      <c r="D6392" t="s">
        <v>308</v>
      </c>
      <c r="E6392" t="s">
        <v>263</v>
      </c>
      <c r="F6392" t="s">
        <v>1492</v>
      </c>
      <c r="G6392" t="s">
        <v>5686</v>
      </c>
      <c r="H6392" t="s">
        <v>8106</v>
      </c>
      <c r="J6392" t="s">
        <v>9059</v>
      </c>
      <c r="K6392">
        <v>11209</v>
      </c>
      <c r="L6392" t="s">
        <v>9096</v>
      </c>
      <c r="M6392" t="s">
        <v>9095</v>
      </c>
      <c r="O6392" t="s">
        <v>9121</v>
      </c>
      <c r="P6392" t="s">
        <v>11164</v>
      </c>
      <c r="Q6392" t="s">
        <v>11172</v>
      </c>
      <c r="R6392" t="s">
        <v>11181</v>
      </c>
      <c r="S6392" t="s">
        <v>9096</v>
      </c>
      <c r="T6392" t="s">
        <v>11189</v>
      </c>
      <c r="W6392">
        <v>1798</v>
      </c>
      <c r="X6392" t="s">
        <v>11332</v>
      </c>
      <c r="Y6392" t="s">
        <v>11337</v>
      </c>
      <c r="Z6392" t="s">
        <v>15271</v>
      </c>
      <c r="AB6392" t="s">
        <v>19564</v>
      </c>
      <c r="AC6392">
        <v>70</v>
      </c>
      <c r="AD6392" t="s">
        <v>19566</v>
      </c>
      <c r="AF6392">
        <v>0</v>
      </c>
      <c r="AG6392">
        <v>1</v>
      </c>
      <c r="AH6392">
        <v>0</v>
      </c>
      <c r="AI6392">
        <v>4803.84</v>
      </c>
      <c r="AJ6392" t="s">
        <v>19591</v>
      </c>
      <c r="AK6392" t="s">
        <v>19608</v>
      </c>
      <c r="AL6392" t="s">
        <v>19614</v>
      </c>
      <c r="AM6392">
        <v>600000</v>
      </c>
      <c r="AS6392">
        <v>0.3</v>
      </c>
      <c r="AT6392" t="s">
        <v>295</v>
      </c>
      <c r="AU6392" t="s">
        <v>20628</v>
      </c>
      <c r="AV6392" t="s">
        <v>9144</v>
      </c>
    </row>
    <row r="6393" spans="1:48">
      <c r="A6393" s="1">
        <f>HYPERLINK("https://lsnyc.legalserver.org/matter/dynamic-profile/view/1913598","19-1913598")</f>
        <v>0</v>
      </c>
      <c r="B6393" t="s">
        <v>92</v>
      </c>
      <c r="C6393" t="s">
        <v>256</v>
      </c>
      <c r="D6393" t="s">
        <v>521</v>
      </c>
      <c r="F6393" t="s">
        <v>1550</v>
      </c>
      <c r="G6393" t="s">
        <v>5558</v>
      </c>
      <c r="H6393" t="s">
        <v>6306</v>
      </c>
      <c r="I6393" t="s">
        <v>8266</v>
      </c>
      <c r="J6393" t="s">
        <v>9059</v>
      </c>
      <c r="K6393">
        <v>11238</v>
      </c>
      <c r="L6393" t="s">
        <v>9094</v>
      </c>
      <c r="M6393" t="s">
        <v>9095</v>
      </c>
      <c r="O6393" t="s">
        <v>11134</v>
      </c>
      <c r="P6393" t="s">
        <v>11168</v>
      </c>
      <c r="R6393" t="s">
        <v>11180</v>
      </c>
      <c r="S6393" t="s">
        <v>9094</v>
      </c>
      <c r="T6393" t="s">
        <v>11183</v>
      </c>
      <c r="U6393" t="s">
        <v>11201</v>
      </c>
      <c r="V6393" t="s">
        <v>11243</v>
      </c>
      <c r="W6393">
        <v>1048.29</v>
      </c>
      <c r="X6393" t="s">
        <v>11332</v>
      </c>
      <c r="Y6393" t="s">
        <v>11157</v>
      </c>
      <c r="Z6393" t="s">
        <v>11864</v>
      </c>
      <c r="AA6393" t="s">
        <v>9144</v>
      </c>
      <c r="AB6393" t="s">
        <v>19384</v>
      </c>
      <c r="AC6393">
        <v>16</v>
      </c>
      <c r="AD6393" t="s">
        <v>19566</v>
      </c>
      <c r="AE6393" t="s">
        <v>9144</v>
      </c>
      <c r="AF6393">
        <v>0</v>
      </c>
      <c r="AG6393">
        <v>2</v>
      </c>
      <c r="AH6393">
        <v>0</v>
      </c>
      <c r="AI6393">
        <v>4967.47</v>
      </c>
      <c r="AL6393" t="s">
        <v>19614</v>
      </c>
      <c r="AM6393">
        <v>840000</v>
      </c>
      <c r="AS6393">
        <v>0</v>
      </c>
      <c r="AU6393" t="s">
        <v>79</v>
      </c>
      <c r="AV6393" t="s">
        <v>20733</v>
      </c>
    </row>
    <row r="6394" spans="1:48">
      <c r="A6394" s="1">
        <f>HYPERLINK("https://lsnyc.legalserver.org/matter/dynamic-profile/view/1913614","19-1913614")</f>
        <v>0</v>
      </c>
      <c r="B6394" t="s">
        <v>92</v>
      </c>
      <c r="C6394" t="s">
        <v>256</v>
      </c>
      <c r="D6394" t="s">
        <v>521</v>
      </c>
      <c r="F6394" t="s">
        <v>1550</v>
      </c>
      <c r="G6394" t="s">
        <v>5558</v>
      </c>
      <c r="H6394" t="s">
        <v>6306</v>
      </c>
      <c r="I6394" t="s">
        <v>8266</v>
      </c>
      <c r="J6394" t="s">
        <v>9059</v>
      </c>
      <c r="K6394">
        <v>11238</v>
      </c>
      <c r="L6394" t="s">
        <v>9094</v>
      </c>
      <c r="M6394" t="s">
        <v>9095</v>
      </c>
      <c r="O6394" t="s">
        <v>11130</v>
      </c>
      <c r="P6394" t="s">
        <v>11165</v>
      </c>
      <c r="R6394" t="s">
        <v>11180</v>
      </c>
      <c r="S6394" t="s">
        <v>9094</v>
      </c>
      <c r="T6394" t="s">
        <v>11183</v>
      </c>
      <c r="U6394" t="s">
        <v>11201</v>
      </c>
      <c r="V6394" t="s">
        <v>11330</v>
      </c>
      <c r="W6394">
        <v>1048.29</v>
      </c>
      <c r="X6394" t="s">
        <v>11332</v>
      </c>
      <c r="Y6394" t="s">
        <v>11157</v>
      </c>
      <c r="Z6394" t="s">
        <v>11864</v>
      </c>
      <c r="AA6394" t="s">
        <v>9144</v>
      </c>
      <c r="AB6394" t="s">
        <v>19384</v>
      </c>
      <c r="AC6394">
        <v>16</v>
      </c>
      <c r="AD6394" t="s">
        <v>19566</v>
      </c>
      <c r="AE6394" t="s">
        <v>9144</v>
      </c>
      <c r="AF6394">
        <v>0</v>
      </c>
      <c r="AG6394">
        <v>2</v>
      </c>
      <c r="AH6394">
        <v>0</v>
      </c>
      <c r="AI6394">
        <v>4967.47</v>
      </c>
      <c r="AL6394" t="s">
        <v>19614</v>
      </c>
      <c r="AM6394">
        <v>840000</v>
      </c>
      <c r="AN6394" t="s">
        <v>19753</v>
      </c>
      <c r="AS6394">
        <v>0</v>
      </c>
      <c r="AU6394" t="s">
        <v>79</v>
      </c>
      <c r="AV6394" t="s">
        <v>20733</v>
      </c>
    </row>
    <row r="6395" spans="1:48">
      <c r="A6395" s="1">
        <f>HYPERLINK("https://lsnyc.legalserver.org/matter/dynamic-profile/view/1892994","19-1892994")</f>
        <v>0</v>
      </c>
      <c r="B6395" t="s">
        <v>83</v>
      </c>
      <c r="C6395" t="s">
        <v>256</v>
      </c>
      <c r="D6395" t="s">
        <v>423</v>
      </c>
      <c r="F6395" t="s">
        <v>2424</v>
      </c>
      <c r="G6395" t="s">
        <v>5595</v>
      </c>
      <c r="H6395" t="s">
        <v>5987</v>
      </c>
      <c r="I6395" t="s">
        <v>8112</v>
      </c>
      <c r="J6395" t="s">
        <v>9059</v>
      </c>
      <c r="K6395">
        <v>11225</v>
      </c>
      <c r="L6395" t="s">
        <v>9094</v>
      </c>
      <c r="M6395" t="s">
        <v>9094</v>
      </c>
      <c r="N6395" t="s">
        <v>9304</v>
      </c>
      <c r="O6395" t="s">
        <v>11132</v>
      </c>
      <c r="P6395" t="s">
        <v>11165</v>
      </c>
      <c r="R6395" t="s">
        <v>11180</v>
      </c>
      <c r="T6395" t="s">
        <v>11183</v>
      </c>
      <c r="V6395" t="s">
        <v>700</v>
      </c>
      <c r="W6395">
        <v>0</v>
      </c>
      <c r="X6395" t="s">
        <v>11332</v>
      </c>
      <c r="Z6395" t="s">
        <v>13918</v>
      </c>
      <c r="AB6395" t="s">
        <v>15274</v>
      </c>
      <c r="AC6395">
        <v>0</v>
      </c>
      <c r="AF6395">
        <v>0</v>
      </c>
      <c r="AG6395">
        <v>2</v>
      </c>
      <c r="AH6395">
        <v>0</v>
      </c>
      <c r="AI6395">
        <v>5762.27</v>
      </c>
      <c r="AL6395" t="s">
        <v>19614</v>
      </c>
      <c r="AM6395">
        <v>974400</v>
      </c>
      <c r="AS6395">
        <v>5.2</v>
      </c>
      <c r="AT6395" t="s">
        <v>426</v>
      </c>
      <c r="AU6395" t="s">
        <v>215</v>
      </c>
    </row>
    <row r="6396" spans="1:48">
      <c r="A6396" s="1">
        <f>HYPERLINK("https://lsnyc.legalserver.org/matter/dynamic-profile/view/1891818","19-1891818")</f>
        <v>0</v>
      </c>
      <c r="B6396" t="s">
        <v>82</v>
      </c>
      <c r="C6396" t="s">
        <v>256</v>
      </c>
      <c r="D6396" t="s">
        <v>383</v>
      </c>
      <c r="F6396" t="s">
        <v>3280</v>
      </c>
      <c r="G6396" t="s">
        <v>5615</v>
      </c>
      <c r="H6396" t="s">
        <v>5785</v>
      </c>
      <c r="I6396" t="s">
        <v>8165</v>
      </c>
      <c r="J6396" t="s">
        <v>9059</v>
      </c>
      <c r="K6396">
        <v>11225</v>
      </c>
      <c r="L6396" t="s">
        <v>9094</v>
      </c>
      <c r="M6396" t="s">
        <v>9094</v>
      </c>
      <c r="N6396" t="s">
        <v>11061</v>
      </c>
      <c r="O6396" t="s">
        <v>11134</v>
      </c>
      <c r="P6396" t="s">
        <v>11168</v>
      </c>
      <c r="R6396" t="s">
        <v>11180</v>
      </c>
      <c r="S6396" t="s">
        <v>9094</v>
      </c>
      <c r="T6396" t="s">
        <v>11183</v>
      </c>
      <c r="V6396" t="s">
        <v>381</v>
      </c>
      <c r="W6396">
        <v>1740.79</v>
      </c>
      <c r="X6396" t="s">
        <v>11332</v>
      </c>
      <c r="Y6396" t="s">
        <v>11346</v>
      </c>
      <c r="Z6396" t="s">
        <v>15176</v>
      </c>
      <c r="AB6396" t="s">
        <v>19463</v>
      </c>
      <c r="AC6396">
        <v>89</v>
      </c>
      <c r="AD6396" t="s">
        <v>19566</v>
      </c>
      <c r="AF6396">
        <v>7</v>
      </c>
      <c r="AG6396">
        <v>1</v>
      </c>
      <c r="AH6396">
        <v>0</v>
      </c>
      <c r="AI6396">
        <v>6245</v>
      </c>
      <c r="AL6396" t="s">
        <v>19614</v>
      </c>
      <c r="AM6396">
        <v>780000</v>
      </c>
      <c r="AS6396">
        <v>0</v>
      </c>
      <c r="AU6396" t="s">
        <v>215</v>
      </c>
    </row>
    <row r="6397" spans="1:48">
      <c r="A6397" s="1">
        <f>HYPERLINK("https://lsnyc.legalserver.org/matter/dynamic-profile/view/0806528","16-0806528")</f>
        <v>0</v>
      </c>
      <c r="B6397" t="s">
        <v>135</v>
      </c>
      <c r="C6397" t="s">
        <v>257</v>
      </c>
      <c r="D6397" t="s">
        <v>1127</v>
      </c>
      <c r="E6397" t="s">
        <v>597</v>
      </c>
      <c r="H6397" t="s">
        <v>6214</v>
      </c>
      <c r="J6397" t="s">
        <v>9067</v>
      </c>
      <c r="K6397">
        <v>10035</v>
      </c>
      <c r="L6397" t="s">
        <v>9095</v>
      </c>
      <c r="M6397" t="s">
        <v>9095</v>
      </c>
      <c r="Q6397" t="s">
        <v>11174</v>
      </c>
      <c r="R6397" t="s">
        <v>11180</v>
      </c>
      <c r="T6397" t="s">
        <v>11183</v>
      </c>
      <c r="W6397">
        <v>0</v>
      </c>
      <c r="X6397" t="s">
        <v>11335</v>
      </c>
      <c r="AC6397">
        <v>0</v>
      </c>
      <c r="AF6397">
        <v>0</v>
      </c>
      <c r="AG6397">
        <v>0</v>
      </c>
      <c r="AH6397">
        <v>0</v>
      </c>
      <c r="AI6397">
        <v>0</v>
      </c>
      <c r="AM6397">
        <v>0</v>
      </c>
      <c r="AS6397">
        <v>128.43</v>
      </c>
      <c r="AT6397" t="s">
        <v>20618</v>
      </c>
      <c r="AU6397" t="s">
        <v>20732</v>
      </c>
    </row>
    <row r="6398" spans="1:48">
      <c r="A6398" s="1">
        <f>HYPERLINK("https://lsnyc.legalserver.org/matter/dynamic-profile/view/1850074","17-1850074")</f>
        <v>0</v>
      </c>
      <c r="B6398" t="s">
        <v>216</v>
      </c>
      <c r="C6398" t="s">
        <v>256</v>
      </c>
      <c r="D6398" t="s">
        <v>877</v>
      </c>
      <c r="H6398" t="s">
        <v>6847</v>
      </c>
      <c r="J6398" t="s">
        <v>9067</v>
      </c>
      <c r="K6398">
        <v>10002</v>
      </c>
      <c r="L6398" t="s">
        <v>9095</v>
      </c>
      <c r="M6398" t="s">
        <v>9095</v>
      </c>
      <c r="R6398" t="s">
        <v>11180</v>
      </c>
      <c r="T6398" t="s">
        <v>11183</v>
      </c>
      <c r="W6398">
        <v>0</v>
      </c>
      <c r="X6398" t="s">
        <v>11335</v>
      </c>
      <c r="AC6398">
        <v>0</v>
      </c>
      <c r="AF6398">
        <v>0</v>
      </c>
      <c r="AG6398">
        <v>0</v>
      </c>
      <c r="AH6398">
        <v>0</v>
      </c>
      <c r="AI6398">
        <v>0</v>
      </c>
      <c r="AM6398">
        <v>5000</v>
      </c>
      <c r="AS6398">
        <v>101.25</v>
      </c>
      <c r="AT6398" t="s">
        <v>276</v>
      </c>
      <c r="AU6398" t="s">
        <v>20655</v>
      </c>
    </row>
    <row r="6399" spans="1:48">
      <c r="A6399" s="1">
        <f>HYPERLINK("https://lsnyc.legalserver.org/matter/dynamic-profile/view/1850587","17-1850587")</f>
        <v>0</v>
      </c>
      <c r="B6399" t="s">
        <v>216</v>
      </c>
      <c r="C6399" t="s">
        <v>256</v>
      </c>
      <c r="D6399" t="s">
        <v>937</v>
      </c>
      <c r="H6399" t="s">
        <v>7378</v>
      </c>
      <c r="J6399" t="s">
        <v>9067</v>
      </c>
      <c r="K6399">
        <v>10002</v>
      </c>
      <c r="L6399" t="s">
        <v>9095</v>
      </c>
      <c r="M6399" t="s">
        <v>9095</v>
      </c>
      <c r="R6399" t="s">
        <v>11180</v>
      </c>
      <c r="T6399" t="s">
        <v>11183</v>
      </c>
      <c r="W6399">
        <v>0</v>
      </c>
      <c r="X6399" t="s">
        <v>11335</v>
      </c>
      <c r="AC6399">
        <v>0</v>
      </c>
      <c r="AF6399">
        <v>0</v>
      </c>
      <c r="AG6399">
        <v>0</v>
      </c>
      <c r="AH6399">
        <v>0</v>
      </c>
      <c r="AI6399">
        <v>0</v>
      </c>
      <c r="AM6399">
        <v>66360</v>
      </c>
      <c r="AS6399">
        <v>208.15</v>
      </c>
      <c r="AT6399" t="s">
        <v>263</v>
      </c>
      <c r="AU6399" t="s">
        <v>20655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2019-12-03T20:24:02Z</dcterms:created>
  <dcterms:modified xsi:type="dcterms:W3CDTF">2019-12-03T20:24:02Z</dcterms:modified>
</cp:coreProperties>
</file>